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ơ cấu mã" sheetId="1" r:id="rId4"/>
    <sheet state="hidden" name="Trang tính1" sheetId="2" r:id="rId5"/>
    <sheet state="hidden" name="Data mã CCTC mới 2024_Mẫu" sheetId="3" r:id="rId6"/>
    <sheet state="hidden" name="Data mã CCTC mới 2024_TƯ vấn" sheetId="4" r:id="rId7"/>
    <sheet state="visible" name="Data mã CCTC mới 2024_Mapping_1" sheetId="5" r:id="rId8"/>
    <sheet state="hidden" name="Bản sao của Data mã CCTC mới 20" sheetId="6" r:id="rId9"/>
    <sheet state="visible" name="Mã trụ sở" sheetId="7" r:id="rId10"/>
    <sheet state="hidden" name="CCTC đang theo dõi" sheetId="8" r:id="rId11"/>
    <sheet state="hidden" name="Trang tính12" sheetId="9" r:id="rId12"/>
    <sheet state="hidden" name="Bảng tổng hợp 1" sheetId="10" r:id="rId13"/>
    <sheet state="hidden" name="Quy ước mã vị trí" sheetId="11" r:id="rId14"/>
    <sheet state="visible" name="Quy ước tên viết tắt" sheetId="12" r:id="rId15"/>
    <sheet state="visible" name="Vị trí" sheetId="13" r:id="rId16"/>
    <sheet state="hidden" name="Danh sách cơ cấu tổ chức" sheetId="14" r:id="rId17"/>
  </sheets>
  <definedNames>
    <definedName hidden="1" localSheetId="2" name="_xlnm._FilterDatabase">'Data mã CCTC mới 2024_Mẫu'!$A$7:$O$297</definedName>
    <definedName hidden="1" localSheetId="3" name="_xlnm._FilterDatabase">'Data mã CCTC mới 2024_TƯ vấn'!$A$6:$AD$708</definedName>
    <definedName hidden="1" localSheetId="4" name="_xlnm._FilterDatabase">'Data mã CCTC mới 2024_Mapping_1'!$A$6:$AD$719</definedName>
    <definedName hidden="1" localSheetId="5" name="_xlnm._FilterDatabase">'Bản sao của Data mã CCTC mới 20'!$A$6:$AD$714</definedName>
    <definedName hidden="1" localSheetId="7" name="_xlnm._FilterDatabase">'CCTC đang theo dõi'!$A$5:$R$660</definedName>
    <definedName hidden="1" localSheetId="9" name="_xlnm._FilterDatabase">'Bảng tổng hợp 1'!$B$1:$AA$408</definedName>
    <definedName hidden="1" localSheetId="12" name="_xlnm._FilterDatabase">'Vị trí'!$A$14:$AE$563</definedName>
    <definedName hidden="1" localSheetId="13" name="_xlnm._FilterDatabase">'Danh sách cơ cấu tổ chức'!$A$2:$P$658</definedName>
  </definedNames>
  <calcPr/>
  <pivotCaches>
    <pivotCache cacheId="0" r:id="rId18"/>
    <pivotCache cacheId="1" r:id="rId19"/>
  </pivotCaches>
  <extLst>
    <ext uri="GoogleSheetsCustomDataVersion2">
      <go:sheetsCustomData xmlns:go="http://customooxmlschemas.google.com/" r:id="rId20" roundtripDataChecksum="fl+6E23CDikRkLngKJJlypQZswygEbTuCMiwzXW05T8="/>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L37">
      <text>
        <t xml:space="preserve">bổ sung thêm nhóm
======</t>
      </text>
    </comment>
    <comment authorId="0" ref="L49">
      <text>
        <t xml:space="preserve">ngừng theo dõi
======</t>
      </text>
    </comment>
    <comment authorId="0" ref="L50">
      <text>
        <t xml:space="preserve">ngừng theo dõi
======</t>
      </text>
    </comment>
    <comment authorId="0" ref="J53">
      <text>
        <t xml:space="preserve">bổ sung thêm SP, trước đây thiếu
======</t>
      </text>
    </comment>
    <comment authorId="0" ref="J54">
      <text>
        <t xml:space="preserve">bổ sung thêm SP, trước đây thiếu
======</t>
      </text>
    </comment>
    <comment authorId="0" ref="J55">
      <text>
        <t xml:space="preserve">bổ sung thêm SP, trước đây thiếu
======</t>
      </text>
    </comment>
    <comment authorId="0" ref="J56">
      <text>
        <t xml:space="preserve">bổ sung thêm SP, trước đây thiếu
======</t>
      </text>
    </comment>
    <comment authorId="0" ref="R131">
      <text>
        <t xml:space="preserve">sửa tên cctc đề xuất. Tên cũ đang lấy là DA tổng hợp BC tài chính
======</t>
      </text>
    </comment>
    <comment authorId="0" ref="S187">
      <text>
        <t xml:space="preserve">thuộc cctc cha bị sai, trước đang để trong SP cukcuk
======</t>
      </text>
    </comment>
    <comment authorId="0" ref="S188">
      <text>
        <t xml:space="preserve">L1.00.00.00.00.00.07
======</t>
      </text>
    </comment>
    <comment authorId="0" ref="S189">
      <text>
        <t xml:space="preserve">L1.00.00.00.00.00.07
======</t>
      </text>
    </comment>
    <comment authorId="0" ref="H190">
      <text>
        <t xml:space="preserve">mới bổ sung, trước thiếu cơ cấu này
======</t>
      </text>
    </comment>
    <comment authorId="0" ref="S190">
      <text>
        <t xml:space="preserve">bổ sung cơ cấu BGĐ khối SX
======</t>
      </text>
    </comment>
    <comment authorId="0" ref="L225">
      <text>
        <t xml:space="preserve">sửa lại tên nhóm
======</t>
      </text>
    </comment>
    <comment authorId="0" ref="L226">
      <text>
        <t xml:space="preserve">thêm nhóm
======</t>
      </text>
    </comment>
    <comment authorId="0" ref="L227">
      <text>
        <t xml:space="preserve">thêm nhóm
======</t>
      </text>
    </comment>
    <comment authorId="0" ref="H245">
      <text>
        <t xml:space="preserve">sửa lại tên viết đầy đủ (trước đang viết tắt chữ GP
======</t>
      </text>
    </comment>
    <comment authorId="0" ref="R245">
      <text>
        <t xml:space="preserve">sửa lại tên viết đầy đủ (trước đang viết tắt chữ GP
======</t>
      </text>
    </comment>
    <comment authorId="0" ref="H246">
      <text>
        <t xml:space="preserve">thêm để group lại nhóm bán mới của GPBL
======</t>
      </text>
    </comment>
    <comment authorId="0" ref="S247">
      <text>
        <t xml:space="preserve">thay đổi mã cấp cha do bổ sung thêm 1 group cctc 
======</t>
      </text>
    </comment>
    <comment authorId="0" ref="J255">
      <text>
        <t xml:space="preserve">Sửa tên nhóm thành phòng
======</t>
      </text>
    </comment>
    <comment authorId="0" ref="R255">
      <text>
        <t xml:space="preserve">Sửa tên nhóm thành phòng
======</t>
      </text>
    </comment>
    <comment authorId="0" ref="S255">
      <text>
        <t xml:space="preserve">sửa lại mã cấp cha
======</t>
      </text>
    </comment>
    <comment authorId="0" ref="R256">
      <text>
        <t xml:space="preserve">sửa lại thêm dấu cách giữa "- Hồ". Trước đang viết liền "-Hồ
======</t>
      </text>
    </comment>
    <comment authorId="0" ref="S256">
      <text>
        <t xml:space="preserve">sửa lại cấp cha
======</t>
      </text>
    </comment>
    <comment authorId="0" ref="H257">
      <text>
        <t xml:space="preserve">sửa lại thêm dấu cách giữa "- Hồ". Trước đang viết liền "-Hồ
======</t>
      </text>
    </comment>
    <comment authorId="0" ref="J264">
      <text>
        <t xml:space="preserve">sửa tên Nhóm thành Phòng
======</t>
      </text>
    </comment>
    <comment authorId="0" ref="S265">
      <text>
        <t xml:space="preserve">sửa mã cấp cha
======</t>
      </text>
    </comment>
    <comment authorId="0" ref="S267">
      <text>
        <t xml:space="preserve">sửa mã cấp cha
======</t>
      </text>
    </comment>
    <comment authorId="0" ref="S269">
      <text>
        <t xml:space="preserve">sửa mã cấp cha
======</t>
      </text>
    </comment>
    <comment authorId="0" ref="H285">
      <text>
        <t xml:space="preserve">thêm group nhóm để tách bán mới và bán thêm
======</t>
      </text>
    </comment>
    <comment authorId="0" ref="H286">
      <text>
        <t xml:space="preserve">thêm group nhóm để tách bán mới và bán thêm
======</t>
      </text>
    </comment>
    <comment authorId="0" ref="S287">
      <text>
        <t xml:space="preserve">thay đổi mã cấp cha
======</t>
      </text>
    </comment>
    <comment authorId="0" ref="J289">
      <text>
        <t xml:space="preserve">thêm số "0" vào trước
======</t>
      </text>
    </comment>
    <comment authorId="0" ref="R289">
      <text>
        <t xml:space="preserve">Phòng KD bán mới KTDN 01
======</t>
      </text>
    </comment>
    <comment authorId="0" ref="R295">
      <text>
        <t xml:space="preserve">sai tên
======</t>
      </text>
    </comment>
    <comment authorId="0" ref="S295">
      <text>
        <t xml:space="preserve">đổi mã cấp cha
======</t>
      </text>
    </comment>
    <comment authorId="0" ref="S308">
      <text>
        <t xml:space="preserve">thay đổi mã đơn vị cấp cha
======</t>
      </text>
    </comment>
    <comment authorId="0" ref="J310">
      <text>
        <t xml:space="preserve">thêm số "0" vào trước
======</t>
      </text>
    </comment>
    <comment authorId="0" ref="R310">
      <text>
        <t xml:space="preserve">thêm số "0" vào trước
======</t>
      </text>
    </comment>
    <comment authorId="0" ref="S317">
      <text>
        <t xml:space="preserve">đổi mã cấp cha
======</t>
      </text>
    </comment>
    <comment authorId="0" ref="J327">
      <text>
        <t xml:space="preserve">tạo thành group 2 nhóm gồm phòng 01 và 02
======</t>
      </text>
    </comment>
    <comment authorId="0" ref="S331">
      <text>
        <t xml:space="preserve">đổi mã cấp cha
======</t>
      </text>
    </comment>
    <comment authorId="0" ref="S334">
      <text>
        <t xml:space="preserve">sửa mã cấp cha
======</t>
      </text>
    </comment>
    <comment authorId="0" ref="J340">
      <text>
        <t xml:space="preserve">tạo group phòng GPKT
======</t>
      </text>
    </comment>
    <comment authorId="0" ref="S340">
      <text>
        <t xml:space="preserve">sửa mã cấp cha
======</t>
      </text>
    </comment>
    <comment authorId="0" ref="J341">
      <text>
        <t xml:space="preserve">tạo phòng GPKT 01 nằm trong group GPKT
======</t>
      </text>
    </comment>
    <comment authorId="0" ref="S341">
      <text>
        <t xml:space="preserve">sửa mã cấp cha
======</t>
      </text>
    </comment>
    <comment authorId="0" ref="S342">
      <text>
        <t xml:space="preserve">sửa mã cấp cha
======</t>
      </text>
    </comment>
    <comment authorId="0" ref="H348">
      <text>
        <t xml:space="preserve">tạo group phòng GPKT
======</t>
      </text>
    </comment>
    <comment authorId="0" ref="S349">
      <text>
        <t xml:space="preserve">sửa mã cấp cha
======</t>
      </text>
    </comment>
    <comment authorId="0" ref="S350">
      <text>
        <t xml:space="preserve">sửa mã cấp cha
======</t>
      </text>
    </comment>
    <comment authorId="0" ref="J358">
      <text>
        <t xml:space="preserve">viết rõ Kế toán thay cho từ viết tắt KT
======</t>
      </text>
    </comment>
    <comment authorId="0" ref="H368">
      <text>
        <t xml:space="preserve">sửa lại tên viết rõ ra thay vì viết tắt lúc trước
======</t>
      </text>
    </comment>
    <comment authorId="0" ref="H374">
      <text>
        <t xml:space="preserve">viết rõ ra chữ TT thành Trung tâm
======</t>
      </text>
    </comment>
    <comment authorId="0" ref="R374">
      <text>
        <t xml:space="preserve">viết rõ ra chữ TT thành Trung tâm
======</t>
      </text>
    </comment>
    <comment authorId="0" ref="N375">
      <text>
        <t xml:space="preserve">trước đây đang để là HN (01)
======</t>
      </text>
    </comment>
    <comment authorId="0" ref="S377">
      <text>
        <t xml:space="preserve">sửa mã cấp cha
======</t>
      </text>
    </comment>
    <comment authorId="0" ref="S378">
      <text>
        <t xml:space="preserve">sửa mã cấp cha
======</t>
      </text>
    </comment>
    <comment authorId="0" ref="K379">
      <text>
        <t xml:space="preserve">trước đây đang để nhầm mã là 02 (trùng với mã của nhóm KD tại HCM)
======</t>
      </text>
    </comment>
    <comment authorId="0" ref="P379">
      <text>
        <t xml:space="preserve">điều chỉnh lại mã theo mã cấp 3
======</t>
      </text>
    </comment>
    <comment authorId="0" ref="S379">
      <text>
        <t xml:space="preserve">sửa mã cấp cha
======</t>
      </text>
    </comment>
    <comment authorId="0" ref="N381">
      <text>
        <t xml:space="preserve">điều chỉnh lại trụ sở (trước đang để là HAN)
======</t>
      </text>
    </comment>
    <comment authorId="0" ref="N383">
      <text>
        <t xml:space="preserve">thay đổi trước đang để địa điểm là HAN
======</t>
      </text>
    </comment>
    <comment authorId="0" ref="N386">
      <text>
        <t xml:space="preserve">thay đổi trước đang để địa điểm là HAN
======</t>
      </text>
    </comment>
    <comment authorId="0" ref="T388">
      <text>
        <t xml:space="preserve">mapping lai mã cctc hiện tại, trước đang mapping với nhóm MKT ký điện tử
======</t>
      </text>
    </comment>
    <comment authorId="0" ref="H396">
      <text>
        <t xml:space="preserve">sửa chữ vừa =&gt; Vừa
======</t>
      </text>
    </comment>
    <comment authorId="0" ref="J404">
      <text>
        <t xml:space="preserve">thêm phòng
======</t>
      </text>
    </comment>
    <comment authorId="0" ref="J410">
      <text>
        <t xml:space="preserve">thêm phòng
======</t>
      </text>
    </comment>
    <comment authorId="0" ref="J416">
      <text>
        <t xml:space="preserve">thêm phòng
======</t>
      </text>
    </comment>
    <comment authorId="0" ref="J422">
      <text>
        <t xml:space="preserve">thêm phòng
======</t>
      </text>
    </comment>
    <comment authorId="0" ref="J428">
      <text>
        <t xml:space="preserve">thêm phòng
======</t>
      </text>
    </comment>
    <comment authorId="0" ref="R456">
      <text>
        <t xml:space="preserve">sai tên cctc
======</t>
      </text>
    </comment>
    <comment authorId="0" ref="R495">
      <text>
        <t xml:space="preserve">sai tên cctc
======</t>
      </text>
    </comment>
    <comment authorId="0" ref="J508">
      <text>
        <t xml:space="preserve">bổ sung thêm 1 team do cc KD thêm 1 team
======</t>
      </text>
    </comment>
    <comment authorId="0" ref="J509">
      <text>
        <t xml:space="preserve">bổ sung thêm 1 team do cc KD thêm 1 team
======</t>
      </text>
    </comment>
    <comment authorId="0" ref="J510">
      <text>
        <t xml:space="preserve">bổ sung thêm 1 team do cc KD thêm 1 team
======</t>
      </text>
    </comment>
    <comment authorId="0" ref="J511">
      <text>
        <t xml:space="preserve">bổ sung thêm 1 team do cc KD thêm 1 team
======</t>
      </text>
    </comment>
    <comment authorId="0" ref="J512">
      <text>
        <t xml:space="preserve">bổ sung thêm 1 team do cc KD thêm 1 team
======</t>
      </text>
    </comment>
    <comment authorId="0" ref="J513">
      <text>
        <t xml:space="preserve">bổ sung thêm 1 team do cc KD thêm 1 team
======</t>
      </text>
    </comment>
    <comment authorId="0" ref="J514">
      <text>
        <t xml:space="preserve">bổ sung thêm 1 team do cc KD thêm 1 team
======</t>
      </text>
    </comment>
    <comment authorId="0" ref="H516">
      <text>
        <t xml:space="preserve">viết rõ chữ GP thành giải pháp
======</t>
      </text>
    </comment>
    <comment authorId="0" ref="R516">
      <text>
        <t xml:space="preserve">viết rõ chữ GP thành giải pháp
======</t>
      </text>
    </comment>
    <comment authorId="0" ref="J517">
      <text>
        <t xml:space="preserve">viết rõ chữ GP thành giải pháp
======</t>
      </text>
    </comment>
    <comment authorId="0" ref="R517">
      <text>
        <t xml:space="preserve">viết rõ chữ GP thành giải pháp
======</t>
      </text>
    </comment>
    <comment authorId="0" ref="R519">
      <text>
        <t xml:space="preserve">viết rõ chữ GP thành giải pháp
======</t>
      </text>
    </comment>
    <comment authorId="0" ref="J520">
      <text>
        <t xml:space="preserve">viết rõ chữ GP thành giải pháp
======</t>
      </text>
    </comment>
    <comment authorId="0" ref="R520">
      <text>
        <t xml:space="preserve">viết rõ chữ GP thành giải pháp
======</t>
      </text>
    </comment>
    <comment authorId="0" ref="R522">
      <text>
        <t xml:space="preserve">sai tên
======</t>
      </text>
    </comment>
    <comment authorId="0" ref="J523">
      <text>
        <t xml:space="preserve">viết rõ chữ GP thành giải pháp
======</t>
      </text>
    </comment>
    <comment authorId="0" ref="R523">
      <text>
        <t xml:space="preserve">viết rõ chữ GP thành giải pháp
======</t>
      </text>
    </comment>
    <comment authorId="0" ref="H648">
      <text>
        <t xml:space="preserve">sửa lại chữ Tổng
======</t>
      </text>
    </comment>
    <comment authorId="0" ref="T691">
      <text>
        <t xml:space="preserve">mapping được 
======</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L37">
      <text>
        <t xml:space="preserve">bổ sung thêm nhóm
======</t>
      </text>
    </comment>
    <comment authorId="0" ref="L49">
      <text>
        <t xml:space="preserve">ngừng theo dõi
======</t>
      </text>
    </comment>
    <comment authorId="0" ref="L50">
      <text>
        <t xml:space="preserve">ngừng theo dõi
======</t>
      </text>
    </comment>
    <comment authorId="0" ref="J53">
      <text>
        <t xml:space="preserve">bổ sung thêm SP, trước đây thiếu
======</t>
      </text>
    </comment>
    <comment authorId="0" ref="J54">
      <text>
        <t xml:space="preserve">bổ sung thêm SP, trước đây thiếu
======</t>
      </text>
    </comment>
    <comment authorId="0" ref="J55">
      <text>
        <t xml:space="preserve">bổ sung thêm SP, trước đây thiếu
======</t>
      </text>
    </comment>
    <comment authorId="0" ref="J56">
      <text>
        <t xml:space="preserve">bổ sung thêm SP, trước đây thiếu
======</t>
      </text>
    </comment>
    <comment authorId="0" ref="R131">
      <text>
        <t xml:space="preserve">sửa tên cctc đề xuất. Tên cũ đang lấy là DA tổng hợp BC tài chính
======</t>
      </text>
    </comment>
    <comment authorId="0" ref="S187">
      <text>
        <t xml:space="preserve">thuộc cctc cha bị sai, trước đang để trong SP cukcuk
======</t>
      </text>
    </comment>
    <comment authorId="0" ref="S188">
      <text>
        <t xml:space="preserve">L1.00.00.00.00.00.07
======</t>
      </text>
    </comment>
    <comment authorId="0" ref="S189">
      <text>
        <t xml:space="preserve">L1.00.00.00.00.00.07
======</t>
      </text>
    </comment>
    <comment authorId="0" ref="H190">
      <text>
        <t xml:space="preserve">mới bổ sung, trước thiếu cơ cấu này
======</t>
      </text>
    </comment>
    <comment authorId="0" ref="S190">
      <text>
        <t xml:space="preserve">bổ sung cơ cấu BGĐ khối SX
======</t>
      </text>
    </comment>
    <comment authorId="0" ref="L225">
      <text>
        <t xml:space="preserve">sửa lại tên nhóm
======</t>
      </text>
    </comment>
    <comment authorId="0" ref="L226">
      <text>
        <t xml:space="preserve">thêm nhóm
======</t>
      </text>
    </comment>
    <comment authorId="0" ref="L227">
      <text>
        <t xml:space="preserve">thêm nhóm
======</t>
      </text>
    </comment>
    <comment authorId="0" ref="H245">
      <text>
        <t xml:space="preserve">sửa lại tên viết đầy đủ (trước đang viết tắt chữ GP
======</t>
      </text>
    </comment>
    <comment authorId="0" ref="R245">
      <text>
        <t xml:space="preserve">sửa lại tên viết đầy đủ (trước đang viết tắt chữ GP
======</t>
      </text>
    </comment>
    <comment authorId="0" ref="H246">
      <text>
        <t xml:space="preserve">thêm để group lại nhóm bán mới của GPBL
======</t>
      </text>
    </comment>
    <comment authorId="0" ref="S247">
      <text>
        <t xml:space="preserve">thay đổi mã cấp cha do bổ sung thêm 1 group cctc 
======</t>
      </text>
    </comment>
    <comment authorId="0" ref="J255">
      <text>
        <t xml:space="preserve">Sửa tên nhóm thành phòng
======</t>
      </text>
    </comment>
    <comment authorId="0" ref="R255">
      <text>
        <t xml:space="preserve">Sửa tên nhóm thành phòng
======</t>
      </text>
    </comment>
    <comment authorId="0" ref="S255">
      <text>
        <t xml:space="preserve">sửa lại mã cấp cha
======</t>
      </text>
    </comment>
    <comment authorId="0" ref="H256">
      <text>
        <t xml:space="preserve">sửa lại thêm dấu cách giữa "- Hồ". Trước đang viết liền "-Hồ
======</t>
      </text>
    </comment>
    <comment authorId="0" ref="R256">
      <text>
        <t xml:space="preserve">sửa lại thêm dấu cách giữa "- Hồ". Trước đang viết liền "-Hồ
======</t>
      </text>
    </comment>
    <comment authorId="0" ref="S256">
      <text>
        <t xml:space="preserve">sửa lại cấp cha
======</t>
      </text>
    </comment>
    <comment authorId="0" ref="H257">
      <text>
        <t xml:space="preserve">sửa lại thêm dấu cách giữa "- Hồ". Trước đang viết liền "-Hồ
======</t>
      </text>
    </comment>
    <comment authorId="0" ref="H258">
      <text>
        <t xml:space="preserve">sửa lại thêm dấu cách giữa "- Hồ". Trước đang viết liền "-Hồ
======</t>
      </text>
    </comment>
    <comment authorId="0" ref="H259">
      <text>
        <t xml:space="preserve">sửa lại thêm dấu cách giữa "- Hồ". Trước đang viết liền "-Hồ
======</t>
      </text>
    </comment>
    <comment authorId="0" ref="H260">
      <text>
        <t xml:space="preserve">sửa lại thêm dấu cách giữa "- Hồ". Trước đang viết liền "-Hồ
======</t>
      </text>
    </comment>
    <comment authorId="0" ref="H261">
      <text>
        <t xml:space="preserve">sửa lại thêm dấu cách giữa "- Hồ". Trước đang viết liền "-Hồ
======</t>
      </text>
    </comment>
    <comment authorId="0" ref="H262">
      <text>
        <t xml:space="preserve">sửa lại thêm dấu cách giữa "- Hồ". Trước đang viết liền "-Hồ
======</t>
      </text>
    </comment>
    <comment authorId="0" ref="H263">
      <text>
        <t xml:space="preserve">sửa lại thêm dấu cách giữa "- Hồ". Trước đang viết liền "-Hồ
======</t>
      </text>
    </comment>
    <comment authorId="0" ref="H264">
      <text>
        <t xml:space="preserve">sửa lại thêm dấu cách giữa "- Hồ". Trước đang viết liền "-Hồ
======</t>
      </text>
    </comment>
    <comment authorId="0" ref="J264">
      <text>
        <t xml:space="preserve">sửa tên Nhóm thành Phòng
======</t>
      </text>
    </comment>
    <comment authorId="0" ref="S265">
      <text>
        <t xml:space="preserve">sửa mã cấp cha
======</t>
      </text>
    </comment>
    <comment authorId="0" ref="H267">
      <text>
        <t xml:space="preserve">viết sai chữ Thuột
======</t>
      </text>
    </comment>
    <comment authorId="0" ref="S267">
      <text>
        <t xml:space="preserve">sửa mã cấp cha
======</t>
      </text>
    </comment>
    <comment authorId="0" ref="S269">
      <text>
        <t xml:space="preserve">sửa mã cấp cha
======</t>
      </text>
    </comment>
    <comment authorId="0" ref="H285">
      <text>
        <t xml:space="preserve">thêm group nhóm để tách bán mới và bán thêm
======</t>
      </text>
    </comment>
    <comment authorId="0" ref="H286">
      <text>
        <t xml:space="preserve">thêm group nhóm để tách bán mới và bán thêm
======</t>
      </text>
    </comment>
    <comment authorId="0" ref="S287">
      <text>
        <t xml:space="preserve">thay đổi mã cấp cha
======</t>
      </text>
    </comment>
    <comment authorId="0" ref="J289">
      <text>
        <t xml:space="preserve">thêm số "0" vào trước
======</t>
      </text>
    </comment>
    <comment authorId="0" ref="R289">
      <text>
        <t xml:space="preserve">Phòng KD bán mới KTDN 01
======</t>
      </text>
    </comment>
    <comment authorId="0" ref="R295">
      <text>
        <t xml:space="preserve">sai tên
======</t>
      </text>
    </comment>
    <comment authorId="0" ref="S295">
      <text>
        <t xml:space="preserve">đổi mã cấp cha
======</t>
      </text>
    </comment>
    <comment authorId="0" ref="J307">
      <text>
        <t xml:space="preserve">thêm mới
======</t>
      </text>
    </comment>
    <comment authorId="0" ref="S309">
      <text>
        <t xml:space="preserve">thay đổi mã đơn vị cấp cha
======</t>
      </text>
    </comment>
    <comment authorId="0" ref="J311">
      <text>
        <t xml:space="preserve">thêm số "0" vào trước
======</t>
      </text>
    </comment>
    <comment authorId="0" ref="R311">
      <text>
        <t xml:space="preserve">thêm số "0" vào trước
======</t>
      </text>
    </comment>
    <comment authorId="0" ref="S318">
      <text>
        <t xml:space="preserve">đổi mã cấp cha
======</t>
      </text>
    </comment>
    <comment authorId="0" ref="J328">
      <text>
        <t xml:space="preserve">tạo thành group 2 nhóm gồm phòng 01 và 02
======</t>
      </text>
    </comment>
    <comment authorId="0" ref="J329">
      <text>
        <t xml:space="preserve">tạo thành group 2 nhóm gồm phòng 01 và 02
======</t>
      </text>
    </comment>
    <comment authorId="0" ref="J330">
      <text>
        <t xml:space="preserve">tạo thành group 2 nhóm gồm phòng 01 và 02
======</t>
      </text>
    </comment>
    <comment authorId="0" ref="S332">
      <text>
        <t xml:space="preserve">đổi mã cấp cha
======</t>
      </text>
    </comment>
    <comment authorId="0" ref="S335">
      <text>
        <t xml:space="preserve">sửa mã cấp cha
======</t>
      </text>
    </comment>
    <comment authorId="0" ref="J341">
      <text>
        <t xml:space="preserve">tạo group phòng GPKT
======</t>
      </text>
    </comment>
    <comment authorId="0" ref="S341">
      <text>
        <t xml:space="preserve">sửa mã cấp cha
======</t>
      </text>
    </comment>
    <comment authorId="0" ref="J342">
      <text>
        <t xml:space="preserve">tạo phòng GPKT 01 nằm trong group GPKT
======</t>
      </text>
    </comment>
    <comment authorId="0" ref="S342">
      <text>
        <t xml:space="preserve">sửa mã cấp cha
======</t>
      </text>
    </comment>
    <comment authorId="0" ref="S343">
      <text>
        <t xml:space="preserve">sửa mã cấp cha
======</t>
      </text>
    </comment>
    <comment authorId="0" ref="H349">
      <text>
        <t xml:space="preserve">tạo group phòng GPKT
======</t>
      </text>
    </comment>
    <comment authorId="0" ref="S350">
      <text>
        <t xml:space="preserve">sửa mã cấp cha
======</t>
      </text>
    </comment>
    <comment authorId="0" ref="S351">
      <text>
        <t xml:space="preserve">sửa mã cấp cha
======</t>
      </text>
    </comment>
    <comment authorId="0" ref="J359">
      <text>
        <t xml:space="preserve">viết rõ Kế toán thay cho từ viết tắt KT
======</t>
      </text>
    </comment>
    <comment authorId="0" ref="H369">
      <text>
        <t xml:space="preserve">sửa lại tên viết rõ ra thay vì viết tắt lúc trước
======</t>
      </text>
    </comment>
    <comment authorId="0" ref="H375">
      <text>
        <t xml:space="preserve">viết rõ ra chữ TT thành Trung tâm
======</t>
      </text>
    </comment>
    <comment authorId="0" ref="R375">
      <text>
        <t xml:space="preserve">viết rõ ra chữ TT thành Trung tâm
======</t>
      </text>
    </comment>
    <comment authorId="0" ref="N376">
      <text>
        <t xml:space="preserve">trước đây đang để là HN (01)
======</t>
      </text>
    </comment>
    <comment authorId="0" ref="S378">
      <text>
        <t xml:space="preserve">sửa mã cấp cha
======</t>
      </text>
    </comment>
    <comment authorId="0" ref="S379">
      <text>
        <t xml:space="preserve">sửa mã cấp cha
======</t>
      </text>
    </comment>
    <comment authorId="0" ref="K380">
      <text>
        <t xml:space="preserve">trước đây đang để nhầm mã là 02 (trùng với mã của nhóm KD tại HCM)
======</t>
      </text>
    </comment>
    <comment authorId="0" ref="P380">
      <text>
        <t xml:space="preserve">điều chỉnh lại mã theo mã cấp 3
======</t>
      </text>
    </comment>
    <comment authorId="0" ref="S380">
      <text>
        <t xml:space="preserve">sửa mã cấp cha
======</t>
      </text>
    </comment>
    <comment authorId="0" ref="N382">
      <text>
        <t xml:space="preserve">điều chỉnh lại trụ sở (trước đang để là HAN)
======</t>
      </text>
    </comment>
    <comment authorId="0" ref="N384">
      <text>
        <t xml:space="preserve">thay đổi trước đang để địa điểm là HAN
======</t>
      </text>
    </comment>
    <comment authorId="0" ref="N387">
      <text>
        <t xml:space="preserve">thay đổi trước đang để địa điểm là HAN
======</t>
      </text>
    </comment>
    <comment authorId="0" ref="T389">
      <text>
        <t xml:space="preserve">mapping lai mã cctc hiện tại, trước đang mapping với nhóm MKT ký điện tử
======</t>
      </text>
    </comment>
    <comment authorId="0" ref="H397">
      <text>
        <t xml:space="preserve">sửa chữ vừa =&gt; Vừa
======</t>
      </text>
    </comment>
    <comment authorId="0" ref="J406">
      <text>
        <t xml:space="preserve">thêm phòng
======</t>
      </text>
    </comment>
    <comment authorId="0" ref="J412">
      <text>
        <t xml:space="preserve">thêm phòng
======</t>
      </text>
    </comment>
    <comment authorId="0" ref="J418">
      <text>
        <t xml:space="preserve">thêm phòng
======</t>
      </text>
    </comment>
    <comment authorId="0" ref="J424">
      <text>
        <t xml:space="preserve">thêm phòng
======</t>
      </text>
    </comment>
    <comment authorId="0" ref="J430">
      <text>
        <t xml:space="preserve">thêm phòng
======</t>
      </text>
    </comment>
    <comment authorId="0" ref="R459">
      <text>
        <t xml:space="preserve">sai tên cctc
======</t>
      </text>
    </comment>
    <comment authorId="0" ref="R500">
      <text>
        <t xml:space="preserve">sai tên cctc
======</t>
      </text>
    </comment>
    <comment authorId="0" ref="J513">
      <text>
        <t xml:space="preserve">bổ sung thêm 1 team do cc KD thêm 1 team
======</t>
      </text>
    </comment>
    <comment authorId="0" ref="J514">
      <text>
        <t xml:space="preserve">bổ sung thêm 1 team do cc KD thêm 1 team
======</t>
      </text>
    </comment>
    <comment authorId="0" ref="J515">
      <text>
        <t xml:space="preserve">bổ sung thêm 1 team do cc KD thêm 1 team
======</t>
      </text>
    </comment>
    <comment authorId="0" ref="J516">
      <text>
        <t xml:space="preserve">bổ sung thêm 1 team do cc KD thêm 1 team
======</t>
      </text>
    </comment>
    <comment authorId="0" ref="J517">
      <text>
        <t xml:space="preserve">bổ sung thêm 1 team do cc KD thêm 1 team
======</t>
      </text>
    </comment>
    <comment authorId="0" ref="J518">
      <text>
        <t xml:space="preserve">bổ sung thêm 1 team do cc KD thêm 1 team
======</t>
      </text>
    </comment>
    <comment authorId="0" ref="J519">
      <text>
        <t xml:space="preserve">bổ sung thêm 1 team do cc KD thêm 1 team
======</t>
      </text>
    </comment>
    <comment authorId="0" ref="H521">
      <text>
        <t xml:space="preserve">viết rõ chữ GP thành giải pháp
======</t>
      </text>
    </comment>
    <comment authorId="0" ref="R521">
      <text>
        <t xml:space="preserve">viết rõ chữ GP thành giải pháp
======</t>
      </text>
    </comment>
    <comment authorId="0" ref="J522">
      <text>
        <t xml:space="preserve">viết rõ chữ GP thành giải pháp
======</t>
      </text>
    </comment>
    <comment authorId="0" ref="R522">
      <text>
        <t xml:space="preserve">viết rõ chữ GP thành giải pháp
======</t>
      </text>
    </comment>
    <comment authorId="0" ref="R524">
      <text>
        <t xml:space="preserve">viết rõ chữ GP thành giải pháp
======</t>
      </text>
    </comment>
    <comment authorId="0" ref="J525">
      <text>
        <t xml:space="preserve">viết rõ chữ GP thành giải pháp
======</t>
      </text>
    </comment>
    <comment authorId="0" ref="R525">
      <text>
        <t xml:space="preserve">viết rõ chữ GP thành giải pháp
======</t>
      </text>
    </comment>
    <comment authorId="0" ref="R527">
      <text>
        <t xml:space="preserve">sai tên
======</t>
      </text>
    </comment>
    <comment authorId="0" ref="J528">
      <text>
        <t xml:space="preserve">viết rõ chữ GP thành giải pháp
======</t>
      </text>
    </comment>
    <comment authorId="0" ref="R528">
      <text>
        <t xml:space="preserve">viết rõ chữ GP thành giải pháp
======</t>
      </text>
    </comment>
    <comment authorId="0" ref="H659">
      <text>
        <t xml:space="preserve">sửa lại chữ Tổng
======</t>
      </text>
    </comment>
    <comment authorId="0" ref="R670">
      <text>
        <t xml:space="preserve">sửa tên cctc
======</t>
      </text>
    </comment>
    <comment authorId="0" ref="T702">
      <text>
        <t xml:space="preserve">mapping được 
======</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L37">
      <text>
        <t xml:space="preserve">bổ sung thêm nhóm
======</t>
      </text>
    </comment>
    <comment authorId="0" ref="L49">
      <text>
        <t xml:space="preserve">ngừng theo dõi
======</t>
      </text>
    </comment>
    <comment authorId="0" ref="L50">
      <text>
        <t xml:space="preserve">ngừng theo dõi
======</t>
      </text>
    </comment>
    <comment authorId="0" ref="J53">
      <text>
        <t xml:space="preserve">bổ sung thêm SP, trước đây thiếu
======</t>
      </text>
    </comment>
    <comment authorId="0" ref="J54">
      <text>
        <t xml:space="preserve">bổ sung thêm SP, trước đây thiếu
======</t>
      </text>
    </comment>
    <comment authorId="0" ref="J55">
      <text>
        <t xml:space="preserve">bổ sung thêm SP, trước đây thiếu
======</t>
      </text>
    </comment>
    <comment authorId="0" ref="J56">
      <text>
        <t xml:space="preserve">bổ sung thêm SP, trước đây thiếu
======</t>
      </text>
    </comment>
    <comment authorId="0" ref="R131">
      <text>
        <t xml:space="preserve">sửa tên cctc đề xuất. Tên cũ đang lấy là DA tổng hợp BC tài chính
======</t>
      </text>
    </comment>
    <comment authorId="0" ref="S187">
      <text>
        <t xml:space="preserve">thuộc cctc cha bị sai, trước đang để trong SP cukcuk
======</t>
      </text>
    </comment>
    <comment authorId="0" ref="S188">
      <text>
        <t xml:space="preserve">L1.00.00.00.00.00.07
======</t>
      </text>
    </comment>
    <comment authorId="0" ref="S189">
      <text>
        <t xml:space="preserve">L1.00.00.00.00.00.07
======</t>
      </text>
    </comment>
    <comment authorId="0" ref="H190">
      <text>
        <t xml:space="preserve">mới bổ sung, trước thiếu cơ cấu này
======</t>
      </text>
    </comment>
    <comment authorId="0" ref="S190">
      <text>
        <t xml:space="preserve">bổ sung cơ cấu BGĐ khối SX
======</t>
      </text>
    </comment>
    <comment authorId="0" ref="L225">
      <text>
        <t xml:space="preserve">sửa lại tên nhóm
======</t>
      </text>
    </comment>
    <comment authorId="0" ref="L226">
      <text>
        <t xml:space="preserve">thêm nhóm
======</t>
      </text>
    </comment>
    <comment authorId="0" ref="L227">
      <text>
        <t xml:space="preserve">thêm nhóm
======</t>
      </text>
    </comment>
    <comment authorId="0" ref="H245">
      <text>
        <t xml:space="preserve">sửa lại tên viết đầy đủ (trước đang viết tắt chữ GP
======</t>
      </text>
    </comment>
    <comment authorId="0" ref="R245">
      <text>
        <t xml:space="preserve">sửa lại tên viết đầy đủ (trước đang viết tắt chữ GP
======</t>
      </text>
    </comment>
    <comment authorId="0" ref="H246">
      <text>
        <t xml:space="preserve">thêm để group lại nhóm bán mới của GPBL
======</t>
      </text>
    </comment>
    <comment authorId="0" ref="S247">
      <text>
        <t xml:space="preserve">thay đổi mã cấp cha do bổ sung thêm 1 group cctc 
======</t>
      </text>
    </comment>
    <comment authorId="0" ref="J255">
      <text>
        <t xml:space="preserve">Sửa tên nhóm thành phòng
======</t>
      </text>
    </comment>
    <comment authorId="0" ref="R255">
      <text>
        <t xml:space="preserve">Sửa tên nhóm thành phòng
======</t>
      </text>
    </comment>
    <comment authorId="0" ref="S255">
      <text>
        <t xml:space="preserve">sửa lại mã cấp cha
======</t>
      </text>
    </comment>
    <comment authorId="0" ref="R256">
      <text>
        <t xml:space="preserve">sửa lại thêm dấu cách giữa "- Hồ". Trước đang viết liền "-Hồ
======</t>
      </text>
    </comment>
    <comment authorId="0" ref="S256">
      <text>
        <t xml:space="preserve">sửa lại cấp cha
======</t>
      </text>
    </comment>
    <comment authorId="0" ref="H257">
      <text>
        <t xml:space="preserve">sửa lại thêm dấu cách giữa "- Hồ". Trước đang viết liền "-Hồ
======</t>
      </text>
    </comment>
    <comment authorId="0" ref="J264">
      <text>
        <t xml:space="preserve">sửa tên Nhóm thành Phòng
======</t>
      </text>
    </comment>
    <comment authorId="0" ref="S265">
      <text>
        <t xml:space="preserve">sửa mã cấp cha
======</t>
      </text>
    </comment>
    <comment authorId="0" ref="S267">
      <text>
        <t xml:space="preserve">sửa mã cấp cha
======</t>
      </text>
    </comment>
    <comment authorId="0" ref="S269">
      <text>
        <t xml:space="preserve">sửa mã cấp cha
======</t>
      </text>
    </comment>
    <comment authorId="0" ref="H285">
      <text>
        <t xml:space="preserve">thêm group nhóm để tách bán mới và bán thêm
======</t>
      </text>
    </comment>
    <comment authorId="0" ref="H286">
      <text>
        <t xml:space="preserve">thêm group nhóm để tách bán mới và bán thêm
======</t>
      </text>
    </comment>
    <comment authorId="0" ref="S287">
      <text>
        <t xml:space="preserve">thay đổi mã cấp cha
======</t>
      </text>
    </comment>
    <comment authorId="0" ref="J289">
      <text>
        <t xml:space="preserve">thêm số "0" vào trước
======</t>
      </text>
    </comment>
    <comment authorId="0" ref="R289">
      <text>
        <t xml:space="preserve">Phòng KD bán mới KTDN 01
======</t>
      </text>
    </comment>
    <comment authorId="0" ref="R295">
      <text>
        <t xml:space="preserve">sai tên
======</t>
      </text>
    </comment>
    <comment authorId="0" ref="S295">
      <text>
        <t xml:space="preserve">đổi mã cấp cha
======</t>
      </text>
    </comment>
    <comment authorId="0" ref="S308">
      <text>
        <t xml:space="preserve">thay đổi mã đơn vị cấp cha
======</t>
      </text>
    </comment>
    <comment authorId="0" ref="J310">
      <text>
        <t xml:space="preserve">thêm số "0" vào trước
======</t>
      </text>
    </comment>
    <comment authorId="0" ref="R310">
      <text>
        <t xml:space="preserve">thêm số "0" vào trước
======</t>
      </text>
    </comment>
    <comment authorId="0" ref="S317">
      <text>
        <t xml:space="preserve">đổi mã cấp cha
======</t>
      </text>
    </comment>
    <comment authorId="0" ref="J327">
      <text>
        <t xml:space="preserve">tạo thành group 2 nhóm gồm phòng 01 và 02
======</t>
      </text>
    </comment>
    <comment authorId="0" ref="S331">
      <text>
        <t xml:space="preserve">đổi mã cấp cha
======</t>
      </text>
    </comment>
    <comment authorId="0" ref="S334">
      <text>
        <t xml:space="preserve">sửa mã cấp cha
======</t>
      </text>
    </comment>
    <comment authorId="0" ref="J340">
      <text>
        <t xml:space="preserve">tạo group phòng GPKT
======</t>
      </text>
    </comment>
    <comment authorId="0" ref="S340">
      <text>
        <t xml:space="preserve">sửa mã cấp cha
======</t>
      </text>
    </comment>
    <comment authorId="0" ref="J341">
      <text>
        <t xml:space="preserve">tạo phòng GPKT 01 nằm trong group GPKT
======</t>
      </text>
    </comment>
    <comment authorId="0" ref="S341">
      <text>
        <t xml:space="preserve">sửa mã cấp cha
======</t>
      </text>
    </comment>
    <comment authorId="0" ref="S342">
      <text>
        <t xml:space="preserve">sửa mã cấp cha
======</t>
      </text>
    </comment>
    <comment authorId="0" ref="H348">
      <text>
        <t xml:space="preserve">tạo group phòng GPKT
======</t>
      </text>
    </comment>
    <comment authorId="0" ref="S349">
      <text>
        <t xml:space="preserve">sửa mã cấp cha
======</t>
      </text>
    </comment>
    <comment authorId="0" ref="S350">
      <text>
        <t xml:space="preserve">sửa mã cấp cha
======</t>
      </text>
    </comment>
    <comment authorId="0" ref="J358">
      <text>
        <t xml:space="preserve">viết rõ Kế toán thay cho từ viết tắt KT
======</t>
      </text>
    </comment>
    <comment authorId="0" ref="H368">
      <text>
        <t xml:space="preserve">sửa lại tên viết rõ ra thay vì viết tắt lúc trước
======</t>
      </text>
    </comment>
    <comment authorId="0" ref="H374">
      <text>
        <t xml:space="preserve">viết rõ ra chữ TT thành Trung tâm
======</t>
      </text>
    </comment>
    <comment authorId="0" ref="R374">
      <text>
        <t xml:space="preserve">viết rõ ra chữ TT thành Trung tâm
======</t>
      </text>
    </comment>
    <comment authorId="0" ref="N375">
      <text>
        <t xml:space="preserve">trước đây đang để là HN (01)
======</t>
      </text>
    </comment>
    <comment authorId="0" ref="S377">
      <text>
        <t xml:space="preserve">sửa mã cấp cha
======</t>
      </text>
    </comment>
    <comment authorId="0" ref="S378">
      <text>
        <t xml:space="preserve">sửa mã cấp cha
======</t>
      </text>
    </comment>
    <comment authorId="0" ref="K379">
      <text>
        <t xml:space="preserve">trước đây đang để nhầm mã là 02 (trùng với mã của nhóm KD tại HCM)
======</t>
      </text>
    </comment>
    <comment authorId="0" ref="P379">
      <text>
        <t xml:space="preserve">điều chỉnh lại mã theo mã cấp 3
======</t>
      </text>
    </comment>
    <comment authorId="0" ref="S379">
      <text>
        <t xml:space="preserve">sửa mã cấp cha
======</t>
      </text>
    </comment>
    <comment authorId="0" ref="N381">
      <text>
        <t xml:space="preserve">điều chỉnh lại trụ sở (trước đang để là HAN)
======</t>
      </text>
    </comment>
    <comment authorId="0" ref="N383">
      <text>
        <t xml:space="preserve">thay đổi trước đang để địa điểm là HAN
======</t>
      </text>
    </comment>
    <comment authorId="0" ref="N386">
      <text>
        <t xml:space="preserve">thay đổi trước đang để địa điểm là HAN
======</t>
      </text>
    </comment>
    <comment authorId="0" ref="T388">
      <text>
        <t xml:space="preserve">mapping lai mã cctc hiện tại, trước đang mapping với nhóm MKT ký điện tử
======</t>
      </text>
    </comment>
    <comment authorId="0" ref="H396">
      <text>
        <t xml:space="preserve">sửa chữ vừa =&gt; Vừa
======</t>
      </text>
    </comment>
    <comment authorId="0" ref="J405">
      <text>
        <t xml:space="preserve">thêm phòng
======</t>
      </text>
    </comment>
    <comment authorId="0" ref="J411">
      <text>
        <t xml:space="preserve">thêm phòng
======</t>
      </text>
    </comment>
    <comment authorId="0" ref="J417">
      <text>
        <t xml:space="preserve">thêm phòng
======</t>
      </text>
    </comment>
    <comment authorId="0" ref="J423">
      <text>
        <t xml:space="preserve">thêm phòng
======</t>
      </text>
    </comment>
    <comment authorId="0" ref="J429">
      <text>
        <t xml:space="preserve">thêm phòng
======</t>
      </text>
    </comment>
    <comment authorId="0" ref="R458">
      <text>
        <t xml:space="preserve">sai tên cctc
======</t>
      </text>
    </comment>
    <comment authorId="0" ref="R499">
      <text>
        <t xml:space="preserve">sai tên cctc
======</t>
      </text>
    </comment>
    <comment authorId="0" ref="J512">
      <text>
        <t xml:space="preserve">bổ sung thêm 1 team do cc KD thêm 1 team
======</t>
      </text>
    </comment>
    <comment authorId="0" ref="J513">
      <text>
        <t xml:space="preserve">bổ sung thêm 1 team do cc KD thêm 1 team
======</t>
      </text>
    </comment>
    <comment authorId="0" ref="J514">
      <text>
        <t xml:space="preserve">bổ sung thêm 1 team do cc KD thêm 1 team
======</t>
      </text>
    </comment>
    <comment authorId="0" ref="J515">
      <text>
        <t xml:space="preserve">bổ sung thêm 1 team do cc KD thêm 1 team
======</t>
      </text>
    </comment>
    <comment authorId="0" ref="J516">
      <text>
        <t xml:space="preserve">bổ sung thêm 1 team do cc KD thêm 1 team
======</t>
      </text>
    </comment>
    <comment authorId="0" ref="J517">
      <text>
        <t xml:space="preserve">bổ sung thêm 1 team do cc KD thêm 1 team
======</t>
      </text>
    </comment>
    <comment authorId="0" ref="J518">
      <text>
        <t xml:space="preserve">bổ sung thêm 1 team do cc KD thêm 1 team
======</t>
      </text>
    </comment>
    <comment authorId="0" ref="H520">
      <text>
        <t xml:space="preserve">viết rõ chữ GP thành giải pháp
======</t>
      </text>
    </comment>
    <comment authorId="0" ref="R520">
      <text>
        <t xml:space="preserve">viết rõ chữ GP thành giải pháp
======</t>
      </text>
    </comment>
    <comment authorId="0" ref="J521">
      <text>
        <t xml:space="preserve">viết rõ chữ GP thành giải pháp
======</t>
      </text>
    </comment>
    <comment authorId="0" ref="R521">
      <text>
        <t xml:space="preserve">viết rõ chữ GP thành giải pháp
======</t>
      </text>
    </comment>
    <comment authorId="0" ref="R523">
      <text>
        <t xml:space="preserve">viết rõ chữ GP thành giải pháp
======</t>
      </text>
    </comment>
    <comment authorId="0" ref="J524">
      <text>
        <t xml:space="preserve">viết rõ chữ GP thành giải pháp
======</t>
      </text>
    </comment>
    <comment authorId="0" ref="R524">
      <text>
        <t xml:space="preserve">viết rõ chữ GP thành giải pháp
======</t>
      </text>
    </comment>
    <comment authorId="0" ref="R526">
      <text>
        <t xml:space="preserve">sai tên
======</t>
      </text>
    </comment>
    <comment authorId="0" ref="J527">
      <text>
        <t xml:space="preserve">viết rõ chữ GP thành giải pháp
======</t>
      </text>
    </comment>
    <comment authorId="0" ref="R527">
      <text>
        <t xml:space="preserve">viết rõ chữ GP thành giải pháp
======</t>
      </text>
    </comment>
    <comment authorId="0" ref="H654">
      <text>
        <t xml:space="preserve">sửa lại chữ Tổng
======</t>
      </text>
    </comment>
    <comment authorId="0" ref="T697">
      <text>
        <t xml:space="preserve">mapping được 
======</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J182">
      <text>
        <t xml:space="preserve">có cần group nhóm KD không
======</t>
      </text>
    </comment>
    <comment authorId="0" ref="J199">
      <text>
        <t xml:space="preserve">có cần group nhóm triển khai ko
======</t>
      </text>
    </comment>
    <comment authorId="0" ref="J200">
      <text>
        <t xml:space="preserve">có cần group nhóm triển khai ko
======</t>
      </text>
    </comment>
    <comment authorId="0" ref="L201">
      <text>
        <t xml:space="preserve">cập nhật tên nhóm theo cctc mới
======</t>
      </text>
    </comment>
    <comment authorId="0" ref="L345">
      <text>
        <t xml:space="preserve">ko mapping được vì ko có cơ cấu tách theo địa bàn
======</t>
      </text>
    </comment>
    <comment authorId="0" ref="L349">
      <text>
        <t xml:space="preserve">ko mapping được với cctc cũ vì chia thanhf2 nhóm Ký ĐT và Hóa đơn
======</t>
      </text>
    </comment>
    <comment authorId="0" ref="L357">
      <text>
        <t xml:space="preserve">ko mapping được do trước đây phòng KD phân theo từng SP, hiện tại bán gộp
======</t>
      </text>
    </comment>
    <comment authorId="0" ref="H413">
      <text>
        <t xml:space="preserve">ko mapping được do trước đây chưa tách riêng 2 phòng
======</t>
      </text>
    </comment>
    <comment authorId="0" ref="S416">
      <text>
        <t xml:space="preserve">T5 thuyên chuyển về cctc ASP
======</t>
      </text>
    </comment>
    <comment authorId="0" ref="H439">
      <text>
        <t xml:space="preserve">chờ TV gửi lại sắp xếp 
======</t>
      </text>
    </comment>
    <comment authorId="0" ref="J503">
      <text>
        <t xml:space="preserve">Phòng mới nên ko mapping được
======</t>
      </text>
    </comment>
    <comment authorId="0" ref="N515">
      <text>
        <t xml:space="preserve">check lại địa điểm
======</t>
      </text>
    </comment>
  </commentList>
</comments>
</file>

<file path=xl/sharedStrings.xml><?xml version="1.0" encoding="utf-8"?>
<sst xmlns="http://schemas.openxmlformats.org/spreadsheetml/2006/main" count="113635" uniqueCount="13101">
  <si>
    <t>CƠ CẤU MÃ CƠ CẤU TỔ CHỨC MISA 2024</t>
  </si>
  <si>
    <t>ORGANIZATION ID 2024</t>
  </si>
  <si>
    <t>P</t>
  </si>
  <si>
    <t>NGUYÊN TẮC LẬP MÃ</t>
  </si>
  <si>
    <t>-</t>
  </si>
  <si>
    <t/>
  </si>
  <si>
    <t>BẢNG 1: DANH MỤC CCTC</t>
  </si>
  <si>
    <t>BẢNG 2: DANH MỤC ĐỊA ĐIỂM</t>
  </si>
  <si>
    <t>Mã Khối</t>
  </si>
  <si>
    <t>Tên Khối</t>
  </si>
  <si>
    <t>Mã Thị trường</t>
  </si>
  <si>
    <t>Tên thị trường</t>
  </si>
  <si>
    <t>Mã Khối KD</t>
  </si>
  <si>
    <t>Tên Khối KD</t>
  </si>
  <si>
    <t>Mã cấp 1</t>
  </si>
  <si>
    <t>Tên cấp 1</t>
  </si>
  <si>
    <t>Mã cấp 2</t>
  </si>
  <si>
    <t>Tên cấp 2</t>
  </si>
  <si>
    <t>Mã cấp 3</t>
  </si>
  <si>
    <t>Tên cấp 3</t>
  </si>
  <si>
    <t>Mã địa điểm</t>
  </si>
  <si>
    <t>Tên địa điểm</t>
  </si>
  <si>
    <t>L00</t>
  </si>
  <si>
    <t>CTCP MISA</t>
  </si>
  <si>
    <t>Tổng cộng</t>
  </si>
  <si>
    <t>L01</t>
  </si>
  <si>
    <t>KSX</t>
  </si>
  <si>
    <t>00</t>
  </si>
  <si>
    <t>Khối thị trường khách hàng cá nhân</t>
  </si>
  <si>
    <t>01</t>
  </si>
  <si>
    <t>Sản phẩm…</t>
  </si>
  <si>
    <t>Văn phòng sản xuất</t>
  </si>
  <si>
    <t>Ban Giám đốc Văn phòng</t>
  </si>
  <si>
    <t>02</t>
  </si>
  <si>
    <t>Phòng HCTH</t>
  </si>
  <si>
    <t>03</t>
  </si>
  <si>
    <t>Phòng Quan hệ cộng đồng</t>
  </si>
  <si>
    <t>04</t>
  </si>
  <si>
    <t>Phòng Quản trị nguồn nhân lực</t>
  </si>
  <si>
    <t>Phòng Đảm bảo chất lượng</t>
  </si>
  <si>
    <t>Phòng Quản trị hệ thống</t>
  </si>
  <si>
    <t>Phòng Hỗ trợ kỹ thuật</t>
  </si>
  <si>
    <t>05</t>
  </si>
  <si>
    <t>Ban Phát triển đối tác</t>
  </si>
  <si>
    <t>06</t>
  </si>
  <si>
    <t>Ban Nghiên cứu Thị trường &amp; Sản phẩm</t>
  </si>
  <si>
    <t>07</t>
  </si>
  <si>
    <t>Ban Công nghệ thông tin</t>
  </si>
  <si>
    <t>Ban giám đốc - Ban CNTT</t>
  </si>
  <si>
    <t>08</t>
  </si>
  <si>
    <t>Ban An Ninh thông tin</t>
  </si>
  <si>
    <t>09</t>
  </si>
  <si>
    <t>Viện Công nghệ</t>
  </si>
  <si>
    <t>Ban Giám đốc Viện</t>
  </si>
  <si>
    <t>Phòng Nghiên cứu công nghệ</t>
  </si>
  <si>
    <t>10</t>
  </si>
  <si>
    <t>Khối SP Doanh nghiệp</t>
  </si>
  <si>
    <t>Ban Giám đốc Khối SP DN</t>
  </si>
  <si>
    <t>Sản phẩm MISA meInvoice - Xăng dầu</t>
  </si>
  <si>
    <t>[meInvoice - Xăng dầu] Nhóm Phân tích &amp; Thiết kế</t>
  </si>
  <si>
    <t>Dự án MISA meInvoice - Xăng dầu</t>
  </si>
  <si>
    <t>11</t>
  </si>
  <si>
    <t>Khối SP Hành chính sự nghiệp</t>
  </si>
  <si>
    <t>Ban Giám đốc Khối SP HCSN</t>
  </si>
  <si>
    <t>12</t>
  </si>
  <si>
    <t>Khối SP Bán lẻ</t>
  </si>
  <si>
    <t>Ban giám đốc Khối SP Bán lẻ</t>
  </si>
  <si>
    <t>13</t>
  </si>
  <si>
    <t>Khối NT Giáo dục</t>
  </si>
  <si>
    <t>14</t>
  </si>
  <si>
    <t>Khối NT Kế toán dịch vụ</t>
  </si>
  <si>
    <t>15</t>
  </si>
  <si>
    <t>Khối NT Thị trường nước ngoài</t>
  </si>
  <si>
    <t>99</t>
  </si>
  <si>
    <t>JETPAY</t>
  </si>
  <si>
    <t>Phòng Phát triển sản phẩm</t>
  </si>
  <si>
    <t>L02</t>
  </si>
  <si>
    <t>KD</t>
  </si>
  <si>
    <t>HCSN</t>
  </si>
  <si>
    <t>Phòng KD HCSN</t>
  </si>
  <si>
    <t>Ban giám đốc KD</t>
  </si>
  <si>
    <t>Nhóm KD HCSN</t>
  </si>
  <si>
    <t>Nhóm Triển khai &amp; CSKH</t>
  </si>
  <si>
    <t>Trung tâm KD HCSN</t>
  </si>
  <si>
    <t>Ban giám đốc TT KD HCSN</t>
  </si>
  <si>
    <t>Ban giám đốc TT KD HDCSN</t>
  </si>
  <si>
    <t>Phòng Triển khai &amp; CSKH</t>
  </si>
  <si>
    <t>Nhóm triển khai &amp; CSKH sản phẩm tài chính</t>
  </si>
  <si>
    <t>Nhóm triển khai &amp; CSKH sản phẩm điều hành</t>
  </si>
  <si>
    <t>DN</t>
  </si>
  <si>
    <t>Khối GPBL</t>
  </si>
  <si>
    <t>Ban giám đốc khối GP Bán lẻ</t>
  </si>
  <si>
    <t>Phòng KD GP bán lẻ</t>
  </si>
  <si>
    <t>Trung tâm KD Giải pháp bán lẻ</t>
  </si>
  <si>
    <t>Ban giám đốc TTKD GP Bán lẻ</t>
  </si>
  <si>
    <t>PKD bán mới MISA CUKCUK</t>
  </si>
  <si>
    <t>PKD bán mới MISA CUKCUK 01</t>
  </si>
  <si>
    <t>PKD bán mới MISA CUKCUK 02</t>
  </si>
  <si>
    <t>PKD bán mới MISA ESHOP</t>
  </si>
  <si>
    <t>PKD bán mới MISA ESHOP 01</t>
  </si>
  <si>
    <t>PKD bán mới MISA ESHOP 02</t>
  </si>
  <si>
    <t>Phòng chuyển giao</t>
  </si>
  <si>
    <t>Phòng KD bán thêm GP bán lẻ</t>
  </si>
  <si>
    <t>Phòng KD mạng lưới GP bán lẻ</t>
  </si>
  <si>
    <t>Nhóm MKT Bán lẻ</t>
  </si>
  <si>
    <t>Nhóm MKT Sản phẩm CUKCUK</t>
  </si>
  <si>
    <t>Nhóm MKT Sản phẩm ESHOP</t>
  </si>
  <si>
    <t>Khối Nhỏ</t>
  </si>
  <si>
    <t>Ban giám đốc Khối DN Nhỏ</t>
  </si>
  <si>
    <t>Phòng KD bán mới GPKT</t>
  </si>
  <si>
    <t>Phòng KD bán mới GPKT 01</t>
  </si>
  <si>
    <t>Phòng KD bán mới GPKT 02</t>
  </si>
  <si>
    <t>Trung tâm KD giải pháp KTDN</t>
  </si>
  <si>
    <t>Ban giám đốc TTKD GP KTDN</t>
  </si>
  <si>
    <t>Phòng KD bán mới KT</t>
  </si>
  <si>
    <t>Phòng KD Bán thêm</t>
  </si>
  <si>
    <t>Ban giám đốc Phòng KD bán thêm</t>
  </si>
  <si>
    <t>Nhóm KD Bán thêm GP KTDN</t>
  </si>
  <si>
    <t>Nhóm KD Bán thêm GP HDDT</t>
  </si>
  <si>
    <t>Nhóm KD Bán thêm chuyển đổi KTDN</t>
  </si>
  <si>
    <t>Nhóm KD Bán thêm GP ký điện tử</t>
  </si>
  <si>
    <t>TT kinh doanh bán thêm</t>
  </si>
  <si>
    <t>Ban giám đốc TTKD Bán thêm</t>
  </si>
  <si>
    <t>Phòng bán thêm GP KTDN</t>
  </si>
  <si>
    <t>Phòng bán thêm GP KTDN 01</t>
  </si>
  <si>
    <t>Phòng bán thêm GP KTDN 02</t>
  </si>
  <si>
    <t>Phòng bán thêm GP HDDT</t>
  </si>
  <si>
    <t>Phòng bán thêm GP HDDT 01</t>
  </si>
  <si>
    <t>Phòng bán thêm GP HDDT 02</t>
  </si>
  <si>
    <t>Phòng KD chuyển đổi GPKT</t>
  </si>
  <si>
    <t>Phòng bán thêm GP Ký điện tử</t>
  </si>
  <si>
    <t>Phòng KD meInvoice dự án</t>
  </si>
  <si>
    <t>Trung tâm chuyển giao</t>
  </si>
  <si>
    <t>Ban giám đốc TT chuyển giao</t>
  </si>
  <si>
    <t>Phòng chuyển giao GP KT</t>
  </si>
  <si>
    <t>Nhóm chuyển giao GP KT 01</t>
  </si>
  <si>
    <t>Nhóm chuyển giao GP KT 02</t>
  </si>
  <si>
    <t>Phòng chuyển giao GP HDDT-KS</t>
  </si>
  <si>
    <t>Phòng KD Phát triển mạng lưới</t>
  </si>
  <si>
    <t xml:space="preserve">TTKD Online </t>
  </si>
  <si>
    <t>Ban GĐ TTKD Online</t>
  </si>
  <si>
    <t>P.KD Sản phẩm kế toán</t>
  </si>
  <si>
    <t>Nhóm KD Sản phẩm kế toán</t>
  </si>
  <si>
    <t>Nhóm Marketing SP Kế toán</t>
  </si>
  <si>
    <t>P.KD Sản phẩm hóa đơn</t>
  </si>
  <si>
    <t>Nhóm KD Sản phẩm Hóa đơn, ký điện tử</t>
  </si>
  <si>
    <t>Nhóm Marketing SP Hóa đơn, ký điện tử</t>
  </si>
  <si>
    <t>Nhóm KD Automation sales</t>
  </si>
  <si>
    <t>Nhóm MDR</t>
  </si>
  <si>
    <t>Khối Vừa</t>
  </si>
  <si>
    <t>Ban Giám đốc khối DN Vừa</t>
  </si>
  <si>
    <t>Phòng KD GP DN Vừa</t>
  </si>
  <si>
    <t>Nhóm KD GP DN Vừa</t>
  </si>
  <si>
    <t>Nhóm chuyển giao</t>
  </si>
  <si>
    <t>Trung tâm KD giải pháp DN vừa</t>
  </si>
  <si>
    <t>Ban Giám đốc</t>
  </si>
  <si>
    <t>Phòng KD Bán mới</t>
  </si>
  <si>
    <t>Phòng KD Bán mới 01</t>
  </si>
  <si>
    <t>Phòng KD Bán mới 02</t>
  </si>
  <si>
    <t>Phòng KD Bán thêm 01</t>
  </si>
  <si>
    <t>Phòng KD Bán thêm 02</t>
  </si>
  <si>
    <t>Nhóm MKT sản phẩm Quản trị doanh nghiệp</t>
  </si>
  <si>
    <t>Nhóm MKT sản phẩm bán hàng</t>
  </si>
  <si>
    <t>Nhóm MKT sản phẩm nhân sự</t>
  </si>
  <si>
    <t>Nhóm MKT sản phẩm VPS</t>
  </si>
  <si>
    <t>Khối Lớn</t>
  </si>
  <si>
    <t>Ban Giám đốc khối DN Lớn</t>
  </si>
  <si>
    <t>Phòng KD GP DN lớn</t>
  </si>
  <si>
    <t>Phòng Tư vấn giải pháp</t>
  </si>
  <si>
    <t>Phòng triển khai</t>
  </si>
  <si>
    <t>Khối KTDV</t>
  </si>
  <si>
    <t>Ban Giám đốc khối KTDV</t>
  </si>
  <si>
    <t>Phòng phát triển đối tác MISA ASP</t>
  </si>
  <si>
    <t>Phòng chăm sóc đối tác MISA ASP</t>
  </si>
  <si>
    <t>Phòng phát triển đối tác GPKT HKD</t>
  </si>
  <si>
    <t>Nhóm Marketing</t>
  </si>
  <si>
    <t>Khối GD Tư thục</t>
  </si>
  <si>
    <t>Ban Giám đốc khối GD Tư thục</t>
  </si>
  <si>
    <t>Phòng phát triển đối tác</t>
  </si>
  <si>
    <t>Toàn cầu</t>
  </si>
  <si>
    <t>Ban Giám đốc khối thị trường toàn cầu</t>
  </si>
  <si>
    <t>Phòng phát triển đối tác PDR</t>
  </si>
  <si>
    <t>Phòng triển khai ONB</t>
  </si>
  <si>
    <t>Nhóm Marketing Support</t>
  </si>
  <si>
    <t>KH cá nhân</t>
  </si>
  <si>
    <t>Ban Giám đốc khối thị trường KH cá nhân</t>
  </si>
  <si>
    <t>Phòng kinh doanh</t>
  </si>
  <si>
    <t>Phòng kinh doanh &amp; marketing</t>
  </si>
  <si>
    <t>L03</t>
  </si>
  <si>
    <t>HT &amp; CSKH</t>
  </si>
  <si>
    <t>Ban Giám đốc Khối HT &amp; CSKH</t>
  </si>
  <si>
    <t>Phòng hỗ trợ giải pháp TCKT DN</t>
  </si>
  <si>
    <t>Phòng hỗ trợ giải pháp quản trị DN</t>
  </si>
  <si>
    <t>Nhóm hỗ trợ giải pháp Bán hàng</t>
  </si>
  <si>
    <t>Nhóm hỗ trợ giải pháp Nhân sự</t>
  </si>
  <si>
    <t>Nhóm hỗ trợ giải pháp Văn phòng số</t>
  </si>
  <si>
    <t>Phòng hỗ trợ giải pháp Bán lẻ</t>
  </si>
  <si>
    <t>Phòng hỗ trợ khách hàng HCSN</t>
  </si>
  <si>
    <t>Nhóm hỗ trợ giải pháp TCKT HCSN</t>
  </si>
  <si>
    <t>Nhóm hỗ trợ giải pháp điều hành HCSN</t>
  </si>
  <si>
    <t>Phòng hỗ trợ chủ động</t>
  </si>
  <si>
    <t>Phòng CSKH VIP</t>
  </si>
  <si>
    <t>Nhóm CS 01 - KH Gold, Silver</t>
  </si>
  <si>
    <t>Nhóm CS 02 - KH Bronze</t>
  </si>
  <si>
    <t>Nhóm gia hạn</t>
  </si>
  <si>
    <t>L04</t>
  </si>
  <si>
    <t>BO</t>
  </si>
  <si>
    <t>Ban QLKD</t>
  </si>
  <si>
    <t>Ban QLKD - Khối HCSN</t>
  </si>
  <si>
    <t>Ban QLKD - Khối DN</t>
  </si>
  <si>
    <t>Ban Marketing</t>
  </si>
  <si>
    <t>Viện MIBI</t>
  </si>
  <si>
    <t>Ban GĐ Viện</t>
  </si>
  <si>
    <t>Phòng Inbound Marketing</t>
  </si>
  <si>
    <t>Nhóm nội dung TCKT</t>
  </si>
  <si>
    <t>Nhóm nội dung QT bán hàng/MKT</t>
  </si>
  <si>
    <t>Nhóm nội dung QT Nguồn nhân lực</t>
  </si>
  <si>
    <t>Nhóm nội dung QL điều hành DN</t>
  </si>
  <si>
    <t>Nhóm nội dung QL bán lẻ</t>
  </si>
  <si>
    <t>Ban hợp tác đào tạo</t>
  </si>
  <si>
    <t>Hội đồng quản trị</t>
  </si>
  <si>
    <t>Ban điều hành</t>
  </si>
  <si>
    <t>Ban GĐ VP</t>
  </si>
  <si>
    <t>Ban giám đốc truyền thông</t>
  </si>
  <si>
    <t>Phòng PR</t>
  </si>
  <si>
    <t>Ban tài chính</t>
  </si>
  <si>
    <t>Phòng kế toán</t>
  </si>
  <si>
    <t>Phòng kế hoạch đầu tư</t>
  </si>
  <si>
    <t>Ban nhân sự</t>
  </si>
  <si>
    <t>Ban pháp chế</t>
  </si>
  <si>
    <t>Ban quản lý chứng thư số</t>
  </si>
  <si>
    <t>Ban đảm bảo chất lượng</t>
  </si>
  <si>
    <t>Phòng Giám sát vận hành</t>
  </si>
  <si>
    <t>DANH SÁCH HỒ SƠ NHÂN VIÊN</t>
  </si>
  <si>
    <t>Đơn vị: Tất cả đơn vị - Gom theo: Không gom</t>
  </si>
  <si>
    <t>STT</t>
  </si>
  <si>
    <t>Mã nhân viên</t>
  </si>
  <si>
    <t>Họ và tên</t>
  </si>
  <si>
    <t>Vị trí công việc</t>
  </si>
  <si>
    <t>Đơn vị công tác</t>
  </si>
  <si>
    <t>Ngày thử việc</t>
  </si>
  <si>
    <t>Ngày chính thức</t>
  </si>
  <si>
    <t>Đơn vị công tác cấp 1</t>
  </si>
  <si>
    <t>Đơn vị công tác cấp 2</t>
  </si>
  <si>
    <t>Đơn vị công tác cấp 3</t>
  </si>
  <si>
    <t>Mã đơn vị công tác</t>
  </si>
  <si>
    <t>Mã vị trí công việc</t>
  </si>
  <si>
    <t>Email cơ quan</t>
  </si>
  <si>
    <t>Giới tính</t>
  </si>
  <si>
    <t>Cấp</t>
  </si>
  <si>
    <t>Bậc</t>
  </si>
  <si>
    <t>Tính chất lao động</t>
  </si>
  <si>
    <t>Ngày sinh</t>
  </si>
  <si>
    <t>Chuyên ngành</t>
  </si>
  <si>
    <t>Nơi đào tạo</t>
  </si>
  <si>
    <t>Địa điểm làm việc</t>
  </si>
  <si>
    <t>Đơn vị công tác cấp 4</t>
  </si>
  <si>
    <t>Đơn vị công tác cấp 5</t>
  </si>
  <si>
    <t>D-1219</t>
  </si>
  <si>
    <t>Nguyễn Thị Hương Ly</t>
  </si>
  <si>
    <t>NV Tư vấn bán hàng</t>
  </si>
  <si>
    <t>Phòng Bán thêm GP Ký điện tử</t>
  </si>
  <si>
    <t>Văn phòng MISA Tp Hồ Chí Minh</t>
  </si>
  <si>
    <t>Trung tâm KD bán thêm</t>
  </si>
  <si>
    <t>L05.33.07</t>
  </si>
  <si>
    <t>KD_BANTHEM_BT-WSES_AE</t>
  </si>
  <si>
    <t>nthly@hcm.misa.com.vn</t>
  </si>
  <si>
    <t>Nữ</t>
  </si>
  <si>
    <t>Thử việc</t>
  </si>
  <si>
    <t>Kế Toán - Kiểm Toán</t>
  </si>
  <si>
    <t>Đại Học Quốc Gia Hà Nội</t>
  </si>
  <si>
    <t>Tòa nhà MISA, Lô 5, CVPM Quang Trung – Số 49, Tô Ký, Phường Tân Chánh Hiệp, Quận 12, TP. Hồ Chí Minh</t>
  </si>
  <si>
    <t>D-1216</t>
  </si>
  <si>
    <t>Trần Mỹ Hạnh</t>
  </si>
  <si>
    <t>Phòng KD MISA AMIS kế toán 2</t>
  </si>
  <si>
    <t>Trung tâm KD Giải pháp DN vừa</t>
  </si>
  <si>
    <t>L05.30.02</t>
  </si>
  <si>
    <t>MB_NS_AE_ACT</t>
  </si>
  <si>
    <t>tmhanh2@hcm.misa.com.vn</t>
  </si>
  <si>
    <t>Marketing.</t>
  </si>
  <si>
    <t>Đại Học Hoa Sen</t>
  </si>
  <si>
    <t>D-1215</t>
  </si>
  <si>
    <t>Lương Thị Thanh An</t>
  </si>
  <si>
    <t>Phòng KD MISA AMIS kế toán 1</t>
  </si>
  <si>
    <t>L05.30.01</t>
  </si>
  <si>
    <t>lttan1@hcm.misa.com.vn</t>
  </si>
  <si>
    <t>Quản Trị Kinh Doanh</t>
  </si>
  <si>
    <t>Đại Học Công Thương TPHCM</t>
  </si>
  <si>
    <t>D-1214</t>
  </si>
  <si>
    <t>Bành Ngươn Thùy Nhung</t>
  </si>
  <si>
    <t>bntnhung@hcm.misa.com.vn</t>
  </si>
  <si>
    <t>Marketing Gpa: 3.45/4.0</t>
  </si>
  <si>
    <t>Đại Học Tài Chính - Marketing</t>
  </si>
  <si>
    <t>D-1213</t>
  </si>
  <si>
    <t>Lê Thị Nga</t>
  </si>
  <si>
    <t>Phòng KD MISA AMIS bán hàng 1</t>
  </si>
  <si>
    <t>L05.30.05</t>
  </si>
  <si>
    <t>MB_NS_AE_CRM</t>
  </si>
  <si>
    <t>ltnga3@hcm.misa.com.vn</t>
  </si>
  <si>
    <t>Đại Học Công Nghiệp TPHCM</t>
  </si>
  <si>
    <t>A-0337</t>
  </si>
  <si>
    <t>Trần Thị Nguyệt Ánh</t>
  </si>
  <si>
    <t>Trợ lý C&amp;B</t>
  </si>
  <si>
    <t>Văn phòng Tổng công ty</t>
  </si>
  <si>
    <t>L03.25</t>
  </si>
  <si>
    <t>BO_HR_CBA</t>
  </si>
  <si>
    <t>ttnanh@misa.com.vn</t>
  </si>
  <si>
    <t>Chính thức</t>
  </si>
  <si>
    <t>Luật Kinh tế</t>
  </si>
  <si>
    <t>Đại học Luật Hà Nội</t>
  </si>
  <si>
    <t>Tầng 9 tòa nhà Technosoft, ngõ 15 Duy Tân, Q.Cầu giấy, Hà Nội</t>
  </si>
  <si>
    <t>D-0693</t>
  </si>
  <si>
    <t>Nguyễn Phương Uyên</t>
  </si>
  <si>
    <t>NV Xúc tiến</t>
  </si>
  <si>
    <t>Nhóm KD HCSN 06</t>
  </si>
  <si>
    <t>Trung tâm Kinh doanh Hành chính sự nghiệp</t>
  </si>
  <si>
    <t>Phòng KD HCSN 03</t>
  </si>
  <si>
    <t>L05.03.14.02</t>
  </si>
  <si>
    <t>GOVT_AM</t>
  </si>
  <si>
    <t>npuyen2@hcm.misa.com.vn</t>
  </si>
  <si>
    <t>Quản trị kinh doanh</t>
  </si>
  <si>
    <t>ĐH Ngân Hàng TP. HCM</t>
  </si>
  <si>
    <t>G-0187</t>
  </si>
  <si>
    <t>Phạm Khánh Vy</t>
  </si>
  <si>
    <t>Nhóm KD bán thêm GP hóa đơn điện tử</t>
  </si>
  <si>
    <t>Văn phòng MISA Cần Thơ</t>
  </si>
  <si>
    <t>Phòng KD bán thêm</t>
  </si>
  <si>
    <t>L08.18.03</t>
  </si>
  <si>
    <t>SB_CS_AE_MEI</t>
  </si>
  <si>
    <t>pkvy@cth.misa.com.vn</t>
  </si>
  <si>
    <t>Đại Học Cần Thơ</t>
  </si>
  <si>
    <t>Số 41 Cách Mạng Tháng Tám, P. An Hòa, Q. Ninh Kiều, Tp. Cần Thơ</t>
  </si>
  <si>
    <t>A-0547</t>
  </si>
  <si>
    <t>Nguyễn Thị Huyền</t>
  </si>
  <si>
    <t>NV Digital Marketing</t>
  </si>
  <si>
    <t>Trung tâm KD Online</t>
  </si>
  <si>
    <t>Khối MKT</t>
  </si>
  <si>
    <t>L03.34.07.03</t>
  </si>
  <si>
    <t>BO_MKT_DGT</t>
  </si>
  <si>
    <t>nthuyen15@misa.com.vn</t>
  </si>
  <si>
    <t>truyền thông marketing</t>
  </si>
  <si>
    <t>Đại Học Kinh Tế Quốc Dân</t>
  </si>
  <si>
    <t>Tầng 3 tòa nhà Technosoft, ngõ 15 Duy Tân, Q.Cầu giấy, Hà Nội</t>
  </si>
  <si>
    <t>C-1414</t>
  </si>
  <si>
    <t>Võ Tuệ Giáng Vân</t>
  </si>
  <si>
    <t>HR Tuyển dụng</t>
  </si>
  <si>
    <t>Văn phòng MISA Hà Nội</t>
  </si>
  <si>
    <t>L04.15</t>
  </si>
  <si>
    <t>BO_HR_TA</t>
  </si>
  <si>
    <t>vtgvan@han.misa.com.vn</t>
  </si>
  <si>
    <t>Quản Trị Nhân Lực</t>
  </si>
  <si>
    <t>Đại Học Lao Động - Xã Hội</t>
  </si>
  <si>
    <t>Tòa nhà ngân hàng Công đoàn Việt Nam, số 6, ngõ 82, phố Dịch vọng Hậu, Q.Cầu Giấy, Hà Nội</t>
  </si>
  <si>
    <t>C-1412</t>
  </si>
  <si>
    <t>Vương Thị Bích Duyên</t>
  </si>
  <si>
    <t>Phòng bán thêm GP HĐĐT 01</t>
  </si>
  <si>
    <t>Phòng bán thêm GP HĐĐT</t>
  </si>
  <si>
    <t>L04.33.03.01</t>
  </si>
  <si>
    <t>vtbduyen@han.misa.com.vn</t>
  </si>
  <si>
    <t>hải quan và nghiệp vụ ngoại thương</t>
  </si>
  <si>
    <t>Học Viện Tài Chính</t>
  </si>
  <si>
    <t>Tòa nhà N03T2, Khu Ngoại Giao Đoàn, Phường Xuân Tảo, Quận Bắc Từ Liêm, Hà Nội</t>
  </si>
  <si>
    <t>C-1411</t>
  </si>
  <si>
    <t>Trương Thị Ngọc Ánh</t>
  </si>
  <si>
    <t>NV tư vấn bán hàng</t>
  </si>
  <si>
    <t>Phòng KD bán mới ESHOP 1</t>
  </si>
  <si>
    <t>Khối KD eShop</t>
  </si>
  <si>
    <t>L04.32.02.01</t>
  </si>
  <si>
    <t>SB_NS_AE_ESHOP</t>
  </si>
  <si>
    <t>ttnanh2@han.misa.com.vn</t>
  </si>
  <si>
    <t>Ngôn Ngữ Anh</t>
  </si>
  <si>
    <t>Đại Học Thăng Long</t>
  </si>
  <si>
    <t>C-1410</t>
  </si>
  <si>
    <t>Nguyễn Thị Thoan</t>
  </si>
  <si>
    <t>Phòng KD MISA AMIS điều hành</t>
  </si>
  <si>
    <t>L04.30.03</t>
  </si>
  <si>
    <t>MB_NS_AE_OPS</t>
  </si>
  <si>
    <t>ntthoan@han.misa.com.vn</t>
  </si>
  <si>
    <t>quản trị kinh doanh thương mại</t>
  </si>
  <si>
    <t>C-1409</t>
  </si>
  <si>
    <t>Dương Thị Chín</t>
  </si>
  <si>
    <t>dtchin@han.misa.com.vn</t>
  </si>
  <si>
    <t>Tài Chinh - Ngân Hàng</t>
  </si>
  <si>
    <t>Đại Học Thương Mại</t>
  </si>
  <si>
    <t>C-1408</t>
  </si>
  <si>
    <t>Đỗ Vũ Thu Ngân</t>
  </si>
  <si>
    <t>dvtngan@han.misa.com.vn</t>
  </si>
  <si>
    <t>Đại Học Kinh Tế - Kỹ Thuật Công Nghiệp</t>
  </si>
  <si>
    <t>C-1407</t>
  </si>
  <si>
    <t>Tạ Bích Nhung</t>
  </si>
  <si>
    <t>Phòng KD bán mới KTDN 3</t>
  </si>
  <si>
    <t>L04.29.04</t>
  </si>
  <si>
    <t>SB_NS_AE_ACT</t>
  </si>
  <si>
    <t>tbnhung@han.misa.com.vn</t>
  </si>
  <si>
    <t>Đại Học Phương Đông</t>
  </si>
  <si>
    <t>C-1406</t>
  </si>
  <si>
    <t>Tống Khánh Linh</t>
  </si>
  <si>
    <t>Phòng KD bán mới KTDN 8</t>
  </si>
  <si>
    <t>L04.29.09</t>
  </si>
  <si>
    <t>tklinh2@han.misa.com.vn</t>
  </si>
  <si>
    <t>Quản Trị Marketing</t>
  </si>
  <si>
    <t>C-1405</t>
  </si>
  <si>
    <t>Nguyễn Thị Ngọc Huyền</t>
  </si>
  <si>
    <t>Phòng KD bán mới KTDN 4</t>
  </si>
  <si>
    <t>L04.29.05</t>
  </si>
  <si>
    <t>ntnhuyen@han.misa.com.vn</t>
  </si>
  <si>
    <t>: Tài Chính Ngân Hàng</t>
  </si>
  <si>
    <t>Học Viện Ngân Hàng</t>
  </si>
  <si>
    <t>C-1404</t>
  </si>
  <si>
    <t>Dương Thị Tiến</t>
  </si>
  <si>
    <t>L04.33.07</t>
  </si>
  <si>
    <t>dttien@han.misa.com.vn</t>
  </si>
  <si>
    <t>ngành luật kinh tế</t>
  </si>
  <si>
    <t>C-1403</t>
  </si>
  <si>
    <t>Đỗ Thị Thu</t>
  </si>
  <si>
    <t>dtthu3@han.misa.com.vn</t>
  </si>
  <si>
    <t>Quản Trị Dịch Vụ Di Lịch - Lữ</t>
  </si>
  <si>
    <t>Cao Đẳng Công Nghệ Bách Khoa Hà Nội</t>
  </si>
  <si>
    <t>C-1402</t>
  </si>
  <si>
    <t>Lê Thị Thu Trang</t>
  </si>
  <si>
    <t>ltttrang@han.misa.com.vn</t>
  </si>
  <si>
    <t>Quản Lý Kinh Tế</t>
  </si>
  <si>
    <t>C-1401</t>
  </si>
  <si>
    <t>Đậu Thị Liên</t>
  </si>
  <si>
    <t>L04.30.02</t>
  </si>
  <si>
    <t>dtlien@han.misa.com.vn</t>
  </si>
  <si>
    <t>ngành kinh doanh quốc tế</t>
  </si>
  <si>
    <t>Đại Học Ngoại Thương</t>
  </si>
  <si>
    <t>C-1400</t>
  </si>
  <si>
    <t>Phạm Như Phượng</t>
  </si>
  <si>
    <t>L04.33.02.02</t>
  </si>
  <si>
    <t>SB_CS_AE_ACT</t>
  </si>
  <si>
    <t>pnphuong2@han.misa.com.vn</t>
  </si>
  <si>
    <t>Quản lý kinh tế</t>
  </si>
  <si>
    <t>C-1399</t>
  </si>
  <si>
    <t>Nguyễn Thị Quỳnh</t>
  </si>
  <si>
    <t>Phòng KD MISA AMIS nhân sự</t>
  </si>
  <si>
    <t>L04.30.04</t>
  </si>
  <si>
    <t>MB_NS_AE_HRM</t>
  </si>
  <si>
    <t>ntquynh8@han.misa.com.vn</t>
  </si>
  <si>
    <t>Marketing &amp;Sales</t>
  </si>
  <si>
    <t>Cao Đẳng FPT Polytechnic</t>
  </si>
  <si>
    <t>C-1398</t>
  </si>
  <si>
    <t>Nguyễn Phương Anh</t>
  </si>
  <si>
    <t>npanh2@han.misa.com.vn</t>
  </si>
  <si>
    <t>Kinh tế luật</t>
  </si>
  <si>
    <t>C-1397</t>
  </si>
  <si>
    <t>Nguyễn Thị Hoài</t>
  </si>
  <si>
    <t>nthoai4@han.misa.com.vn</t>
  </si>
  <si>
    <t>Quản trị lữ hành</t>
  </si>
  <si>
    <t>B-0994</t>
  </si>
  <si>
    <t>Đỗ Thị Ngoan</t>
  </si>
  <si>
    <t>NV phân tích nghiệp vụ</t>
  </si>
  <si>
    <t>Khối sản xuất</t>
  </si>
  <si>
    <t>Khối sản phẩm Doanh nghiệp</t>
  </si>
  <si>
    <t>L01.28..25.02</t>
  </si>
  <si>
    <t>SDC_BA</t>
  </si>
  <si>
    <t>dtngoan@software.misa.com.vn</t>
  </si>
  <si>
    <t>Kiểm toán</t>
  </si>
  <si>
    <t>Học viện Ngân hàng</t>
  </si>
  <si>
    <t>Tòa N03-T6, Khu Ngoại Giao đoàn, Phường Xuân Tảo, Quận Bắc Từ Liêm, Hà Nội (Tầng 3)</t>
  </si>
  <si>
    <t>B06-0485</t>
  </si>
  <si>
    <t>Nguyễn Đức Anh</t>
  </si>
  <si>
    <t>QL thi công</t>
  </si>
  <si>
    <t>L01.28..25.01</t>
  </si>
  <si>
    <t>SDC_EM</t>
  </si>
  <si>
    <t>ndanh1@software.misa.com.vn</t>
  </si>
  <si>
    <t>Nam</t>
  </si>
  <si>
    <t>Công nghệ Phần mềm</t>
  </si>
  <si>
    <t>Học Viện Công Nghệ Bưu Chính Viễn Thông</t>
  </si>
  <si>
    <t>B-0737</t>
  </si>
  <si>
    <t>Phạm Ngọc Thuận</t>
  </si>
  <si>
    <t>Lập trình viên</t>
  </si>
  <si>
    <t>Dự án AMIS Platform Core</t>
  </si>
  <si>
    <t>Sản phẩm AMIS Platform Core</t>
  </si>
  <si>
    <t>L01.28.24.01</t>
  </si>
  <si>
    <t>SDC_SWE_WEB</t>
  </si>
  <si>
    <t>pnthuan@software.misa.com.vn</t>
  </si>
  <si>
    <t>Mạng máy tính</t>
  </si>
  <si>
    <t>Đại học Công Nghệ - Đại học Quốc gia Hà Nội</t>
  </si>
  <si>
    <t>Tòa N03-T1, Khu Ngoại Giao đoàn, Phường Xuân Tảo, Quận Bắc Từ Liêm, Hà Nội (Tầng lửng, 2, 4)</t>
  </si>
  <si>
    <t>B-1051</t>
  </si>
  <si>
    <t>Đỗ Thị Thu Thủy</t>
  </si>
  <si>
    <t>[AMIS Platform Core] Nhóm Phân tích &amp; Thiết kế</t>
  </si>
  <si>
    <t>L01.28.24.02</t>
  </si>
  <si>
    <t>dtthuy3@software.misa.com.vn</t>
  </si>
  <si>
    <t>Kinh tế và kinh doanh quốc tế</t>
  </si>
  <si>
    <t>B-0823</t>
  </si>
  <si>
    <t>Đỗ Văn Hải</t>
  </si>
  <si>
    <t>dvhai@software.misa.com.vn</t>
  </si>
  <si>
    <t>Khoa học Máy tính</t>
  </si>
  <si>
    <t>Đại học Giao thông vận tải</t>
  </si>
  <si>
    <t>B06-0317</t>
  </si>
  <si>
    <t>Nguyễn Đức Quảng</t>
  </si>
  <si>
    <t>ndquang@software.misa.com.vn</t>
  </si>
  <si>
    <t>Điện tử - Viễn thông</t>
  </si>
  <si>
    <t>Đại học Bách Khoa Hà Nội</t>
  </si>
  <si>
    <t>B06-0438</t>
  </si>
  <si>
    <t>Đặng Văn Nam</t>
  </si>
  <si>
    <t>Trưởng nhóm lập trình</t>
  </si>
  <si>
    <t>SDC_SWEL</t>
  </si>
  <si>
    <t>dvnam1@software.misa.com.vn</t>
  </si>
  <si>
    <t>Hệ thống Thông tin</t>
  </si>
  <si>
    <t>Đại học Công Nghiệp Hà Nội</t>
  </si>
  <si>
    <t>C-1424</t>
  </si>
  <si>
    <t>Nguyễn Thảo Chi</t>
  </si>
  <si>
    <t>NV chuyển giao</t>
  </si>
  <si>
    <t>L04.30.06</t>
  </si>
  <si>
    <t>MB_ONB</t>
  </si>
  <si>
    <t>ntchi@han.misa.com.vn</t>
  </si>
  <si>
    <t>Kinh tế quốc tế</t>
  </si>
  <si>
    <t>ĐH Ngoại Thương – Cơ sở 1 - Hà Nội</t>
  </si>
  <si>
    <t>C-1423</t>
  </si>
  <si>
    <t>Đào Thúy Vy</t>
  </si>
  <si>
    <t>dtvy3@han.misa.com.vn</t>
  </si>
  <si>
    <t>Hệ thống thông tin quản lý</t>
  </si>
  <si>
    <t>Học viện Ngân Hàng, Hà Nội</t>
  </si>
  <si>
    <t>C-1422</t>
  </si>
  <si>
    <t>Phạm Minh Trang</t>
  </si>
  <si>
    <t>L04.30.01</t>
  </si>
  <si>
    <t>pmtrang1@han.misa.com.vn</t>
  </si>
  <si>
    <t>Kế Toán.</t>
  </si>
  <si>
    <t>Đại Học Kinh Tế Kỹ Thuật Công Nghiệp Hà Nội</t>
  </si>
  <si>
    <t>C-1421</t>
  </si>
  <si>
    <t>Lê Xuân Bách</t>
  </si>
  <si>
    <t>lxbach1@han.misa.com.vn</t>
  </si>
  <si>
    <t>Marketing</t>
  </si>
  <si>
    <t>Đại Học Thủy Lợi</t>
  </si>
  <si>
    <t>C-1420</t>
  </si>
  <si>
    <t>Phạm Hồng Mỵ</t>
  </si>
  <si>
    <t>phmy1@han.misa.com.vn</t>
  </si>
  <si>
    <t>Kế toán</t>
  </si>
  <si>
    <t>Đại Học Hà Nội</t>
  </si>
  <si>
    <t>C-1419</t>
  </si>
  <si>
    <t>Nguyễn Thị Ngọc Diệp</t>
  </si>
  <si>
    <t>L04.33.02.01</t>
  </si>
  <si>
    <t>ntndiep@han.misa.com.vn</t>
  </si>
  <si>
    <t>Quản trị kinh doanh quốc tế</t>
  </si>
  <si>
    <t>C-1418</t>
  </si>
  <si>
    <t>Dương Thị Thu Thảo</t>
  </si>
  <si>
    <t>Phòng bán thêm GP HĐĐT 03</t>
  </si>
  <si>
    <t>L04.33.03.03</t>
  </si>
  <si>
    <t>dttthao1@han.misa.com.vn</t>
  </si>
  <si>
    <t>Kế Toán</t>
  </si>
  <si>
    <t>Cao Đẳng Cộng Đồng Hà Nội</t>
  </si>
  <si>
    <t>C-1417</t>
  </si>
  <si>
    <t>Nguyễn Thị Hằng</t>
  </si>
  <si>
    <t>Phòng bán thêm GP HĐĐT 02</t>
  </si>
  <si>
    <t>L04.33.03.02</t>
  </si>
  <si>
    <t>nthang9@han.misa.com.vn</t>
  </si>
  <si>
    <t>Kinh tế và quản lý nguồn lực tài chính</t>
  </si>
  <si>
    <t>B-1419</t>
  </si>
  <si>
    <t>Nguyễn Thị Liên</t>
  </si>
  <si>
    <t>NV kiểm soát chất lượng</t>
  </si>
  <si>
    <t>Dự án EMIS Mầm non</t>
  </si>
  <si>
    <t>Khối Nền tảng Giáo dục</t>
  </si>
  <si>
    <t>Sản phẩm MISA EMIS</t>
  </si>
  <si>
    <t>L01.33.02.03</t>
  </si>
  <si>
    <t>SDC_QC</t>
  </si>
  <si>
    <t>ntlien4@software.misa.com.vn</t>
  </si>
  <si>
    <t>Công nghệ thông tin</t>
  </si>
  <si>
    <t>Đại Học Tài Nguyên Và Môi Trường Hà Nội</t>
  </si>
  <si>
    <t>B-1418</t>
  </si>
  <si>
    <t>Nguyễn Ngọc Minh Hằng</t>
  </si>
  <si>
    <t>Giám đốc sản phẩm</t>
  </si>
  <si>
    <t>[eShop TTVN] Nhóm Phân tích &amp; Thiết kế</t>
  </si>
  <si>
    <t>Khối sản phẩm Hộ cá thể</t>
  </si>
  <si>
    <t>Sản phẩm eShop (TTVN)</t>
  </si>
  <si>
    <t>L01.30.03.03</t>
  </si>
  <si>
    <t>SDC_PM</t>
  </si>
  <si>
    <t>nnmhang@software.misa.com.vn</t>
  </si>
  <si>
    <t>Tài chính - ngân hàng</t>
  </si>
  <si>
    <t>H-0304</t>
  </si>
  <si>
    <t>Đỗ Thị Thủy</t>
  </si>
  <si>
    <t>NV Tư vấn</t>
  </si>
  <si>
    <t>Nhóm Tư vấn MISA 09</t>
  </si>
  <si>
    <t>Trung tâm Tư vấn &amp; Hỗ trợ khách hàng</t>
  </si>
  <si>
    <t>Phòng Tư vấn MISA 03</t>
  </si>
  <si>
    <t>L02.13.03</t>
  </si>
  <si>
    <t>BO_CCS_NV</t>
  </si>
  <si>
    <t>dtthuy2@support.misa.com.vn</t>
  </si>
  <si>
    <t>Nghỉ thai sản</t>
  </si>
  <si>
    <t>Đại học Công nghệ Giao thông vận tải</t>
  </si>
  <si>
    <t>Tầng 4, Tòa nhà ANNA, công viên phần mềm Quang Trung, Phường Tân Chánh Hiệp, Quận 12, Tp HCM</t>
  </si>
  <si>
    <t>B-1416</t>
  </si>
  <si>
    <t>Ngô Hoàng Trường Sơn</t>
  </si>
  <si>
    <t>NV An ninh thông tin</t>
  </si>
  <si>
    <t>Ban An ninh thông tin</t>
  </si>
  <si>
    <t>L01.18</t>
  </si>
  <si>
    <t>SDC_IS</t>
  </si>
  <si>
    <t>nhtson@software.misa.com.vn</t>
  </si>
  <si>
    <t>An toàn thông tin</t>
  </si>
  <si>
    <t>Học viện Bưu Chính Viễn Thông</t>
  </si>
  <si>
    <t>B-1417</t>
  </si>
  <si>
    <t>Đặng Bình An</t>
  </si>
  <si>
    <t>dban@software.misa.com.vn</t>
  </si>
  <si>
    <t>Đại học FPT Hà Nội</t>
  </si>
  <si>
    <t>A04-0016</t>
  </si>
  <si>
    <t>Nguyễn Thanh Huyền</t>
  </si>
  <si>
    <t>Giám đốc Truyền thông</t>
  </si>
  <si>
    <t>L03.05.01</t>
  </si>
  <si>
    <t>BOM_PR_CCO</t>
  </si>
  <si>
    <t>nthuyen@misa.com.vn</t>
  </si>
  <si>
    <t>Trường Đại học Nam Columbia</t>
  </si>
  <si>
    <t>B-1190</t>
  </si>
  <si>
    <t>Nguyễn Thế Hiệp</t>
  </si>
  <si>
    <t>Dự án MISA SalaGov</t>
  </si>
  <si>
    <t>Khối sản phẩm Hành chính sự nghiệp</t>
  </si>
  <si>
    <t>Sản phẩm MISA SalaGov</t>
  </si>
  <si>
    <t>L01.29.12.01</t>
  </si>
  <si>
    <t>nthiep@software.misa.com.vn</t>
  </si>
  <si>
    <t>ứng dụng phần mềm</t>
  </si>
  <si>
    <t>Trường Cao đẳng FPT Polytechnic</t>
  </si>
  <si>
    <t>B-1420</t>
  </si>
  <si>
    <t>Đào Phương Thủy</t>
  </si>
  <si>
    <t>NV thiết kế</t>
  </si>
  <si>
    <t>[EMIS Ngoài công lập] Nhóm Phân tích và Thiết kế</t>
  </si>
  <si>
    <t>L01.33.02.05</t>
  </si>
  <si>
    <t>SDC_PD</t>
  </si>
  <si>
    <t>dpthuy2@software.misa.com.vn</t>
  </si>
  <si>
    <t>C11-0013</t>
  </si>
  <si>
    <t>Nguyễn Thị Hồng Hiền</t>
  </si>
  <si>
    <t>NV Hỗ trợ kỹ thuật</t>
  </si>
  <si>
    <t>L01.24</t>
  </si>
  <si>
    <t>SDC_TSP</t>
  </si>
  <si>
    <t>nhhien@software.misa.com.vn</t>
  </si>
  <si>
    <t>Kế toán doanh nghiệp</t>
  </si>
  <si>
    <t>Đại Học Công Nghiệp Hà Nội</t>
  </si>
  <si>
    <t>H-0292</t>
  </si>
  <si>
    <t>Lương Thị Ngọc Bích</t>
  </si>
  <si>
    <t>lnbich@software.misa.com.vn</t>
  </si>
  <si>
    <t>Kinh tế</t>
  </si>
  <si>
    <t>Trường Đại học Kinh tế Quốc Dân</t>
  </si>
  <si>
    <t>Tầng 2, Tòa nhà Hanoi Group, 442 Phố Đội Cấn, Quận Ba Đình, Thành Phố Hà Nội</t>
  </si>
  <si>
    <t>B-1415</t>
  </si>
  <si>
    <t>Nguyễn Thị Nhung</t>
  </si>
  <si>
    <t>NV nghiên cứu và phát triển công nghệ</t>
  </si>
  <si>
    <t>Dự án AI</t>
  </si>
  <si>
    <t>Phòng nghiên cứu công nghệ</t>
  </si>
  <si>
    <t>L01.35.02.02</t>
  </si>
  <si>
    <t>SDC_RD</t>
  </si>
  <si>
    <t>ntnhung@rd.misa.com.vn</t>
  </si>
  <si>
    <t>Đại Học Bách Khoa Hà Nội</t>
  </si>
  <si>
    <t>Tòa nhà Technosoft, số 8, ngõ 15 Duy Tân, Dịch Vọng Hậu, Cầu Giấy, Hà Nội (Tầng 3, 8)</t>
  </si>
  <si>
    <t>B-1414</t>
  </si>
  <si>
    <t>ntnhuyen1@software.misa.com.vn</t>
  </si>
  <si>
    <t>C-0929</t>
  </si>
  <si>
    <t>Hồ Đặng Anh Thư</t>
  </si>
  <si>
    <t>NV Chuyển giao</t>
  </si>
  <si>
    <t>Nhóm chuyển giao giải pháp KTDN</t>
  </si>
  <si>
    <t>L04.35.01</t>
  </si>
  <si>
    <t>SB_ONB_ACT</t>
  </si>
  <si>
    <t>hathu@han.misa.com.vn</t>
  </si>
  <si>
    <t>Kế Toán Doanh Nghiêp</t>
  </si>
  <si>
    <t>ĐH Mỏ Địa Chất - Hà Nội</t>
  </si>
  <si>
    <t>C-0926</t>
  </si>
  <si>
    <t>Phùng Thị Thanh Thuý</t>
  </si>
  <si>
    <t>ptthuy7@han.misa.com.vn</t>
  </si>
  <si>
    <t>Đại Học Kinh Tế Kỹ Thuật Công Nghiệp</t>
  </si>
  <si>
    <t>C-0830</t>
  </si>
  <si>
    <t>Chu Thị Minh Trang</t>
  </si>
  <si>
    <t>Nhóm chuyển giao giải pháp hóa đơn điện tử</t>
  </si>
  <si>
    <t>L04.35.02</t>
  </si>
  <si>
    <t>SB_ONB_MEI</t>
  </si>
  <si>
    <t>cmtrang@han.misa.com.vn</t>
  </si>
  <si>
    <t>Đại học Công Đoàn</t>
  </si>
  <si>
    <t>C-0831</t>
  </si>
  <si>
    <t>Phạm Trọng Thể</t>
  </si>
  <si>
    <t>ptthe@han.misa.com.vn</t>
  </si>
  <si>
    <t>C26-0147</t>
  </si>
  <si>
    <t>Phạm Thị Quỳnh</t>
  </si>
  <si>
    <t>ptquynh@han.misa.com.vn</t>
  </si>
  <si>
    <t>Đại học Mỏ Địa Chất</t>
  </si>
  <si>
    <t>C26-0100</t>
  </si>
  <si>
    <t>Hoàng Thị Giang</t>
  </si>
  <si>
    <t>htgiang@han.misa.com.vn</t>
  </si>
  <si>
    <t>Quản trị doanh nghiệp</t>
  </si>
  <si>
    <t>ĐH Kinh tế quốc dân</t>
  </si>
  <si>
    <t>C26-0052</t>
  </si>
  <si>
    <t>Đào Thị Bích Hạnh</t>
  </si>
  <si>
    <t>dbhanh@han.misa.com.vn</t>
  </si>
  <si>
    <t>Tài chính ngân hàng</t>
  </si>
  <si>
    <t>Đại học Kinh doanh và Công nghệ Hà Nội</t>
  </si>
  <si>
    <t>C-1281</t>
  </si>
  <si>
    <t>Nguyễn Hải Yến</t>
  </si>
  <si>
    <t>nhyen4@han.misa.com.vn</t>
  </si>
  <si>
    <t>Học viện Tài chính</t>
  </si>
  <si>
    <t>C-1273</t>
  </si>
  <si>
    <t>Nguyễn Thị Lê Vi</t>
  </si>
  <si>
    <t>nlvi@han.misa.com.vn</t>
  </si>
  <si>
    <t>quản lý kinh tế 09</t>
  </si>
  <si>
    <t>trường đại học thương mại</t>
  </si>
  <si>
    <t>C-1180</t>
  </si>
  <si>
    <t>Triệu Quốc Sơn</t>
  </si>
  <si>
    <t>tqson@han.misa.com.vn</t>
  </si>
  <si>
    <t>Quản lý kinh doanh - Tài chính ngân hàng</t>
  </si>
  <si>
    <t>Đại học Công nghiệp Hà Nội</t>
  </si>
  <si>
    <t>C-1155</t>
  </si>
  <si>
    <t>Nguyễn Thị Ngân</t>
  </si>
  <si>
    <t>ntngan2@han.misa.com.vn</t>
  </si>
  <si>
    <t>Tài chính doanh nghiệp</t>
  </si>
  <si>
    <t>Học viện Tài chính (chờ bằng)</t>
  </si>
  <si>
    <t>C-1154</t>
  </si>
  <si>
    <t>Vũ Thị Hồng Diễm</t>
  </si>
  <si>
    <t>vhdiem@han.misa.com.vn</t>
  </si>
  <si>
    <t>ĐH Công Nghiệp Hà Nội</t>
  </si>
  <si>
    <t>C-1070</t>
  </si>
  <si>
    <t>Đinh Thị Ngọc</t>
  </si>
  <si>
    <t>dtngoc2@han.misa.com.vn</t>
  </si>
  <si>
    <t>HV Tài Chính</t>
  </si>
  <si>
    <t>C-1053</t>
  </si>
  <si>
    <t>Nguyễn Thị Tuyết</t>
  </si>
  <si>
    <t>nttuyet2@han.misa.com.vn</t>
  </si>
  <si>
    <t>ĐH Điện Lực</t>
  </si>
  <si>
    <t>C-0928</t>
  </si>
  <si>
    <t>Nguyễn Hương Thảo</t>
  </si>
  <si>
    <t>nhthao@han.misa.com.vn</t>
  </si>
  <si>
    <t>Kế toán - Kiểm toán</t>
  </si>
  <si>
    <t>Đại học Điện Lực</t>
  </si>
  <si>
    <t>C-0927</t>
  </si>
  <si>
    <t>Nguyễn Thanh Hà</t>
  </si>
  <si>
    <t>ntha11@han.misa.com.vn</t>
  </si>
  <si>
    <t>Học viện tài chính</t>
  </si>
  <si>
    <t>C-0925</t>
  </si>
  <si>
    <t>Thân Thị Oanh</t>
  </si>
  <si>
    <t>ttoanh@han.misa.com.vn</t>
  </si>
  <si>
    <t>C-0924</t>
  </si>
  <si>
    <t>Đào Thanh Duyên</t>
  </si>
  <si>
    <t>dtduyen2@han.misa.com.vn</t>
  </si>
  <si>
    <t>Thuế</t>
  </si>
  <si>
    <t>C-0905</t>
  </si>
  <si>
    <t>Vũ Thị Nhi</t>
  </si>
  <si>
    <t>vtnhi@han.misa.com.vn</t>
  </si>
  <si>
    <t>Tin học tài chính kế toán</t>
  </si>
  <si>
    <t>C-0891</t>
  </si>
  <si>
    <t>Vũ Thị Thơm</t>
  </si>
  <si>
    <t>vtthom@han.misa.com.vn</t>
  </si>
  <si>
    <t>Kế toán công</t>
  </si>
  <si>
    <t>C-0876</t>
  </si>
  <si>
    <t>Lê Thị Hồng Đăng</t>
  </si>
  <si>
    <t>lhdang@han.misa.com.vn</t>
  </si>
  <si>
    <t>C09-0532</t>
  </si>
  <si>
    <t>Khuất Doãn Thanh Lam</t>
  </si>
  <si>
    <t>ktlam@han.misa.com.vn</t>
  </si>
  <si>
    <t>Đại học Thương Mại</t>
  </si>
  <si>
    <t>C-0616</t>
  </si>
  <si>
    <t>Nguyễn Thành Nam</t>
  </si>
  <si>
    <t>Phòng KD MEI Dự án</t>
  </si>
  <si>
    <t>L04.33.08</t>
  </si>
  <si>
    <t>KD_BANTHEM_HDDT_MEI.DA_AE</t>
  </si>
  <si>
    <t>ntnam@han.misa.com.vn</t>
  </si>
  <si>
    <t>Kỹ thuật điện tử truyền thông</t>
  </si>
  <si>
    <t>Đại học Giao Thông Vận Tải - Cơ Sở 1</t>
  </si>
  <si>
    <t>C26-0011</t>
  </si>
  <si>
    <t>Nguyễn Thị Lan</t>
  </si>
  <si>
    <t>ntlan3@han.misa.com.vn</t>
  </si>
  <si>
    <t>Đầu tư tài chính</t>
  </si>
  <si>
    <t>Học viện Tài Chính</t>
  </si>
  <si>
    <t>C09-0285</t>
  </si>
  <si>
    <t>Đinh Thị Ngọc Ánh</t>
  </si>
  <si>
    <t>Trưởng nhóm chuyển giao</t>
  </si>
  <si>
    <t>SB_ONBL</t>
  </si>
  <si>
    <t>dnanh2@han.misa.com.vn</t>
  </si>
  <si>
    <t>C09-0432</t>
  </si>
  <si>
    <t>Đỗ Hải Trà My</t>
  </si>
  <si>
    <t>NV Tư vấn bán hàng (chuyển đổi)</t>
  </si>
  <si>
    <t>Phòng KD chuyển đổi 02</t>
  </si>
  <si>
    <t>Phòng KD chuyển đổi GP KTDN</t>
  </si>
  <si>
    <t>L04.33.05.02</t>
  </si>
  <si>
    <t>SB_CS_AE_COV</t>
  </si>
  <si>
    <t>dtmy@han.misa.com.vn</t>
  </si>
  <si>
    <t>C26-0001</t>
  </si>
  <si>
    <t>Bùi Thị Kiều Oanh</t>
  </si>
  <si>
    <t>bkoanh@han.misa.com.vn</t>
  </si>
  <si>
    <t>Kinh tế nguồn lực tài chính</t>
  </si>
  <si>
    <t>C09-0164</t>
  </si>
  <si>
    <t>Phạm Thị Huyền Trang</t>
  </si>
  <si>
    <t>phtrang@han.misa.com.vn</t>
  </si>
  <si>
    <t>Đại học Kinh tế Quốc dân</t>
  </si>
  <si>
    <t>C26-0183</t>
  </si>
  <si>
    <t>Cao Văn Dũng</t>
  </si>
  <si>
    <t>cvdung1@han.misa.com.vn</t>
  </si>
  <si>
    <t>Công nghệ Chế tạo máy</t>
  </si>
  <si>
    <t>C-1294</t>
  </si>
  <si>
    <t>Nguyễn Mạnh Cường</t>
  </si>
  <si>
    <t>nmcuong7@han.misa.com.vn</t>
  </si>
  <si>
    <t>Trường: Đại học Thương Mại</t>
  </si>
  <si>
    <t>C-1260</t>
  </si>
  <si>
    <t>Phạm Thị Hậu Giang</t>
  </si>
  <si>
    <t>phgiang1@han.misa.com.vn</t>
  </si>
  <si>
    <t>C-1248</t>
  </si>
  <si>
    <t>Lê Thị Trang</t>
  </si>
  <si>
    <t>lttrang6@han.misa.com.vn</t>
  </si>
  <si>
    <t>Trường Đại Học Lạc Hồng</t>
  </si>
  <si>
    <t>C-1224</t>
  </si>
  <si>
    <t>Hà Việt Anh</t>
  </si>
  <si>
    <t>hvanh2@han.misa.com.vn</t>
  </si>
  <si>
    <t>ĐH Tài chính - Ngân hàng Hà Nội</t>
  </si>
  <si>
    <t>C-1207</t>
  </si>
  <si>
    <t>Nguyễn Thị Khánh Ly</t>
  </si>
  <si>
    <t>nkly@han.misa.com.vn</t>
  </si>
  <si>
    <t>Học Viện Tài Chính |</t>
  </si>
  <si>
    <t>C-1161</t>
  </si>
  <si>
    <t>nthang10@han.misa.com.vn</t>
  </si>
  <si>
    <t>Tài chính - Ngân hàng</t>
  </si>
  <si>
    <t>C-1122</t>
  </si>
  <si>
    <t>Nguyễn Thị Trang</t>
  </si>
  <si>
    <t>nttrang20@han.misa.com.vn</t>
  </si>
  <si>
    <t>Trường Đại học Thương Mại</t>
  </si>
  <si>
    <t>C-1121</t>
  </si>
  <si>
    <t>Nguyễn Kiều Trang</t>
  </si>
  <si>
    <t>nktrang@han.misa.com.vn</t>
  </si>
  <si>
    <t>Đại học Tài chính - Quản trị kinh doanh</t>
  </si>
  <si>
    <t>C-0988</t>
  </si>
  <si>
    <t>ntquynh7@han.misa.com.vn</t>
  </si>
  <si>
    <t>Quản lý tài chính công</t>
  </si>
  <si>
    <t>C-0892</t>
  </si>
  <si>
    <t>Nguyễn Thị Ngọc</t>
  </si>
  <si>
    <t>ntngoc3@han.misa.com.vn</t>
  </si>
  <si>
    <t>C26-0103</t>
  </si>
  <si>
    <t>Nguyễn Quang Hà</t>
  </si>
  <si>
    <t>nqha@han.misa.com.vn</t>
  </si>
  <si>
    <t>Quản lý nhà nước</t>
  </si>
  <si>
    <t>Đại học Nội vụ</t>
  </si>
  <si>
    <t>C-0742</t>
  </si>
  <si>
    <t>Phạm Quỳnh Anh</t>
  </si>
  <si>
    <t>pqanh3@han.misa.com.vn</t>
  </si>
  <si>
    <t>Công nghệ truyền thông</t>
  </si>
  <si>
    <t>Đại học Công nghệ thông tin và Truyền thông Thái Nguyên</t>
  </si>
  <si>
    <t>C-0727</t>
  </si>
  <si>
    <t>Đỗ Thị Kim Ngân</t>
  </si>
  <si>
    <t>dkngan@han.misa.com.vn</t>
  </si>
  <si>
    <t>C26-0082</t>
  </si>
  <si>
    <t>Vũ Thị Tươi</t>
  </si>
  <si>
    <t>vttuoi1@han.misa.com.vn</t>
  </si>
  <si>
    <t>C26-0131</t>
  </si>
  <si>
    <t>Lê Thị Huyền</t>
  </si>
  <si>
    <t>lthuyen1@han.misa.com.vn</t>
  </si>
  <si>
    <t>kế toán - kiểm toán</t>
  </si>
  <si>
    <t>Đại Học Giao Thông Vận Tải</t>
  </si>
  <si>
    <t>C26-0118</t>
  </si>
  <si>
    <t>Nguyễn Thị Diệu Linh</t>
  </si>
  <si>
    <t>ndlinh3@han.misa.com.vn</t>
  </si>
  <si>
    <t>C26-0140</t>
  </si>
  <si>
    <t>Đặng Tiến Dũng</t>
  </si>
  <si>
    <t>dtdung2@han.misa.com.vn</t>
  </si>
  <si>
    <t>Tài chính - Ngân hàng</t>
  </si>
  <si>
    <t>C26-0044</t>
  </si>
  <si>
    <t>Trịnh Thị Phượng</t>
  </si>
  <si>
    <t>ttphuong@han.misa.com.vn</t>
  </si>
  <si>
    <t>C26-0104</t>
  </si>
  <si>
    <t>Vũ Thị Hồng Hạnh</t>
  </si>
  <si>
    <t>vhhanh@han.misa.com.vn</t>
  </si>
  <si>
    <t>Công Nghệ Kỹ thuật Môi trường</t>
  </si>
  <si>
    <t>Đại học Khoa học Tự nhiên - Đại học Quốc gia Hà Nội</t>
  </si>
  <si>
    <t>C26-0099</t>
  </si>
  <si>
    <t>Nguyễn Thị Hảo</t>
  </si>
  <si>
    <t>nthao1@han.misa.com.vn</t>
  </si>
  <si>
    <t>C09-0582</t>
  </si>
  <si>
    <t>Phạm Thị Kim Anh</t>
  </si>
  <si>
    <t>pkanh@han.misa.com.vn</t>
  </si>
  <si>
    <t>C26-0177</t>
  </si>
  <si>
    <t>Nguyễn Thị Hương</t>
  </si>
  <si>
    <t>nthuong17@han.misa.com.vn</t>
  </si>
  <si>
    <t>Kinh tế nông nghiệp</t>
  </si>
  <si>
    <t>Học viện Nông Nghiệp Việt Nam</t>
  </si>
  <si>
    <t>C-0747</t>
  </si>
  <si>
    <t>Cao Thị Phương</t>
  </si>
  <si>
    <t>ctphuong@han.misa.com.vn</t>
  </si>
  <si>
    <t>Kinh tế kế hoạch</t>
  </si>
  <si>
    <t>Học viện Chính sách và Phát triển</t>
  </si>
  <si>
    <t>C-0711</t>
  </si>
  <si>
    <t>Đào Hiền Trang</t>
  </si>
  <si>
    <t>dhtrang1@han.misa.com.vn</t>
  </si>
  <si>
    <t>Tài chính</t>
  </si>
  <si>
    <t>C09-0458</t>
  </si>
  <si>
    <t>Quản lý kinh doanh (bán thêm)</t>
  </si>
  <si>
    <t>SB_CS_SM_ACT</t>
  </si>
  <si>
    <t>nthuong9@han.misa.com.vn</t>
  </si>
  <si>
    <t>C-0641</t>
  </si>
  <si>
    <t>Ninh Công Phương</t>
  </si>
  <si>
    <t>ncphuong@han.misa.com.vn</t>
  </si>
  <si>
    <t>Đại học Hà Tĩnh</t>
  </si>
  <si>
    <t>C09-0389</t>
  </si>
  <si>
    <t>Phạm Thị Thu Huyền</t>
  </si>
  <si>
    <t>SB_CS_SM_MEI</t>
  </si>
  <si>
    <t>pthuyen2@han.misa.com.vn</t>
  </si>
  <si>
    <t>C-1179</t>
  </si>
  <si>
    <t>Đỗ Thùy Dương</t>
  </si>
  <si>
    <t>Phòng KD GPKT HKD 01</t>
  </si>
  <si>
    <t>L04.32.04</t>
  </si>
  <si>
    <t>KD_HKD_BM_AE</t>
  </si>
  <si>
    <t>dtduong6@han.misa.com.vn</t>
  </si>
  <si>
    <t>Tài chính công</t>
  </si>
  <si>
    <t>Đại Học Đại Học Thương Mại</t>
  </si>
  <si>
    <t>C-1093</t>
  </si>
  <si>
    <t>Nguyễn Thị Thảo My</t>
  </si>
  <si>
    <t>nttmy@han.misa.com.vn</t>
  </si>
  <si>
    <t>Quản trị Doanh nghiệp</t>
  </si>
  <si>
    <t>Trường đại học điện lực</t>
  </si>
  <si>
    <t>C-0992</t>
  </si>
  <si>
    <t>Lưu Thị Xuân</t>
  </si>
  <si>
    <t>Phòng KD bán mới CUKCUK 1</t>
  </si>
  <si>
    <t>Khối KD CUKCUK</t>
  </si>
  <si>
    <t>L04.32.01.01</t>
  </si>
  <si>
    <t>SB_NS_AE_POS</t>
  </si>
  <si>
    <t>ltxuan2@han.misa.com.vn</t>
  </si>
  <si>
    <t>C-0970</t>
  </si>
  <si>
    <t>Nguyễn Thị Hiền</t>
  </si>
  <si>
    <t>nthien14@han.misa.com.vn</t>
  </si>
  <si>
    <t>Quản trị dịch vụ du lịch lữ hành</t>
  </si>
  <si>
    <t>Đại Học Thủ Đô Hà Nội</t>
  </si>
  <si>
    <t>C-0950</t>
  </si>
  <si>
    <t>Nguyễn Thị Thùy Linh</t>
  </si>
  <si>
    <t>Phòng KD bán mới CUKCUK 3</t>
  </si>
  <si>
    <t>L04.32.01.03</t>
  </si>
  <si>
    <t>ntlinh16@han.misa.com.vn</t>
  </si>
  <si>
    <t>Quản Trị Dịch Vụ Du Lịch Và Lữ Hành</t>
  </si>
  <si>
    <t>Đại học văn hóa Hà Nội</t>
  </si>
  <si>
    <t>C-0913</t>
  </si>
  <si>
    <t>Lê Thị Hồng Trang</t>
  </si>
  <si>
    <t>lhtrang1@han.misa.com.vn</t>
  </si>
  <si>
    <t>Kế toán</t>
  </si>
  <si>
    <t>C-0889</t>
  </si>
  <si>
    <t>Hoàng Thị Khánh Vi</t>
  </si>
  <si>
    <t>NV Quản lý khách hàng</t>
  </si>
  <si>
    <t>Nhóm Quản lý khách hàng 2</t>
  </si>
  <si>
    <t>Phòng KD bán thêm 02</t>
  </si>
  <si>
    <t>L04.30.11.01</t>
  </si>
  <si>
    <t>MB_CS_AM</t>
  </si>
  <si>
    <t>hkvi@han.misa.com.vn</t>
  </si>
  <si>
    <t>C-0863</t>
  </si>
  <si>
    <t>Đặng Thế Biên</t>
  </si>
  <si>
    <t>dtbien@han.misa.com.vn</t>
  </si>
  <si>
    <t>Đại học Lao Động Xã Hội</t>
  </si>
  <si>
    <t>C-0847</t>
  </si>
  <si>
    <t>Hoàng Tịnh Hoài</t>
  </si>
  <si>
    <t>hthoai@han.misa.com.vn</t>
  </si>
  <si>
    <t>C-0843</t>
  </si>
  <si>
    <t>Nguyễn Thị Thư</t>
  </si>
  <si>
    <t>ntthu8@han.misa.com.vn</t>
  </si>
  <si>
    <t>C-0791</t>
  </si>
  <si>
    <t>Phạm Thị Nhật Vy</t>
  </si>
  <si>
    <t>Nhóm bán thêm AMIS Nhân sự 2</t>
  </si>
  <si>
    <t>L04.30.11.04</t>
  </si>
  <si>
    <t>MB_CS_AE_HRM</t>
  </si>
  <si>
    <t>pnvy@han.misa.com.vn</t>
  </si>
  <si>
    <t>Đại học Lao Động - Xã Hội</t>
  </si>
  <si>
    <t>C38-0007</t>
  </si>
  <si>
    <t>Đào Thị Ngọc Liên</t>
  </si>
  <si>
    <t>dnlien@han.misa.com.vn</t>
  </si>
  <si>
    <t>Học Viện Nông Nghiệp Việt Nam</t>
  </si>
  <si>
    <t>C-0623</t>
  </si>
  <si>
    <t>Phạm Hoàng Mạnh</t>
  </si>
  <si>
    <t>phmanh@han.misa.com.vn</t>
  </si>
  <si>
    <t>Quản trị kinh doanh tổng hợp</t>
  </si>
  <si>
    <t>C26-0024</t>
  </si>
  <si>
    <t>Đặng Thị Bích Lệ</t>
  </si>
  <si>
    <t>L04.32.05</t>
  </si>
  <si>
    <t>SB_ONB_POS</t>
  </si>
  <si>
    <t>dble@han.misa.com.vn</t>
  </si>
  <si>
    <t>Học viện Công nghệ Bưu chính Viễn thông</t>
  </si>
  <si>
    <t>C20-0101</t>
  </si>
  <si>
    <t>Đỗ Việt Hưng</t>
  </si>
  <si>
    <t>dvhung2@han.misa.com.vn</t>
  </si>
  <si>
    <t>Đại học Công nghiệp Việt Hung</t>
  </si>
  <si>
    <t>C26-0037</t>
  </si>
  <si>
    <t>Nguyễn Trần Đức Anh</t>
  </si>
  <si>
    <t>ndanh@han.misa.com.vn</t>
  </si>
  <si>
    <t>Học Viện Hậu Cần</t>
  </si>
  <si>
    <t>C-0670</t>
  </si>
  <si>
    <t>Nguyễn Đức Thiên</t>
  </si>
  <si>
    <t>Phòng KD bán mới ESHOP 2</t>
  </si>
  <si>
    <t>L04.32.02.02</t>
  </si>
  <si>
    <t>ndthien@han.misa.com.vn</t>
  </si>
  <si>
    <t>Tiếng Anh TCKT</t>
  </si>
  <si>
    <t>C20-0202</t>
  </si>
  <si>
    <t>Ngô Thị Thùy</t>
  </si>
  <si>
    <t>Quản lý kinh doanh</t>
  </si>
  <si>
    <t>SB_NS_SM_ESHOP</t>
  </si>
  <si>
    <t>ntthuy10@han.misa.com.vn</t>
  </si>
  <si>
    <t>Marketing thương mại</t>
  </si>
  <si>
    <t>C-0695</t>
  </si>
  <si>
    <t>Phùng Thị Linh Chi</t>
  </si>
  <si>
    <t>plchi@han.misa.com.vn</t>
  </si>
  <si>
    <t>Trường Đại học Ngoại Thương</t>
  </si>
  <si>
    <t>C20-0133</t>
  </si>
  <si>
    <t>Đỗ Quốc Đạt</t>
  </si>
  <si>
    <t>dqdat@han.misa.com.vn</t>
  </si>
  <si>
    <t>C-0596</t>
  </si>
  <si>
    <t>Vũ Thị Thu Hương</t>
  </si>
  <si>
    <t>vthuong@han.misa.com.vn</t>
  </si>
  <si>
    <t>Cao đẳng Thương mại và Du lịch Hà Nội</t>
  </si>
  <si>
    <t>C-0790</t>
  </si>
  <si>
    <t>Phạm Thị Hương</t>
  </si>
  <si>
    <t>Nhóm bán thêm AMIS bán hàng 2</t>
  </si>
  <si>
    <t>L04.30.11.03</t>
  </si>
  <si>
    <t>MB_CS_AE_CRM</t>
  </si>
  <si>
    <t>pthuong3@han.misa.com.vn</t>
  </si>
  <si>
    <t>Đại học Kinh Tế - Đại học Quốc gia Hà Nội</t>
  </si>
  <si>
    <t>C20-0170</t>
  </si>
  <si>
    <t>Nguyễn Văn Anh</t>
  </si>
  <si>
    <t>nvanh2@han.misa.com.vn</t>
  </si>
  <si>
    <t>Quản lý doanh nghiệp</t>
  </si>
  <si>
    <t>ĐH Tài nguyên môi trường</t>
  </si>
  <si>
    <t>C09-0259</t>
  </si>
  <si>
    <t>Đào Văn Tòng</t>
  </si>
  <si>
    <t>KD_HKD_BM_SM</t>
  </si>
  <si>
    <t>dvtong@han.misa.com.vn</t>
  </si>
  <si>
    <t>C21-0008</t>
  </si>
  <si>
    <t>Phạm Văn Tuấn</t>
  </si>
  <si>
    <t>Trưởng phòng bán thêm</t>
  </si>
  <si>
    <t>Phòng KD bán thêm 03</t>
  </si>
  <si>
    <t>L04.30.12</t>
  </si>
  <si>
    <t>MB_CS_AMM</t>
  </si>
  <si>
    <t>pvtuan@han.misa.com.vn</t>
  </si>
  <si>
    <t>C-1196</t>
  </si>
  <si>
    <t>ntnam1@han.misa.com.vn</t>
  </si>
  <si>
    <t>Công nghệ kỹ thuật điều khiển và tự độCông nghệ kỹ thuật điều khiển và tự động hóang hóa</t>
  </si>
  <si>
    <t>ĐH Thương Mại</t>
  </si>
  <si>
    <t>C-1195</t>
  </si>
  <si>
    <t>Mai Xuân Đạt</t>
  </si>
  <si>
    <t>mxdat@han.misa.com.vn</t>
  </si>
  <si>
    <t>Tài chính Doanh nghiệp</t>
  </si>
  <si>
    <t>C-1194</t>
  </si>
  <si>
    <t>Nguyễn Hoàng Vinh</t>
  </si>
  <si>
    <t>nhvinh@han.misa.com.vn</t>
  </si>
  <si>
    <t>C-1168</t>
  </si>
  <si>
    <t>Đồng Thị Phương Thảo</t>
  </si>
  <si>
    <t>dpthao@han.misa.com.vn</t>
  </si>
  <si>
    <t>Đại Học Ngoại Thương , Chuyên Ngành : Quản Trị</t>
  </si>
  <si>
    <t>C-1166</t>
  </si>
  <si>
    <t>Hắc Huyền Trang</t>
  </si>
  <si>
    <t>L04.30.05</t>
  </si>
  <si>
    <t>hhtrang3@han.misa.com.vn</t>
  </si>
  <si>
    <t>Kinh tế nông nghiệp và phát triển nông thôn</t>
  </si>
  <si>
    <t>C-1148</t>
  </si>
  <si>
    <t>nkly6@han.misa.com.vn</t>
  </si>
  <si>
    <t>C-1145</t>
  </si>
  <si>
    <t>Nguyễn Diệu Hương</t>
  </si>
  <si>
    <t>ndhuong@han.misa.com.vn</t>
  </si>
  <si>
    <t>Kinh doanh quốc tế</t>
  </si>
  <si>
    <t>ĐH Hàng Hải Việt Nam</t>
  </si>
  <si>
    <t>C-1142</t>
  </si>
  <si>
    <t>nttuyet3@han.misa.com.vn</t>
  </si>
  <si>
    <t>International Trade Law</t>
  </si>
  <si>
    <t>Foreign Trade University</t>
  </si>
  <si>
    <t>C-1134</t>
  </si>
  <si>
    <t>Từ Đức Thắng</t>
  </si>
  <si>
    <t>tdthang6@han.misa.com.vn</t>
  </si>
  <si>
    <t>_x0008_Quản trị kinh doanh</t>
  </si>
  <si>
    <t>C-1115</t>
  </si>
  <si>
    <t>Vũ Thị Ngọc Ánh</t>
  </si>
  <si>
    <t>vnanh8@han.misa.com.vn</t>
  </si>
  <si>
    <t>hệ thống thông tin quản lý - chuyên ngành tin học tài chính kế toán</t>
  </si>
  <si>
    <t>C-1067</t>
  </si>
  <si>
    <t>Phạm Phương Thanh</t>
  </si>
  <si>
    <t>ppthanh@han.misa.com.vn</t>
  </si>
  <si>
    <t>Kinh tế phát triển</t>
  </si>
  <si>
    <t>Trường đại học Kinh tế Quốc dân</t>
  </si>
  <si>
    <t>C-1063</t>
  </si>
  <si>
    <t>Bùi Thị Ngọc</t>
  </si>
  <si>
    <t>btngoc@han.misa.com.vn</t>
  </si>
  <si>
    <t>HỌC VIỆN TÀI CHÍNH</t>
  </si>
  <si>
    <t>A-0421</t>
  </si>
  <si>
    <t>Trần Thế Anh</t>
  </si>
  <si>
    <t>Nhóm bán thêm AMIS bán hàng 1</t>
  </si>
  <si>
    <t>Phòng KD bán thêm 01</t>
  </si>
  <si>
    <t>L04.30.10.03</t>
  </si>
  <si>
    <t>MB_CS_AE_AIM</t>
  </si>
  <si>
    <t>ttanh12@han.misa.com.vn</t>
  </si>
  <si>
    <t>Đại Học Kinh Doanh Và Công Nghệ Hà Nội Khoa Kế Toán</t>
  </si>
  <si>
    <t>C-0865</t>
  </si>
  <si>
    <t>Nguyễn Thị Hồng Hoa</t>
  </si>
  <si>
    <t>nhhoa@han.misa.com.vn</t>
  </si>
  <si>
    <t>C-0824</t>
  </si>
  <si>
    <t>Ngô Thị Linh</t>
  </si>
  <si>
    <t>ntlinh12@han.misa.com.vn</t>
  </si>
  <si>
    <t>C-0850</t>
  </si>
  <si>
    <t>Nguyễn Thị Ngọc Diễm</t>
  </si>
  <si>
    <t>nndiem@han.misa.com.vn</t>
  </si>
  <si>
    <t>Đại Học Tài chính- Ngân hàng Hà Nội</t>
  </si>
  <si>
    <t>C-0825</t>
  </si>
  <si>
    <t>Nguyễn Thị Hoài Thu</t>
  </si>
  <si>
    <t>nhthu@han.misa.com.vn</t>
  </si>
  <si>
    <t>Ngân hàng</t>
  </si>
  <si>
    <t>C-0860</t>
  </si>
  <si>
    <t>Nguyễn Thị Bảo Thoa</t>
  </si>
  <si>
    <t>Nhóm Quản lý khách hàng 1</t>
  </si>
  <si>
    <t>L04.30.10.01</t>
  </si>
  <si>
    <t>nbthoa@han.misa.com.vn</t>
  </si>
  <si>
    <t>C-0826</t>
  </si>
  <si>
    <t>ntngoc2@han.misa.com.vn</t>
  </si>
  <si>
    <t>Đại học Nông Nghiệp Hà Nội</t>
  </si>
  <si>
    <t>C-0720</t>
  </si>
  <si>
    <t>Nhóm bán thêm AMIS nhân sự 1</t>
  </si>
  <si>
    <t>L04.30.10.04</t>
  </si>
  <si>
    <t>ntlan4@han.misa.com.vn</t>
  </si>
  <si>
    <t>C-0651</t>
  </si>
  <si>
    <t>Đặng Minh Đức</t>
  </si>
  <si>
    <t>dmduc@han.misa.com.vn</t>
  </si>
  <si>
    <t>C-0687</t>
  </si>
  <si>
    <t>Đinh Thúy Nga</t>
  </si>
  <si>
    <t>dtnga4@han.misa.com.vn</t>
  </si>
  <si>
    <t>Marketing Thương mại</t>
  </si>
  <si>
    <t>C-0664</t>
  </si>
  <si>
    <t>Trần Thị Thu Trang</t>
  </si>
  <si>
    <t>tttrang5@han.misa.com.vn</t>
  </si>
  <si>
    <t>Kinh tế vận tải thủy</t>
  </si>
  <si>
    <t>Đại học Hàng Hải Việt Nam</t>
  </si>
  <si>
    <t>C-0692</t>
  </si>
  <si>
    <t>Trịnh Hoài Xuân</t>
  </si>
  <si>
    <t>Nhóm bán thêm AMIS điều hành 1</t>
  </si>
  <si>
    <t>L04.30.10.05</t>
  </si>
  <si>
    <t>MB_CS_AE_OPS</t>
  </si>
  <si>
    <t>thxuan@han.misa.com.vn</t>
  </si>
  <si>
    <t>Quản trị bán hàng</t>
  </si>
  <si>
    <t>Trường Đại học Kinh tế Quốc dân</t>
  </si>
  <si>
    <t>C-0753</t>
  </si>
  <si>
    <t>Nguyễn Thanh Mai</t>
  </si>
  <si>
    <t>ntmai2@han.misa.com.vn</t>
  </si>
  <si>
    <t>C-0635</t>
  </si>
  <si>
    <t>Trần Hồng Nhung</t>
  </si>
  <si>
    <t>thnhung@han.misa.com.vn</t>
  </si>
  <si>
    <t>C-1132</t>
  </si>
  <si>
    <t>Phạm Khánh Huyền</t>
  </si>
  <si>
    <t>pkhuyen2@han.misa.com.vn</t>
  </si>
  <si>
    <t>Trường đại học Công nghiệp Hà Nội</t>
  </si>
  <si>
    <t>C-1096</t>
  </si>
  <si>
    <t>Nguyễn Thị Vân</t>
  </si>
  <si>
    <t>Phòng KD bán mới KTDN 5</t>
  </si>
  <si>
    <t>L04.29.06</t>
  </si>
  <si>
    <t>ntvan5@han.misa.com.vn</t>
  </si>
  <si>
    <t>Học Viện Tài Chính Hà Nội</t>
  </si>
  <si>
    <t>C-1087</t>
  </si>
  <si>
    <t>Bùi Mỹ Linh</t>
  </si>
  <si>
    <t>bmlinh1@han.misa.com.vn</t>
  </si>
  <si>
    <t>C-1084</t>
  </si>
  <si>
    <t>Phạm Thị Hằng</t>
  </si>
  <si>
    <t>Phòng KD bán mới KTDN 7</t>
  </si>
  <si>
    <t>L04.29.08</t>
  </si>
  <si>
    <t>pthang2@han.misa.com.vn</t>
  </si>
  <si>
    <t>C-1033</t>
  </si>
  <si>
    <t>Phạm Thị Ngọc Ánh</t>
  </si>
  <si>
    <t>pnanh2@han.misa.com.vn</t>
  </si>
  <si>
    <t>Đh Kinh Tế - ĐH Quốc Gia Hà Nội</t>
  </si>
  <si>
    <t>C-0955</t>
  </si>
  <si>
    <t>Nguyễn Thị Thu Hương</t>
  </si>
  <si>
    <t>nthuong21@han.misa.com.vn</t>
  </si>
  <si>
    <t>tài chính- ngân hàng</t>
  </si>
  <si>
    <t>C-0953</t>
  </si>
  <si>
    <t>Phương Thị Ngọc Phương</t>
  </si>
  <si>
    <t>pnphuong1@han.misa.com.vn</t>
  </si>
  <si>
    <t>C-0921</t>
  </si>
  <si>
    <t>Nguyễn Thị Linh</t>
  </si>
  <si>
    <t>ntlinh15@han.misa.com.vn</t>
  </si>
  <si>
    <t>Đại học Mở Hà Nội</t>
  </si>
  <si>
    <t>C-0919</t>
  </si>
  <si>
    <t>Đặng Vũ Hạnh</t>
  </si>
  <si>
    <t>dvhanh@han.misa.com.vn</t>
  </si>
  <si>
    <t>Kinh tế Đầu tư</t>
  </si>
  <si>
    <t>Học Viện Chính Sách Phát Triển</t>
  </si>
  <si>
    <t>C-0904</t>
  </si>
  <si>
    <t>Đỗ Diệu Ái</t>
  </si>
  <si>
    <t>ddai@han.misa.com.vn</t>
  </si>
  <si>
    <t>Kế Toán Doanh Nghiệp</t>
  </si>
  <si>
    <t>C09-0635</t>
  </si>
  <si>
    <t>Nghiêm Thị Nguyệt</t>
  </si>
  <si>
    <t>ntnguyet1@han.misa.com.vn</t>
  </si>
  <si>
    <t>C09-0567</t>
  </si>
  <si>
    <t>Lê Thu Thủy</t>
  </si>
  <si>
    <t>SB_NS_SM_ACT</t>
  </si>
  <si>
    <t>ltthuy2@han.misa.com.vn</t>
  </si>
  <si>
    <t>Kinh tế</t>
  </si>
  <si>
    <t>học viện Nông nghiệp Việt Nam</t>
  </si>
  <si>
    <t>C09-0195</t>
  </si>
  <si>
    <t>Phạm Thị Quyên</t>
  </si>
  <si>
    <t>ptquyen@han.misa.com.vn</t>
  </si>
  <si>
    <t>Đại học Hà Nội</t>
  </si>
  <si>
    <t>C09-0502</t>
  </si>
  <si>
    <t>Vương Thị Ngọc Ánh</t>
  </si>
  <si>
    <t>vnanh2@han.misa.com.vn</t>
  </si>
  <si>
    <t>C-0702</t>
  </si>
  <si>
    <t>Hoàng Thị Huyền</t>
  </si>
  <si>
    <t>hthuyen1@han.misa.com.vn</t>
  </si>
  <si>
    <t>C-0815</t>
  </si>
  <si>
    <t>Tô Thị Thoa</t>
  </si>
  <si>
    <t>ttthoa1@han.misa.com.vn</t>
  </si>
  <si>
    <t>C09-0323</t>
  </si>
  <si>
    <t>Lê Thị Vui</t>
  </si>
  <si>
    <t>ltvui@han.misa.com.vn</t>
  </si>
  <si>
    <t>C09-0094</t>
  </si>
  <si>
    <t>Nguyễn Thị Phương Liên</t>
  </si>
  <si>
    <t>nplien@han.misa.com.vn</t>
  </si>
  <si>
    <t>Kinh tế Thương mại</t>
  </si>
  <si>
    <t>C09-0590</t>
  </si>
  <si>
    <t>vttuoi@han.misa.com.vn</t>
  </si>
  <si>
    <t>Kế toán tổng hợp</t>
  </si>
  <si>
    <t>Đại học Giao Thông Vận Tải</t>
  </si>
  <si>
    <t>C09-0636</t>
  </si>
  <si>
    <t>Quan Trần Hà Mi</t>
  </si>
  <si>
    <t>qhmi@han.misa.com.vn</t>
  </si>
  <si>
    <t>C-1193</t>
  </si>
  <si>
    <t>Nguyễn Đức Long</t>
  </si>
  <si>
    <t>ndlong1@han.misa.com.vn</t>
  </si>
  <si>
    <t>Trường Học Viện Tài Chính</t>
  </si>
  <si>
    <t>C-1164</t>
  </si>
  <si>
    <t>Nguyễn Tiến Huy</t>
  </si>
  <si>
    <t>NV kinh doanh mạng lưới</t>
  </si>
  <si>
    <t>Phòng kinh doanh mạng lưới</t>
  </si>
  <si>
    <t>L04.27</t>
  </si>
  <si>
    <t>SB_NWS_AE</t>
  </si>
  <si>
    <t>nthuy@han.misa.com.vn</t>
  </si>
  <si>
    <t>Bachelors- Đại Học Kinh Tế Quốc Dân</t>
  </si>
  <si>
    <t>C-1094</t>
  </si>
  <si>
    <t>Hoàng Thị Thu Hương</t>
  </si>
  <si>
    <t>hthuong2@han.misa.com.vn</t>
  </si>
  <si>
    <t>C-0168</t>
  </si>
  <si>
    <t>Trần Ngọc Tiến</t>
  </si>
  <si>
    <t>NV triển khai và CSKH</t>
  </si>
  <si>
    <t>Nhóm Triển khai &amp; CSKH 04</t>
  </si>
  <si>
    <t>Phòng Triển khai &amp; CSKH 02</t>
  </si>
  <si>
    <t>L04.03.21.02</t>
  </si>
  <si>
    <t>GOVT_ONB&amp;CSM</t>
  </si>
  <si>
    <t>tntien@han.misa.com.vn</t>
  </si>
  <si>
    <t>ĐH Lao động xã hội</t>
  </si>
  <si>
    <t>C-1055</t>
  </si>
  <si>
    <t>Trịnh Thị Hạnh</t>
  </si>
  <si>
    <t>tthanh3@han.misa.com.vn</t>
  </si>
  <si>
    <t>C-1007</t>
  </si>
  <si>
    <t>Trần Thị Duyên</t>
  </si>
  <si>
    <t>ttduyen@han.misa.com.vn</t>
  </si>
  <si>
    <t>C-0899</t>
  </si>
  <si>
    <t>Ngô Thị Khánh Huyền</t>
  </si>
  <si>
    <t>nkhuyen2@han.misa.com.vn</t>
  </si>
  <si>
    <t>Đại Học K Inh Tế Đại Học Quốc Gia Hà Nội</t>
  </si>
  <si>
    <t>C-0894</t>
  </si>
  <si>
    <t>Trần Anh Dũng</t>
  </si>
  <si>
    <t>tadung@han.misa.com.vn</t>
  </si>
  <si>
    <t>C09-0606</t>
  </si>
  <si>
    <t>Phạm Linh Trang</t>
  </si>
  <si>
    <t>pltrang@han.misa.com.vn</t>
  </si>
  <si>
    <t>Đại học Kinh Tế Kỹ Thuật Công Nghiệp Hà Nội</t>
  </si>
  <si>
    <t>C09-0069</t>
  </si>
  <si>
    <t>Dương Thị Hơn</t>
  </si>
  <si>
    <t>dthon@han.misa.com.vn</t>
  </si>
  <si>
    <t>C10-0064</t>
  </si>
  <si>
    <t>Vũ Thị Tuyên</t>
  </si>
  <si>
    <t>vttuyen@han.misa.com.vn</t>
  </si>
  <si>
    <t>Tài chính kế toán</t>
  </si>
  <si>
    <t>C20-0013</t>
  </si>
  <si>
    <t>Đặng Văn Thành</t>
  </si>
  <si>
    <t>dvthanh@han.misa.com.vn</t>
  </si>
  <si>
    <t>Xây dựng dân dụng</t>
  </si>
  <si>
    <t>Đại học Công nghiệp Thái Nguyên</t>
  </si>
  <si>
    <t>C-0768</t>
  </si>
  <si>
    <t>Lê Thị Thu Hà</t>
  </si>
  <si>
    <t>ltha6@han.misa.com.vn</t>
  </si>
  <si>
    <t>C09-0365</t>
  </si>
  <si>
    <t>Nguyễn Thị Thu</t>
  </si>
  <si>
    <t>Phòng KD bán mới KTDN 1</t>
  </si>
  <si>
    <t>L04.29.02</t>
  </si>
  <si>
    <t>ntthu@han.misa.com.vn</t>
  </si>
  <si>
    <t>C09-0429</t>
  </si>
  <si>
    <t>Hoàng Thị Hằng</t>
  </si>
  <si>
    <t>hthang1@han.misa.com.vn</t>
  </si>
  <si>
    <t>C09-0156</t>
  </si>
  <si>
    <t>dtthu1@han.misa.com.vn</t>
  </si>
  <si>
    <t>Tin học</t>
  </si>
  <si>
    <t>Đại học Sư phạm Hà Nội 2</t>
  </si>
  <si>
    <t>C-0729</t>
  </si>
  <si>
    <t>Phí Thị Thúy</t>
  </si>
  <si>
    <t>ptthuy5@han.misa.com.vn</t>
  </si>
  <si>
    <t>C10-0130</t>
  </si>
  <si>
    <t>Đồng Thị Phương</t>
  </si>
  <si>
    <t>dtphuong@han.misa.com.vn</t>
  </si>
  <si>
    <t>C26-0012</t>
  </si>
  <si>
    <t>Đình Thị Hằng</t>
  </si>
  <si>
    <t>NV Đào tạo sản phẩm</t>
  </si>
  <si>
    <t>SB_NWS_ONB</t>
  </si>
  <si>
    <t>dthang2@han.misa.com.vn</t>
  </si>
  <si>
    <t>Đại học Phương Đông</t>
  </si>
  <si>
    <t>C-0722</t>
  </si>
  <si>
    <t>Lương Thị Hương</t>
  </si>
  <si>
    <t>lthuong4@han.misa.com.vn</t>
  </si>
  <si>
    <t>C09-0395</t>
  </si>
  <si>
    <t>Mai Thị Thảo</t>
  </si>
  <si>
    <t>mtthao@han.misa.com.vn</t>
  </si>
  <si>
    <t>C10-0227</t>
  </si>
  <si>
    <t>Tào Văn Thiện</t>
  </si>
  <si>
    <t>tvthien@han.misa.com.vn</t>
  </si>
  <si>
    <t>Quản trị kinh doanh &amp; kế toán</t>
  </si>
  <si>
    <t>Đại học Lao động - Xã hội</t>
  </si>
  <si>
    <t>C-0732</t>
  </si>
  <si>
    <t>Đinh Thị Phương</t>
  </si>
  <si>
    <t>dtphuong5@han.misa.com.vn</t>
  </si>
  <si>
    <t>C-0706</t>
  </si>
  <si>
    <t>Nguyễn Khánh Huyền</t>
  </si>
  <si>
    <t>nkhuyen@han.misa.com.vn</t>
  </si>
  <si>
    <t>C-0589</t>
  </si>
  <si>
    <t>Vương Thu Hà</t>
  </si>
  <si>
    <t>vtha1@han.misa.com.vn</t>
  </si>
  <si>
    <t>C09-0541</t>
  </si>
  <si>
    <t>Nguyễn Thu Trang</t>
  </si>
  <si>
    <t>nttrang8@han.misa.com.vn</t>
  </si>
  <si>
    <t>Tiếng Anh Tài chính - Kế toán</t>
  </si>
  <si>
    <t>C-0173</t>
  </si>
  <si>
    <t>Lã Nam Anh</t>
  </si>
  <si>
    <t>lnanh3@han.misa.com.vn</t>
  </si>
  <si>
    <t>Luật học</t>
  </si>
  <si>
    <t>Khoa Luật- Đại Học Quốc Gia Hà Nội</t>
  </si>
  <si>
    <t>C-0169</t>
  </si>
  <si>
    <t>Nguyễn Thị Thu Huyền</t>
  </si>
  <si>
    <t>ntthuyen12@han.misa.com.vn</t>
  </si>
  <si>
    <t>luật - đại học quốc gia hà nội</t>
  </si>
  <si>
    <t>C12-0001</t>
  </si>
  <si>
    <t>Đinh Thị Vân</t>
  </si>
  <si>
    <t>Trưởng phòng Triển khai và CSKH</t>
  </si>
  <si>
    <t>L04.03.21</t>
  </si>
  <si>
    <t>GOVT_ONB&amp;CSMM</t>
  </si>
  <si>
    <t>dtvan1@han.misa.com.vn</t>
  </si>
  <si>
    <t>C10-0246</t>
  </si>
  <si>
    <t>Đinh Ngọc Lập</t>
  </si>
  <si>
    <t>Nhóm Triển khai &amp; CSKH 03</t>
  </si>
  <si>
    <t>L04.03.21.01</t>
  </si>
  <si>
    <t>dnlap@han.misa.com.vn</t>
  </si>
  <si>
    <t>Đại học lâm Nghiệp</t>
  </si>
  <si>
    <t>C10-0021</t>
  </si>
  <si>
    <t>Dương Thị Thanh Thủy</t>
  </si>
  <si>
    <t>Trưởng nhóm Triển khai và CSKH</t>
  </si>
  <si>
    <t>GOVT_ONB&amp;CSML</t>
  </si>
  <si>
    <t>dtthuy2@han.misa.com.vn</t>
  </si>
  <si>
    <t>Tài chính nhà nước</t>
  </si>
  <si>
    <t>C10-0157</t>
  </si>
  <si>
    <t>Nông Thị Nhung</t>
  </si>
  <si>
    <t>ntnhung2@han.misa.com.vn</t>
  </si>
  <si>
    <t>Đại học Tài chính - Quản trị Kinh doanh</t>
  </si>
  <si>
    <t>C10-0040</t>
  </si>
  <si>
    <t>Phùng Như Tùng</t>
  </si>
  <si>
    <t>pntung@han.misa.com.vn</t>
  </si>
  <si>
    <t>ĐH Kinh doanh và Công nghệ Hà Nội</t>
  </si>
  <si>
    <t>C10-0257</t>
  </si>
  <si>
    <t>Hoàng Thị Nguyệt</t>
  </si>
  <si>
    <t>htnguyet@han.misa.com.vn</t>
  </si>
  <si>
    <t>C10-0063</t>
  </si>
  <si>
    <t>Dương Thị Quỳnh</t>
  </si>
  <si>
    <t>dtquynh@han.misa.com.vn</t>
  </si>
  <si>
    <t>Cao đẳng Tài chính - Quản trị Kinh doanh</t>
  </si>
  <si>
    <t>C10-0208</t>
  </si>
  <si>
    <t>Nguyễn Thị Mến</t>
  </si>
  <si>
    <t>ntmen@han.misa.com.vn</t>
  </si>
  <si>
    <t>C10-0042</t>
  </si>
  <si>
    <t>Trần Thị Nguyệt</t>
  </si>
  <si>
    <t>ttnguyet@han.misa.com.vn</t>
  </si>
  <si>
    <t>H11-0095</t>
  </si>
  <si>
    <t>Nguyễn Thị Liền</t>
  </si>
  <si>
    <t>ntlien2@han.misa.com.vn</t>
  </si>
  <si>
    <t>C10-0180</t>
  </si>
  <si>
    <t>Đoàn Thị Nga</t>
  </si>
  <si>
    <t>dtnga1@han.misa.com.vn</t>
  </si>
  <si>
    <t>C10-0163</t>
  </si>
  <si>
    <t>Đào Ngọc Thông</t>
  </si>
  <si>
    <t>dnthong@han.misa.com.vn</t>
  </si>
  <si>
    <t>C10-0280</t>
  </si>
  <si>
    <t>Thái Thị Huyền Trang</t>
  </si>
  <si>
    <t>Nhóm Triển khai &amp; CSKH 02</t>
  </si>
  <si>
    <t>Phòng Triển khai &amp; CSKH 01</t>
  </si>
  <si>
    <t>L04.03.20.02</t>
  </si>
  <si>
    <t>thtrang@han.misa.com.vn</t>
  </si>
  <si>
    <t>Quản trị Marketing</t>
  </si>
  <si>
    <t>Học viện Công nghệ Bưu chính Viễn thông (cơ sở phía Bắc)</t>
  </si>
  <si>
    <t>C10-0038</t>
  </si>
  <si>
    <t>Vũ Thị Hoàn</t>
  </si>
  <si>
    <t>vthoan@han.misa.com.vn</t>
  </si>
  <si>
    <t>D10-0155</t>
  </si>
  <si>
    <t>Nguyễn Văn Hưng</t>
  </si>
  <si>
    <t>nvhung@han.misa.com.vn</t>
  </si>
  <si>
    <t>ĐH Nông Lâm TP. HCM</t>
  </si>
  <si>
    <t>C10-0277</t>
  </si>
  <si>
    <t>Phạm Thị Hiền</t>
  </si>
  <si>
    <t>pthien2@han.misa.com.vn</t>
  </si>
  <si>
    <t>C-0602</t>
  </si>
  <si>
    <t>Nguyễn Thị Huyền Trang</t>
  </si>
  <si>
    <t>nhtrang8@han.misa.com.vn</t>
  </si>
  <si>
    <t>C10-0158</t>
  </si>
  <si>
    <t>Bùi Hoàng Nam</t>
  </si>
  <si>
    <t>bhnam@han.misa.com.vn</t>
  </si>
  <si>
    <t>C10-0047</t>
  </si>
  <si>
    <t>Nguyễn Văn Huy</t>
  </si>
  <si>
    <t>nvhuy@han.misa.com.vn</t>
  </si>
  <si>
    <t>C10-0161</t>
  </si>
  <si>
    <t>Lê Thị Nương</t>
  </si>
  <si>
    <t>ltnuong@han.misa.com.vn</t>
  </si>
  <si>
    <t>C-0174</t>
  </si>
  <si>
    <t>Hoàng Minh Đăng</t>
  </si>
  <si>
    <t>Nhóm Triển khai &amp; CSKH 01</t>
  </si>
  <si>
    <t>L04.03.20.01</t>
  </si>
  <si>
    <t>hmdang@han.misa.com.vn</t>
  </si>
  <si>
    <t>Quản trị nhân lực</t>
  </si>
  <si>
    <t>Đại học Kinh tế Quốc dân - NEU</t>
  </si>
  <si>
    <t>C-0170</t>
  </si>
  <si>
    <t>Nguyễn Thị Oanh</t>
  </si>
  <si>
    <t>ntoanh2@han.misa.com.vn</t>
  </si>
  <si>
    <t>KẾ TOÁN TỔNG HỢP</t>
  </si>
  <si>
    <t>Trường Đại học Giao Thông Vận Tỉa Hà Nội</t>
  </si>
  <si>
    <t>C-0167</t>
  </si>
  <si>
    <t>Vũ Đoàn Bình Minh</t>
  </si>
  <si>
    <t>vdbminh@han.misa.com.vn</t>
  </si>
  <si>
    <t>Đại Học Học Viện Tài Chính Khoa Kinh Tế</t>
  </si>
  <si>
    <t>H-0299</t>
  </si>
  <si>
    <t>Nguyễn Hoàng Long</t>
  </si>
  <si>
    <t>nhlong1@han.misa.com.vn</t>
  </si>
  <si>
    <t>ĐẠI HỌC HỌC VIỆN TÀI CHÍNH</t>
  </si>
  <si>
    <t>C-1022</t>
  </si>
  <si>
    <t>Đỗ Thị Ngọc</t>
  </si>
  <si>
    <t>dtngoc@han.misa.com.vn</t>
  </si>
  <si>
    <t>Việt Nam học</t>
  </si>
  <si>
    <t>ĐH Khoa học xã hội và Nhân văn - ĐH QGHN</t>
  </si>
  <si>
    <t>C-1021</t>
  </si>
  <si>
    <t>Hoàng Huy Mạnh</t>
  </si>
  <si>
    <t>hhmanh@han.misa.com.vn</t>
  </si>
  <si>
    <t>Học Viện Cntt Bách Khoa Aptech</t>
  </si>
  <si>
    <t>C-1020</t>
  </si>
  <si>
    <t>nnhuyen@han.misa.com.vn</t>
  </si>
  <si>
    <t>Trường Đại học Lao động - Xã hội</t>
  </si>
  <si>
    <t>C10-0247</t>
  </si>
  <si>
    <t>Trịnh Thị Nhung</t>
  </si>
  <si>
    <t>ttnhung@han.misa.com.vn</t>
  </si>
  <si>
    <t>Đại học Lâm Nghiệp</t>
  </si>
  <si>
    <t>C10-0232</t>
  </si>
  <si>
    <t>Nguyễn Tiến Hiếu</t>
  </si>
  <si>
    <t>nthieu3@han.misa.com.vn</t>
  </si>
  <si>
    <t>Đại học Tài chính - Ngân hàng Hà Nội</t>
  </si>
  <si>
    <t>C10-0205</t>
  </si>
  <si>
    <t>Đàm Việt Đức</t>
  </si>
  <si>
    <t>dvduc@han.misa.com.vn</t>
  </si>
  <si>
    <t>C10-0230</t>
  </si>
  <si>
    <t>Phạm Thị Trang</t>
  </si>
  <si>
    <t>pttrang1@han.misa.com.vn</t>
  </si>
  <si>
    <t>C10-0151</t>
  </si>
  <si>
    <t>Nguyễn Thành Đạt</t>
  </si>
  <si>
    <t>ntdat2@han.misa.com.vn</t>
  </si>
  <si>
    <t>Tài chính - Tiền tệ - Tín dụng</t>
  </si>
  <si>
    <t>C10-0226</t>
  </si>
  <si>
    <t>Trần Văn Quảng</t>
  </si>
  <si>
    <t>tvquang@han.misa.com.vn</t>
  </si>
  <si>
    <t>C10-0253</t>
  </si>
  <si>
    <t>Nguyễn Kim Anh</t>
  </si>
  <si>
    <t>nkanh2@han.misa.com.vn</t>
  </si>
  <si>
    <t>C10-0271</t>
  </si>
  <si>
    <t>Đinh Thị Thúy</t>
  </si>
  <si>
    <t>dtthuy4@han.misa.com.vn</t>
  </si>
  <si>
    <t>C10-0120</t>
  </si>
  <si>
    <t>Trần Quốc Hà</t>
  </si>
  <si>
    <t>tqha@han.misa.com.vn</t>
  </si>
  <si>
    <t>C10-0222</t>
  </si>
  <si>
    <t>Nguyễn Kiều My</t>
  </si>
  <si>
    <t>nkmy@han.misa.com.vn</t>
  </si>
  <si>
    <t>C10-0281</t>
  </si>
  <si>
    <t>Đào Thị Hòe</t>
  </si>
  <si>
    <t>dthoe@han.misa.com.vn</t>
  </si>
  <si>
    <t>ĐẠI HỌC KINH TẾ QUỐC DÂN</t>
  </si>
  <si>
    <t>C10-0285</t>
  </si>
  <si>
    <t>Vũ Thị Ngọc</t>
  </si>
  <si>
    <t>vtngoc@han.misa.com.vn</t>
  </si>
  <si>
    <t>C10-0284</t>
  </si>
  <si>
    <t>Diêm Công Thiện</t>
  </si>
  <si>
    <t>dcthien@han.misa.com.vn</t>
  </si>
  <si>
    <t>Đại Học Tài Chính Quản Trị Kinh Doanh</t>
  </si>
  <si>
    <t>C-0597</t>
  </si>
  <si>
    <t>Bùi Thị Lương</t>
  </si>
  <si>
    <t>btluong@han.misa.com.vn</t>
  </si>
  <si>
    <t>Thương mại quốc tế</t>
  </si>
  <si>
    <t>C10-0035</t>
  </si>
  <si>
    <t>Thái Thanh Tuấn</t>
  </si>
  <si>
    <t>tttuan@han.misa.com.vn</t>
  </si>
  <si>
    <t>ĐH Kinh tế TP. HCM</t>
  </si>
  <si>
    <t>C-0618</t>
  </si>
  <si>
    <t>Đỗ Đình Thắng</t>
  </si>
  <si>
    <t>ddthang@han.misa.com.vn</t>
  </si>
  <si>
    <t>Cao đẳng Công Thương</t>
  </si>
  <si>
    <t>C10-0282</t>
  </si>
  <si>
    <t>Nguyễn Thị Thu Trang</t>
  </si>
  <si>
    <t>nttrang12@han.misa.com.vn</t>
  </si>
  <si>
    <t>C-1270</t>
  </si>
  <si>
    <t>Trần Tùng Lâm</t>
  </si>
  <si>
    <t>Nhóm KD HCSN 04</t>
  </si>
  <si>
    <t>Phòng KD HCSN 02</t>
  </si>
  <si>
    <t>L04.03.17.01</t>
  </si>
  <si>
    <t>ttlam1@han.misa.com.vn</t>
  </si>
  <si>
    <t>Trường Đại Học Fpt Hà Nội</t>
  </si>
  <si>
    <t>C-1269</t>
  </si>
  <si>
    <t>Nhóm KD DA TW</t>
  </si>
  <si>
    <t>Phòng KD HCSN 04</t>
  </si>
  <si>
    <t>L04.03.19.03</t>
  </si>
  <si>
    <t>GOVT_AM_CEN</t>
  </si>
  <si>
    <t>nmcuong1@han.misa.com.vn</t>
  </si>
  <si>
    <t>-quản trị kinh doanh</t>
  </si>
  <si>
    <t>Đại Học Công Nghiệp Hà Nội | Quản Trị</t>
  </si>
  <si>
    <t>C-1268</t>
  </si>
  <si>
    <t>Vũ Thành Quyền</t>
  </si>
  <si>
    <t>Nhóm KD HCSN 07</t>
  </si>
  <si>
    <t>L04.03.18.02</t>
  </si>
  <si>
    <t>vtquyen@han.misa.com.vn</t>
  </si>
  <si>
    <t>Trường Đại Học Thái Bình</t>
  </si>
  <si>
    <t>C-1189</t>
  </si>
  <si>
    <t>Phạm Duy Tùng</t>
  </si>
  <si>
    <t>Nhóm KD HCSN 05</t>
  </si>
  <si>
    <t>L04.03.17.02</t>
  </si>
  <si>
    <t>pdtung@han.misa.com.vn</t>
  </si>
  <si>
    <t>kinh tế công nghiệp</t>
  </si>
  <si>
    <t>* Đại Học Bách Khoa Hà Nội</t>
  </si>
  <si>
    <t>C-1187</t>
  </si>
  <si>
    <t>Bùi Thị Lan</t>
  </si>
  <si>
    <t>btlan@han.misa.com.vn</t>
  </si>
  <si>
    <t>Ngân hàng - Bảo hiểm</t>
  </si>
  <si>
    <t>Học Viện Tài Chính | Chuyên Ngành :</t>
  </si>
  <si>
    <t>C-0881</t>
  </si>
  <si>
    <t>Nguyễn Thị Phương</t>
  </si>
  <si>
    <t>ntphuong4@han.misa.com.vn</t>
  </si>
  <si>
    <t>C-0798</t>
  </si>
  <si>
    <t>nthuong19@han.misa.com.vn</t>
  </si>
  <si>
    <t>Đại học Ngoại Thương</t>
  </si>
  <si>
    <t>C10-0179</t>
  </si>
  <si>
    <t>Vi Thị Ngọc Anh</t>
  </si>
  <si>
    <t>Nhóm KD HCSN 09</t>
  </si>
  <si>
    <t>L04.03.19.02</t>
  </si>
  <si>
    <t>vnanh1@han.misa.com.vn</t>
  </si>
  <si>
    <t>C10-0234</t>
  </si>
  <si>
    <t>Nguyễn Văn Tuân</t>
  </si>
  <si>
    <t>L04.03.18.01</t>
  </si>
  <si>
    <t>nvtuan2@han.misa.com.vn</t>
  </si>
  <si>
    <t>Đại học Sư phạm Kỹ thuật Hưng Yên</t>
  </si>
  <si>
    <t>C10-0072</t>
  </si>
  <si>
    <t>Vũ Thị Hà</t>
  </si>
  <si>
    <t>Trưởng phòng Kinh doanh</t>
  </si>
  <si>
    <t>L04.03.19</t>
  </si>
  <si>
    <t>GOVT_AMM</t>
  </si>
  <si>
    <t>vtha2@han.misa.com.vn</t>
  </si>
  <si>
    <t>C10-0101</t>
  </si>
  <si>
    <t>Đinh Trí Tuệ</t>
  </si>
  <si>
    <t>Trưởng nhóm Kinh doanh</t>
  </si>
  <si>
    <t>GOVT_AML</t>
  </si>
  <si>
    <t>dttue@han.misa.com.vn</t>
  </si>
  <si>
    <t>C10-0259</t>
  </si>
  <si>
    <t>Lê Ngọc Thanh</t>
  </si>
  <si>
    <t>lnthanh@han.misa.com.vn</t>
  </si>
  <si>
    <t>Quản lý tài nguyên rừng</t>
  </si>
  <si>
    <t>C10-0026</t>
  </si>
  <si>
    <t>Đỗ Đức Quỳnh</t>
  </si>
  <si>
    <t>L04.03.20</t>
  </si>
  <si>
    <t>ddquynh@han.misa.com.vn</t>
  </si>
  <si>
    <t>C10-0125</t>
  </si>
  <si>
    <t>Ngô Thị Vân</t>
  </si>
  <si>
    <t>ntvan@han.misa.com.vn</t>
  </si>
  <si>
    <t>Cao đẳng Xây dựng Số 1</t>
  </si>
  <si>
    <t>C10-0115</t>
  </si>
  <si>
    <t>Tống Ngọc Tài</t>
  </si>
  <si>
    <t>tntai@han.misa.com.vn</t>
  </si>
  <si>
    <t>C10-0273</t>
  </si>
  <si>
    <t>Đoàn Thị Loan</t>
  </si>
  <si>
    <t>dtloan@han.misa.com.vn</t>
  </si>
  <si>
    <t>C10-0057</t>
  </si>
  <si>
    <t>Nguyễn Văn Thức</t>
  </si>
  <si>
    <t>Nhóm KD HCSN 08</t>
  </si>
  <si>
    <t>L04.03.19.01</t>
  </si>
  <si>
    <t>nvthuc@han.misa.com.vn</t>
  </si>
  <si>
    <t>Cao đẳng Kinh tế Kỹ thuật Vinatex</t>
  </si>
  <si>
    <t>C10-0149</t>
  </si>
  <si>
    <t>Lưu Thị Thanh Hảo</t>
  </si>
  <si>
    <t>lthao@han.misa.com.vn</t>
  </si>
  <si>
    <t>C10-0216</t>
  </si>
  <si>
    <t>Nguyễn Thị Hồng Xiêm</t>
  </si>
  <si>
    <t>nhxiem@han.misa.com.vn</t>
  </si>
  <si>
    <t>Kế toán- Kiểm toán</t>
  </si>
  <si>
    <t>C10-0294</t>
  </si>
  <si>
    <t>Nhóm KD HCSN 03</t>
  </si>
  <si>
    <t>Phòng KD HCSN 01</t>
  </si>
  <si>
    <t>L04.03.16.03</t>
  </si>
  <si>
    <t>nthuyen11@han.misa.com.vn</t>
  </si>
  <si>
    <t>Quản trị Thương hiệu</t>
  </si>
  <si>
    <t>C10-0147</t>
  </si>
  <si>
    <t>Trần Đức Thắng</t>
  </si>
  <si>
    <t>tdthang@han.misa.com.vn</t>
  </si>
  <si>
    <t>Tự động hóa</t>
  </si>
  <si>
    <t>Đại học Sư phạm Kỹ thuật Nam Định</t>
  </si>
  <si>
    <t>C10-0241</t>
  </si>
  <si>
    <t>Ngô Duy Tiệp</t>
  </si>
  <si>
    <t>ndtiep@han.misa.com.vn</t>
  </si>
  <si>
    <t>C02-0025</t>
  </si>
  <si>
    <t>Đỗ Thị Thúy</t>
  </si>
  <si>
    <t>dtthuy3@han.misa.com.vn</t>
  </si>
  <si>
    <t>C10-0213</t>
  </si>
  <si>
    <t>Nguyễn Thị Anh</t>
  </si>
  <si>
    <t>ntanh7@han.misa.com.vn</t>
  </si>
  <si>
    <t>Kinh doanh thương mại quốc tế</t>
  </si>
  <si>
    <t>C10-0292</t>
  </si>
  <si>
    <t>Hoàng Đức Hiền</t>
  </si>
  <si>
    <t>Nhóm KD HCSN 02</t>
  </si>
  <si>
    <t>L04.03.16.02</t>
  </si>
  <si>
    <t>hdhien@han.misa.com.vn</t>
  </si>
  <si>
    <t>B-0989</t>
  </si>
  <si>
    <t>Nguyễn Đức Toán</t>
  </si>
  <si>
    <t>ndtoan@software.misa.com.vn</t>
  </si>
  <si>
    <t>Học Viện Công nghệ Bưu Chính viễn thông</t>
  </si>
  <si>
    <t>B-0988</t>
  </si>
  <si>
    <t>Đinh Văn Khánh</t>
  </si>
  <si>
    <t>dvkhanh@software.misa.com.vn</t>
  </si>
  <si>
    <t>B-1241</t>
  </si>
  <si>
    <t>Tô Văn Tài</t>
  </si>
  <si>
    <t>tvtai@software.misa.com.vn</t>
  </si>
  <si>
    <t>Đại Học Đại Học Công Nghiệp Hà Nội</t>
  </si>
  <si>
    <t>B-1217</t>
  </si>
  <si>
    <t>Nguyễn Đắc Long</t>
  </si>
  <si>
    <t>ndlong1@software.misa.com.vn</t>
  </si>
  <si>
    <t>Đại học Mỏ địa chất Hà Nội</t>
  </si>
  <si>
    <t>B-1364</t>
  </si>
  <si>
    <t>Bùi Ngọc Tiến</t>
  </si>
  <si>
    <t>bntien@software.misa.com.vn</t>
  </si>
  <si>
    <t>B-1239</t>
  </si>
  <si>
    <t>Trần Thái Tuấn</t>
  </si>
  <si>
    <t>tttuan@software.misa.com.vn</t>
  </si>
  <si>
    <t>Kỹ thuật phần mềm</t>
  </si>
  <si>
    <t>C20-0144</t>
  </si>
  <si>
    <t>Lữ Nguyễn Đức Hạnh</t>
  </si>
  <si>
    <t>Q. Giám đốc TTKD</t>
  </si>
  <si>
    <t>L04.32.00</t>
  </si>
  <si>
    <t>SB_NS_A.SD_POS</t>
  </si>
  <si>
    <t>ldhanh@han.misa.com.vn</t>
  </si>
  <si>
    <t>C09-0174</t>
  </si>
  <si>
    <t>Vũ Thị Trang</t>
  </si>
  <si>
    <t>Q. Phó giám đốc TTKD</t>
  </si>
  <si>
    <t>SB_NS_A.VSD_POS</t>
  </si>
  <si>
    <t>vttrang1@han.misa.com.vn</t>
  </si>
  <si>
    <t>D-0913</t>
  </si>
  <si>
    <t>Nguyễn Thị Phương Thanh</t>
  </si>
  <si>
    <t>Nhóm chuyển giao GP KTDN</t>
  </si>
  <si>
    <t>L05.35.01</t>
  </si>
  <si>
    <t>npthanh2@hcm.misa.com.vn</t>
  </si>
  <si>
    <t>ĐH Công nghiệp TP HCM</t>
  </si>
  <si>
    <t>D-0907</t>
  </si>
  <si>
    <t>Huỳnh Thị Hằng</t>
  </si>
  <si>
    <t>hthang1@hcm.misa.com.vn</t>
  </si>
  <si>
    <t>D-0903</t>
  </si>
  <si>
    <t>Lâm Hoài Trâm</t>
  </si>
  <si>
    <t>lhtram@hcm.misa.com.vn</t>
  </si>
  <si>
    <t>Kế toán - Tài chính</t>
  </si>
  <si>
    <t>ĐH Công Nghệ TP.HCM</t>
  </si>
  <si>
    <t>D-0809</t>
  </si>
  <si>
    <t>Lê Minh Thư</t>
  </si>
  <si>
    <t>lmthu1@hcm.misa.com.vn</t>
  </si>
  <si>
    <t>ĐH Công nghiệp Tp. HCM</t>
  </si>
  <si>
    <t>D-0759</t>
  </si>
  <si>
    <t>Trương Ngọc Quỳnh Duyên</t>
  </si>
  <si>
    <t>Nhóm chuyển giao GP Hóa đơn điện tử</t>
  </si>
  <si>
    <t>L05.35.02</t>
  </si>
  <si>
    <t>tnqduyen@hcm.misa.com.vn</t>
  </si>
  <si>
    <t>ĐH Lao Động - Xã Hội (CSII)</t>
  </si>
  <si>
    <t>D09-0354</t>
  </si>
  <si>
    <t>Vũ Thị Thùy Trang</t>
  </si>
  <si>
    <t>SB_ONBL_MEI</t>
  </si>
  <si>
    <t>vttrang@hcm.misa.com.vn</t>
  </si>
  <si>
    <t>CĐ Tài chính - Hải quan</t>
  </si>
  <si>
    <t>D-0570</t>
  </si>
  <si>
    <t>Trương Thị Trúc Diên</t>
  </si>
  <si>
    <t>ttdien@hcm.misa.com.vn</t>
  </si>
  <si>
    <t>ĐH Công Nghiệp Thực Phẩm TP. HCM</t>
  </si>
  <si>
    <t>D-0629</t>
  </si>
  <si>
    <t>Trần Thị Cẩm Thúy</t>
  </si>
  <si>
    <t>tcthuy@hcm.misa.com.vn</t>
  </si>
  <si>
    <t>ĐH Công Nghệ TP. HCM</t>
  </si>
  <si>
    <t>D12-0008</t>
  </si>
  <si>
    <t>Đặng Thị Thảo</t>
  </si>
  <si>
    <t>SB_ONBL_ACT</t>
  </si>
  <si>
    <t>dtthao3@hcm.misa.com.vn</t>
  </si>
  <si>
    <t>ĐH Dân lập Lạc Hồng</t>
  </si>
  <si>
    <t>D09-0026</t>
  </si>
  <si>
    <t>Hoàng Thị Mỹ Dung</t>
  </si>
  <si>
    <t>Trưởng phòng chuyển giao</t>
  </si>
  <si>
    <t>L05.35</t>
  </si>
  <si>
    <t>SB_ONBM</t>
  </si>
  <si>
    <t>htmdung@hcm.misa.com.vn</t>
  </si>
  <si>
    <t>ĐH Kỹ Thuật Công Nghệ TP. HCM</t>
  </si>
  <si>
    <t>D-0664</t>
  </si>
  <si>
    <t>Hồ Thị Kim Vàng</t>
  </si>
  <si>
    <t>hkvang@hcm.misa.com.vn</t>
  </si>
  <si>
    <t>CĐ Kinh tế đối ngoại</t>
  </si>
  <si>
    <t>D26-0058</t>
  </si>
  <si>
    <t>Trần Tấn Tài</t>
  </si>
  <si>
    <t>tttai1@hcm.misa.com.vn</t>
  </si>
  <si>
    <t>ĐH Công Nghiệp TP. HCM</t>
  </si>
  <si>
    <t>D10-0067</t>
  </si>
  <si>
    <t>Nguyễn Trung Hiếu</t>
  </si>
  <si>
    <t>Phòng KD Meinvoice Dự án</t>
  </si>
  <si>
    <t>L05.33.08</t>
  </si>
  <si>
    <t>KD_BANTHEM_HDDT_MEI.DA_SM</t>
  </si>
  <si>
    <t>nthieu1@hcm.misa.com.vn</t>
  </si>
  <si>
    <t>Hệ thống thông tin quản lý</t>
  </si>
  <si>
    <t>ĐH Tài Chính - Marketing</t>
  </si>
  <si>
    <t>D09-0443</t>
  </si>
  <si>
    <t>Đinh Thị Thu Trang</t>
  </si>
  <si>
    <t>Phòng KD chuyển đổi 2</t>
  </si>
  <si>
    <t>L05.33.05.02</t>
  </si>
  <si>
    <t>dttrang1@hcm.misa.com.vn</t>
  </si>
  <si>
    <t>D26-0032</t>
  </si>
  <si>
    <t>Lê Thị Hoàng Oanh</t>
  </si>
  <si>
    <t>lhoanh@hcm.misa.com.vn</t>
  </si>
  <si>
    <t>CĐ Công Thương TP. HCM</t>
  </si>
  <si>
    <t>D09-0270</t>
  </si>
  <si>
    <t>Trần Thị Phương Uyên</t>
  </si>
  <si>
    <t>tpuyen@hcm.misa.com.vn</t>
  </si>
  <si>
    <t>ĐH Tài Chính Marketing</t>
  </si>
  <si>
    <t>D-0520</t>
  </si>
  <si>
    <t>Nguyễn Thị Mỹ Ngọc</t>
  </si>
  <si>
    <t>nmngoc1@hcm.misa.com.vn</t>
  </si>
  <si>
    <t>D-1112</t>
  </si>
  <si>
    <t>Nguyễn Mai Lệ Quỳnh</t>
  </si>
  <si>
    <t>Phòng bán thêm GP HĐĐT 3</t>
  </si>
  <si>
    <t>L05.33.03.03</t>
  </si>
  <si>
    <t>nlquynh@hcm.misa.com.vn</t>
  </si>
  <si>
    <t>Bảo quản và chế biến</t>
  </si>
  <si>
    <t>ĐH Nông Lâm Hồ Chí Minh</t>
  </si>
  <si>
    <t>D-0926</t>
  </si>
  <si>
    <t>Nguyễn Ngọc Hoa Nhài</t>
  </si>
  <si>
    <t>nhnhai@hcm.misa.com.vn</t>
  </si>
  <si>
    <t>Quản Lý Tài Nguyên Nước</t>
  </si>
  <si>
    <t>ĐH Tài Nguyên và Môi Trường TP. HCM</t>
  </si>
  <si>
    <t>D-0902</t>
  </si>
  <si>
    <t>Tống Thị Hương Giang</t>
  </si>
  <si>
    <t>thgiang1@hcm.misa.com.vn</t>
  </si>
  <si>
    <t>Quản lý đất đai</t>
  </si>
  <si>
    <t>ĐH Quy Nhơn</t>
  </si>
  <si>
    <t>D26-0140</t>
  </si>
  <si>
    <t>Mai Thị Lê Hương</t>
  </si>
  <si>
    <t>mlhuong@hcm.misa.com.vn</t>
  </si>
  <si>
    <t>D09-0561</t>
  </si>
  <si>
    <t>Võ Đức Nhân</t>
  </si>
  <si>
    <t>Quản lý kinh doanh (chuyển đổi)</t>
  </si>
  <si>
    <t>SB_CS_SM_COV</t>
  </si>
  <si>
    <t>vdnhan@hcm.misa.com.vn</t>
  </si>
  <si>
    <t>Quản trị kinh doanh</t>
  </si>
  <si>
    <t>D26-0086</t>
  </si>
  <si>
    <t>Trần Thị Thanh Thùy</t>
  </si>
  <si>
    <t>ttthuy@hcm.misa.com.vn</t>
  </si>
  <si>
    <t>D26-0141</t>
  </si>
  <si>
    <t>Nguyễn Thị Thu Lựu</t>
  </si>
  <si>
    <t>ntluu1@hcm.misa.com.vn</t>
  </si>
  <si>
    <t>Bảo quản và chế biến nông sản</t>
  </si>
  <si>
    <t>D26-0100</t>
  </si>
  <si>
    <t>Nguyễn Thị Lệ Quyên</t>
  </si>
  <si>
    <t>nlquyen@hcm.misa.com.vn</t>
  </si>
  <si>
    <t>ĐH Tài chính kế toán</t>
  </si>
  <si>
    <t>D09-0555</t>
  </si>
  <si>
    <t>Đỗ Thị Hồng Dâng</t>
  </si>
  <si>
    <t>dhdang@hcm.misa.com.vn</t>
  </si>
  <si>
    <t>Tiếng anh thương mại</t>
  </si>
  <si>
    <t>D09-0590</t>
  </si>
  <si>
    <t>Trần Thị Như Nguyệt</t>
  </si>
  <si>
    <t>tnnguyet@hcm.misa.com.vn</t>
  </si>
  <si>
    <t>D09-0440</t>
  </si>
  <si>
    <t>Trần Huyền Trang</t>
  </si>
  <si>
    <t>thtrang@hcm.misa.com.vn</t>
  </si>
  <si>
    <t>D09-0304</t>
  </si>
  <si>
    <t>Châu Phan Đan Phương</t>
  </si>
  <si>
    <t>cpdphuong@hcm.misa.com.vn</t>
  </si>
  <si>
    <t>ĐH Sài Gòn</t>
  </si>
  <si>
    <t>D09-0605</t>
  </si>
  <si>
    <t>Lê Huỳnh Như</t>
  </si>
  <si>
    <t>lhnhu1@hcm.misa.com.vn</t>
  </si>
  <si>
    <t>CĐ Đại Việt Sài Gòn</t>
  </si>
  <si>
    <t>D-0551</t>
  </si>
  <si>
    <t>Trần Thị Oanh</t>
  </si>
  <si>
    <t>ttoanh@hcm.misa.com.vn</t>
  </si>
  <si>
    <t>CĐ Kinh tế Kỹ thuật Vinatex TP. HCM</t>
  </si>
  <si>
    <t>D26-0102</t>
  </si>
  <si>
    <t>Tống Thị Hoài Linh</t>
  </si>
  <si>
    <t>thlinh1@hcm.misa.com.vn</t>
  </si>
  <si>
    <t>ĐH Văn Hiến</t>
  </si>
  <si>
    <t>D-1067</t>
  </si>
  <si>
    <t>Lương Văn Hùng</t>
  </si>
  <si>
    <t>Phòng bán thêm GP HĐĐT 2</t>
  </si>
  <si>
    <t>L05.33.03.02</t>
  </si>
  <si>
    <t>lvhung1@hcm.misa.com.vn</t>
  </si>
  <si>
    <t>ĐH Nguyễn Tất Thành</t>
  </si>
  <si>
    <t>D-0974</t>
  </si>
  <si>
    <t>Hồ Quốc Phong</t>
  </si>
  <si>
    <t>Phòng bán thêm GP HĐĐT 1</t>
  </si>
  <si>
    <t>L05.33.03.01</t>
  </si>
  <si>
    <t>hqphong@hcm.misa.com.vn</t>
  </si>
  <si>
    <t>ĐH Mở TP.HCM</t>
  </si>
  <si>
    <t>D-0930</t>
  </si>
  <si>
    <t>Nguyễn Thành Phi</t>
  </si>
  <si>
    <t>ntphi@hcm.misa.com.vn</t>
  </si>
  <si>
    <t>D26-0030</t>
  </si>
  <si>
    <t>Nguyễn Thị Phượng</t>
  </si>
  <si>
    <t>ntphuong2@hcm.misa.com.vn</t>
  </si>
  <si>
    <t>ĐH Hùng Vương</t>
  </si>
  <si>
    <t>D26-0118</t>
  </si>
  <si>
    <t>Đinh Thiên Vũ</t>
  </si>
  <si>
    <t>dtvu@hcm.misa.com.vn</t>
  </si>
  <si>
    <t>Báo chí và truyền thông</t>
  </si>
  <si>
    <t>CĐ Phát thanh truyền hình 2</t>
  </si>
  <si>
    <t>D-0560</t>
  </si>
  <si>
    <t>Nguyễn Như Trinh</t>
  </si>
  <si>
    <t>nntrinh2@hcm.misa.com.vn</t>
  </si>
  <si>
    <t>ĐH Công Nghiệp thực phẩm TP. HCM</t>
  </si>
  <si>
    <t>D-0697</t>
  </si>
  <si>
    <t>Lê Thùy Trang</t>
  </si>
  <si>
    <t>lttrang2@hcm.misa.com.vn</t>
  </si>
  <si>
    <t>Quản trị khách sạn</t>
  </si>
  <si>
    <t>ĐH Văn Lang</t>
  </si>
  <si>
    <t>D26-0095</t>
  </si>
  <si>
    <t>Nguyễn Thị Huỳnh Như</t>
  </si>
  <si>
    <t>nhnhu@hcm.misa.com.vn</t>
  </si>
  <si>
    <t>D-0654</t>
  </si>
  <si>
    <t>Đặng Thị Thùy Vy</t>
  </si>
  <si>
    <t>dtvy1@hcm.misa.com.vn</t>
  </si>
  <si>
    <t>Luật tài chính ngân hàng</t>
  </si>
  <si>
    <t>ĐH Kinh tế luật TP. HCM</t>
  </si>
  <si>
    <t>D09-0063</t>
  </si>
  <si>
    <t>Nguyễn Thị Thu Sương</t>
  </si>
  <si>
    <t>ntsuong@hcm.misa.com.vn</t>
  </si>
  <si>
    <t>D09-0482</t>
  </si>
  <si>
    <t>Nguyễn Thị Mỹ Linh</t>
  </si>
  <si>
    <t>nmlinh@hcm.misa.com.vn</t>
  </si>
  <si>
    <t>D26-0135</t>
  </si>
  <si>
    <t>ntlinh6@hcm.misa.com.vn</t>
  </si>
  <si>
    <t>Bảo quản</t>
  </si>
  <si>
    <t>D26-0075</t>
  </si>
  <si>
    <t>Nguyễn Thị Mỹ Huyền</t>
  </si>
  <si>
    <t>nmhuyen@hcm.misa.com.vn</t>
  </si>
  <si>
    <t>CĐ Kinh Tế - Công Nghệ TP. HCM</t>
  </si>
  <si>
    <t>D26-0059</t>
  </si>
  <si>
    <t>Huỳnh Anh Phương</t>
  </si>
  <si>
    <t>haphuong@hcm.misa.com.vn</t>
  </si>
  <si>
    <t>D-0573</t>
  </si>
  <si>
    <t>Nguyễn Lâm Thanh Vân</t>
  </si>
  <si>
    <t>ntvan2@hcm.misa.com.vn</t>
  </si>
  <si>
    <t>D26-0026</t>
  </si>
  <si>
    <t>Trần Thị Cúc</t>
  </si>
  <si>
    <t>ttcuc@hcm.misa.com.vn</t>
  </si>
  <si>
    <t>D26-0117</t>
  </si>
  <si>
    <t>Võ Thị Ngọc Truyền</t>
  </si>
  <si>
    <t>vntruyen@hcm.misa.com.vn</t>
  </si>
  <si>
    <t>CĐ Cần Thơ</t>
  </si>
  <si>
    <t>D26-0088</t>
  </si>
  <si>
    <t>Cao Thị Hồng Phúc</t>
  </si>
  <si>
    <t>chphuc@hcm.misa.com.vn</t>
  </si>
  <si>
    <t>D-0825</t>
  </si>
  <si>
    <t>Cao Lê Trần Diệp Thủy</t>
  </si>
  <si>
    <t>L05.32.10</t>
  </si>
  <si>
    <t>cdthuy@hcm.misa.com.vn</t>
  </si>
  <si>
    <t>D-0800</t>
  </si>
  <si>
    <t>Huỳnh Thị Mỹ Trinh</t>
  </si>
  <si>
    <t>Phòng bán thêm GP KTDN 1</t>
  </si>
  <si>
    <t>L05.33.02.01</t>
  </si>
  <si>
    <t>hmtrinh1@hcm.misa.com.vn</t>
  </si>
  <si>
    <t>D-0732</t>
  </si>
  <si>
    <t>Trần Khánh Linh</t>
  </si>
  <si>
    <t>tklinh@hcm.misa.com.vn</t>
  </si>
  <si>
    <t>D26-0130</t>
  </si>
  <si>
    <t>Nguyễn Hoàng Nam</t>
  </si>
  <si>
    <t>Phòng bán thêm GP KTDN 2</t>
  </si>
  <si>
    <t>L05.33.02.02</t>
  </si>
  <si>
    <t>nhnam@hcm.misa.com.vn</t>
  </si>
  <si>
    <t>Đại học FPT</t>
  </si>
  <si>
    <t>D-0584</t>
  </si>
  <si>
    <t>Tăng Bửu Anh Tú</t>
  </si>
  <si>
    <t>tatu@hcm.misa.com.vn</t>
  </si>
  <si>
    <t>Cao đẳng Đại Việt</t>
  </si>
  <si>
    <t>D-0601</t>
  </si>
  <si>
    <t>Phạm Văn Tài</t>
  </si>
  <si>
    <t>pvtai@hcm.misa.com.vn</t>
  </si>
  <si>
    <t>D-0527</t>
  </si>
  <si>
    <t>Lê Thị Thùy Dương</t>
  </si>
  <si>
    <t>ltduong1@hcm.misa.com.vn</t>
  </si>
  <si>
    <t>Thương mại điện tử</t>
  </si>
  <si>
    <t>ĐH Kinh tế - Luật</t>
  </si>
  <si>
    <t>D-0558</t>
  </si>
  <si>
    <t>Phan Thị Cẩm Vân</t>
  </si>
  <si>
    <t>pcvan@hcm.misa.com.vn</t>
  </si>
  <si>
    <t>ĐH Tôn Đức Thắng</t>
  </si>
  <si>
    <t>D09-0465</t>
  </si>
  <si>
    <t>Phạm Thị Yến Nhi</t>
  </si>
  <si>
    <t>pynhi1@hcm.misa.com.vn</t>
  </si>
  <si>
    <t>D20-0190</t>
  </si>
  <si>
    <t>Trịnh Thị Điểm</t>
  </si>
  <si>
    <t>ttdiem2@hcm.misa.com.vn</t>
  </si>
  <si>
    <t>CĐ Kỹ Thuật Công Nghệ Vạn Xuân</t>
  </si>
  <si>
    <t>D26-0020</t>
  </si>
  <si>
    <t>Trương Thị Lin</t>
  </si>
  <si>
    <t>ttlin@hcm.misa.com.vn</t>
  </si>
  <si>
    <t>D38-0004</t>
  </si>
  <si>
    <t>Nguyễn Thị Bé Em</t>
  </si>
  <si>
    <t>nbem@hcm.misa.com.vn</t>
  </si>
  <si>
    <t>ĐH Cần Thơ</t>
  </si>
  <si>
    <t>D20-0014</t>
  </si>
  <si>
    <t>Thái Chánh Tín</t>
  </si>
  <si>
    <t>SB_ONBL_POS</t>
  </si>
  <si>
    <t>tctin@hcm.misa.com.vn</t>
  </si>
  <si>
    <t>D26-0039</t>
  </si>
  <si>
    <t>Phạm Thị Xuân Đào</t>
  </si>
  <si>
    <t>pxdao@hcm.misa.com.vn</t>
  </si>
  <si>
    <t>D26-0089</t>
  </si>
  <si>
    <t>Mai Thị Hồng Trâm</t>
  </si>
  <si>
    <t>mhtram@hcm.misa.com.vn</t>
  </si>
  <si>
    <t>D09-0236</t>
  </si>
  <si>
    <t>Trần Viết Hữu</t>
  </si>
  <si>
    <t>tvhuu@hcm.misa.com.vn</t>
  </si>
  <si>
    <t>CĐ Quốc Tế Kent</t>
  </si>
  <si>
    <t>D-0920</t>
  </si>
  <si>
    <t>Nguyễn Như Quỳnh</t>
  </si>
  <si>
    <t>KHỐI KD eShop</t>
  </si>
  <si>
    <t>L05.32.02.01</t>
  </si>
  <si>
    <t>nnquynh2@hcm.misa.com.vn</t>
  </si>
  <si>
    <t>ĐH Tài chính - Marketing</t>
  </si>
  <si>
    <t>D-0911</t>
  </si>
  <si>
    <t>Lê Lâm Trường</t>
  </si>
  <si>
    <t>KHỐI KD CUKCUK</t>
  </si>
  <si>
    <t>L05.32.01.03</t>
  </si>
  <si>
    <t>lltruong@hcm.misa.com.vn</t>
  </si>
  <si>
    <t>Trường Cao Đẳng Sài Gòn</t>
  </si>
  <si>
    <t>D-0848</t>
  </si>
  <si>
    <t>Nguyễn Tiến Dũng</t>
  </si>
  <si>
    <t>ntdung1@hcm.misa.com.vn</t>
  </si>
  <si>
    <t>D-0841</t>
  </si>
  <si>
    <t>Đỗ Xuân Sơn</t>
  </si>
  <si>
    <t>dxson@hcm.misa.com.vn</t>
  </si>
  <si>
    <t>D-0542</t>
  </si>
  <si>
    <t>Nguyễn Trương Gia Ân</t>
  </si>
  <si>
    <t>ngan@hcm.misa.com.vn</t>
  </si>
  <si>
    <t>D20-0188</t>
  </si>
  <si>
    <t>Tô Xuân Lợi</t>
  </si>
  <si>
    <t>txloi@hcm.misa.com.vn</t>
  </si>
  <si>
    <t>CĐ Bách Việt</t>
  </si>
  <si>
    <t>D26-0119</t>
  </si>
  <si>
    <t>Trần Thị Thu Vân</t>
  </si>
  <si>
    <t>L05.32.09</t>
  </si>
  <si>
    <t>ttvan@hcm.misa.com.vn</t>
  </si>
  <si>
    <t>D20-0222</t>
  </si>
  <si>
    <t>Bùi Thị Thùy Linh</t>
  </si>
  <si>
    <t>btlinh@hcm.misa.com.vn</t>
  </si>
  <si>
    <t>D20-0033</t>
  </si>
  <si>
    <t>Nguyễn Thị Khánh Linh</t>
  </si>
  <si>
    <t>nklinh@hcm.misa.com.vn</t>
  </si>
  <si>
    <t>Công nghệ Vật liệu Polyme - Compozit</t>
  </si>
  <si>
    <t>D20-0128</t>
  </si>
  <si>
    <t>Lại Thị Thúy</t>
  </si>
  <si>
    <t>ltthuy2@hcm.misa.com.vn</t>
  </si>
  <si>
    <t>D26-0121</t>
  </si>
  <si>
    <t>Võ Ngọc Hoàng Nhi</t>
  </si>
  <si>
    <t>vhnhi@hcm.misa.com.vn</t>
  </si>
  <si>
    <t>D26-0127</t>
  </si>
  <si>
    <t>Nguyễn Phương Thảo</t>
  </si>
  <si>
    <t>npthao3@hcm.misa.com.vn</t>
  </si>
  <si>
    <t>Quản trị kinh doanh thương mại</t>
  </si>
  <si>
    <t>D-0645</t>
  </si>
  <si>
    <t>Đặng Thị Bích Trâm</t>
  </si>
  <si>
    <t>dbtram@hcm.misa.com.vn</t>
  </si>
  <si>
    <t>ĐH Công nghiệp TP. HCM</t>
  </si>
  <si>
    <t>D-0563</t>
  </si>
  <si>
    <t>Nguyễn Phiến</t>
  </si>
  <si>
    <t>Phòng KD HDDT</t>
  </si>
  <si>
    <t>Khối KD GP HDDT</t>
  </si>
  <si>
    <t>L03.34.04.01</t>
  </si>
  <si>
    <t>KD_ONL_HDDT_AE</t>
  </si>
  <si>
    <t>nphien@hcm.misa.com.vn</t>
  </si>
  <si>
    <t>D-0631</t>
  </si>
  <si>
    <t>Hồ Quốc Văn</t>
  </si>
  <si>
    <t>hqvan@hcm.misa.com.vn</t>
  </si>
  <si>
    <t>ĐH Khoa học xã hội và nhân văn - ĐH quốc gia HCM</t>
  </si>
  <si>
    <t>D20-0230</t>
  </si>
  <si>
    <t>Nguyễn Thị Ánh Hòa</t>
  </si>
  <si>
    <t>nahoa@hcm.misa.com.vn</t>
  </si>
  <si>
    <t>D20-0215</t>
  </si>
  <si>
    <t>Nguyễn Lê Chí Toàn</t>
  </si>
  <si>
    <t>nctoan@hcm.misa.com.vn</t>
  </si>
  <si>
    <t>ĐH Nông Lâm TP.HCM</t>
  </si>
  <si>
    <t>D26-0087</t>
  </si>
  <si>
    <t>Đặng Tấn Lâm</t>
  </si>
  <si>
    <t>dtlam1@hcm.misa.com.vn</t>
  </si>
  <si>
    <t>D26-0067</t>
  </si>
  <si>
    <t>Nguyễn Thị Thanh Phương</t>
  </si>
  <si>
    <t>ntphuong3@hcm.misa.com.vn</t>
  </si>
  <si>
    <t>D-0998</t>
  </si>
  <si>
    <t>Nhóm Quản lý khách hàng</t>
  </si>
  <si>
    <t>Phòng KD bán thêm 2</t>
  </si>
  <si>
    <t>L05.30.11.01</t>
  </si>
  <si>
    <t>nthuyen2@hcm.misa.com.vn</t>
  </si>
  <si>
    <t>D-0942</t>
  </si>
  <si>
    <t>Nguyễn Lê Thành Hiệp</t>
  </si>
  <si>
    <t>Phòng KD bán mới CUKCUK 2</t>
  </si>
  <si>
    <t>L05.32.01.02</t>
  </si>
  <si>
    <t>nthiep1@hcm.misa.com.vn</t>
  </si>
  <si>
    <t>Điện công nghiệp</t>
  </si>
  <si>
    <t>CĐ Công Nghệ Thủ Đức</t>
  </si>
  <si>
    <t>D-0886</t>
  </si>
  <si>
    <t>Nguyễn Trà Viên</t>
  </si>
  <si>
    <t>ntvien1@hcm.misa.com.vn</t>
  </si>
  <si>
    <t>ĐH Công nghệ Sài Gòn</t>
  </si>
  <si>
    <t>D-0874</t>
  </si>
  <si>
    <t>Phạm Tuyết Ngân</t>
  </si>
  <si>
    <t>ptngan1@hcm.misa.com.vn</t>
  </si>
  <si>
    <t>D-0872</t>
  </si>
  <si>
    <t>Trần Thị Yến Muội</t>
  </si>
  <si>
    <t>L05.32.01.01</t>
  </si>
  <si>
    <t>tymuoi@hcm.misa.com.vn</t>
  </si>
  <si>
    <t>CĐ Viễn Đông</t>
  </si>
  <si>
    <t>D-0852</t>
  </si>
  <si>
    <t>Phan Thanh Phương</t>
  </si>
  <si>
    <t>ptphuong@hcm.misa.com.vn</t>
  </si>
  <si>
    <t>D-0782</t>
  </si>
  <si>
    <t>Trần Thị Cẩm Phương</t>
  </si>
  <si>
    <t>tcphuong@hcm.misa.com.vn</t>
  </si>
  <si>
    <t>ĐH Công Nghiệp Thực Phẩm TP.HCM</t>
  </si>
  <si>
    <t>D-0780</t>
  </si>
  <si>
    <t>Trương Lê Kha Hy</t>
  </si>
  <si>
    <t>tlkhy@hcm.misa.com.vn</t>
  </si>
  <si>
    <t>Quản Trị Kinh doanh</t>
  </si>
  <si>
    <t>D-0726</t>
  </si>
  <si>
    <t>Trần Minh Khôi</t>
  </si>
  <si>
    <t>Nhóm bán thêm AMIS nhân sự</t>
  </si>
  <si>
    <t>L05.30.11.04</t>
  </si>
  <si>
    <t>tmkhoi@hcm.misa.com.vn</t>
  </si>
  <si>
    <t>D20-0209</t>
  </si>
  <si>
    <t>Phạm Quang Khâm</t>
  </si>
  <si>
    <t>pqkham@hcm.misa.com.vn</t>
  </si>
  <si>
    <t>D-0578</t>
  </si>
  <si>
    <t>Âu Lê Phượng Mai</t>
  </si>
  <si>
    <t>Phòng KD bán thêm 1</t>
  </si>
  <si>
    <t>L05.30.10.04</t>
  </si>
  <si>
    <t>apmai@hcm.misa.com.vn</t>
  </si>
  <si>
    <t>D09-0227</t>
  </si>
  <si>
    <t>Nguyễn Phạm Khánh Minh</t>
  </si>
  <si>
    <t>Nhóm bán thêm AMIS kế toán</t>
  </si>
  <si>
    <t>L05.30.11.02</t>
  </si>
  <si>
    <t>MB_CS_AE_ACT</t>
  </si>
  <si>
    <t>npkminh@hcm.misa.com.vn</t>
  </si>
  <si>
    <t>Công nghệ Thực phẩm</t>
  </si>
  <si>
    <t>D20-0237</t>
  </si>
  <si>
    <t>Võ Thị Xuân Nhung</t>
  </si>
  <si>
    <t>vxnhung@hcm.misa.com.vn</t>
  </si>
  <si>
    <t>CĐ Kinh Tế TP. HCM</t>
  </si>
  <si>
    <t>D20-0045</t>
  </si>
  <si>
    <t>Kiều Bửu Phương</t>
  </si>
  <si>
    <t>kbphuong@hcm.misa.com.vn</t>
  </si>
  <si>
    <t>D20-0196</t>
  </si>
  <si>
    <t>Đặng Minh Sâm</t>
  </si>
  <si>
    <t>dmsam@hcm.misa.com.vn</t>
  </si>
  <si>
    <t>D21-0003</t>
  </si>
  <si>
    <t>Đỗ Thị Mĩ Dung</t>
  </si>
  <si>
    <t>Nhóm bán thêm AMIS bán hàng</t>
  </si>
  <si>
    <t>L05.30.11.03</t>
  </si>
  <si>
    <t>dmdung@hcm.misa.com.vn</t>
  </si>
  <si>
    <t>D-0616</t>
  </si>
  <si>
    <t>Trần Nguyễn Hữu Hưng</t>
  </si>
  <si>
    <t>thhung@hcm.misa.com.vn</t>
  </si>
  <si>
    <t>Kinh doanh thương mại</t>
  </si>
  <si>
    <t>D-0554</t>
  </si>
  <si>
    <t>Phan Đức Hải Linh</t>
  </si>
  <si>
    <t>Nhóm bán thêm AMIS điều hành</t>
  </si>
  <si>
    <t>L05.30.11.05</t>
  </si>
  <si>
    <t>phlinh1@hcm.misa.com.vn</t>
  </si>
  <si>
    <t>Kinh doanh nông nghiệp</t>
  </si>
  <si>
    <t>ĐH Kinh Tế Huế</t>
  </si>
  <si>
    <t>D20-0195</t>
  </si>
  <si>
    <t>Nguyễn Ngọc Hải</t>
  </si>
  <si>
    <t>nnhai@hcm.misa.com.vn</t>
  </si>
  <si>
    <t>D-1138</t>
  </si>
  <si>
    <t>Lê Ngọc Trâm Anh</t>
  </si>
  <si>
    <t>L05.30.10.01</t>
  </si>
  <si>
    <t>ltanh1@hcm.misa.com.vn</t>
  </si>
  <si>
    <t>Vận tải hàng không</t>
  </si>
  <si>
    <t>HV Hàng Không Việt Nam</t>
  </si>
  <si>
    <t>D-1136</t>
  </si>
  <si>
    <t>Trần Ngọc Tú Nhi</t>
  </si>
  <si>
    <t>ttnhi@hcm.misa.com.vn</t>
  </si>
  <si>
    <t>D-1072</t>
  </si>
  <si>
    <t>Nguyễn Ngọc Khánh Vy</t>
  </si>
  <si>
    <t>Phòng Chuyển giao</t>
  </si>
  <si>
    <t>L05.30.06</t>
  </si>
  <si>
    <t>MB_ONB_ACT</t>
  </si>
  <si>
    <t>nkvy1@hcm.misa.com.vn</t>
  </si>
  <si>
    <t>ĐH Kinh tế tài chính TP. HCM</t>
  </si>
  <si>
    <t>D-1016</t>
  </si>
  <si>
    <t>Nguyễn Thiện Phát</t>
  </si>
  <si>
    <t>ntphat@hcm.misa.com.vn</t>
  </si>
  <si>
    <t>CĐ Kinh Tế TP.HCM</t>
  </si>
  <si>
    <t>D-1001</t>
  </si>
  <si>
    <t>Khuất Đặng Tiến Dũng</t>
  </si>
  <si>
    <t>Phòng KD MISA AMIS kế toán 3</t>
  </si>
  <si>
    <t>L05.30.07</t>
  </si>
  <si>
    <t>ktdung@hcm.misa.com.vn</t>
  </si>
  <si>
    <t>D-0962</t>
  </si>
  <si>
    <t>Lê Thu Sương</t>
  </si>
  <si>
    <t>MB_ONB_CRM</t>
  </si>
  <si>
    <t>ltsuong1@hcm.misa.com.vn</t>
  </si>
  <si>
    <t>Trường Đại Học Công Nghiệp Tp Hồ Chí Minh</t>
  </si>
  <si>
    <t>D-0961</t>
  </si>
  <si>
    <t>Phan Thị Thư Trang</t>
  </si>
  <si>
    <t>pttrang3@hcm.misa.com.vn</t>
  </si>
  <si>
    <t>ĐH Sư Phạm Kỹ Thuật TP. HCM</t>
  </si>
  <si>
    <t>D-0959</t>
  </si>
  <si>
    <t>Trần Thị Kim Uyên</t>
  </si>
  <si>
    <t>tkuyen@hcm.misa.com.vn</t>
  </si>
  <si>
    <t>D-0899</t>
  </si>
  <si>
    <t>Nguyễn Thị Thúy Kiều</t>
  </si>
  <si>
    <t>ntkieu@hcm.misa.com.vn</t>
  </si>
  <si>
    <t>Kinh Doanh Xuất Nhâp Khẩu</t>
  </si>
  <si>
    <t>Cao Đẳng Kinh Tế Đối Ngoại</t>
  </si>
  <si>
    <t>D-0885</t>
  </si>
  <si>
    <t>Nguyễn Thị Tuyết Hoa</t>
  </si>
  <si>
    <t>nthoa4@hcm.misa.com.vn</t>
  </si>
  <si>
    <t>D-0829</t>
  </si>
  <si>
    <t>Nguyễn Văn Mẫn</t>
  </si>
  <si>
    <t>nvman@hcm.misa.com.vn</t>
  </si>
  <si>
    <t>D-0822</t>
  </si>
  <si>
    <t>Hồ Anh Kiệt</t>
  </si>
  <si>
    <t>hakiet@hcm.misa.com.vn</t>
  </si>
  <si>
    <t>D-0818</t>
  </si>
  <si>
    <t>Nguyễn Thị Sáng</t>
  </si>
  <si>
    <t>ntsang1@hcm.misa.com.vn</t>
  </si>
  <si>
    <t>D-0816</t>
  </si>
  <si>
    <t>Huỳnh Thị Minh Thư</t>
  </si>
  <si>
    <t>hmthu1@hcm.misa.com.vn</t>
  </si>
  <si>
    <t>D-0729</t>
  </si>
  <si>
    <t>Đậu Thị Cẩm Tú</t>
  </si>
  <si>
    <t>dctu@hcm.misa.com.vn</t>
  </si>
  <si>
    <t>ĐH Duy Tân</t>
  </si>
  <si>
    <t>D21-0117</t>
  </si>
  <si>
    <t>Phạm Khắc Duy</t>
  </si>
  <si>
    <t>L05.30.10.03</t>
  </si>
  <si>
    <t>pkduy@hcm.misa.com.vn</t>
  </si>
  <si>
    <t>D21-0091</t>
  </si>
  <si>
    <t>Nguyễn Huỳnh Thúy Vy</t>
  </si>
  <si>
    <t>ntvy@hcm.misa.com.vn</t>
  </si>
  <si>
    <t>D26-0049</t>
  </si>
  <si>
    <t>nhlong@hcm.misa.com.vn</t>
  </si>
  <si>
    <t>Sư phạm Toán học</t>
  </si>
  <si>
    <t>D21-0028</t>
  </si>
  <si>
    <t>Châu Lâm Ngọc Phụng</t>
  </si>
  <si>
    <t>clnphung@hcm.misa.com.vn</t>
  </si>
  <si>
    <t>D-0530</t>
  </si>
  <si>
    <t>Phạm Thị Ngọc Quyên</t>
  </si>
  <si>
    <t>pnquyen@hcm.misa.com.vn</t>
  </si>
  <si>
    <t>D-1139</t>
  </si>
  <si>
    <t>Trương Thu Cúc</t>
  </si>
  <si>
    <t>L05.30.04</t>
  </si>
  <si>
    <t>ttcuc1@hcm.misa.com.vn</t>
  </si>
  <si>
    <t>D-1077</t>
  </si>
  <si>
    <t>Bùi Thị Bích Ngân</t>
  </si>
  <si>
    <t>bbngan@hcm.misa.com.vn</t>
  </si>
  <si>
    <t>D-1023</t>
  </si>
  <si>
    <t>Lê Thị Hồng Phương</t>
  </si>
  <si>
    <t>lhphuong@hcm.misa.com.vn</t>
  </si>
  <si>
    <t>D-0940</t>
  </si>
  <si>
    <t>Hồ Văn Hưng</t>
  </si>
  <si>
    <t>hvhung1@hcm.misa.com.vn</t>
  </si>
  <si>
    <t>D-0888</t>
  </si>
  <si>
    <t>Nguyễn Thị Hồng Diễm</t>
  </si>
  <si>
    <t>nhdiem2@hcm.misa.com.vn</t>
  </si>
  <si>
    <t>D-0857</t>
  </si>
  <si>
    <t>Đoàn Minh Trường</t>
  </si>
  <si>
    <t>dmtruong@hcm.misa.com.vn</t>
  </si>
  <si>
    <t>D-0727</t>
  </si>
  <si>
    <t>Đoàn Thị Yến Nhi</t>
  </si>
  <si>
    <t>dynhi@hcm.misa.com.vn</t>
  </si>
  <si>
    <t>D-0725</t>
  </si>
  <si>
    <t>Nguyễn Trúc Ly</t>
  </si>
  <si>
    <t>ntly@hcm.misa.com.vn</t>
  </si>
  <si>
    <t>D-0568</t>
  </si>
  <si>
    <t>Nguyễn Trung Vĩ</t>
  </si>
  <si>
    <t>Q. Quản lý kinh doanh</t>
  </si>
  <si>
    <t>MB_NS_A.SM_HRM</t>
  </si>
  <si>
    <t>ntvi2@hcm.misa.com.vn</t>
  </si>
  <si>
    <t>D21-0111</t>
  </si>
  <si>
    <t>Lê Thị Thùy Trang</t>
  </si>
  <si>
    <t>lttrang1@hcm.misa.com.vn</t>
  </si>
  <si>
    <t>ĐH Ngoại Ngữ Tin Học TP. HCM</t>
  </si>
  <si>
    <t>D21-0100</t>
  </si>
  <si>
    <t>Nguyễn Thị Hoàn</t>
  </si>
  <si>
    <t>nthoan@hcm.misa.com.vn</t>
  </si>
  <si>
    <t>D-0703</t>
  </si>
  <si>
    <t>Bùi Thị Nga</t>
  </si>
  <si>
    <t>L05.30.03</t>
  </si>
  <si>
    <t>btnga1@hcm.misa.com.vn</t>
  </si>
  <si>
    <t>D21-0109</t>
  </si>
  <si>
    <t>Đặng Thanh Hoàng</t>
  </si>
  <si>
    <t>MB_NS_SM_OPS</t>
  </si>
  <si>
    <t>dthoang@hcm.misa.com.vn</t>
  </si>
  <si>
    <t>D11-0004</t>
  </si>
  <si>
    <t>Nguyễn Thị Cẩm Duyên</t>
  </si>
  <si>
    <t>MB_ONBM</t>
  </si>
  <si>
    <t>ncduyen@hcm.misa.com.vn</t>
  </si>
  <si>
    <t>D-0638</t>
  </si>
  <si>
    <t>Trần Ngọc Hân</t>
  </si>
  <si>
    <t>tnhan@hcm.misa.com.vn</t>
  </si>
  <si>
    <t>D-0705</t>
  </si>
  <si>
    <t>Nguyễn Thị Thủy</t>
  </si>
  <si>
    <t>ntthuy7@hcm.misa.com.vn</t>
  </si>
  <si>
    <t>D-0655</t>
  </si>
  <si>
    <t>Hoàng Thị Quỳnh Trang</t>
  </si>
  <si>
    <t>hqtrang@hcm.misa.com.vn</t>
  </si>
  <si>
    <t>H11-0144</t>
  </si>
  <si>
    <t>Lê Thị Hà</t>
  </si>
  <si>
    <t>ltha2@hcm.misa.com.vn</t>
  </si>
  <si>
    <t>D-0663</t>
  </si>
  <si>
    <t>Nguyễn Thị Mỹ</t>
  </si>
  <si>
    <t>ntmy1@hcm.misa.com.vn</t>
  </si>
  <si>
    <t>ĐH Nha Trang</t>
  </si>
  <si>
    <t>D-0641</t>
  </si>
  <si>
    <t>Nguyễn Hoài Xuân Hòa</t>
  </si>
  <si>
    <t>nxhoa@hcm.misa.com.vn</t>
  </si>
  <si>
    <t>D21-0011</t>
  </si>
  <si>
    <t>Phạm Thị Ngọc Giàu</t>
  </si>
  <si>
    <t>MB_NS_SM_ACT</t>
  </si>
  <si>
    <t>pngiau@hcm.misa.com.vn</t>
  </si>
  <si>
    <t>D-1002</t>
  </si>
  <si>
    <t>Huỳnh Tấn Phước</t>
  </si>
  <si>
    <t>Trung tâm KD Giải pháp KTDN</t>
  </si>
  <si>
    <t>L05.29.08</t>
  </si>
  <si>
    <t>htphuoc@hcm.misa.com.vn</t>
  </si>
  <si>
    <t>D-0855</t>
  </si>
  <si>
    <t>Nguyễn Thị Hoàng Giang</t>
  </si>
  <si>
    <t>nhgiang@hcm.misa.com.vn</t>
  </si>
  <si>
    <t>D-0748</t>
  </si>
  <si>
    <t>Tào Mỹ Phụng</t>
  </si>
  <si>
    <t>L05.29.05</t>
  </si>
  <si>
    <t>tmphung@hcm.misa.com.vn</t>
  </si>
  <si>
    <t>D-0739</t>
  </si>
  <si>
    <t>Nguyễn Thị Mỹ Thanh</t>
  </si>
  <si>
    <t>Phòng KD bán mới KTDN 6</t>
  </si>
  <si>
    <t>L05.29.07</t>
  </si>
  <si>
    <t>nmthanh@hcm.misa.com.vn</t>
  </si>
  <si>
    <t>D-0745</t>
  </si>
  <si>
    <t>Phan Thị Lệ Trâm</t>
  </si>
  <si>
    <t>L05.29.06</t>
  </si>
  <si>
    <t>pltram@hcm.misa.com.vn</t>
  </si>
  <si>
    <t>D09-0375</t>
  </si>
  <si>
    <t>Nguyễn Thanh Triều</t>
  </si>
  <si>
    <t>nttrieu@hcm.misa.com.vn</t>
  </si>
  <si>
    <t>D09-0203</t>
  </si>
  <si>
    <t>Đào Tiết Chinh</t>
  </si>
  <si>
    <t>dtchinh1@hcm.misa.com.vn</t>
  </si>
  <si>
    <t>D21-0046</t>
  </si>
  <si>
    <t>Vũ Thị Thanh Tâm</t>
  </si>
  <si>
    <t>vttam@hcm.misa.com.vn</t>
  </si>
  <si>
    <t>D26-0144</t>
  </si>
  <si>
    <t>Nguyễn Thị Ngọc Yến</t>
  </si>
  <si>
    <t>nnyen2@hcm.misa.com.vn</t>
  </si>
  <si>
    <t>D09-0549</t>
  </si>
  <si>
    <t>Nguyễn Thị Thu Hoa</t>
  </si>
  <si>
    <t>nthoa3@hcm.misa.com.vn</t>
  </si>
  <si>
    <t>D-0613</t>
  </si>
  <si>
    <t>Nguyễn Thị Hồng Nhung</t>
  </si>
  <si>
    <t>nhnhung1@hcm.misa.com.vn</t>
  </si>
  <si>
    <t>D-0509</t>
  </si>
  <si>
    <t>Nguyễn Thiện Toàn</t>
  </si>
  <si>
    <t>nttoan@hcm.misa.com.vn</t>
  </si>
  <si>
    <t>D09-0362</t>
  </si>
  <si>
    <t>Phạm Trường Giang</t>
  </si>
  <si>
    <t>ptgiang2@hcm.misa.com.vn</t>
  </si>
  <si>
    <t>D-0522</t>
  </si>
  <si>
    <t>Trương Lê Duy Khánh</t>
  </si>
  <si>
    <t>tdkhanh@hcm.misa.com.vn</t>
  </si>
  <si>
    <t>ĐH Công nghệ TP.HCM</t>
  </si>
  <si>
    <t>D09-0562</t>
  </si>
  <si>
    <t>Đinh Lăng Ngọc Trân</t>
  </si>
  <si>
    <t>dntran@hcm.misa.com.vn</t>
  </si>
  <si>
    <t>D26-0072</t>
  </si>
  <si>
    <t>Nguyễn Thị Yến</t>
  </si>
  <si>
    <t>ntyen@hcm.misa.com.vn</t>
  </si>
  <si>
    <t>CĐ Nghề TP. HCM</t>
  </si>
  <si>
    <t>D-0712</t>
  </si>
  <si>
    <t>Nguyễn Thúy Quỳnh</t>
  </si>
  <si>
    <t>ntquynh3@hcm.misa.com.vn</t>
  </si>
  <si>
    <t>D-0533</t>
  </si>
  <si>
    <t>Phan Thị Thủy</t>
  </si>
  <si>
    <t>ptthuy2@hcm.misa.com.vn</t>
  </si>
  <si>
    <t>D-1032</t>
  </si>
  <si>
    <t>Châu Ngọc Tú</t>
  </si>
  <si>
    <t>L05.29.02</t>
  </si>
  <si>
    <t>cntu@hcm.misa.com.vn</t>
  </si>
  <si>
    <t>D-0768</t>
  </si>
  <si>
    <t>Hoàng Thị Yến Nhung</t>
  </si>
  <si>
    <t>Phòng KD bán mới KTDN 2</t>
  </si>
  <si>
    <t>L05.29.03</t>
  </si>
  <si>
    <t>hynhung@hcm.misa.com.vn</t>
  </si>
  <si>
    <t>D09-0508</t>
  </si>
  <si>
    <t>Nguyễn Ngọc Duy</t>
  </si>
  <si>
    <t>L05.29.04</t>
  </si>
  <si>
    <t>nnduy1@hcm.misa.com.vn</t>
  </si>
  <si>
    <t>D09-0622</t>
  </si>
  <si>
    <t>Nguyễn Thị Kim Quỳnh</t>
  </si>
  <si>
    <t>nkquynh@hcm.misa.com.vn</t>
  </si>
  <si>
    <t>ĐH Hoa Sen</t>
  </si>
  <si>
    <t>D-0480</t>
  </si>
  <si>
    <t>Trần Kiều My</t>
  </si>
  <si>
    <t>tkmy1@hcm.misa.com.vn</t>
  </si>
  <si>
    <t>Quản trị Nhà hàng - Khách sạn</t>
  </si>
  <si>
    <t>D09-0234</t>
  </si>
  <si>
    <t>Trần Ngọc Khoa</t>
  </si>
  <si>
    <t>tnkhoa@hcm.misa.com.vn</t>
  </si>
  <si>
    <t>D26-0014</t>
  </si>
  <si>
    <t>Đinh Thị Thuỳ Trang</t>
  </si>
  <si>
    <t>L05.27</t>
  </si>
  <si>
    <t>dttrang3@hcm.misa.com.vn</t>
  </si>
  <si>
    <t>D09-0515</t>
  </si>
  <si>
    <t>Nguyễn Vũ Tùng</t>
  </si>
  <si>
    <t>nvtung1@hcm.misa.com.vn</t>
  </si>
  <si>
    <t>D-0523</t>
  </si>
  <si>
    <t>Lương Thị Thúy</t>
  </si>
  <si>
    <t>ltthuy3@hcm.misa.com.vn</t>
  </si>
  <si>
    <t>D-0710</t>
  </si>
  <si>
    <t>Nguyễn Quốc Anh</t>
  </si>
  <si>
    <t>nqanh1@hcm.misa.com.vn</t>
  </si>
  <si>
    <t>D09-0569</t>
  </si>
  <si>
    <t>ltha1@hcm.misa.com.vn</t>
  </si>
  <si>
    <t>D-0701</t>
  </si>
  <si>
    <t>Bùi Thị Thanh Nhu</t>
  </si>
  <si>
    <t>btnhu@hcm.misa.com.vn</t>
  </si>
  <si>
    <t>Quản trị doanh nghiệp thương mại</t>
  </si>
  <si>
    <t>D-0510</t>
  </si>
  <si>
    <t>Nguyễn Thị Sông Hương</t>
  </si>
  <si>
    <t>nshuong@hcm.misa.com.vn</t>
  </si>
  <si>
    <t>D20-0198</t>
  </si>
  <si>
    <t>Huỳnh Thị Thanh Diễm</t>
  </si>
  <si>
    <t>htdiem1@hcm.misa.com.vn</t>
  </si>
  <si>
    <t>D09-0554</t>
  </si>
  <si>
    <t>Lê Công Bằng</t>
  </si>
  <si>
    <t>lcbang@hcm.misa.com.vn</t>
  </si>
  <si>
    <t>D-1128</t>
  </si>
  <si>
    <t>Võ Thiện Luân</t>
  </si>
  <si>
    <t>L05.03.15.03</t>
  </si>
  <si>
    <t>vtluan@hcm.misa.com.vn</t>
  </si>
  <si>
    <t>D-1044</t>
  </si>
  <si>
    <t>Lê Thị Hoài Thương</t>
  </si>
  <si>
    <t>lhthuong@hcm.misa.com.vn</t>
  </si>
  <si>
    <t>D-0934</t>
  </si>
  <si>
    <t>Lê Minh Trí</t>
  </si>
  <si>
    <t>lmtri@hcm.misa.com.vn</t>
  </si>
  <si>
    <t>Quản Trị Doanh nghiệp</t>
  </si>
  <si>
    <t>CĐ thực hành FPT Polytechnic</t>
  </si>
  <si>
    <t>D-0880</t>
  </si>
  <si>
    <t>Phan Xuân Sang</t>
  </si>
  <si>
    <t>pxsang@hcm.misa.com.vn</t>
  </si>
  <si>
    <t>D-0826</t>
  </si>
  <si>
    <t>Võ Đình Hà</t>
  </si>
  <si>
    <t>L05.03.15.02</t>
  </si>
  <si>
    <t>vdha@hcm.misa.com.vn</t>
  </si>
  <si>
    <t>Thuế trong kinh doanh</t>
  </si>
  <si>
    <t>D-0778</t>
  </si>
  <si>
    <t>Bùi Thị Ngọc Huyền</t>
  </si>
  <si>
    <t>bnhuyen@hcm.misa.com.vn</t>
  </si>
  <si>
    <t>D-0722</t>
  </si>
  <si>
    <t>Đinh Thiện Tâm</t>
  </si>
  <si>
    <t>dttam@hcm.misa.com.vn</t>
  </si>
  <si>
    <t>D10-0193</t>
  </si>
  <si>
    <t>Nguyễn Thị Ngọc Thi</t>
  </si>
  <si>
    <t>L05.03.15.04</t>
  </si>
  <si>
    <t>nnthi@hcm.misa.com.vn</t>
  </si>
  <si>
    <t>D-0695</t>
  </si>
  <si>
    <t>Lạc Lê Kiến Quốc</t>
  </si>
  <si>
    <t>lkquoc@hcm.misa.com.vn</t>
  </si>
  <si>
    <t>D26-0053</t>
  </si>
  <si>
    <t>Tạ Bảo Tín</t>
  </si>
  <si>
    <t>tbtin@hcm.misa.com.vn</t>
  </si>
  <si>
    <t>D09-0459</t>
  </si>
  <si>
    <t>Trần Hoài Ân</t>
  </si>
  <si>
    <t>than@hcm.misa.com.vn</t>
  </si>
  <si>
    <t>D-0696</t>
  </si>
  <si>
    <t>Đặng Đức Trung</t>
  </si>
  <si>
    <t>ddtrung@hcm.misa.com.vn</t>
  </si>
  <si>
    <t>D09-0194</t>
  </si>
  <si>
    <t>Trịnh Thị Thu</t>
  </si>
  <si>
    <t>ttthu@hcm.misa.com.vn</t>
  </si>
  <si>
    <t>D09-0255</t>
  </si>
  <si>
    <t>Trưởng phòng KD phát triển mạng lưới</t>
  </si>
  <si>
    <t>SB_NWS_SM</t>
  </si>
  <si>
    <t>nhnhung@hcm.misa.com.vn</t>
  </si>
  <si>
    <t>Kinh doanh xuất nhập khẩu</t>
  </si>
  <si>
    <t>D10-0128</t>
  </si>
  <si>
    <t>Lê Đình Chung</t>
  </si>
  <si>
    <t>ldchung@hcm.misa.com.vn</t>
  </si>
  <si>
    <t>D-1129</t>
  </si>
  <si>
    <t>Nguyễn Bảo Quỳnh</t>
  </si>
  <si>
    <t>L05.03.15.01</t>
  </si>
  <si>
    <t>nbquynh@hcm.misa.com.vn</t>
  </si>
  <si>
    <t>D-1080</t>
  </si>
  <si>
    <t>Dương Bảo Ngọc</t>
  </si>
  <si>
    <t>L05.03.14.01</t>
  </si>
  <si>
    <t>dbngoc1@hcm.misa.com.vn</t>
  </si>
  <si>
    <t>D-1061</t>
  </si>
  <si>
    <t>Hà Thị Hải Yến</t>
  </si>
  <si>
    <t>L05.03.14.03</t>
  </si>
  <si>
    <t>hhyen@hcm.misa.com.vn</t>
  </si>
  <si>
    <t>D-1009</t>
  </si>
  <si>
    <t>Võ Duy Tuấn</t>
  </si>
  <si>
    <t>vdtuan@hcm.misa.com.vn</t>
  </si>
  <si>
    <t>D-0933</t>
  </si>
  <si>
    <t>Trương Nguyễn Thanh Trang</t>
  </si>
  <si>
    <t>tttrang3@hcm.misa.com.vn</t>
  </si>
  <si>
    <t>D-0932</t>
  </si>
  <si>
    <t>Lê Nguyễn Vân Khánh</t>
  </si>
  <si>
    <t>lvkhanh@hcm.misa.com.vn</t>
  </si>
  <si>
    <t>D-0839</t>
  </si>
  <si>
    <t>Lý Công Quỳnh Nhi</t>
  </si>
  <si>
    <t>lqnhi@hcm.misa.com.vn</t>
  </si>
  <si>
    <t>ĐH Văn Lang TP.HCM</t>
  </si>
  <si>
    <t>D-0827</t>
  </si>
  <si>
    <t>Đinh Xuân Hương</t>
  </si>
  <si>
    <t>dxhuong@hcm.misa.com.vn</t>
  </si>
  <si>
    <t>ĐH Ngân Hàng TP.HCM</t>
  </si>
  <si>
    <t>D-0794</t>
  </si>
  <si>
    <t>Phan Văn Nam</t>
  </si>
  <si>
    <t>pvnam@hcm.misa.com.vn</t>
  </si>
  <si>
    <t>ĐH Bình Dương</t>
  </si>
  <si>
    <t>D10-0191</t>
  </si>
  <si>
    <t>Dụng Văn Triều</t>
  </si>
  <si>
    <t>dvtrieu@hcm.misa.com.vn</t>
  </si>
  <si>
    <t>D11-0010</t>
  </si>
  <si>
    <t>Vũ Thị Thu</t>
  </si>
  <si>
    <t>HRBP</t>
  </si>
  <si>
    <t>L05.15</t>
  </si>
  <si>
    <t>BO_HR_HRBP</t>
  </si>
  <si>
    <t>vtthu@hcm.misa.com.vn</t>
  </si>
  <si>
    <t>Quản trị Tài chính - Kế toán</t>
  </si>
  <si>
    <t>D-0612</t>
  </si>
  <si>
    <t>Nguyễn Lệ Hiền Thảo</t>
  </si>
  <si>
    <t>NV phát triển kinh doanh</t>
  </si>
  <si>
    <t>Ban phát triển kinh doanh</t>
  </si>
  <si>
    <t>L05.17</t>
  </si>
  <si>
    <t>BO_BD</t>
  </si>
  <si>
    <t>nhthao@hcm.misa.com.vn</t>
  </si>
  <si>
    <t>D09-0342</t>
  </si>
  <si>
    <t>Nguyễn Thị Hồng Xuyên</t>
  </si>
  <si>
    <t>nhxuyen@hcm.misa.com.vn</t>
  </si>
  <si>
    <t>D-0555</t>
  </si>
  <si>
    <t>Phạm Thị Thùy Trang</t>
  </si>
  <si>
    <t>Nhóm KD HCSN 01</t>
  </si>
  <si>
    <t>L05.03.12.01</t>
  </si>
  <si>
    <t>pttrang2@hcm.misa.com.vn</t>
  </si>
  <si>
    <t>Đại học Công nghiệp TP HCM</t>
  </si>
  <si>
    <t>D10-0156</t>
  </si>
  <si>
    <t>Nguyễn Đình Yên</t>
  </si>
  <si>
    <t>ndyen@hcm.misa.com.vn</t>
  </si>
  <si>
    <t>D-0476</t>
  </si>
  <si>
    <t>Bùi Thị Linh Trang</t>
  </si>
  <si>
    <t>bltrang@hcm.misa.com.vn</t>
  </si>
  <si>
    <t>D-0938</t>
  </si>
  <si>
    <t>Đặng Thị Kim Ngân</t>
  </si>
  <si>
    <t>NV PR</t>
  </si>
  <si>
    <t>L05.14</t>
  </si>
  <si>
    <t>BO_PR</t>
  </si>
  <si>
    <t>dkngan1@hcm.misa.com.vn</t>
  </si>
  <si>
    <t>Báo chí</t>
  </si>
  <si>
    <t>D-0849</t>
  </si>
  <si>
    <t>Lê Thị Diễm Tuyền</t>
  </si>
  <si>
    <t>ldtuyen@hcm.misa.com.vn</t>
  </si>
  <si>
    <t>Quan hệ công chúng</t>
  </si>
  <si>
    <t>D-0846</t>
  </si>
  <si>
    <t>Nguyễn Thành Hội</t>
  </si>
  <si>
    <t>NV Quản trị mạng</t>
  </si>
  <si>
    <t>Phòng Hành chính tổng hợp</t>
  </si>
  <si>
    <t>L05.02</t>
  </si>
  <si>
    <t>BO_AD_SAD</t>
  </si>
  <si>
    <t>nthoi1@hcm.misa.com.vn</t>
  </si>
  <si>
    <t>Điện tử viễn thông</t>
  </si>
  <si>
    <t>D02-0092</t>
  </si>
  <si>
    <t>Ngô Thanh Thà</t>
  </si>
  <si>
    <t>nttha@hcm.misa.com.vn</t>
  </si>
  <si>
    <t>ĐH Khoa học xã hội &amp; Nhân văn TP. HCM</t>
  </si>
  <si>
    <t>D02-0103</t>
  </si>
  <si>
    <t>Dương Thị Bồng</t>
  </si>
  <si>
    <t>Phòng Kế toán</t>
  </si>
  <si>
    <t>L05.12</t>
  </si>
  <si>
    <t>BO_FIN_GACT</t>
  </si>
  <si>
    <t>dtbong@hcm.misa.com.vn</t>
  </si>
  <si>
    <t>D02-0094</t>
  </si>
  <si>
    <t>Đỗ Bích Ngọc</t>
  </si>
  <si>
    <t>Kế toán bán hàng</t>
  </si>
  <si>
    <t>BO_FIN_SACT</t>
  </si>
  <si>
    <t>dbngoc@hcm.misa.com.vn</t>
  </si>
  <si>
    <t>D02-0066</t>
  </si>
  <si>
    <t>Trần Anh Quốc</t>
  </si>
  <si>
    <t>taquoc@hcm.misa.com.vn</t>
  </si>
  <si>
    <t>Phần cứng - quản trị mạng</t>
  </si>
  <si>
    <t>Trung Tâm Kỹ Thuật Điện Toán</t>
  </si>
  <si>
    <t>D-1220</t>
  </si>
  <si>
    <t>Trần Vĩnh Hoàng</t>
  </si>
  <si>
    <t>tvhoang1@hcm.misa.com.vn</t>
  </si>
  <si>
    <t>Đại Học Kinh Tế - Tài Chính TPHCM</t>
  </si>
  <si>
    <t>D-1221</t>
  </si>
  <si>
    <t>Võ Đại Đan</t>
  </si>
  <si>
    <t>vddan@hcm.misa.com.vn</t>
  </si>
  <si>
    <t>Kế Toán</t>
  </si>
  <si>
    <t>A-0510</t>
  </si>
  <si>
    <t>Trần Vân Sơn</t>
  </si>
  <si>
    <t>Phòng KD GPKT 02</t>
  </si>
  <si>
    <t>Khối KD GPKT DN</t>
  </si>
  <si>
    <t>L03.34.02.02</t>
  </si>
  <si>
    <t>KD_ONL_ACT_AE</t>
  </si>
  <si>
    <t>tvson@misa.com.vn</t>
  </si>
  <si>
    <t>D-0977</t>
  </si>
  <si>
    <t>Đặng Ngọc Quỳnh Vy</t>
  </si>
  <si>
    <t>dqvy@misa.com.vn</t>
  </si>
  <si>
    <t>Đại Học Sunderland</t>
  </si>
  <si>
    <t>C-1090</t>
  </si>
  <si>
    <t>Đỗ Thái Sơn</t>
  </si>
  <si>
    <t>Phòng KD GPKT HKD</t>
  </si>
  <si>
    <t>Khối KD GPKT HKD</t>
  </si>
  <si>
    <t>L03.34.03.01</t>
  </si>
  <si>
    <t>KD_ONL_HKD_AE</t>
  </si>
  <si>
    <t>dtson@misa.com.vn</t>
  </si>
  <si>
    <t>tài chính ngân hàng</t>
  </si>
  <si>
    <t>Đại Học Mở Hà Nội</t>
  </si>
  <si>
    <t>C-0976</t>
  </si>
  <si>
    <t>Bùi Công Chính</t>
  </si>
  <si>
    <t>bcchinh@misa.com.vn</t>
  </si>
  <si>
    <t>C-0861</t>
  </si>
  <si>
    <t>Nguyễn Thùy Linh</t>
  </si>
  <si>
    <t>ntlinh1@misa.com.vn</t>
  </si>
  <si>
    <t>C-0833</t>
  </si>
  <si>
    <t>Đỗ Lê Linh</t>
  </si>
  <si>
    <t>dllinh@misa.com.vn</t>
  </si>
  <si>
    <t>D-0479</t>
  </si>
  <si>
    <t>Lê Đức Thuận</t>
  </si>
  <si>
    <t>ldthuan@misa.com.vn</t>
  </si>
  <si>
    <t>Thị trường chứng khoán</t>
  </si>
  <si>
    <t>D-0621</t>
  </si>
  <si>
    <t>Hà Thị Hương</t>
  </si>
  <si>
    <t>NV hỗ trợ bán hàng trực tuyến</t>
  </si>
  <si>
    <t>L03.34.07.01</t>
  </si>
  <si>
    <t>BO_MKT_MDR</t>
  </si>
  <si>
    <t>hthuong@hcm.misa.com.vn</t>
  </si>
  <si>
    <t>D26-0062</t>
  </si>
  <si>
    <t>Lê Thị Ngọc Dung</t>
  </si>
  <si>
    <t>lndung@misa.com.vn</t>
  </si>
  <si>
    <t>D26-0120</t>
  </si>
  <si>
    <t>Lê Vân Anh</t>
  </si>
  <si>
    <t>lvanh@misa.com.vn</t>
  </si>
  <si>
    <t>D26-0147</t>
  </si>
  <si>
    <t>Lê Thị Kim Vàng</t>
  </si>
  <si>
    <t>lkvang@misa.com.vn</t>
  </si>
  <si>
    <t>A-0511</t>
  </si>
  <si>
    <t>Trần Thị Kiều Hạnh</t>
  </si>
  <si>
    <t>ttkhanh@misa.com.vn</t>
  </si>
  <si>
    <t>Đại Học Ngân Hàng TPHCM</t>
  </si>
  <si>
    <t>A-0486</t>
  </si>
  <si>
    <t>Nguyễn Thị Bích Ngọc</t>
  </si>
  <si>
    <t>Phòng KD GPKT 01</t>
  </si>
  <si>
    <t>L03.34.02.01</t>
  </si>
  <si>
    <t>nbngoc2@misa.com.vn</t>
  </si>
  <si>
    <t>Tài Chính - Ngân Hàng.</t>
  </si>
  <si>
    <t>A-0480</t>
  </si>
  <si>
    <t>Nguyễn Huyền Trang</t>
  </si>
  <si>
    <t>nhtrang3@misa.com.vn</t>
  </si>
  <si>
    <t>thuế - hải quan đang chờ bằng</t>
  </si>
  <si>
    <t>D-0968</t>
  </si>
  <si>
    <t>Huỳnh Mỹ Dung</t>
  </si>
  <si>
    <t>hmdung@misa.com.vn</t>
  </si>
  <si>
    <t>D-0915</t>
  </si>
  <si>
    <t>Lê Thị Kim Hoàng</t>
  </si>
  <si>
    <t>lkhoang@misa.com.vn</t>
  </si>
  <si>
    <t>Cao Đẳng Sài Gòn</t>
  </si>
  <si>
    <t>C-0869</t>
  </si>
  <si>
    <t>Trình Thị Nhung</t>
  </si>
  <si>
    <t>ttnhung@misa.com.vn</t>
  </si>
  <si>
    <t>D09-0144</t>
  </si>
  <si>
    <t>Nguyễn Ngọc Phát</t>
  </si>
  <si>
    <t>nnphat@misa.com.vn</t>
  </si>
  <si>
    <t>Quản trị kinh doanh tổng quát</t>
  </si>
  <si>
    <t>C09-0558</t>
  </si>
  <si>
    <t>Nguyễn Thị Liễu</t>
  </si>
  <si>
    <t>ntlieu@misa.com.vn</t>
  </si>
  <si>
    <t>C09-0122</t>
  </si>
  <si>
    <t>Lê Phương Vũ</t>
  </si>
  <si>
    <t>lpvu@misa.com.vn</t>
  </si>
  <si>
    <t>C09-0625</t>
  </si>
  <si>
    <t>Trần Thị Thủy</t>
  </si>
  <si>
    <t>ttthuy@misa.com.vn</t>
  </si>
  <si>
    <t>Lao Động-Xã Hội</t>
  </si>
  <si>
    <t>D26-0050</t>
  </si>
  <si>
    <t>Nguyễn Huỳnh Thảo My</t>
  </si>
  <si>
    <t>nhtmy@misa.com.vn</t>
  </si>
  <si>
    <t>ĐH Kinh tế - Luật - ĐH Quốc Gia TP HCM</t>
  </si>
  <si>
    <t>D09-0298</t>
  </si>
  <si>
    <t>Hồ Thị Ngọc Cầm</t>
  </si>
  <si>
    <t>SB_NS_A.SM_ACT</t>
  </si>
  <si>
    <t>hncam@misa.com.vn</t>
  </si>
  <si>
    <t>C09-0295</t>
  </si>
  <si>
    <t>nhtrang2@misa.com.vn</t>
  </si>
  <si>
    <t>C-0581</t>
  </si>
  <si>
    <t>Trần Thị Ngọc</t>
  </si>
  <si>
    <t>ttngoc@misa.com.vn</t>
  </si>
  <si>
    <t>Tài trợ thương mại</t>
  </si>
  <si>
    <t>D09-0397</t>
  </si>
  <si>
    <t>Đinh Hùng Dũng</t>
  </si>
  <si>
    <t>dhdung@misa.com.vn</t>
  </si>
  <si>
    <t>C09-0269</t>
  </si>
  <si>
    <t>Vũ Kiều Nga</t>
  </si>
  <si>
    <t>vknga@misa.com.vn</t>
  </si>
  <si>
    <t>C09-0383</t>
  </si>
  <si>
    <t>Đặng Hoàng Hoài Linh</t>
  </si>
  <si>
    <t>dhlinh@misa.com.vn</t>
  </si>
  <si>
    <t>A-0513</t>
  </si>
  <si>
    <t>Lê Tiến Thành</t>
  </si>
  <si>
    <t>Phòng KD Ký điện tử</t>
  </si>
  <si>
    <t>Khối KD Ký điện tử</t>
  </si>
  <si>
    <t>L03.34.05.01</t>
  </si>
  <si>
    <t>KD_ONL_KDT_AE</t>
  </si>
  <si>
    <t>ltthanh2@misa.com.vn</t>
  </si>
  <si>
    <t>quản lý kinh tế</t>
  </si>
  <si>
    <t>Đại Học Kinh Tế - ĐHQG HN</t>
  </si>
  <si>
    <t>C-1125</t>
  </si>
  <si>
    <t>Phạm Thị Tú Anh</t>
  </si>
  <si>
    <t>ptanh@misa.com.vn</t>
  </si>
  <si>
    <t>Thẩm định giá &amp; Kinh doanh Bấtđộng sản</t>
  </si>
  <si>
    <t>Học Viện Tài Chính , Tài Chính</t>
  </si>
  <si>
    <t>D-0758</t>
  </si>
  <si>
    <t>Nguyễn Thị Tâm</t>
  </si>
  <si>
    <t>nttam1@misa.com.vn</t>
  </si>
  <si>
    <t>C20-0177</t>
  </si>
  <si>
    <t>Trần Đình Tú</t>
  </si>
  <si>
    <t>tdtu@misa.com.vn</t>
  </si>
  <si>
    <t>Công tác xã hội</t>
  </si>
  <si>
    <t>Học viện Thanh thiếu niên Việt Nam</t>
  </si>
  <si>
    <t>C09-0242</t>
  </si>
  <si>
    <t>Hà Thị Lan Anh</t>
  </si>
  <si>
    <t>Phòng KD HDDT, HKD, KDT</t>
  </si>
  <si>
    <t>L03.34.08</t>
  </si>
  <si>
    <t>SB_NS_SM_MEI</t>
  </si>
  <si>
    <t>hlanh@misa.com.vn</t>
  </si>
  <si>
    <t>C09-0602</t>
  </si>
  <si>
    <t>Hoàng Thị Kim Liên</t>
  </si>
  <si>
    <t>hklien@misa.com.vn</t>
  </si>
  <si>
    <t>D09-0358</t>
  </si>
  <si>
    <t>Vũ Quốc Minh Quân</t>
  </si>
  <si>
    <t>vmquan@misa.com.vn</t>
  </si>
  <si>
    <t>C09-0560</t>
  </si>
  <si>
    <t>Tống Thị Hằng</t>
  </si>
  <si>
    <t>tthang@misa.com.vn</t>
  </si>
  <si>
    <t>C20-0038</t>
  </si>
  <si>
    <t>Lê Thị Liên</t>
  </si>
  <si>
    <t>KD_ONL_ACT_SM</t>
  </si>
  <si>
    <t>ltlien@misa.com.vn</t>
  </si>
  <si>
    <t>D37-0001</t>
  </si>
  <si>
    <t>Bùi Thị Ngọc Thoa</t>
  </si>
  <si>
    <t>bnthoa@misa.com.vn</t>
  </si>
  <si>
    <t>B-1413</t>
  </si>
  <si>
    <t>Trần Thị Nhàn</t>
  </si>
  <si>
    <t>Dự án Quản lý cửa hàng thời trang (TTVN)</t>
  </si>
  <si>
    <t>L01.30.03.01</t>
  </si>
  <si>
    <t>ttnhan1@software.misa.com.vn</t>
  </si>
  <si>
    <t>B-1408</t>
  </si>
  <si>
    <t>Nguyễn Thị Minh Nguyệt</t>
  </si>
  <si>
    <t>ntmnguyet@software.misa.com.vn</t>
  </si>
  <si>
    <t>B-1409</t>
  </si>
  <si>
    <t>Vũ Thị Hương</t>
  </si>
  <si>
    <t>vthuong1@software.misa.com.vn</t>
  </si>
  <si>
    <t>C09-0231</t>
  </si>
  <si>
    <t>Nguyễn Kiều Anh</t>
  </si>
  <si>
    <t>Giám đốc TTKD</t>
  </si>
  <si>
    <t>L04.33.01</t>
  </si>
  <si>
    <t>SB_CS_SD</t>
  </si>
  <si>
    <t>nkanh@han.misa.com.vn</t>
  </si>
  <si>
    <t>B-1393</t>
  </si>
  <si>
    <t>Trần Xuân Bách</t>
  </si>
  <si>
    <t>Dự án AMIS weSign</t>
  </si>
  <si>
    <t>Sản phẩm AMIS weSign</t>
  </si>
  <si>
    <t>L01.28.17.01</t>
  </si>
  <si>
    <t>txbach@software.misa.com.vn</t>
  </si>
  <si>
    <t>Đại học Bách khoa HN</t>
  </si>
  <si>
    <t>B-1394</t>
  </si>
  <si>
    <t>Vũ Tùng Lâm</t>
  </si>
  <si>
    <t>Dự án AMIS Operation</t>
  </si>
  <si>
    <t>Sản phẩm AMIS Operation</t>
  </si>
  <si>
    <t>L01.28.05.01</t>
  </si>
  <si>
    <t>vtlam1@software.misa.com.vn</t>
  </si>
  <si>
    <t>B-1395</t>
  </si>
  <si>
    <t>Khuất Văn Hải</t>
  </si>
  <si>
    <t>Dự án iVAN</t>
  </si>
  <si>
    <t>Sản phẩm iVAN</t>
  </si>
  <si>
    <t>L01.28.08.01</t>
  </si>
  <si>
    <t>kvhai@software.misa.com.vn</t>
  </si>
  <si>
    <t>Đại học Công nghệ - ĐHQGHN</t>
  </si>
  <si>
    <t>B-1396</t>
  </si>
  <si>
    <t>Nguyễn Thế Vũ</t>
  </si>
  <si>
    <t>ntvu1@software.misa.com.vn</t>
  </si>
  <si>
    <t>B-1397</t>
  </si>
  <si>
    <t>Dương Khánh Tuân</t>
  </si>
  <si>
    <t>dktuan@software.misa.com.vn</t>
  </si>
  <si>
    <t>Kỹ thuật máy tính</t>
  </si>
  <si>
    <t>Đại học Bách Khoa HN</t>
  </si>
  <si>
    <t>B-1392</t>
  </si>
  <si>
    <t>Nguyễn Thanh Lâm</t>
  </si>
  <si>
    <t>Dự án Quản lý ngân sách nhà nước BUMAS Địa phương</t>
  </si>
  <si>
    <t>Sản phẩm Quản lý ngân sách (BUMAS)</t>
  </si>
  <si>
    <t>L01.29.06.01</t>
  </si>
  <si>
    <t>ntlam2@software.misa.com.vn</t>
  </si>
  <si>
    <t>Khoa học máy tính</t>
  </si>
  <si>
    <t>B-1399</t>
  </si>
  <si>
    <t>Trần Thị Minh Tươi</t>
  </si>
  <si>
    <t>ttmtuoi@rd.misa.com.vn</t>
  </si>
  <si>
    <t>B-1398</t>
  </si>
  <si>
    <t>Vũ Trí Anh Hoàng</t>
  </si>
  <si>
    <t>vtahoang@software.misa.com.vn</t>
  </si>
  <si>
    <t>A-0546</t>
  </si>
  <si>
    <t>Nguyễn Ngọc Trưởng</t>
  </si>
  <si>
    <t>Trưởng nhóm SEO</t>
  </si>
  <si>
    <t>L03.34</t>
  </si>
  <si>
    <t>BO_MKT_SEOL</t>
  </si>
  <si>
    <t>nntruong2@misa.com.vn</t>
  </si>
  <si>
    <t>ĐH Bách Khoa Hà Nội</t>
  </si>
  <si>
    <t>A03-0013</t>
  </si>
  <si>
    <t>Bùi Thị Thúy Quỳnh</t>
  </si>
  <si>
    <t>NV Nhân sự</t>
  </si>
  <si>
    <t>Văn phòng Sản xuất</t>
  </si>
  <si>
    <t>L01.01.05</t>
  </si>
  <si>
    <t>BO_HR</t>
  </si>
  <si>
    <t>btquynh@software.misa.com.vn</t>
  </si>
  <si>
    <t>ĐH Kinh tế Quốc dân</t>
  </si>
  <si>
    <t>C-1415</t>
  </si>
  <si>
    <t>Đinh Thị Thanh Mai</t>
  </si>
  <si>
    <t>dttmai@han.misa.com.vn</t>
  </si>
  <si>
    <t>Tiếng Anh Thương Mại</t>
  </si>
  <si>
    <t>C-1416</t>
  </si>
  <si>
    <t>Nguyễn Anh Tuấn</t>
  </si>
  <si>
    <t>natuan3@han.misa.com.vn</t>
  </si>
  <si>
    <t>Đại Học Mỏ - Địa Chất</t>
  </si>
  <si>
    <t>F-0087</t>
  </si>
  <si>
    <t>Lê Đức Thọ</t>
  </si>
  <si>
    <t>Văn phòng MISA Buôn Ma Thuột</t>
  </si>
  <si>
    <t>L07.18.03</t>
  </si>
  <si>
    <t>ldtho@bmt.misa.com.vn</t>
  </si>
  <si>
    <t>Số 39 Trường Chinh, phường Tân Lợi, Tp. Buôn Ma Thuột, tỉnh Đắk Lắk</t>
  </si>
  <si>
    <t>F09-0084</t>
  </si>
  <si>
    <t>Nhóm KD bán thêm GP KTDN</t>
  </si>
  <si>
    <t>L07.18.02</t>
  </si>
  <si>
    <t>ntphuong@bmt.misa.com.vn</t>
  </si>
  <si>
    <t>Đại học Tây Nguyên</t>
  </si>
  <si>
    <t>G26-0006</t>
  </si>
  <si>
    <t>Nguyễn Diểm My</t>
  </si>
  <si>
    <t>ndmy1@cth.misa.com.vn</t>
  </si>
  <si>
    <t>Đại học Cần Thơ</t>
  </si>
  <si>
    <t>G-0138</t>
  </si>
  <si>
    <t>Võ Thị Minh Thư</t>
  </si>
  <si>
    <t>vmthu@cth.misa.com.vn</t>
  </si>
  <si>
    <t>Trường Đại học Cần Thơ</t>
  </si>
  <si>
    <t>G-0143</t>
  </si>
  <si>
    <t>Nguyễn Thị Kiều Trang</t>
  </si>
  <si>
    <t>nktrang@cth.misa.com.vn</t>
  </si>
  <si>
    <t>kinh tế nông nghiệp</t>
  </si>
  <si>
    <t>G-0137</t>
  </si>
  <si>
    <t>Nguyễn Hồng Nhiên</t>
  </si>
  <si>
    <t>L08.18.02</t>
  </si>
  <si>
    <t>nhnhien@cth.misa.com.vn</t>
  </si>
  <si>
    <t>kinh tế học</t>
  </si>
  <si>
    <t>G30-0004</t>
  </si>
  <si>
    <t>Phan Quốc Thái</t>
  </si>
  <si>
    <t>Nhóm GPKT HKD</t>
  </si>
  <si>
    <t>Phòng KD Giải pháp bán lẻ</t>
  </si>
  <si>
    <t>L08.17.03</t>
  </si>
  <si>
    <t>pqthai@cth.misa.com.vn</t>
  </si>
  <si>
    <t>ĐH Tây Đô</t>
  </si>
  <si>
    <t>G-0119</t>
  </si>
  <si>
    <t>Cũng Thị Thúy Ngân</t>
  </si>
  <si>
    <t>Phòng KD Giải pháp KTDN 01</t>
  </si>
  <si>
    <t>Phòng KD Giải pháp KTDN</t>
  </si>
  <si>
    <t>L08.16.01</t>
  </si>
  <si>
    <t>ctngan@cth.misa.com.vn</t>
  </si>
  <si>
    <t>G-0116</t>
  </si>
  <si>
    <t>Phan Đặng Quỳnh Như</t>
  </si>
  <si>
    <t>pdqnhu@cth.misa.com.vn</t>
  </si>
  <si>
    <t>Quản trị du lịch dịch vụ và lữ hành</t>
  </si>
  <si>
    <t>G09-0099</t>
  </si>
  <si>
    <t>Trần Tường Duy</t>
  </si>
  <si>
    <t>L08.19</t>
  </si>
  <si>
    <t>ttduy@cth.misa.com.vn</t>
  </si>
  <si>
    <t>G26-0002</t>
  </si>
  <si>
    <t>Võ Phương Uyên</t>
  </si>
  <si>
    <t>Nhóm chuyển giao GP hóa đơn điện tử</t>
  </si>
  <si>
    <t>L08.19.03</t>
  </si>
  <si>
    <t>vpuyen@cth.misa.com.vn</t>
  </si>
  <si>
    <t>Kinh Tế Tài Nguyên</t>
  </si>
  <si>
    <t>G-0099</t>
  </si>
  <si>
    <t>Nguyễn Hồng Tú Muội</t>
  </si>
  <si>
    <t>L08.19.02</t>
  </si>
  <si>
    <t>nhtmuoi@cth.misa.com.vn</t>
  </si>
  <si>
    <t>G20-0016</t>
  </si>
  <si>
    <t>Trần Thị Huỳnh Như</t>
  </si>
  <si>
    <t>Nhóm KD Mạng lưới</t>
  </si>
  <si>
    <t>L08.22</t>
  </si>
  <si>
    <t>thnhu@cth.misa.com.vn</t>
  </si>
  <si>
    <t>F-0100</t>
  </si>
  <si>
    <t>Phạm Thị Thu Hồng</t>
  </si>
  <si>
    <t>Nhóm triển khai và CSKH</t>
  </si>
  <si>
    <t>Phòng Kinh doanh Hành chính sự nghiệp</t>
  </si>
  <si>
    <t>L07.03.01</t>
  </si>
  <si>
    <t>pthong@bmt.misa.com.vn</t>
  </si>
  <si>
    <t>Đại học Kiến trúc Đà Nẵng</t>
  </si>
  <si>
    <t>G-0065</t>
  </si>
  <si>
    <t>Đinh Công Toản</t>
  </si>
  <si>
    <t>dctoan@cth.misa.com.vn</t>
  </si>
  <si>
    <t>D-1217</t>
  </si>
  <si>
    <t>Đỗ Thị Luyến</t>
  </si>
  <si>
    <t>dtluyen1@hcm.misa.com.vn</t>
  </si>
  <si>
    <t>Cao Đẳng Kinh Tế Đối Ngoại TPHCM</t>
  </si>
  <si>
    <t>H-0172</t>
  </si>
  <si>
    <t>Lê Thị Mỹ Linh</t>
  </si>
  <si>
    <t>Nhóm KD GPDN vừa</t>
  </si>
  <si>
    <t>Văn phòng MISA Đà Nẵng</t>
  </si>
  <si>
    <t>L06.23</t>
  </si>
  <si>
    <t>lmlinh1@dng.misa.com.vn</t>
  </si>
  <si>
    <t>H11-0176</t>
  </si>
  <si>
    <t>Nguyễn Thị Minh Thùy</t>
  </si>
  <si>
    <t>Nhóm Tư vấn MISA 05</t>
  </si>
  <si>
    <t>Phòng Tư vấn MISA 02</t>
  </si>
  <si>
    <t>L02.12.04</t>
  </si>
  <si>
    <t>nmthuy2@support.misa.com.vn</t>
  </si>
  <si>
    <t>Cao đẳng Công nghiệp Quốc Phòng</t>
  </si>
  <si>
    <t>Tầng 3, Tòa nhà Hanoi Group, 442 Phố Đội Cấn, Quận Ba Đình, Thành Phố Hà Nội</t>
  </si>
  <si>
    <t>D-1207</t>
  </si>
  <si>
    <t>Lê Thị Ánh Nga</t>
  </si>
  <si>
    <t>ltanga@hcm.misa.com.vn</t>
  </si>
  <si>
    <t>D-1218</t>
  </si>
  <si>
    <t>Nguyễn Hoài Nam</t>
  </si>
  <si>
    <t>nhnam4@hcm.misa.com.vn</t>
  </si>
  <si>
    <t>D-1208</t>
  </si>
  <si>
    <t>nthuong23@hcm.misa.com.vn</t>
  </si>
  <si>
    <t>Kinh Doanh Quốc Tế Gpa: 8.2/10</t>
  </si>
  <si>
    <t>Đại Học Kinh Tế TPHCM</t>
  </si>
  <si>
    <t>B24-0038</t>
  </si>
  <si>
    <t>Nguyễn Hà Phương</t>
  </si>
  <si>
    <t>Dự án CukCuk W&amp;D (TT Philippines)</t>
  </si>
  <si>
    <t>Khối Nền tảng Thị trường nước ngoài</t>
  </si>
  <si>
    <t>Sản phẩm CukCuk (TT Philippines)</t>
  </si>
  <si>
    <t>L01.32.05.01</t>
  </si>
  <si>
    <t>nhphuong@software.misa.com.vn</t>
  </si>
  <si>
    <t>D10-0021</t>
  </si>
  <si>
    <t>NV Nghiên cứu thị trường và SP</t>
  </si>
  <si>
    <t>Ban Nghiên cứu thị trường &amp; Sản phẩm</t>
  </si>
  <si>
    <t>L01.37</t>
  </si>
  <si>
    <t>BO_RD</t>
  </si>
  <si>
    <t>nttrang@misa.com.vn</t>
  </si>
  <si>
    <t>ĐH Kinh Tế TP.HCM</t>
  </si>
  <si>
    <t>H-0322</t>
  </si>
  <si>
    <t>Nguyễn Thị Thu Trà</t>
  </si>
  <si>
    <t>Nhóm Tư vấn MISA 12</t>
  </si>
  <si>
    <t>L02.12.06</t>
  </si>
  <si>
    <t>ntttra@support.misa.com.vn</t>
  </si>
  <si>
    <t>Kế Toán Tổng Hợp</t>
  </si>
  <si>
    <t>H11-0246</t>
  </si>
  <si>
    <t>Lê Thị Thúy</t>
  </si>
  <si>
    <t>ltthuy2@support.misa.com.vn</t>
  </si>
  <si>
    <t>Đại học Lao động Xã hội</t>
  </si>
  <si>
    <t>F-0142</t>
  </si>
  <si>
    <t>Ngô Thị Hà Trang</t>
  </si>
  <si>
    <t>Phòng KD Giải pháp KTDN 02</t>
  </si>
  <si>
    <t>L07.16.02</t>
  </si>
  <si>
    <t>nthtrang1@bmt.misa.com.vn</t>
  </si>
  <si>
    <t>C-1365</t>
  </si>
  <si>
    <t>Trịnh Ngọc Việt Hoàng</t>
  </si>
  <si>
    <t>tnvhoang@han.misa.com.vn</t>
  </si>
  <si>
    <t>Đại học Thăng Long</t>
  </si>
  <si>
    <t>A-0530</t>
  </si>
  <si>
    <t>Nguyễn Quang Thưởng</t>
  </si>
  <si>
    <t>NV lái xe</t>
  </si>
  <si>
    <t>L03.02</t>
  </si>
  <si>
    <t>BO_AD_DRV</t>
  </si>
  <si>
    <t>nqthuong@misa.com.vn</t>
  </si>
  <si>
    <t>Trường cơ khí nông nghiệp 1 Vĩnh Phúc</t>
  </si>
  <si>
    <t>B-1412</t>
  </si>
  <si>
    <t>Trần Quang Hưng</t>
  </si>
  <si>
    <t>Dự án MISA Core Project</t>
  </si>
  <si>
    <t>L01.35.03</t>
  </si>
  <si>
    <t>tqhung@rd.misa.com.vn</t>
  </si>
  <si>
    <t>Học Viện Kĩ Thuật Mật Mã</t>
  </si>
  <si>
    <t>B-1411</t>
  </si>
  <si>
    <t>Nguyễn Văn Thuận</t>
  </si>
  <si>
    <t>nvthuan@rd.misa.com.vn</t>
  </si>
  <si>
    <t>B-1410</t>
  </si>
  <si>
    <t>Trần Văn Báu</t>
  </si>
  <si>
    <t>tvbau@software.misa.com.vn</t>
  </si>
  <si>
    <t>Kỹ thuật máy tính-IT2</t>
  </si>
  <si>
    <t>B-1406</t>
  </si>
  <si>
    <t>Hoàng Thị Lan Anh</t>
  </si>
  <si>
    <t>[Cukcuk TTVN] Nhóm Phân tích &amp; Thiết kế</t>
  </si>
  <si>
    <t>Sản phẩm CukCuk (TTVN)</t>
  </si>
  <si>
    <t>L01.30.02.03</t>
  </si>
  <si>
    <t>htlanh1@software.misa.com.vn</t>
  </si>
  <si>
    <t>B-1403</t>
  </si>
  <si>
    <t>Trần Doãn Đô</t>
  </si>
  <si>
    <t>Dự án Cukcuk W&amp;D (TTVN)</t>
  </si>
  <si>
    <t>L01.30.02.01</t>
  </si>
  <si>
    <t>tddo@software.misa.com.vn</t>
  </si>
  <si>
    <t>Phát triển ứng dụng Đa phương tiện</t>
  </si>
  <si>
    <t>B-0588</t>
  </si>
  <si>
    <t>Hồ Nam Anh</t>
  </si>
  <si>
    <t>hnanh@software.misa.com.vn</t>
  </si>
  <si>
    <t>B06-0042</t>
  </si>
  <si>
    <t>Vũ Ngọc Tuấn</t>
  </si>
  <si>
    <t>Dự án AMIS CRM (KH)</t>
  </si>
  <si>
    <t>Sản phẩm AMIS CRM (KH)</t>
  </si>
  <si>
    <t>L01.28.15.01</t>
  </si>
  <si>
    <t>vntuan@software.misa.com.vn</t>
  </si>
  <si>
    <t>E-0167</t>
  </si>
  <si>
    <t>Lê Thị Hải Yến</t>
  </si>
  <si>
    <t>Nhóm KD CUKCUK &amp; ESHOP</t>
  </si>
  <si>
    <t>Phòng KD giải pháp bán lẻ</t>
  </si>
  <si>
    <t>L06.17.01</t>
  </si>
  <si>
    <t>lthyen@dng.misa.com.vn</t>
  </si>
  <si>
    <t>quản trị kinh doanh - chất lượng cao</t>
  </si>
  <si>
    <t>Đại học Duy Tân</t>
  </si>
  <si>
    <t>Tầng 04, Tòa nhà Vạn Tường, 174 Lê Đình Lý, P. Hòa Thuận Tây, Q. Hải Châu, Tp. Đà Nẵng</t>
  </si>
  <si>
    <t>A-0367</t>
  </si>
  <si>
    <t>Nguyễn Tùng Lâm</t>
  </si>
  <si>
    <t>Trợ lý Tuyển dụng</t>
  </si>
  <si>
    <t>BO_HR_TAA</t>
  </si>
  <si>
    <t>ntlam1@misa.com.vn</t>
  </si>
  <si>
    <t>Đại Học Kinh Tế Quốc Dân Quản Trị Nhân Lực</t>
  </si>
  <si>
    <t>C-1295</t>
  </si>
  <si>
    <t>Lê Trung Kiên</t>
  </si>
  <si>
    <t>NV Hỗ trợ khách hàng</t>
  </si>
  <si>
    <t>Công ty CP JETPAY</t>
  </si>
  <si>
    <t>L10.04</t>
  </si>
  <si>
    <t>JETPAY_HTKH</t>
  </si>
  <si>
    <t>ltkien@jetpay.vn</t>
  </si>
  <si>
    <t>truyền thông đa phương tiện -</t>
  </si>
  <si>
    <t>Học Viện Phụ Nữ Việt Nam, Quản trị Kinh Doanh</t>
  </si>
  <si>
    <t>C21-0043</t>
  </si>
  <si>
    <t>Hà Thị Ngọc Ánh</t>
  </si>
  <si>
    <t>NV CSKH</t>
  </si>
  <si>
    <t>Nhóm CS 01</t>
  </si>
  <si>
    <t>Phòng CS 01</t>
  </si>
  <si>
    <t>L02.15.01</t>
  </si>
  <si>
    <t>BO_CCS_CSM</t>
  </si>
  <si>
    <t>hnanh@support.misa.com.vn</t>
  </si>
  <si>
    <t>Tài chính quốc tế</t>
  </si>
  <si>
    <t>D-1210</t>
  </si>
  <si>
    <t>Ngô Thị Thu Hà</t>
  </si>
  <si>
    <t>nttha1@hcm.misa.com.vn</t>
  </si>
  <si>
    <t>Đại học kinh tế - Đại học Đà nẵng</t>
  </si>
  <si>
    <t>C-1361</t>
  </si>
  <si>
    <t>Đào Nam Anh</t>
  </si>
  <si>
    <t>dnanh6@han.misa.com.vn</t>
  </si>
  <si>
    <t>Quản Trị Khách Sạn</t>
  </si>
  <si>
    <t>Cao Đẳng Thương Mại Và Du Lịch Hà Nội</t>
  </si>
  <si>
    <t>C-1359</t>
  </si>
  <si>
    <t>Trần Thanh Long</t>
  </si>
  <si>
    <t>ttlong1@han.misa.com.vn</t>
  </si>
  <si>
    <t>C-1364</t>
  </si>
  <si>
    <t>Đặng Minh Phương</t>
  </si>
  <si>
    <t>dmphuong2@han.misa.com.vn</t>
  </si>
  <si>
    <t>- tài chính- ngân hàng</t>
  </si>
  <si>
    <t>D-1209</t>
  </si>
  <si>
    <t>Khổng Thị Bảo Khuyên</t>
  </si>
  <si>
    <t>kbkhuyen@hcm.misa.com.vn</t>
  </si>
  <si>
    <t>D-1212</t>
  </si>
  <si>
    <t>Vũ Nguyễn Phương Thảo</t>
  </si>
  <si>
    <t>vnpthao@hcm.misa.com.vn</t>
  </si>
  <si>
    <t>Quản Trị Kinh Doanh</t>
  </si>
  <si>
    <t>F-0101</t>
  </si>
  <si>
    <t>Đỗ Thị Kim Oanh</t>
  </si>
  <si>
    <t>L07.23</t>
  </si>
  <si>
    <t>MB_AE</t>
  </si>
  <si>
    <t>dkoanh@bmt.misa.com.vn</t>
  </si>
  <si>
    <t>Đại học mở Thành phố HCM</t>
  </si>
  <si>
    <t>A-0543</t>
  </si>
  <si>
    <t>Đỗ Thị Thùy Dương</t>
  </si>
  <si>
    <t>NV phát triển khách hàng</t>
  </si>
  <si>
    <t>Nền tảng QLGD MISA EMIS</t>
  </si>
  <si>
    <t>L03.37</t>
  </si>
  <si>
    <t>PF_PDR_EMIS</t>
  </si>
  <si>
    <t>dttduong@misa.com.vn</t>
  </si>
  <si>
    <t>A-0541</t>
  </si>
  <si>
    <t>Nguyễn Tiến Hưng</t>
  </si>
  <si>
    <t>NV Phát triển khách hàng</t>
  </si>
  <si>
    <t>Ban phát triển MISA ASP</t>
  </si>
  <si>
    <t>L03.27</t>
  </si>
  <si>
    <t>SB_PDR_ASP</t>
  </si>
  <si>
    <t>nthung@misa.com.vn</t>
  </si>
  <si>
    <t>Kinh tế Tài chính</t>
  </si>
  <si>
    <t>Huflit University</t>
  </si>
  <si>
    <t>D-1211</t>
  </si>
  <si>
    <t>Nguyễn Hồ Phương Thảo</t>
  </si>
  <si>
    <t>nhpthao@hcm.misa.com.vn</t>
  </si>
  <si>
    <t>Cao đẳng công thương</t>
  </si>
  <si>
    <t>A-0545</t>
  </si>
  <si>
    <t>Phạm Thị Thúy</t>
  </si>
  <si>
    <t>ptthuy8@misa.com.vn</t>
  </si>
  <si>
    <t>Kinh tế dầu tư</t>
  </si>
  <si>
    <t>Đại Học Quy Nhơn</t>
  </si>
  <si>
    <t>B-1027</t>
  </si>
  <si>
    <t>Nguyễn Gia Minh Quang</t>
  </si>
  <si>
    <t>[EMIS Công lập] Nhóm Phân tích và Thiết kế</t>
  </si>
  <si>
    <t>L01.33.02.06</t>
  </si>
  <si>
    <t>nmquang4@software.misa.com.vn</t>
  </si>
  <si>
    <t>Công nghệ đa phương tiện</t>
  </si>
  <si>
    <t>B08-0206</t>
  </si>
  <si>
    <t>Trịnh Thị Thanh Phương</t>
  </si>
  <si>
    <t>ttphuong1@software.misa.com.vn</t>
  </si>
  <si>
    <t>D-1206</t>
  </si>
  <si>
    <t>Hoàng Thế Duyệt</t>
  </si>
  <si>
    <t>htduyet@hcm.misa.com.vn</t>
  </si>
  <si>
    <t>Quản Trị Nhân Sự</t>
  </si>
  <si>
    <t>Đại Học Công Nghệ TPHCM</t>
  </si>
  <si>
    <t>F-0140</t>
  </si>
  <si>
    <t>Đặng Văn Đồng</t>
  </si>
  <si>
    <t>dvdong@bmt.misa.com.vn</t>
  </si>
  <si>
    <t>Quản lý hệ thống thông tin quản lý</t>
  </si>
  <si>
    <t>Đại Học Kinh Tế - Luật TPHCM</t>
  </si>
  <si>
    <t>A-0400</t>
  </si>
  <si>
    <t>NV Truyền thông thương hiệu</t>
  </si>
  <si>
    <t>L03.05</t>
  </si>
  <si>
    <t>BO_PR_BRD</t>
  </si>
  <si>
    <t>nklinh1@misa.com.vn</t>
  </si>
  <si>
    <t>Quan hệ quốc tế</t>
  </si>
  <si>
    <t>Thủ Khoa Đầu Ra Học Viện Báo Chí Và Tuyên Truyền</t>
  </si>
  <si>
    <t>C-0744</t>
  </si>
  <si>
    <t>Vì Thu Hường</t>
  </si>
  <si>
    <t>Q. Quản lý kinh doanh (bán thêm)</t>
  </si>
  <si>
    <t>SB_CS_A.SM_MEI</t>
  </si>
  <si>
    <t>vthuong2@han.misa.com.vn</t>
  </si>
  <si>
    <t>D11-0018</t>
  </si>
  <si>
    <t>Bùi Thị Ngọc Bích</t>
  </si>
  <si>
    <t>Trưởng nhóm Tư vấn&amp;HTKH</t>
  </si>
  <si>
    <t>Nhóm Tư vấn MISA 10</t>
  </si>
  <si>
    <t>L02.13.04</t>
  </si>
  <si>
    <t>BO_CCS_LEAD</t>
  </si>
  <si>
    <t>bnbich@support.misa.com.vn</t>
  </si>
  <si>
    <t>Level 0</t>
  </si>
  <si>
    <t>B-0704</t>
  </si>
  <si>
    <t>Phan Nguyệt Hằng</t>
  </si>
  <si>
    <t>[MISA QLCB] Nhóm Phân tích &amp; Thiết kế</t>
  </si>
  <si>
    <t>Sản phẩm MISA QLCB</t>
  </si>
  <si>
    <t>L01.29.08.02</t>
  </si>
  <si>
    <t>pnhang@software.misa.com.vn</t>
  </si>
  <si>
    <t>B-1011</t>
  </si>
  <si>
    <t>Nguyễn Thị Vân Anh</t>
  </si>
  <si>
    <t>[AMIS HRM MISA] Nhóm Phân tích &amp; Thiết kế</t>
  </si>
  <si>
    <t>Sản phẩm AMIS HRM MISA</t>
  </si>
  <si>
    <t>L01.28.04.02</t>
  </si>
  <si>
    <t>nvanh9@software.misa.com.vn</t>
  </si>
  <si>
    <t>Kinh tế đối ngoại</t>
  </si>
  <si>
    <t>B06-0386</t>
  </si>
  <si>
    <t>Nguyễn Thành Chung</t>
  </si>
  <si>
    <t>Dự án AMIS.VN Mobile</t>
  </si>
  <si>
    <t>Sản phẩm AMIS.VN Mobile</t>
  </si>
  <si>
    <t>L01.28.07.01</t>
  </si>
  <si>
    <t>SDC_SWE_ADR</t>
  </si>
  <si>
    <t>ntchung1@mdc.misa.com.vn</t>
  </si>
  <si>
    <t>Đại học Hải Phòng</t>
  </si>
  <si>
    <t>B-1391</t>
  </si>
  <si>
    <t>Nguyễn Anh Quốc</t>
  </si>
  <si>
    <t>Dự án EMIS Công lập</t>
  </si>
  <si>
    <t>L01.33.02.01</t>
  </si>
  <si>
    <t>naquoc@software.misa.com.vn</t>
  </si>
  <si>
    <t>D-1203</t>
  </si>
  <si>
    <t>nthuyen14@hcm.misa.com.vn</t>
  </si>
  <si>
    <t>Học Viện Hàng Không Việt Nam</t>
  </si>
  <si>
    <t>D-1202</t>
  </si>
  <si>
    <t>Nguyễn Ngọc Nhật Uyên</t>
  </si>
  <si>
    <t>nnnuyen@hcm.misa.com.vn</t>
  </si>
  <si>
    <t>Quản Trị Kinh Doanh Tổng Hợp</t>
  </si>
  <si>
    <t>Đại Học Tài Chính - Marketing TPHCM</t>
  </si>
  <si>
    <t>E-0168</t>
  </si>
  <si>
    <t>Võ Thị Mộng Mơ</t>
  </si>
  <si>
    <t>Nhóm kinh doanh HCSN</t>
  </si>
  <si>
    <t>L06.03.06</t>
  </si>
  <si>
    <t>vtmmo@dng.misa.com.vn</t>
  </si>
  <si>
    <t>Đại Học Đông Á</t>
  </si>
  <si>
    <t>E-0169</t>
  </si>
  <si>
    <t>Lê Thị Hằng</t>
  </si>
  <si>
    <t>L06.16.02</t>
  </si>
  <si>
    <t>lthang4@dng.misa.com.vn</t>
  </si>
  <si>
    <t>Khoa Tài Chính- Ngân Hàng</t>
  </si>
  <si>
    <t>Trường Đại học Kinh tế TP.HCM</t>
  </si>
  <si>
    <t>E-0170</t>
  </si>
  <si>
    <t>Trương Thị Ánh Nguyệt</t>
  </si>
  <si>
    <t>L06.16.01</t>
  </si>
  <si>
    <t>ttanguyet@dng.misa.com.vn</t>
  </si>
  <si>
    <t>Quản trị kinh doanh nhà hàng khách sạn</t>
  </si>
  <si>
    <t>B-1178</t>
  </si>
  <si>
    <t>Nguyễn Tiến Thịnh</t>
  </si>
  <si>
    <t>Dự án MISA Lending Platform</t>
  </si>
  <si>
    <t>Sản phẩm MISA Lending</t>
  </si>
  <si>
    <t>L10.02.02.01</t>
  </si>
  <si>
    <t>JETPAY_SWE</t>
  </si>
  <si>
    <t>ntthinh1@software.misa.com.vn</t>
  </si>
  <si>
    <t>Học viện Kỹ thuật Mật mã</t>
  </si>
  <si>
    <t>B-0910</t>
  </si>
  <si>
    <t>Thiết kế trưởng</t>
  </si>
  <si>
    <t>L10.02</t>
  </si>
  <si>
    <t>JETPAY_PUDs</t>
  </si>
  <si>
    <t>ntthu@software.misa.com.vn</t>
  </si>
  <si>
    <t>Kỹ sư viễn thông</t>
  </si>
  <si>
    <t>B-0682</t>
  </si>
  <si>
    <t>Nguyễn Thị Hoàng Anh</t>
  </si>
  <si>
    <t>Dự án JETPAY</t>
  </si>
  <si>
    <t>Sản phẩm JETPAY</t>
  </si>
  <si>
    <t>L10.02.01.01</t>
  </si>
  <si>
    <t>JETPAY_BA</t>
  </si>
  <si>
    <t>nhanh@software.misa.com.vn</t>
  </si>
  <si>
    <t>B06-0507</t>
  </si>
  <si>
    <t>Nguyễn Tiến Thành</t>
  </si>
  <si>
    <t>Trưởng nhóm DevOps</t>
  </si>
  <si>
    <t>JETPAY_DOL</t>
  </si>
  <si>
    <t>ntthanh@software.misa.com.vn</t>
  </si>
  <si>
    <t>B08-0164</t>
  </si>
  <si>
    <t>Hà Quỳnh Anh</t>
  </si>
  <si>
    <t>Nhân viên Marketing</t>
  </si>
  <si>
    <t>Nhóm KD sản phẩm Lending</t>
  </si>
  <si>
    <t>L10.03.03</t>
  </si>
  <si>
    <t>JETPAY_MKT</t>
  </si>
  <si>
    <t>hqanh@software.misa.com.vn</t>
  </si>
  <si>
    <t>Học viện Báo chí và Tuyên truyền</t>
  </si>
  <si>
    <t>B-1073</t>
  </si>
  <si>
    <t>Đặng Văn Anh</t>
  </si>
  <si>
    <t>dvanh@software.misa.com.vn</t>
  </si>
  <si>
    <t>B08-0065</t>
  </si>
  <si>
    <t>Đào Thị Huyền Anh</t>
  </si>
  <si>
    <t>QC trưởng</t>
  </si>
  <si>
    <t>JETPAY_PQC</t>
  </si>
  <si>
    <t>dhanh@software.misa.com.vn</t>
  </si>
  <si>
    <t>Học viện Công nghệ Bưu chính viễn thông TP.HCM</t>
  </si>
  <si>
    <t>B24-0004</t>
  </si>
  <si>
    <t>Nguyễn Thanh Bình</t>
  </si>
  <si>
    <t>JETPAY_EM</t>
  </si>
  <si>
    <t>ntbinh@software.misa.com.vn</t>
  </si>
  <si>
    <t>B-0492</t>
  </si>
  <si>
    <t>Hoàng Thị Dung</t>
  </si>
  <si>
    <t>QL phân tích thiết kế</t>
  </si>
  <si>
    <t>[Lending] Nhóm phân tích thiết kế</t>
  </si>
  <si>
    <t>L10.02.02.02</t>
  </si>
  <si>
    <t>JETPAY_PO</t>
  </si>
  <si>
    <t>htdung1@software.misa.com.vn</t>
  </si>
  <si>
    <t>B-0720</t>
  </si>
  <si>
    <t>Đỗ Doãn Trường</t>
  </si>
  <si>
    <t>ddtruong@software.misa.com.vn</t>
  </si>
  <si>
    <t>Học viện quốc tế NIIT</t>
  </si>
  <si>
    <t>B-0616</t>
  </si>
  <si>
    <t>Đàm Văn Quân</t>
  </si>
  <si>
    <t>dvquan1@software.misa.com.vn</t>
  </si>
  <si>
    <t>B-0842</t>
  </si>
  <si>
    <t>Nguyễn Lan Anh</t>
  </si>
  <si>
    <t>nlanh2@software.misa.com.vn</t>
  </si>
  <si>
    <t>ĐH Bách Khoa HN</t>
  </si>
  <si>
    <t>B-0935</t>
  </si>
  <si>
    <t>Hoàng Thị Minh Trang</t>
  </si>
  <si>
    <t>hmtrang@software.misa.com.vn</t>
  </si>
  <si>
    <t>Ngôn ngữ Anh</t>
  </si>
  <si>
    <t>B-1063</t>
  </si>
  <si>
    <t>Nguyễn Xuân Thành</t>
  </si>
  <si>
    <t>nxthanh@software.misa.com.vn</t>
  </si>
  <si>
    <t>Đại Học Thủy Lợi Hà Nội</t>
  </si>
  <si>
    <t>B-1121</t>
  </si>
  <si>
    <t>Nguyễn Đức Duy</t>
  </si>
  <si>
    <t>ndduy@software.misa.com.vn</t>
  </si>
  <si>
    <t>Đại học Ngoại Thương - Hà Nội</t>
  </si>
  <si>
    <t>B-1259</t>
  </si>
  <si>
    <t>Ngô Thị Ba</t>
  </si>
  <si>
    <t>NV kiểm thử tự động</t>
  </si>
  <si>
    <t>Dự án Automation Test</t>
  </si>
  <si>
    <t>L01.28.20</t>
  </si>
  <si>
    <t>SDC_QCAU</t>
  </si>
  <si>
    <t>ntba@software.misa.com.vn</t>
  </si>
  <si>
    <t>Đại Học Giao Thông Vận Tải Hà Nội</t>
  </si>
  <si>
    <t>B-1125</t>
  </si>
  <si>
    <t>Lê Thanh Ngọc</t>
  </si>
  <si>
    <t>ltngoc1@software.misa.com.vn</t>
  </si>
  <si>
    <t>B-1162</t>
  </si>
  <si>
    <t>Trịnh Văn Phương</t>
  </si>
  <si>
    <t>tvphuong1@software.misa.com.vn</t>
  </si>
  <si>
    <t>Đại học Sư Phạm Hà Nội</t>
  </si>
  <si>
    <t>B-1062</t>
  </si>
  <si>
    <t>Bùi Tiến Dũng</t>
  </si>
  <si>
    <t>btdung1@software.misa.com.vn</t>
  </si>
  <si>
    <t>Đại Học Khoa Học Tự Nhiên Hà Nội</t>
  </si>
  <si>
    <t>C10-0172</t>
  </si>
  <si>
    <t>Đặng Văn Dũng</t>
  </si>
  <si>
    <t>Q. Trưởng nhóm KD Dự án TW</t>
  </si>
  <si>
    <t>GOVT_A.AML_CEN</t>
  </si>
  <si>
    <t>dvdung@han.misa.com.vn</t>
  </si>
  <si>
    <t>Đại học Công nghiệp Tp.Hồ Chí Minh</t>
  </si>
  <si>
    <t>B-1336</t>
  </si>
  <si>
    <t>Lê Trọng Nghĩa</t>
  </si>
  <si>
    <t>[AMIS Kế toán] Nhóm Phân tích &amp; Thiết kế</t>
  </si>
  <si>
    <t>Sản phẩm AMIS Kế toán</t>
  </si>
  <si>
    <t>L01.28.09.02</t>
  </si>
  <si>
    <t>ltnghia@software.misa.com.vn</t>
  </si>
  <si>
    <t>B06-0494</t>
  </si>
  <si>
    <t>Vương Thị Nga</t>
  </si>
  <si>
    <t>vtnga@software.misa.com.vn</t>
  </si>
  <si>
    <t>B06-0395</t>
  </si>
  <si>
    <t>Nguyễn Văn An</t>
  </si>
  <si>
    <t>nvan@software.misa.com.vn</t>
  </si>
  <si>
    <t>Công nghệ dữ liệu</t>
  </si>
  <si>
    <t>Học viện Kỹ Thuật Quân Sự - Hệ Dân Sự - Phía Bắc</t>
  </si>
  <si>
    <t>D-1011</t>
  </si>
  <si>
    <t>Đỗ Thị Kim Chi</t>
  </si>
  <si>
    <t>dkchi@hcm.misa.com.vn</t>
  </si>
  <si>
    <t>B06-0130</t>
  </si>
  <si>
    <t>SDC_SWE_IOS</t>
  </si>
  <si>
    <t>nvhung1@mdc.misa.com.vn</t>
  </si>
  <si>
    <t>Kỹ thuật Máy tính</t>
  </si>
  <si>
    <t>B06-0200</t>
  </si>
  <si>
    <t>Bùi Trung Dũng</t>
  </si>
  <si>
    <t>btdung@software.misa.com.vn</t>
  </si>
  <si>
    <t>Học viện Design Global</t>
  </si>
  <si>
    <t>D-1174</t>
  </si>
  <si>
    <t>Trần Thị Phương Linh</t>
  </si>
  <si>
    <t>ttplinh@hcm.misa.com.vn</t>
  </si>
  <si>
    <t>hệ thống thông tin kế toán</t>
  </si>
  <si>
    <t>B-0717</t>
  </si>
  <si>
    <t>Trương Hoàng Đức</t>
  </si>
  <si>
    <t>[C&amp;B] Nhóm Phân tích &amp; Thiết kế</t>
  </si>
  <si>
    <t>Sản phẩm AMIS C&amp;B</t>
  </si>
  <si>
    <t>L01.28.02.02</t>
  </si>
  <si>
    <t>thduc@software.misa.com.vn</t>
  </si>
  <si>
    <t>B-0865</t>
  </si>
  <si>
    <t>Nguyễn Thị Lan Anh</t>
  </si>
  <si>
    <t>NV hướng dẫn chuyển giao</t>
  </si>
  <si>
    <t>SDC_TW</t>
  </si>
  <si>
    <t>nlanh3@software.misa.com.vn</t>
  </si>
  <si>
    <t>ĐH Thương mại</t>
  </si>
  <si>
    <t>A13-0003</t>
  </si>
  <si>
    <t>Nguyễn Thị Thúy Hằng</t>
  </si>
  <si>
    <t>nthang@han.misa.com.vn</t>
  </si>
  <si>
    <t>C-1210</t>
  </si>
  <si>
    <t>Nguyễn Thị Thanh Nam</t>
  </si>
  <si>
    <t>Nhóm bán thêm AMIS nhân sự 3</t>
  </si>
  <si>
    <t>L04.30.12.03</t>
  </si>
  <si>
    <t>ntnam3@han.misa.com.vn</t>
  </si>
  <si>
    <t>CĐ Kinh Tế Công Nghiệp Hà Nội</t>
  </si>
  <si>
    <t>F09-0068</t>
  </si>
  <si>
    <t>Nguyễn Thị Quỳnh Trang</t>
  </si>
  <si>
    <t>NV Tư vấn đào tạo trực tuyến</t>
  </si>
  <si>
    <t>Nhóm Tư vấn MISA 01</t>
  </si>
  <si>
    <t>Phòng Tư vấn MISA 01</t>
  </si>
  <si>
    <t>L02.11.01</t>
  </si>
  <si>
    <t>BO_CCS_OTRN</t>
  </si>
  <si>
    <t>nqtrang1@support.misa.com.vn</t>
  </si>
  <si>
    <t>ĐH tài chính kế toán</t>
  </si>
  <si>
    <t>B08-0179</t>
  </si>
  <si>
    <t>Mai Lan Anh</t>
  </si>
  <si>
    <t>Dự án QLTS.VN</t>
  </si>
  <si>
    <t>Sản phẩm QLTS.VN</t>
  </si>
  <si>
    <t>L01.29.11.01</t>
  </si>
  <si>
    <t>mlanh@software.misa.com.vn</t>
  </si>
  <si>
    <t>Cao đẳng Du lịch Hà Nội</t>
  </si>
  <si>
    <t>D-1200</t>
  </si>
  <si>
    <t>Đan Khánh Linh</t>
  </si>
  <si>
    <t>dklinh1@hcm.misa.com.vn</t>
  </si>
  <si>
    <t>D09-0598</t>
  </si>
  <si>
    <t>Phạm Vũ Văn</t>
  </si>
  <si>
    <t>Nhóm CS 06</t>
  </si>
  <si>
    <t>Phòng CS 03</t>
  </si>
  <si>
    <t>L02.17.02</t>
  </si>
  <si>
    <t>pvvan@support.misa.com.vn</t>
  </si>
  <si>
    <t>ĐH Mở TP. HCM</t>
  </si>
  <si>
    <t>D-1205</t>
  </si>
  <si>
    <t>Phan Lê Phương Uyên</t>
  </si>
  <si>
    <t>plpuyen@hcm.misa.com.vn</t>
  </si>
  <si>
    <t>Kinh Tế Học</t>
  </si>
  <si>
    <t>B24-0029</t>
  </si>
  <si>
    <t>Nguyễn Kim Ngọc</t>
  </si>
  <si>
    <t>L01.35.02</t>
  </si>
  <si>
    <t>nkngoc@software.misa.com.vn</t>
  </si>
  <si>
    <t>C13-0001</t>
  </si>
  <si>
    <t>Nguyễn Thị Thanh Bình</t>
  </si>
  <si>
    <t>Trưởng ban PTKD</t>
  </si>
  <si>
    <t>L04.17</t>
  </si>
  <si>
    <t>BO_BD_MGR</t>
  </si>
  <si>
    <t>ntbinh@han.misa.com.vn</t>
  </si>
  <si>
    <t>A-0533</t>
  </si>
  <si>
    <t>Nguyễn Hồng Thơ</t>
  </si>
  <si>
    <t>nhtho1@misa.com.vn</t>
  </si>
  <si>
    <t>Khoa Tài chính - Ngân hàng</t>
  </si>
  <si>
    <t>D-1199</t>
  </si>
  <si>
    <t>Nguyễn Ngọc Phương Hà</t>
  </si>
  <si>
    <t>nnpha@hcm.misa.com.vn</t>
  </si>
  <si>
    <t>D-1201</t>
  </si>
  <si>
    <t>Phạm Thị Mỹ Lệ</t>
  </si>
  <si>
    <t>ptmle@hcm.misa.com.vn</t>
  </si>
  <si>
    <t>Quản trị kinh doanh (Quản trị kinh doanh tổng hợp)</t>
  </si>
  <si>
    <t>Cao Đẳng Công Thương TPHCM</t>
  </si>
  <si>
    <t>D-1204</t>
  </si>
  <si>
    <t>Lê Hồ Như Nguyệt</t>
  </si>
  <si>
    <t>lhnnguyet@hcm.misa.com.vn</t>
  </si>
  <si>
    <t>B06-0213</t>
  </si>
  <si>
    <t>Đặng Hoài Nam</t>
  </si>
  <si>
    <t>Dự án EMIS Mobile</t>
  </si>
  <si>
    <t>L01.33.02.04</t>
  </si>
  <si>
    <t>dhnam@mdc.misa.com.vn</t>
  </si>
  <si>
    <t>Học viện Công Nghệ Bưu Chính Viễn Thông Hà Nội</t>
  </si>
  <si>
    <t>D-0637</t>
  </si>
  <si>
    <t>Hoàng Thị Thùy Trang</t>
  </si>
  <si>
    <t>Nhóm CS 04</t>
  </si>
  <si>
    <t>Phòng CS 02</t>
  </si>
  <si>
    <t>L02.16.01</t>
  </si>
  <si>
    <t>htttrang@support.misa.com.vn</t>
  </si>
  <si>
    <t>Quản Trị Doanh Nghiệp Vừa Và Nhỏ</t>
  </si>
  <si>
    <t>CĐ Sài Gòn</t>
  </si>
  <si>
    <t>H-0329</t>
  </si>
  <si>
    <t>Nguyễn Thị Phương Hiền</t>
  </si>
  <si>
    <t>ntphien@support.misa.com.vn</t>
  </si>
  <si>
    <t>Đại Học Kinh Tế - ĐH Đà Nẵng</t>
  </si>
  <si>
    <t>H-0324</t>
  </si>
  <si>
    <t>Lê Thị Kim Thoa</t>
  </si>
  <si>
    <t>ltkthoa@support.misa.com.vn</t>
  </si>
  <si>
    <t>H-0326</t>
  </si>
  <si>
    <t>Nguyễn Thị Bích Trâm</t>
  </si>
  <si>
    <t>Nhóm Tư vấn MISA 11</t>
  </si>
  <si>
    <t>L02.13.05</t>
  </si>
  <si>
    <t>ntbtram@support.misa.com.vn</t>
  </si>
  <si>
    <t>Kế toán .</t>
  </si>
  <si>
    <t>H-0327</t>
  </si>
  <si>
    <t>Trần Thị Kim Diễm</t>
  </si>
  <si>
    <t>ttkdiem@support.misa.com.vn</t>
  </si>
  <si>
    <t>H-0325</t>
  </si>
  <si>
    <t>Lý Thị Mai</t>
  </si>
  <si>
    <t>ltmai2@support.misa.com.vn</t>
  </si>
  <si>
    <t>H-0323</t>
  </si>
  <si>
    <t>Bùi Thị Hải Hà</t>
  </si>
  <si>
    <t>Nhóm Tư vấn MISA 07</t>
  </si>
  <si>
    <t>L02.13.01</t>
  </si>
  <si>
    <t>bthha@support.misa.com.vn</t>
  </si>
  <si>
    <t>Đại Học Sư Phạm Kỹ Thuật TPHCM</t>
  </si>
  <si>
    <t>F-0138</t>
  </si>
  <si>
    <t>Nguyễn Thị Minh Hiền</t>
  </si>
  <si>
    <t>ntmhien@bmt.misa.com.vn</t>
  </si>
  <si>
    <t>A-0535</t>
  </si>
  <si>
    <t>Phùng Thu Giang</t>
  </si>
  <si>
    <t>TTS Đào tạo</t>
  </si>
  <si>
    <t>BO_HR_TRN_INTERN</t>
  </si>
  <si>
    <t>ptgiang3@misa.com.vn</t>
  </si>
  <si>
    <t>Thực tập sinh</t>
  </si>
  <si>
    <t>A-0538</t>
  </si>
  <si>
    <t>Tạ Anh Tú</t>
  </si>
  <si>
    <t>Nhóm MKT Tài chính - kế toán</t>
  </si>
  <si>
    <t>L03.34.02.03</t>
  </si>
  <si>
    <t>tatu1@misa.com.vn</t>
  </si>
  <si>
    <t>C-1097</t>
  </si>
  <si>
    <t>nvhung@misa.com.vn</t>
  </si>
  <si>
    <t>F-0141</t>
  </si>
  <si>
    <t>Trần Mỹ Duyên</t>
  </si>
  <si>
    <t>tmduyen2@bmt.misa.com.vn</t>
  </si>
  <si>
    <t>C09-0176</t>
  </si>
  <si>
    <t>Bùi Thị Thanh Nhàn</t>
  </si>
  <si>
    <t>NV QL thành công khách hàng</t>
  </si>
  <si>
    <t>SB_CSM_ASP</t>
  </si>
  <si>
    <t>btnhan@misa.com.vn</t>
  </si>
  <si>
    <t>Học viện Công Nghệ Bưu chính Viễn thông</t>
  </si>
  <si>
    <t>E09-0055</t>
  </si>
  <si>
    <t>Lê Thị Thanh Huyền</t>
  </si>
  <si>
    <t>L06.18.02</t>
  </si>
  <si>
    <t>lthuyen@dng.misa.com.vn</t>
  </si>
  <si>
    <t>DH Kỹ thuật công nghệ TP.HCM</t>
  </si>
  <si>
    <t>G-0097</t>
  </si>
  <si>
    <t>Đặng Công Khanh</t>
  </si>
  <si>
    <t>L08.17</t>
  </si>
  <si>
    <t>dckhanh@cth.misa.com.vn</t>
  </si>
  <si>
    <t>Kinh tế học</t>
  </si>
  <si>
    <t>G-0186</t>
  </si>
  <si>
    <t>Đỗ Tú Trinh</t>
  </si>
  <si>
    <t>dttrinh@cth.misa.com.vn</t>
  </si>
  <si>
    <t>A-0389</t>
  </si>
  <si>
    <t>Hoàng Thùy Dung</t>
  </si>
  <si>
    <t>htdung@misa.com.vn</t>
  </si>
  <si>
    <t>Chuyên ngành Quản trị bán hàng</t>
  </si>
  <si>
    <t>Đại Học Tài Chính Marketing</t>
  </si>
  <si>
    <t>G-0177</t>
  </si>
  <si>
    <t>Hà Thị Ngọc Trân</t>
  </si>
  <si>
    <t>hntran@cth.misa.com.vn</t>
  </si>
  <si>
    <t>C21-0016</t>
  </si>
  <si>
    <t>Nguyễn Mạnh Quang</t>
  </si>
  <si>
    <t>Dự án chuyển đổi kế toán MISA</t>
  </si>
  <si>
    <t>Sản phẩm Customize</t>
  </si>
  <si>
    <t>L01.28.19.01</t>
  </si>
  <si>
    <t>SDC_PO</t>
  </si>
  <si>
    <t>nmquang@software.misa.com.vn</t>
  </si>
  <si>
    <t>B-0796</t>
  </si>
  <si>
    <t>vthuong@software.misa.com.vn</t>
  </si>
  <si>
    <t>B08-0189</t>
  </si>
  <si>
    <t>Bùi Thị Hương Giang</t>
  </si>
  <si>
    <t>bhgiang@software.misa.com.vn</t>
  </si>
  <si>
    <t>B-0663</t>
  </si>
  <si>
    <t>[QLTS] Nhóm Phân tích &amp; Thiết kế</t>
  </si>
  <si>
    <t>L01.29.11.02</t>
  </si>
  <si>
    <t>nthuyen2@software.misa.com.vn</t>
  </si>
  <si>
    <t>B24-0032</t>
  </si>
  <si>
    <t>Nguyễn Trường Giang</t>
  </si>
  <si>
    <t>ntgiang1@software.misa.com.vn</t>
  </si>
  <si>
    <t>J-0002</t>
  </si>
  <si>
    <t>Trương Thị Huyền Thu</t>
  </si>
  <si>
    <t>[Automation Support] Nhóm Phân tích và Thiết kế</t>
  </si>
  <si>
    <t>Sản phẩm Automation Support</t>
  </si>
  <si>
    <t>L01.36.02.05</t>
  </si>
  <si>
    <t>ththu@software.misa.com.vn</t>
  </si>
  <si>
    <t>A-0470</t>
  </si>
  <si>
    <t>Đỗ Thu Trang</t>
  </si>
  <si>
    <t>dttrang@misa.com.vn</t>
  </si>
  <si>
    <t>Kinh tế và quản lý nguồn nhân lực</t>
  </si>
  <si>
    <t>Đại Học Kinh Tế Quốc Dân , Chuyên Ngành Kinh Tế</t>
  </si>
  <si>
    <t>G-0184</t>
  </si>
  <si>
    <t>Dư Kim Anh</t>
  </si>
  <si>
    <t>L08.17.01</t>
  </si>
  <si>
    <t>dkanh@cth.misa.com.vn</t>
  </si>
  <si>
    <t>G-0185</t>
  </si>
  <si>
    <t>Võ Tuyết Băng</t>
  </si>
  <si>
    <t>vtbang@cth.misa.com.vn</t>
  </si>
  <si>
    <t>B-1381</t>
  </si>
  <si>
    <t>Nguyễn Văn Thắng</t>
  </si>
  <si>
    <t>nvthang1@software.misa.com.vn</t>
  </si>
  <si>
    <t>Công nghệ thông tin</t>
  </si>
  <si>
    <t>Aprotrain Aptech</t>
  </si>
  <si>
    <t>B-1252</t>
  </si>
  <si>
    <t>Quách Công Thành</t>
  </si>
  <si>
    <t>Dự án AMIS Kế toán</t>
  </si>
  <si>
    <t>L01.28.09.01</t>
  </si>
  <si>
    <t>qcthanh@software.misa.com.vn</t>
  </si>
  <si>
    <t>* Đại học Công Nghiệp Hà Nội</t>
  </si>
  <si>
    <t>B-1022</t>
  </si>
  <si>
    <t>Nguyễn Văn Nguyên</t>
  </si>
  <si>
    <t>[SalaGov] Nhóm Phân tích &amp; Thiết kế</t>
  </si>
  <si>
    <t>L01.29.12.02</t>
  </si>
  <si>
    <t>nvnguyen1@software.misa.com.vn</t>
  </si>
  <si>
    <t>D-0610</t>
  </si>
  <si>
    <t>Lê Thành Ánh Minh</t>
  </si>
  <si>
    <t>Nhóm Tư vấn MISA 14</t>
  </si>
  <si>
    <t>Phòng Tư vấn MISA 04</t>
  </si>
  <si>
    <t>L02.14.02</t>
  </si>
  <si>
    <t>laminh@support.misa.com.vn</t>
  </si>
  <si>
    <t>Quản lý nhà hàng - khách sạn</t>
  </si>
  <si>
    <t>D20-0172</t>
  </si>
  <si>
    <t>Lê Thị Nữ</t>
  </si>
  <si>
    <t>ltnu@support.misa.com.vn</t>
  </si>
  <si>
    <t>CĐ Công nghệ Thủ Đức</t>
  </si>
  <si>
    <t>D11-0009</t>
  </si>
  <si>
    <t>Phạm Quốc Huỳnh</t>
  </si>
  <si>
    <t>Trưởng phòng CSKH</t>
  </si>
  <si>
    <t>L02.16</t>
  </si>
  <si>
    <t>BO_CCS_CSMM</t>
  </si>
  <si>
    <t>pqhuynh@support.misa.com.vn</t>
  </si>
  <si>
    <t>D33-0001</t>
  </si>
  <si>
    <t>Phạm Hồng Hoa</t>
  </si>
  <si>
    <t>Nhóm CS 03</t>
  </si>
  <si>
    <t>L02.16.02</t>
  </si>
  <si>
    <t>phhoa1@support.misa.com.vn</t>
  </si>
  <si>
    <t>ĐH Lương Thế Vinh</t>
  </si>
  <si>
    <t>D09-0617</t>
  </si>
  <si>
    <t>Lê Thị Thanh Triều</t>
  </si>
  <si>
    <t>lttrieu@support.misa.com.vn</t>
  </si>
  <si>
    <t>Thẩm định giá</t>
  </si>
  <si>
    <t>D20-0004</t>
  </si>
  <si>
    <t>Phạm Văn Trình</t>
  </si>
  <si>
    <t>pvtrinh@support.misa.com.vn</t>
  </si>
  <si>
    <t>D12-0016</t>
  </si>
  <si>
    <t>Cao Lê Thị Trúc Linh</t>
  </si>
  <si>
    <t>ctlinh@support.misa.com.vn</t>
  </si>
  <si>
    <t>D-0592</t>
  </si>
  <si>
    <t>Lê Hoàng Gia Gia</t>
  </si>
  <si>
    <t>lggia@support.misa.com.vn</t>
  </si>
  <si>
    <t>CĐ Việt Mỹ</t>
  </si>
  <si>
    <t>D21-0093</t>
  </si>
  <si>
    <t>Nguyễn Hùng Cường</t>
  </si>
  <si>
    <t>nhcuong@support.misa.com.vn</t>
  </si>
  <si>
    <t>D20-0219</t>
  </si>
  <si>
    <t>Trần Ngọc Hương Liên</t>
  </si>
  <si>
    <t>thlien@support.misa.com.vn</t>
  </si>
  <si>
    <t>D-0602</t>
  </si>
  <si>
    <t>Phan Thị Xuân</t>
  </si>
  <si>
    <t>ptxuan@support.misa.com.vn</t>
  </si>
  <si>
    <t>D09-0452</t>
  </si>
  <si>
    <t>Q. Trưởng nhóm CSKH</t>
  </si>
  <si>
    <t>BO_CCS_A.CSML</t>
  </si>
  <si>
    <t>nndiem@support.misa.com.vn</t>
  </si>
  <si>
    <t>D09-0361</t>
  </si>
  <si>
    <t>Nguyễn Thị Mỹ Nương</t>
  </si>
  <si>
    <t>nmnuong@support.misa.com.vn</t>
  </si>
  <si>
    <t>H-0161</t>
  </si>
  <si>
    <t>Hồ Huỳnh Trường An</t>
  </si>
  <si>
    <t>htan@support.misa.com.vn</t>
  </si>
  <si>
    <t>Cao Kinh Tế TP.HCM</t>
  </si>
  <si>
    <t>D09-0578</t>
  </si>
  <si>
    <t>Tôn Thị Hà Giang</t>
  </si>
  <si>
    <t>thgiang@support.misa.com.vn</t>
  </si>
  <si>
    <t>ĐH Kinh Tế - ĐH Huế</t>
  </si>
  <si>
    <t>D21-0023</t>
  </si>
  <si>
    <t>Nguyễn Lê Huyền Trâm</t>
  </si>
  <si>
    <t>nhtram1@support.misa.com.vn</t>
  </si>
  <si>
    <t>kế toán- kiểm toán</t>
  </si>
  <si>
    <t>D-0810</t>
  </si>
  <si>
    <t>Đoàn Quốc Tuấn</t>
  </si>
  <si>
    <t>dqtuan@support.misa.com.vn</t>
  </si>
  <si>
    <t>D-0474</t>
  </si>
  <si>
    <t>Trương Thị Ngọc Yến</t>
  </si>
  <si>
    <t>tnyen@support.misa.com.vn</t>
  </si>
  <si>
    <t>H11-0067</t>
  </si>
  <si>
    <t>Trương Thị Hạnh</t>
  </si>
  <si>
    <t>tthanh3@support.misa.com.vn</t>
  </si>
  <si>
    <t>Đại học Công nghiệp Tp. HCM</t>
  </si>
  <si>
    <t>D21-0089</t>
  </si>
  <si>
    <t>Trần Thị Hoài Linh</t>
  </si>
  <si>
    <t>thlinh@support.misa.com.vn</t>
  </si>
  <si>
    <t>H-0155</t>
  </si>
  <si>
    <t>Huỳnh Ái Vi</t>
  </si>
  <si>
    <t>havi@support.misa.com.vn</t>
  </si>
  <si>
    <t>D-0781</t>
  </si>
  <si>
    <t>Nguyễn Thị Lan Phương</t>
  </si>
  <si>
    <t>nlphuong1@support.misa.com.vn</t>
  </si>
  <si>
    <t>Đại Học Lao Động Xã Hội Csii</t>
  </si>
  <si>
    <t>D-0691</t>
  </si>
  <si>
    <t>Võ Minh Nguyệt</t>
  </si>
  <si>
    <t>vmnguyet@support.misa.com.vn</t>
  </si>
  <si>
    <t>D-0970</t>
  </si>
  <si>
    <t>Trần Thanh Tuấn</t>
  </si>
  <si>
    <t>tttuan@support.misa.com.vn</t>
  </si>
  <si>
    <t>D-0889</t>
  </si>
  <si>
    <t>Cao Kiều Trinh</t>
  </si>
  <si>
    <t>cktrinh@support.misa.com.vn</t>
  </si>
  <si>
    <t>D09-0609</t>
  </si>
  <si>
    <t>Lê Thị Búp</t>
  </si>
  <si>
    <t>ltbup@support.misa.com.vn</t>
  </si>
  <si>
    <t>D21-0021</t>
  </si>
  <si>
    <t>Nguyễn Tân Dung Thùy</t>
  </si>
  <si>
    <t>ndthuy@support.misa.com.vn</t>
  </si>
  <si>
    <t>D-0979</t>
  </si>
  <si>
    <t>Nguyễn Thị Ngọc Nhi</t>
  </si>
  <si>
    <t>ntnnhi@support.misa.com.vn</t>
  </si>
  <si>
    <t>D09-0254</t>
  </si>
  <si>
    <t>Nguyễn Vũ Thùy Trâm</t>
  </si>
  <si>
    <t>nvttram@suport.misa.com.vn</t>
  </si>
  <si>
    <t>CĐ kỹ thuật Cao Thắng</t>
  </si>
  <si>
    <t>H-0314</t>
  </si>
  <si>
    <t>Huỳnh Tấn Đại</t>
  </si>
  <si>
    <t>htdai@support.misa.com.vn</t>
  </si>
  <si>
    <t>Cao Đẳng Kinh Tế TPHCM</t>
  </si>
  <si>
    <t>D-1196</t>
  </si>
  <si>
    <t>Trần Mỹ Trinh</t>
  </si>
  <si>
    <t>tmtrinh1@hcm.misa.com.vn</t>
  </si>
  <si>
    <t>ngành marketing</t>
  </si>
  <si>
    <t>D09-0213</t>
  </si>
  <si>
    <t>Trần Thị Phương Lý</t>
  </si>
  <si>
    <t>tply@hcm.misa.com.vn</t>
  </si>
  <si>
    <t>B17-0005</t>
  </si>
  <si>
    <t>Lương Văn Khang</t>
  </si>
  <si>
    <t>SysOps</t>
  </si>
  <si>
    <t>Dự án giám sát</t>
  </si>
  <si>
    <t>L01.35.05</t>
  </si>
  <si>
    <t>SDC_SysOps</t>
  </si>
  <si>
    <t>lvkhang@software.misa.com.vn</t>
  </si>
  <si>
    <t>Quản trị hệ thống</t>
  </si>
  <si>
    <t>Học viện quốc tế FPT - Jetking</t>
  </si>
  <si>
    <t>A-0526</t>
  </si>
  <si>
    <t>Nguyễn Thị Ngọc Hà</t>
  </si>
  <si>
    <t>TTS Tuyển dụng</t>
  </si>
  <si>
    <t>BO_HR_TA_INTERN</t>
  </si>
  <si>
    <t>ntnha1@misa.com.vn</t>
  </si>
  <si>
    <t>Truyền thông đa phương tiện</t>
  </si>
  <si>
    <t>B-0509</t>
  </si>
  <si>
    <t>Dương Văn Tuấn</t>
  </si>
  <si>
    <t>Dự án Cukcuk W&amp;D (TTNN)</t>
  </si>
  <si>
    <t>Sản phẩm CukCuk (TTNN)</t>
  </si>
  <si>
    <t>L01.32.02.01</t>
  </si>
  <si>
    <t>dvtuan1@software.misa.com.vn</t>
  </si>
  <si>
    <t>B06-0290</t>
  </si>
  <si>
    <t>Trần Tiến Lợi</t>
  </si>
  <si>
    <t>Sản phẩm QTKD Mobile</t>
  </si>
  <si>
    <t>L01.28.18</t>
  </si>
  <si>
    <t>ttloi@mdc.misa.com.vn</t>
  </si>
  <si>
    <t>Đại học Đại Nam</t>
  </si>
  <si>
    <t>B-1167</t>
  </si>
  <si>
    <t>Trịnh Trung Đức</t>
  </si>
  <si>
    <t>ttduc@software.misa.com.vn</t>
  </si>
  <si>
    <t>Học viện bưu chính viễn thông</t>
  </si>
  <si>
    <t>A-0532</t>
  </si>
  <si>
    <t>Lê Khánh Long</t>
  </si>
  <si>
    <t>lklong@misa.com.vn</t>
  </si>
  <si>
    <t>Quản trị quảng cáo</t>
  </si>
  <si>
    <t>Học Viện Báo Chí Và Tuyên Truyền</t>
  </si>
  <si>
    <t>H11-0131</t>
  </si>
  <si>
    <t>Hồ Thị Trang</t>
  </si>
  <si>
    <t>httrang@support.misa.com.vn</t>
  </si>
  <si>
    <t>ĐH Lao Động Xã Hội - Cơ sở 1 - Hà Nội</t>
  </si>
  <si>
    <t>G-0129</t>
  </si>
  <si>
    <t>Mai Ngọc Trâm</t>
  </si>
  <si>
    <t>Nhóm Xúc tiến</t>
  </si>
  <si>
    <t>L08.03.02</t>
  </si>
  <si>
    <t>mntram@cth.misa.com.vn</t>
  </si>
  <si>
    <t>A-0455</t>
  </si>
  <si>
    <t>Nguyễn Thị Kim Thúy</t>
  </si>
  <si>
    <t>NV Triển khai</t>
  </si>
  <si>
    <t>SB_ONB_ASP</t>
  </si>
  <si>
    <t>nkthuy1@misa.com.vn</t>
  </si>
  <si>
    <t>Đại học Ngoại thương</t>
  </si>
  <si>
    <t>C09-0620</t>
  </si>
  <si>
    <t>Nhóm CS 02</t>
  </si>
  <si>
    <t>L02.15.02</t>
  </si>
  <si>
    <t>ntthu2@support.misa.com.vn</t>
  </si>
  <si>
    <t>B-0547</t>
  </si>
  <si>
    <t>Trần Nhật Quyết</t>
  </si>
  <si>
    <t>Dự án AMIS Đánh giá</t>
  </si>
  <si>
    <t>Sản phẩm AMIS Đánh giá</t>
  </si>
  <si>
    <t>L01.28.03.01</t>
  </si>
  <si>
    <t>tnquyet@software.misa.com.vn</t>
  </si>
  <si>
    <t>Thông tin và truyền thông</t>
  </si>
  <si>
    <t>C09-0023</t>
  </si>
  <si>
    <t>Nguyễn Thanh Khiêm</t>
  </si>
  <si>
    <t>Nhóm bán thêm AMIS kế toán 2</t>
  </si>
  <si>
    <t>L04.30.11.02</t>
  </si>
  <si>
    <t>ntkhiem@han.misa.com.vn</t>
  </si>
  <si>
    <t>D-1198</t>
  </si>
  <si>
    <t>Vũ Phạm Bảo Ngọc</t>
  </si>
  <si>
    <t>vpbngoc@hcm.misa.com.vn</t>
  </si>
  <si>
    <t>Đại Học Mở TPHCM</t>
  </si>
  <si>
    <t>C09-0308</t>
  </si>
  <si>
    <t>Nguyễn Đắc Tuấn Anh</t>
  </si>
  <si>
    <t>Dự án MISA Automation Support</t>
  </si>
  <si>
    <t>L01.36.02.06</t>
  </si>
  <si>
    <t>ntanh1@software.misa.com.vn</t>
  </si>
  <si>
    <t>C-0587</t>
  </si>
  <si>
    <t>Trần Thị Thắm</t>
  </si>
  <si>
    <t>SB_NS_A.SM_ESHOP</t>
  </si>
  <si>
    <t>tttham@han.misa.com.vn</t>
  </si>
  <si>
    <t>B-0786</t>
  </si>
  <si>
    <t>Dương Bằng Huân</t>
  </si>
  <si>
    <t>dbhuan@jetpay.vn</t>
  </si>
  <si>
    <t>B-0756</t>
  </si>
  <si>
    <t>Bùi Thị Thực</t>
  </si>
  <si>
    <t>JETPAY_QC</t>
  </si>
  <si>
    <t>btthuc@jetpay.vn</t>
  </si>
  <si>
    <t>C09-0628</t>
  </si>
  <si>
    <t>Phạm Thị Hiên</t>
  </si>
  <si>
    <t>pthien4@han.misa.com.vn</t>
  </si>
  <si>
    <t>G-0183</t>
  </si>
  <si>
    <t>Đặng Thị Yến Phil</t>
  </si>
  <si>
    <t>Nhóm KD bán thêm chuyển đổi giải pháp KTDN</t>
  </si>
  <si>
    <t>L08.18.05</t>
  </si>
  <si>
    <t>dyphil@cth.misa.com.vn</t>
  </si>
  <si>
    <t>Cao Đẳng Cần Thơ</t>
  </si>
  <si>
    <t>E-0120</t>
  </si>
  <si>
    <t>Bùi Thị Xuân Nguyên</t>
  </si>
  <si>
    <t>NV Hành chính tổng hợp</t>
  </si>
  <si>
    <t>L06.02</t>
  </si>
  <si>
    <t>BO_AD_ADS</t>
  </si>
  <si>
    <t>bxnguyen@dng.misa.com.vn</t>
  </si>
  <si>
    <t>Trường Đại học Sư phạm Đà Nẵng</t>
  </si>
  <si>
    <t>B-1004</t>
  </si>
  <si>
    <t>Ngô Công Quyến</t>
  </si>
  <si>
    <t>ncquyen@software.misa.com.vn</t>
  </si>
  <si>
    <t>H-0320</t>
  </si>
  <si>
    <t>Ngô Thị Yến</t>
  </si>
  <si>
    <t>ntyen5@support.misa.com.vn</t>
  </si>
  <si>
    <t>C-1024</t>
  </si>
  <si>
    <t>Nguyễn Thị Huyền My</t>
  </si>
  <si>
    <t>NV phát triển đối tác</t>
  </si>
  <si>
    <t>BO_BD_PDR</t>
  </si>
  <si>
    <t>nhmy2@han.misa.com.vn</t>
  </si>
  <si>
    <t>quản trị kinh doanh chất lượng cao</t>
  </si>
  <si>
    <t>Đại Học Kinh Tế Quốc Dân Thống Kê Kinh Tế Xã Hội</t>
  </si>
  <si>
    <t>C10-0075</t>
  </si>
  <si>
    <t>Bùi Văn Quân</t>
  </si>
  <si>
    <t>bvquan@han.misa.com.vn</t>
  </si>
  <si>
    <t>CNTT</t>
  </si>
  <si>
    <t>C10-0066</t>
  </si>
  <si>
    <t>Phạm Ngọc Huy</t>
  </si>
  <si>
    <t>pnhuy@han.misa.com.vn</t>
  </si>
  <si>
    <t>C10-0173</t>
  </si>
  <si>
    <t>Lê Thế Hiệp</t>
  </si>
  <si>
    <t>lthiep@han.misa.com.vn</t>
  </si>
  <si>
    <t>C10-0265</t>
  </si>
  <si>
    <t>Nguyễn Thị Hồng Ngọc</t>
  </si>
  <si>
    <t>nhngoc@han.misa.com.vn</t>
  </si>
  <si>
    <t>C10-0261</t>
  </si>
  <si>
    <t>Nguyễn Thị Phúc</t>
  </si>
  <si>
    <t>ntphuc@han.misa.com.vn</t>
  </si>
  <si>
    <t>Công Nghệ Hóa Học</t>
  </si>
  <si>
    <t>Đại Học Công Nghiệp Việt Trì</t>
  </si>
  <si>
    <t>C10-0108</t>
  </si>
  <si>
    <t>Bùi Thị Nhung</t>
  </si>
  <si>
    <t>btnhung@han.misa.com.vn</t>
  </si>
  <si>
    <t>C10-0290</t>
  </si>
  <si>
    <t>ntthu6@han.misa.com.vn</t>
  </si>
  <si>
    <t>C10-0051</t>
  </si>
  <si>
    <t>Vũ Thị Kim Dung</t>
  </si>
  <si>
    <t>vkdung@han.misa.com.vn</t>
  </si>
  <si>
    <t>C10-0219</t>
  </si>
  <si>
    <t>Nguyễn Ngọc Khánh</t>
  </si>
  <si>
    <t>nnkhanh@han.misa.com.vn</t>
  </si>
  <si>
    <t>Cơ khí chế tạo máy</t>
  </si>
  <si>
    <t>C09-0170</t>
  </si>
  <si>
    <t>Nguyễn Thanh Nga</t>
  </si>
  <si>
    <t>ntnga1@han.misa.com.vn</t>
  </si>
  <si>
    <t>C10-0018</t>
  </si>
  <si>
    <t>Lê Văn Chỉnh</t>
  </si>
  <si>
    <t>L04.03.16</t>
  </si>
  <si>
    <t>lvchinh@han.misa.com.vn</t>
  </si>
  <si>
    <t>Đại học Thăng Long</t>
  </si>
  <si>
    <t>C10-0124</t>
  </si>
  <si>
    <t>Trần Mạnh Dũng</t>
  </si>
  <si>
    <t>L04.03.17</t>
  </si>
  <si>
    <t>tmdung@han.misa.com.vn</t>
  </si>
  <si>
    <t>C-1064</t>
  </si>
  <si>
    <t>Đỗ Thị Hà Trang</t>
  </si>
  <si>
    <t>dthtrang@han.misa.com.vn</t>
  </si>
  <si>
    <t>C-0878</t>
  </si>
  <si>
    <t>ntquynh6@han.misa.com.vn</t>
  </si>
  <si>
    <t>Công nghệ Sinh học</t>
  </si>
  <si>
    <t>C09-0207</t>
  </si>
  <si>
    <t>Nguyễn Thị Vui</t>
  </si>
  <si>
    <t>ntvui@han.misa.com.vn</t>
  </si>
  <si>
    <t>C20-0111</t>
  </si>
  <si>
    <t>Nguyễn Phương Thúy</t>
  </si>
  <si>
    <t>npthuy@han.misa.com.vn</t>
  </si>
  <si>
    <t>Hải dương học</t>
  </si>
  <si>
    <t>C20-0154</t>
  </si>
  <si>
    <t>Nguyễn Khánh Hiệp</t>
  </si>
  <si>
    <t>SB_NS_SM_POS</t>
  </si>
  <si>
    <t>nkhiep@han.misa.com.vn</t>
  </si>
  <si>
    <t>C21-0107</t>
  </si>
  <si>
    <t>Bùi Văn Linh</t>
  </si>
  <si>
    <t>bvlinh@han.misa.com.vn</t>
  </si>
  <si>
    <t>C-1046</t>
  </si>
  <si>
    <t>Nguyễn Việt Cường</t>
  </si>
  <si>
    <t>nvcuong5@han.misa.com.vn</t>
  </si>
  <si>
    <t>khoa quản trị kinh doanh</t>
  </si>
  <si>
    <t>C-1011</t>
  </si>
  <si>
    <t>Đặng Thị Phương Thùy</t>
  </si>
  <si>
    <t>dpthuy1@han.misa.com.vn</t>
  </si>
  <si>
    <t>C-0985</t>
  </si>
  <si>
    <t>Phương Quyền Linh</t>
  </si>
  <si>
    <t>pqlinh1@han.misa.com.vn</t>
  </si>
  <si>
    <t>C-0956</t>
  </si>
  <si>
    <t>Lê Thị Thùy Dung</t>
  </si>
  <si>
    <t>ltdung@han.misa.com.vn</t>
  </si>
  <si>
    <t>C-0940</t>
  </si>
  <si>
    <t>Nguyễn Thị Thương Thương</t>
  </si>
  <si>
    <t>ntthuong3@han.misa.com.vn</t>
  </si>
  <si>
    <t>Quản trị văn phòng</t>
  </si>
  <si>
    <t>C-0909</t>
  </si>
  <si>
    <t>Nguyễn Thị Phương Thảo</t>
  </si>
  <si>
    <t>npthao1@han.misa.com.vn</t>
  </si>
  <si>
    <t>Kinh Tế</t>
  </si>
  <si>
    <t>C-0883</t>
  </si>
  <si>
    <t>Nguyễn Thị Loan</t>
  </si>
  <si>
    <t>ntloan2@han.misa.com.vn</t>
  </si>
  <si>
    <t>Đại học Thủy Lợi</t>
  </si>
  <si>
    <t>C-0846</t>
  </si>
  <si>
    <t>Bùi Thị Thu Trang</t>
  </si>
  <si>
    <t>bttrang2@han.misa.com.vn</t>
  </si>
  <si>
    <t>C-0842</t>
  </si>
  <si>
    <t>Trần Thị Thu Hiền</t>
  </si>
  <si>
    <t>tthien4@han.misa.com.vn</t>
  </si>
  <si>
    <t>C-1244</t>
  </si>
  <si>
    <t>Đỗ Nhật Uyên</t>
  </si>
  <si>
    <t>dnuyen@han.misa.com.vn</t>
  </si>
  <si>
    <t>C-1243</t>
  </si>
  <si>
    <t>Phạm Thị Nhật Uyên</t>
  </si>
  <si>
    <t>pnuyen@han.misa.com.vn</t>
  </si>
  <si>
    <t>C-1184</t>
  </si>
  <si>
    <t>nmcuong6@han.misa.com.vn</t>
  </si>
  <si>
    <t>Ngân hàng Tài chính</t>
  </si>
  <si>
    <t>05 2020 Đại Học Kinh Tế Quốc Dân</t>
  </si>
  <si>
    <t>C-1152</t>
  </si>
  <si>
    <t>Ngô Thị Vân Anh</t>
  </si>
  <si>
    <t>nvanh8@han.misa.com.vn</t>
  </si>
  <si>
    <t>01 2023 Đại Học Công Nghiệp Hà Nội</t>
  </si>
  <si>
    <t>C-1139</t>
  </si>
  <si>
    <t>Phan Thị Na</t>
  </si>
  <si>
    <t>ptna@han.misa.com.vn</t>
  </si>
  <si>
    <t>C-1123</t>
  </si>
  <si>
    <t>Đào Ngọc Hân</t>
  </si>
  <si>
    <t>dnhan2@han.misa.com.vn</t>
  </si>
  <si>
    <t>C-1120</t>
  </si>
  <si>
    <t>Hoàng Thị Thủy</t>
  </si>
  <si>
    <t>htthuy3@han.misa.com.vn</t>
  </si>
  <si>
    <t>Trường Đại Học Giao Thông Vận Tải</t>
  </si>
  <si>
    <t>C-1119</t>
  </si>
  <si>
    <t>Dương Thị Thanh Mai</t>
  </si>
  <si>
    <t>dtmai2@han.misa.com.vn</t>
  </si>
  <si>
    <t>C-1112</t>
  </si>
  <si>
    <t>Nguyễn Thị Hường</t>
  </si>
  <si>
    <t>nthuong25@han.misa.com.vn</t>
  </si>
  <si>
    <t>Hệ thống thông tin quản lí</t>
  </si>
  <si>
    <t>C-1079</t>
  </si>
  <si>
    <t>Nguyễn Thị Phương Linh</t>
  </si>
  <si>
    <t>ntplinh@han.misa.com.vn</t>
  </si>
  <si>
    <t>kế toán</t>
  </si>
  <si>
    <t>Bưu chính viễn thông</t>
  </si>
  <si>
    <t>C-1283</t>
  </si>
  <si>
    <t>Nguyễn Tiến Mạnh</t>
  </si>
  <si>
    <t>ntmanh@han.misa.com.vn</t>
  </si>
  <si>
    <t>Du lịch</t>
  </si>
  <si>
    <t>Đại Học Hùng Vương</t>
  </si>
  <si>
    <t>C-1263</t>
  </si>
  <si>
    <t>Chu Thị Vân</t>
  </si>
  <si>
    <t>ctvan1@han.misa.com.vn</t>
  </si>
  <si>
    <t>Quản trị du lịch lữ hành</t>
  </si>
  <si>
    <t>Đại Học Trường Đại Học Tài Nguyên Và Môi Trường Hà Nội</t>
  </si>
  <si>
    <t>C09-0244</t>
  </si>
  <si>
    <t>Võ Thị Mai</t>
  </si>
  <si>
    <t>vtmai@han.misa.com.vn</t>
  </si>
  <si>
    <t>C-0708</t>
  </si>
  <si>
    <t>Nguyễn Mai Linh</t>
  </si>
  <si>
    <t>nmlinh@han.misa.com.vn</t>
  </si>
  <si>
    <t>C09-0427</t>
  </si>
  <si>
    <t>Hà Mạnh Hải</t>
  </si>
  <si>
    <t>hmhai@han.misa.com.vn</t>
  </si>
  <si>
    <t>Kinh tế bảo hiểm</t>
  </si>
  <si>
    <t>C09-0098</t>
  </si>
  <si>
    <t>Phạm Thị Vui</t>
  </si>
  <si>
    <t>ptvui@han.misa.com.vn</t>
  </si>
  <si>
    <t>C09-0409</t>
  </si>
  <si>
    <t>Trình Thị Trang</t>
  </si>
  <si>
    <t>tttrang2@han.misa.com.vn</t>
  </si>
  <si>
    <t>C09-0319</t>
  </si>
  <si>
    <t>ntngoc@han.misa.com.vn</t>
  </si>
  <si>
    <t>C-0788</t>
  </si>
  <si>
    <t>Nhóm quản lý khách hàng 3</t>
  </si>
  <si>
    <t>L04.30.12.05</t>
  </si>
  <si>
    <t>nthang7@han.misa.com.vn</t>
  </si>
  <si>
    <t>C09-0616</t>
  </si>
  <si>
    <t>Nguyễn Thị Thu Hà</t>
  </si>
  <si>
    <t>ntha8@han.misa.com.vn</t>
  </si>
  <si>
    <t>C-0579</t>
  </si>
  <si>
    <t>Phạm Thị Ánh</t>
  </si>
  <si>
    <t>ptanh1@han.misa.com.vn</t>
  </si>
  <si>
    <t>C-0723</t>
  </si>
  <si>
    <t>Lê Ngọc Huyền</t>
  </si>
  <si>
    <t>lnhuyen@han.misa.com.vn</t>
  </si>
  <si>
    <t>C-0690</t>
  </si>
  <si>
    <t>ltha5@han.misa.com.vn</t>
  </si>
  <si>
    <t>Trường Học viện Tài Chính</t>
  </si>
  <si>
    <t>C-0684</t>
  </si>
  <si>
    <t>Trần Thị Kim Oanh</t>
  </si>
  <si>
    <t>tkoanh@han.misa.com.vn</t>
  </si>
  <si>
    <t>C09-0528</t>
  </si>
  <si>
    <t>Nguyễn Thị Thảo</t>
  </si>
  <si>
    <t>ntthao4@han.misa.com.vn</t>
  </si>
  <si>
    <t>C09-0595</t>
  </si>
  <si>
    <t>Chu Thị Ánh Tuyết</t>
  </si>
  <si>
    <t>catuyet@han.misa.com.vn</t>
  </si>
  <si>
    <t>C09-0525</t>
  </si>
  <si>
    <t>Đinh Thị Mơ</t>
  </si>
  <si>
    <t>dtmo@han.misa.com.vn</t>
  </si>
  <si>
    <t>C09-0576</t>
  </si>
  <si>
    <t>Đinh Thị Lan</t>
  </si>
  <si>
    <t>dtlan1@han.misa.com.vn</t>
  </si>
  <si>
    <t>Tiếng Anh</t>
  </si>
  <si>
    <t>Đại học Thương mại</t>
  </si>
  <si>
    <t>C21-0006</t>
  </si>
  <si>
    <t>Đỗ Hoàng Thu</t>
  </si>
  <si>
    <t>dhthu@han.misa.com.vn</t>
  </si>
  <si>
    <t>C-0710</t>
  </si>
  <si>
    <t>Trần Thị Thùy Linh</t>
  </si>
  <si>
    <t>ttlinh3@han.misa.com.vn</t>
  </si>
  <si>
    <t>C09-0186</t>
  </si>
  <si>
    <t>Nguyễn Thị Dung</t>
  </si>
  <si>
    <t>ntdung1@han.misa.com.vn</t>
  </si>
  <si>
    <t>Cao đẳng Thương mại và Du lịch</t>
  </si>
  <si>
    <t>C-0882</t>
  </si>
  <si>
    <t>Bùi Khánh Huyền</t>
  </si>
  <si>
    <t>bkhuyen@han.misa.com.vn</t>
  </si>
  <si>
    <t>C-0870</t>
  </si>
  <si>
    <t>Đặng Thị Thu Gấm</t>
  </si>
  <si>
    <t>dtgam@han.misa.com.vn</t>
  </si>
  <si>
    <t>C-0840</t>
  </si>
  <si>
    <t>Nguyễn Thị Phương Thoa</t>
  </si>
  <si>
    <t>npthoa@han.misa.com.vn</t>
  </si>
  <si>
    <t>Quản trị kinh doanh du lịch và khách sạn</t>
  </si>
  <si>
    <t>C-0839</t>
  </si>
  <si>
    <t>Lương Thị Thương</t>
  </si>
  <si>
    <t>ltthuong2@han.misa.com.vn</t>
  </si>
  <si>
    <t>C21-0013</t>
  </si>
  <si>
    <t>Bùi Thị Mỹ Dung</t>
  </si>
  <si>
    <t>Trung tâm KD GP DN lớn</t>
  </si>
  <si>
    <t>L03.29.02</t>
  </si>
  <si>
    <t>ENT_NS_AE</t>
  </si>
  <si>
    <t>bmdung@han.misa.com.vn</t>
  </si>
  <si>
    <t>C09-0553</t>
  </si>
  <si>
    <t>nthang4@han.misa.com.vn</t>
  </si>
  <si>
    <t>C09-0489</t>
  </si>
  <si>
    <t>Đỗ Ngọc Mỹ</t>
  </si>
  <si>
    <t>dnmy@han.misa.com.vn</t>
  </si>
  <si>
    <t>C21-0023</t>
  </si>
  <si>
    <t>Phạm Kim Khánh</t>
  </si>
  <si>
    <t>MB_NS_SM_CRM</t>
  </si>
  <si>
    <t>pkkhanh@han.misa.com.vn</t>
  </si>
  <si>
    <t>Học viện Công nghệ Bưu chính Viễn thông</t>
  </si>
  <si>
    <t>C-1054</t>
  </si>
  <si>
    <t>Lục Linh Trang</t>
  </si>
  <si>
    <t>lltrang@han.misa.com.vn</t>
  </si>
  <si>
    <t>C-1040</t>
  </si>
  <si>
    <t>Phạm Thị Hồng Ngọc</t>
  </si>
  <si>
    <t>phngoc1@han.misa.com.vn</t>
  </si>
  <si>
    <t>C-1030</t>
  </si>
  <si>
    <t>ptanh2@han.misa.com.vn</t>
  </si>
  <si>
    <t>viện đại học mở hà nội</t>
  </si>
  <si>
    <t>C-0966</t>
  </si>
  <si>
    <t>Nguyễn Thị Bích Hồng</t>
  </si>
  <si>
    <t>nbhong1@han.misa.com.vn</t>
  </si>
  <si>
    <t>C-0945</t>
  </si>
  <si>
    <t>bttrang3@han.misa.com.vn</t>
  </si>
  <si>
    <t>Quản trị Văn phòng</t>
  </si>
  <si>
    <t>đại học Nội vụ Hà Nội</t>
  </si>
  <si>
    <t>C-1239</t>
  </si>
  <si>
    <t>Đỗ Thành Đức</t>
  </si>
  <si>
    <t>dtduc@han.misa.com.vn</t>
  </si>
  <si>
    <t>C-1238</t>
  </si>
  <si>
    <t>nttrang17@han.misa.com.vn</t>
  </si>
  <si>
    <t>Đại Học Tài Chính Ngân Hàng Hà Nội Chuyên Ngành Tài Chính Ngân Hàng</t>
  </si>
  <si>
    <t>C-1234</t>
  </si>
  <si>
    <t>Nguyễn Thị Ánh</t>
  </si>
  <si>
    <t>ntanh11@han.misa.com.vn</t>
  </si>
  <si>
    <t>đại học kinh tế kỹ thuật bình dương</t>
  </si>
  <si>
    <t>C-1231</t>
  </si>
  <si>
    <t>Nguyễn Thị Chinh</t>
  </si>
  <si>
    <t>ntchinh2@han.misa.com.vn</t>
  </si>
  <si>
    <t>C-1225</t>
  </si>
  <si>
    <t>Phùng Thị Huyền Trang</t>
  </si>
  <si>
    <t>phtrang5@han.misa.com.vn</t>
  </si>
  <si>
    <t>Khoa Bất động sản &amp; Kinh tế tài nguyên</t>
  </si>
  <si>
    <t>Trường Đh Kinh Tế Quốc Dân</t>
  </si>
  <si>
    <t>C-1219</t>
  </si>
  <si>
    <t>ntphuong6@han.misa.com.vn</t>
  </si>
  <si>
    <t>C-1218</t>
  </si>
  <si>
    <t>tttham2@han.misa.com.vn</t>
  </si>
  <si>
    <t>Trường Học viện Ngân Hàng</t>
  </si>
  <si>
    <t>C-1202</t>
  </si>
  <si>
    <t>Nguyễn Thị Mai</t>
  </si>
  <si>
    <t>ntmai@han.misa.com.vn</t>
  </si>
  <si>
    <t>Trường Đại Học Kinh Tế Kỹ Thuật Công Nghiệp</t>
  </si>
  <si>
    <t>C-1147</t>
  </si>
  <si>
    <t>Lương Thị Yến Nhi</t>
  </si>
  <si>
    <t>Nhóm bán thêm AMIS điều hành 3</t>
  </si>
  <si>
    <t>L04.30.12.04</t>
  </si>
  <si>
    <t>lynhi@han.misa.com.vn</t>
  </si>
  <si>
    <t>Trường Quốc tế - Đại học Quốc</t>
  </si>
  <si>
    <t>C-1304</t>
  </si>
  <si>
    <t>Hoàng Thị Vinh</t>
  </si>
  <si>
    <t>htvinh1@han.misa.com.vn</t>
  </si>
  <si>
    <t>marketing thương mại</t>
  </si>
  <si>
    <t>Cử Nhân- Đại Học Thương Mại</t>
  </si>
  <si>
    <t>C-1265</t>
  </si>
  <si>
    <t>Vi Đức Thắng</t>
  </si>
  <si>
    <t>vdthang2@han.misa.com.vn</t>
  </si>
  <si>
    <t>ĐH Mở Hà Nội</t>
  </si>
  <si>
    <t>C-1255</t>
  </si>
  <si>
    <t>nttrang22@han.misa.com.vn</t>
  </si>
  <si>
    <t>C21-0047</t>
  </si>
  <si>
    <t>Phan Thị Thùy Linh</t>
  </si>
  <si>
    <t>ptlinh1@han.misa.com.vn</t>
  </si>
  <si>
    <t>C21-0082</t>
  </si>
  <si>
    <t>Nguyễn Phương Hải</t>
  </si>
  <si>
    <t>Nhóm bán thêm AMIS bán hàng 3</t>
  </si>
  <si>
    <t>L04.30.12.02</t>
  </si>
  <si>
    <t>nphai@han.misa.com.vn</t>
  </si>
  <si>
    <t>C-0786</t>
  </si>
  <si>
    <t>ntquynh4@han.misa.com.vn</t>
  </si>
  <si>
    <t>C-0584</t>
  </si>
  <si>
    <t>Bùi Thị Huyền Trang</t>
  </si>
  <si>
    <t>bhtrang@han.misa.com.vn</t>
  </si>
  <si>
    <t>Quản trị nhà hàng khách sạn</t>
  </si>
  <si>
    <t>C21-0115</t>
  </si>
  <si>
    <t>Nguyễn Thị Hồng</t>
  </si>
  <si>
    <t>nthong1@han.misa.com.vn</t>
  </si>
  <si>
    <t>Đại học công nghệ Đông Á</t>
  </si>
  <si>
    <t>C10-0084</t>
  </si>
  <si>
    <t>Vũ Đức Thắng</t>
  </si>
  <si>
    <t>L04.03.18</t>
  </si>
  <si>
    <t>vdthang@han.misa.com.vn</t>
  </si>
  <si>
    <t>C21-0103</t>
  </si>
  <si>
    <t>Lê Văn Duy</t>
  </si>
  <si>
    <t>L04.30.10</t>
  </si>
  <si>
    <t>lvduy@han.misa.com.vn</t>
  </si>
  <si>
    <t>C09-0052</t>
  </si>
  <si>
    <t>Đỗ Thị Thảo</t>
  </si>
  <si>
    <t>dtthao@han.misa.com.vn</t>
  </si>
  <si>
    <t>C-0697</t>
  </si>
  <si>
    <t>Nguyễn Thị Hoa</t>
  </si>
  <si>
    <t>nthoa4@han.misa.com.vn</t>
  </si>
  <si>
    <t>C21-0058</t>
  </si>
  <si>
    <t>Trương Công Thành</t>
  </si>
  <si>
    <t>MB_NS_SM_HRM</t>
  </si>
  <si>
    <t>tcthanh@han.misa.com.vn</t>
  </si>
  <si>
    <t>C09-0499</t>
  </si>
  <si>
    <t>tttrang3@han.misa.com.vn</t>
  </si>
  <si>
    <t>C09-0474</t>
  </si>
  <si>
    <t>Nguyễn Thùy Dung</t>
  </si>
  <si>
    <t>ntdung4@han.misa.com.vn</t>
  </si>
  <si>
    <t>Quản trị kinh doanh.</t>
  </si>
  <si>
    <t>C-0828</t>
  </si>
  <si>
    <t>Đàm Thị Hải Yến</t>
  </si>
  <si>
    <t>dhyen2@han.misa.com.vn</t>
  </si>
  <si>
    <t>C09-0597</t>
  </si>
  <si>
    <t>Bùi Phương Linh</t>
  </si>
  <si>
    <t>bplinh@han.misa.com.vn</t>
  </si>
  <si>
    <t>C20-0007</t>
  </si>
  <si>
    <t>Nguyễn Thị Thương</t>
  </si>
  <si>
    <t>ntthuong@han.misa.com.vn</t>
  </si>
  <si>
    <t>Cao đẳng sư phạm Trung Ương</t>
  </si>
  <si>
    <t>C21-0029</t>
  </si>
  <si>
    <t>Phạm Thị Ánh Vân</t>
  </si>
  <si>
    <t>Nhóm bán thêm AMIS kế toán 1</t>
  </si>
  <si>
    <t>L04.30.10.02</t>
  </si>
  <si>
    <t>pavan@han.misa.com.vn</t>
  </si>
  <si>
    <t>C09-0179</t>
  </si>
  <si>
    <t>Phạm Văn Hùng</t>
  </si>
  <si>
    <t>pvhung@han.misa.com.vn</t>
  </si>
  <si>
    <t>C-0787</t>
  </si>
  <si>
    <t>Lê Thị Thúy Nga</t>
  </si>
  <si>
    <t>Nhóm bán thêm AMIS Điều hành 2</t>
  </si>
  <si>
    <t>L04.30.11.05</t>
  </si>
  <si>
    <t>ltnga1@han.misa.com.vn</t>
  </si>
  <si>
    <t>C-0724</t>
  </si>
  <si>
    <t>Mai Thị Xoan</t>
  </si>
  <si>
    <t>mtxoan@han.misa.com.vn</t>
  </si>
  <si>
    <t>Quản trị nhân sự</t>
  </si>
  <si>
    <t>C09-0120</t>
  </si>
  <si>
    <t>Nguyễn Văn Khải</t>
  </si>
  <si>
    <t>L04.35</t>
  </si>
  <si>
    <t>nvkhai@han.misa.com.vn</t>
  </si>
  <si>
    <t>C-1105</t>
  </si>
  <si>
    <t>Bùi Thị Thu Hường</t>
  </si>
  <si>
    <t>btthuong@han.misa.com.vn</t>
  </si>
  <si>
    <t>C-1073</t>
  </si>
  <si>
    <t>Hoàng Mỹ Duyên</t>
  </si>
  <si>
    <t>hmduyen@han.misa.com.vn</t>
  </si>
  <si>
    <t>kế toán doanh nghiệp chất lượng cao</t>
  </si>
  <si>
    <t>C-0871</t>
  </si>
  <si>
    <t>Quách Thị Tươi</t>
  </si>
  <si>
    <t>qttuoi@han.misa.com.vn</t>
  </si>
  <si>
    <t>ĐH Tài Chính Ngân Hàng Hà Nội</t>
  </si>
  <si>
    <t>C10-0146</t>
  </si>
  <si>
    <t>Nguyễn Quang Bình</t>
  </si>
  <si>
    <t>nqbinh@han.misa.com.vn</t>
  </si>
  <si>
    <t>Quản trị Mạng</t>
  </si>
  <si>
    <t>C10-0061</t>
  </si>
  <si>
    <t>ntlinh@han.misa.com.vn</t>
  </si>
  <si>
    <t>C10-0198</t>
  </si>
  <si>
    <t>Hoàng Đăng Trưởng</t>
  </si>
  <si>
    <t>hdtruong@han.misa.com.vn</t>
  </si>
  <si>
    <t>C09-0596</t>
  </si>
  <si>
    <t>ntthao5@han.misa.com.vn</t>
  </si>
  <si>
    <t>Đại Học Điện Lực</t>
  </si>
  <si>
    <t>C-0580</t>
  </si>
  <si>
    <t>Lê Thu Hằng</t>
  </si>
  <si>
    <t>lthang2@han.misa.com.vn</t>
  </si>
  <si>
    <t>Hải quan - Xuất nhập khẩu</t>
  </si>
  <si>
    <t>C10-0171</t>
  </si>
  <si>
    <t>Nguyễn Ngọc Bích</t>
  </si>
  <si>
    <t>nnbich@han.misa.com.vn</t>
  </si>
  <si>
    <t>C-1330</t>
  </si>
  <si>
    <t>Lê Thị Thanh Hằng</t>
  </si>
  <si>
    <t>ltthang1@han.misa.com.vn</t>
  </si>
  <si>
    <t>Tài Chính Công – Thuộc Viện Ngân Hàng – Tài Chính</t>
  </si>
  <si>
    <t>C-1328</t>
  </si>
  <si>
    <t>Đặng Thị Linh Hương</t>
  </si>
  <si>
    <t>dtlhuong@han.misa.com.vn</t>
  </si>
  <si>
    <t>C-1323</t>
  </si>
  <si>
    <t>ntnha@han.misa.com.vn</t>
  </si>
  <si>
    <t>C-1320</t>
  </si>
  <si>
    <t>Nguyễn Thị Thanh Hoa</t>
  </si>
  <si>
    <t>ntthoa1@han.misa.com.vn</t>
  </si>
  <si>
    <t>Quản trị Khách Sạn</t>
  </si>
  <si>
    <t>C-1317</t>
  </si>
  <si>
    <t>Dương Thị Lan Anh</t>
  </si>
  <si>
    <t>dtlanh@han.misa.com.vn</t>
  </si>
  <si>
    <t>- tài chính ngân hàng &amp; Kế toán</t>
  </si>
  <si>
    <t>Học Viện Chính Sách Và Phát Triển Khoa Kế Toán Kiểm Toán</t>
  </si>
  <si>
    <t>C-1274</t>
  </si>
  <si>
    <t>Nguyễn Thị Tuyết Mai</t>
  </si>
  <si>
    <t>ntmai6@han.misa.com.vn</t>
  </si>
  <si>
    <t>Đại học Lao động – Xã hội</t>
  </si>
  <si>
    <t>C-1144</t>
  </si>
  <si>
    <t>Tô Thị Bình</t>
  </si>
  <si>
    <t>ttbinh@han.misa.com.vn</t>
  </si>
  <si>
    <t>Trường Đại Học Kinh Tế Đại Học Quốc Gia Hà Nội</t>
  </si>
  <si>
    <t>C-1076</t>
  </si>
  <si>
    <t>Nguyễn Thị Minh</t>
  </si>
  <si>
    <t>ntminh1@han.misa.com.vn</t>
  </si>
  <si>
    <t>Hướng dân viên du lịch.</t>
  </si>
  <si>
    <t>Trường Đại học Công nghiệp Hà Nội</t>
  </si>
  <si>
    <t>C-0978</t>
  </si>
  <si>
    <t>Tạ Thị Thu Huế</t>
  </si>
  <si>
    <t>tthue2@han.misa.com.vn</t>
  </si>
  <si>
    <t>quản trị kinh doanh chất</t>
  </si>
  <si>
    <t>Đại Học Kinh Tế Đại Học Quốc Gia</t>
  </si>
  <si>
    <t>C-0975</t>
  </si>
  <si>
    <t>Phạm Thị Vân</t>
  </si>
  <si>
    <t>ptvan@han.misa.com.vn</t>
  </si>
  <si>
    <t>Quan trị kinh doanh thương mại</t>
  </si>
  <si>
    <t>C-0906</t>
  </si>
  <si>
    <t>Đỗ Đức Thiện</t>
  </si>
  <si>
    <t>ddthien@han.misa.com.vn</t>
  </si>
  <si>
    <t>C09-0623</t>
  </si>
  <si>
    <t>Hoàng Thị Lý</t>
  </si>
  <si>
    <t>htly1@han.misa.com.vn</t>
  </si>
  <si>
    <t>Hệ thống thông tin kinh tế và Thương mại điện tử</t>
  </si>
  <si>
    <t>C-0593</t>
  </si>
  <si>
    <t>Vũ Thị Lan</t>
  </si>
  <si>
    <t>vtlan@han.misa.com.vn</t>
  </si>
  <si>
    <t>C10-0291</t>
  </si>
  <si>
    <t>Hà Thị Mừng</t>
  </si>
  <si>
    <t>htmung@han.misa.com.vn</t>
  </si>
  <si>
    <t>C09-0559</t>
  </si>
  <si>
    <t>Nguyễn Quyết Thuận</t>
  </si>
  <si>
    <t>KD_BANTHEM_BT-WSES_SM</t>
  </si>
  <si>
    <t>nqthuan@han.misa.com.vn</t>
  </si>
  <si>
    <t>C21-0113</t>
  </si>
  <si>
    <t>Nguyễn Trí Đức</t>
  </si>
  <si>
    <t>L04.30.11</t>
  </si>
  <si>
    <t>ntduc@han.misa.com.vn</t>
  </si>
  <si>
    <t>C09-0605</t>
  </si>
  <si>
    <t>Dương Thị Thanh Hương</t>
  </si>
  <si>
    <t>dthuong2@han.misa.com.vn</t>
  </si>
  <si>
    <t>C09-0294</t>
  </si>
  <si>
    <t>nthao@han.misa.com.vn</t>
  </si>
  <si>
    <t>C-1356</t>
  </si>
  <si>
    <t>Hoàng Nguyễn Xuân Hương</t>
  </si>
  <si>
    <t>hnxhuong@han.misa.com.vn</t>
  </si>
  <si>
    <t>Đại Học Công Đoàn</t>
  </si>
  <si>
    <t>C-1351</t>
  </si>
  <si>
    <t>Vũ Khánh Toàn</t>
  </si>
  <si>
    <t>vktoan@han.misa.com.vn</t>
  </si>
  <si>
    <t>C-1347</t>
  </si>
  <si>
    <t>Nguyễn Thị Ngọc Lan</t>
  </si>
  <si>
    <t>ntnlan@han.misa.com.vn</t>
  </si>
  <si>
    <t>Trường đại học Ngoại Thương Hà Nội &amp; Bedfordshire UK</t>
  </si>
  <si>
    <t>C-1345</t>
  </si>
  <si>
    <t>Lê Thị Tú Anh</t>
  </si>
  <si>
    <t>lttanh@han.misa.com.vn</t>
  </si>
  <si>
    <t>kinh tế và quản lý nguồn lực tài chính</t>
  </si>
  <si>
    <t>C-1339</t>
  </si>
  <si>
    <t>Vũ Khánh Linh</t>
  </si>
  <si>
    <t>vklinh1@han.misa.com.vn</t>
  </si>
  <si>
    <t>C-1316</t>
  </si>
  <si>
    <t>Lê Thị Hoài Trang</t>
  </si>
  <si>
    <t>lthtrang@han.misa.com.vn</t>
  </si>
  <si>
    <t>Cao Đẳng Kinh Tế Công Nghiệp Hà Nội</t>
  </si>
  <si>
    <t>C-1308</t>
  </si>
  <si>
    <t>Nguyễn Văn Cường</t>
  </si>
  <si>
    <t>nvcuong4@han.misa.com.vn</t>
  </si>
  <si>
    <t>ĐH Công nghệ Đông Á</t>
  </si>
  <si>
    <t>C-1271</t>
  </si>
  <si>
    <t>Nguyễn Thị Hải Yến</t>
  </si>
  <si>
    <t>nhyen6@han.misa.com.vn</t>
  </si>
  <si>
    <t>ĐH Sư phạm Kỹ Thuật Hưng Yên</t>
  </si>
  <si>
    <t>C-1214</t>
  </si>
  <si>
    <t>Vũ Thị Ngát</t>
  </si>
  <si>
    <t>vtngat@han.misa.com.vn</t>
  </si>
  <si>
    <t>Học Viện Nông Nghiệp Việt Nam ,</t>
  </si>
  <si>
    <t>C09-0619</t>
  </si>
  <si>
    <t>ntnhung4@han.misa.com.vn</t>
  </si>
  <si>
    <t>Đại học tài chính - ngân hàng Hà Nội</t>
  </si>
  <si>
    <t>C26-0034</t>
  </si>
  <si>
    <t>Ông Thị Gấm</t>
  </si>
  <si>
    <t>otgam@han.misa.com.vn</t>
  </si>
  <si>
    <t>C10-0217</t>
  </si>
  <si>
    <t>Ngô Thị Bích</t>
  </si>
  <si>
    <t>ntbich@han.misa.com.vn</t>
  </si>
  <si>
    <t>Tài chính- Ngân hàng</t>
  </si>
  <si>
    <t>C-0693</t>
  </si>
  <si>
    <t>Nguyễn Văn Toàn</t>
  </si>
  <si>
    <t>nvtoan@han.misa.com.vn</t>
  </si>
  <si>
    <t>Quản trị doanh nghiệp vận tải</t>
  </si>
  <si>
    <t>C-1338</t>
  </si>
  <si>
    <t>Trần Thị Linh</t>
  </si>
  <si>
    <t>ttlinh4@han.misa.com.vn</t>
  </si>
  <si>
    <t>nông nghiệp</t>
  </si>
  <si>
    <t>C-1335</t>
  </si>
  <si>
    <t>Đặng Thu Hà</t>
  </si>
  <si>
    <t>dtha5@han.misa.com.vn</t>
  </si>
  <si>
    <t>C-1332</t>
  </si>
  <si>
    <t>Trần Hương Thảo Nguyên</t>
  </si>
  <si>
    <t>thtnguyen@han.misa.com.vn</t>
  </si>
  <si>
    <t>Quản trị kinh doanh nhà hàng-khách sạn</t>
  </si>
  <si>
    <t>Học viện Phụ nữ Việt Nam</t>
  </si>
  <si>
    <t>C-1327</t>
  </si>
  <si>
    <t>Đặng Thuý Quỳnh</t>
  </si>
  <si>
    <t>dtquynh3@han.misa.com.vn</t>
  </si>
  <si>
    <t>Quản trị kinh doanh -</t>
  </si>
  <si>
    <t>C-1324</t>
  </si>
  <si>
    <t>Khổng Thị Thảo Vân</t>
  </si>
  <si>
    <t>kttvan@han.misa.com.vn</t>
  </si>
  <si>
    <t>C-1175</t>
  </si>
  <si>
    <t>Đông Đức Huy</t>
  </si>
  <si>
    <t>ddhuy1@han.misa.com.vn</t>
  </si>
  <si>
    <t>C-1114</t>
  </si>
  <si>
    <t>Phạm Thị Lan Anh</t>
  </si>
  <si>
    <t>ptlanh@han.misa.com.vn</t>
  </si>
  <si>
    <t>C-1111</t>
  </si>
  <si>
    <t>Phan Thị Huyền Trang</t>
  </si>
  <si>
    <t>pthtrang@han.misa.com.vn</t>
  </si>
  <si>
    <t>Kinh tế đầu tư</t>
  </si>
  <si>
    <t>C26-0178</t>
  </si>
  <si>
    <t>Hà Thị Thảo Ly</t>
  </si>
  <si>
    <t>htly@han.misa.com.vn</t>
  </si>
  <si>
    <t>Trường Đại học Kinh tế và Quản trị Kinh doanh Thái Nguyên</t>
  </si>
  <si>
    <t>C09-0290</t>
  </si>
  <si>
    <t>Lê Thị Kim Liên</t>
  </si>
  <si>
    <t>lklien@han.misa.com.vn</t>
  </si>
  <si>
    <t>Đại học Quốc tế Hồng Bàng</t>
  </si>
  <si>
    <t>C-0770</t>
  </si>
  <si>
    <t>Trần Thị Nhung</t>
  </si>
  <si>
    <t>ttnhung2@han.misa.com.vn</t>
  </si>
  <si>
    <t>Tiếng Pháp Thương Mại</t>
  </si>
  <si>
    <t>C-0718</t>
  </si>
  <si>
    <t>Dương Thị Phương</t>
  </si>
  <si>
    <t>Nhóm bán thêm AMIS kế toán 3</t>
  </si>
  <si>
    <t>L04.30.12.01</t>
  </si>
  <si>
    <t>dtphuong4@han.misa.com.vn</t>
  </si>
  <si>
    <t>C-1367</t>
  </si>
  <si>
    <t>Lê Thanh Bình</t>
  </si>
  <si>
    <t>ltbinh1@han.misa.com.vn</t>
  </si>
  <si>
    <t>Quản Trị Đất Đai</t>
  </si>
  <si>
    <t>C-1362</t>
  </si>
  <si>
    <t>Lê Ngọc Minh</t>
  </si>
  <si>
    <t>lnminh3@han.misa.com.vn</t>
  </si>
  <si>
    <t>C-1358</t>
  </si>
  <si>
    <t>Phan Thị Quỳnh</t>
  </si>
  <si>
    <t>ptquynh3@han.misa.com.vn</t>
  </si>
  <si>
    <t>C09-0274</t>
  </si>
  <si>
    <t>Dương Phương Đông</t>
  </si>
  <si>
    <t>dpdong@han.misa.com.vn</t>
  </si>
  <si>
    <t>C21-0056</t>
  </si>
  <si>
    <t>ntquynh1@han.misa.com.vn</t>
  </si>
  <si>
    <t>C26-0146</t>
  </si>
  <si>
    <t>Nguyễn Quỳnh Trang</t>
  </si>
  <si>
    <t>nqtrang2@han.misa.com.vn</t>
  </si>
  <si>
    <t>C10-0202</t>
  </si>
  <si>
    <t>Nguyễn Thị Nhật Lệ</t>
  </si>
  <si>
    <t>nnle@han.misa.com.vn</t>
  </si>
  <si>
    <t>Sư phạm sinh học</t>
  </si>
  <si>
    <t>C26-0157</t>
  </si>
  <si>
    <t>pthien3@han.misa.com.vn</t>
  </si>
  <si>
    <t>C-0803</t>
  </si>
  <si>
    <t>Đoàn Thị Đông</t>
  </si>
  <si>
    <t>dtdong@han.misa.com.vn</t>
  </si>
  <si>
    <t>Kinh tế xây dựng</t>
  </si>
  <si>
    <t>ĐH công nghệ giao thông vận tải Hà Nội</t>
  </si>
  <si>
    <t>C-1395</t>
  </si>
  <si>
    <t>Trần Phương Trà</t>
  </si>
  <si>
    <t>tptra@han.misa.com.vn</t>
  </si>
  <si>
    <t>quản trị kinh doanh.</t>
  </si>
  <si>
    <t>C-1394</t>
  </si>
  <si>
    <t>Nguyễn Ngọc Ánh</t>
  </si>
  <si>
    <t>nnanh6@han.misa.com.vn</t>
  </si>
  <si>
    <t>C-1393</t>
  </si>
  <si>
    <t>Đỗ Nguyễn Lan Anh</t>
  </si>
  <si>
    <t>dnlanh@han.misa.com.vn</t>
  </si>
  <si>
    <t>khoa kế toán doanh nghiệp</t>
  </si>
  <si>
    <t>C-1392</t>
  </si>
  <si>
    <t>Đào Hiển Vinh</t>
  </si>
  <si>
    <t>dhvinh@han.misa.com.vn</t>
  </si>
  <si>
    <t>marketing 8</t>
  </si>
  <si>
    <t>C-1390</t>
  </si>
  <si>
    <t>Nguyễn Thanh Thùy</t>
  </si>
  <si>
    <t>ntthuy19@han.misa.com.vn</t>
  </si>
  <si>
    <t>C-1388</t>
  </si>
  <si>
    <t>Châu Thiên Nhất</t>
  </si>
  <si>
    <t>ctnhat@han.misa.com.vn</t>
  </si>
  <si>
    <t>C-1387</t>
  </si>
  <si>
    <t>Trần Anh Tuấn</t>
  </si>
  <si>
    <t>tatuan1@han.misa.com.vn</t>
  </si>
  <si>
    <t>Đại học Công Nghệ Đông Á</t>
  </si>
  <si>
    <t>C-1386</t>
  </si>
  <si>
    <t>Nguyễn Xuân Vũ</t>
  </si>
  <si>
    <t>nxvu@han.misa.com.vn</t>
  </si>
  <si>
    <t>C-1385</t>
  </si>
  <si>
    <t>Đặng Thị Thảo Vân</t>
  </si>
  <si>
    <t>dttvan@han.misa.com.vn</t>
  </si>
  <si>
    <t>Kế toán-Kế toán</t>
  </si>
  <si>
    <t>Đại Học Tài Nguyên Và Môi Hà Nội</t>
  </si>
  <si>
    <t>C-1382</t>
  </si>
  <si>
    <t>Nguyễn Thị Thùy Trang</t>
  </si>
  <si>
    <t>ntttrang1@han.misa.com.vn</t>
  </si>
  <si>
    <t>C-1376</t>
  </si>
  <si>
    <t>nthuyen13@han.misa.com.vn</t>
  </si>
  <si>
    <t>C-1375</t>
  </si>
  <si>
    <t>Lê Thị Trung Hiếu</t>
  </si>
  <si>
    <t>ltthieu@han.misa.com.vn</t>
  </si>
  <si>
    <t>C-1374</t>
  </si>
  <si>
    <t>Phí Thị Thanh Bình</t>
  </si>
  <si>
    <t>pttbinh@han.misa.com.vn</t>
  </si>
  <si>
    <t>C-1371</t>
  </si>
  <si>
    <t>Nguyễn Thị Hồng Thơm</t>
  </si>
  <si>
    <t>nththom@han.misa.com.vn</t>
  </si>
  <si>
    <t>C-1370</t>
  </si>
  <si>
    <t>Hoàng Phương Quỳnh</t>
  </si>
  <si>
    <t>hpquynh@han.misa.com.vn</t>
  </si>
  <si>
    <t>C-1369</t>
  </si>
  <si>
    <t>Đào Thị Phương Anh</t>
  </si>
  <si>
    <t>dtpanh@han.misa.com.vn</t>
  </si>
  <si>
    <t>C-1396</t>
  </si>
  <si>
    <t>Trương Hoài Linh</t>
  </si>
  <si>
    <t>thlinh2@han.misa.com.vn</t>
  </si>
  <si>
    <t>H-0319</t>
  </si>
  <si>
    <t>Hoàng Mai Trang</t>
  </si>
  <si>
    <t>Nhóm Tư vấn MISA 03</t>
  </si>
  <si>
    <t>L02.12.02</t>
  </si>
  <si>
    <t>hmtrang2@support.misa.com.vn</t>
  </si>
  <si>
    <t>H-0321</t>
  </si>
  <si>
    <t>Trương Khánh Minh</t>
  </si>
  <si>
    <t>tkminh1@support.misa.com.vn</t>
  </si>
  <si>
    <t>D10-0151</t>
  </si>
  <si>
    <t>Lê Thị Hồng Uyên</t>
  </si>
  <si>
    <t>lhuyen@hcm.misa.com.vn</t>
  </si>
  <si>
    <t>C26-0096</t>
  </si>
  <si>
    <t>ltha4@han.misa.com.vn</t>
  </si>
  <si>
    <t>C-1278</t>
  </si>
  <si>
    <t>Trần Phượng Vĩ</t>
  </si>
  <si>
    <t>tpvi@han.misa.com.vn</t>
  </si>
  <si>
    <t>Kinh Tế Bưu Chính Viễn Thông</t>
  </si>
  <si>
    <t>C-0750</t>
  </si>
  <si>
    <t>Hà Thị Tâm</t>
  </si>
  <si>
    <t>httam@han.misa.com.vn</t>
  </si>
  <si>
    <t>C-1277</t>
  </si>
  <si>
    <t>tthanh4@han.misa.com.vn</t>
  </si>
  <si>
    <t>Trường Đại Học Ngoại Thương</t>
  </si>
  <si>
    <t>C-1264</t>
  </si>
  <si>
    <t>Đào Thị Hồng Nhẫn</t>
  </si>
  <si>
    <t>dhnhan@han.misa.com.vn</t>
  </si>
  <si>
    <t>C-0619</t>
  </si>
  <si>
    <t>Đại Thị Hồng Ngọc</t>
  </si>
  <si>
    <t>dhngoc1@han.misa.com.vn</t>
  </si>
  <si>
    <t>B-0858</t>
  </si>
  <si>
    <t>[MISA ASP] Nhóm Phân tích &amp; Thiết kế</t>
  </si>
  <si>
    <t>Khối Nền tảng Kế toán dịch vụ</t>
  </si>
  <si>
    <t>Sản phẩm MISA ASP</t>
  </si>
  <si>
    <t>L01.34.02.02</t>
  </si>
  <si>
    <t>nttrang5@software.misa.com.vn</t>
  </si>
  <si>
    <t>C09-0198</t>
  </si>
  <si>
    <t>Nguyễn Thu Hà</t>
  </si>
  <si>
    <t>ntha@han.misa.com.vn</t>
  </si>
  <si>
    <t>Viện Đại học Mở Hà Nội</t>
  </si>
  <si>
    <t>C-0612</t>
  </si>
  <si>
    <t>Hoàng Thị Ngọc Ánh</t>
  </si>
  <si>
    <t>hnanh2@han.misa.com.vn</t>
  </si>
  <si>
    <t>C09-0533</t>
  </si>
  <si>
    <t>Nguyễn Hải Anh</t>
  </si>
  <si>
    <t>nhanh@han.misa.com.vn</t>
  </si>
  <si>
    <t>C09-0509</t>
  </si>
  <si>
    <t>Nguyễn Thị Hòa</t>
  </si>
  <si>
    <t>nthoa1@han.misa.com.vn</t>
  </si>
  <si>
    <t>C09-0177</t>
  </si>
  <si>
    <t>Lê Thị Hồng Anh</t>
  </si>
  <si>
    <t>lhanh1@han.misa.com.vn</t>
  </si>
  <si>
    <t>C09-0470</t>
  </si>
  <si>
    <t>Lê Thị Châu</t>
  </si>
  <si>
    <t>ltchau@han.misa.com.vn</t>
  </si>
  <si>
    <t>C-0769</t>
  </si>
  <si>
    <t>Nguyễn Thu Quỳnh</t>
  </si>
  <si>
    <t>ntquynh3@han.misa.com.vn</t>
  </si>
  <si>
    <t>C-1275</t>
  </si>
  <si>
    <t>Nguyễn Thu Phương</t>
  </si>
  <si>
    <t>ntphuong8@han.misa.com.vn</t>
  </si>
  <si>
    <t>ĐH Kinh Tế - ĐHQGHN</t>
  </si>
  <si>
    <t>C-1306</t>
  </si>
  <si>
    <t>Hồ Thị Hoa</t>
  </si>
  <si>
    <t>hthoa1@han.misa.com.vn</t>
  </si>
  <si>
    <t>THƯỜNG ĐẠI HỌC CÔNG NGHIỆP HÀ NỘI</t>
  </si>
  <si>
    <t>C-1310</t>
  </si>
  <si>
    <t>nthtrang@han.misa.com.vn</t>
  </si>
  <si>
    <t>quản trị thương mại điện tử</t>
  </si>
  <si>
    <t>Trường Đại Học Thương Mại Hà Nội</t>
  </si>
  <si>
    <t>C-1303</t>
  </si>
  <si>
    <t>Lưu Quang Đại</t>
  </si>
  <si>
    <t>lqdai@han.misa.com.vn</t>
  </si>
  <si>
    <t>quản trị kinh doanh quốc tế</t>
  </si>
  <si>
    <t>Trường Đại Học Kinh Tế Quốc Dân Quản Trị Kinh Doanh Quốc Tế</t>
  </si>
  <si>
    <t>C-1300</t>
  </si>
  <si>
    <t>Nguyễn Đức Dũng</t>
  </si>
  <si>
    <t>nddung3@han.misa.com.vn</t>
  </si>
  <si>
    <t>Tốt Nghiệp Đại Học Thương Mại</t>
  </si>
  <si>
    <t>B-1261</t>
  </si>
  <si>
    <t>Đỗ Thị Thắm</t>
  </si>
  <si>
    <t>Dự án MISA Bamboo Online</t>
  </si>
  <si>
    <t>Sản phẩm MISA Bamboo Online</t>
  </si>
  <si>
    <t>L01.29.05.01</t>
  </si>
  <si>
    <t>dttham@software.misa.com.vn</t>
  </si>
  <si>
    <t>A-0531</t>
  </si>
  <si>
    <t>Phạm Văn Đạt</t>
  </si>
  <si>
    <t>NV Marketing Support</t>
  </si>
  <si>
    <t>Phòng Phát triển thị trường nước ngoài</t>
  </si>
  <si>
    <t>L03.03</t>
  </si>
  <si>
    <t>SB_FSALE_MKT</t>
  </si>
  <si>
    <t>pvdat2@misa.com.vn</t>
  </si>
  <si>
    <t>Digital Marketing</t>
  </si>
  <si>
    <t>Đại Học FPT</t>
  </si>
  <si>
    <t>A-0399</t>
  </si>
  <si>
    <t>Trần Thị Thơm</t>
  </si>
  <si>
    <t>NV Đảm bảo chất lượng</t>
  </si>
  <si>
    <t>L03.04</t>
  </si>
  <si>
    <t>BO_QA</t>
  </si>
  <si>
    <t>ttthom1@misa.com.vn</t>
  </si>
  <si>
    <t>CN Hóa dược và Hoá chất BV thực vật</t>
  </si>
  <si>
    <t>D-1183</t>
  </si>
  <si>
    <t>Nguyễn Thành Hưng</t>
  </si>
  <si>
    <t>nthung1@hcm.misa.com.vn</t>
  </si>
  <si>
    <t>CĐ FPT POLYTECHNIC</t>
  </si>
  <si>
    <t>B07-0092</t>
  </si>
  <si>
    <t>Lê Thị Lệ</t>
  </si>
  <si>
    <t>ltle@software.misa.com.vn</t>
  </si>
  <si>
    <t>B-1356</t>
  </si>
  <si>
    <t>Nguyễn Thị Thanh Quyên</t>
  </si>
  <si>
    <t>ntquyen1@software.misa.com.vn</t>
  </si>
  <si>
    <t>B-1350</t>
  </si>
  <si>
    <t>Trần Minh Nghĩa</t>
  </si>
  <si>
    <t>tmnghia@software.misa.com.vn</t>
  </si>
  <si>
    <t>B-1348</t>
  </si>
  <si>
    <t>Nguyễn Quốc Huy</t>
  </si>
  <si>
    <t>Dự án MISA MIMOSA Online</t>
  </si>
  <si>
    <t>Sản phẩm MISA MIMOSA Online</t>
  </si>
  <si>
    <t>L01.29.03.01</t>
  </si>
  <si>
    <t>nqhuy1@software.misa.com.vn</t>
  </si>
  <si>
    <t>Đại học Công nghiệp</t>
  </si>
  <si>
    <t>B-1346</t>
  </si>
  <si>
    <t>Dự án Customize KH DN lớn</t>
  </si>
  <si>
    <t>L01.28.19.02</t>
  </si>
  <si>
    <t>ntdung6@software.misa.com.vn</t>
  </si>
  <si>
    <t>B-1349</t>
  </si>
  <si>
    <t>Kiều Thị Bích Nguyệt</t>
  </si>
  <si>
    <t>kbnguyet@software.misa.com.vn</t>
  </si>
  <si>
    <t>Kĩ thuật phần mềm</t>
  </si>
  <si>
    <t>Trường Đại Học Fpt</t>
  </si>
  <si>
    <t>B-1358</t>
  </si>
  <si>
    <t>Vũ Đình Lân</t>
  </si>
  <si>
    <t>vdlan@software.misa.com.vn</t>
  </si>
  <si>
    <t>B-1359</t>
  </si>
  <si>
    <t>Lê Đức Kiên</t>
  </si>
  <si>
    <t>ldkien@rd.misa.com.vn</t>
  </si>
  <si>
    <t>Công nghệ kỹ thuật Cơ điện tử</t>
  </si>
  <si>
    <t>ĐH Công nghệ - ĐH Quốc gia HN</t>
  </si>
  <si>
    <t>B-1339</t>
  </si>
  <si>
    <t>Ngô Thị Phương Thảo</t>
  </si>
  <si>
    <t>npthao5@software.misa.com.vn</t>
  </si>
  <si>
    <t>Hệ thống thông tin</t>
  </si>
  <si>
    <t>Đại học Công Nghiệp</t>
  </si>
  <si>
    <t>B-1341</t>
  </si>
  <si>
    <t>Đỗ Đức Khang</t>
  </si>
  <si>
    <t>ddkhang@software.misa.com.vn</t>
  </si>
  <si>
    <t>B-1344</t>
  </si>
  <si>
    <t>Đinh Thị Nguyệt</t>
  </si>
  <si>
    <t>[BUMAS Địa phương] Nhóm Phân tích &amp; Thiết kế</t>
  </si>
  <si>
    <t>L01.29.06.02</t>
  </si>
  <si>
    <t>dtnguyet@software.misa.com.vn</t>
  </si>
  <si>
    <t>Đại Học Kinh Tế - ĐHQG Hà Nội</t>
  </si>
  <si>
    <t>B-1351</t>
  </si>
  <si>
    <t>Nguyễn Văn Long</t>
  </si>
  <si>
    <t>nvlong@software.misa.com.vn</t>
  </si>
  <si>
    <t>Trường CNTI-TT Đại học Bách Khoa Hà Nội</t>
  </si>
  <si>
    <t>B-1360</t>
  </si>
  <si>
    <t>ttanh6@software.misa.com.vn</t>
  </si>
  <si>
    <t>Đại học Công nghệ- ĐHQGHN</t>
  </si>
  <si>
    <t>C09-0537</t>
  </si>
  <si>
    <t>Phương Quỳnh Trang</t>
  </si>
  <si>
    <t>pqtrang@misa.com.vn</t>
  </si>
  <si>
    <t>E-0166</t>
  </si>
  <si>
    <t>Lê Anh Kiệt</t>
  </si>
  <si>
    <t>lakiet@dng.misa.com.vn</t>
  </si>
  <si>
    <t>Trường Đại Học Tài Chính - Kế Toán</t>
  </si>
  <si>
    <t>B06-0109</t>
  </si>
  <si>
    <t>Lê Công Toàn</t>
  </si>
  <si>
    <t>Dự án CukCuk Mobile TTVN</t>
  </si>
  <si>
    <t>L01.30.02.02</t>
  </si>
  <si>
    <t>lctoan@mdc.misa.com.vn</t>
  </si>
  <si>
    <t>E-0165</t>
  </si>
  <si>
    <t>Huỳnh Ngọc Châu</t>
  </si>
  <si>
    <t>hnchau@dng.misa.com.vn</t>
  </si>
  <si>
    <t>E-0164</t>
  </si>
  <si>
    <t>Tưởng Ngọc Bé</t>
  </si>
  <si>
    <t>tnbe@dng.misa.com.vn</t>
  </si>
  <si>
    <t>Đại Học Kinh Tế - ĐH Huế</t>
  </si>
  <si>
    <t>B-1405</t>
  </si>
  <si>
    <t>Phạm Thị Nhung</t>
  </si>
  <si>
    <t>ptnhung3@software.misa.com.vn</t>
  </si>
  <si>
    <t>F09-0076</t>
  </si>
  <si>
    <t>nthong@bmt.misa.com.vn</t>
  </si>
  <si>
    <t>ĐH Công Nghiệp TP.HCM</t>
  </si>
  <si>
    <t>G20-0035</t>
  </si>
  <si>
    <t>Bùi Thị Trúc Ly</t>
  </si>
  <si>
    <t>btly@support.misa.com.vn</t>
  </si>
  <si>
    <t>Quản lý Tài nguyên và Môi trường</t>
  </si>
  <si>
    <t>Cao đẳng Cần Thơ</t>
  </si>
  <si>
    <t>H-0149</t>
  </si>
  <si>
    <t>Nguyễn Thị Trà Giang</t>
  </si>
  <si>
    <t>nttgiang@support.misa.com.vn</t>
  </si>
  <si>
    <t>B-0531</t>
  </si>
  <si>
    <t>Nguyễn Văn Hùng</t>
  </si>
  <si>
    <t>Dự án EMIS Core Platform</t>
  </si>
  <si>
    <t>L01.33.02.02</t>
  </si>
  <si>
    <t>nvhung4@software.misa.com.vn</t>
  </si>
  <si>
    <t>B-1189</t>
  </si>
  <si>
    <t>Hoàng Đức Dũng</t>
  </si>
  <si>
    <t>hddung@software.misa.com.vn</t>
  </si>
  <si>
    <t>Kỹ sư phần mềm</t>
  </si>
  <si>
    <t>A28-0008</t>
  </si>
  <si>
    <t>Hoàng Huy Toàn</t>
  </si>
  <si>
    <t>[Data Analytics] Nhóm Phân tích và Thiết kế</t>
  </si>
  <si>
    <t>Sản phẩm Data Analytics</t>
  </si>
  <si>
    <t>L01.36.04.04</t>
  </si>
  <si>
    <t>hhtoan@software.misa.com.vn</t>
  </si>
  <si>
    <t>ĐH Kinh tế – ĐH Quốc gia Hà Nội</t>
  </si>
  <si>
    <t>A-0407</t>
  </si>
  <si>
    <t>Nguyễn Hồng Nhung</t>
  </si>
  <si>
    <t>Sản phẩm Automation Marketing</t>
  </si>
  <si>
    <t>L01.36.06</t>
  </si>
  <si>
    <t>nhnhung2@software.misa.com.vn</t>
  </si>
  <si>
    <t>MSc Entrepreneurship, Innovation and Enterprise Development (Doanh nhân, Đổi mới và Phát triển doanh nghiệp)</t>
  </si>
  <si>
    <t>University of Westminster</t>
  </si>
  <si>
    <t>C-0936</t>
  </si>
  <si>
    <t>Nguyễn Thị Thúy Hiền</t>
  </si>
  <si>
    <t>nthien2@support.misa.com.vn</t>
  </si>
  <si>
    <t>kinh doanh quốc tế</t>
  </si>
  <si>
    <t>H11-0110</t>
  </si>
  <si>
    <t>Đỗ Thị Mai Hương</t>
  </si>
  <si>
    <t>dmhuong@software.misa.com.vn</t>
  </si>
  <si>
    <t>C-1381</t>
  </si>
  <si>
    <t>ntgiang4@han.misa.com.vn</t>
  </si>
  <si>
    <t>Kế Toán Doanh Nghiệp.</t>
  </si>
  <si>
    <t>C-1378</t>
  </si>
  <si>
    <t>Nguyễn Đình Dương</t>
  </si>
  <si>
    <t>ndduong1@han.misa.com.vn</t>
  </si>
  <si>
    <t>C-1377</t>
  </si>
  <si>
    <t>Đào Thị Hương Quỳnh</t>
  </si>
  <si>
    <t>dthquynh@han.misa.com.vn</t>
  </si>
  <si>
    <t>B06-0188</t>
  </si>
  <si>
    <t>Đặng Anh Tú</t>
  </si>
  <si>
    <t>datu@software.misa.com.vn</t>
  </si>
  <si>
    <t>A-0529</t>
  </si>
  <si>
    <t>Nguyễn Thị Minh Trang</t>
  </si>
  <si>
    <t>PF_ONB_EMIS</t>
  </si>
  <si>
    <t>ntmtrang@misa.com.vn</t>
  </si>
  <si>
    <t>Đại Học Lazarski</t>
  </si>
  <si>
    <t>D-1186</t>
  </si>
  <si>
    <t>Phạm Thị Kiều Diễm</t>
  </si>
  <si>
    <t>ptkdiem@hcm.misa.com.vn</t>
  </si>
  <si>
    <t>ĐH Công Thương TP. HCM</t>
  </si>
  <si>
    <t>A-0528</t>
  </si>
  <si>
    <t>Bùi Mạnh Khương</t>
  </si>
  <si>
    <t>bmkhuong@misa.com.vn</t>
  </si>
  <si>
    <t>Đại học Ngoại Thương</t>
  </si>
  <si>
    <t>D-1194</t>
  </si>
  <si>
    <t>Trương Quỳnh An</t>
  </si>
  <si>
    <t>tqan@hcm.misa.com.vn</t>
  </si>
  <si>
    <t>F-0084</t>
  </si>
  <si>
    <t>L07.02</t>
  </si>
  <si>
    <t>ntvan@bmt.misa.com.vn</t>
  </si>
  <si>
    <t>Luật Dân sự</t>
  </si>
  <si>
    <t>C09-0184</t>
  </si>
  <si>
    <t>Nguyễn Thị Thu Thủy</t>
  </si>
  <si>
    <t>L06.18.03</t>
  </si>
  <si>
    <t>ntthuy1@dng.misa.com.vn</t>
  </si>
  <si>
    <t>Đại học Thành Đô</t>
  </si>
  <si>
    <t>E10-0056</t>
  </si>
  <si>
    <t>Trương Thị Bích Cẩm</t>
  </si>
  <si>
    <t>Nhóm KD mạng lưới</t>
  </si>
  <si>
    <t>L06.22</t>
  </si>
  <si>
    <t>tbcam@dng.misa.com.vn</t>
  </si>
  <si>
    <t>Kế Toán Nhà nước</t>
  </si>
  <si>
    <t>ĐH Tài chính - Kế toán</t>
  </si>
  <si>
    <t>B-1228</t>
  </si>
  <si>
    <t>Nguyễn Nghĩa Ninh</t>
  </si>
  <si>
    <t>nnninh@software.misa.com.vn</t>
  </si>
  <si>
    <t>B-1067</t>
  </si>
  <si>
    <t>Trịnh Quý Công</t>
  </si>
  <si>
    <t>tqcong@software.misa.com.vn</t>
  </si>
  <si>
    <t>D-0850</t>
  </si>
  <si>
    <t>Phan Đàm Ngọc Ánh</t>
  </si>
  <si>
    <t>pnanh1@support.misa.com.vn</t>
  </si>
  <si>
    <t>Đại học Lao Động Xã Hội CS2</t>
  </si>
  <si>
    <t>D-1192</t>
  </si>
  <si>
    <t>Trầm Tấn Phát</t>
  </si>
  <si>
    <t>ttphat@hcm.misa.com.vn</t>
  </si>
  <si>
    <t>D-1193</t>
  </si>
  <si>
    <t>Nguyễn Ngọc An Hòa</t>
  </si>
  <si>
    <t>nnahoa@hcm.misa.com.vn</t>
  </si>
  <si>
    <t>A-0521</t>
  </si>
  <si>
    <t>NV KD Phát triển thị trường nước ngoài</t>
  </si>
  <si>
    <t>SB_FSALE_AE</t>
  </si>
  <si>
    <t>ntdung10@misa.com.vn</t>
  </si>
  <si>
    <t>Đại Học RMIT</t>
  </si>
  <si>
    <t>D-1195</t>
  </si>
  <si>
    <t>Lê Hoài Thương</t>
  </si>
  <si>
    <t>lhthuong2@hcm.misa.com.vn</t>
  </si>
  <si>
    <t>Đại Học Tài Nguyên Và Môi Trường TPHCM</t>
  </si>
  <si>
    <t>D-1190</t>
  </si>
  <si>
    <t>Lương Văn Đức Lợi</t>
  </si>
  <si>
    <t>lvdloi@hcm.misa.com.vn</t>
  </si>
  <si>
    <t>Logistic</t>
  </si>
  <si>
    <t>CĐ giao thông vận tải</t>
  </si>
  <si>
    <t>B-0697</t>
  </si>
  <si>
    <t>Phạm Thị Lệ Quỳnh</t>
  </si>
  <si>
    <t>Dự án AMIS CRM (MISA)</t>
  </si>
  <si>
    <t>Sản phẩm AMIS CRM (MISA)</t>
  </si>
  <si>
    <t>L01.28.22.01</t>
  </si>
  <si>
    <t>plquynh@software.misa.com.vn</t>
  </si>
  <si>
    <t>D02-0051</t>
  </si>
  <si>
    <t>Phạm Thị Thủy</t>
  </si>
  <si>
    <t>ptthuy@hcm.misa.com.vn</t>
  </si>
  <si>
    <t>B-1262</t>
  </si>
  <si>
    <t>Nguyễn Ngọc Phong</t>
  </si>
  <si>
    <t>nnphong1@mdc.misa.com.vn</t>
  </si>
  <si>
    <t>B06-0388</t>
  </si>
  <si>
    <t>Trương Quang Minh</t>
  </si>
  <si>
    <t>tqminh@mdc.misa.com.vn</t>
  </si>
  <si>
    <t>B-0943</t>
  </si>
  <si>
    <t>Nguyễn Thái Bảo</t>
  </si>
  <si>
    <t>Dự án CukCuk Mobile TT Mỹ</t>
  </si>
  <si>
    <t>Sản phẩm CukCuk (TT Mỹ)</t>
  </si>
  <si>
    <t>L01.32.03.02</t>
  </si>
  <si>
    <t>ntbao1@mdc.misa.com.vn</t>
  </si>
  <si>
    <t>A-0536</t>
  </si>
  <si>
    <t>ntklinh@misa.com.vn</t>
  </si>
  <si>
    <t>D-1187</t>
  </si>
  <si>
    <t>Huỳnh Thị Như</t>
  </si>
  <si>
    <t>htnhu1@hcm.misa.com.vn</t>
  </si>
  <si>
    <t>Đh Mở TP HCM</t>
  </si>
  <si>
    <t>C20-0045</t>
  </si>
  <si>
    <t>Phạm Thị Loan</t>
  </si>
  <si>
    <t>ptloan@han.misa.com.vn</t>
  </si>
  <si>
    <t>B08-0213</t>
  </si>
  <si>
    <t>Nguyễn Thanh Hằng</t>
  </si>
  <si>
    <t>nthang2@software.misa.com.vn</t>
  </si>
  <si>
    <t>H11-0267</t>
  </si>
  <si>
    <t>Lê Thị Hồng Trinh</t>
  </si>
  <si>
    <t>lhtrinh@support.misa.com.vn</t>
  </si>
  <si>
    <t>ĐẠI HỌC TÀI CHÍNH MARKETING</t>
  </si>
  <si>
    <t>H-0311</t>
  </si>
  <si>
    <t>Phạm Thu Thảo</t>
  </si>
  <si>
    <t>ptthao1@support.misa.com.vn</t>
  </si>
  <si>
    <t>Trường Đại học Mỏ - Địa chất</t>
  </si>
  <si>
    <t>D-1191</t>
  </si>
  <si>
    <t>Lê Khánh Hân</t>
  </si>
  <si>
    <t>lkhan@hcm.misa.com.vn</t>
  </si>
  <si>
    <t>Đại học Kinh tế TP HCM</t>
  </si>
  <si>
    <t>H-0312</t>
  </si>
  <si>
    <t>Đặng Phương Linh</t>
  </si>
  <si>
    <t>dplinh@support.misa.com.vn</t>
  </si>
  <si>
    <t>B-1404</t>
  </si>
  <si>
    <t>Ngô Xuân Hinh</t>
  </si>
  <si>
    <t>nxhinh@software.misa.com.vn</t>
  </si>
  <si>
    <t>H-0309</t>
  </si>
  <si>
    <t>Nguyễn Thị Thuần</t>
  </si>
  <si>
    <t>ntthuan2@support.misa.com.vn</t>
  </si>
  <si>
    <t>kế toán doanh nghiệp</t>
  </si>
  <si>
    <t>Học Viện Tài Chính ...</t>
  </si>
  <si>
    <t>H-0307</t>
  </si>
  <si>
    <t>Dương Thị Mai Châm</t>
  </si>
  <si>
    <t>Nhóm Tư vấn MISA 06</t>
  </si>
  <si>
    <t>L02.12.05</t>
  </si>
  <si>
    <t>dmcham@support.misa.com.vn</t>
  </si>
  <si>
    <t>H11-0173</t>
  </si>
  <si>
    <t>ttnhung1@software.misa.com.vn</t>
  </si>
  <si>
    <t>H11-0164</t>
  </si>
  <si>
    <t>Ngô Thị Thu Huyền</t>
  </si>
  <si>
    <t>nthuyen1@software.misa.com.vn</t>
  </si>
  <si>
    <t>CĐ Tài Nguyên Và Môi Trường Hà Nội</t>
  </si>
  <si>
    <t>D-0854</t>
  </si>
  <si>
    <t>Nguyễn Thị Thanh Trúc</t>
  </si>
  <si>
    <t>nttruc@hcm.misa.com.vn</t>
  </si>
  <si>
    <t>Ngành Quản trị kinh doanh</t>
  </si>
  <si>
    <t>B06-0199</t>
  </si>
  <si>
    <t>Ngô Đức Việt</t>
  </si>
  <si>
    <t>ndviet@rd.misa.com.vn</t>
  </si>
  <si>
    <t>B06-0015</t>
  </si>
  <si>
    <t>Nguyễn Văn Kiều</t>
  </si>
  <si>
    <t>Q. Giám đốc khối</t>
  </si>
  <si>
    <t>Ban Giám đốc Khối SP Doanh nghiệp</t>
  </si>
  <si>
    <t>L01.28.01</t>
  </si>
  <si>
    <t>SDC_A.PUD_1</t>
  </si>
  <si>
    <t>nvkieu@software.misa.com.vn</t>
  </si>
  <si>
    <t>Toán - Tin ứng dụng</t>
  </si>
  <si>
    <t>D02-0042</t>
  </si>
  <si>
    <t>Trần Văn Cường</t>
  </si>
  <si>
    <t>tvcuong@hcm.misa.com.vn</t>
  </si>
  <si>
    <t>Lái xe</t>
  </si>
  <si>
    <t>D-1182</t>
  </si>
  <si>
    <t>Nguyễn Tuấn Lực</t>
  </si>
  <si>
    <t>ntluc@hcm.misa.com.vn</t>
  </si>
  <si>
    <t>G-0180</t>
  </si>
  <si>
    <t>Võ Văn Đắng</t>
  </si>
  <si>
    <t>vvdang@cth.misa.com.vn</t>
  </si>
  <si>
    <t>D-1185</t>
  </si>
  <si>
    <t>Dương Gia Tuệ</t>
  </si>
  <si>
    <t>dgtue@hcm.misa.com.vn</t>
  </si>
  <si>
    <t>D-1188</t>
  </si>
  <si>
    <t>Bùi Minh Dũng</t>
  </si>
  <si>
    <t>bmdung1@hcm.misa.com.vn</t>
  </si>
  <si>
    <t>C02-0002</t>
  </si>
  <si>
    <t>Đinh Thị Giang</t>
  </si>
  <si>
    <t>L04.02</t>
  </si>
  <si>
    <t>dtgiang@han.misa.com.vn</t>
  </si>
  <si>
    <t>B07-0061</t>
  </si>
  <si>
    <t>Vũ Thị Phương Lan</t>
  </si>
  <si>
    <t>L01.29.08</t>
  </si>
  <si>
    <t>vplan@software.misa.com.vn</t>
  </si>
  <si>
    <t>B-1354</t>
  </si>
  <si>
    <t>ndanh3@software.misa.com.vn</t>
  </si>
  <si>
    <t>G-0178</t>
  </si>
  <si>
    <t>Trần Nguyễn Bảo Duy</t>
  </si>
  <si>
    <t>tbduy@cth.misa.com.vn</t>
  </si>
  <si>
    <t>Đại Học Tây Đô</t>
  </si>
  <si>
    <t>G-0181</t>
  </si>
  <si>
    <t>Trần Tuấn Kiệt</t>
  </si>
  <si>
    <t>ttkiet@cth.misa.com.vn</t>
  </si>
  <si>
    <t>C-0897</t>
  </si>
  <si>
    <t>nkanh3@han.misa.com.vn</t>
  </si>
  <si>
    <t>C09-0573</t>
  </si>
  <si>
    <t>Lê Thị Linh</t>
  </si>
  <si>
    <t>Nhóm chuyển giao GPKT</t>
  </si>
  <si>
    <t>L03.34.06.01</t>
  </si>
  <si>
    <t>KD_ONL_TK_GPKT_ONB</t>
  </si>
  <si>
    <t>ltlinh@misa.com.vn</t>
  </si>
  <si>
    <t>E20-0030</t>
  </si>
  <si>
    <t>Nguyễn Thảo Hương</t>
  </si>
  <si>
    <t>Nhóm Tư vấn MISA 13</t>
  </si>
  <si>
    <t>L02.14.01</t>
  </si>
  <si>
    <t>nthuong5@support.misa.com.vn</t>
  </si>
  <si>
    <t>Đại Học Duy Tân Đà Nẵng</t>
  </si>
  <si>
    <t>C09-0588</t>
  </si>
  <si>
    <t>Trần Thuỳ Trang</t>
  </si>
  <si>
    <t>NV Nội dung (Content Creator)</t>
  </si>
  <si>
    <t>Nhóm bài viết</t>
  </si>
  <si>
    <t>Viện Đổi mới doanh nghiệp</t>
  </si>
  <si>
    <t>L09.09</t>
  </si>
  <si>
    <t>BO_MIBI_CONT</t>
  </si>
  <si>
    <t>tttrang4@misa.com.vn</t>
  </si>
  <si>
    <t>G-0182</t>
  </si>
  <si>
    <t>Trần Chí Linh</t>
  </si>
  <si>
    <t>tclinh@cth.misa.com.vn</t>
  </si>
  <si>
    <t>B-1025</t>
  </si>
  <si>
    <t>Dương Thị Thanh Huyền</t>
  </si>
  <si>
    <t>dthuyen3@software.misa.com.vn</t>
  </si>
  <si>
    <t>D09-0418</t>
  </si>
  <si>
    <t>Lê Thị Hồng Hạnh</t>
  </si>
  <si>
    <t>lhhanh@hcm.misa.com.vn</t>
  </si>
  <si>
    <t>D09-0492</t>
  </si>
  <si>
    <t>Nguyễn Thị Phương Thu</t>
  </si>
  <si>
    <t>npthu@hcm.misa.com.vn</t>
  </si>
  <si>
    <t>C09-0166</t>
  </si>
  <si>
    <t>nthuyen1@han.misa.com.vn</t>
  </si>
  <si>
    <t>B06-0517</t>
  </si>
  <si>
    <t>Nguyễn Công Phước</t>
  </si>
  <si>
    <t>Kiến trúc sư</t>
  </si>
  <si>
    <t>SDC_SA</t>
  </si>
  <si>
    <t>ncphuoc@software.misa.com.vn</t>
  </si>
  <si>
    <t>B06-0244</t>
  </si>
  <si>
    <t>Hoàng Tuấn Hiệp</t>
  </si>
  <si>
    <t>hthiep@software.misa.com.vn</t>
  </si>
  <si>
    <t>B-1357</t>
  </si>
  <si>
    <t>Bùi Thu Uyên</t>
  </si>
  <si>
    <t>btuyen@software.misa.com.vn</t>
  </si>
  <si>
    <t>D09-0421</t>
  </si>
  <si>
    <t>Phan Thị Thu Thủy</t>
  </si>
  <si>
    <t>ptthuy1@hcm.misa.com.vn</t>
  </si>
  <si>
    <t>D-1069</t>
  </si>
  <si>
    <t>Đồng Nhật Linh</t>
  </si>
  <si>
    <t>dnlinh@support.misa.com.vn</t>
  </si>
  <si>
    <t>ĐH Ngoại Thương TP.HCM</t>
  </si>
  <si>
    <t>B08-0057</t>
  </si>
  <si>
    <t>[Automation Sales] Nhóm Phân tích và Thiết kế</t>
  </si>
  <si>
    <t>Sản phẩm Automation Sales</t>
  </si>
  <si>
    <t>L01.36.03.04</t>
  </si>
  <si>
    <t>ntphuong1@software.misa.com.vn</t>
  </si>
  <si>
    <t>Kế toán tài chính doanh nghiệp</t>
  </si>
  <si>
    <t>D09-0466</t>
  </si>
  <si>
    <t>Nguyễn Thị Kiều Trinh</t>
  </si>
  <si>
    <t>nktrinh@hcm.misa.com.vn</t>
  </si>
  <si>
    <t>B-1028</t>
  </si>
  <si>
    <t>Lê Thị Thực</t>
  </si>
  <si>
    <t>ltthuc@software.misa.com.vn</t>
  </si>
  <si>
    <t>C21-0041</t>
  </si>
  <si>
    <t>Lưu Trung Khôi</t>
  </si>
  <si>
    <t>Sản phẩm MISA eSign</t>
  </si>
  <si>
    <t>L01.28.16</t>
  </si>
  <si>
    <t>ltkhoi@software.misa.com.vn</t>
  </si>
  <si>
    <t>B02-0006</t>
  </si>
  <si>
    <t>Lê Quỳnh Trang</t>
  </si>
  <si>
    <t>lqtrang@software.misa.com.vn</t>
  </si>
  <si>
    <t>G12-0003</t>
  </si>
  <si>
    <t>Trần Hoàng Hiệp</t>
  </si>
  <si>
    <t>SB_NS_A.SM_POS</t>
  </si>
  <si>
    <t>thhiep@cth.misa.com.vn</t>
  </si>
  <si>
    <t>A-0310</t>
  </si>
  <si>
    <t>NV Content Marketing</t>
  </si>
  <si>
    <t>Nhóm MKT HDDT, thuế TNCN</t>
  </si>
  <si>
    <t>L03.34.04.02</t>
  </si>
  <si>
    <t>BO_MKT_CONT</t>
  </si>
  <si>
    <t>bhtrang1@misa.com.vn</t>
  </si>
  <si>
    <t>B06-0354</t>
  </si>
  <si>
    <t>Phạm Công Minh</t>
  </si>
  <si>
    <t>pcminh@software.misa.com.vn</t>
  </si>
  <si>
    <t>B-1382</t>
  </si>
  <si>
    <t>Lê Bá Thành</t>
  </si>
  <si>
    <t>lbthanh@software.misa.com.vn</t>
  </si>
  <si>
    <t>B-1384</t>
  </si>
  <si>
    <t>Nguyễn Đức Thiện</t>
  </si>
  <si>
    <t>ndthien@software.misa.com.vn</t>
  </si>
  <si>
    <t>ĐH Sư phạm Hà Nội</t>
  </si>
  <si>
    <t>B-1279</t>
  </si>
  <si>
    <t>Trần Thị Vân Khánh</t>
  </si>
  <si>
    <t>tvkhanh@software.misa.com.vn</t>
  </si>
  <si>
    <t>D11-0003</t>
  </si>
  <si>
    <t>Phạm Thị Hải Yến</t>
  </si>
  <si>
    <t>pthyen@support.misa.com.vn</t>
  </si>
  <si>
    <t>CĐ Công Thương TP.HCM</t>
  </si>
  <si>
    <t>B06-0311</t>
  </si>
  <si>
    <t>Vũ Ngọc Long</t>
  </si>
  <si>
    <t>vnlong@mdc.jetpay.vn</t>
  </si>
  <si>
    <t>F10-0006</t>
  </si>
  <si>
    <t>Đào Việt Hùng</t>
  </si>
  <si>
    <t>dvhung@bmt.misa.com.vn</t>
  </si>
  <si>
    <t>Cao đẳng xây dựng 2</t>
  </si>
  <si>
    <t>B07-0069</t>
  </si>
  <si>
    <t>Mạc Thị Thùy Dương</t>
  </si>
  <si>
    <t>mtduong@software.misa.com.vn</t>
  </si>
  <si>
    <t>B06-0406</t>
  </si>
  <si>
    <t>Phùng Văn Dương</t>
  </si>
  <si>
    <t>Dự án MISA meInvoice</t>
  </si>
  <si>
    <t>Sản phẩm MISA meInvoice</t>
  </si>
  <si>
    <t>L01.28.12.06</t>
  </si>
  <si>
    <t>pvduong1@software.misa.com.vn</t>
  </si>
  <si>
    <t>C11-0002</t>
  </si>
  <si>
    <t>Nguyễn Thị Khánh</t>
  </si>
  <si>
    <t>Trưởng nhóm kiểm soát chất lượng</t>
  </si>
  <si>
    <t>SDC_QCL</t>
  </si>
  <si>
    <t>ntkhanh@software.misa.com.vn</t>
  </si>
  <si>
    <t>B-1008</t>
  </si>
  <si>
    <t>Phùng Thị Ngọc</t>
  </si>
  <si>
    <t>ptngoc1@software.misa.com.vn</t>
  </si>
  <si>
    <t>B-0970</t>
  </si>
  <si>
    <t>Phan Chính Quốc</t>
  </si>
  <si>
    <t>Dự án MISA Automation Sales</t>
  </si>
  <si>
    <t>L01.36.03.03</t>
  </si>
  <si>
    <t>pcquoc@software.misa.com.vn</t>
  </si>
  <si>
    <t>B-0963</t>
  </si>
  <si>
    <t>Nguyễn Văn Quyết</t>
  </si>
  <si>
    <t>nvquyet@software.misa.com.vn</t>
  </si>
  <si>
    <t>B-0960</t>
  </si>
  <si>
    <t>Trần Phương Nam</t>
  </si>
  <si>
    <t>tpnam@software.misa.com.vn</t>
  </si>
  <si>
    <t>B-0959</t>
  </si>
  <si>
    <t>Nguyễn Thành Lộc</t>
  </si>
  <si>
    <t>ntloc@software.misa.com.vn</t>
  </si>
  <si>
    <t>B-0868</t>
  </si>
  <si>
    <t>Phạm Thị Duyên</t>
  </si>
  <si>
    <t>ptduyen@software.misa.com.vn</t>
  </si>
  <si>
    <t>B-0832</t>
  </si>
  <si>
    <t>nvtoan2@software.misa.com.vn</t>
  </si>
  <si>
    <t>B-0831</t>
  </si>
  <si>
    <t>Đỗ Hoàng Phi</t>
  </si>
  <si>
    <t>Dự án MISA CeGov</t>
  </si>
  <si>
    <t>Sản phẩm MISA CeGov</t>
  </si>
  <si>
    <t>L01.29.10.01</t>
  </si>
  <si>
    <t>dhphi@software.misa.com.vn</t>
  </si>
  <si>
    <t>B-0826</t>
  </si>
  <si>
    <t>nvtoan1@software.misa.com.vn</t>
  </si>
  <si>
    <t>Kĩ thuật máy tính</t>
  </si>
  <si>
    <t>B-0825</t>
  </si>
  <si>
    <t>Bùi Tuấn Anh</t>
  </si>
  <si>
    <t>Dự án MISA Customer Profile</t>
  </si>
  <si>
    <t>L01.36.04.02</t>
  </si>
  <si>
    <t>btanh2@software.misa.com.vn</t>
  </si>
  <si>
    <t>B-0819</t>
  </si>
  <si>
    <t>Mã Văn Tiến</t>
  </si>
  <si>
    <t>Dự án MISA SUMAN</t>
  </si>
  <si>
    <t>L01.36.02.04</t>
  </si>
  <si>
    <t>mvtien@software.misa.com.vn</t>
  </si>
  <si>
    <t>B-0816</t>
  </si>
  <si>
    <t>Trần Thị Dung</t>
  </si>
  <si>
    <t>ttdung2@software.misa.com.vn</t>
  </si>
  <si>
    <t>B06-0488</t>
  </si>
  <si>
    <t>Phạm Quang Hiệp</t>
  </si>
  <si>
    <t>pqhiep@software.misa.com.vn</t>
  </si>
  <si>
    <t>Cơ học kỹ thuật</t>
  </si>
  <si>
    <t>B08-0070</t>
  </si>
  <si>
    <t>Trần Thị Quyên</t>
  </si>
  <si>
    <t>L01.39</t>
  </si>
  <si>
    <t>ttquyen@software.misa.com.vn</t>
  </si>
  <si>
    <t>Hệ thống thông tin kinh tế</t>
  </si>
  <si>
    <t>B06-0258</t>
  </si>
  <si>
    <t>Trần Ngọc Đức</t>
  </si>
  <si>
    <t>tnduc@software.misa.com.vn</t>
  </si>
  <si>
    <t>Tin học kinh tế</t>
  </si>
  <si>
    <t>Đại học Mỏ địa chất</t>
  </si>
  <si>
    <t>B06-0070</t>
  </si>
  <si>
    <t>Nguyễn Mạnh Trưởng</t>
  </si>
  <si>
    <t>nmtruong@software.misa.com.vn</t>
  </si>
  <si>
    <t>Đại học Tổng hợp Rostov_Liên bang Nga</t>
  </si>
  <si>
    <t>B06-0426</t>
  </si>
  <si>
    <t>Phạm Phú Đăng</t>
  </si>
  <si>
    <t>Dự án MISA invoiceBot</t>
  </si>
  <si>
    <t>L01.28.12.04</t>
  </si>
  <si>
    <t>ppdang@software.misa.com.vn</t>
  </si>
  <si>
    <t>B06-0230</t>
  </si>
  <si>
    <t>Trần Văn Thắng</t>
  </si>
  <si>
    <t>tvthang@software.misa.com.vn</t>
  </si>
  <si>
    <t>B08-0193</t>
  </si>
  <si>
    <t>Phạm Thị Khuyên</t>
  </si>
  <si>
    <t>ptkhuyen@software.misa.com.vn</t>
  </si>
  <si>
    <t>B06-0329</t>
  </si>
  <si>
    <t>Nguyễn Phú Cường</t>
  </si>
  <si>
    <t>npcuong@software.misa.com.vn</t>
  </si>
  <si>
    <t>B06-0478</t>
  </si>
  <si>
    <t>Chu Minh Sang</t>
  </si>
  <si>
    <t>DevOps</t>
  </si>
  <si>
    <t>SDC_DevOps</t>
  </si>
  <si>
    <t>cmsang@software.misa.com.vn</t>
  </si>
  <si>
    <t>B-0504</t>
  </si>
  <si>
    <t>Phạm Trung Thủy</t>
  </si>
  <si>
    <t>ptthuy2@software.misa.com.vn</t>
  </si>
  <si>
    <t>B06-0024</t>
  </si>
  <si>
    <t>Hoàng Viết Đức</t>
  </si>
  <si>
    <t>Nhóm chuyên gia Khối SP Doanh nghiệp</t>
  </si>
  <si>
    <t>L01.28.21</t>
  </si>
  <si>
    <t>hvduc@software.misa.com.vn</t>
  </si>
  <si>
    <t>B06-0334</t>
  </si>
  <si>
    <t>Nguyễn Thiện Sơn</t>
  </si>
  <si>
    <t>ntson1@software.misa.com.vn</t>
  </si>
  <si>
    <t>Lập trình viên quốc tế HaUI - Aptech</t>
  </si>
  <si>
    <t>B06-0535</t>
  </si>
  <si>
    <t>Phan Quốc Đạt</t>
  </si>
  <si>
    <t>Dự án Tổng hợp báo cáo tài chính HCSN (LEKIMA)</t>
  </si>
  <si>
    <t>Sản phẩm Tổng hợp báo cáo tài chính HCSN (LEKIMA)</t>
  </si>
  <si>
    <t>L01.29.07.01</t>
  </si>
  <si>
    <t>pqdat@software.misa.com.vn</t>
  </si>
  <si>
    <t>B06-0383</t>
  </si>
  <si>
    <t>Hoàng Quốc Đức</t>
  </si>
  <si>
    <t>hqduc@mdc.misa.com.vn</t>
  </si>
  <si>
    <t>ĐH Bách Khoa TP.HCM</t>
  </si>
  <si>
    <t>B06-0516</t>
  </si>
  <si>
    <t>Nguyễn Bá Hải</t>
  </si>
  <si>
    <t>nbhai@software.misa.com.vn</t>
  </si>
  <si>
    <t>B06-0436</t>
  </si>
  <si>
    <t>Lê Đình Long</t>
  </si>
  <si>
    <t>ldlong@software.misa.com.vn</t>
  </si>
  <si>
    <t>B06-0251</t>
  </si>
  <si>
    <t>Vũ Xuân Quỳnh</t>
  </si>
  <si>
    <t>vxquynh@software.misa.com.vn</t>
  </si>
  <si>
    <t>H-0142</t>
  </si>
  <si>
    <t>nthoa3@software.misa.com.vn</t>
  </si>
  <si>
    <t>B24-0040</t>
  </si>
  <si>
    <t>Đỗ Trung Kiên</t>
  </si>
  <si>
    <t>dtkien@software.misa.com.vn</t>
  </si>
  <si>
    <t>B08-0024</t>
  </si>
  <si>
    <t>Lưu Thị Lan Hương</t>
  </si>
  <si>
    <t>llhuong@software.misa.com.vn</t>
  </si>
  <si>
    <t>B08-0195</t>
  </si>
  <si>
    <t>Lê Thị Dung</t>
  </si>
  <si>
    <t>[AMIS CRM KH] Nhóm Phân tích &amp; Thiết kế</t>
  </si>
  <si>
    <t>L01.28.15.02</t>
  </si>
  <si>
    <t>ltdung@software.misa.com.vn</t>
  </si>
  <si>
    <t>B06-0171</t>
  </si>
  <si>
    <t>Nguyễn Tiến Đà</t>
  </si>
  <si>
    <t>ntda@software.misa.com.vn</t>
  </si>
  <si>
    <t>B06-0380</t>
  </si>
  <si>
    <t>Phùng Ngọc Huề</t>
  </si>
  <si>
    <t>pnhue@mdc.misa.com.vn</t>
  </si>
  <si>
    <t>Đo lường và tin học công nghệ</t>
  </si>
  <si>
    <t>C10-0010</t>
  </si>
  <si>
    <t>Nguyễn Thị Bình An</t>
  </si>
  <si>
    <t>nban@software.misa.com.vn</t>
  </si>
  <si>
    <t>B02-0025</t>
  </si>
  <si>
    <t>Phạm Văn Thuyết</t>
  </si>
  <si>
    <t>NV Quản trị hệ thống</t>
  </si>
  <si>
    <t>L01.38</t>
  </si>
  <si>
    <t>BO_SAD</t>
  </si>
  <si>
    <t>pvthuyet@software.misa.com.vn</t>
  </si>
  <si>
    <t>Tư Thục Công Nghệ Hà Nội</t>
  </si>
  <si>
    <t>B-0779</t>
  </si>
  <si>
    <t>Đỗ Ánh Nguyệt</t>
  </si>
  <si>
    <t>danguyet@software.misa.com.vn</t>
  </si>
  <si>
    <t>Thiết kế đồ họa</t>
  </si>
  <si>
    <t>Trường Mỹ thuật đa phương tiện Hanoi Arena</t>
  </si>
  <si>
    <t>B08-0014</t>
  </si>
  <si>
    <t>Nguyễn Thị Thanh Nga</t>
  </si>
  <si>
    <t>ntnga1@software.misa.com.vn</t>
  </si>
  <si>
    <t>B-0791</t>
  </si>
  <si>
    <t>Đỗ Văn Trung</t>
  </si>
  <si>
    <t>Dự án MISA ASP</t>
  </si>
  <si>
    <t>L01.34.02.01</t>
  </si>
  <si>
    <t>dvtrung@software.misa.com.vn</t>
  </si>
  <si>
    <t>Toán tin ứng dụng</t>
  </si>
  <si>
    <t>B06-0437</t>
  </si>
  <si>
    <t>Nguyễn Quang Anh</t>
  </si>
  <si>
    <t>nqanh2@software.misa.com.vn</t>
  </si>
  <si>
    <t>B06-0294</t>
  </si>
  <si>
    <t>Dự án AMIS C&amp;B</t>
  </si>
  <si>
    <t>L01.28.02.01</t>
  </si>
  <si>
    <t>pvduong@software.misa.com.vn</t>
  </si>
  <si>
    <t>B06-0144</t>
  </si>
  <si>
    <t>Nguyễn Đức Nghĩa</t>
  </si>
  <si>
    <t>Phó Giám đốc khối</t>
  </si>
  <si>
    <t>L01.29.01</t>
  </si>
  <si>
    <t>SDC_VPUD_1</t>
  </si>
  <si>
    <t>ndnghia@software.misa.com.vn</t>
  </si>
  <si>
    <t>B06-0397</t>
  </si>
  <si>
    <t>Nguyễn Thị Thiên Nga</t>
  </si>
  <si>
    <t>ntnga2@software.misa.com.vn</t>
  </si>
  <si>
    <t>B-0787</t>
  </si>
  <si>
    <t>Quách Văn Lực</t>
  </si>
  <si>
    <t>qvluc@software.misa.com.vn</t>
  </si>
  <si>
    <t>B-0503</t>
  </si>
  <si>
    <t>Đỗ Minh Anh</t>
  </si>
  <si>
    <t>Dự án Mimosa.NET</t>
  </si>
  <si>
    <t>Sản phẩm Mimosa.NET</t>
  </si>
  <si>
    <t>L01.29.04.01</t>
  </si>
  <si>
    <t>SDC_SWE_DES</t>
  </si>
  <si>
    <t>dmanh@software.misa.com.vn</t>
  </si>
  <si>
    <t>B06-0439</t>
  </si>
  <si>
    <t>Bùi Hồng Quân</t>
  </si>
  <si>
    <t>bhquan@software.misa.com.vn</t>
  </si>
  <si>
    <t>B06-0353</t>
  </si>
  <si>
    <t>Trần Thị Ngọc Anh</t>
  </si>
  <si>
    <t>tnanh1@software.misa.com.vn</t>
  </si>
  <si>
    <t>H11-0100</t>
  </si>
  <si>
    <t>Kim Thu Trang</t>
  </si>
  <si>
    <t>kttrang@software.misa.com.vn</t>
  </si>
  <si>
    <t>ĐH Kinh Tế Kỹ Thuật Công Nghiệp HN</t>
  </si>
  <si>
    <t>B08-0054</t>
  </si>
  <si>
    <t>Nguyễn Thị Thịnh</t>
  </si>
  <si>
    <t>L01.28.08</t>
  </si>
  <si>
    <t>ntthinh@software.misa.com.vn</t>
  </si>
  <si>
    <t>B06-0381</t>
  </si>
  <si>
    <t>Phí Hồng Mạnh</t>
  </si>
  <si>
    <t>phmanh@software.misa.com.vn</t>
  </si>
  <si>
    <t>B-0771</t>
  </si>
  <si>
    <t>Nguyễn Xuân Hoàng Dũng</t>
  </si>
  <si>
    <t>nhdung@software.misa.com.vn</t>
  </si>
  <si>
    <t>B06-0340</t>
  </si>
  <si>
    <t>Nguyễn Cao Quân</t>
  </si>
  <si>
    <t>ncquan@software.misa.com.vn</t>
  </si>
  <si>
    <t>B24-0009</t>
  </si>
  <si>
    <t>Nguyễn Văn Sơn</t>
  </si>
  <si>
    <t>Nhóm chuyên gia Ban CNTT</t>
  </si>
  <si>
    <t>L01.36.05</t>
  </si>
  <si>
    <t>SDC_DOL</t>
  </si>
  <si>
    <t>nvson@software.misa.com.vn</t>
  </si>
  <si>
    <t>B08-0154</t>
  </si>
  <si>
    <t>ntdung@software.misa.com.vn</t>
  </si>
  <si>
    <t>B-0525</t>
  </si>
  <si>
    <t>Nguyễn Thị Ly</t>
  </si>
  <si>
    <t>ntly1@software.misa.com.vn</t>
  </si>
  <si>
    <t>Đại học FPT Aptech</t>
  </si>
  <si>
    <t>B06-0078</t>
  </si>
  <si>
    <t>Khuất Quang Quân</t>
  </si>
  <si>
    <t>Trưởng nhóm thiết kế</t>
  </si>
  <si>
    <t>SDC_PDL</t>
  </si>
  <si>
    <t>kqquan@software.misa.com.vn</t>
  </si>
  <si>
    <t>B06-0350</t>
  </si>
  <si>
    <t>Bùi Xuân Hiếu</t>
  </si>
  <si>
    <t>bxhieu@software.misa.com.vn</t>
  </si>
  <si>
    <t>B-0696</t>
  </si>
  <si>
    <t>npthao2@software.misa.com.vn</t>
  </si>
  <si>
    <t>H-0133</t>
  </si>
  <si>
    <t>Vũ Trí Hiệp</t>
  </si>
  <si>
    <t>vthiep@software.misa.com.vn</t>
  </si>
  <si>
    <t>B06-0464</t>
  </si>
  <si>
    <t>Nguyễn Ngọc Lâm</t>
  </si>
  <si>
    <t>nnlam@software.misa.com.vn</t>
  </si>
  <si>
    <t>Truyền thông và Mạng máy tính</t>
  </si>
  <si>
    <t>B-0732</t>
  </si>
  <si>
    <t>Nguyễn Thúc Quân</t>
  </si>
  <si>
    <t>ntquan@software.misa.com.vn</t>
  </si>
  <si>
    <t>H11-0101</t>
  </si>
  <si>
    <t>Đào Thị Như Quỳnh</t>
  </si>
  <si>
    <t>Trưởng nhóm Hỗ trợ kỹ thuật</t>
  </si>
  <si>
    <t>SDC_TSP_LEAD</t>
  </si>
  <si>
    <t>dnquynh@software.misa.com.vn</t>
  </si>
  <si>
    <t>B-0813</t>
  </si>
  <si>
    <t>lthang@software.misa.com.vn</t>
  </si>
  <si>
    <t>B08-0185</t>
  </si>
  <si>
    <t>Vũ Mạnh Hà</t>
  </si>
  <si>
    <t>vmha@software.misa.com.vn</t>
  </si>
  <si>
    <t>ĐH Thăng Long</t>
  </si>
  <si>
    <t>B07-0080</t>
  </si>
  <si>
    <t>Hà Thị Hồng Vân</t>
  </si>
  <si>
    <t>hhvan@software.misa.com.vn</t>
  </si>
  <si>
    <t>B-0532</t>
  </si>
  <si>
    <t>Nguyễn Thị Hương Lý</t>
  </si>
  <si>
    <t>Trưởng nhóm hướng dẫn chuyển giao</t>
  </si>
  <si>
    <t>SDC_TWL</t>
  </si>
  <si>
    <t>nhly1@software.misa.com.vn</t>
  </si>
  <si>
    <t>B-0700</t>
  </si>
  <si>
    <t>ttanh1@software.misa.com.vn</t>
  </si>
  <si>
    <t>B-0698</t>
  </si>
  <si>
    <t>Cao Thị Khánh Ly</t>
  </si>
  <si>
    <t>Dự án Cukcuk W&amp;D (TT Mỹ)</t>
  </si>
  <si>
    <t>L01.32.03.01</t>
  </si>
  <si>
    <t>ckly@software.misa.com.vn</t>
  </si>
  <si>
    <t>B-0812</t>
  </si>
  <si>
    <t>Phan Thị Sương</t>
  </si>
  <si>
    <t>ptsuong@software.misa.com.vn</t>
  </si>
  <si>
    <t>H11-0024</t>
  </si>
  <si>
    <t>Lê Phương Liên</t>
  </si>
  <si>
    <t>lplien@software.misa.com.vn</t>
  </si>
  <si>
    <t>ĐH Công Đoàn</t>
  </si>
  <si>
    <t>B08-0204</t>
  </si>
  <si>
    <t>Đinh Thị Hà</t>
  </si>
  <si>
    <t>dtha@software.misa.com.vn</t>
  </si>
  <si>
    <t>B06-0508</t>
  </si>
  <si>
    <t>Nguyễn Phương Nam</t>
  </si>
  <si>
    <t>Dự án AMIS TMS</t>
  </si>
  <si>
    <t>Sản phẩm AMIS TMS</t>
  </si>
  <si>
    <t>L01.28.06.01</t>
  </si>
  <si>
    <t>npnam@software.misa.com.vn</t>
  </si>
  <si>
    <t>H11-0093</t>
  </si>
  <si>
    <t>Nguyễn Vân Anh</t>
  </si>
  <si>
    <t>nvanh4@software.misa.com.vn</t>
  </si>
  <si>
    <t>Viện ĐH Mở Hà Nội</t>
  </si>
  <si>
    <t>B-0515</t>
  </si>
  <si>
    <t>nnphong@software.misa.com.vn</t>
  </si>
  <si>
    <t>B06-0530</t>
  </si>
  <si>
    <t>Nguyễn Đăng Mạnh</t>
  </si>
  <si>
    <t>[MISA meInvoice] Nhóm Phân tích &amp; Thiết kế</t>
  </si>
  <si>
    <t>L01.28.12.05</t>
  </si>
  <si>
    <t>ndmanh@software.misa.com.vn</t>
  </si>
  <si>
    <t>Đại học Mỹ thuật Công nghiệp</t>
  </si>
  <si>
    <t>B06-0505</t>
  </si>
  <si>
    <t>Ngô Minh Đại</t>
  </si>
  <si>
    <t>Dự án MISA meInvoice Desktop</t>
  </si>
  <si>
    <t>L01.28.12.02</t>
  </si>
  <si>
    <t>nmdai@software.misa.com.vn</t>
  </si>
  <si>
    <t>CĐ Sư phạm Nghệ An</t>
  </si>
  <si>
    <t>B06-0510</t>
  </si>
  <si>
    <t>nvhung3@software.misa.com.vn</t>
  </si>
  <si>
    <t>B06-0050</t>
  </si>
  <si>
    <t>Nguyễn Quang Minh</t>
  </si>
  <si>
    <t>nqminh@software.misa.com.vn</t>
  </si>
  <si>
    <t>Học viện Công Nghệ Thông Tin Quốc Tế NIIT- Thăng Long</t>
  </si>
  <si>
    <t>A32-0002</t>
  </si>
  <si>
    <t>Hoàng Đình Nam</t>
  </si>
  <si>
    <t>Dự án MISA Order</t>
  </si>
  <si>
    <t>L01.36.02.03</t>
  </si>
  <si>
    <t>hdnam@software.misa.com.vn</t>
  </si>
  <si>
    <t>H11-0001</t>
  </si>
  <si>
    <t>Hoàng Thị Nga</t>
  </si>
  <si>
    <t>htnga@software.misa.com.vn</t>
  </si>
  <si>
    <t>B06-0456</t>
  </si>
  <si>
    <t>Phùng Đình Xuân</t>
  </si>
  <si>
    <t>pdxuan@software.misa.com.vn</t>
  </si>
  <si>
    <t>B-0801</t>
  </si>
  <si>
    <t>Kiều Đức Long</t>
  </si>
  <si>
    <t>kdlong@software.misa.com.vn</t>
  </si>
  <si>
    <t>B-0815</t>
  </si>
  <si>
    <t>Nguyễn Công Long</t>
  </si>
  <si>
    <t>nclong@software.misa.com.vn</t>
  </si>
  <si>
    <t>B07-0026</t>
  </si>
  <si>
    <t>Tô Thị Hương Sáng</t>
  </si>
  <si>
    <t>thsang@software.misa.com.vn</t>
  </si>
  <si>
    <t>B06-0273</t>
  </si>
  <si>
    <t>Đỗ Trung Hiếu</t>
  </si>
  <si>
    <t>dthieu@software.misa.com.vn</t>
  </si>
  <si>
    <t>B24-0036</t>
  </si>
  <si>
    <t>Phạm Văn Châu</t>
  </si>
  <si>
    <t>pvchau@software.misa.com.vn</t>
  </si>
  <si>
    <t>B-0792</t>
  </si>
  <si>
    <t>Nguyễn Văn Hiến</t>
  </si>
  <si>
    <t>nvhien@software.misa.com.vn</t>
  </si>
  <si>
    <t>B02-0001</t>
  </si>
  <si>
    <t>Bùi Mạnh Linh</t>
  </si>
  <si>
    <t>L01.01.03</t>
  </si>
  <si>
    <t>bmlinh@osc.misa.com.vn</t>
  </si>
  <si>
    <t>Toán - Thống kê - Tin học</t>
  </si>
  <si>
    <t>B06-0270</t>
  </si>
  <si>
    <t>Lê Đức Hùng</t>
  </si>
  <si>
    <t>ldhung@software.misa.com.vn</t>
  </si>
  <si>
    <t>B-0769</t>
  </si>
  <si>
    <t>Vũ Thị Huyền Trang</t>
  </si>
  <si>
    <t>[AMIS Operation] Nhóm Phân tích &amp; Thiết kế</t>
  </si>
  <si>
    <t>L01.28.05.02</t>
  </si>
  <si>
    <t>vhtrang@software.misa.com.vn</t>
  </si>
  <si>
    <t>Thiết kế đồ họa đa truyền thông</t>
  </si>
  <si>
    <t>Viện công nghệ thông tin T3H</t>
  </si>
  <si>
    <t>B-0731</t>
  </si>
  <si>
    <t>Nguyễn Trung Kiên</t>
  </si>
  <si>
    <t>ntkien1@software.misa.com.vn</t>
  </si>
  <si>
    <t>ĐH Tài nguyên và Môi trường Hà Nội</t>
  </si>
  <si>
    <t>B08-0076</t>
  </si>
  <si>
    <t>Phí Trung Hiếu</t>
  </si>
  <si>
    <t>pthieu@software.misa.com.vn</t>
  </si>
  <si>
    <t>Tin học ứng dụng</t>
  </si>
  <si>
    <t>Cao đẳng Điện tử - Điện lạnh Hà Nội</t>
  </si>
  <si>
    <t>B07-0032</t>
  </si>
  <si>
    <t>Nguyễn Diệu Linh</t>
  </si>
  <si>
    <t>L01.33.02</t>
  </si>
  <si>
    <t>ndlinh@software.misa.com.vn</t>
  </si>
  <si>
    <t>B06-0097</t>
  </si>
  <si>
    <t>Hoàng Ngọc Thắng</t>
  </si>
  <si>
    <t>Kiến trúc sư trưởng</t>
  </si>
  <si>
    <t>Nhóm chuyên gia Khối Nền tảng GD</t>
  </si>
  <si>
    <t>L01.33.03</t>
  </si>
  <si>
    <t>SDC_PA</t>
  </si>
  <si>
    <t>hnthang@software.misa.com.vn</t>
  </si>
  <si>
    <t>H11-0040</t>
  </si>
  <si>
    <t>Nguyễn Thu Hoài</t>
  </si>
  <si>
    <t>nthoai2@software.misa.com.vn</t>
  </si>
  <si>
    <t>Đại học công nghiệp Hà Nội</t>
  </si>
  <si>
    <t>B06-0346</t>
  </si>
  <si>
    <t>Nguyễn Mạnh Đức</t>
  </si>
  <si>
    <t>nmduc@software.misa.com.vn</t>
  </si>
  <si>
    <t>B06-0170</t>
  </si>
  <si>
    <t>Võ Quốc Hưng</t>
  </si>
  <si>
    <t>Nhóm chuyên gia Khối SP HCSN</t>
  </si>
  <si>
    <t>L01.29.13</t>
  </si>
  <si>
    <t>SDC_PUDs</t>
  </si>
  <si>
    <t>vqhung@software.misa.com.vn</t>
  </si>
  <si>
    <t>B06-0371</t>
  </si>
  <si>
    <t>nvcuong1@software.misa.com.vn</t>
  </si>
  <si>
    <t>B06-0177</t>
  </si>
  <si>
    <t>Lê Văn Diệp</t>
  </si>
  <si>
    <t>lvdiep@software.misa.com.vn</t>
  </si>
  <si>
    <t>B06-0443</t>
  </si>
  <si>
    <t>Nguyễn Đinh Sửu</t>
  </si>
  <si>
    <t>ndsuu@software.misa.com.vn</t>
  </si>
  <si>
    <t>B06-0479</t>
  </si>
  <si>
    <t>Nguyễn Nghĩa Nam</t>
  </si>
  <si>
    <t>nnnam@software.misa.com.vn</t>
  </si>
  <si>
    <t>B-0724</t>
  </si>
  <si>
    <t>Lương Xuân Trường</t>
  </si>
  <si>
    <t>lxtruong@software.misa.com.vn</t>
  </si>
  <si>
    <t>B07-0104</t>
  </si>
  <si>
    <t>Vũ Thị Bích Thủy</t>
  </si>
  <si>
    <t>[AMIS QLTS] Nhóm Phân tích &amp; Thiết kế</t>
  </si>
  <si>
    <t>Sản phẩm AMIS Quản lý Tài sản</t>
  </si>
  <si>
    <t>L01.28.23.02</t>
  </si>
  <si>
    <t>vbthuy@software.misa.com.vn</t>
  </si>
  <si>
    <t>B06-0373</t>
  </si>
  <si>
    <t>Đặng Bá Long</t>
  </si>
  <si>
    <t>dblong@software.misa.com.vn</t>
  </si>
  <si>
    <t>B08-0203</t>
  </si>
  <si>
    <t>Phạm Thị Ngân</t>
  </si>
  <si>
    <t>ptngan@software.misa.com.vn</t>
  </si>
  <si>
    <t>B-0507</t>
  </si>
  <si>
    <t>Phạm Thanh Bình</t>
  </si>
  <si>
    <t>ptbinh@software.misa.com.vn</t>
  </si>
  <si>
    <t>B02-0012</t>
  </si>
  <si>
    <t>Nguyễn Hữu Quảng</t>
  </si>
  <si>
    <t>nhquang@osc.misa.com.vn</t>
  </si>
  <si>
    <t>Cao đẳng Sư phạm kỹ thuật I</t>
  </si>
  <si>
    <t>B-0775</t>
  </si>
  <si>
    <t>nthien4@software.misa.com.vn</t>
  </si>
  <si>
    <t>Phát triển ứng dụng</t>
  </si>
  <si>
    <t>B06-0401</t>
  </si>
  <si>
    <t>Nguyễn Hoàng Quý</t>
  </si>
  <si>
    <t>nhquy@software.misa.com.vn</t>
  </si>
  <si>
    <t>CĐ Aptech</t>
  </si>
  <si>
    <t>B06-0323</t>
  </si>
  <si>
    <t>hthuyen@software.misa.com.vn</t>
  </si>
  <si>
    <t>B06-0489</t>
  </si>
  <si>
    <t>Bành Tuấn Anh</t>
  </si>
  <si>
    <t>btanh1@software.misa.com.vn</t>
  </si>
  <si>
    <t>B06-0005</t>
  </si>
  <si>
    <t>Lê Cao Vinh</t>
  </si>
  <si>
    <t>lcvinh@software.misa.com.vn</t>
  </si>
  <si>
    <t>A05-0005</t>
  </si>
  <si>
    <t>Phụ trách kế toán</t>
  </si>
  <si>
    <t>BO_FIN_IC</t>
  </si>
  <si>
    <t>lhanh@software.misa.com.vn</t>
  </si>
  <si>
    <t>B06-0338</t>
  </si>
  <si>
    <t>Lê Xuân Biển</t>
  </si>
  <si>
    <t>lxbien@software.misa.com.vn</t>
  </si>
  <si>
    <t>B06-0410</t>
  </si>
  <si>
    <t>Lê Trần Tiến Đạt</t>
  </si>
  <si>
    <t>ltdat@software.misa.com.vn</t>
  </si>
  <si>
    <t>B08-0187</t>
  </si>
  <si>
    <t>nthuong6@software.misa.com.vn</t>
  </si>
  <si>
    <t>B06-0447</t>
  </si>
  <si>
    <t>Nguyễn Văn Tuấn</t>
  </si>
  <si>
    <t>nvtuan1@software.misa.com.vn</t>
  </si>
  <si>
    <t>B06-0286</t>
  </si>
  <si>
    <t>Dương Trung Thảo</t>
  </si>
  <si>
    <t>dtthao@software.misa.com.vn</t>
  </si>
  <si>
    <t>B06-0411</t>
  </si>
  <si>
    <t>Đỗ Huy Hoàng</t>
  </si>
  <si>
    <t>dhhoang@software.misa.com.vn</t>
  </si>
  <si>
    <t>B-0739</t>
  </si>
  <si>
    <t>Hoàng Minh Đức Anh</t>
  </si>
  <si>
    <t>Dự án Websites</t>
  </si>
  <si>
    <t>L01.36.06.01</t>
  </si>
  <si>
    <t>hdanh1@software.misa.com.vn</t>
  </si>
  <si>
    <t>B-0502</t>
  </si>
  <si>
    <t>Phạm Thị Khánh Huyền</t>
  </si>
  <si>
    <t>pkhuyen@software.misa.com.vn</t>
  </si>
  <si>
    <t>Sư phạm tin học</t>
  </si>
  <si>
    <t>B06-0129</t>
  </si>
  <si>
    <t>nvcuong@software.misa.com.vn</t>
  </si>
  <si>
    <t>C02-0003</t>
  </si>
  <si>
    <t>Đỗ Đức Chiến</t>
  </si>
  <si>
    <t>ddchien@osc.misa.com.vn</t>
  </si>
  <si>
    <t>Trường THPT Tây Hồ</t>
  </si>
  <si>
    <t>B07-0119</t>
  </si>
  <si>
    <t>Trần Thị Mỹ Linh</t>
  </si>
  <si>
    <t>L01.28.05</t>
  </si>
  <si>
    <t>tmlinh@software.misa.com.vn</t>
  </si>
  <si>
    <t>B08-0002</t>
  </si>
  <si>
    <t>nlanh@software.misa.com.vn</t>
  </si>
  <si>
    <t>C11-0020</t>
  </si>
  <si>
    <t>Hoàng Thị Lê</t>
  </si>
  <si>
    <t>htle@software.misa.com.vn</t>
  </si>
  <si>
    <t>CĐ Tài chính - Quản trị Kinh doanh</t>
  </si>
  <si>
    <t>B06-0046</t>
  </si>
  <si>
    <t>Kim Đình Chiến</t>
  </si>
  <si>
    <t>kdchien@software.misa.com.vn</t>
  </si>
  <si>
    <t>B-0707</t>
  </si>
  <si>
    <t>Nguyễn Ngọc Kiểm</t>
  </si>
  <si>
    <t>nnkiem@software.misa.com.vn</t>
  </si>
  <si>
    <t>C09-0044</t>
  </si>
  <si>
    <t>Đặng Thị Vân</t>
  </si>
  <si>
    <t>dtvan@software.misa.com.vn</t>
  </si>
  <si>
    <t>B06-0010</t>
  </si>
  <si>
    <t>nthoa@software.misa.com.vn</t>
  </si>
  <si>
    <t>B06-0453</t>
  </si>
  <si>
    <t>Trần Văn Phương</t>
  </si>
  <si>
    <t>tvphuong@software.misa.com.vn</t>
  </si>
  <si>
    <t>B08-0006</t>
  </si>
  <si>
    <t>Hoàng Thanh Hòa</t>
  </si>
  <si>
    <t>hthoa@software.misa.com.vn</t>
  </si>
  <si>
    <t>B06-0451</t>
  </si>
  <si>
    <t>Đoàn Trung Hiếu</t>
  </si>
  <si>
    <t>dthieu1@software.misa.com.vn</t>
  </si>
  <si>
    <t>B06-0277</t>
  </si>
  <si>
    <t>Nguyễn Tuấn Hưng</t>
  </si>
  <si>
    <t>nthung@software.misa.com.vn</t>
  </si>
  <si>
    <t>B02-0004</t>
  </si>
  <si>
    <t>Nguyễn Thị Thanh Thủy</t>
  </si>
  <si>
    <t>Phó phòng Quản trị hệ thống</t>
  </si>
  <si>
    <t>BO_SAD_DEP</t>
  </si>
  <si>
    <t>ntthuy@software.misa.com.vn</t>
  </si>
  <si>
    <t>B06-0403</t>
  </si>
  <si>
    <t>Vũ Văn Kiệt</t>
  </si>
  <si>
    <t>vvkiet@software.misa.com.vn</t>
  </si>
  <si>
    <t>B06-0484</t>
  </si>
  <si>
    <t>Đặng Quang Nam</t>
  </si>
  <si>
    <t>dqnam@software.misa.com.vn</t>
  </si>
  <si>
    <t>B06-0296</t>
  </si>
  <si>
    <t>Hoàng Trung Kiên</t>
  </si>
  <si>
    <t>htkien@software.misa.com.vn</t>
  </si>
  <si>
    <t>B08-0212</t>
  </si>
  <si>
    <t>lhyen@software.misa.com.vn</t>
  </si>
  <si>
    <t>B06-0502</t>
  </si>
  <si>
    <t>Nguyễn Thị Hồng Hạnh</t>
  </si>
  <si>
    <t>nhhanh@software.misa.com.vn</t>
  </si>
  <si>
    <t>B06-0351</t>
  </si>
  <si>
    <t>Nguyễn Hoàng Anh</t>
  </si>
  <si>
    <t>nhanh1@software.misa.com.vn</t>
  </si>
  <si>
    <t>B08-0199</t>
  </si>
  <si>
    <t>Dương Khánh Linh</t>
  </si>
  <si>
    <t>dklinh@software.misa.com.vn</t>
  </si>
  <si>
    <t>B06-0056</t>
  </si>
  <si>
    <t>Đoàn Văn Việt</t>
  </si>
  <si>
    <t>Q. Giám đốc thiết kế</t>
  </si>
  <si>
    <t>Ban Giám đốc Khối sản xuất</t>
  </si>
  <si>
    <t>L01.27</t>
  </si>
  <si>
    <t>SDC_A.CUD</t>
  </si>
  <si>
    <t>dvviet@software.misa.com.vn</t>
  </si>
  <si>
    <t>B06-0307</t>
  </si>
  <si>
    <t>Đỗ Xuân Phú</t>
  </si>
  <si>
    <t>dxphu@software.misa.com.vn</t>
  </si>
  <si>
    <t>B06-0391</t>
  </si>
  <si>
    <t>Nguyễn Công Tài</t>
  </si>
  <si>
    <t>nctai@mdc.misa.com.vn</t>
  </si>
  <si>
    <t>Học viện quốc tế FPT - Aptech</t>
  </si>
  <si>
    <t>B06-0293</t>
  </si>
  <si>
    <t>Lê Văn Trường</t>
  </si>
  <si>
    <t>lvtruong@mdc.misa.com.vn</t>
  </si>
  <si>
    <t>B-0767</t>
  </si>
  <si>
    <t>Nguyễn Xuân Chiến</t>
  </si>
  <si>
    <t>nxchien@software.misa.com.vn</t>
  </si>
  <si>
    <t>B07-0090</t>
  </si>
  <si>
    <t>Vũ Ngọc Mai</t>
  </si>
  <si>
    <t>vnmai@software.misa.com.vn</t>
  </si>
  <si>
    <t>B06-0319</t>
  </si>
  <si>
    <t>Phạm Tiến Thành Đạt</t>
  </si>
  <si>
    <t>ptdat@software.misa.com.vn</t>
  </si>
  <si>
    <t>B06-0342</t>
  </si>
  <si>
    <t>Vũ Hải Trường</t>
  </si>
  <si>
    <t>vhtruong@software.misa.com.vn</t>
  </si>
  <si>
    <t>B08-0205</t>
  </si>
  <si>
    <t>Nguyễn Thùy Trang</t>
  </si>
  <si>
    <t>nttrang3@software.misa.com.vn</t>
  </si>
  <si>
    <t>B06-0420</t>
  </si>
  <si>
    <t>Lương Xuân Phước</t>
  </si>
  <si>
    <t>[Cukcuk TTNN] Nhóm Phân tích &amp; Thiết kế</t>
  </si>
  <si>
    <t>L01.32.02.02</t>
  </si>
  <si>
    <t>lxphuoc@software.misa.com.vn</t>
  </si>
  <si>
    <t>B06-0223</t>
  </si>
  <si>
    <t>nvhuy@software.misa.com.vn</t>
  </si>
  <si>
    <t>B06-0463</t>
  </si>
  <si>
    <t>Hoàng Văn Bình</t>
  </si>
  <si>
    <t>hvbinh@mdc.misa.com.vn</t>
  </si>
  <si>
    <t>B06-0172</t>
  </si>
  <si>
    <t>Nguyễn Bá Hiệu</t>
  </si>
  <si>
    <t>nbhieu@software.misa.com.vn</t>
  </si>
  <si>
    <t>ĐH giao thông vận tải Hà Nội</t>
  </si>
  <si>
    <t>B06-0483</t>
  </si>
  <si>
    <t>Phùng Tiến Sỹ</t>
  </si>
  <si>
    <t>ptsy@software.misa.com.vn</t>
  </si>
  <si>
    <t>B06-0389</t>
  </si>
  <si>
    <t>Hà Quốc Tuấn</t>
  </si>
  <si>
    <t>hqtuan@mdc.misa.com.vn</t>
  </si>
  <si>
    <t>B06-0225</t>
  </si>
  <si>
    <t>Nguyễn Thanh Liêm</t>
  </si>
  <si>
    <t>ntliem@mdc.misa.com.vn</t>
  </si>
  <si>
    <t>B07-0077</t>
  </si>
  <si>
    <t>Phạm Thị Thái Hà</t>
  </si>
  <si>
    <t>L01.28.12</t>
  </si>
  <si>
    <t>ptha1@software.misa.com.vn</t>
  </si>
  <si>
    <t>B06-0007</t>
  </si>
  <si>
    <t>Ngô Quốc Khánh</t>
  </si>
  <si>
    <t>nqkhanh@software.misa.com.vn</t>
  </si>
  <si>
    <t>B06-0033</t>
  </si>
  <si>
    <t>ntlieu@software.misa.com.vn</t>
  </si>
  <si>
    <t>B06-0458</t>
  </si>
  <si>
    <t>Lê Lương Tuấn Anh</t>
  </si>
  <si>
    <t>ltanh@software.misa.com.vn</t>
  </si>
  <si>
    <t>Đại học Kỹ thuật và Công nghệ (UET), VN Đại học Quốc gia Hà Nội</t>
  </si>
  <si>
    <t>B-0505</t>
  </si>
  <si>
    <t>Phạm Đức Mạnh</t>
  </si>
  <si>
    <t>pdmanh@software.misa.com.vn</t>
  </si>
  <si>
    <t>B06-0062</t>
  </si>
  <si>
    <t>Phạm Đăng Tú</t>
  </si>
  <si>
    <t>pdtu@software.misa.com.vn</t>
  </si>
  <si>
    <t>Hà Nội Aptech</t>
  </si>
  <si>
    <t>B07-0029</t>
  </si>
  <si>
    <t>L01.29.05</t>
  </si>
  <si>
    <t>nvanh@software.misa.com.vn</t>
  </si>
  <si>
    <t>B06-0492</t>
  </si>
  <si>
    <t>Nguyễn Minh Quang</t>
  </si>
  <si>
    <t>nmquang1@software.misa.com.vn</t>
  </si>
  <si>
    <t>B06-0316</t>
  </si>
  <si>
    <t>Tạ Văn Vinh</t>
  </si>
  <si>
    <t>tvvinh@software.misa.com.vn</t>
  </si>
  <si>
    <t>B08-0078</t>
  </si>
  <si>
    <t>Lê Thị Hiền Thảo</t>
  </si>
  <si>
    <t>Phó phòng QA</t>
  </si>
  <si>
    <t>BO_QA.DEP</t>
  </si>
  <si>
    <t>lhthao@software.misa.com.vn</t>
  </si>
  <si>
    <t>B06-0545</t>
  </si>
  <si>
    <t>Nguyễn Mạnh Dũng</t>
  </si>
  <si>
    <t>nmdung@software.misa.com.vn</t>
  </si>
  <si>
    <t>IMIC Technology</t>
  </si>
  <si>
    <t>B-0772</t>
  </si>
  <si>
    <t>Nguyễn Kiên Trung</t>
  </si>
  <si>
    <t>nktrung@software.misa.com.vn</t>
  </si>
  <si>
    <t>B-1233</t>
  </si>
  <si>
    <t>Nguyễn Bá Lộc</t>
  </si>
  <si>
    <t>nbloc@software.misa.com.vn</t>
  </si>
  <si>
    <t>B-1227</t>
  </si>
  <si>
    <t>Quách Văn Cảnh</t>
  </si>
  <si>
    <t>qvcanh@software.misa.com.vn</t>
  </si>
  <si>
    <t>Đại học Mỏ - Địa chất</t>
  </si>
  <si>
    <t>B-1226</t>
  </si>
  <si>
    <t>Mai Đại Long</t>
  </si>
  <si>
    <t>mdlong@software.misa.com.vn</t>
  </si>
  <si>
    <t>B-1225</t>
  </si>
  <si>
    <t>Đặng Tiến Đạo</t>
  </si>
  <si>
    <t>dtdao@software.misa.com.vn</t>
  </si>
  <si>
    <t>B-1220</t>
  </si>
  <si>
    <t>Nguyễn Quang Lợi</t>
  </si>
  <si>
    <t>nqloi@software.misa.com.vn</t>
  </si>
  <si>
    <t>Đại học công nghệ - ĐH Quốc gia Hà Nội</t>
  </si>
  <si>
    <t>B-1224</t>
  </si>
  <si>
    <t>nvson3@software.misa.com.vn</t>
  </si>
  <si>
    <t>B-1215</t>
  </si>
  <si>
    <t>nqminh1@software.misa.com.vn</t>
  </si>
  <si>
    <t>B-1213</t>
  </si>
  <si>
    <t>Phạm Thị Hồng Hạnh</t>
  </si>
  <si>
    <t>phhanh@software.misa.com.vn</t>
  </si>
  <si>
    <t>Đại học Kinh tế - ĐHQGHN</t>
  </si>
  <si>
    <t>B-1201</t>
  </si>
  <si>
    <t>Nguyễn Duy Hưng</t>
  </si>
  <si>
    <t>ndhung1@software.misa.com.vn</t>
  </si>
  <si>
    <t>B-1207</t>
  </si>
  <si>
    <t>Lê Lan Hương</t>
  </si>
  <si>
    <t>llhuong1@software.misa.com.vn</t>
  </si>
  <si>
    <t>B-1205</t>
  </si>
  <si>
    <t>Lê Thanh Hiếu</t>
  </si>
  <si>
    <t>lthieu1@software.misa.com.vn</t>
  </si>
  <si>
    <t>B-1203</t>
  </si>
  <si>
    <t>Nguyễn Văn Quang</t>
  </si>
  <si>
    <t>nvquang2@software.misa.com.vn</t>
  </si>
  <si>
    <t>Kỹ thuật Cơ điện tử</t>
  </si>
  <si>
    <t>B-1198</t>
  </si>
  <si>
    <t>Nguyễn Đức Đạt</t>
  </si>
  <si>
    <t>nddat1@software.misa.com.vn</t>
  </si>
  <si>
    <t>B-1199</t>
  </si>
  <si>
    <t>Trần Hậu</t>
  </si>
  <si>
    <t>[iVAN] Nhóm Phân tích &amp; Thiết kế</t>
  </si>
  <si>
    <t>L01.28.08.02</t>
  </si>
  <si>
    <t>thau@software.misa.com.vn</t>
  </si>
  <si>
    <t>Thiết kế đa phương tiện</t>
  </si>
  <si>
    <t>Học việc công nghệ Bưu chính Viễn thông</t>
  </si>
  <si>
    <t>B-1194</t>
  </si>
  <si>
    <t>Nguyễn Văn Thìn</t>
  </si>
  <si>
    <t>Dự án MISA QLCB</t>
  </si>
  <si>
    <t>L01.29.08.01</t>
  </si>
  <si>
    <t>nvthin@software.misa.com.vn</t>
  </si>
  <si>
    <t>B-1196</t>
  </si>
  <si>
    <t>nthoa4@software.misa.com.vn</t>
  </si>
  <si>
    <t>B-1193</t>
  </si>
  <si>
    <t>Nguyễn Xuân Tấn San</t>
  </si>
  <si>
    <t>Dự án MISA eSign</t>
  </si>
  <si>
    <t>L01.28.16.01</t>
  </si>
  <si>
    <t>ntsan@software.misa.com.vn</t>
  </si>
  <si>
    <t>B-1180</t>
  </si>
  <si>
    <t>Đặng Việt Anh</t>
  </si>
  <si>
    <t>dvanh2@software.misa.com.vn</t>
  </si>
  <si>
    <t>B-1166</t>
  </si>
  <si>
    <t>Bùi Quang Điệp</t>
  </si>
  <si>
    <t>bqdiep@software.misa.com.vn</t>
  </si>
  <si>
    <t>B-1182</t>
  </si>
  <si>
    <t>Nguyễn Vũ Hải Thái</t>
  </si>
  <si>
    <t>nhthai@software.misa.com.vn</t>
  </si>
  <si>
    <t>B-1188</t>
  </si>
  <si>
    <t>Phan Văn Hiếu</t>
  </si>
  <si>
    <t>pvhieu@software.misa.com.vn</t>
  </si>
  <si>
    <t>Đại học công nghệ giao thông vận tải</t>
  </si>
  <si>
    <t>B-1191</t>
  </si>
  <si>
    <t>Lê Danh Vũ</t>
  </si>
  <si>
    <t>ldvu@software.misa.com.vn</t>
  </si>
  <si>
    <t>Đại học Công Nghiệp Thực Phẩm TP.HCM</t>
  </si>
  <si>
    <t>B-1160</t>
  </si>
  <si>
    <t>Trần Văn Lợi</t>
  </si>
  <si>
    <t>tvloi1@software.misa.com.vn</t>
  </si>
  <si>
    <t>HV Công nghệ Bưu chính viễn thông</t>
  </si>
  <si>
    <t>B-1170</t>
  </si>
  <si>
    <t>Phạm Việt Dương</t>
  </si>
  <si>
    <t>pvduong2@software.misa.com.vn</t>
  </si>
  <si>
    <t>B-1171</t>
  </si>
  <si>
    <t>Lê Đức Huy</t>
  </si>
  <si>
    <t>ldhuy@software.misa.com.vn</t>
  </si>
  <si>
    <t>B-1179</t>
  </si>
  <si>
    <t>Trần Ngọc Lâm</t>
  </si>
  <si>
    <t>tnlam@software.misa.com.vn</t>
  </si>
  <si>
    <t>B-1186</t>
  </si>
  <si>
    <t>Nguyễn Thị Nhàn</t>
  </si>
  <si>
    <t>ntnhan2@software.misa.com.vn</t>
  </si>
  <si>
    <t>B-1181</t>
  </si>
  <si>
    <t>Trương Tuấn Anh</t>
  </si>
  <si>
    <t>ttanh4@rd.misa.com.vn</t>
  </si>
  <si>
    <t>B-1176</t>
  </si>
  <si>
    <t>Lê Thế Hùng</t>
  </si>
  <si>
    <t>lthung@software.misa.com.vn</t>
  </si>
  <si>
    <t>HV Công nghệ Bưu chính Viễn thông</t>
  </si>
  <si>
    <t>B-1163</t>
  </si>
  <si>
    <t>Phùng Quang Vinh</t>
  </si>
  <si>
    <t>pqvinh@software.misa.com.vn</t>
  </si>
  <si>
    <t>B-1165</t>
  </si>
  <si>
    <t>Nguyễn Phúc Tĩnh</t>
  </si>
  <si>
    <t>nptinh@software.misa.com.vn</t>
  </si>
  <si>
    <t>B-1172</t>
  </si>
  <si>
    <t>Ngô Thị Thanh Hằng</t>
  </si>
  <si>
    <t>nthang4@software.misa.com.vn</t>
  </si>
  <si>
    <t>B-1159</t>
  </si>
  <si>
    <t>Nguyễn Như Nam</t>
  </si>
  <si>
    <t>nnnam1@software.misa.com.vn</t>
  </si>
  <si>
    <t>B-1155</t>
  </si>
  <si>
    <t>Lê Đức Trung Anh</t>
  </si>
  <si>
    <t>ltanh2@software.misa.com.vn</t>
  </si>
  <si>
    <t>B-1153</t>
  </si>
  <si>
    <t>Nguyễn Thành Long</t>
  </si>
  <si>
    <t>ntlong@software.misa.com.vn</t>
  </si>
  <si>
    <t>B-1151</t>
  </si>
  <si>
    <t>Phạm Văn Đức</t>
  </si>
  <si>
    <t>pvduc@software.misa.com.vn</t>
  </si>
  <si>
    <t>B-1142</t>
  </si>
  <si>
    <t>Hoàng Ngọc Anh</t>
  </si>
  <si>
    <t>hnanh1@software.misa.com.vn</t>
  </si>
  <si>
    <t>Cao đẳng thực hành FPT Polytechnich</t>
  </si>
  <si>
    <t>B-1146</t>
  </si>
  <si>
    <t>Tạ Việt Khang</t>
  </si>
  <si>
    <t>tvkhang@software.misa.com.vn</t>
  </si>
  <si>
    <t>B-1148</t>
  </si>
  <si>
    <t>Đào Văn Hùng</t>
  </si>
  <si>
    <t>dvhung2@software.misa.com.vn</t>
  </si>
  <si>
    <t>B-1147</t>
  </si>
  <si>
    <t>Tô Nguyễn Đức Mạnh</t>
  </si>
  <si>
    <t>tdmanh1@software.misa.com.vn</t>
  </si>
  <si>
    <t>ĐH Thương mại Hà nội</t>
  </si>
  <si>
    <t>B-1140</t>
  </si>
  <si>
    <t>nvquang1@software.misa.com.vn</t>
  </si>
  <si>
    <t>B-1139</t>
  </si>
  <si>
    <t>Nguyễn Thị Nhung Huyền</t>
  </si>
  <si>
    <t>nnhuyen@software.misa.com.vn</t>
  </si>
  <si>
    <t>Đại học kinh tế- Kỹ thuật công nghiệp</t>
  </si>
  <si>
    <t>B-1136</t>
  </si>
  <si>
    <t>Nguyễn Văn Nam</t>
  </si>
  <si>
    <t>nvnam3@software.misa.com.vn</t>
  </si>
  <si>
    <t>B-1135</t>
  </si>
  <si>
    <t>Nguyễn Đình Hiếu</t>
  </si>
  <si>
    <t>ndhieu3@software.misa.com.vn</t>
  </si>
  <si>
    <t>B-1133</t>
  </si>
  <si>
    <t>Nguyễn Thu Thủy</t>
  </si>
  <si>
    <t>[AMIS Mua hàng] Nhóm Phân tích &amp; Thiết kế</t>
  </si>
  <si>
    <t>Sản phẩm AMIS Mua hàng</t>
  </si>
  <si>
    <t>L01.28.10.02</t>
  </si>
  <si>
    <t>ntthuy6@software.misa.com.vn</t>
  </si>
  <si>
    <t>B-1128</t>
  </si>
  <si>
    <t>Trần Thị Soan</t>
  </si>
  <si>
    <t>[AMIS TMS] Nhóm Phân tích &amp; Thiết kế</t>
  </si>
  <si>
    <t>L01.28.06.02</t>
  </si>
  <si>
    <t>ttsoan@software.misa.com.vn</t>
  </si>
  <si>
    <t>Kinh tế và phát triển quốc tế</t>
  </si>
  <si>
    <t>B-1127</t>
  </si>
  <si>
    <t>ntphuong3@software.misa.com.vn</t>
  </si>
  <si>
    <t>B-1126</t>
  </si>
  <si>
    <t>Nguyễn Phạm Vân Khánh</t>
  </si>
  <si>
    <t>nvkhanh@software.misa.com.vn</t>
  </si>
  <si>
    <t>Đại học Thương Mại (sắp tốt nghiệp)</t>
  </si>
  <si>
    <t>B-1123</t>
  </si>
  <si>
    <t>Bùi Thị Duyên</t>
  </si>
  <si>
    <t>btduyen@software.misa.com.vn</t>
  </si>
  <si>
    <t>Đại học Thương mại Hà Nội</t>
  </si>
  <si>
    <t>B-1119</t>
  </si>
  <si>
    <t>Đào Thị Thủy</t>
  </si>
  <si>
    <t>[Bamboo Online] Nhóm Phân tích &amp; Thiết kế</t>
  </si>
  <si>
    <t>L01.29.05.02</t>
  </si>
  <si>
    <t>dtthuy4@software.misa.com.vn</t>
  </si>
  <si>
    <t>B-1112</t>
  </si>
  <si>
    <t>Vũ Đức Giang</t>
  </si>
  <si>
    <t>Dự án MISA TaskGo</t>
  </si>
  <si>
    <t>Sản phẩm MISA TaskGo</t>
  </si>
  <si>
    <t>L01.29.09.01</t>
  </si>
  <si>
    <t>vdgiang@software.misa.com.vn</t>
  </si>
  <si>
    <t>information technology</t>
  </si>
  <si>
    <t>Vnu Hanoi University Engineering And Technology</t>
  </si>
  <si>
    <t>B-1110</t>
  </si>
  <si>
    <t>Vũ Mạnh Cường</t>
  </si>
  <si>
    <t>vmcuong@software.misa.com.vn</t>
  </si>
  <si>
    <t>B-1108</t>
  </si>
  <si>
    <t>Lê Văn Kiên</t>
  </si>
  <si>
    <t>lvkien1@software.misa.com.vn</t>
  </si>
  <si>
    <t>B-1106</t>
  </si>
  <si>
    <t>Ngô Quỳnh Hương</t>
  </si>
  <si>
    <t>nqhuong@software.misa.com.vn</t>
  </si>
  <si>
    <t>Kỹ thuật hệ thống thông tin</t>
  </si>
  <si>
    <t>B-1104</t>
  </si>
  <si>
    <t>Đỗ Văn Thức</t>
  </si>
  <si>
    <t>dvthuc@software.misa.com.vn</t>
  </si>
  <si>
    <t>B-1103</t>
  </si>
  <si>
    <t>Phạm Quang Khánh</t>
  </si>
  <si>
    <t>pqkhanh@software.misa.com.vn</t>
  </si>
  <si>
    <t>Khoa CNTT</t>
  </si>
  <si>
    <t>B-1102</t>
  </si>
  <si>
    <t>Bùi Đức Anh</t>
  </si>
  <si>
    <t>bdanh@software.misa.com.vn</t>
  </si>
  <si>
    <t>B-1098</t>
  </si>
  <si>
    <t>Lê Mạnh Hùng</t>
  </si>
  <si>
    <t>lmhung@software.misa.com.vn</t>
  </si>
  <si>
    <t>kỹ thuật phần mềm</t>
  </si>
  <si>
    <t>ĐH Công nghiệp Hà Nội</t>
  </si>
  <si>
    <t>B-1101</t>
  </si>
  <si>
    <t>Vũ Công Đoàn</t>
  </si>
  <si>
    <t>vcdoan@software.misa.com.vn</t>
  </si>
  <si>
    <t>B-1099</t>
  </si>
  <si>
    <t>Nguyễn Đăng Dũng</t>
  </si>
  <si>
    <t>nddung2@software.misa.com.vn</t>
  </si>
  <si>
    <t>B-1085</t>
  </si>
  <si>
    <t>Nguyễn Chung Đỉnh</t>
  </si>
  <si>
    <t>ncdinh@software.misa.com.vn</t>
  </si>
  <si>
    <t>B-1076</t>
  </si>
  <si>
    <t>Phạm Công Phong</t>
  </si>
  <si>
    <t>pcphong@software.misa.com.vn</t>
  </si>
  <si>
    <t>Học viện kĩ thuật quân sự</t>
  </si>
  <si>
    <t>B-1002</t>
  </si>
  <si>
    <t>Lê Thiện Tuấn</t>
  </si>
  <si>
    <t>lttuan1@software.misa.com.vn</t>
  </si>
  <si>
    <t>Đại Học Bách Khoa Hà Nội Sinh Viên Năm</t>
  </si>
  <si>
    <t>B-0974</t>
  </si>
  <si>
    <t>Đỗ Hoàng Nam</t>
  </si>
  <si>
    <t>dhnam1@software.misa.com.vn</t>
  </si>
  <si>
    <t>B-0905</t>
  </si>
  <si>
    <t>Nguyễn Việt Quang</t>
  </si>
  <si>
    <t>nvquang@software.misa.com.vn</t>
  </si>
  <si>
    <t>B-0857</t>
  </si>
  <si>
    <t>Vũ Minh Đức</t>
  </si>
  <si>
    <t>vmduc@software.misa.com.vn</t>
  </si>
  <si>
    <t>B-0827</t>
  </si>
  <si>
    <t>Đoàn Quang Vinh</t>
  </si>
  <si>
    <t>dqvinh@software.misa.com.vn</t>
  </si>
  <si>
    <t>B-0818</t>
  </si>
  <si>
    <t>Phạm Minh Hiếu</t>
  </si>
  <si>
    <t>pmhieu@software.misa.com.vn</t>
  </si>
  <si>
    <t>B24-0031</t>
  </si>
  <si>
    <t>Nguyễn Hữu Thắng</t>
  </si>
  <si>
    <t>nhthang@software.misa.com.vn</t>
  </si>
  <si>
    <t>Mạng Máy Tính &amp; Truyền Thông</t>
  </si>
  <si>
    <t>B06-0145</t>
  </si>
  <si>
    <t>Hoàng Văn Thuyên</t>
  </si>
  <si>
    <t>hvthuyen@software.misa.com.vn</t>
  </si>
  <si>
    <t>B-0809</t>
  </si>
  <si>
    <t>Phạm Tú Anh</t>
  </si>
  <si>
    <t>ptanh1@software.misa.com.vn</t>
  </si>
  <si>
    <t>B06-0512</t>
  </si>
  <si>
    <t>Nguyễn Việt Hà</t>
  </si>
  <si>
    <t>nvha1@software.misa.com.vn</t>
  </si>
  <si>
    <t>B06-0504</t>
  </si>
  <si>
    <t>nthong2@software.misa.com.vn</t>
  </si>
  <si>
    <t>B08-0207</t>
  </si>
  <si>
    <t>Hoàng Thị Thùy Linh</t>
  </si>
  <si>
    <t>[MISA eSign] Nhóm Phân tích và Thiết kế</t>
  </si>
  <si>
    <t>L01.28.16.03</t>
  </si>
  <si>
    <t>htlinh1@software.misa.com.vn</t>
  </si>
  <si>
    <t>B-0748</t>
  </si>
  <si>
    <t>Lê Thu Phương</t>
  </si>
  <si>
    <t>ltphuong1@software.misa.com.vn</t>
  </si>
  <si>
    <t>Quản trị chất lượng</t>
  </si>
  <si>
    <t>B08-0172</t>
  </si>
  <si>
    <t>Phan Thị Hương Giang</t>
  </si>
  <si>
    <t>phgiang@software.misa.com.vn</t>
  </si>
  <si>
    <t>ĐH Mỏ Địa Chất</t>
  </si>
  <si>
    <t>B24-0041</t>
  </si>
  <si>
    <t>Nguyễn Đình Vũ</t>
  </si>
  <si>
    <t>ndvu@software.misa.com.vn</t>
  </si>
  <si>
    <t>B-0639</t>
  </si>
  <si>
    <t>Hoàng Quang Minh</t>
  </si>
  <si>
    <t>hqminh1@software.misa.com.vn</t>
  </si>
  <si>
    <t>B23-0001</t>
  </si>
  <si>
    <t>Trần Thị Khánh Hòa</t>
  </si>
  <si>
    <t>tkhoa@software.misa.com.vn</t>
  </si>
  <si>
    <t>Đại học Quốc gia Hà Nội</t>
  </si>
  <si>
    <t>B07-0122</t>
  </si>
  <si>
    <t>Ngô Thị Hải Yến</t>
  </si>
  <si>
    <t>L01.34.02</t>
  </si>
  <si>
    <t>nhyen2@software.misa.com.vn</t>
  </si>
  <si>
    <t>B06-0207</t>
  </si>
  <si>
    <t>nhyen@software.misa.com.vn</t>
  </si>
  <si>
    <t>B06-0128</t>
  </si>
  <si>
    <t>Phạm Trọng Hoàn</t>
  </si>
  <si>
    <t>Dự án MISA eSign Mobile</t>
  </si>
  <si>
    <t>L01.28.16.02</t>
  </si>
  <si>
    <t>pthoan@mdc.misa.com.vn</t>
  </si>
  <si>
    <t>B06-0121</t>
  </si>
  <si>
    <t>Lê Trung Hiếu</t>
  </si>
  <si>
    <t>lthieu@software.misa.com.vn</t>
  </si>
  <si>
    <t>B06-0466</t>
  </si>
  <si>
    <t>Lương Ngọc Tùng</t>
  </si>
  <si>
    <t>lntung@software.misa.com.vn</t>
  </si>
  <si>
    <t>B06-0163</t>
  </si>
  <si>
    <t>Trần Trung</t>
  </si>
  <si>
    <t>ttrung@misa.com.vn</t>
  </si>
  <si>
    <t>B-0729</t>
  </si>
  <si>
    <t>Dự án AMIS HRM MISA</t>
  </si>
  <si>
    <t>L01.28.04.01</t>
  </si>
  <si>
    <t>ltnga1@software.misa.com.vn</t>
  </si>
  <si>
    <t>Sư phạm mỹ thuật</t>
  </si>
  <si>
    <t>Đại học sư phạm nghệ thuật TW</t>
  </si>
  <si>
    <t>B06-0482</t>
  </si>
  <si>
    <t>Trần Đăng Lâm</t>
  </si>
  <si>
    <t>tdlam@software.misa.com.vn</t>
  </si>
  <si>
    <t>B06-0522</t>
  </si>
  <si>
    <t>Bùi Thiện Quang</t>
  </si>
  <si>
    <t>btquang@rd.misa.com.vn</t>
  </si>
  <si>
    <t>H11-0003</t>
  </si>
  <si>
    <t>Lại Thị Mai</t>
  </si>
  <si>
    <t>ltmai@software.misa.com.vn</t>
  </si>
  <si>
    <t>Đại học Thái Nguyên</t>
  </si>
  <si>
    <t>B06-0370</t>
  </si>
  <si>
    <t>Nguyễn Anh Dũng</t>
  </si>
  <si>
    <t>nadung@software.misa.com.vn</t>
  </si>
  <si>
    <t>B06-0434</t>
  </si>
  <si>
    <t>Ngô Văn Hải</t>
  </si>
  <si>
    <t>nvhai@software.misa.com.vn</t>
  </si>
  <si>
    <t>B06-0423</t>
  </si>
  <si>
    <t>Nguyễn Văn Hòa</t>
  </si>
  <si>
    <t>nvhoa1@software.misa.com.vn</t>
  </si>
  <si>
    <t>ĐH Lâm Nghiệp Việt Nam</t>
  </si>
  <si>
    <t>B-0672</t>
  </si>
  <si>
    <t>Bùi Quang Duy</t>
  </si>
  <si>
    <t>bqduy@software.misa.com.vn</t>
  </si>
  <si>
    <t>B06-0308</t>
  </si>
  <si>
    <t>Nguyễn Xuân Đức</t>
  </si>
  <si>
    <t>nxduc@software.misa.com.vn</t>
  </si>
  <si>
    <t>B-0799</t>
  </si>
  <si>
    <t>Nông Thị Bảo Châu</t>
  </si>
  <si>
    <t>nbchau@software.misa.com.vn</t>
  </si>
  <si>
    <t>Báo mạng điện tử</t>
  </si>
  <si>
    <t>B-0807</t>
  </si>
  <si>
    <t>Đinh Quang Đạt</t>
  </si>
  <si>
    <t>dqdat1@software.misa.com.vn</t>
  </si>
  <si>
    <t>B06-0089</t>
  </si>
  <si>
    <t>Nguyễn Văn Đoàn</t>
  </si>
  <si>
    <t>nvdoan@software.misa.com.vn</t>
  </si>
  <si>
    <t>B06-0475</t>
  </si>
  <si>
    <t>Trần Đình Công</t>
  </si>
  <si>
    <t>tdcong@mdc.misa.com.vn</t>
  </si>
  <si>
    <t>B-1369</t>
  </si>
  <si>
    <t>Đào Thế Quốc</t>
  </si>
  <si>
    <t>dtquoc@software.misa.com.vn</t>
  </si>
  <si>
    <t>Học viên Bưu chính viễn thông</t>
  </si>
  <si>
    <t>B-1361</t>
  </si>
  <si>
    <t>Đăng Thị Thúy</t>
  </si>
  <si>
    <t>dtthuy6@software.misa.com.vn</t>
  </si>
  <si>
    <t>B-1363</t>
  </si>
  <si>
    <t>Trịnh Thị Kim Tuyến</t>
  </si>
  <si>
    <t>tktuyen@software.misa.com.vn</t>
  </si>
  <si>
    <t>B-1321</t>
  </si>
  <si>
    <t>Phạm Đức Long</t>
  </si>
  <si>
    <t>pdlong@software.misa.com.vn</t>
  </si>
  <si>
    <t>Quản trị khởi sự doanh nghiệp</t>
  </si>
  <si>
    <t>University Of Huddersfield</t>
  </si>
  <si>
    <t>B-1320</t>
  </si>
  <si>
    <t>Trần Thị Trang</t>
  </si>
  <si>
    <t>tttrang@software.misa.com.vn</t>
  </si>
  <si>
    <t>B-1319</t>
  </si>
  <si>
    <t>Đặng Thị Thanh</t>
  </si>
  <si>
    <t>dtthanh1@software.misa.com.vn</t>
  </si>
  <si>
    <t>Trường Đại Học Sư Phạm Kỹ Thuật Hưng Yên</t>
  </si>
  <si>
    <t>B-1317</t>
  </si>
  <si>
    <t>Đỗ Ngọc Ánh</t>
  </si>
  <si>
    <t>dnanh2@software.misa.com.vn</t>
  </si>
  <si>
    <t>B-1315</t>
  </si>
  <si>
    <t>Hoàng Long</t>
  </si>
  <si>
    <t>hlong@software.misa.com.vn</t>
  </si>
  <si>
    <t>FPT Arena</t>
  </si>
  <si>
    <t>B-1314</t>
  </si>
  <si>
    <t>Đặng Thế Lập</t>
  </si>
  <si>
    <t>dtlap@software.misa.com.vn</t>
  </si>
  <si>
    <t>B-1313</t>
  </si>
  <si>
    <t>Lê Văn Hùng</t>
  </si>
  <si>
    <t>lvhung@software.misa.com.vn</t>
  </si>
  <si>
    <t>B-1312</t>
  </si>
  <si>
    <t>Trịnh Xuân Đào</t>
  </si>
  <si>
    <t>txdao@software.misa.com.vn</t>
  </si>
  <si>
    <t>B-1311</t>
  </si>
  <si>
    <t>Nguyễn Văn Đức</t>
  </si>
  <si>
    <t>nvduc3@software.misa.com.vn</t>
  </si>
  <si>
    <t>B-1310</t>
  </si>
  <si>
    <t>Lại Thái Việt</t>
  </si>
  <si>
    <t>ltviet@software.misa.com.vn</t>
  </si>
  <si>
    <t>Học viên Công nghệ Bưu chính Viễn Thông (PTIT)</t>
  </si>
  <si>
    <t>B-1309</t>
  </si>
  <si>
    <t>Nguyễn Ngọc Đức</t>
  </si>
  <si>
    <t>nnduc@software.misa.com.vn</t>
  </si>
  <si>
    <t>B-1308</t>
  </si>
  <si>
    <t>Nguyễn Đăng Chiến</t>
  </si>
  <si>
    <t>ndchien1@software.misa.com.vn</t>
  </si>
  <si>
    <t>B-1307</t>
  </si>
  <si>
    <t>Trần Văn Tám</t>
  </si>
  <si>
    <t>tvtam@software.misa.com.vn</t>
  </si>
  <si>
    <t>B-1306</t>
  </si>
  <si>
    <t>Hoàng Thị Thỏa</t>
  </si>
  <si>
    <t>htthoa@software.misa.com.vn</t>
  </si>
  <si>
    <t>B-1305</t>
  </si>
  <si>
    <t>Hoàng Văn Mạnh</t>
  </si>
  <si>
    <t>hvmanh@software.misa.com.vn</t>
  </si>
  <si>
    <t>B-1303</t>
  </si>
  <si>
    <t>Vũ Quốc Anh</t>
  </si>
  <si>
    <t>vqanh@software.misa.com.vn</t>
  </si>
  <si>
    <t>B-1302</t>
  </si>
  <si>
    <t>Phạm Văn Biển</t>
  </si>
  <si>
    <t>pvbien@software.misa.com.vn</t>
  </si>
  <si>
    <t>B-1300</t>
  </si>
  <si>
    <t>Nguyễn Duy Cương</t>
  </si>
  <si>
    <t>ndcuong2@rd.misa.com.vn</t>
  </si>
  <si>
    <t>B-1294</t>
  </si>
  <si>
    <t>nbhong@software.misa.com.vn</t>
  </si>
  <si>
    <t>B-1265</t>
  </si>
  <si>
    <t>Bùi Đình Hải</t>
  </si>
  <si>
    <t>bdhai@mdc.misa.com.vn</t>
  </si>
  <si>
    <t>Kỹ thuật Điện tử - Viễn thông</t>
  </si>
  <si>
    <t>B-1278</t>
  </si>
  <si>
    <t>npthao4@software.misa.com.vn</t>
  </si>
  <si>
    <t>Global IT</t>
  </si>
  <si>
    <t>B-1291</t>
  </si>
  <si>
    <t>Hoàng Anh Nghiệp</t>
  </si>
  <si>
    <t>hanghiep@software.misa.com.vn</t>
  </si>
  <si>
    <t>B-1290</t>
  </si>
  <si>
    <t>Nguyễn Khắc Tiềm</t>
  </si>
  <si>
    <t>nktiem@software.misa.com.vn</t>
  </si>
  <si>
    <t>Đại học sư phạm kỹ thuật Hưng Yên</t>
  </si>
  <si>
    <t>B-1283</t>
  </si>
  <si>
    <t>nhnam3@software.misa.com.vn</t>
  </si>
  <si>
    <t>B-1281</t>
  </si>
  <si>
    <t>Nguyễn Hữu Giang</t>
  </si>
  <si>
    <t>nhgiang4@software.misa.com.vn</t>
  </si>
  <si>
    <t>B-1276</t>
  </si>
  <si>
    <t>nmcuong@software.misa.com.vn</t>
  </si>
  <si>
    <t>B-1272</t>
  </si>
  <si>
    <t>Phạm Thị Ngọc</t>
  </si>
  <si>
    <t>ptngoc2@software.misa.com.vn</t>
  </si>
  <si>
    <t>B-1277</t>
  </si>
  <si>
    <t>Nguyễn Văn Đức Quang</t>
  </si>
  <si>
    <t>ndquang1@software.misa.com.vn</t>
  </si>
  <si>
    <t>B-1274</t>
  </si>
  <si>
    <t>Hoàng Thị Ngọc</t>
  </si>
  <si>
    <t>htngoc@software.misa.com.vn</t>
  </si>
  <si>
    <t>B-1273</t>
  </si>
  <si>
    <t>Nguyễn Đình Thế</t>
  </si>
  <si>
    <t>ndthe@software.misa.com.vn</t>
  </si>
  <si>
    <t>B-1271</t>
  </si>
  <si>
    <t>Nguyễn Chí Công</t>
  </si>
  <si>
    <t>nccong@software.misa.com.vn</t>
  </si>
  <si>
    <t>Cao đẳng FPT Polytechnic</t>
  </si>
  <si>
    <t>B-1269</t>
  </si>
  <si>
    <t>Nguyễn Mạnh Thế</t>
  </si>
  <si>
    <t>nmthe@software.misa.com.vn</t>
  </si>
  <si>
    <t>B-1270</t>
  </si>
  <si>
    <t>Đàm Văn Hiếu</t>
  </si>
  <si>
    <t>dvhieu2@software.misa.com.vn</t>
  </si>
  <si>
    <t>B-1266</t>
  </si>
  <si>
    <t>Đỗ Văn Hưng</t>
  </si>
  <si>
    <t>dvhung3@software.misa.com.vn</t>
  </si>
  <si>
    <t>B-1267</t>
  </si>
  <si>
    <t>Nguyễn Sỹ Khởi</t>
  </si>
  <si>
    <t>nskhoi@software.misa.com.vn</t>
  </si>
  <si>
    <t>B-1263</t>
  </si>
  <si>
    <t>Bùi Thị Hồng Nhung</t>
  </si>
  <si>
    <t>bhnhung@software.misa.com.vn</t>
  </si>
  <si>
    <t>B-1258</t>
  </si>
  <si>
    <t>Nguyễn Thiên Sơn</t>
  </si>
  <si>
    <t>ntson5@software.misa.com.vn</t>
  </si>
  <si>
    <t>Trường Đại Học Mở Hà Nội</t>
  </si>
  <si>
    <t>B-1257</t>
  </si>
  <si>
    <t>Nguyễn Văn Linh</t>
  </si>
  <si>
    <t>nvlinh1@software.misa.com.vn</t>
  </si>
  <si>
    <t>B-1256</t>
  </si>
  <si>
    <t>Nguyễn Kim Thi</t>
  </si>
  <si>
    <t>nkthi@software.misa.com.vn</t>
  </si>
  <si>
    <t>Đại Học Mỏ - Địa Chất Hà Nội</t>
  </si>
  <si>
    <t>B-1255</t>
  </si>
  <si>
    <t>Nguyễn Thị Tuyết Trang</t>
  </si>
  <si>
    <t>nttrang6@software.misa.com.vn</t>
  </si>
  <si>
    <t>B-1254</t>
  </si>
  <si>
    <t>Phạm Hải Nam</t>
  </si>
  <si>
    <t>phnam@rd.misa.com.vn</t>
  </si>
  <si>
    <t>Học viện kỹ thuật quân sự</t>
  </si>
  <si>
    <t>B-1253</t>
  </si>
  <si>
    <t>Lê Huy Hưng</t>
  </si>
  <si>
    <t>lhhung@software.misa.com.vn</t>
  </si>
  <si>
    <t>B-1251</t>
  </si>
  <si>
    <t>Nguyễn Văn Dương</t>
  </si>
  <si>
    <t>nvduong@software.misa.com.vn</t>
  </si>
  <si>
    <t>B-1250</t>
  </si>
  <si>
    <t>Nguyễn Văn Ngọc</t>
  </si>
  <si>
    <t>nvngoc@software.misa.com.vn</t>
  </si>
  <si>
    <t>B-1249</t>
  </si>
  <si>
    <t>pthuong@software.misa.com.vn</t>
  </si>
  <si>
    <t>Học Viện Ngân Hàng Hà Nội</t>
  </si>
  <si>
    <t>B-1244</t>
  </si>
  <si>
    <t>Đoàn Thị Lan Anh</t>
  </si>
  <si>
    <t>dlanh1@software.misa.com.vn</t>
  </si>
  <si>
    <t>B-1240</t>
  </si>
  <si>
    <t>nvquang3@software.misa.com.vn</t>
  </si>
  <si>
    <t>B-1237</t>
  </si>
  <si>
    <t>Nguyễn Ngọc Tuấn</t>
  </si>
  <si>
    <t>nntuan@software.misa.com.vn</t>
  </si>
  <si>
    <t>Máy xây dựng</t>
  </si>
  <si>
    <t>Đại học Xây Dựng</t>
  </si>
  <si>
    <t>B-1235</t>
  </si>
  <si>
    <t>Phạm Thị Hoan</t>
  </si>
  <si>
    <t>pthoan1@software.misa.com.vn</t>
  </si>
  <si>
    <t>Đại Học Công Nghiệp Hà Nội Ngành Kiểm Toán</t>
  </si>
  <si>
    <t>B-1234</t>
  </si>
  <si>
    <t>Phạm Văn Ngọc</t>
  </si>
  <si>
    <t>pvngoc@software.misa.com.vn</t>
  </si>
  <si>
    <t>B-1230</t>
  </si>
  <si>
    <t>Nguyễn Việt Hoàng</t>
  </si>
  <si>
    <t>nvhoang@software.misa.com.vn</t>
  </si>
  <si>
    <t>Công nghệ Nano</t>
  </si>
  <si>
    <t>B-1229</t>
  </si>
  <si>
    <t>Nguyễn Văn Thịnh</t>
  </si>
  <si>
    <t>nvthinh@software.misa.com.vn</t>
  </si>
  <si>
    <t>Đại học Bách Khoa</t>
  </si>
  <si>
    <t>B-1218</t>
  </si>
  <si>
    <t>Ngô Hải Long</t>
  </si>
  <si>
    <t>nhlong2@software.misa.com.vn</t>
  </si>
  <si>
    <t>Học viện Công nghệ Bưu chính và viễn thông</t>
  </si>
  <si>
    <t>B-1219</t>
  </si>
  <si>
    <t>pvdat@software.misa.com.vn</t>
  </si>
  <si>
    <t>B-1212</t>
  </si>
  <si>
    <t>dtthuy5@software.misa.com.vn</t>
  </si>
  <si>
    <t>B-1200</t>
  </si>
  <si>
    <t>Hoàng Anh Thư</t>
  </si>
  <si>
    <t>hathu1@software.misa.com.vn</t>
  </si>
  <si>
    <t>Đại học Kinh tế Kỹ thuật Công nghiệp</t>
  </si>
  <si>
    <t>B-1202</t>
  </si>
  <si>
    <t>Vũ Thị Liên</t>
  </si>
  <si>
    <t>vtlien@software.misa.com.vn</t>
  </si>
  <si>
    <t>Trường Học Viện Nông Nghiệp Việt Nam</t>
  </si>
  <si>
    <t>B-1168</t>
  </si>
  <si>
    <t>Trịnh Văn Toàn</t>
  </si>
  <si>
    <t>tvtoan@software.misa.com.vn</t>
  </si>
  <si>
    <t>B-1169</t>
  </si>
  <si>
    <t>Nguyễn Tùng Dương</t>
  </si>
  <si>
    <t>ntduong2@software.misa.com.vn</t>
  </si>
  <si>
    <t>B-1184</t>
  </si>
  <si>
    <t>Nguyễn Tài Quân</t>
  </si>
  <si>
    <t>ntquan1@software.misa.com.vn</t>
  </si>
  <si>
    <t>Master of Business Administration (M.B.A.)</t>
  </si>
  <si>
    <t>University of Tampa, University of South Florida</t>
  </si>
  <si>
    <t>B-1177</t>
  </si>
  <si>
    <t>Đỗ Đức Thịnh</t>
  </si>
  <si>
    <t>ddthinh@osc.misa.com.vn</t>
  </si>
  <si>
    <t>Cao đẳng kinh tế kỹ thuật Trung ương</t>
  </si>
  <si>
    <t>B-1129</t>
  </si>
  <si>
    <t>Nguyễn Thị Trà My</t>
  </si>
  <si>
    <t>[AMIS weSign] Nhóm Phân tích và Thiết kế</t>
  </si>
  <si>
    <t>L01.28.17.03</t>
  </si>
  <si>
    <t>ntmy1@software.misa.com.vn</t>
  </si>
  <si>
    <t>B-1124</t>
  </si>
  <si>
    <t>Lâm Mạnh Hùng</t>
  </si>
  <si>
    <t>lmhung@rd.misa.com.vn</t>
  </si>
  <si>
    <t>B-1091</t>
  </si>
  <si>
    <t>Vũ Hương Liên</t>
  </si>
  <si>
    <t>vhlien@software.misa.com.vn</t>
  </si>
  <si>
    <t>B-1084</t>
  </si>
  <si>
    <t>Nguyễn Đăng Hoàng</t>
  </si>
  <si>
    <t>ndhoang@software.misa.com.vn</t>
  </si>
  <si>
    <t>B-1071</t>
  </si>
  <si>
    <t>Nguyễn Văn Dũng</t>
  </si>
  <si>
    <t>nvdung1@software.misa.com.vn</t>
  </si>
  <si>
    <t>B-1064</t>
  </si>
  <si>
    <t>Lương Hữu Quý</t>
  </si>
  <si>
    <t>lhquy@software.misa.com.vn</t>
  </si>
  <si>
    <t>ĐH Giao thông vận tải HN</t>
  </si>
  <si>
    <t>B-1060</t>
  </si>
  <si>
    <t>Trần Đức Hiếu</t>
  </si>
  <si>
    <t>tdhieu@software.misa.com.vn</t>
  </si>
  <si>
    <t>B-1049</t>
  </si>
  <si>
    <t>Vũ Thùy Linh</t>
  </si>
  <si>
    <t>vtlinh1@software.misa.com.vn</t>
  </si>
  <si>
    <t>B-1045</t>
  </si>
  <si>
    <t>Vũ Ngọc Hà</t>
  </si>
  <si>
    <t>vnha1@software.misa.com.vn</t>
  </si>
  <si>
    <t>B-0953</t>
  </si>
  <si>
    <t>Phạm Hồng Vân</t>
  </si>
  <si>
    <t>phvan1@software.misa.com.vn</t>
  </si>
  <si>
    <t>B-0955</t>
  </si>
  <si>
    <t>ttdung4@software.misa.com.vn</t>
  </si>
  <si>
    <t>Đại Học Kinh Tế Và Quản Trị Kinh Doanh Đh Thái Nguyên</t>
  </si>
  <si>
    <t>B-0948</t>
  </si>
  <si>
    <t>Hoàng Thanh Long</t>
  </si>
  <si>
    <t>htlong@mdc.misa.com.vn</t>
  </si>
  <si>
    <t>B-0929</t>
  </si>
  <si>
    <t>Trang Hải Long</t>
  </si>
  <si>
    <t>thlong@software.misa.com.vn</t>
  </si>
  <si>
    <t>Toán tin</t>
  </si>
  <si>
    <t>B-0885</t>
  </si>
  <si>
    <t>Nguyễn Hồng Cường</t>
  </si>
  <si>
    <t>nhcuong@software.misa.com.vn</t>
  </si>
  <si>
    <t>B-0856</t>
  </si>
  <si>
    <t>Phạm Vũ Minh Quân</t>
  </si>
  <si>
    <t>pmquan1@software.misa.com.vn</t>
  </si>
  <si>
    <t>B-0833</t>
  </si>
  <si>
    <t>Phan Ngọc Toản</t>
  </si>
  <si>
    <t>pntoan@software.misa.com.vn</t>
  </si>
  <si>
    <t>B-0828</t>
  </si>
  <si>
    <t>Phạm Quang Hiếu</t>
  </si>
  <si>
    <t>pqhieu@software.misa.com.vn</t>
  </si>
  <si>
    <t>B-0821</t>
  </si>
  <si>
    <t>Phan Thị Thùy Ngân</t>
  </si>
  <si>
    <t>ptngan1@software.misa.com.vn</t>
  </si>
  <si>
    <t>B06-0480</t>
  </si>
  <si>
    <t>Cao Công Hân</t>
  </si>
  <si>
    <t>cchan@software.misa.com.vn</t>
  </si>
  <si>
    <t>B06-0470</t>
  </si>
  <si>
    <t>Nguyễn Xuân Phong</t>
  </si>
  <si>
    <t>nxphong@software.misa.com.vn</t>
  </si>
  <si>
    <t>B-0556</t>
  </si>
  <si>
    <t>Vũ Đức Dũng</t>
  </si>
  <si>
    <t>vddung1@software.misa.com.vn</t>
  </si>
  <si>
    <t>B07-0107</t>
  </si>
  <si>
    <t>Mai Thị Ngân</t>
  </si>
  <si>
    <t>mtngan@software.misa.com.vn</t>
  </si>
  <si>
    <t>B06-0412</t>
  </si>
  <si>
    <t>Phạm Tiến Long</t>
  </si>
  <si>
    <t>ptlong@software.misa.com.vn</t>
  </si>
  <si>
    <t>James Cook University - Singapore</t>
  </si>
  <si>
    <t>B06-0124</t>
  </si>
  <si>
    <t>Trần Văn Dũng</t>
  </si>
  <si>
    <t>Dự án MISA MoneyKeeper</t>
  </si>
  <si>
    <t>Khối sản phẩm Cá nhân</t>
  </si>
  <si>
    <t>Sản phẩm MISA MoneyKeeper</t>
  </si>
  <si>
    <t>L01.31.03.01</t>
  </si>
  <si>
    <t>tvdung@mdc.misa.com.vn</t>
  </si>
  <si>
    <t>Công nghệ cơ điện tử</t>
  </si>
  <si>
    <t>B06-0291</t>
  </si>
  <si>
    <t>Võ Văn Hưng</t>
  </si>
  <si>
    <t>vvhung@software.misa.com.vn</t>
  </si>
  <si>
    <t>B-0528</t>
  </si>
  <si>
    <t>Nguyễn Tiến Bảo</t>
  </si>
  <si>
    <t>ntbao@software.misa.com.vn</t>
  </si>
  <si>
    <t>B24-0022</t>
  </si>
  <si>
    <t>Chu Hữu Bắc</t>
  </si>
  <si>
    <t>chbac@software.misa.com.vn</t>
  </si>
  <si>
    <t>B-0742</t>
  </si>
  <si>
    <t>Tạ Đình Dũng</t>
  </si>
  <si>
    <t>Dự án MISA TaskGo 2</t>
  </si>
  <si>
    <t>L01.29.09.02</t>
  </si>
  <si>
    <t>tddung@software.misa.com.vn</t>
  </si>
  <si>
    <t>B06-0544</t>
  </si>
  <si>
    <t>Nguyễn Minh Tuấn</t>
  </si>
  <si>
    <t>nmtuan2@software.misa.com.vn</t>
  </si>
  <si>
    <t>B06-0362</t>
  </si>
  <si>
    <t>Phạm Minh Ngọc</t>
  </si>
  <si>
    <t>pmngoc@software.misa.com.vn</t>
  </si>
  <si>
    <t>B06-0275</t>
  </si>
  <si>
    <t>Nguyễn Đình Nghĩa</t>
  </si>
  <si>
    <t>ndnghia1@software.misa.com.vn</t>
  </si>
  <si>
    <t>H-0171</t>
  </si>
  <si>
    <t>Đỗ Văn Minh</t>
  </si>
  <si>
    <t>dvminh1@software.misa.com.vn</t>
  </si>
  <si>
    <t>trường an ninh mạng ISPACE</t>
  </si>
  <si>
    <t>B06-0205</t>
  </si>
  <si>
    <t>Nguyễn Tác Chiến</t>
  </si>
  <si>
    <t>ntchien@software.misa.com.vn</t>
  </si>
  <si>
    <t>Hệ thông tin địa lý</t>
  </si>
  <si>
    <t>Đại học Mỏ Địa Chất - Hà Nội</t>
  </si>
  <si>
    <t>B-0587</t>
  </si>
  <si>
    <t>Lê Tuấn Hải</t>
  </si>
  <si>
    <t>lthai@software.misa.com.vn</t>
  </si>
  <si>
    <t>B06-0542</t>
  </si>
  <si>
    <t>Lê Quốc Tuấn</t>
  </si>
  <si>
    <t>lqtuan@software.misa.com.vn</t>
  </si>
  <si>
    <t>B08-0168</t>
  </si>
  <si>
    <t>nddung@software.misa.com.vn</t>
  </si>
  <si>
    <t>Cao đẳng Bách nghệ Tây Hà</t>
  </si>
  <si>
    <t>B02-0021</t>
  </si>
  <si>
    <t>Lê Thị Ly Ly</t>
  </si>
  <si>
    <t>Trưởng phòng PR</t>
  </si>
  <si>
    <t>L01.01.07</t>
  </si>
  <si>
    <t>BO_PR_MGR</t>
  </si>
  <si>
    <t>llly@software.misa.com.vn</t>
  </si>
  <si>
    <t>B-0790</t>
  </si>
  <si>
    <t>ntmanh@software.misa.com.vn</t>
  </si>
  <si>
    <t>B06-0355</t>
  </si>
  <si>
    <t>Dư Ngọc Cường</t>
  </si>
  <si>
    <t>dncuong@software.misa.com.vn</t>
  </si>
  <si>
    <t>B06-0103</t>
  </si>
  <si>
    <t>Trần Văn Huân</t>
  </si>
  <si>
    <t>Q. Giám đốc thi công</t>
  </si>
  <si>
    <t>SDC_A.CENO</t>
  </si>
  <si>
    <t>tvhuan@software.misa.com.vn</t>
  </si>
  <si>
    <t>Genetic - Bách khoa Hà Nội</t>
  </si>
  <si>
    <t>B08-0010</t>
  </si>
  <si>
    <t>Lê Thị Mai Hương</t>
  </si>
  <si>
    <t>SDC_PQC</t>
  </si>
  <si>
    <t>lmhuong@software.misa.com.vn</t>
  </si>
  <si>
    <t>C04-0002</t>
  </si>
  <si>
    <t>Vũ Thùy Nhung</t>
  </si>
  <si>
    <t>vtnhung@software.misa.com.vn</t>
  </si>
  <si>
    <t>B08-0053</t>
  </si>
  <si>
    <t>nthoa2@software.misa.com.vn</t>
  </si>
  <si>
    <t>B06-0359</t>
  </si>
  <si>
    <t>Hoàng Tuấn Anh</t>
  </si>
  <si>
    <t>htanh@software.misa.com.vn</t>
  </si>
  <si>
    <t>B-0721</t>
  </si>
  <si>
    <t>Vương Văn An</t>
  </si>
  <si>
    <t>vvan@software.misa.com.vn</t>
  </si>
  <si>
    <t>B06-0305</t>
  </si>
  <si>
    <t>Hà Đức Huy</t>
  </si>
  <si>
    <t>hdhuy@software.misa.com.vn</t>
  </si>
  <si>
    <t>B-0586</t>
  </si>
  <si>
    <t>Đồng Văn Quang</t>
  </si>
  <si>
    <t>dvquang2@software.misa.com.vn</t>
  </si>
  <si>
    <t>C10-0094</t>
  </si>
  <si>
    <t>Phạm Thị Quỳnh Mai</t>
  </si>
  <si>
    <t>Trưởng ban Phát triển đối tác</t>
  </si>
  <si>
    <t>L01.16</t>
  </si>
  <si>
    <t>SDC_PNR_MGR</t>
  </si>
  <si>
    <t>pqmai1@misa.com.vn</t>
  </si>
  <si>
    <t>C09-0210</t>
  </si>
  <si>
    <t>Đoàn Ngọc Anh</t>
  </si>
  <si>
    <t>dnanh@software.misa.com.vn</t>
  </si>
  <si>
    <t>B07-0002</t>
  </si>
  <si>
    <t>Lại Thị Đào</t>
  </si>
  <si>
    <t>ltdao1@software.misa.com.vn</t>
  </si>
  <si>
    <t>B08-0157</t>
  </si>
  <si>
    <t>Lê Thị Minh Hoa</t>
  </si>
  <si>
    <t>lmhoa@software.misa.com.vn</t>
  </si>
  <si>
    <t>B06-0500</t>
  </si>
  <si>
    <t>Trần Đại Nghĩa</t>
  </si>
  <si>
    <t>tdnghia@software.misa.com.vn</t>
  </si>
  <si>
    <t>B07-0120</t>
  </si>
  <si>
    <t>Nguyễn Hồng Lý</t>
  </si>
  <si>
    <t>[MIMOSA Online] Nhóm Phân tích và Thiết kế</t>
  </si>
  <si>
    <t>L01.29.03.02</t>
  </si>
  <si>
    <t>nhly@software.misa.com.vn</t>
  </si>
  <si>
    <t>B06-0491</t>
  </si>
  <si>
    <t>Nguyễn Văn Đông</t>
  </si>
  <si>
    <t>nvdong1@software.misa.com.vn</t>
  </si>
  <si>
    <t>B06-0495</t>
  </si>
  <si>
    <t>Trần Thiên Sơn</t>
  </si>
  <si>
    <t>ttson@software.misa.com.vn</t>
  </si>
  <si>
    <t>B06-0454</t>
  </si>
  <si>
    <t>Nguyễn Tiến Xuân</t>
  </si>
  <si>
    <t>ntxuan@software.misa.com.vn</t>
  </si>
  <si>
    <t>B03-0001</t>
  </si>
  <si>
    <t>Lưu Thị Hiền Hiền</t>
  </si>
  <si>
    <t>lhhien@software.misa.com.vn</t>
  </si>
  <si>
    <t>B06-0461</t>
  </si>
  <si>
    <t>Nguyễn Bình Dương</t>
  </si>
  <si>
    <t>nbduong@software.misa.com.vn</t>
  </si>
  <si>
    <t>B-0501</t>
  </si>
  <si>
    <t>Phạm Thành Trung</t>
  </si>
  <si>
    <t>pttrung@software.misa.com.vn</t>
  </si>
  <si>
    <t>B06-0361</t>
  </si>
  <si>
    <t>Phạm Văn Duy</t>
  </si>
  <si>
    <t>pvduy@software.misa.com.vn</t>
  </si>
  <si>
    <t>B-0572</t>
  </si>
  <si>
    <t>Vũ Thị Linh</t>
  </si>
  <si>
    <t>vtlinh@software.misa.com.vn</t>
  </si>
  <si>
    <t>B06-0114</t>
  </si>
  <si>
    <t>Lê Đình Ngọc</t>
  </si>
  <si>
    <t>ldngoc@software.misa.com.vn</t>
  </si>
  <si>
    <t>B06-0462</t>
  </si>
  <si>
    <t>ndlong@software.misa.com.vn</t>
  </si>
  <si>
    <t>B-0610</t>
  </si>
  <si>
    <t>Vũ Tuấn Minh</t>
  </si>
  <si>
    <t>vtminh@software.misa.com.vn</t>
  </si>
  <si>
    <t>B06-0041</t>
  </si>
  <si>
    <t>Trần Ngọc Sơn</t>
  </si>
  <si>
    <t>tnson@software.misa.com.vn</t>
  </si>
  <si>
    <t>B-0594</t>
  </si>
  <si>
    <t>Đặng Trung Kiên</t>
  </si>
  <si>
    <t>dtkien1@software.misa.com.vn</t>
  </si>
  <si>
    <t>B-0795</t>
  </si>
  <si>
    <t>Nguyễn Phan Duy</t>
  </si>
  <si>
    <t>npduy@software.misa.com.vn</t>
  </si>
  <si>
    <t>B08-0027</t>
  </si>
  <si>
    <t>Hà Thị Hồng Sơn</t>
  </si>
  <si>
    <t>hhson@software.misa.com.vn</t>
  </si>
  <si>
    <t>B06-0064</t>
  </si>
  <si>
    <t>nhgiang@software.misa.com.vn</t>
  </si>
  <si>
    <t>B06-0208</t>
  </si>
  <si>
    <t>Vũ Bá Tám</t>
  </si>
  <si>
    <t>vbtam@software.misa.com.vn</t>
  </si>
  <si>
    <t>B-0577</t>
  </si>
  <si>
    <t>Lê Trọng Quân</t>
  </si>
  <si>
    <t>ltquan@software.misa.com.vn</t>
  </si>
  <si>
    <t>B-0680</t>
  </si>
  <si>
    <t>Nguyễn Mạnh Hùng</t>
  </si>
  <si>
    <t>nmhung2@software.misa.com.vn</t>
  </si>
  <si>
    <t>B06-0330</t>
  </si>
  <si>
    <t>Nguyễn Văn Minh</t>
  </si>
  <si>
    <t>nvminh@software.misa.com.vn</t>
  </si>
  <si>
    <t>B-0495</t>
  </si>
  <si>
    <t>Trần Hải Dương</t>
  </si>
  <si>
    <t>thduong@software.misa.com.vn</t>
  </si>
  <si>
    <t>B06-0499</t>
  </si>
  <si>
    <t>nvhuy1@software.misa.com.vn</t>
  </si>
  <si>
    <t>B-0570</t>
  </si>
  <si>
    <t>Bùi Trung Tú</t>
  </si>
  <si>
    <t>bttu@software.misa.com.vn</t>
  </si>
  <si>
    <t>H11-0138</t>
  </si>
  <si>
    <t>Nguyễn Thị Thu Hường</t>
  </si>
  <si>
    <t>nthuong@software.misa.com.vn</t>
  </si>
  <si>
    <t>B-0625</t>
  </si>
  <si>
    <t>Nguyễn Quốc Khánh</t>
  </si>
  <si>
    <t>nqkhanh1@mdc.misa.com.vn</t>
  </si>
  <si>
    <t>Máy tính và khoa học thông tin</t>
  </si>
  <si>
    <t>B-0783</t>
  </si>
  <si>
    <t>Vũ Khắc Điển</t>
  </si>
  <si>
    <t>vkdien@software.misa.com.vn</t>
  </si>
  <si>
    <t>B08-0056</t>
  </si>
  <si>
    <t>Mai Ngọc Sơn</t>
  </si>
  <si>
    <t>mnson@software.misa.com.vn</t>
  </si>
  <si>
    <t>H11-0154</t>
  </si>
  <si>
    <t>Đặng Thị Ngọc Tú</t>
  </si>
  <si>
    <t>dntu@software.misa.com.vn</t>
  </si>
  <si>
    <t>B-0750</t>
  </si>
  <si>
    <t>Trần Văn Hiếu</t>
  </si>
  <si>
    <t>tvhieu@software.misa.com.vn</t>
  </si>
  <si>
    <t>B06-0238</t>
  </si>
  <si>
    <t>Nguyễn Xuân Cường</t>
  </si>
  <si>
    <t>nxcuong@software.misa.com.vn</t>
  </si>
  <si>
    <t>B07-0118</t>
  </si>
  <si>
    <t>Đầu Đài Trang</t>
  </si>
  <si>
    <t>ddtrang@software.misa.com.vn</t>
  </si>
  <si>
    <t>B06-0312</t>
  </si>
  <si>
    <t>Trần Đức Mạnh</t>
  </si>
  <si>
    <t>tdmanh@software.misa.com.vn</t>
  </si>
  <si>
    <t>B-0699</t>
  </si>
  <si>
    <t>Trần Thị Thu Trà</t>
  </si>
  <si>
    <t>tttra@software.misa.com.vn</t>
  </si>
  <si>
    <t>Biên - Phiên dịch</t>
  </si>
  <si>
    <t>Đại học Ngoại Ngữ - Đại học Quốc gia Hà Nội</t>
  </si>
  <si>
    <t>H11-0082</t>
  </si>
  <si>
    <t>Hồ Xuân Mạnh</t>
  </si>
  <si>
    <t>hxmanh@software.misa.com.vn</t>
  </si>
  <si>
    <t>B08-0029</t>
  </si>
  <si>
    <t>Phạm Thị Phượng</t>
  </si>
  <si>
    <t>Trưởng phòng QTNNL</t>
  </si>
  <si>
    <t>BO_HR_MGR</t>
  </si>
  <si>
    <t>ptphuong@software.misa.com.vn</t>
  </si>
  <si>
    <t>B06-0111</t>
  </si>
  <si>
    <t>Đỗ Văn Thắng</t>
  </si>
  <si>
    <t>dvthang@software.misa.com.vn</t>
  </si>
  <si>
    <t>B02-0024</t>
  </si>
  <si>
    <t>Hà Quỳnh Nga</t>
  </si>
  <si>
    <t>hqnga@osc.misa.com.vn</t>
  </si>
  <si>
    <t>B06-0049</t>
  </si>
  <si>
    <t>Nguyễn Văn Hà</t>
  </si>
  <si>
    <t>nvha@software.misa.com.vn</t>
  </si>
  <si>
    <t>B-0487</t>
  </si>
  <si>
    <t>nqtrang@software.misa.com.vn</t>
  </si>
  <si>
    <t>University of Hartford</t>
  </si>
  <si>
    <t>B-0535</t>
  </si>
  <si>
    <t>Nguyễn Văn Định</t>
  </si>
  <si>
    <t>nvdinh@software.misa.com.vn</t>
  </si>
  <si>
    <t>B24-0020</t>
  </si>
  <si>
    <t>Phó ban CNTT</t>
  </si>
  <si>
    <t>Ban Giám đốc - Ban CNTT</t>
  </si>
  <si>
    <t>L01.36.01</t>
  </si>
  <si>
    <t>SDC_IT_DEP</t>
  </si>
  <si>
    <t>ntkien@software.misa.com.vn</t>
  </si>
  <si>
    <t>Tin quản lý</t>
  </si>
  <si>
    <t>B06-0081</t>
  </si>
  <si>
    <t>Bùi Ngọc Đức</t>
  </si>
  <si>
    <t>bnduc@software.misa.com.vn</t>
  </si>
  <si>
    <t>D12-0001</t>
  </si>
  <si>
    <t>lttrang@software.misa.com.vn</t>
  </si>
  <si>
    <t>H11-0026</t>
  </si>
  <si>
    <t>Nguyễn Thị Hà</t>
  </si>
  <si>
    <t>ntha1@software.misa.com.vn</t>
  </si>
  <si>
    <t>B08-0017</t>
  </si>
  <si>
    <t>Bùi Thế Anh</t>
  </si>
  <si>
    <t>btanh@software.misa.com.vn</t>
  </si>
  <si>
    <t>B-0544</t>
  </si>
  <si>
    <t>Nguyễn Thành Trung</t>
  </si>
  <si>
    <t>nttrung1@software.misa.com.vn</t>
  </si>
  <si>
    <t>B06-0053</t>
  </si>
  <si>
    <t>Trịnh Tiến Hòa</t>
  </si>
  <si>
    <t>tthoa@software.misa.com.vn</t>
  </si>
  <si>
    <t>B-0617</t>
  </si>
  <si>
    <t>Lê Khắc Khỏe</t>
  </si>
  <si>
    <t>lkkhoe@software.misa.com.vn</t>
  </si>
  <si>
    <t>B-0723</t>
  </si>
  <si>
    <t>Vũ Viết Văn</t>
  </si>
  <si>
    <t>vvvan@software.misa.com.vn</t>
  </si>
  <si>
    <t>B-0494</t>
  </si>
  <si>
    <t>nvnguyen@software.misa.com.vn</t>
  </si>
  <si>
    <t>B08-0171</t>
  </si>
  <si>
    <t>Nguyễn Thị Út Linh</t>
  </si>
  <si>
    <t>nulinh@software.misa.com.vn</t>
  </si>
  <si>
    <t>B07-0036</t>
  </si>
  <si>
    <t>Trưởng nhóm phân tích nghiệp vụ</t>
  </si>
  <si>
    <t>SDC_BAL</t>
  </si>
  <si>
    <t>lvanh@software.misa.com.vn</t>
  </si>
  <si>
    <t>B06-0031</t>
  </si>
  <si>
    <t>Nguyễn Ngọc An</t>
  </si>
  <si>
    <t>nnan@software.misa.com.vn</t>
  </si>
  <si>
    <t>B-0608</t>
  </si>
  <si>
    <t>Phùng Đắc Tài</t>
  </si>
  <si>
    <t>pdtai@software.misa.com.vn</t>
  </si>
  <si>
    <t>B06-0187</t>
  </si>
  <si>
    <t>Đỗ Đức Nhân</t>
  </si>
  <si>
    <t>ddnhan@software.misa.com.vn</t>
  </si>
  <si>
    <t>B-1388</t>
  </si>
  <si>
    <t>Phạm Thị Thu Hà</t>
  </si>
  <si>
    <t>pttha@rd.misa.com.vn</t>
  </si>
  <si>
    <t>B-1387</t>
  </si>
  <si>
    <t>Nguyễn Duy Hảo</t>
  </si>
  <si>
    <t>ndhao@rd.misa.com.vn</t>
  </si>
  <si>
    <t>Toán - Tin</t>
  </si>
  <si>
    <t>trường đại học bách khoa hà nội</t>
  </si>
  <si>
    <t>B-1386</t>
  </si>
  <si>
    <t>Bùi Xuân Dương</t>
  </si>
  <si>
    <t>bxduong@software.misa.com.vn</t>
  </si>
  <si>
    <t>Công nghệ thông tin.</t>
  </si>
  <si>
    <t>B-1385</t>
  </si>
  <si>
    <t>Phạm Đức Anh</t>
  </si>
  <si>
    <t>pdanh1@software.misa.com.vn</t>
  </si>
  <si>
    <t>B-1383</t>
  </si>
  <si>
    <t>Bùi Huy Tuyền</t>
  </si>
  <si>
    <t>bhtuyen@software.misa.com.vn</t>
  </si>
  <si>
    <t>B-1380</t>
  </si>
  <si>
    <t>nvthinh1@software.misa.com.vn</t>
  </si>
  <si>
    <t>B-1375</t>
  </si>
  <si>
    <t>Hoàng Bảo Việt</t>
  </si>
  <si>
    <t>hbviet@software.misa.com.vn</t>
  </si>
  <si>
    <t>B-1378</t>
  </si>
  <si>
    <t>Nguyễn Trọng Tuế</t>
  </si>
  <si>
    <t>nttue@software.misa.com.vn</t>
  </si>
  <si>
    <t>B-1379</t>
  </si>
  <si>
    <t>Nguyễn Long Nhật</t>
  </si>
  <si>
    <t>Dự án AMIS Kế toán (HKD)</t>
  </si>
  <si>
    <t>Sản phẩm AMIS Kế toán (HKD)</t>
  </si>
  <si>
    <t>L01.30.04.01</t>
  </si>
  <si>
    <t>nlnhat1@software.misa.com.vn</t>
  </si>
  <si>
    <t>B-1374</t>
  </si>
  <si>
    <t>Nguyễn Tiến Trung</t>
  </si>
  <si>
    <t>nttrung2@software.misa.com.vn</t>
  </si>
  <si>
    <t>B-1376</t>
  </si>
  <si>
    <t>Nguyễn Đình Thi</t>
  </si>
  <si>
    <t>ndthi@software.misa.com.vn</t>
  </si>
  <si>
    <t>B-1377</t>
  </si>
  <si>
    <t>Nguyễn Anh Quân</t>
  </si>
  <si>
    <t>naquan@software.misa.com.vn</t>
  </si>
  <si>
    <t>B-1368</t>
  </si>
  <si>
    <t>pvdat1@software.misa.com.vn</t>
  </si>
  <si>
    <t>B-1367</t>
  </si>
  <si>
    <t>Hoàng Minh Đức</t>
  </si>
  <si>
    <t>hmduc2@software.misa.com.vn</t>
  </si>
  <si>
    <t>B-1370</t>
  </si>
  <si>
    <t>Vũ Đình Tiến</t>
  </si>
  <si>
    <t>vdtien@software.misa.com.vn</t>
  </si>
  <si>
    <t>B-1371</t>
  </si>
  <si>
    <t>Trần Xuân Phúc</t>
  </si>
  <si>
    <t>txphuc@software.misa.com.vn</t>
  </si>
  <si>
    <t>B-1372</t>
  </si>
  <si>
    <t>Đinh Gia Bảo</t>
  </si>
  <si>
    <t>dgbao@software.misa.com.vn</t>
  </si>
  <si>
    <t>Cao đẳng FPT</t>
  </si>
  <si>
    <t>B-1373</t>
  </si>
  <si>
    <t>Lê Minh Quang</t>
  </si>
  <si>
    <t>lmquang1@software.misa.com.vn</t>
  </si>
  <si>
    <t>B-1347</t>
  </si>
  <si>
    <t>Lê Đức Tiệp</t>
  </si>
  <si>
    <t>ldtiep@software.misa.com.vn</t>
  </si>
  <si>
    <t>B-1340</t>
  </si>
  <si>
    <t>Tạ Mạnh Thức</t>
  </si>
  <si>
    <t>tmthuc@software.misa.com.vn</t>
  </si>
  <si>
    <t>Công Nghệ Thông Tin.</t>
  </si>
  <si>
    <t>B-1338</t>
  </si>
  <si>
    <t>nthoai3@software.misa.com.vn</t>
  </si>
  <si>
    <t>Công nghệ kỹ thuật Điện - Điện tử</t>
  </si>
  <si>
    <t>B-1337</t>
  </si>
  <si>
    <t>Trần Thị Minh Phượng</t>
  </si>
  <si>
    <t>tmphuong@software.misa.com.vn</t>
  </si>
  <si>
    <t>quản trị kinh doanh</t>
  </si>
  <si>
    <t>Đại học Kinh Tế Quốc Dân</t>
  </si>
  <si>
    <t>B-1332</t>
  </si>
  <si>
    <t>nvhuy2@software.misa.com.vn</t>
  </si>
  <si>
    <t>B-1333</t>
  </si>
  <si>
    <t>Phạm Thiên Nhật</t>
  </si>
  <si>
    <t>ptnhat@rd.misa.com.vn</t>
  </si>
  <si>
    <t>Trí tuệ Nhân tạo</t>
  </si>
  <si>
    <t>B-1331</t>
  </si>
  <si>
    <t>Trịnh Huỳnh Đức</t>
  </si>
  <si>
    <t>thduc1@software.misa.com.vn</t>
  </si>
  <si>
    <t>B-1330</t>
  </si>
  <si>
    <t>Vũ Minh Hiếu</t>
  </si>
  <si>
    <t>vmhieu1@software.misa.com.vn</t>
  </si>
  <si>
    <t>B-1323</t>
  </si>
  <si>
    <t>Nguyễn Đức Đại</t>
  </si>
  <si>
    <t>nddai@software.misa.com.vn</t>
  </si>
  <si>
    <t>Trường cao đẳng nghề Bách Khoa Hà Nội</t>
  </si>
  <si>
    <t>B-1292</t>
  </si>
  <si>
    <t>Nguyễn Thị Ánh Xao</t>
  </si>
  <si>
    <t>naxao@software.misa.com.vn</t>
  </si>
  <si>
    <t>B-1246</t>
  </si>
  <si>
    <t>Nguyễn Minh Đức</t>
  </si>
  <si>
    <t>nmduc2@software.misa.com.vn</t>
  </si>
  <si>
    <t>B-1236</t>
  </si>
  <si>
    <t>Trương Thị Thanh Ngân</t>
  </si>
  <si>
    <t>ttngan1@software.misa.com.vn</t>
  </si>
  <si>
    <t>Kỹ thuật mật mã</t>
  </si>
  <si>
    <t>B-1209</t>
  </si>
  <si>
    <t>Trần Minh Hùng</t>
  </si>
  <si>
    <t>tmhung@software.misa.com.vn</t>
  </si>
  <si>
    <t>B-1197</t>
  </si>
  <si>
    <t>Nguyễn Thị An</t>
  </si>
  <si>
    <t>ntan1@software.misa.com.vn</t>
  </si>
  <si>
    <t>Trường Đại học Lâm Nghiệp Việt Nam</t>
  </si>
  <si>
    <t>B-1192</t>
  </si>
  <si>
    <t>Lê Văn Tươi</t>
  </si>
  <si>
    <t>lvtuoi@software.misa.com.vn</t>
  </si>
  <si>
    <t>B-1134</t>
  </si>
  <si>
    <t>Nguyễn Duy Chiến</t>
  </si>
  <si>
    <t>ndchien@software.misa.com.vn</t>
  </si>
  <si>
    <t>ĐH Công nghiệp</t>
  </si>
  <si>
    <t>B-1143</t>
  </si>
  <si>
    <t>Đặng Nguyệt Ánh</t>
  </si>
  <si>
    <t>dnanh1@software.misa.com.vn</t>
  </si>
  <si>
    <t>B-1131</t>
  </si>
  <si>
    <t>Đỗ Ngọc Phương</t>
  </si>
  <si>
    <t>dnphuong@software.misa.com.vn</t>
  </si>
  <si>
    <t>Kế toán CLC</t>
  </si>
  <si>
    <t>B-1109</t>
  </si>
  <si>
    <t>Lê Văn Hiếu</t>
  </si>
  <si>
    <t>lvhieu@software.misa.com.vn</t>
  </si>
  <si>
    <t>B-1086</t>
  </si>
  <si>
    <t>HR Đào tạo</t>
  </si>
  <si>
    <t>BO_HR_TRN</t>
  </si>
  <si>
    <t>ntthuy5@software.misa.com.vn</t>
  </si>
  <si>
    <t>B-1087</t>
  </si>
  <si>
    <t>Phạm Minh Hải</t>
  </si>
  <si>
    <t>[AMIS Kế toán HKD] Nhóm Phân tích &amp; Thiết kế</t>
  </si>
  <si>
    <t>L01.30.04.02</t>
  </si>
  <si>
    <t>pmhai@software.misa.com.vn</t>
  </si>
  <si>
    <t>B-0996</t>
  </si>
  <si>
    <t>Đặng Tiến Dương</t>
  </si>
  <si>
    <t>dtduong@software.misa.com.vn</t>
  </si>
  <si>
    <t>Đại Học Kinh Doanh Và Công Nghệ Hà Nội</t>
  </si>
  <si>
    <t>B-0993</t>
  </si>
  <si>
    <t>nvhoa3@software.misa.com.vn</t>
  </si>
  <si>
    <t>B-0983</t>
  </si>
  <si>
    <t>Nguyễn Đình Phú</t>
  </si>
  <si>
    <t>ndphu@software.misa.com.vn</t>
  </si>
  <si>
    <t>B-0961</t>
  </si>
  <si>
    <t>Đào Hồng Hạnh</t>
  </si>
  <si>
    <t>dhhanh1@software.misa.com.vn</t>
  </si>
  <si>
    <t>B-0958</t>
  </si>
  <si>
    <t>Lê Ngọc Trường Giang</t>
  </si>
  <si>
    <t>ltgiang1@software.misa.com.vn</t>
  </si>
  <si>
    <t>B-0956</t>
  </si>
  <si>
    <t>Nguyễn Đức Nhật Linh</t>
  </si>
  <si>
    <t>nnlinh@software.misa.com.vn</t>
  </si>
  <si>
    <t>B-0945</t>
  </si>
  <si>
    <t>Nguyễn Công Chính</t>
  </si>
  <si>
    <t>ncchinh@mdc.misa.com.vn</t>
  </si>
  <si>
    <t>B-0940</t>
  </si>
  <si>
    <t>Nguyễn Thị Lan Hương</t>
  </si>
  <si>
    <t>nlhuong@software.misa.com.vn</t>
  </si>
  <si>
    <t>B-0932</t>
  </si>
  <si>
    <t>npanh@software.misa.com.vn</t>
  </si>
  <si>
    <t>B-0893</t>
  </si>
  <si>
    <t>Lê Minh Đức</t>
  </si>
  <si>
    <t>lmduc1@software.misa.com.vn</t>
  </si>
  <si>
    <t>kĩ sư phần mềm</t>
  </si>
  <si>
    <t>B-0863</t>
  </si>
  <si>
    <t>Đỗ Minh Ngọc</t>
  </si>
  <si>
    <t>dmngoc@software.misa.com.vn</t>
  </si>
  <si>
    <t>B-0829</t>
  </si>
  <si>
    <t>Đào Mai Phương</t>
  </si>
  <si>
    <t>L01.30.04</t>
  </si>
  <si>
    <t>dmphuong1@software.misa.com.vn</t>
  </si>
  <si>
    <t>B06-0331</t>
  </si>
  <si>
    <t>ntan@software.misa.com.vn</t>
  </si>
  <si>
    <t>B08-0089</t>
  </si>
  <si>
    <t>ntyen@software.misa.com.vn</t>
  </si>
  <si>
    <t>C02-0001</t>
  </si>
  <si>
    <t>Nguyễn Tuấn Anh</t>
  </si>
  <si>
    <t>ntanh2@misa.com.vn</t>
  </si>
  <si>
    <t>B08-0191</t>
  </si>
  <si>
    <t>Đỗ Thị Thu Huyền</t>
  </si>
  <si>
    <t>dthuyen@software.misa.com.vn</t>
  </si>
  <si>
    <t>B-0690</t>
  </si>
  <si>
    <t>Phạm Thị Mai Giang</t>
  </si>
  <si>
    <t>pmgiang@software.misa.com.vn</t>
  </si>
  <si>
    <t>C02-0020</t>
  </si>
  <si>
    <t>Tô Mạnh Dương</t>
  </si>
  <si>
    <t>tmduong@misa.com.vn</t>
  </si>
  <si>
    <t>B24-0035</t>
  </si>
  <si>
    <t>Đỗ Văn Quảng</t>
  </si>
  <si>
    <t>dvquang@rd.misa.com.vn</t>
  </si>
  <si>
    <t>B06-0246</t>
  </si>
  <si>
    <t>Trần Xuân Thịnh</t>
  </si>
  <si>
    <t>Nhóm chuyên gia Khối SP Hộ cá thể</t>
  </si>
  <si>
    <t>L01.30.05</t>
  </si>
  <si>
    <t>txthinh@software.misa.com.vn</t>
  </si>
  <si>
    <t>Đồ họa</t>
  </si>
  <si>
    <t>B06-0320</t>
  </si>
  <si>
    <t>Ngọ Minh Sinh</t>
  </si>
  <si>
    <t>nmsinh@software.misa.com.vn</t>
  </si>
  <si>
    <t>B06-0282</t>
  </si>
  <si>
    <t>Nguyễn Xuân Hòa</t>
  </si>
  <si>
    <t>nxhoa@software.misa.com.vn</t>
  </si>
  <si>
    <t>B06-0098</t>
  </si>
  <si>
    <t>ntngoc@software.misa.com.vn</t>
  </si>
  <si>
    <t>B06-0100</t>
  </si>
  <si>
    <t>Nguyễn Đức Được</t>
  </si>
  <si>
    <t>ndduoc@software.misa.com.vn</t>
  </si>
  <si>
    <t>B06-0333</t>
  </si>
  <si>
    <t>Mai Văn Kiên</t>
  </si>
  <si>
    <t>mvkien@software.misa.com.vn</t>
  </si>
  <si>
    <t>B06-0016</t>
  </si>
  <si>
    <t>nvtoan@software.misa.com.vn</t>
  </si>
  <si>
    <t>B06-0119</t>
  </si>
  <si>
    <t>Nguyễn Minh Dương</t>
  </si>
  <si>
    <t>nmduong@software.misa.com.vn</t>
  </si>
  <si>
    <t>B-0715</t>
  </si>
  <si>
    <t>Đặng Thị Ngát</t>
  </si>
  <si>
    <t>dtngat@software.misa.com.vn</t>
  </si>
  <si>
    <t>B-0735</t>
  </si>
  <si>
    <t>Phạm Ngọc Duy</t>
  </si>
  <si>
    <t>pnduy@software.misa.com.vn</t>
  </si>
  <si>
    <t>B-0763</t>
  </si>
  <si>
    <t>Vũ Minh Quang</t>
  </si>
  <si>
    <t>vmquang1@software.misa.com.vn</t>
  </si>
  <si>
    <t>B-0670</t>
  </si>
  <si>
    <t>Đinh Thị Phương Trà</t>
  </si>
  <si>
    <t>dptra@software.misa.com.vn</t>
  </si>
  <si>
    <t>B-0576</t>
  </si>
  <si>
    <t>Nghiêm Phú Thiết</t>
  </si>
  <si>
    <t>npthiet@software.misa.com.vn</t>
  </si>
  <si>
    <t>B06-0030</t>
  </si>
  <si>
    <t>Nguyễn Hồng Thắng</t>
  </si>
  <si>
    <t>nhthang@misa.com.vn</t>
  </si>
  <si>
    <t>B24-0023</t>
  </si>
  <si>
    <t>Nguyễn Thế Quyền</t>
  </si>
  <si>
    <t>ntquyen@software.misa.com.vn</t>
  </si>
  <si>
    <t>A17-0005</t>
  </si>
  <si>
    <t>Nguyễn Ngọc Hiệp</t>
  </si>
  <si>
    <t>nnhiep@misa.com.vn</t>
  </si>
  <si>
    <t>Học viện kỹ thuật mật mã</t>
  </si>
  <si>
    <t>B06-0048</t>
  </si>
  <si>
    <t>Phạm Duy Kiên</t>
  </si>
  <si>
    <t>pdkien@software.misa.com.vn</t>
  </si>
  <si>
    <t>B-0708</t>
  </si>
  <si>
    <t>Trần Xuân An</t>
  </si>
  <si>
    <t>txan@software.misa.com.vn</t>
  </si>
  <si>
    <t>Cao đẳng Công Nghệ - Dệt May Thời Trang Hà Nội</t>
  </si>
  <si>
    <t>B06-0325</t>
  </si>
  <si>
    <t>Trần Tuấn Anh</t>
  </si>
  <si>
    <t>ttanh@software.misa.com.vn</t>
  </si>
  <si>
    <t>B-0551</t>
  </si>
  <si>
    <t>Đào Thị Loan</t>
  </si>
  <si>
    <t>dtloan1@software.misa.com.vn</t>
  </si>
  <si>
    <t>Thiết kế web</t>
  </si>
  <si>
    <t>Cao đẳng nghề công nghệ cao Hà Nội</t>
  </si>
  <si>
    <t>B06-0352</t>
  </si>
  <si>
    <t>Nguyễn Văn Bình</t>
  </si>
  <si>
    <t>nvbinh1@software.misa.com.vn</t>
  </si>
  <si>
    <t>B06-0090</t>
  </si>
  <si>
    <t>Đặng Văn Thi</t>
  </si>
  <si>
    <t>DBO trưởng</t>
  </si>
  <si>
    <t>SDC_PDBO</t>
  </si>
  <si>
    <t>dvthi@software.misa.com.vn</t>
  </si>
  <si>
    <t>B06-0184</t>
  </si>
  <si>
    <t>Nguyễn Quang Cường</t>
  </si>
  <si>
    <t>nqcuong@software.misa.com.vn</t>
  </si>
  <si>
    <t>B-0773</t>
  </si>
  <si>
    <t>Nguyễn Thị Giang</t>
  </si>
  <si>
    <t>ntgiang3@software.misa.com.vn</t>
  </si>
  <si>
    <t>B06-0017</t>
  </si>
  <si>
    <t>Bá Ngọc Đĩnh</t>
  </si>
  <si>
    <t>bndinh@software.misa.com.vn</t>
  </si>
  <si>
    <t>B08-0200</t>
  </si>
  <si>
    <t>Bùi Thị Hải Vân</t>
  </si>
  <si>
    <t>bhvan@software.misa.com.vn</t>
  </si>
  <si>
    <t>B-0781</t>
  </si>
  <si>
    <t>Tống Hồng Nhung</t>
  </si>
  <si>
    <t>thnhung@software.misa.com.vn</t>
  </si>
  <si>
    <t>B-1353</t>
  </si>
  <si>
    <t>Ngô Quang Trường</t>
  </si>
  <si>
    <t>nqtruong@software.misa.com.vn</t>
  </si>
  <si>
    <t>B-1334</t>
  </si>
  <si>
    <t>Lê Đình Duy</t>
  </si>
  <si>
    <t>ldduy@software.misa.com.vn</t>
  </si>
  <si>
    <t>B-1328</t>
  </si>
  <si>
    <t>Hoàng Việt Dũng</t>
  </si>
  <si>
    <t>[AMIS CRM MISA] Nhóm Phân tích &amp; Thiết kế</t>
  </si>
  <si>
    <t>L01.28.22.02</t>
  </si>
  <si>
    <t>hvdung1@software.misa.com.vn</t>
  </si>
  <si>
    <t>B-1325</t>
  </si>
  <si>
    <t>Phạm Đức Đăng</t>
  </si>
  <si>
    <t>pddang@software.misa.com.vn</t>
  </si>
  <si>
    <t>B-1324</t>
  </si>
  <si>
    <t>Đỗ Thị Thùy Trang</t>
  </si>
  <si>
    <t>dttrang2@software.misa.com.vn</t>
  </si>
  <si>
    <t>B-1301</t>
  </si>
  <si>
    <t>dvviet1@software.misa.com.vn</t>
  </si>
  <si>
    <t>B-1299</t>
  </si>
  <si>
    <t>Hoàng Thị Vân Chinh</t>
  </si>
  <si>
    <t>hvchinh@software.misa.com.vn</t>
  </si>
  <si>
    <t>Trường Đại Học Mỏ Địa Chất Hà Nội</t>
  </si>
  <si>
    <t>B-1287</t>
  </si>
  <si>
    <t>Nguyễn Thị Ban</t>
  </si>
  <si>
    <t>ntban@software.misa.com.vn</t>
  </si>
  <si>
    <t>B-1285</t>
  </si>
  <si>
    <t>Vũ Hoàng Yến</t>
  </si>
  <si>
    <t>vhyen1@software.misa.com.vn</t>
  </si>
  <si>
    <t>B-1282</t>
  </si>
  <si>
    <t>Hồ Văn Anh</t>
  </si>
  <si>
    <t>hvanh@software.misa.com.vn</t>
  </si>
  <si>
    <t>B-1264</t>
  </si>
  <si>
    <t>Trịnh Quỳnh Anh</t>
  </si>
  <si>
    <t>tqanh@software.misa.com.vn</t>
  </si>
  <si>
    <t>B-1243</t>
  </si>
  <si>
    <t>Hoàng Văn Thắng</t>
  </si>
  <si>
    <t>hvthang@software.misa.com.vn</t>
  </si>
  <si>
    <t>B-1223</t>
  </si>
  <si>
    <t>Lê Thị Mai</t>
  </si>
  <si>
    <t>ltmai1@software.misa.com.vn</t>
  </si>
  <si>
    <t>B-1204</t>
  </si>
  <si>
    <t>Phạm Công Khang</t>
  </si>
  <si>
    <t>pckhang@software.misa.com.vn</t>
  </si>
  <si>
    <t>B-1175</t>
  </si>
  <si>
    <t>Nguyễn Thị Phương Anh</t>
  </si>
  <si>
    <t>npanh1@fresher.misa.com.vn</t>
  </si>
  <si>
    <t>B-1156</t>
  </si>
  <si>
    <t>Trương Công Vinh</t>
  </si>
  <si>
    <t>tcvinh@software.misa.com.vn</t>
  </si>
  <si>
    <t>B-1150</t>
  </si>
  <si>
    <t>Vương Thị Hải Yến</t>
  </si>
  <si>
    <t>vhyen@software.misa.com.vn</t>
  </si>
  <si>
    <t>Kỹ sư cầu nối Nhật Bản</t>
  </si>
  <si>
    <t>B-1145</t>
  </si>
  <si>
    <t>Lê Thị Quỳnh Nga</t>
  </si>
  <si>
    <t>lqnga@software.misa.com.vn</t>
  </si>
  <si>
    <t>Học viên bưu chính viễn thông</t>
  </si>
  <si>
    <t>B-1122</t>
  </si>
  <si>
    <t>Vũ Thị Nương</t>
  </si>
  <si>
    <t>vtnuong@software.misa.com.vn</t>
  </si>
  <si>
    <t>Thống kê kinh tế xã hội</t>
  </si>
  <si>
    <t>Trường Kinh Tế Quốc Dân Hà Nội</t>
  </si>
  <si>
    <t>B-1120</t>
  </si>
  <si>
    <t>Bùi Việt Anh</t>
  </si>
  <si>
    <t>NV Phân tích dữ liệu</t>
  </si>
  <si>
    <t>SDC_DA</t>
  </si>
  <si>
    <t>bvanh2@rd.misa.com.vn</t>
  </si>
  <si>
    <t>B-1117</t>
  </si>
  <si>
    <t>Vũ Văn Trí</t>
  </si>
  <si>
    <t>vvtri@software.misa.com.vn</t>
  </si>
  <si>
    <t>B-1115</t>
  </si>
  <si>
    <t>Trần Nhật Danh</t>
  </si>
  <si>
    <t>tndanh@software.misa.com.vn</t>
  </si>
  <si>
    <t>B-1114</t>
  </si>
  <si>
    <t>nthieu1@software.misa.com.vn</t>
  </si>
  <si>
    <t>B-1107</t>
  </si>
  <si>
    <t>Đặng Trọng Đức</t>
  </si>
  <si>
    <t>dtduc1@software.misa.com.vn</t>
  </si>
  <si>
    <t>Đại Học Công Nghiệp Vinh</t>
  </si>
  <si>
    <t>B-1100</t>
  </si>
  <si>
    <t>Phạm Thị Tâm</t>
  </si>
  <si>
    <t>pttam2@software.misa.com.vn</t>
  </si>
  <si>
    <t>B-1096</t>
  </si>
  <si>
    <t>Ngô Duy Hiển</t>
  </si>
  <si>
    <t>ndhien@software.misa.com.vn</t>
  </si>
  <si>
    <t>B-1094</t>
  </si>
  <si>
    <t>Đặng Vũ Hoàng Trung</t>
  </si>
  <si>
    <t>dhtrung@software.misa.com.vn</t>
  </si>
  <si>
    <t>B-1080</t>
  </si>
  <si>
    <t>Nguyễn Văn Chính</t>
  </si>
  <si>
    <t>nvchinh@software.misa.com.vn</t>
  </si>
  <si>
    <t>B-1066</t>
  </si>
  <si>
    <t>Dương Minh Việt</t>
  </si>
  <si>
    <t>dmviet@software.misa.com.vn</t>
  </si>
  <si>
    <t>B-1059</t>
  </si>
  <si>
    <t>Nguyễn Hoàng Hải</t>
  </si>
  <si>
    <t>nhhai3@software.misa.com.vn</t>
  </si>
  <si>
    <t>B-1054</t>
  </si>
  <si>
    <t>Lưu Thị Xuyên</t>
  </si>
  <si>
    <t>ltxuyen@software.misa.com.vn</t>
  </si>
  <si>
    <t>B-1047</t>
  </si>
  <si>
    <t>Vũ Thị Phương Anh</t>
  </si>
  <si>
    <t>vpanh@software.misa.com.vn</t>
  </si>
  <si>
    <t>B-1034</t>
  </si>
  <si>
    <t>Nguyễn Thị Hương Giang</t>
  </si>
  <si>
    <t>nhgiang2@software.misa.com.vn</t>
  </si>
  <si>
    <t>Khoa học quản lý</t>
  </si>
  <si>
    <t>B-1033</t>
  </si>
  <si>
    <t>Lê Chí Tưởng</t>
  </si>
  <si>
    <t>lctuong@software.misa.com.vn</t>
  </si>
  <si>
    <t>khoa học máy tính</t>
  </si>
  <si>
    <t>Đại Học Công Nghiệp</t>
  </si>
  <si>
    <t>B-1014</t>
  </si>
  <si>
    <t>Hoàng Minh Nam</t>
  </si>
  <si>
    <t>hmnam@software.misa.com.vn</t>
  </si>
  <si>
    <t>B-1000</t>
  </si>
  <si>
    <t>Trần Minh Chiến</t>
  </si>
  <si>
    <t>tmchien@rd.misa.com.vn</t>
  </si>
  <si>
    <t>B-0998</t>
  </si>
  <si>
    <t>thtrang2@software.misa.com.vn</t>
  </si>
  <si>
    <t>B-0976</t>
  </si>
  <si>
    <t>Đặng Phương Anh</t>
  </si>
  <si>
    <t>dpanh1@software.misa.com.vn</t>
  </si>
  <si>
    <t>B-0971</t>
  </si>
  <si>
    <t>Dương Kiều Trang</t>
  </si>
  <si>
    <t>dktrang@software.misa.com.vn</t>
  </si>
  <si>
    <t>B-0965</t>
  </si>
  <si>
    <t>Lã Hải Yến</t>
  </si>
  <si>
    <t>lhyen1@software.misa.com.vn</t>
  </si>
  <si>
    <t>Đại học ngoại thương Hà Nội</t>
  </si>
  <si>
    <t>B-0951</t>
  </si>
  <si>
    <t>Lương Tiến Luật</t>
  </si>
  <si>
    <t>ltluat@software.misa.com.vn</t>
  </si>
  <si>
    <t>Đại học công nghệ thông tin và truyền thông</t>
  </si>
  <si>
    <t>B-0950</t>
  </si>
  <si>
    <t>Lại Tiến Long</t>
  </si>
  <si>
    <t>ltlong1@software.misa.com.vn</t>
  </si>
  <si>
    <t>B-0941</t>
  </si>
  <si>
    <t>Lê Đình Hải</t>
  </si>
  <si>
    <t>ldhai@software.misa.com.vn</t>
  </si>
  <si>
    <t>Đại học Hồng Đức</t>
  </si>
  <si>
    <t>B-0897</t>
  </si>
  <si>
    <t>Vũ Thiện Hoàng</t>
  </si>
  <si>
    <t>vthoang@software.misa.com.vn</t>
  </si>
  <si>
    <t>B-0879</t>
  </si>
  <si>
    <t>Phùng Thị Sợi</t>
  </si>
  <si>
    <t>ptsoi@software.misa.com.vn</t>
  </si>
  <si>
    <t>B-0871</t>
  </si>
  <si>
    <t>Bùi Thị Bích Phương</t>
  </si>
  <si>
    <t>bbphuong@software.misa.com.vn</t>
  </si>
  <si>
    <t>B-0841</t>
  </si>
  <si>
    <t>Vũ Minh Hoàng</t>
  </si>
  <si>
    <t>vmhoang@software.misa.com.vn</t>
  </si>
  <si>
    <t>B-0820</t>
  </si>
  <si>
    <t>Đặng Thị Phương Loan</t>
  </si>
  <si>
    <t>Giám đốc vận hành</t>
  </si>
  <si>
    <t>Ban Giám đốc Văn phòng SX</t>
  </si>
  <si>
    <t>L01.01.01</t>
  </si>
  <si>
    <t>BOM_COO</t>
  </si>
  <si>
    <t>dploan@software.misa.com.vn</t>
  </si>
  <si>
    <t>The University of Sunderland</t>
  </si>
  <si>
    <t>B08-0019</t>
  </si>
  <si>
    <t>Vũ Thị Xuyến</t>
  </si>
  <si>
    <t>Trợ lý</t>
  </si>
  <si>
    <t>BO_AD_ASS</t>
  </si>
  <si>
    <t>vtxuyen@software.misa.com.vn</t>
  </si>
  <si>
    <t>C02-0018</t>
  </si>
  <si>
    <t>Kiều Xuân Việt</t>
  </si>
  <si>
    <t>kxviet@software.misa.com.vn</t>
  </si>
  <si>
    <t>Đại học Công Nghệ Thông Tin – Đại học Quốc Gia TP.HCM</t>
  </si>
  <si>
    <t>B06-0509</t>
  </si>
  <si>
    <t>Nguyễn Việt Hòa</t>
  </si>
  <si>
    <t>nvhoa2@software.misa.com.vn</t>
  </si>
  <si>
    <t>H11-0244</t>
  </si>
  <si>
    <t>ntanh3@software.misa.com.vn</t>
  </si>
  <si>
    <t>B06-0408</t>
  </si>
  <si>
    <t>Nguyễn Ngọc Tâm</t>
  </si>
  <si>
    <t>Dự án AMIS Quản lý Tài sản</t>
  </si>
  <si>
    <t>L01.28.23.01</t>
  </si>
  <si>
    <t>nntam@software.misa.com.vn</t>
  </si>
  <si>
    <t>B08-0059</t>
  </si>
  <si>
    <t>Trương Thị Sen</t>
  </si>
  <si>
    <t>ttsen@software.misa.com.vn</t>
  </si>
  <si>
    <t>B-0561</t>
  </si>
  <si>
    <t>nvanh7@software.misa.com.vn</t>
  </si>
  <si>
    <t>H11-0219</t>
  </si>
  <si>
    <t>Hà Đức Phú</t>
  </si>
  <si>
    <t>hdphu@software.misa.com.vn</t>
  </si>
  <si>
    <t>A32-0001</t>
  </si>
  <si>
    <t>Trần Mỹ Lệ</t>
  </si>
  <si>
    <t>tmle@software.misa.com.vn</t>
  </si>
  <si>
    <t>Đại học Dân lập Hải Phòng</t>
  </si>
  <si>
    <t>B06-0400</t>
  </si>
  <si>
    <t>Đặng Hữu Thịnh</t>
  </si>
  <si>
    <t>dhthinh@software.misa.com.vn</t>
  </si>
  <si>
    <t>B-0545</t>
  </si>
  <si>
    <t>Nguyễn Quang Hiệp</t>
  </si>
  <si>
    <t>nqhiep@software.misa.com.vn</t>
  </si>
  <si>
    <t>B-0516</t>
  </si>
  <si>
    <t>Nguyễn Tuấn Ngọc</t>
  </si>
  <si>
    <t>ntngoc2@software.misa.com.vn</t>
  </si>
  <si>
    <t>B-0811</t>
  </si>
  <si>
    <t>Vũ Hoài Sơn</t>
  </si>
  <si>
    <t>vhson@software.misa.com.vn</t>
  </si>
  <si>
    <t>Mạng Hệ thống</t>
  </si>
  <si>
    <t>B06-0377</t>
  </si>
  <si>
    <t>Bùi Thị Khánh Huyền</t>
  </si>
  <si>
    <t>bkhuyen@software.misa.com.vn</t>
  </si>
  <si>
    <t>B-0632</t>
  </si>
  <si>
    <t>Đinh Phương Nam</t>
  </si>
  <si>
    <t>Giám đốc sản phẩm Khối</t>
  </si>
  <si>
    <t>SDC_DPM</t>
  </si>
  <si>
    <t>dpnam@software.misa.com.vn</t>
  </si>
  <si>
    <t>Macquarie University, Sydney, Australia</t>
  </si>
  <si>
    <t>A13-0001</t>
  </si>
  <si>
    <t>Phan Thị Thanh Nhàn</t>
  </si>
  <si>
    <t>Trưởng phòng HCTH</t>
  </si>
  <si>
    <t>BO_AD_MGR</t>
  </si>
  <si>
    <t>ptnhan@software.misa.com.vn</t>
  </si>
  <si>
    <t>B06-0372</t>
  </si>
  <si>
    <t>Triệu Tuấn Kiệt</t>
  </si>
  <si>
    <t>ttkiet@software.misa.com.vn</t>
  </si>
  <si>
    <t>B06-0084</t>
  </si>
  <si>
    <t>Tạ Minh Ngọc</t>
  </si>
  <si>
    <t>Quản lý thi công nền tảng</t>
  </si>
  <si>
    <t>SDC_PEM</t>
  </si>
  <si>
    <t>tmngoc@software.misa.com.vn</t>
  </si>
  <si>
    <t>B-0604</t>
  </si>
  <si>
    <t>Nguyễn Phùng Hải Linh</t>
  </si>
  <si>
    <t>nhlinh@software.misa.com.vn</t>
  </si>
  <si>
    <t>B-0810</t>
  </si>
  <si>
    <t>Đào Đình Đức</t>
  </si>
  <si>
    <t>ddduc@software.misa.com.vn</t>
  </si>
  <si>
    <t>B24-0010</t>
  </si>
  <si>
    <t>Nguyễn Văn Tiến</t>
  </si>
  <si>
    <t>nvtien@mdc.misa.com.vn</t>
  </si>
  <si>
    <t>B-0766</t>
  </si>
  <si>
    <t>Trần Huy Tùng</t>
  </si>
  <si>
    <t>thtung@software.misa.com.vn</t>
  </si>
  <si>
    <t>B-0537</t>
  </si>
  <si>
    <t>Hoàng Huy Ngọc</t>
  </si>
  <si>
    <t>hhngoc@software.misa.com.vn</t>
  </si>
  <si>
    <t>A17-0007</t>
  </si>
  <si>
    <t>Nguyễn Ngọc Long</t>
  </si>
  <si>
    <t>Trưởng phòng Quản trị hệ thống</t>
  </si>
  <si>
    <t>BO_SAD_MGR</t>
  </si>
  <si>
    <t>nnlong@misa.com.vn</t>
  </si>
  <si>
    <t>B-0484</t>
  </si>
  <si>
    <t>Ngô Thị Bích Hòa</t>
  </si>
  <si>
    <t>nbhoa1@software.misa.com.vn</t>
  </si>
  <si>
    <t>C03-0002</t>
  </si>
  <si>
    <t>Lê Tuyết Chinh</t>
  </si>
  <si>
    <t>ltchinh@software.misa.com.vn</t>
  </si>
  <si>
    <t>Quản trị dự án và quản trị nhân sự</t>
  </si>
  <si>
    <t>Đại học Toulon - Var</t>
  </si>
  <si>
    <t>B-0805</t>
  </si>
  <si>
    <t>Dương Minh Phương</t>
  </si>
  <si>
    <t>[MISA Panda Online] Nhóm Phân tích &amp; Thiết kế</t>
  </si>
  <si>
    <t>Sản phẩm MISA Panda Online</t>
  </si>
  <si>
    <t>L01.29.14.02</t>
  </si>
  <si>
    <t>dmphuong@software.misa.com.vn</t>
  </si>
  <si>
    <t>B-0593</t>
  </si>
  <si>
    <t>Vũ Thị Phương Thảo</t>
  </si>
  <si>
    <t>vpthao@software.misa.com.vn</t>
  </si>
  <si>
    <t>A14-0004</t>
  </si>
  <si>
    <t>Đỗ Thúy Nga</t>
  </si>
  <si>
    <t>dtnga@software.misa.com.vn</t>
  </si>
  <si>
    <t>B-0726</t>
  </si>
  <si>
    <t>Nguyễn Đức Hiếu</t>
  </si>
  <si>
    <t>ndhieu1@software.misa.com.vn</t>
  </si>
  <si>
    <t>Đại học Khoa học Tự nhiên - ĐH Quốc gia Hà Nội</t>
  </si>
  <si>
    <t>B-0770</t>
  </si>
  <si>
    <t>Nguyễn Ngọc Đại</t>
  </si>
  <si>
    <t>nndai@software.misa.com.vn</t>
  </si>
  <si>
    <t>B06-0487</t>
  </si>
  <si>
    <t>Phan Văn Thông</t>
  </si>
  <si>
    <t>pvthong@software.misa.com.vn</t>
  </si>
  <si>
    <t>B-0814</t>
  </si>
  <si>
    <t>Tăng Châu Phong</t>
  </si>
  <si>
    <t>tcphong@software.misa.com.vn</t>
  </si>
  <si>
    <t>A02-0004</t>
  </si>
  <si>
    <t>Đặng Thái Dương</t>
  </si>
  <si>
    <t>dtduong@misa.com.vn</t>
  </si>
  <si>
    <t>Công nghệ và máy tính</t>
  </si>
  <si>
    <t>Đại học Kỹ thuật Hàng không</t>
  </si>
  <si>
    <t>B06-0058</t>
  </si>
  <si>
    <t>Nguyễn Thị Ngọc Anh</t>
  </si>
  <si>
    <t>nnanh@software.misa.com.vn</t>
  </si>
  <si>
    <t>B06-0469</t>
  </si>
  <si>
    <t>nmtuan1@software.misa.com.vn</t>
  </si>
  <si>
    <t>B07-0097</t>
  </si>
  <si>
    <t>ntha2@software.misa.com.vn</t>
  </si>
  <si>
    <t>B06-0001</t>
  </si>
  <si>
    <t>Nguyễn Quang Hoàng</t>
  </si>
  <si>
    <t>Giám đốc An ninh thông tin</t>
  </si>
  <si>
    <t>SDC_CSO</t>
  </si>
  <si>
    <t>nqhoang@software.misa.com.vn</t>
  </si>
  <si>
    <t>B-0606</t>
  </si>
  <si>
    <t>Đào Trung Thành</t>
  </si>
  <si>
    <t>dtthanh@software.misa.com.vn</t>
  </si>
  <si>
    <t>D12-0015</t>
  </si>
  <si>
    <t>Trần Thị Thảo</t>
  </si>
  <si>
    <t>Trưởng nhóm nghiên cứu TT&amp;SP</t>
  </si>
  <si>
    <t>SDC_RDL</t>
  </si>
  <si>
    <t>ttthao@misa.com.vn</t>
  </si>
  <si>
    <t>B06-0257</t>
  </si>
  <si>
    <t>Đinh Văn Bình</t>
  </si>
  <si>
    <t>dvbinh@software.misa.com.vn</t>
  </si>
  <si>
    <t>H11-0028</t>
  </si>
  <si>
    <t>Đào Thị Hoa</t>
  </si>
  <si>
    <t>dthoa@software.misa.com.vn</t>
  </si>
  <si>
    <t>B06-0011</t>
  </si>
  <si>
    <t>Nguyễn Thanh Tùng</t>
  </si>
  <si>
    <t>Viện trưởng viện công nghệ</t>
  </si>
  <si>
    <t>Ban giám đốc Viện công nghệ</t>
  </si>
  <si>
    <t>L01.35.01</t>
  </si>
  <si>
    <t>SDC_DTR_1</t>
  </si>
  <si>
    <t>nttung@misa.com.vn</t>
  </si>
  <si>
    <t>B-0701</t>
  </si>
  <si>
    <t>Trần Văn Hiển</t>
  </si>
  <si>
    <t>tvhien@software.misa.com.vn</t>
  </si>
  <si>
    <t>H11-0090</t>
  </si>
  <si>
    <t>Phạm Thị Tuyết</t>
  </si>
  <si>
    <t>pttuyet@software.misa.com.vn</t>
  </si>
  <si>
    <t>B-0765</t>
  </si>
  <si>
    <t>Trần Khánh Minh</t>
  </si>
  <si>
    <t>tkminh@software.misa.com.vn</t>
  </si>
  <si>
    <t>B06-0446</t>
  </si>
  <si>
    <t>Trương Quang Hải</t>
  </si>
  <si>
    <t>tqhai@software.misa.com.vn</t>
  </si>
  <si>
    <t>B-0489</t>
  </si>
  <si>
    <t>Vũ Trí Hùng</t>
  </si>
  <si>
    <t>vthung@software.misa.com.vn</t>
  </si>
  <si>
    <t>B06-0012</t>
  </si>
  <si>
    <t>Nguyễn Thế Vinh</t>
  </si>
  <si>
    <t>ntvinh1@software.misa.com.vn</t>
  </si>
  <si>
    <t>Trường Đào tạo LTV quốc tế Hanoi - Aptech</t>
  </si>
  <si>
    <t>B-0746</t>
  </si>
  <si>
    <t>Lê Minh Nguyệt</t>
  </si>
  <si>
    <t>lmnguyet@software.misa.com.vn</t>
  </si>
  <si>
    <t>B-0702</t>
  </si>
  <si>
    <t>Nguyễn Đăng Đạt</t>
  </si>
  <si>
    <t>nddat@software.misa.com.vn</t>
  </si>
  <si>
    <t>B06-0306</t>
  </si>
  <si>
    <t>Phạm Trung Hà</t>
  </si>
  <si>
    <t>ptha@software.misa.com.vn</t>
  </si>
  <si>
    <t>Học viện Quản Lý Giáo Dục</t>
  </si>
  <si>
    <t>B08-0045</t>
  </si>
  <si>
    <t>Đỗ Lê Anh</t>
  </si>
  <si>
    <t>Giám đốc sản phẩm Nhóm</t>
  </si>
  <si>
    <t>SDC_GPM</t>
  </si>
  <si>
    <t>dlanh@software.misa.com.vn</t>
  </si>
  <si>
    <t>B-0542</t>
  </si>
  <si>
    <t>Nguyễn Đình Huy</t>
  </si>
  <si>
    <t>ndhuy1@software.misa.com.vn</t>
  </si>
  <si>
    <t>B08-0174</t>
  </si>
  <si>
    <t>ptngoc@software.misa.com.vn</t>
  </si>
  <si>
    <t>C11-0014</t>
  </si>
  <si>
    <t>Phan Thị Thu Liên</t>
  </si>
  <si>
    <t>ptlien@software.misa.com.vn</t>
  </si>
  <si>
    <t>B06-0347</t>
  </si>
  <si>
    <t>Triệu Việt Hưng</t>
  </si>
  <si>
    <t>tvhung@software.misa.com.vn</t>
  </si>
  <si>
    <t>B-0589</t>
  </si>
  <si>
    <t>nttrang2@software.misa.com.vn</t>
  </si>
  <si>
    <t>B02-0026</t>
  </si>
  <si>
    <t>Thiều Thị Thu Thanh</t>
  </si>
  <si>
    <t>ttthanh@software.misa.com.vn</t>
  </si>
  <si>
    <t>Khoa Luật – Đại học Quốc gia Hà Nội</t>
  </si>
  <si>
    <t>B06-0515</t>
  </si>
  <si>
    <t>Phạm Đình Thiện</t>
  </si>
  <si>
    <t>pdthien@software.misa.com.vn</t>
  </si>
  <si>
    <t>B08-0008</t>
  </si>
  <si>
    <t>Nguyễn Thị Thu Hiền</t>
  </si>
  <si>
    <t>nthien@software.misa.com.vn</t>
  </si>
  <si>
    <t>B-0743</t>
  </si>
  <si>
    <t>Phan Bắc</t>
  </si>
  <si>
    <t>pbac@software.misa.com.vn</t>
  </si>
  <si>
    <t>B06-0407</t>
  </si>
  <si>
    <t>Nguyễn Ngọc Anh</t>
  </si>
  <si>
    <t>nnanh2@software.misa.com.vn</t>
  </si>
  <si>
    <t>B06-0101</t>
  </si>
  <si>
    <t>Vương Thùy Chi</t>
  </si>
  <si>
    <t>vtchi@software.misa.com.vn</t>
  </si>
  <si>
    <t>B07-0035</t>
  </si>
  <si>
    <t>Nguyễn Bảo Ngọc</t>
  </si>
  <si>
    <t>nbngoc@software.misa.com.vn</t>
  </si>
  <si>
    <t>B08-0012</t>
  </si>
  <si>
    <t>Nguyễn Thị Hải</t>
  </si>
  <si>
    <t>nthai@software.misa.com.vn</t>
  </si>
  <si>
    <t>B-0736</t>
  </si>
  <si>
    <t>Ngô Ngọc Anh</t>
  </si>
  <si>
    <t>nnanh4@software.misa.com.vn</t>
  </si>
  <si>
    <t>B-0710</t>
  </si>
  <si>
    <t>nlphuong@software.misa.com.vn</t>
  </si>
  <si>
    <t>B07-0098</t>
  </si>
  <si>
    <t>Trần Thị Huyền</t>
  </si>
  <si>
    <t>tthuyen1@software.misa.com.vn</t>
  </si>
  <si>
    <t>B06-0425</t>
  </si>
  <si>
    <t>Thân Đức Hùng</t>
  </si>
  <si>
    <t>tdhung@software.misa.com.vn</t>
  </si>
  <si>
    <t>B02-0014</t>
  </si>
  <si>
    <t>Nguyễn Thanh Hiếu</t>
  </si>
  <si>
    <t>nthieu@misa.com.vn</t>
  </si>
  <si>
    <t>B06-0167</t>
  </si>
  <si>
    <t>Nguyễn Thu Quang</t>
  </si>
  <si>
    <t>ntquang@software.misa.com.vn</t>
  </si>
  <si>
    <t>B06-0448</t>
  </si>
  <si>
    <t>tvloi@software.misa.com.vn</t>
  </si>
  <si>
    <t>B-0506</t>
  </si>
  <si>
    <t>Đặng Quốc Thắng</t>
  </si>
  <si>
    <t>dqthang@software.misa.com.vn</t>
  </si>
  <si>
    <t>B06-0003</t>
  </si>
  <si>
    <t>Đinh Thành Nam</t>
  </si>
  <si>
    <t>dtnam@software.misa.com.vn</t>
  </si>
  <si>
    <t>Đại học Dân Lập Phương Đông - Hà Nội</t>
  </si>
  <si>
    <t>B06-0243</t>
  </si>
  <si>
    <t>Nguyễn Thị Kim Yên</t>
  </si>
  <si>
    <t>nkyen@software.misa.com.vn</t>
  </si>
  <si>
    <t>H11-0029</t>
  </si>
  <si>
    <t>Phạm Mỹ Hạnh</t>
  </si>
  <si>
    <t>pmhanh@software.misa.com.vn</t>
  </si>
  <si>
    <t>HV Ngân Hàng</t>
  </si>
  <si>
    <t>H11-0089</t>
  </si>
  <si>
    <t>Trần Thị Tuyết Nhung</t>
  </si>
  <si>
    <t>ttnhung@software.misa.com.vn</t>
  </si>
  <si>
    <t>B06-0227</t>
  </si>
  <si>
    <t>Nguyễn Thị Lương</t>
  </si>
  <si>
    <t>ntluong@software.misa.com.vn</t>
  </si>
  <si>
    <t>B08-0066</t>
  </si>
  <si>
    <t>Trần Thị Thúy Ngân</t>
  </si>
  <si>
    <t>ttngan@software.misa.com.vn</t>
  </si>
  <si>
    <t>B-0549</t>
  </si>
  <si>
    <t>Cao Thị Duyên</t>
  </si>
  <si>
    <t>ctduyen@software.misa.com.vn</t>
  </si>
  <si>
    <t>B06-0288</t>
  </si>
  <si>
    <t>Trịnh Văn Thắng</t>
  </si>
  <si>
    <t>tvthang1@software.misa.com.vn</t>
  </si>
  <si>
    <t>B17-0001</t>
  </si>
  <si>
    <t>Đỗ Đình Vy</t>
  </si>
  <si>
    <t>ddvy@fresher.misa.com.vn</t>
  </si>
  <si>
    <t>Lịch sử</t>
  </si>
  <si>
    <t>Đại học Khoa học Xã hội và Nhân văn – Đại học Quốc gia Hà Nội</t>
  </si>
  <si>
    <t>B08-0080</t>
  </si>
  <si>
    <t>Đinh Thị Nga</t>
  </si>
  <si>
    <t>dtnga1@software.misa.com.vn</t>
  </si>
  <si>
    <t>B06-0147</t>
  </si>
  <si>
    <t>Nguyễn Văn Mạnh</t>
  </si>
  <si>
    <t>nvmanh@rd.misa.com.vn</t>
  </si>
  <si>
    <t>B06-0211</t>
  </si>
  <si>
    <t>Đinh Ngọc Tân</t>
  </si>
  <si>
    <t>dntan@mdc.misa.com.vn</t>
  </si>
  <si>
    <t>B-0758</t>
  </si>
  <si>
    <t>Chu Thị Gia Trang</t>
  </si>
  <si>
    <t>cgtrang@software.misa.com.vn</t>
  </si>
  <si>
    <t>Đại học Vinh</t>
  </si>
  <si>
    <t>B06-0280</t>
  </si>
  <si>
    <t>Nguyễn Trọng Hiền</t>
  </si>
  <si>
    <t>nthien1@software.misa.com.vn</t>
  </si>
  <si>
    <t>B-0512</t>
  </si>
  <si>
    <t>natuan1@software.misa.com.vn</t>
  </si>
  <si>
    <t>A-0285</t>
  </si>
  <si>
    <t>Đỗ Quốc Việt Anh</t>
  </si>
  <si>
    <t>Trưởng ban CNTT</t>
  </si>
  <si>
    <t>SDC_IT_MGR</t>
  </si>
  <si>
    <t>dvanh3@software.misa.com.vn</t>
  </si>
  <si>
    <t>Đại học BWE</t>
  </si>
  <si>
    <t>B-0612</t>
  </si>
  <si>
    <t>Ngô Xuân Hùng</t>
  </si>
  <si>
    <t>nxhung@software.misa.com.vn</t>
  </si>
  <si>
    <t>B-0709</t>
  </si>
  <si>
    <t>Bùi Thị Liên</t>
  </si>
  <si>
    <t>btlien@software.misa.com.vn</t>
  </si>
  <si>
    <t>Bảo hiểm</t>
  </si>
  <si>
    <t>B06-0318</t>
  </si>
  <si>
    <t>Bùi Văn Hậu</t>
  </si>
  <si>
    <t>bvhau@software.misa.com.vn</t>
  </si>
  <si>
    <t>B-0747</t>
  </si>
  <si>
    <t>Đào Thị Cẩm Nhung</t>
  </si>
  <si>
    <t>dcnhung@software.misa.com.vn</t>
  </si>
  <si>
    <t>Kiểm thử phần mềm</t>
  </si>
  <si>
    <t>B-0534</t>
  </si>
  <si>
    <t>Trần Thị Huyền Trang</t>
  </si>
  <si>
    <t>thtrang@software.misa.com.vn</t>
  </si>
  <si>
    <t>B06-0506</t>
  </si>
  <si>
    <t>nthien2@software.misa.com.vn</t>
  </si>
  <si>
    <t>B06-0416</t>
  </si>
  <si>
    <t>Nguyễn Văn Lâm</t>
  </si>
  <si>
    <t>nvlam@software.misa.com.vn</t>
  </si>
  <si>
    <t>F09-0055</t>
  </si>
  <si>
    <t>Nguyễn Văn Tình</t>
  </si>
  <si>
    <t>nvtinh@bmt.misa.com.vn</t>
  </si>
  <si>
    <t>C-0688</t>
  </si>
  <si>
    <t>Bùi Hà Bích Phương</t>
  </si>
  <si>
    <t>bhbphuong@support.misa.com.vn</t>
  </si>
  <si>
    <t>Trường Đại học Ngoại thương</t>
  </si>
  <si>
    <t>D09-0608</t>
  </si>
  <si>
    <t>Nguyễn Thị Thùy Vân</t>
  </si>
  <si>
    <t>ntvan1@bmt.misa.com.vn</t>
  </si>
  <si>
    <t>Kinh tế tài nguyên môi trường</t>
  </si>
  <si>
    <t>C09-0034</t>
  </si>
  <si>
    <t>Tạ Thị Vân</t>
  </si>
  <si>
    <t>Q. Giám đốc trung tâm</t>
  </si>
  <si>
    <t>L03.40</t>
  </si>
  <si>
    <t>SB_A.ONBD</t>
  </si>
  <si>
    <t>ttvan@han.misa.com.vn</t>
  </si>
  <si>
    <t>C-1108</t>
  </si>
  <si>
    <t>Nguyễn Thị Tố Uyên</t>
  </si>
  <si>
    <t>nttuyen@misa.com.vn</t>
  </si>
  <si>
    <t>K-0003</t>
  </si>
  <si>
    <t>Đoàn Thị Ánh</t>
  </si>
  <si>
    <t>NV Điều phối nội dung</t>
  </si>
  <si>
    <t>BO_MIBI_CONTCOOR</t>
  </si>
  <si>
    <t>dtanh1@misa.com.vn</t>
  </si>
  <si>
    <t>C09-0030</t>
  </si>
  <si>
    <t>Lã Thị Thu Hiền</t>
  </si>
  <si>
    <t>lthien@han.misa.com.vn</t>
  </si>
  <si>
    <t>D-1179</t>
  </si>
  <si>
    <t>Huỳnh Thị Thanh Nhàn</t>
  </si>
  <si>
    <t>httnhan@hcm.misa.com.vn</t>
  </si>
  <si>
    <t>ĐH FPT</t>
  </si>
  <si>
    <t>K-0001</t>
  </si>
  <si>
    <t>Vũ Thị Thúy</t>
  </si>
  <si>
    <t>vtthuy@misa.com.vn</t>
  </si>
  <si>
    <t>C10-0189</t>
  </si>
  <si>
    <t>Phạm Hải Anh</t>
  </si>
  <si>
    <t>phanh@han.misa.com.vn</t>
  </si>
  <si>
    <t>D-1155</t>
  </si>
  <si>
    <t>Nguyễn Ngọc Hân</t>
  </si>
  <si>
    <t>nnhan1@hcm.misa.com.vn</t>
  </si>
  <si>
    <t>A-0527</t>
  </si>
  <si>
    <t>Nguyễn Thị Khánh Tiên</t>
  </si>
  <si>
    <t>ntktien@misa.com.vn</t>
  </si>
  <si>
    <t>A-0525</t>
  </si>
  <si>
    <t>Trần Đăng Khoa</t>
  </si>
  <si>
    <t>tdkhoa@misa.com.vn</t>
  </si>
  <si>
    <t>Đại Học Bách Khoa - ĐHQG TPHCM</t>
  </si>
  <si>
    <t>A-0524</t>
  </si>
  <si>
    <t>Quách Quế Trân</t>
  </si>
  <si>
    <t>qqtran@misa.com.vn</t>
  </si>
  <si>
    <t>Đại Học Macquarie</t>
  </si>
  <si>
    <t>H-0271</t>
  </si>
  <si>
    <t>Trần Hải Yến</t>
  </si>
  <si>
    <t>thyen@support.misa.com.vn</t>
  </si>
  <si>
    <t>Đại học Kinh tế - Kỹ Thuật - Công Nghiệp</t>
  </si>
  <si>
    <t>A-0404</t>
  </si>
  <si>
    <t>Trợ lý Quan hệ lao động</t>
  </si>
  <si>
    <t>BO_HR_ERA</t>
  </si>
  <si>
    <t>nthoa2@misa.com.vn</t>
  </si>
  <si>
    <t>quản trị nhân lực</t>
  </si>
  <si>
    <t>C02-0022</t>
  </si>
  <si>
    <t>Nguyễn Trung Triệu</t>
  </si>
  <si>
    <t>Phó phòng QTNNL</t>
  </si>
  <si>
    <t>BO_HR_DEP</t>
  </si>
  <si>
    <t>nttrieu@han.misa.com.vn</t>
  </si>
  <si>
    <t>Quản trị nguồn nhân lực</t>
  </si>
  <si>
    <t>Đại học Lao Động Xã Hội - Cơ sở 1 - Hà Nội</t>
  </si>
  <si>
    <t>G-0175</t>
  </si>
  <si>
    <t>Nguyễn Trọng Tính</t>
  </si>
  <si>
    <t>nttinh@cth.misa.com.vn</t>
  </si>
  <si>
    <t>D10-0150</t>
  </si>
  <si>
    <t>Lê Thị Bích Ngân</t>
  </si>
  <si>
    <t>L05.03.12.03</t>
  </si>
  <si>
    <t>lbngan@hcm.misa.com.vn</t>
  </si>
  <si>
    <t>D10-0122</t>
  </si>
  <si>
    <t>Nguyễn Công Việt</t>
  </si>
  <si>
    <t>ncviet@hcm.misa.com.vn</t>
  </si>
  <si>
    <t>D10-0209</t>
  </si>
  <si>
    <t>Nguyễn Thị Bảo Anh</t>
  </si>
  <si>
    <t>nbanh@hcm.misa.com.vn</t>
  </si>
  <si>
    <t>G-0169</t>
  </si>
  <si>
    <t>Đỗ Duy Khánh</t>
  </si>
  <si>
    <t>ddkhanh@cth.misa.com.vn</t>
  </si>
  <si>
    <t>Quản trị kinh doanh - Tài chính</t>
  </si>
  <si>
    <t>C10-0091</t>
  </si>
  <si>
    <t>Nguyễn Thị Dịu</t>
  </si>
  <si>
    <t>ENT_NS_A.SM</t>
  </si>
  <si>
    <t>ntdiu@han.misa.com.vn</t>
  </si>
  <si>
    <t>H-0317</t>
  </si>
  <si>
    <t>Nguyễn Thị Bích Ngân</t>
  </si>
  <si>
    <t>ntbngan@support.misa.com.vn</t>
  </si>
  <si>
    <t>D-1172</t>
  </si>
  <si>
    <t>Chống Phương Yến</t>
  </si>
  <si>
    <t>cpyen@hcm.misa.com.vn</t>
  </si>
  <si>
    <t>A01-0001</t>
  </si>
  <si>
    <t>Lữ Thành Long</t>
  </si>
  <si>
    <t>Chủ tịch HĐQT</t>
  </si>
  <si>
    <t>Hội đồng Quản trị</t>
  </si>
  <si>
    <t>L03.18</t>
  </si>
  <si>
    <t>BOD_COB</t>
  </si>
  <si>
    <t>ltlong@misa.com.vn</t>
  </si>
  <si>
    <t>Đảm bảo toán học cho máy tính và các hệ thống tính toán</t>
  </si>
  <si>
    <t>K-0013</t>
  </si>
  <si>
    <t>Ngô Thị Chung</t>
  </si>
  <si>
    <t>ntchung1@misa.com.vn</t>
  </si>
  <si>
    <t>Đại học ngoại ngữ Huế</t>
  </si>
  <si>
    <t>D09-0049</t>
  </si>
  <si>
    <t>Nguyễn Ngọc Lệ</t>
  </si>
  <si>
    <t>Ban giám đốc</t>
  </si>
  <si>
    <t>L05.30.00</t>
  </si>
  <si>
    <t>MB_SD</t>
  </si>
  <si>
    <t>nnle@hcm.misa.com.vn</t>
  </si>
  <si>
    <t>D09-0023</t>
  </si>
  <si>
    <t>Huỳnh Văn Thành</t>
  </si>
  <si>
    <t>Phó giám đốc TTKD</t>
  </si>
  <si>
    <t>MB_VSD</t>
  </si>
  <si>
    <t>hvthanh@hcm.misa.com.vn</t>
  </si>
  <si>
    <t>D09-0108</t>
  </si>
  <si>
    <t>Trịnh Hoàng Anh Tuấn</t>
  </si>
  <si>
    <t>L05.33.01</t>
  </si>
  <si>
    <t>thatuan@hcm.misa.com.vn</t>
  </si>
  <si>
    <t>D20-0212</t>
  </si>
  <si>
    <t>Trần Hoàng Duy Tân</t>
  </si>
  <si>
    <t>L05.32.00</t>
  </si>
  <si>
    <t>tdtan1@hcm.misa.com.vn</t>
  </si>
  <si>
    <t>Cơ khí</t>
  </si>
  <si>
    <t>C-0637</t>
  </si>
  <si>
    <t>Đỗ Thị Út</t>
  </si>
  <si>
    <t>dtut@misa.com.vn</t>
  </si>
  <si>
    <t>E-0124</t>
  </si>
  <si>
    <t>Trương Trần Thị Thùy Trang</t>
  </si>
  <si>
    <t>L06.19.02</t>
  </si>
  <si>
    <t>tttrang@dng.misa.com.vn</t>
  </si>
  <si>
    <t>Đại học Kinh tế Đà Nẵng</t>
  </si>
  <si>
    <t>D21-0106</t>
  </si>
  <si>
    <t>Nguyễn Ngọc Phương Dung</t>
  </si>
  <si>
    <t>npdung@misa.com.vn</t>
  </si>
  <si>
    <t>A-0334</t>
  </si>
  <si>
    <t>ntyen1@misa.com.vn</t>
  </si>
  <si>
    <t>A34-0002</t>
  </si>
  <si>
    <t>Phan Hoàng Mai</t>
  </si>
  <si>
    <t>NV Thẩm định CTS</t>
  </si>
  <si>
    <t>Ban Quản lý chứng thư số</t>
  </si>
  <si>
    <t>L03.26</t>
  </si>
  <si>
    <t>BO_ESIGN</t>
  </si>
  <si>
    <t>phmai@misa.com.vn</t>
  </si>
  <si>
    <t>D-1133</t>
  </si>
  <si>
    <t>Nguyễn Thị Kim Chi</t>
  </si>
  <si>
    <t>nkchi3@hcm.misa.com.vn</t>
  </si>
  <si>
    <t>E-0136</t>
  </si>
  <si>
    <t>tthien@dng.misa.com.vn</t>
  </si>
  <si>
    <t>Trường Đại học Duy Tân</t>
  </si>
  <si>
    <t>E-0162</t>
  </si>
  <si>
    <t>Trần Thị Thanh Tuyền</t>
  </si>
  <si>
    <t>ttttuyen@dng.misa.com.vn</t>
  </si>
  <si>
    <t>G10-0039</t>
  </si>
  <si>
    <t>Huỳnh Thị Minh Trang</t>
  </si>
  <si>
    <t>Giám đốc Văn phòng</t>
  </si>
  <si>
    <t>L08.01</t>
  </si>
  <si>
    <t>BOM_RSD</t>
  </si>
  <si>
    <t>hmtrang@cth.misa.com.vn</t>
  </si>
  <si>
    <t>C09-0481</t>
  </si>
  <si>
    <t>Q. Phó Giám đốc TTKD</t>
  </si>
  <si>
    <t>L04.30.00</t>
  </si>
  <si>
    <t>MB_A.VSD</t>
  </si>
  <si>
    <t>nvtuan1@han.misa.com.vn</t>
  </si>
  <si>
    <t>D-0946</t>
  </si>
  <si>
    <t>Nguyễn Thị Thu Phương</t>
  </si>
  <si>
    <t>ntphuong7@hcm.misa.com.vn</t>
  </si>
  <si>
    <t>D10-0201</t>
  </si>
  <si>
    <t>Hoàng Thị Thúy Oanh</t>
  </si>
  <si>
    <t>htoanh@hcm.misa.com.vn</t>
  </si>
  <si>
    <t>D26-0148</t>
  </si>
  <si>
    <t>Cao Thị Mỹ Luyện</t>
  </si>
  <si>
    <t>cmluyen@hcm.misa.com.vn</t>
  </si>
  <si>
    <t>G10-0086</t>
  </si>
  <si>
    <t>Nhóm Triển khai và CSKH</t>
  </si>
  <si>
    <t>L08.03.01</t>
  </si>
  <si>
    <t>ttthao@cth.misa.com.vn</t>
  </si>
  <si>
    <t>Đại học Tây Đô</t>
  </si>
  <si>
    <t>G-0114</t>
  </si>
  <si>
    <t>Nguyễn Hữu Văn</t>
  </si>
  <si>
    <t>nhvan@cth.misa.com.vn</t>
  </si>
  <si>
    <t>G-0122</t>
  </si>
  <si>
    <t>Lê Huỳnh Trung Thư</t>
  </si>
  <si>
    <t>lhtthu@cth.misa.com.vn</t>
  </si>
  <si>
    <t>Đại học Nam Cần Thơ</t>
  </si>
  <si>
    <t>D-0529</t>
  </si>
  <si>
    <t>Đỗ Thị Mỹ Phương</t>
  </si>
  <si>
    <t>dmphuong1@support.misa.com.vn</t>
  </si>
  <si>
    <t>Logistics Quốc Tế</t>
  </si>
  <si>
    <t>E09-0065</t>
  </si>
  <si>
    <t>ntttrang@support.misa.com.vn</t>
  </si>
  <si>
    <t>C-0903</t>
  </si>
  <si>
    <t>Vũ Thị Loan</t>
  </si>
  <si>
    <t>vtloan@support.misa.com.vn</t>
  </si>
  <si>
    <t>Quản trị kinh doanh du lịch</t>
  </si>
  <si>
    <t>C09-0306</t>
  </si>
  <si>
    <t>Tiêu Hải Đăng</t>
  </si>
  <si>
    <t>thdang@software.misa.com.vn</t>
  </si>
  <si>
    <t>D20-0189</t>
  </si>
  <si>
    <t>Trần Thị Kim Chung</t>
  </si>
  <si>
    <t>tkchung@misa.com.vn</t>
  </si>
  <si>
    <t>D-1158</t>
  </si>
  <si>
    <t>Phạm Duy Khang</t>
  </si>
  <si>
    <t>pdkhang@hcm.misa.com.vn</t>
  </si>
  <si>
    <t>A-0517</t>
  </si>
  <si>
    <t>Nguyễn Minh Hiếu</t>
  </si>
  <si>
    <t>KDDN_NS_AE_EDU</t>
  </si>
  <si>
    <t>nmhieu1@misa.com.vn</t>
  </si>
  <si>
    <t>Quản trị Kinh doanh</t>
  </si>
  <si>
    <t>C02-0004</t>
  </si>
  <si>
    <t>Triệu Thị Chinh</t>
  </si>
  <si>
    <t>L02.02</t>
  </si>
  <si>
    <t>ttchinh@support.misa.com.vn</t>
  </si>
  <si>
    <t>E-0113</t>
  </si>
  <si>
    <t>Lê Thị Mộng Thùy</t>
  </si>
  <si>
    <t>lmthuy@dng.misa.com.vn</t>
  </si>
  <si>
    <t>B-0969</t>
  </si>
  <si>
    <t>Trần Minh Anh</t>
  </si>
  <si>
    <t>tmanh@misa.com.vn</t>
  </si>
  <si>
    <t>B-0985</t>
  </si>
  <si>
    <t>Đỗ Ngọc Huyền</t>
  </si>
  <si>
    <t>dnhuyen1@misa.com.vn</t>
  </si>
  <si>
    <t>Trường Đại Học Thương Mại Chuyên Ngành Quản Trị Nhân Lực</t>
  </si>
  <si>
    <t>D26-0131</t>
  </si>
  <si>
    <t>Nguyễn Ngọc Tường Vy</t>
  </si>
  <si>
    <t>ntvy2@hcm.misa.com.vn</t>
  </si>
  <si>
    <t>CĐ Giao thông vận tải TP. HCM</t>
  </si>
  <si>
    <t>A04-0035</t>
  </si>
  <si>
    <t>Bùi Minh Tuấn</t>
  </si>
  <si>
    <t>NV Multimedia</t>
  </si>
  <si>
    <t>BO_PR_MULT</t>
  </si>
  <si>
    <t>bmtuan@misa.com.vn</t>
  </si>
  <si>
    <t>H-0143</t>
  </si>
  <si>
    <t>ntngoc5@support.misa.com.vn</t>
  </si>
  <si>
    <t>K-0012</t>
  </si>
  <si>
    <t>Nguyễn Hoàng Giang</t>
  </si>
  <si>
    <t>nhgiang@misa.com.vn</t>
  </si>
  <si>
    <t>Engineer In Control And Automation Engineering</t>
  </si>
  <si>
    <t>H11-0136</t>
  </si>
  <si>
    <t>ntngan@support.misa.com.vn</t>
  </si>
  <si>
    <t>H11-0211</t>
  </si>
  <si>
    <t>Lê Thị Thùy</t>
  </si>
  <si>
    <t>ltthuy1@support.misa.com.vn</t>
  </si>
  <si>
    <t>kinh tế vận tải và du lịch</t>
  </si>
  <si>
    <t>1, Đại Học Giao Thông Vận Tải</t>
  </si>
  <si>
    <t>E-0091</t>
  </si>
  <si>
    <t>Trà Sen Phương</t>
  </si>
  <si>
    <t>tsphuong@dng.misa.com.vn</t>
  </si>
  <si>
    <t>F-0132</t>
  </si>
  <si>
    <t>Nguyễn Thị Ánh Tuyết</t>
  </si>
  <si>
    <t>natuyet@bmt.misa.com.vn</t>
  </si>
  <si>
    <t>D-0495</t>
  </si>
  <si>
    <t>Tạ Thị Thoa</t>
  </si>
  <si>
    <t>ttthoa@hcm.misa.com.vn</t>
  </si>
  <si>
    <t>B06-0093</t>
  </si>
  <si>
    <t>Bùi Thanh Minh</t>
  </si>
  <si>
    <t>Phó Tổng Giám Đốc</t>
  </si>
  <si>
    <t>Ban Tổng giám đốc</t>
  </si>
  <si>
    <t>L03.36.01</t>
  </si>
  <si>
    <t>BOD_VP_PRODUCT</t>
  </si>
  <si>
    <t>btminh@software.misa.com.vn</t>
  </si>
  <si>
    <t>C09-0556</t>
  </si>
  <si>
    <t>Lỗ Thị Thu Thảo</t>
  </si>
  <si>
    <t>ltthao2@misa.com.vn</t>
  </si>
  <si>
    <t>Đại học tài chính Quản trị kinh doanh</t>
  </si>
  <si>
    <t>D-1171</t>
  </si>
  <si>
    <t>Đoàn Huỳnh Anh Nghĩa</t>
  </si>
  <si>
    <t>dhanghia@hcm.misa.com.vn</t>
  </si>
  <si>
    <t>D-1170</t>
  </si>
  <si>
    <t>Đoàn Tấn Phong</t>
  </si>
  <si>
    <t>dtphong1@hcm.misa.com.vn</t>
  </si>
  <si>
    <t>D-1169</t>
  </si>
  <si>
    <t>Nguyễn Minh Anh Phương</t>
  </si>
  <si>
    <t>nmaphuong@hcm.misa.com.vn</t>
  </si>
  <si>
    <t>ĐH Ngân hàng TP HCM</t>
  </si>
  <si>
    <t>D-0766</t>
  </si>
  <si>
    <t>Dương Thị Diễm Sương</t>
  </si>
  <si>
    <t>ddsuong@hcm.misa.com.vn</t>
  </si>
  <si>
    <t>H11-0109</t>
  </si>
  <si>
    <t>Lại Thị Cẩm Tiên</t>
  </si>
  <si>
    <t>NV Tư vấn cộng đồng</t>
  </si>
  <si>
    <t>Nhóm Tư vấn MISA 02</t>
  </si>
  <si>
    <t>L02.11.02</t>
  </si>
  <si>
    <t>BO_CCS_COM</t>
  </si>
  <si>
    <t>lctien@support.misa.com.vn</t>
  </si>
  <si>
    <t>CĐ Sư Phạm Đồng Nai</t>
  </si>
  <si>
    <t>G-0101</t>
  </si>
  <si>
    <t>Nghị Hồng Chi</t>
  </si>
  <si>
    <t>nhchi@cth.misa.com.vn</t>
  </si>
  <si>
    <t>G-0160</t>
  </si>
  <si>
    <t>Huỳnh Thị Mi</t>
  </si>
  <si>
    <t>htmi@cth.misa.com.vn</t>
  </si>
  <si>
    <t>Trường Đại Học Cần Thơ</t>
  </si>
  <si>
    <t>G-0121</t>
  </si>
  <si>
    <t>Đặng Thị Thảo Như</t>
  </si>
  <si>
    <t>dtnhu@cth.misa.com.vn</t>
  </si>
  <si>
    <t>G-0158</t>
  </si>
  <si>
    <t>Nguyễn Huỳnh Như</t>
  </si>
  <si>
    <t>nhnhu1@cth.misa.com.vn</t>
  </si>
  <si>
    <t>G09-0116</t>
  </si>
  <si>
    <t>Đặng Thị Mỹ Tiên</t>
  </si>
  <si>
    <t>dmtien@cth.misa.com.vn</t>
  </si>
  <si>
    <t>G-0139</t>
  </si>
  <si>
    <t>Bùi Thị Minh Anh</t>
  </si>
  <si>
    <t>bmanh@cth.misa.com.vn</t>
  </si>
  <si>
    <t>Quản lý Công nghiệp</t>
  </si>
  <si>
    <t>Đại học kỹ thuật - Công nghệ Cần Thơ</t>
  </si>
  <si>
    <t>G-0063</t>
  </si>
  <si>
    <t>Trương Hải Đăng</t>
  </si>
  <si>
    <t>Quản lý kinh doanh (Bán thêm)</t>
  </si>
  <si>
    <t>L08.18</t>
  </si>
  <si>
    <t>SB_CS_SM</t>
  </si>
  <si>
    <t>thdang@cth.misa.com.vn</t>
  </si>
  <si>
    <t>F10-0043</t>
  </si>
  <si>
    <t>Đinh Thị Hồng Liên</t>
  </si>
  <si>
    <t>L07.03.02</t>
  </si>
  <si>
    <t>dhlien@bmt.misa.com.vn</t>
  </si>
  <si>
    <t>ĐH Kinh tế luật _ĐHQG TP.HCM</t>
  </si>
  <si>
    <t>F-0077</t>
  </si>
  <si>
    <t>Tô Vũ Thanh Uyên</t>
  </si>
  <si>
    <t>L07.17.03</t>
  </si>
  <si>
    <t>ttuyen@bmt.misa.com.vn</t>
  </si>
  <si>
    <t>ĐH Kinh tế Đà Nẵng</t>
  </si>
  <si>
    <t>D-0618</t>
  </si>
  <si>
    <t>Võ Phi Thắng</t>
  </si>
  <si>
    <t>vpthang@hcm.misa.com.vn</t>
  </si>
  <si>
    <t>H-0316</t>
  </si>
  <si>
    <t>Lê Ngọc Bảo Trân</t>
  </si>
  <si>
    <t>lnbtran@support.misa.com.vn</t>
  </si>
  <si>
    <t>C-0610</t>
  </si>
  <si>
    <t>Đào Thị Duyên</t>
  </si>
  <si>
    <t>dtduyen@misa.com.vn</t>
  </si>
  <si>
    <t>H-0315</t>
  </si>
  <si>
    <t>Huỳnh Thị Thanh Ngân</t>
  </si>
  <si>
    <t>httngan@support.misa.com.vn</t>
  </si>
  <si>
    <t>A-0475</t>
  </si>
  <si>
    <t>Vương Thị Lân</t>
  </si>
  <si>
    <t>vtlan@misa.com.vn</t>
  </si>
  <si>
    <t>kinh tế quản lý</t>
  </si>
  <si>
    <t>Đại Học Picardie Jules Verne Pháp</t>
  </si>
  <si>
    <t>D21-0070</t>
  </si>
  <si>
    <t>Nguyễn Thị Quỳnh Giao</t>
  </si>
  <si>
    <t>L05.30.10</t>
  </si>
  <si>
    <t>nqgiao@hcm.misa.com.vn</t>
  </si>
  <si>
    <t>C09-0591</t>
  </si>
  <si>
    <t>Đinh Ánh Lâm</t>
  </si>
  <si>
    <t>Nhóm Tư vấn MISA 04</t>
  </si>
  <si>
    <t>L02.12.03</t>
  </si>
  <si>
    <t>dalam@support.misa.com.vn</t>
  </si>
  <si>
    <t>D10-0134</t>
  </si>
  <si>
    <t>Phan Ngọc Thảo Nhi</t>
  </si>
  <si>
    <t>pntnhi@hcm.misa.com.vn</t>
  </si>
  <si>
    <t>D-0833</t>
  </si>
  <si>
    <t>Lâm Vũ Phượng Uyên</t>
  </si>
  <si>
    <t>Nhân viên Giám sát vận hành</t>
  </si>
  <si>
    <t>L10.05</t>
  </si>
  <si>
    <t>JETPAY_GSVH</t>
  </si>
  <si>
    <t>lpuyen@jetpay.vn</t>
  </si>
  <si>
    <t>Quản lý công</t>
  </si>
  <si>
    <t>A14-0002</t>
  </si>
  <si>
    <t>Phạm Thị Lệ Quyên</t>
  </si>
  <si>
    <t>Giám đốc Đào tạo</t>
  </si>
  <si>
    <t>BO_HR_TRND</t>
  </si>
  <si>
    <t>plquyen@misa.com.vn</t>
  </si>
  <si>
    <t>H11-0209</t>
  </si>
  <si>
    <t>pthuong@support.misa.com.vn</t>
  </si>
  <si>
    <t>Đại học tài nguyên và môi trường Hà Nội</t>
  </si>
  <si>
    <t>H-0237</t>
  </si>
  <si>
    <t>Đỗ Thị Thanh Ngân</t>
  </si>
  <si>
    <t>dtngan@support.misa.com.vn</t>
  </si>
  <si>
    <t>Cao Đẳng Công Thương Tp Hcm</t>
  </si>
  <si>
    <t>H11-0123</t>
  </si>
  <si>
    <t>Nguyễn Văn Hải</t>
  </si>
  <si>
    <t>nvhai@support.misa.com.vn</t>
  </si>
  <si>
    <t>D37-0003</t>
  </si>
  <si>
    <t>Đinh Thị Mai Hoa</t>
  </si>
  <si>
    <t>dmhoa@support.misa.com.vn</t>
  </si>
  <si>
    <t>Du lịch - Kinh tế</t>
  </si>
  <si>
    <t>ĐH Huế</t>
  </si>
  <si>
    <t>H11-0119</t>
  </si>
  <si>
    <t>Nguyễn Thị Diễm Ngọc</t>
  </si>
  <si>
    <t>ndngoc@support.misa.com.vn</t>
  </si>
  <si>
    <t>F02-0001</t>
  </si>
  <si>
    <t>npthao@bmt.misa.com.vn</t>
  </si>
  <si>
    <t>CN Pháp văn</t>
  </si>
  <si>
    <t>Đại học Ngoại Ngữ Đà Nẵng</t>
  </si>
  <si>
    <t>C09-0472</t>
  </si>
  <si>
    <t>Doãn Thảo Dương</t>
  </si>
  <si>
    <t>Nhóm CS 05</t>
  </si>
  <si>
    <t>L02.17.01</t>
  </si>
  <si>
    <t>dtduong1@support.misa.com.vn</t>
  </si>
  <si>
    <t>D-1164</t>
  </si>
  <si>
    <t>Trần Nguyễn Minh Lâm</t>
  </si>
  <si>
    <t>tnmlam@hcm.misa.com.vn</t>
  </si>
  <si>
    <t>Kinh doanh quốc tế</t>
  </si>
  <si>
    <t>F09-0097</t>
  </si>
  <si>
    <t>Trương Thị Ngọc Tú</t>
  </si>
  <si>
    <t>tntu@bmt.misa.com.vn</t>
  </si>
  <si>
    <t>H-0213</t>
  </si>
  <si>
    <t>Nguyễn Minh Vũ</t>
  </si>
  <si>
    <t>nmvu@support.misa.com.vn</t>
  </si>
  <si>
    <t>đại học nguyễn tất thành</t>
  </si>
  <si>
    <t>H11-0057</t>
  </si>
  <si>
    <t>ttnhung@support.misa.com.vn</t>
  </si>
  <si>
    <t>D09-0512</t>
  </si>
  <si>
    <t>Nguyễn Thị Trúc Linh</t>
  </si>
  <si>
    <t>ntlinh5@hcm.misa.com.vn</t>
  </si>
  <si>
    <t>E10-0066</t>
  </si>
  <si>
    <t>Nhóm triển khai và chăm sóc khách hàng</t>
  </si>
  <si>
    <t>L06.03.01</t>
  </si>
  <si>
    <t>ntthuy2@dng.misa.com.vn</t>
  </si>
  <si>
    <t>ĐH Kinh Tế - ĐH Đà Nẵng</t>
  </si>
  <si>
    <t>D-0628</t>
  </si>
  <si>
    <t>Nguyễn Thị Tường Vi</t>
  </si>
  <si>
    <t>ntvi3@hcm.misa.com.vn</t>
  </si>
  <si>
    <t>D-0595</t>
  </si>
  <si>
    <t>Lê Minh Đăng</t>
  </si>
  <si>
    <t>lmdang@hcm.misa.com.vn</t>
  </si>
  <si>
    <t>D40-0001</t>
  </si>
  <si>
    <t>Nguyễn Thị Kim Mến</t>
  </si>
  <si>
    <t>nkmen@hcm.misa.com.vn</t>
  </si>
  <si>
    <t>A-0441</t>
  </si>
  <si>
    <t>Nguyễn Hà Linh</t>
  </si>
  <si>
    <t>nhlinh@misa.com.vn</t>
  </si>
  <si>
    <t>C09-0003</t>
  </si>
  <si>
    <t>Nguyễn Phi Nghị</t>
  </si>
  <si>
    <t>Ban giám đốc Văn phòng</t>
  </si>
  <si>
    <t>L04.01</t>
  </si>
  <si>
    <t>npnghi@han.misa.com.vn</t>
  </si>
  <si>
    <t>Quản trị kinh doanh công nghiệp và xây dựng cơ bản</t>
  </si>
  <si>
    <t>D-1162</t>
  </si>
  <si>
    <t>Cao Lý Hoàng My</t>
  </si>
  <si>
    <t>clhmy@hcm.misa.com.vn</t>
  </si>
  <si>
    <t>C20-0061</t>
  </si>
  <si>
    <t>Trần Văn Biên</t>
  </si>
  <si>
    <t>tvbien1@han.misa.com.vn</t>
  </si>
  <si>
    <t>C21-0104</t>
  </si>
  <si>
    <t>Đặng Thị Uyên</t>
  </si>
  <si>
    <t>dtuyen@han.misa.com.vn</t>
  </si>
  <si>
    <t>G09-0022</t>
  </si>
  <si>
    <t>Huỳnh Ngọc Mỹ</t>
  </si>
  <si>
    <t>L08.02</t>
  </si>
  <si>
    <t>hnmy@cth.misa.com.vn</t>
  </si>
  <si>
    <t>D-1156</t>
  </si>
  <si>
    <t>Cao Ánh Tuyết</t>
  </si>
  <si>
    <t>catuyet1@hcm.misa.com.vn</t>
  </si>
  <si>
    <t>D-0483</t>
  </si>
  <si>
    <t>Nguyễn Trần Anh Vy</t>
  </si>
  <si>
    <t>navy@hcm.misa.com.vn</t>
  </si>
  <si>
    <t>ĐH Quốc tế Hồng Bàng</t>
  </si>
  <si>
    <t>C02-0028</t>
  </si>
  <si>
    <t>Lê Thị Huyền Trang</t>
  </si>
  <si>
    <t>lhtrang@misa.com.vn</t>
  </si>
  <si>
    <t>D-1161</t>
  </si>
  <si>
    <t>ntyen4@hcm.misa.com.vn</t>
  </si>
  <si>
    <t>D-1159</t>
  </si>
  <si>
    <t>Trần Gia Huy</t>
  </si>
  <si>
    <t>tghuy@hcm.misa.com.vn</t>
  </si>
  <si>
    <t>E02-0021</t>
  </si>
  <si>
    <t>Phạm Thị Lan Vĩnh</t>
  </si>
  <si>
    <t>plvinh@dng.misa.com.vn</t>
  </si>
  <si>
    <t>Quản trị nhân lực doanh nghiệp</t>
  </si>
  <si>
    <t>C10-0027</t>
  </si>
  <si>
    <t>Nguyễn Quang Khải</t>
  </si>
  <si>
    <t>PGĐVP phụ trách KD</t>
  </si>
  <si>
    <t>BOM_VRSD</t>
  </si>
  <si>
    <t>nqkhai@han.misa.com.vn</t>
  </si>
  <si>
    <t>C-1088</t>
  </si>
  <si>
    <t>Hồ Thủy Tiên</t>
  </si>
  <si>
    <t>L04.14</t>
  </si>
  <si>
    <t>httien@han.misa.com.vn</t>
  </si>
  <si>
    <t>E-0132</t>
  </si>
  <si>
    <t>Dương Thu Hà</t>
  </si>
  <si>
    <t>L06.19.03</t>
  </si>
  <si>
    <t>dtha@dng.misa.com.vn</t>
  </si>
  <si>
    <t>D10-0023</t>
  </si>
  <si>
    <t>Lê Hữu Nguyên</t>
  </si>
  <si>
    <t>Ban giám đốc VP</t>
  </si>
  <si>
    <t>L05.01</t>
  </si>
  <si>
    <t>lhnguyen@hcm.misa.com.vn</t>
  </si>
  <si>
    <t>G30-0003</t>
  </si>
  <si>
    <t>Trần Khoa Nghi</t>
  </si>
  <si>
    <t>tknghi@cth.misa.com.vn</t>
  </si>
  <si>
    <t>D-1163</t>
  </si>
  <si>
    <t>ntpthao@hcm.misa.com.vn</t>
  </si>
  <si>
    <t>ĐH FPT TP.HCM</t>
  </si>
  <si>
    <t>F-0070</t>
  </si>
  <si>
    <t>L07.17.01</t>
  </si>
  <si>
    <t>nlanh@bmt.misa.com.vn</t>
  </si>
  <si>
    <t>F20-0037</t>
  </si>
  <si>
    <t>Lê Anh Sơn</t>
  </si>
  <si>
    <t>lason@bmt.misa.com.vn</t>
  </si>
  <si>
    <t>F12-0001</t>
  </si>
  <si>
    <t>Đỗ Thị Thư</t>
  </si>
  <si>
    <t>dtthu@bmt.misa.com.vn</t>
  </si>
  <si>
    <t>ĐH Khoa Học - ĐH Huế</t>
  </si>
  <si>
    <t>F26-0007</t>
  </si>
  <si>
    <t>Trần Thị Ngọc Ánh</t>
  </si>
  <si>
    <t>tnanh@bmt.misa.com.vn</t>
  </si>
  <si>
    <t>F26-0009</t>
  </si>
  <si>
    <t>Nguyễn Ngọc Thu Linh</t>
  </si>
  <si>
    <t>ntlinh@bmt.misa.com.vn</t>
  </si>
  <si>
    <t>G-0159</t>
  </si>
  <si>
    <t>Cao Nguyễn Nhật Tân</t>
  </si>
  <si>
    <t>cntan@cth.misa.com.vn</t>
  </si>
  <si>
    <t>G09-0029</t>
  </si>
  <si>
    <t>Đặng Ngọc Trúc</t>
  </si>
  <si>
    <t>L08.23</t>
  </si>
  <si>
    <t>dntruc@cth.misa.com.vn</t>
  </si>
  <si>
    <t>G-0078</t>
  </si>
  <si>
    <t>Nguyễn Thị Thảo Quyên</t>
  </si>
  <si>
    <t>ntquyen@cth.misa.com.vn</t>
  </si>
  <si>
    <t>D09-0557</t>
  </si>
  <si>
    <t>Nguyễn Thị Anh Vân</t>
  </si>
  <si>
    <t>navan@hcm.misa.com.vn</t>
  </si>
  <si>
    <t>ĐH Dân lập Hải Phòng</t>
  </si>
  <si>
    <t>C02-0027</t>
  </si>
  <si>
    <t>nthuyen3@misa.com.vn</t>
  </si>
  <si>
    <t>J-0004</t>
  </si>
  <si>
    <t>Thái Ngọc Huỳnh</t>
  </si>
  <si>
    <t>Nhân viên Sale Support</t>
  </si>
  <si>
    <t>JETPAY_SS</t>
  </si>
  <si>
    <t>tnhuynh@jetpay.vn</t>
  </si>
  <si>
    <t>ĐH Luật TP. HCM</t>
  </si>
  <si>
    <t>B24-0016</t>
  </si>
  <si>
    <t>Nguyễn Văn Thanh</t>
  </si>
  <si>
    <t>Phó phòng PTSP</t>
  </si>
  <si>
    <t>JETPAY_PP</t>
  </si>
  <si>
    <t>nvthanh@jetpay.vn</t>
  </si>
  <si>
    <t>D12-0005</t>
  </si>
  <si>
    <t>Nguyễn Phạm Khánh My</t>
  </si>
  <si>
    <t>JETPAY_BO_RD</t>
  </si>
  <si>
    <t>npkmy@misa.com.vn</t>
  </si>
  <si>
    <t>B06-0472</t>
  </si>
  <si>
    <t>nvson@jetpay.vn</t>
  </si>
  <si>
    <t>D09-0150</t>
  </si>
  <si>
    <t>Lê Triệu Vĩ</t>
  </si>
  <si>
    <t>L05.29.01</t>
  </si>
  <si>
    <t>SB_NS_SD_ACT</t>
  </si>
  <si>
    <t>ltvi@hcm.misa.com.vn</t>
  </si>
  <si>
    <t>C10-0087</t>
  </si>
  <si>
    <t>Đỗ Thị Diệu Quỳnh</t>
  </si>
  <si>
    <t>ddquynh1@han.misa.com.vn</t>
  </si>
  <si>
    <t>A-0460</t>
  </si>
  <si>
    <t>Nguyễn Thị Minh Thành</t>
  </si>
  <si>
    <t>Nhân viên HR tổng hợp</t>
  </si>
  <si>
    <t>JETPAY_BO_HR</t>
  </si>
  <si>
    <t>nmthanh@misa.com.vn</t>
  </si>
  <si>
    <t>D09-0091</t>
  </si>
  <si>
    <t>Cao Thị Thanh Thương</t>
  </si>
  <si>
    <t>SB_CS_VSD</t>
  </si>
  <si>
    <t>ctthuong@hcm.misa.com.vn</t>
  </si>
  <si>
    <t>E-0084</t>
  </si>
  <si>
    <t>Trần Thị Hương Giang</t>
  </si>
  <si>
    <t>L06.17.03</t>
  </si>
  <si>
    <t>thgiang@dng.misa.com.vn</t>
  </si>
  <si>
    <t>D20-0156</t>
  </si>
  <si>
    <t>Võ Thị Thu Tình</t>
  </si>
  <si>
    <t>vttinh@misa.com.vn</t>
  </si>
  <si>
    <t>A-0384</t>
  </si>
  <si>
    <t>Vũ Quỳnh Anh</t>
  </si>
  <si>
    <t>Nhóm MKT Bán hàng</t>
  </si>
  <si>
    <t>L03.34.07.02</t>
  </si>
  <si>
    <t>vqanh1@misa.com.vn</t>
  </si>
  <si>
    <t>C09-0048</t>
  </si>
  <si>
    <t>Thân Thị Ngọc Mai</t>
  </si>
  <si>
    <t>tnmai@support.misa.com.vn</t>
  </si>
  <si>
    <t>A28-0007</t>
  </si>
  <si>
    <t>Nguyễn Thị Nhật Hường</t>
  </si>
  <si>
    <t>nnhuong@misa.com.vn</t>
  </si>
  <si>
    <t>E09-0083</t>
  </si>
  <si>
    <t>Phan Qúi Ngân</t>
  </si>
  <si>
    <t>pqngan@dng.misa.com.vn</t>
  </si>
  <si>
    <t>ĐH Kinh Tế (Thuộc Đại học Đà Nẵng)</t>
  </si>
  <si>
    <t>H11-0156</t>
  </si>
  <si>
    <t>Lương Thị Hoài Thương</t>
  </si>
  <si>
    <t>lhthuong1@support.misa.com.vn</t>
  </si>
  <si>
    <t>DH Thăng Long</t>
  </si>
  <si>
    <t>D09-0489</t>
  </si>
  <si>
    <t>Võ Đình Tùng</t>
  </si>
  <si>
    <t>vdtung@hcm.misa.com.vn</t>
  </si>
  <si>
    <t>C-0620</t>
  </si>
  <si>
    <t>Hà Thị Thảo</t>
  </si>
  <si>
    <t>htthao@misa.com.vn</t>
  </si>
  <si>
    <t>F-0089</t>
  </si>
  <si>
    <t>Nguyễn Thị Ngọc Tuyền</t>
  </si>
  <si>
    <t>L07.19.02</t>
  </si>
  <si>
    <t>nntuyen1@bmt.misa.com.vn</t>
  </si>
  <si>
    <t>Trường Cao Đẳng Sư Phạm ĐắkLắk</t>
  </si>
  <si>
    <t>A-0502</t>
  </si>
  <si>
    <t>Cao Mai Linh</t>
  </si>
  <si>
    <t>cmlinh@misa.com.vn</t>
  </si>
  <si>
    <t>D-1145</t>
  </si>
  <si>
    <t>Đỗ Thị Thương</t>
  </si>
  <si>
    <t>dtthuong1@hcm.misa.com.vn</t>
  </si>
  <si>
    <t>D10-0117</t>
  </si>
  <si>
    <t>Nguyễn Thị Ni Ly</t>
  </si>
  <si>
    <t>Kế toán công nợ</t>
  </si>
  <si>
    <t>BO_FIN_AL</t>
  </si>
  <si>
    <t>nnly@hcm.misa.com.vn</t>
  </si>
  <si>
    <t>H11-0059</t>
  </si>
  <si>
    <t>Nguyễn Thúy Ngọc</t>
  </si>
  <si>
    <t>ntngoc2@support.misa.com.vn</t>
  </si>
  <si>
    <t>D12-0002</t>
  </si>
  <si>
    <t>Lê Văn Cát Tường</t>
  </si>
  <si>
    <t>lvctuong@support.misa.com.vn</t>
  </si>
  <si>
    <t>D11-0017</t>
  </si>
  <si>
    <t>Phan Thị Thùy Nhung</t>
  </si>
  <si>
    <t>ptnhung@support.misa.com.vn</t>
  </si>
  <si>
    <t>ĐH Hùng Vương (TP.HCM)</t>
  </si>
  <si>
    <t>D-0807</t>
  </si>
  <si>
    <t>Phạm Thị Quỳnh Ly</t>
  </si>
  <si>
    <t>pqly@support.misa.com.vn</t>
  </si>
  <si>
    <t>CĐ kinh tế Tp. HCM</t>
  </si>
  <si>
    <t>D-0686</t>
  </si>
  <si>
    <t>Phạm Ngọc Anh Thư</t>
  </si>
  <si>
    <t>pathu@support.misa.com.vn</t>
  </si>
  <si>
    <t>F09-0083</t>
  </si>
  <si>
    <t>Trần Thị Hướng Dương</t>
  </si>
  <si>
    <t>thduong@bmt.misa.com.vn</t>
  </si>
  <si>
    <t>D-1026</t>
  </si>
  <si>
    <t>La Phương Vũ Hoàng</t>
  </si>
  <si>
    <t>lvhoang@hcm.misa.com.vn</t>
  </si>
  <si>
    <t>Đại học FPT - Greewich</t>
  </si>
  <si>
    <t>H-0308</t>
  </si>
  <si>
    <t>Lê Thị Phương Thảo</t>
  </si>
  <si>
    <t>lpthao@support.misa.com.vn</t>
  </si>
  <si>
    <t>Đại Học Tài Nguyên &amp; Môi Trường</t>
  </si>
  <si>
    <t>C-1035</t>
  </si>
  <si>
    <t>Lê Thị Hồng Ánh</t>
  </si>
  <si>
    <t>lhanh@support.misa.com.vn</t>
  </si>
  <si>
    <t>H-0306</t>
  </si>
  <si>
    <t>Giang Trần Tú Linh</t>
  </si>
  <si>
    <t>Gtlinh@support.misa.com.vn</t>
  </si>
  <si>
    <t>H-0302</t>
  </si>
  <si>
    <t>Phan Thị Ngọc Anh</t>
  </si>
  <si>
    <t>pnanh@support.misa.com.vn</t>
  </si>
  <si>
    <t>Học Viện tài chính</t>
  </si>
  <si>
    <t>H-0300</t>
  </si>
  <si>
    <t>Nguyễn Huyền Ninh</t>
  </si>
  <si>
    <t>nhninh@support.misa.com.vn</t>
  </si>
  <si>
    <t>H-0298</t>
  </si>
  <si>
    <t>Lê Thị Ngọc Anh</t>
  </si>
  <si>
    <t>lnanh@support.misa.com.vn</t>
  </si>
  <si>
    <t>Kế toán/ kiểm toán</t>
  </si>
  <si>
    <t>Tại Học Viện Tài Chính</t>
  </si>
  <si>
    <t>H-0297</t>
  </si>
  <si>
    <t>Phạm Thị Phương</t>
  </si>
  <si>
    <t>ptphuong@support.misa.com.vn</t>
  </si>
  <si>
    <t>Đại học Công Nghệ TP Hồ Chí Minh</t>
  </si>
  <si>
    <t>H-0291</t>
  </si>
  <si>
    <t>Lê Xuân Anh</t>
  </si>
  <si>
    <t>lxanh@support.misa.com.vn</t>
  </si>
  <si>
    <t>Trường Đại Học Lao Động Và Xã Hội</t>
  </si>
  <si>
    <t>H-0296</t>
  </si>
  <si>
    <t>Phạm Thanh Hải</t>
  </si>
  <si>
    <t>pthai@support.misa.com.vn</t>
  </si>
  <si>
    <t>kế hoạch phát triển</t>
  </si>
  <si>
    <t>Tốt Nghiệp Học Viện Chính Sách Và Phát Triển</t>
  </si>
  <si>
    <t>H-0285</t>
  </si>
  <si>
    <t>Nguyễn Thu Thảo</t>
  </si>
  <si>
    <t>ntthao3@support.misa.com.vn</t>
  </si>
  <si>
    <t>Trường Đại Học Công Nghiệp Tphcm</t>
  </si>
  <si>
    <t>H-0284</t>
  </si>
  <si>
    <t>Nguyễn Thị Yến Vy</t>
  </si>
  <si>
    <t>nyvy@support.misa.com.vn</t>
  </si>
  <si>
    <t>Trường Đại Học Lâm Nghiệp</t>
  </si>
  <si>
    <t>H-0283</t>
  </si>
  <si>
    <t>nthoai@support.misa.com.vn</t>
  </si>
  <si>
    <t>Sư Phạm Kỹ Thuật Hưng Yên</t>
  </si>
  <si>
    <t>H-0270</t>
  </si>
  <si>
    <t>nthuong3@support.misa.com.vn</t>
  </si>
  <si>
    <t>Đại Học Phương Đông Cử Nhân Tiếng Anh</t>
  </si>
  <si>
    <t>H-0259</t>
  </si>
  <si>
    <t>Khương Thị Ngọc Mai</t>
  </si>
  <si>
    <t>knmai@support.misa.com.vn</t>
  </si>
  <si>
    <t>H-0261</t>
  </si>
  <si>
    <t>Nguyễn Thị Hương Trầm</t>
  </si>
  <si>
    <t>nhtram@support.misa.com.vn</t>
  </si>
  <si>
    <t>Đại Học Điện Lực Hà Nội</t>
  </si>
  <si>
    <t>H-0263</t>
  </si>
  <si>
    <t>Nguyễn Thị Việt Hồng</t>
  </si>
  <si>
    <t>nvhong@support.misa.com.vn</t>
  </si>
  <si>
    <t>H-0264</t>
  </si>
  <si>
    <t>Nguyễn Việt Linh</t>
  </si>
  <si>
    <t>nvlinh@support.misa.com.vn</t>
  </si>
  <si>
    <t>kế toán kiểm toán</t>
  </si>
  <si>
    <t>Học viện nông nghiệp Việt Nam</t>
  </si>
  <si>
    <t>H-0258</t>
  </si>
  <si>
    <t>Nguyễn Hoàng Quyên</t>
  </si>
  <si>
    <t>nhquyen@support.misa.com.vn</t>
  </si>
  <si>
    <t>Trường Đại học Công nghiệp Thành phố Hồ Chí Minh</t>
  </si>
  <si>
    <t>C-0998</t>
  </si>
  <si>
    <t>npthao2@support.misa.com.vn</t>
  </si>
  <si>
    <t>H-0256</t>
  </si>
  <si>
    <t>Đỗ Thị Thúy An</t>
  </si>
  <si>
    <t>dtan@support.misa.com.vn</t>
  </si>
  <si>
    <t>H-0255</t>
  </si>
  <si>
    <t>Đỗ Thị Thảo Nhi</t>
  </si>
  <si>
    <t>dtnhi@support.misa.com.vn</t>
  </si>
  <si>
    <t>Đại Học Sài Gòn</t>
  </si>
  <si>
    <t>H-0253</t>
  </si>
  <si>
    <t>Trần Phương Anh</t>
  </si>
  <si>
    <t>tpanh@support.misa.com.vn</t>
  </si>
  <si>
    <t>Cử Nhân- Đại Học Nguyễn Tất Thành</t>
  </si>
  <si>
    <t>C-0968</t>
  </si>
  <si>
    <t>Phí Thu Trang</t>
  </si>
  <si>
    <t>pttrang@support.misa.com.vn</t>
  </si>
  <si>
    <t>G-0125</t>
  </si>
  <si>
    <t>Huỳnh Thị Duyên</t>
  </si>
  <si>
    <t>htduyen@support.misa.com.vn</t>
  </si>
  <si>
    <t>H-0250</t>
  </si>
  <si>
    <t>Đỗ Thị Hạnh</t>
  </si>
  <si>
    <t>dthanh@support.misa.com.vn</t>
  </si>
  <si>
    <t>H-0240</t>
  </si>
  <si>
    <t>Lâm Thị Dung</t>
  </si>
  <si>
    <t>ltdung1@support.misa.com.vn</t>
  </si>
  <si>
    <t>Trường Đại Học Thăng Long</t>
  </si>
  <si>
    <t>H-0236</t>
  </si>
  <si>
    <t>ptlinh@support.misa.com.vn</t>
  </si>
  <si>
    <t>Trường Đại Học Công Nghiệp Thực Phẩm Hồ Chí Minh</t>
  </si>
  <si>
    <t>H-0235</t>
  </si>
  <si>
    <t>Nguyễn Thị Thu Thảo</t>
  </si>
  <si>
    <t>ntthao2@support.misa.com.vn</t>
  </si>
  <si>
    <t>Đại học sư phạm Kỹ thuật TP HCM</t>
  </si>
  <si>
    <t>H-0234</t>
  </si>
  <si>
    <t>Nguyễn Thị Kim Trinh</t>
  </si>
  <si>
    <t>nktrinh@support.misa.com.vn</t>
  </si>
  <si>
    <t>Trường Đại Học Công Nghiệp Thực Phẩm Tphcm</t>
  </si>
  <si>
    <t>C-0934</t>
  </si>
  <si>
    <t>Lê Thị Kim Oanh</t>
  </si>
  <si>
    <t>lkoanh@support.misa.com.vn</t>
  </si>
  <si>
    <t>C-0933</t>
  </si>
  <si>
    <t>ntthuy4@support.misa.com.vn</t>
  </si>
  <si>
    <t>C-0931</t>
  </si>
  <si>
    <t>Lê Thị Hiên</t>
  </si>
  <si>
    <t>lthien1@support.misa.com.vn</t>
  </si>
  <si>
    <t>H-0227</t>
  </si>
  <si>
    <t>Nguyễn Đức Thắng</t>
  </si>
  <si>
    <t>ndthang@support.misa.com.vn</t>
  </si>
  <si>
    <t>tài chính - ngân hàng</t>
  </si>
  <si>
    <t>H-0220</t>
  </si>
  <si>
    <t>Lê Thu Hường</t>
  </si>
  <si>
    <t>lthuong@support.misa.com.vn</t>
  </si>
  <si>
    <t>đại học kinh doanh và công nghệ hà nội</t>
  </si>
  <si>
    <t>H-0217</t>
  </si>
  <si>
    <t>bmlinh@support.misa.com.vn</t>
  </si>
  <si>
    <t>D-0821</t>
  </si>
  <si>
    <t>Nguyễn Lê Anh Thư</t>
  </si>
  <si>
    <t>nathu@support.misa.com.vn</t>
  </si>
  <si>
    <t>H-0215</t>
  </si>
  <si>
    <t>Võ Thị Thu Minh</t>
  </si>
  <si>
    <t>vtminh@support.misa.com.vn</t>
  </si>
  <si>
    <t>Trường đại học Ngoại ngữ - Tin học TP.HCM</t>
  </si>
  <si>
    <t>H-0216</t>
  </si>
  <si>
    <t>Đỗ Nguyễn Thiên Trúc</t>
  </si>
  <si>
    <t>dttruc@support.misa.com.vn</t>
  </si>
  <si>
    <t>kiểm toán - kế toán</t>
  </si>
  <si>
    <t>Cao Đăng Kinh Tế Hồ Chí Minh</t>
  </si>
  <si>
    <t>D-0814</t>
  </si>
  <si>
    <t>Lê Thị Hạng</t>
  </si>
  <si>
    <t>lthang1@support.misa.com.vn</t>
  </si>
  <si>
    <t>C-0923</t>
  </si>
  <si>
    <t>Đào Thị Minh Tài</t>
  </si>
  <si>
    <t>dmtai@support.misa.com.vn</t>
  </si>
  <si>
    <t>F-0113</t>
  </si>
  <si>
    <t>Trần Thị Minh Anh</t>
  </si>
  <si>
    <t>ttmanh@support.misa.com.vn</t>
  </si>
  <si>
    <t>Đại Học Tài Nguyên Môi Trường Hà Nội</t>
  </si>
  <si>
    <t>H-0207</t>
  </si>
  <si>
    <t>Hoàng Thị Thu Thảo</t>
  </si>
  <si>
    <t>htthao1@support.misa.com.vn</t>
  </si>
  <si>
    <t>Học viện ngân hàng</t>
  </si>
  <si>
    <t>H-0206</t>
  </si>
  <si>
    <t>Chử Hoàng Bảo Khánh</t>
  </si>
  <si>
    <t>cbkhanh@support.misa.com.vn</t>
  </si>
  <si>
    <t>H-0205</t>
  </si>
  <si>
    <t>Bùi Thị Hoài</t>
  </si>
  <si>
    <t>bthoai@support.misa.com.vn</t>
  </si>
  <si>
    <t>H-0202</t>
  </si>
  <si>
    <t>Lê Thị Xuân Đào</t>
  </si>
  <si>
    <t>lxdao@support.misa.com.vn</t>
  </si>
  <si>
    <t>H-0203</t>
  </si>
  <si>
    <t>Võ Thị Vân Anh</t>
  </si>
  <si>
    <t>vvanh@support.misa.com.vn</t>
  </si>
  <si>
    <t>Đại Học Mở Thành Phố Hồ Chí Minh</t>
  </si>
  <si>
    <t>E-0125</t>
  </si>
  <si>
    <t>Nguyễn Thị Thanh Hường</t>
  </si>
  <si>
    <t>nthuong4@support.misa.com.vn</t>
  </si>
  <si>
    <t>H-0191</t>
  </si>
  <si>
    <t>Võ Thị Hoàng Giang</t>
  </si>
  <si>
    <t>vhgiang@support.misa.com.vn</t>
  </si>
  <si>
    <t>cao đẳng kinh tế đối ngoại tp hồ chí minh</t>
  </si>
  <si>
    <t>H-0186</t>
  </si>
  <si>
    <t>Lê Ngọc Phương Uyên</t>
  </si>
  <si>
    <t>lpuyen@support.misa.com.vn</t>
  </si>
  <si>
    <t>Trường Đại Học Công Nghiệp Tphcm Kế Toán</t>
  </si>
  <si>
    <t>H-0197</t>
  </si>
  <si>
    <t>ntha@support.misa.com.vn</t>
  </si>
  <si>
    <t>Đại Học Công Đoàn Chuyên Ngành Kế Toán</t>
  </si>
  <si>
    <t>C-0895</t>
  </si>
  <si>
    <t>Hoàng Thu Phương</t>
  </si>
  <si>
    <t>htphuong1@support.misa.com.vn</t>
  </si>
  <si>
    <t>Đại Học Hòa Bình</t>
  </si>
  <si>
    <t>C-0893</t>
  </si>
  <si>
    <t>Đặng Phương Thúy</t>
  </si>
  <si>
    <t>dpthuy@support.misa.com.vn</t>
  </si>
  <si>
    <t>D-0786</t>
  </si>
  <si>
    <t>Trịnh Thị Hóa</t>
  </si>
  <si>
    <t>tthoa2@support.misa.com.vn</t>
  </si>
  <si>
    <t>Đại học Công nghiệp TP.HCM</t>
  </si>
  <si>
    <t>C-0872</t>
  </si>
  <si>
    <t>ntmai@support.misa.com.vn</t>
  </si>
  <si>
    <t>G-0115</t>
  </si>
  <si>
    <t>Lê Thị Tuyết Nhung</t>
  </si>
  <si>
    <t>lttnhung@support.misa.com.vn</t>
  </si>
  <si>
    <t>C21-0074</t>
  </si>
  <si>
    <t>Lê Thị Thoa</t>
  </si>
  <si>
    <t>ltthoa@support.misa.com.vn</t>
  </si>
  <si>
    <t>D26-0083</t>
  </si>
  <si>
    <t>Nguyễn Thị Tường Qui</t>
  </si>
  <si>
    <t>ntqui@support.misa.com.vn</t>
  </si>
  <si>
    <t>F-0104</t>
  </si>
  <si>
    <t>Nguyễn Thị Ngọc Ánh</t>
  </si>
  <si>
    <t>nnanh4@support.misa.com.vn</t>
  </si>
  <si>
    <t>C26-0139</t>
  </si>
  <si>
    <t>Đỗ Văn Đoàn</t>
  </si>
  <si>
    <t>dvdoan@support.misa.com.vn</t>
  </si>
  <si>
    <t>đại học nguyễn trãi</t>
  </si>
  <si>
    <t>H11-0012</t>
  </si>
  <si>
    <t>Vũ Văn Tiến</t>
  </si>
  <si>
    <t>Trưởng nhóm Tư vấn đào tạo trực tuyến</t>
  </si>
  <si>
    <t>BO_CCS_LEAD_OTRN</t>
  </si>
  <si>
    <t>vvtien@support.misa.com.vn</t>
  </si>
  <si>
    <t>C26-0151</t>
  </si>
  <si>
    <t>ctvan@support.misa.com.vn</t>
  </si>
  <si>
    <t>H11-0049</t>
  </si>
  <si>
    <t>Bùi Ánh Tuyết</t>
  </si>
  <si>
    <t>batuyet@support.misa.com.vn</t>
  </si>
  <si>
    <t>C21-0084</t>
  </si>
  <si>
    <t>Nguyễn Thúy Nga</t>
  </si>
  <si>
    <t>ntnga2@support.misa.com.vn</t>
  </si>
  <si>
    <t>C09-0417</t>
  </si>
  <si>
    <t>Đỗ Thu Hằng</t>
  </si>
  <si>
    <t>dthang1@support.misa.com.vn</t>
  </si>
  <si>
    <t>D-0504</t>
  </si>
  <si>
    <t>Nguyễn Thị Kim Oanh</t>
  </si>
  <si>
    <t>nkoanh1@support.misa.com.vn</t>
  </si>
  <si>
    <t>C09-0381</t>
  </si>
  <si>
    <t>Phan Thị Mỹ Linh</t>
  </si>
  <si>
    <t>pmlinh@support.misa.com.vn</t>
  </si>
  <si>
    <t>C11-0025</t>
  </si>
  <si>
    <t>Chu Thị Kim Anh</t>
  </si>
  <si>
    <t>ckanh@support.misa.com.vn</t>
  </si>
  <si>
    <t>H11-0066</t>
  </si>
  <si>
    <t>Lê Bão Sơn</t>
  </si>
  <si>
    <t>Trưởng nhóm Tư vấn cộng đồng</t>
  </si>
  <si>
    <t>BO_CCS_LEAD_COM</t>
  </si>
  <si>
    <t>lbson@support.misa.com.vn</t>
  </si>
  <si>
    <t>DH Công Nghiệp TP.HCM</t>
  </si>
  <si>
    <t>C09-0394</t>
  </si>
  <si>
    <t>Phùng Thị Thương</t>
  </si>
  <si>
    <t>ptthuong@support.misa.com.vn</t>
  </si>
  <si>
    <t>Học viện Nông nghiệp Việt Nam</t>
  </si>
  <si>
    <t>H11-0224</t>
  </si>
  <si>
    <t>ntdung1@support.misa.com.vn</t>
  </si>
  <si>
    <t>H11-0207</t>
  </si>
  <si>
    <t>Trương Thị Ngọc Anh</t>
  </si>
  <si>
    <t>tnanh1@support.misa.com.vn</t>
  </si>
  <si>
    <t>H11-0130</t>
  </si>
  <si>
    <t>vpthao@support.misa.com.vn</t>
  </si>
  <si>
    <t>Định giá tài sản và kinh doanh bất động sản</t>
  </si>
  <si>
    <t>H11-0269</t>
  </si>
  <si>
    <t>Trần Thị Tươi</t>
  </si>
  <si>
    <t>tttuoi@support.misa.com.vn</t>
  </si>
  <si>
    <t>Đại học Thương Mai</t>
  </si>
  <si>
    <t>H11-0171</t>
  </si>
  <si>
    <t>ntlinh1@support.misa.com.vn</t>
  </si>
  <si>
    <t>C09-0412</t>
  </si>
  <si>
    <t>Lê Xuân Cường</t>
  </si>
  <si>
    <t>Trưởng nhóm CSKH</t>
  </si>
  <si>
    <t>BO_CCS_CSML</t>
  </si>
  <si>
    <t>lxcuong@support.misa.com.vn</t>
  </si>
  <si>
    <t>H-0176</t>
  </si>
  <si>
    <t>Bùi Thị Lan Phượng</t>
  </si>
  <si>
    <t>blphuong@support.misa.com.vn</t>
  </si>
  <si>
    <t>C09-0593</t>
  </si>
  <si>
    <t>Lê Thị Trà My</t>
  </si>
  <si>
    <t>ltmy@support.misa.com.vn</t>
  </si>
  <si>
    <t>H11-0231</t>
  </si>
  <si>
    <t>Vũ Lan Anh</t>
  </si>
  <si>
    <t>vlanh@support.misa.com.vn</t>
  </si>
  <si>
    <t>C38-0009</t>
  </si>
  <si>
    <t>Vũ Thị Huệ</t>
  </si>
  <si>
    <t>vthue@support.misa.com.vn</t>
  </si>
  <si>
    <t>Học viện Phụ nữ</t>
  </si>
  <si>
    <t>H11-0241</t>
  </si>
  <si>
    <t>Nguyễn Phượng Thiên</t>
  </si>
  <si>
    <t>npthien@support.misa.com.vn</t>
  </si>
  <si>
    <t>Đại học Mở TPHCM</t>
  </si>
  <si>
    <t>D09-0546</t>
  </si>
  <si>
    <t>Lê Thị Khánh Hòa</t>
  </si>
  <si>
    <t>lkhoa@support.misa.com.vn</t>
  </si>
  <si>
    <t>Kế toán tài chính ngân hàng</t>
  </si>
  <si>
    <t>C20-0124</t>
  </si>
  <si>
    <t>Trần Thị Hoa</t>
  </si>
  <si>
    <t>tthoa1@support.misa.com.vn</t>
  </si>
  <si>
    <t>H11-0188</t>
  </si>
  <si>
    <t>Nguyễn Thế Hào</t>
  </si>
  <si>
    <t>nthao@support.misa.com.vn</t>
  </si>
  <si>
    <t>H11-0235</t>
  </si>
  <si>
    <t>Nguyễn Trọng Nguyên</t>
  </si>
  <si>
    <t>ntnguyen@support.misa.com.vn</t>
  </si>
  <si>
    <t>C26-0130</t>
  </si>
  <si>
    <t>Nguyễn Thị Hà My</t>
  </si>
  <si>
    <t>nhmy@support.misa.com.vn</t>
  </si>
  <si>
    <t>G10-0002</t>
  </si>
  <si>
    <t>Nguyễn Thị Thanh Thảo</t>
  </si>
  <si>
    <t>ntthao4@support.misa.com.vn</t>
  </si>
  <si>
    <t>CĐ Kinh Tế - Kỹ Thuật Cần Thơ</t>
  </si>
  <si>
    <t>D-0475</t>
  </si>
  <si>
    <t>Nguyễn Thị Thúy Anh</t>
  </si>
  <si>
    <t>ntanh@support.misa.com.vn</t>
  </si>
  <si>
    <t>CĐ Công nghệ và Quản trị Sonadezi</t>
  </si>
  <si>
    <t>H-0166</t>
  </si>
  <si>
    <t>ntgiang@support.misa.com.vn</t>
  </si>
  <si>
    <t>D12-0009</t>
  </si>
  <si>
    <t>Phạm Ngọc Việt Phương</t>
  </si>
  <si>
    <t>pvphuong@support.misa.com.vn</t>
  </si>
  <si>
    <t>Kế toán kiểm toán</t>
  </si>
  <si>
    <t>D21-0039</t>
  </si>
  <si>
    <t>Đặng Thị Thùy</t>
  </si>
  <si>
    <t>dtthuy1@support.misa.com.vn</t>
  </si>
  <si>
    <t>G-0079</t>
  </si>
  <si>
    <t>Lê Vy</t>
  </si>
  <si>
    <t>lvy@support.misa.com.vn</t>
  </si>
  <si>
    <t>H11-0058</t>
  </si>
  <si>
    <t>Huỳnh Thị Kim Huyên</t>
  </si>
  <si>
    <t>hkhuyen@support.misa.com.vn</t>
  </si>
  <si>
    <t>ĐH Lao Động Xã Hội – Cơ sở 2 – TP.HCM</t>
  </si>
  <si>
    <t>D11-0013</t>
  </si>
  <si>
    <t>Lê Thị Hoài Thương</t>
  </si>
  <si>
    <t>lhthuong@support.misa.com.vn</t>
  </si>
  <si>
    <t>Đại Học Kinh tế Đà Nẵng</t>
  </si>
  <si>
    <t>H-0163</t>
  </si>
  <si>
    <t>Trương Thị Thùy Dương</t>
  </si>
  <si>
    <t>ttduong@support.misa.com.vn</t>
  </si>
  <si>
    <t>H11-0004</t>
  </si>
  <si>
    <t>nthuong@support.misa.com.vn</t>
  </si>
  <si>
    <t>G-0067</t>
  </si>
  <si>
    <t>Trần Ngọc Trâm</t>
  </si>
  <si>
    <t>tntram@support.misa.com.vn</t>
  </si>
  <si>
    <t>Vật Lý Kỹ Thuật</t>
  </si>
  <si>
    <t>D11-0030</t>
  </si>
  <si>
    <t>Nguyễn Thị Tiết</t>
  </si>
  <si>
    <t>Trưởng phòng Tư vấn&amp;HTKH</t>
  </si>
  <si>
    <t>L02.13</t>
  </si>
  <si>
    <t>BO_CCS_MGR</t>
  </si>
  <si>
    <t>nttiet@support.misa.com.vn</t>
  </si>
  <si>
    <t>Đại học Kinh Tế TP.HCM</t>
  </si>
  <si>
    <t>D-0565</t>
  </si>
  <si>
    <t>Đỗ Thị Thu Trang</t>
  </si>
  <si>
    <t>dttrang2@support.misa.com.vn</t>
  </si>
  <si>
    <t>C21-0055</t>
  </si>
  <si>
    <t>phyen@support.misa.com.vn</t>
  </si>
  <si>
    <t>Kế toán - tiếng anh</t>
  </si>
  <si>
    <t>H11-0112</t>
  </si>
  <si>
    <t>Phạm Ngọc Toàn</t>
  </si>
  <si>
    <t>pntoan@support.misa.com.vn</t>
  </si>
  <si>
    <t>Cao Đẳng Nghề Bách Khoa HN</t>
  </si>
  <si>
    <t>H11-0203</t>
  </si>
  <si>
    <t>Nguyễn Thanh Ngọc</t>
  </si>
  <si>
    <t>ntngoc3@support.misa.com.vn</t>
  </si>
  <si>
    <t>D-0550</t>
  </si>
  <si>
    <t>Trần Thị Anh Thành</t>
  </si>
  <si>
    <t>tathanh@support.misa.com.vn</t>
  </si>
  <si>
    <t>Đại học Tài chính Kế toán</t>
  </si>
  <si>
    <t>C-0756</t>
  </si>
  <si>
    <t>Nguyễn Linh Huyền</t>
  </si>
  <si>
    <t>nlhuyen@support.misa.com.vn</t>
  </si>
  <si>
    <t>D09-0520</t>
  </si>
  <si>
    <t>Phạm Thị Yến</t>
  </si>
  <si>
    <t>ptyen@support.misa.com.vn</t>
  </si>
  <si>
    <t>H-0148</t>
  </si>
  <si>
    <t>Tống Thị Giang</t>
  </si>
  <si>
    <t>ttgiang@support.misa.com.vn</t>
  </si>
  <si>
    <t>H11-0169</t>
  </si>
  <si>
    <t>Đặng Thị Hằng</t>
  </si>
  <si>
    <t>dthang@support.misa.com.vn</t>
  </si>
  <si>
    <t>ĐH Bà Rịa Vũng Tàu</t>
  </si>
  <si>
    <t>D21-0087</t>
  </si>
  <si>
    <t>npthao3@support.misa.com.vn</t>
  </si>
  <si>
    <t>H11-0226</t>
  </si>
  <si>
    <t>Đặng Thị Hồng Phương</t>
  </si>
  <si>
    <t>dhphuong@support.misa.com.vn</t>
  </si>
  <si>
    <t>H11-0210</t>
  </si>
  <si>
    <t>htdung@support.misa.com.vn</t>
  </si>
  <si>
    <t>Cao đẳng thương mại và du lịch Hà Nội</t>
  </si>
  <si>
    <t>C26-0021</t>
  </si>
  <si>
    <t>Trần Thị Hà</t>
  </si>
  <si>
    <t>ttha@support.misa.com.vn</t>
  </si>
  <si>
    <t>C20-0006</t>
  </si>
  <si>
    <t>nthien3@support.misa.com.vn</t>
  </si>
  <si>
    <t>C12-0008</t>
  </si>
  <si>
    <t>Nguyễn Ngọc Lương</t>
  </si>
  <si>
    <t>nnluong@support.misa.com.vn</t>
  </si>
  <si>
    <t>Cao đẳng Quản trị Kinh doanh</t>
  </si>
  <si>
    <t>C-0594</t>
  </si>
  <si>
    <t>Phạm Thị Kim Chung</t>
  </si>
  <si>
    <t>pkchung@support.misa.com.vn</t>
  </si>
  <si>
    <t>H11-0030</t>
  </si>
  <si>
    <t>Nguyễn Bích Ngọc</t>
  </si>
  <si>
    <t>nbngoc@support.misa.com.vn</t>
  </si>
  <si>
    <t>H11-0160</t>
  </si>
  <si>
    <t>tthuyen@support.misa.com.vn</t>
  </si>
  <si>
    <t>Truường Đại Học Đồng Nai</t>
  </si>
  <si>
    <t>H-0159</t>
  </si>
  <si>
    <t>Dương Thị Trang</t>
  </si>
  <si>
    <t>dttrang1@support.misa.com.vn</t>
  </si>
  <si>
    <t>ĐH Công Nghiệp thực phẩm TP.HCM</t>
  </si>
  <si>
    <t>C09-0291</t>
  </si>
  <si>
    <t>nhnhung1@support.misa.com.vn</t>
  </si>
  <si>
    <t>H11-0127</t>
  </si>
  <si>
    <t>Nguyễn Thị Ái Diệu</t>
  </si>
  <si>
    <t>nadieu@support.misa.com.vn</t>
  </si>
  <si>
    <t>Trường Đại học Kinh tế TP. HCM</t>
  </si>
  <si>
    <t>H11-0257</t>
  </si>
  <si>
    <t>nhnhung@support.misa.com.vn</t>
  </si>
  <si>
    <t>Trường Cao đẳng Kinh tế Đối ngoại</t>
  </si>
  <si>
    <t>C12-0003</t>
  </si>
  <si>
    <t>Đào Xuân Thắng</t>
  </si>
  <si>
    <t>Trưởng phòng Tư vấn chủ động</t>
  </si>
  <si>
    <t>L02.11</t>
  </si>
  <si>
    <t>BO_CCS_MGR_ACTIV</t>
  </si>
  <si>
    <t>dxthang@support.misa.com.vn</t>
  </si>
  <si>
    <t>C26-0112</t>
  </si>
  <si>
    <t>Phí Thu Hương</t>
  </si>
  <si>
    <t>pthuong1@support.misa.com.vn</t>
  </si>
  <si>
    <t>C21-0046</t>
  </si>
  <si>
    <t>Nguyễn Thúy Hằng</t>
  </si>
  <si>
    <t>nthang3@support.misa.com.vn</t>
  </si>
  <si>
    <t>H11-0263</t>
  </si>
  <si>
    <t>Lê Cẩm Tú</t>
  </si>
  <si>
    <t>lctu@support.misa.com.vn</t>
  </si>
  <si>
    <t>D-0547</t>
  </si>
  <si>
    <t>ntnhan1@support.misa.com.vn</t>
  </si>
  <si>
    <t>D26-0142</t>
  </si>
  <si>
    <t>Lê Thị Ngọc Quyên</t>
  </si>
  <si>
    <t>lnquyen@support.misa.com.vn</t>
  </si>
  <si>
    <t>H-0145</t>
  </si>
  <si>
    <t>Đỗ Thị Thanh</t>
  </si>
  <si>
    <t>dtthanh@support.misa.com.vn</t>
  </si>
  <si>
    <t>E21-0001</t>
  </si>
  <si>
    <t>Thái Đinh Thị Quỳnh Anh</t>
  </si>
  <si>
    <t>tqanh1@support.misa.com.vn</t>
  </si>
  <si>
    <t>H11-0155</t>
  </si>
  <si>
    <t>Nguyễn Thị Tuyền</t>
  </si>
  <si>
    <t>nttuyen@support.misa.com.vn</t>
  </si>
  <si>
    <t>H-0151</t>
  </si>
  <si>
    <t>Phan Thị Tuyết Hân</t>
  </si>
  <si>
    <t>ptthan@support.misa.com.vn</t>
  </si>
  <si>
    <t>C-0745</t>
  </si>
  <si>
    <t>Phan Thị Hải Yến</t>
  </si>
  <si>
    <t>phyen1@support.misa.com.vn</t>
  </si>
  <si>
    <t>D26-0124</t>
  </si>
  <si>
    <t>Nguyễn Dương Trúc Nhi</t>
  </si>
  <si>
    <t>ntnhi@support.misa.com.vn</t>
  </si>
  <si>
    <t>H11-0162</t>
  </si>
  <si>
    <t>Nguyễn Thị Nga Hằng</t>
  </si>
  <si>
    <t>nnhang@support.misa.com.vn</t>
  </si>
  <si>
    <t>D09-0229</t>
  </si>
  <si>
    <t>Trần Hiền Vương</t>
  </si>
  <si>
    <t>L02.17</t>
  </si>
  <si>
    <t>thvuong@support.misa.com.vn</t>
  </si>
  <si>
    <t>Khoa Kinh Tế Luật- ĐH quốc gia TP. HCM</t>
  </si>
  <si>
    <t>H11-0153</t>
  </si>
  <si>
    <t>tthanh1@support.misa.com.vn</t>
  </si>
  <si>
    <t>Học Viện Tài Chính</t>
  </si>
  <si>
    <t>C11-0011</t>
  </si>
  <si>
    <t>Lê Thị Lan</t>
  </si>
  <si>
    <t>L02.14</t>
  </si>
  <si>
    <t>ltlan@support.misa.com.vn</t>
  </si>
  <si>
    <t>C11-0026</t>
  </si>
  <si>
    <t>ntthuong@support.misa.com.vn</t>
  </si>
  <si>
    <t>D20-0060</t>
  </si>
  <si>
    <t>Phạm Thị Thúy Ngân</t>
  </si>
  <si>
    <t>ptngan@support.misa.com.vn</t>
  </si>
  <si>
    <t>CĐ nghề du lịch Sài Gòn</t>
  </si>
  <si>
    <t>H11-0202</t>
  </si>
  <si>
    <t>Nguyễn Thị Hà Phương</t>
  </si>
  <si>
    <t>nhphuong@support.misa.com.vn</t>
  </si>
  <si>
    <t>ĐH Công Nghệ Giao Thông Vận Tải</t>
  </si>
  <si>
    <t>C12-0026</t>
  </si>
  <si>
    <t>Trần Thị Yến Chi</t>
  </si>
  <si>
    <t>tychi@support.misa.com.vn</t>
  </si>
  <si>
    <t>C10-0137</t>
  </si>
  <si>
    <t>Nguyễn Thị Ngọc Hiền</t>
  </si>
  <si>
    <t>ntnhien@support.misa.com.vn</t>
  </si>
  <si>
    <t>C11-0027</t>
  </si>
  <si>
    <t>Phạm Thị Thu</t>
  </si>
  <si>
    <t>ptthu@support.misa.com.vn</t>
  </si>
  <si>
    <t>H11-0225</t>
  </si>
  <si>
    <t>Ngô Thị Thảo</t>
  </si>
  <si>
    <t>ntthao1@support.misa.com.vn</t>
  </si>
  <si>
    <t>D12-0010</t>
  </si>
  <si>
    <t>Nguyễn Thị Trinh</t>
  </si>
  <si>
    <t>nttrinh@support.misa.com.vn</t>
  </si>
  <si>
    <t>C10-0009</t>
  </si>
  <si>
    <t>Phạm Thị Mai</t>
  </si>
  <si>
    <t>L02.12</t>
  </si>
  <si>
    <t>ptmai@support.misa.com.vn</t>
  </si>
  <si>
    <t>H11-0054</t>
  </si>
  <si>
    <t>Nguyễn Thị Hoàng Khanh</t>
  </si>
  <si>
    <t>nhkhanh@support.misa.com.vn</t>
  </si>
  <si>
    <t>H11-0161</t>
  </si>
  <si>
    <t>vxquynh@support.misa.com.vn</t>
  </si>
  <si>
    <t>C09-0037</t>
  </si>
  <si>
    <t>Nguyễn Thị Minh Lý</t>
  </si>
  <si>
    <t>nmly@support.misa.com.vn</t>
  </si>
  <si>
    <t>H-0135</t>
  </si>
  <si>
    <t>Bùi Thanh Huyền</t>
  </si>
  <si>
    <t>Bthuyen@support.misa.com.vn</t>
  </si>
  <si>
    <t>H11-0116</t>
  </si>
  <si>
    <t>Nguyễn Trọng Đại</t>
  </si>
  <si>
    <t>ntdai@support.misa.com.vn</t>
  </si>
  <si>
    <t>D-0906</t>
  </si>
  <si>
    <t>Nguyễn Ngô Thị Như Quỳnh</t>
  </si>
  <si>
    <t>nnquynh1@hcm.misa.com.vn</t>
  </si>
  <si>
    <t>D20-0089</t>
  </si>
  <si>
    <t>Lê Duy Phán</t>
  </si>
  <si>
    <t>ldphan@hcm.misa.com.vn</t>
  </si>
  <si>
    <t>D10-0152</t>
  </si>
  <si>
    <t>Lê Thị Cẩm Nhung</t>
  </si>
  <si>
    <t>lcnhung@hcm.misa.com.vn</t>
  </si>
  <si>
    <t>D-0851</t>
  </si>
  <si>
    <t>Đoàn Trúc Phương</t>
  </si>
  <si>
    <t>dtphuong2@hcm.misa.com.vn</t>
  </si>
  <si>
    <t>E30-0005</t>
  </si>
  <si>
    <t>nttrang7@hcm.misa.com.vn</t>
  </si>
  <si>
    <t>CĐ CNTT Hữu Nghị Viêt Hàn</t>
  </si>
  <si>
    <t>E10-0022</t>
  </si>
  <si>
    <t>ltdung@dng.misa.com.vn</t>
  </si>
  <si>
    <t>DH Dân Lập Duy Tân</t>
  </si>
  <si>
    <t>E09-0075</t>
  </si>
  <si>
    <t>Trương Thị Nghĩa</t>
  </si>
  <si>
    <t>ttnghia@dng.misa.com.vn</t>
  </si>
  <si>
    <t>D09-0401</t>
  </si>
  <si>
    <t>Bùi Đăng Thưởng</t>
  </si>
  <si>
    <t>bdthuong@hcm.misa.com.vn</t>
  </si>
  <si>
    <t>G09-0087</t>
  </si>
  <si>
    <t>Tô Thiện Mẫn</t>
  </si>
  <si>
    <t>ttman@cth.misa.com.vn</t>
  </si>
  <si>
    <t>G21-0002</t>
  </si>
  <si>
    <t>Nguyễn Thị Cẩm Tiên</t>
  </si>
  <si>
    <t>nctien@cth.misa.com.vn</t>
  </si>
  <si>
    <t>C02-0050</t>
  </si>
  <si>
    <t>Lê Hồng Hạnh</t>
  </si>
  <si>
    <t>lhhanh@han.misa.com.vn</t>
  </si>
  <si>
    <t>Quan hệ công chúng (PR)</t>
  </si>
  <si>
    <t>Đại học Khoa học Xã hội và Nhân văn- Đại học Quốc gia Hà Nội</t>
  </si>
  <si>
    <t>D-0978</t>
  </si>
  <si>
    <t>Võ Ngọc Ái</t>
  </si>
  <si>
    <t>vnai@misa.com.vn</t>
  </si>
  <si>
    <t>J-0011</t>
  </si>
  <si>
    <t>Phùng Văn Trường</t>
  </si>
  <si>
    <t>pvtruong@jetpay.vn</t>
  </si>
  <si>
    <t>D-0660</t>
  </si>
  <si>
    <t>Nguyễn Hải Trung</t>
  </si>
  <si>
    <t>NV Tư vấn bán hàng (AE)</t>
  </si>
  <si>
    <t>Nhóm KD sản phẩm Bankhub</t>
  </si>
  <si>
    <t>L10.03.02</t>
  </si>
  <si>
    <t>JETPAY_AE</t>
  </si>
  <si>
    <t>nhtrung@jetpay.vn</t>
  </si>
  <si>
    <t>ĐH Ngoại Thương – Cơ sở 2 – TP.HCM</t>
  </si>
  <si>
    <t>D-0919</t>
  </si>
  <si>
    <t>Lê Anh Hào</t>
  </si>
  <si>
    <t>lahao@jetpay.vn</t>
  </si>
  <si>
    <t>Cao Đẳng Công Nghệ Thủ Đức</t>
  </si>
  <si>
    <t>B07-0073</t>
  </si>
  <si>
    <t>Nguyễn Thị Thanh Hà</t>
  </si>
  <si>
    <t>JETPAY_PM</t>
  </si>
  <si>
    <t>ntha@software.jetpay.vn</t>
  </si>
  <si>
    <t>Đại học Northumbria Newcastle</t>
  </si>
  <si>
    <t>D10-0207</t>
  </si>
  <si>
    <t>Nguyễn Thị Duyên</t>
  </si>
  <si>
    <t>ntduyen@hcm.misa.com.vn</t>
  </si>
  <si>
    <t>D-1153</t>
  </si>
  <si>
    <t>Phạm Thị Phương Dung</t>
  </si>
  <si>
    <t>ptpdung@hcm.misa.com.vn</t>
  </si>
  <si>
    <t>ĐH Lao động - Xã hội (CSII)</t>
  </si>
  <si>
    <t>C-0757</t>
  </si>
  <si>
    <t>Cao Qúy Hoàng</t>
  </si>
  <si>
    <t>cqhoang@han.misa.com.vn</t>
  </si>
  <si>
    <t>Quản trị kinh doanh marketing</t>
  </si>
  <si>
    <t>C26-0060</t>
  </si>
  <si>
    <t>Vũ Thị Hà Chi</t>
  </si>
  <si>
    <t>vhchi@han.misa.com.vn</t>
  </si>
  <si>
    <t>A03-0006</t>
  </si>
  <si>
    <t>Bùi Ngọc Hà</t>
  </si>
  <si>
    <t>bnha@han.misa.com.vn</t>
  </si>
  <si>
    <t>C09-0088</t>
  </si>
  <si>
    <t>ltha@han.misa.com.vn</t>
  </si>
  <si>
    <t>C02-0038</t>
  </si>
  <si>
    <t>Hà Thị Hồng Trang</t>
  </si>
  <si>
    <t>hhtrang@han.misa.com.vn</t>
  </si>
  <si>
    <t>E01-0001</t>
  </si>
  <si>
    <t>Nguyễn Trần Hiếu</t>
  </si>
  <si>
    <t>Giám đốc Dự án</t>
  </si>
  <si>
    <t>Ban giám đốc TT Kinh doanh Hành chính sự nghiệp</t>
  </si>
  <si>
    <t>L04.03.01</t>
  </si>
  <si>
    <t>GOVT_PRD</t>
  </si>
  <si>
    <t>nthieu1@han.misa.com.vn</t>
  </si>
  <si>
    <t>C02-0034</t>
  </si>
  <si>
    <t>Đặng Quỳnh Anh</t>
  </si>
  <si>
    <t>dqanh1@han.misa.com.vn</t>
  </si>
  <si>
    <t>C10-0032</t>
  </si>
  <si>
    <t>Phương Thị Thùy</t>
  </si>
  <si>
    <t>L04.12</t>
  </si>
  <si>
    <t>ptthuy@han.misa.com.vn</t>
  </si>
  <si>
    <t>Đại học Công Nghệ Thông tin - Đại học quốc gia TP. HCM</t>
  </si>
  <si>
    <t>C10-0221</t>
  </si>
  <si>
    <t>Bùi Đắc Dũng</t>
  </si>
  <si>
    <t>bddung@han.misa.com.vn</t>
  </si>
  <si>
    <t>C20-0097</t>
  </si>
  <si>
    <t>Nguyễn Thị Ngọc Diệu</t>
  </si>
  <si>
    <t>nndieu@han.misa.com.vn</t>
  </si>
  <si>
    <t>C09-0055</t>
  </si>
  <si>
    <t>Lê Thanh Huyền</t>
  </si>
  <si>
    <t>NV Kế toán</t>
  </si>
  <si>
    <t>BO_FIN</t>
  </si>
  <si>
    <t>lthuyen@han.misa.com.vn</t>
  </si>
  <si>
    <t>A05-0002</t>
  </si>
  <si>
    <t>Phí Phượng Vĩ</t>
  </si>
  <si>
    <t>Trưởng phòng kế toán</t>
  </si>
  <si>
    <t>BO_FIN_MGR</t>
  </si>
  <si>
    <t>ppvi@han.misa.com.vn</t>
  </si>
  <si>
    <t>C10-0005</t>
  </si>
  <si>
    <t>Bùi Thị Thu</t>
  </si>
  <si>
    <t>btthu@han.misa.com.vn</t>
  </si>
  <si>
    <t>C10-0177</t>
  </si>
  <si>
    <t>Phạm Thế Vũ</t>
  </si>
  <si>
    <t>ptvu@han.misa.com.vn</t>
  </si>
  <si>
    <t>C10-0254</t>
  </si>
  <si>
    <t>Hoàng Thành Công</t>
  </si>
  <si>
    <t>htcong@han.misa.com.vn</t>
  </si>
  <si>
    <t>ĐH Kinh doanh và Công nghệ</t>
  </si>
  <si>
    <t>C10-0155</t>
  </si>
  <si>
    <t>Lê Thị Ngoan</t>
  </si>
  <si>
    <t>ltngoan@han.misa.com.vn</t>
  </si>
  <si>
    <t>C21-0014</t>
  </si>
  <si>
    <t>ENT_NS_ONB</t>
  </si>
  <si>
    <t>dnanh1@han.misa.com.vn</t>
  </si>
  <si>
    <t>Tài chính bảo hiểm</t>
  </si>
  <si>
    <t>C10-0041</t>
  </si>
  <si>
    <t>Nguyễn Đức Khánh</t>
  </si>
  <si>
    <t>ndkhanh@han.misa.com.vn</t>
  </si>
  <si>
    <t>C20-0073</t>
  </si>
  <si>
    <t>Đoàn Ngọc Thạch</t>
  </si>
  <si>
    <t>dnthach@han.misa.com.vn</t>
  </si>
  <si>
    <t>CĐ Thực hành FPT Polytechnic Hà Nội</t>
  </si>
  <si>
    <t>C03-0001</t>
  </si>
  <si>
    <t>Ngô Thị Huyền Trang</t>
  </si>
  <si>
    <t>nhtrang@han.misa.com.vn</t>
  </si>
  <si>
    <t>D10-0019</t>
  </si>
  <si>
    <t>Huỳnh Minh Quang</t>
  </si>
  <si>
    <t>L05.03.12</t>
  </si>
  <si>
    <t>hmquang@hcm.misa.com.vn</t>
  </si>
  <si>
    <t>D-1021</t>
  </si>
  <si>
    <t>Trần Thị Thu Hà</t>
  </si>
  <si>
    <t>ttha2@hcm.misa.com.vn</t>
  </si>
  <si>
    <t>C10-0167</t>
  </si>
  <si>
    <t>Vũ Hương Thanh</t>
  </si>
  <si>
    <t>vhthanh@han.misa.com.vn</t>
  </si>
  <si>
    <t>G02-0072</t>
  </si>
  <si>
    <t>Đoàn Phú Vinh</t>
  </si>
  <si>
    <t>dpvinh@cth.misa.com.vn</t>
  </si>
  <si>
    <t>G12-0019</t>
  </si>
  <si>
    <t>Lưu Thị Tùng Dinh</t>
  </si>
  <si>
    <t>ltdinh@cth.misa.com.vn</t>
  </si>
  <si>
    <t>G02-0067</t>
  </si>
  <si>
    <t>nhnhu@cth.misa.com.vn</t>
  </si>
  <si>
    <t>G-0140</t>
  </si>
  <si>
    <t>Đinh Ngọc Nhật Hạ</t>
  </si>
  <si>
    <t>dnnha@cth.misa.com.vn</t>
  </si>
  <si>
    <t>G-0135</t>
  </si>
  <si>
    <t>Huỳnh Như</t>
  </si>
  <si>
    <t>hnhu@cth.misa.com.vn</t>
  </si>
  <si>
    <t>G09-0088</t>
  </si>
  <si>
    <t>Trương Thảo Uyên</t>
  </si>
  <si>
    <t>ttuyen@cth.misa.com.vn</t>
  </si>
  <si>
    <t>G-0087</t>
  </si>
  <si>
    <t>Trần Thị Kim Hương</t>
  </si>
  <si>
    <t>tkhuong@cth.misa.com.vn</t>
  </si>
  <si>
    <t>D10-0089</t>
  </si>
  <si>
    <t>Nguyễn Phú Hào</t>
  </si>
  <si>
    <t>L05.03.12.02</t>
  </si>
  <si>
    <t>nphao@hcm.misa.com.vn</t>
  </si>
  <si>
    <t>D-0658</t>
  </si>
  <si>
    <t>Nguyễn Thị Như Huệ</t>
  </si>
  <si>
    <t>nhhue@hcm.misa.com.vn</t>
  </si>
  <si>
    <t>D-0594</t>
  </si>
  <si>
    <t>Nguyễn Thị Tỉnh</t>
  </si>
  <si>
    <t>nttinh@hcm.misa.com.vn</t>
  </si>
  <si>
    <t>D-0719</t>
  </si>
  <si>
    <t>Nguyễn Định An</t>
  </si>
  <si>
    <t>ndan1@hcm.misa.com.vn</t>
  </si>
  <si>
    <t>D-1115</t>
  </si>
  <si>
    <t>Nguyễn Hoàng Ngân Bình</t>
  </si>
  <si>
    <t>nnbinh@hcm.misa.com.vn</t>
  </si>
  <si>
    <t>D-0914</t>
  </si>
  <si>
    <t>Phan Thị Nhã Phương</t>
  </si>
  <si>
    <t>pnphuong@hcm.misa.com.vn</t>
  </si>
  <si>
    <t>D-1054</t>
  </si>
  <si>
    <t>Lữ Anh Thư</t>
  </si>
  <si>
    <t>lathu@hcm.misa.com.vn</t>
  </si>
  <si>
    <t>D-1120</t>
  </si>
  <si>
    <t>Thân Thị Ngọc Ánh</t>
  </si>
  <si>
    <t>MB_ONB_OPS</t>
  </si>
  <si>
    <t>tnanh@hcm.misa.com.vn</t>
  </si>
  <si>
    <t>Quản trị kinh doanh vận tải</t>
  </si>
  <si>
    <t>D20-0201</t>
  </si>
  <si>
    <t>Nguyễn Thị Thanh Đẩu</t>
  </si>
  <si>
    <t>ntdau@hcm.misa.com.vn</t>
  </si>
  <si>
    <t>D02-0080</t>
  </si>
  <si>
    <t>Nguyễn Huỳnh Diệu Quyên</t>
  </si>
  <si>
    <t>ndquyen@hcm.misa.com.vn</t>
  </si>
  <si>
    <t>D-1040</t>
  </si>
  <si>
    <t>Lê Thị Mỹ Hạnh</t>
  </si>
  <si>
    <t>lmhanh@hcm.misa.com.vn</t>
  </si>
  <si>
    <t>D-0835</t>
  </si>
  <si>
    <t>Đường Thị Hằng</t>
  </si>
  <si>
    <t>dthang2@hcm.misa.com.vn</t>
  </si>
  <si>
    <t>D-1045</t>
  </si>
  <si>
    <t>Lê An Thùy</t>
  </si>
  <si>
    <t>lathuy@hcm.misa.com.vn</t>
  </si>
  <si>
    <t>D-0862</t>
  </si>
  <si>
    <t>Đặng Thị Kim Thảo</t>
  </si>
  <si>
    <t>dkthao@hcm.misa.com.vn</t>
  </si>
  <si>
    <t>D-1005</t>
  </si>
  <si>
    <t>Hồ Thị Thanh Vân</t>
  </si>
  <si>
    <t>htvan@hcm.misa.com.vn</t>
  </si>
  <si>
    <t>D09-0504</t>
  </si>
  <si>
    <t>Nguyễn Thị Thanh Thúy</t>
  </si>
  <si>
    <t>ntthuy4@hcm.misa.com.vn</t>
  </si>
  <si>
    <t>D-1031</t>
  </si>
  <si>
    <t>Bùi Thành Nam</t>
  </si>
  <si>
    <t>btnam1@hcm.misa.com.vn</t>
  </si>
  <si>
    <t>D-0969</t>
  </si>
  <si>
    <t>Bùi Thị Hoàng Yến</t>
  </si>
  <si>
    <t>bhyen@hcm.misa.com.vn</t>
  </si>
  <si>
    <t>ĐH Mở</t>
  </si>
  <si>
    <t>D20-0174</t>
  </si>
  <si>
    <t>Lê Thị Ngọc Trang</t>
  </si>
  <si>
    <t>lntrang@hcm.misa.com.vn</t>
  </si>
  <si>
    <t>Toán ứng dụng</t>
  </si>
  <si>
    <t>D10-0118</t>
  </si>
  <si>
    <t>Lê Trà Tân</t>
  </si>
  <si>
    <t>Nhân viên lễ tân</t>
  </si>
  <si>
    <t>BO_AD_REC</t>
  </si>
  <si>
    <t>lttan@hcm.misa.com.vn</t>
  </si>
  <si>
    <t>D-0957</t>
  </si>
  <si>
    <t>Hồ Thị Hồng Hương</t>
  </si>
  <si>
    <t>hhhuong@hcm.misa.com.vn</t>
  </si>
  <si>
    <t>D-0842</t>
  </si>
  <si>
    <t>Đỗ Thị Kim Thoa</t>
  </si>
  <si>
    <t>dkthoa@hcm.misa.com.vn</t>
  </si>
  <si>
    <t>K-0011</t>
  </si>
  <si>
    <t>Trần Thị Thu An</t>
  </si>
  <si>
    <t>NV Truyền thông và Marketing</t>
  </si>
  <si>
    <t>Nhóm kỹ thuật và hỗ trợ</t>
  </si>
  <si>
    <t>L09.05</t>
  </si>
  <si>
    <t>BO_MIBI_CAM</t>
  </si>
  <si>
    <t>ttan@misa.com.vn</t>
  </si>
  <si>
    <t>D10-0025</t>
  </si>
  <si>
    <t>Nguyễn Thị Kim Yến</t>
  </si>
  <si>
    <t>nkyen@hcm.misa.com.vn</t>
  </si>
  <si>
    <t>F09-0096</t>
  </si>
  <si>
    <t>nhtram@bmt.misa.com.vn</t>
  </si>
  <si>
    <t>F30-0008</t>
  </si>
  <si>
    <t>Nguyễn Thị Nguyệt Minh</t>
  </si>
  <si>
    <t>nnminh@bmt.misa.com.vn</t>
  </si>
  <si>
    <t>ĐH Kỹ Thuật Công Nghệ TP.HCM</t>
  </si>
  <si>
    <t>F20-0036</t>
  </si>
  <si>
    <t>Nhữ Thế Long</t>
  </si>
  <si>
    <t>Nhóm chuyển giao GP bán lẻ</t>
  </si>
  <si>
    <t>L07.19.04</t>
  </si>
  <si>
    <t>ntlong@bmt.misa.com.vn</t>
  </si>
  <si>
    <t>D-1020</t>
  </si>
  <si>
    <t>Nguyễn Thị Kiều Oanh</t>
  </si>
  <si>
    <t>nkoanh1@hcm.misa.com.vn</t>
  </si>
  <si>
    <t>F09-0087</t>
  </si>
  <si>
    <t>Đỗ Thị Quỳnh Tiên</t>
  </si>
  <si>
    <t>dqtien@bmt.misa.com.vn</t>
  </si>
  <si>
    <t>ĐH Tây Nguyên</t>
  </si>
  <si>
    <t>F-0106</t>
  </si>
  <si>
    <t>Võ Thị Kim Duyên</t>
  </si>
  <si>
    <t>vkduyen@bmt.misa.com.vn</t>
  </si>
  <si>
    <t>E-0157</t>
  </si>
  <si>
    <t>Công Tằng Tôn Nữ Quỳnh Vân</t>
  </si>
  <si>
    <t>cqvan@dng.misa.com.vn</t>
  </si>
  <si>
    <t>ĐẠI HỌC KINH TẾ ĐÀ NẴNG</t>
  </si>
  <si>
    <t>E-0153</t>
  </si>
  <si>
    <t>Hoàng Thị Vân</t>
  </si>
  <si>
    <t>htvan1@dng.misa.com.vn</t>
  </si>
  <si>
    <t>E-0140</t>
  </si>
  <si>
    <t>L06.19.04</t>
  </si>
  <si>
    <t>ntthao@dng.misa.com.vn</t>
  </si>
  <si>
    <t>Trường Đại học Kinh tế Đại học Đà Nẵng</t>
  </si>
  <si>
    <t>E-0139</t>
  </si>
  <si>
    <t>Bùi Thị Mỹ Linh</t>
  </si>
  <si>
    <t>bmlinh@dng.misa.com.vn</t>
  </si>
  <si>
    <t>E-0126</t>
  </si>
  <si>
    <t>Nguyễn Thị Minh Tiền</t>
  </si>
  <si>
    <t>nmtien@dng.misa.com.vn</t>
  </si>
  <si>
    <t>Trường Đại học Công Nghiệp Thực Phẩm TP. HCM</t>
  </si>
  <si>
    <t>E-0123</t>
  </si>
  <si>
    <t>Dương Huỳnh Bích Huệ</t>
  </si>
  <si>
    <t>dbhue@dng.misa.com.vn</t>
  </si>
  <si>
    <t>Tài chính - Kế toán</t>
  </si>
  <si>
    <t>Cao đẳng Lương Thực Thực Phẩm</t>
  </si>
  <si>
    <t>C-0834</t>
  </si>
  <si>
    <t>Nhóm chuyển giao HDDT</t>
  </si>
  <si>
    <t>L03.34.06.03</t>
  </si>
  <si>
    <t>KD_ONL_TK_HDDT_ONB</t>
  </si>
  <si>
    <t>ndlinh1@misa.com.vn</t>
  </si>
  <si>
    <t>E-0086</t>
  </si>
  <si>
    <t>nhhanh@dng.misa.com.vn</t>
  </si>
  <si>
    <t>E09-0079</t>
  </si>
  <si>
    <t>Phan Thị Ty</t>
  </si>
  <si>
    <t>ptty@dng.misa.com.vn</t>
  </si>
  <si>
    <t>E-0107</t>
  </si>
  <si>
    <t>Trần Thị Thu Thủy</t>
  </si>
  <si>
    <t>ttthuy@dng.misa.com.vn</t>
  </si>
  <si>
    <t>Cao Đẳng Thương Mại</t>
  </si>
  <si>
    <t>C09-0580</t>
  </si>
  <si>
    <t>Lê Thu Hà</t>
  </si>
  <si>
    <t>ltha@misa.com.vn</t>
  </si>
  <si>
    <t>E-0114</t>
  </si>
  <si>
    <t>Lê Thị Hồng Vân</t>
  </si>
  <si>
    <t>lhvan@dng.misa.com.vn</t>
  </si>
  <si>
    <t>E30-0003</t>
  </si>
  <si>
    <t>ltha@dng.misa.com.vn</t>
  </si>
  <si>
    <t>E26-0007</t>
  </si>
  <si>
    <t>Nguyễn Xuân Phương Hằng</t>
  </si>
  <si>
    <t>Nphang@dng.misa.com.vn</t>
  </si>
  <si>
    <t>E20-0001</t>
  </si>
  <si>
    <t>Nguyễn Trọng Lộc</t>
  </si>
  <si>
    <t>ntloc@dng.misa.com.vn</t>
  </si>
  <si>
    <t>CĐ nghề công nghiệp Thanh Hoá</t>
  </si>
  <si>
    <t>C09-0607</t>
  </si>
  <si>
    <t>Lê Thị Hương</t>
  </si>
  <si>
    <t>lthuong1@misa.com.vn</t>
  </si>
  <si>
    <t>E20-0010</t>
  </si>
  <si>
    <t>Phạm Diệu Thùy</t>
  </si>
  <si>
    <t>Q. Quản lý kinh doanh (Bán thêm)</t>
  </si>
  <si>
    <t>L06.18</t>
  </si>
  <si>
    <t>SB_CS_A.SM</t>
  </si>
  <si>
    <t>pdthuy@dng.misa.com.vn</t>
  </si>
  <si>
    <t>Đại học Kinh tế - Đại học Đà Nẵng</t>
  </si>
  <si>
    <t>C09-0614</t>
  </si>
  <si>
    <t>nqtrang@misa.com.vn</t>
  </si>
  <si>
    <t>E-0101</t>
  </si>
  <si>
    <t>Lê Thị Đông Anh</t>
  </si>
  <si>
    <t>ldanh@dng.misa.com.vn</t>
  </si>
  <si>
    <t>E26-0016</t>
  </si>
  <si>
    <t>Phạm Thị Hưng Thịnh</t>
  </si>
  <si>
    <t>phthinh@dng.misa.com.vn</t>
  </si>
  <si>
    <t>E09-0022</t>
  </si>
  <si>
    <t>Huỳnh Thị Thúy</t>
  </si>
  <si>
    <t>htthuy@dng.misa.com.vn</t>
  </si>
  <si>
    <t>C09-0611</t>
  </si>
  <si>
    <t>Trần Thị Thanh Huyền</t>
  </si>
  <si>
    <t>KD_ONL_TK_ONB_TN</t>
  </si>
  <si>
    <t>tthuyen1@misa.com.vn</t>
  </si>
  <si>
    <t>E26-0012</t>
  </si>
  <si>
    <t>Hoàng Thùy Trang</t>
  </si>
  <si>
    <t>httrang1@dng.misa.com.vn</t>
  </si>
  <si>
    <t>Cao đẳng kinh tế kế hoạch Đà Nẵng</t>
  </si>
  <si>
    <t>E26-0011</t>
  </si>
  <si>
    <t>Tạ Thị Huyền Linh</t>
  </si>
  <si>
    <t>thlinh@dng.misa.com.vn</t>
  </si>
  <si>
    <t>Đại Học Kinh Tế Đà Nẵng</t>
  </si>
  <si>
    <t>E-0074</t>
  </si>
  <si>
    <t>Phạm Thị Thanh Thúy</t>
  </si>
  <si>
    <t>ptthuy@dng.misa.com.vn</t>
  </si>
  <si>
    <t>Cao đẳng Kinh tế Kế hoạch Đà Nẵng</t>
  </si>
  <si>
    <t>E09-0070</t>
  </si>
  <si>
    <t>Trần Thị Thu Phương</t>
  </si>
  <si>
    <t>Nhóm KD bán thêm chuyển đổi KTDN</t>
  </si>
  <si>
    <t>L06.18.05</t>
  </si>
  <si>
    <t>ttphuong1@dng.misa.com.vn</t>
  </si>
  <si>
    <t>E09-0084</t>
  </si>
  <si>
    <t>Huỳnh Thị Tiên</t>
  </si>
  <si>
    <t>httien@dng.misa.com.vn</t>
  </si>
  <si>
    <t>D-0488</t>
  </si>
  <si>
    <t>Trương Thị Ái Ny</t>
  </si>
  <si>
    <t>tany@dng.misa.com.vn</t>
  </si>
  <si>
    <t>E09-0034</t>
  </si>
  <si>
    <t>ntbinh@dng.misa.com.vn</t>
  </si>
  <si>
    <t>E09-0036</t>
  </si>
  <si>
    <t>Nguyễn Triệu Linh</t>
  </si>
  <si>
    <t>L06.17</t>
  </si>
  <si>
    <t>ntlinh@dng.misa.com.vn</t>
  </si>
  <si>
    <t>E-0071</t>
  </si>
  <si>
    <t>Hoàng Thị Yến Vy</t>
  </si>
  <si>
    <t>hyvy@dng.misa.com.vn</t>
  </si>
  <si>
    <t>E09-0069</t>
  </si>
  <si>
    <t>Trần Thị Sen</t>
  </si>
  <si>
    <t>ttsen@dng.misa.com.vn</t>
  </si>
  <si>
    <t>ĐẠI HỌC KIẾN TRÚC ĐÀ NẴNG</t>
  </si>
  <si>
    <t>D-0967</t>
  </si>
  <si>
    <t>Hình Quốc Thông</t>
  </si>
  <si>
    <t>hqthong@hcm.misa.com.vn</t>
  </si>
  <si>
    <t>D-0965</t>
  </si>
  <si>
    <t>Trần Vĩnh Trọng</t>
  </si>
  <si>
    <t>tvtrong@hcm.misa.com.vn</t>
  </si>
  <si>
    <t>D-0943</t>
  </si>
  <si>
    <t>Dương Thị Vân Anh</t>
  </si>
  <si>
    <t>dvanh1@hcm.misa.com.vn</t>
  </si>
  <si>
    <t>D-0931</t>
  </si>
  <si>
    <t>Nguyễn Huỳnh Kim Ngân</t>
  </si>
  <si>
    <t>nkngan2@hcm.misa.com.vn</t>
  </si>
  <si>
    <t>D-0881</t>
  </si>
  <si>
    <t>Hà Cao Minh</t>
  </si>
  <si>
    <t>hcminh@hcm.misa.com.vn</t>
  </si>
  <si>
    <t>D-0858</t>
  </si>
  <si>
    <t>Nguyễn Bá Hòa</t>
  </si>
  <si>
    <t>nbhoa@hcm.misa.com.vn</t>
  </si>
  <si>
    <t>D-0838</t>
  </si>
  <si>
    <t>Dương Ngọc Thúy</t>
  </si>
  <si>
    <t>dnthuy@hcm.misa.com.vn</t>
  </si>
  <si>
    <t>D-0765</t>
  </si>
  <si>
    <t>Nguyễn Trương Quỳnh Như Ý</t>
  </si>
  <si>
    <t>ntqny@hcm.misa.com.vn</t>
  </si>
  <si>
    <t>D-0742</t>
  </si>
  <si>
    <t>Nguyễn Bảo Linh</t>
  </si>
  <si>
    <t>nblinh@hcm.misa.com.vn</t>
  </si>
  <si>
    <t>D10-0172</t>
  </si>
  <si>
    <t>Bạch Hoài Nam</t>
  </si>
  <si>
    <t>bhnam@hcm.misa.com.vn</t>
  </si>
  <si>
    <t>D-0556</t>
  </si>
  <si>
    <t>La Ngọc Phương Trinh</t>
  </si>
  <si>
    <t>lptrinh@hcm.misa.com.vn</t>
  </si>
  <si>
    <t>D09-0456</t>
  </si>
  <si>
    <t>Nguyễn Trọng Nhân</t>
  </si>
  <si>
    <t>ntnhan1@hcm.misa.com.vn</t>
  </si>
  <si>
    <t>D26-0029</t>
  </si>
  <si>
    <t>Nguyễn Vũ Kim Thành</t>
  </si>
  <si>
    <t>nkthanh@hcm.misa.com.vn</t>
  </si>
  <si>
    <t>D20-0176</t>
  </si>
  <si>
    <t>Thân Quốc Dũng</t>
  </si>
  <si>
    <t>tqdung@hcm.misa.com.vn</t>
  </si>
  <si>
    <t>ĐH Kinh tế Nghệ An</t>
  </si>
  <si>
    <t>D10-0018</t>
  </si>
  <si>
    <t>Phạm Văn Phương</t>
  </si>
  <si>
    <t>Ban Giám đốc Trung tâm HCSN</t>
  </si>
  <si>
    <t>L05.03.01</t>
  </si>
  <si>
    <t>pvphuong@hcm.misa.com.vn</t>
  </si>
  <si>
    <t>Level</t>
  </si>
  <si>
    <t>D09-0299</t>
  </si>
  <si>
    <t>nttrang@hcm.misa.com.vn</t>
  </si>
  <si>
    <t>D21-0101</t>
  </si>
  <si>
    <t>Huỳnh Duy Thanh</t>
  </si>
  <si>
    <t>hdthanh@hcm.misa.com.vn</t>
  </si>
  <si>
    <t>C26-0003</t>
  </si>
  <si>
    <t>Cao Minh Chính</t>
  </si>
  <si>
    <t>cmchinh@han.misa.com.vn</t>
  </si>
  <si>
    <t>Cao đẳng cơ khí luyện kim Thái Nguyên</t>
  </si>
  <si>
    <t>D-0532</t>
  </si>
  <si>
    <t>ntnga@hcm.misa.com.vn</t>
  </si>
  <si>
    <t>D10-0078</t>
  </si>
  <si>
    <t>Đỗ Hồng Sơn</t>
  </si>
  <si>
    <t>dhson@hcm.misa.com.vn</t>
  </si>
  <si>
    <t>ĐH Cửu Long</t>
  </si>
  <si>
    <t>D10-0017</t>
  </si>
  <si>
    <t>Nguyễn Thanh Liêm</t>
  </si>
  <si>
    <t>ntliem@hcm.misa.com.vn</t>
  </si>
  <si>
    <t>G01-0004</t>
  </si>
  <si>
    <t>Trần Thị Xuân</t>
  </si>
  <si>
    <t>L05.03.15</t>
  </si>
  <si>
    <t>ttxuan@hcm.misa.com.vn</t>
  </si>
  <si>
    <t>D10-0008</t>
  </si>
  <si>
    <t>Hồ Thị Xuân Nương</t>
  </si>
  <si>
    <t>hxnuong@hcm.misa.com.vn</t>
  </si>
  <si>
    <t>D10-0149</t>
  </si>
  <si>
    <t>Hồ Thảo Triều</t>
  </si>
  <si>
    <t>httrieu@hcm.misa.com.vn</t>
  </si>
  <si>
    <t>D10-0075</t>
  </si>
  <si>
    <t>Đặng Thành Lợi</t>
  </si>
  <si>
    <t>dtloi@hcm.misa.com.vn</t>
  </si>
  <si>
    <t>Thương mại</t>
  </si>
  <si>
    <t>D10-0001</t>
  </si>
  <si>
    <t>Nguyễn Trần Tuấn Anh</t>
  </si>
  <si>
    <t>GOVT_SD</t>
  </si>
  <si>
    <t>nttanh@hcm.misa.com.vn</t>
  </si>
  <si>
    <t>D26-0080</t>
  </si>
  <si>
    <t>Nguyễn Thị Phương Loan</t>
  </si>
  <si>
    <t>nploan@hcm.misa.com.vn</t>
  </si>
  <si>
    <t>D10-0032</t>
  </si>
  <si>
    <t>Nguyễn Hải Thành</t>
  </si>
  <si>
    <t>L05.03.14</t>
  </si>
  <si>
    <t>nhthanh@hcm.misa.com.vn</t>
  </si>
  <si>
    <t>D10-0133</t>
  </si>
  <si>
    <t>Khưu Tấn Phát</t>
  </si>
  <si>
    <t>ktphat@hcm.misa.com.vn</t>
  </si>
  <si>
    <t>D-0506</t>
  </si>
  <si>
    <t>Dương Trường Thành</t>
  </si>
  <si>
    <t>dtthanh@hcm.misa.com.vn</t>
  </si>
  <si>
    <t>D10-0010</t>
  </si>
  <si>
    <t>Nguyễn Văn Toan</t>
  </si>
  <si>
    <t>Phó phòng Triển khai và CSKH</t>
  </si>
  <si>
    <t>GOVT_DONB&amp;CSMM</t>
  </si>
  <si>
    <t>nvtoan@hcm.misa.com.vn</t>
  </si>
  <si>
    <t>D10-0194</t>
  </si>
  <si>
    <t>pthuyen@hcm.misa.com.vn</t>
  </si>
  <si>
    <t>D-1144</t>
  </si>
  <si>
    <t>ndthien2@hcm.misa.com.vn</t>
  </si>
  <si>
    <t>D-1141</t>
  </si>
  <si>
    <t>Đinh Thị Tuyết Loan</t>
  </si>
  <si>
    <t>dttloan@hcm.misa.com.vn</t>
  </si>
  <si>
    <t>D-1135</t>
  </si>
  <si>
    <t>Trương Thái Nhựt Trường</t>
  </si>
  <si>
    <t>tntruong@hcm.misa.com.vn</t>
  </si>
  <si>
    <t>ĐH An Giang</t>
  </si>
  <si>
    <t>D-1134</t>
  </si>
  <si>
    <t>Nguyễn Đặng Tấn Thành</t>
  </si>
  <si>
    <t>ntthanh3@hcm.misa.com.vn</t>
  </si>
  <si>
    <t>D-1122</t>
  </si>
  <si>
    <t>Phạm Thị Hồng Mỵ</t>
  </si>
  <si>
    <t>phmy@hcm.misa.com.vn</t>
  </si>
  <si>
    <t>D-1121</t>
  </si>
  <si>
    <t>Võ Thị Yến Nhi</t>
  </si>
  <si>
    <t>vynhi1@hcm.misa.com.vn</t>
  </si>
  <si>
    <t>D-1119</t>
  </si>
  <si>
    <t>Huỳnh Thị Mai Thy</t>
  </si>
  <si>
    <t>hmthy@hcm.misa.com.vn</t>
  </si>
  <si>
    <t>D-1109</t>
  </si>
  <si>
    <t>Trần Thị Ánh Nhi</t>
  </si>
  <si>
    <t>tanhi@hcm.misa.com.vn</t>
  </si>
  <si>
    <t>ĐH Sư Phạm Kỹ Thuật TP.HCM</t>
  </si>
  <si>
    <t>D-1108</t>
  </si>
  <si>
    <t>Võ Trúc Ly</t>
  </si>
  <si>
    <t>vtly@hcm.misa.com.vn</t>
  </si>
  <si>
    <t>D-1102</t>
  </si>
  <si>
    <t>Nguyễn Phạm Mỹ Duyên</t>
  </si>
  <si>
    <t>nmduyen3@hcm.misa.com.vn</t>
  </si>
  <si>
    <t>D-1097</t>
  </si>
  <si>
    <t>Võ Hoàng Thanh</t>
  </si>
  <si>
    <t>vhthanh@hcm.misa.com.vn</t>
  </si>
  <si>
    <t>D-1092</t>
  </si>
  <si>
    <t>Nguyễn Thị Kim Ngân</t>
  </si>
  <si>
    <t>nkngan3@hcm.misa.com.vn</t>
  </si>
  <si>
    <t>D-1090</t>
  </si>
  <si>
    <t>Trần Thị Kim Anh</t>
  </si>
  <si>
    <t>tkanh@hcm.misa.com.vn</t>
  </si>
  <si>
    <t>D-1088</t>
  </si>
  <si>
    <t>Văn Đức Hữu</t>
  </si>
  <si>
    <t>vdhuu@hcm.misa.com.vn</t>
  </si>
  <si>
    <t>D-1084</t>
  </si>
  <si>
    <t>nhnhu4@hcm.misa.com.vn</t>
  </si>
  <si>
    <t>D-1083</t>
  </si>
  <si>
    <t>Nguyễn Thị Kim Quyên</t>
  </si>
  <si>
    <t>nkquyen1@hcm.misa.com.vn</t>
  </si>
  <si>
    <t>D-1059</t>
  </si>
  <si>
    <t>Nguyễn Trọng Phúc</t>
  </si>
  <si>
    <t>ntphuc1@hcm.misa.com.vn</t>
  </si>
  <si>
    <t>D-1053</t>
  </si>
  <si>
    <t>nhnhu3@hcm.misa.com.vn</t>
  </si>
  <si>
    <t>D-1047</t>
  </si>
  <si>
    <t>Trần Nguyễn Anh Thư</t>
  </si>
  <si>
    <t>tathu1@hcm.misa.com.vn</t>
  </si>
  <si>
    <t>D-1033</t>
  </si>
  <si>
    <t>Hà Phạm Hải Âu</t>
  </si>
  <si>
    <t>hhau@hcm.misa.com.vn</t>
  </si>
  <si>
    <t>D-1030</t>
  </si>
  <si>
    <t>Đỗ Thị Cẩm Thúy</t>
  </si>
  <si>
    <t>dcthuy@hcm.misa.com.vn</t>
  </si>
  <si>
    <t>D-1027</t>
  </si>
  <si>
    <t>ltthuy4@hcm.misa.com.vn</t>
  </si>
  <si>
    <t>D-1024</t>
  </si>
  <si>
    <t>Phan Thị Huyền</t>
  </si>
  <si>
    <t>pthuyen1@hcm.misa.com.vn</t>
  </si>
  <si>
    <t>D-1012</t>
  </si>
  <si>
    <t>Trần Như Ánh Nguyệt</t>
  </si>
  <si>
    <t>tanguyet@hcm.misa.com.vn</t>
  </si>
  <si>
    <t>Quản trị doanh nghiệp vừa và nhỏ</t>
  </si>
  <si>
    <t>CĐ Sài gòn</t>
  </si>
  <si>
    <t>D-1007</t>
  </si>
  <si>
    <t>Lương Thị Thúy Ngân</t>
  </si>
  <si>
    <t>ltngan@hcm.misa.com.vn</t>
  </si>
  <si>
    <t>Quản trị nhà hàng &amp; dịch vụ ăn uống</t>
  </si>
  <si>
    <t>D-1004</t>
  </si>
  <si>
    <t>nnhan@hcm.misa.com.vn</t>
  </si>
  <si>
    <t>D-1003</t>
  </si>
  <si>
    <t>Tôn Đức Phú</t>
  </si>
  <si>
    <t>tdphu@hcm.misa.com.vn</t>
  </si>
  <si>
    <t>D-0997</t>
  </si>
  <si>
    <t>Trần Hữu Quyết</t>
  </si>
  <si>
    <t>thquyet@hcm.misa.com.vn</t>
  </si>
  <si>
    <t>D-0994</t>
  </si>
  <si>
    <t>Nguyễn Hoàng Kim</t>
  </si>
  <si>
    <t>nhkim@hcm.misa.com.vn</t>
  </si>
  <si>
    <t>D-0992</t>
  </si>
  <si>
    <t>Võ Thị Bích Trâm</t>
  </si>
  <si>
    <t>vbtram1@hcm.misa.com.vn</t>
  </si>
  <si>
    <t>ĐH Phan Thiết</t>
  </si>
  <si>
    <t>D-0958</t>
  </si>
  <si>
    <t>Nguyễn Thị Việt Trinh</t>
  </si>
  <si>
    <t>nvtrinh1@hcm.misa.com.vn</t>
  </si>
  <si>
    <t>D-0955</t>
  </si>
  <si>
    <t>Trương Thị Hà</t>
  </si>
  <si>
    <t>ttha1@hcm.misa.com.vn</t>
  </si>
  <si>
    <t>D-0941</t>
  </si>
  <si>
    <t>Lê Ngọc Trang</t>
  </si>
  <si>
    <t>lntrang1@hcm.misa.com.vn</t>
  </si>
  <si>
    <t>Quản trị kinh doanh tổng hợp</t>
  </si>
  <si>
    <t>D-0900</t>
  </si>
  <si>
    <t>Mai Thị Cẩm Viên</t>
  </si>
  <si>
    <t>mcvien@hcm.misa.com.vn</t>
  </si>
  <si>
    <t>D-0876</t>
  </si>
  <si>
    <t>ntnhung1@hcm.misa.com.vn</t>
  </si>
  <si>
    <t>D-0866</t>
  </si>
  <si>
    <t>Nguyễn Thị Huyền Trân</t>
  </si>
  <si>
    <t>nhtran2@hcm.misa.com.vn</t>
  </si>
  <si>
    <t>ĐH Giao Thông Vận Tải - Cơ Sở 2</t>
  </si>
  <si>
    <t>D-0799</t>
  </si>
  <si>
    <t>Nguyễn Hoàng Thúy Vi</t>
  </si>
  <si>
    <t>ntvi4@hcm.misa.com.vn</t>
  </si>
  <si>
    <t>ĐH Công nghiệp TP.HCM</t>
  </si>
  <si>
    <t>D-0795</t>
  </si>
  <si>
    <t>Phan Nguyễn Quỳnh Hoa</t>
  </si>
  <si>
    <t>pqhoa@hcm.misa.com.vn</t>
  </si>
  <si>
    <t>D-0750</t>
  </si>
  <si>
    <t>Trần Phương Lan Vy</t>
  </si>
  <si>
    <t>tplvy@hcm.misa.com.vn</t>
  </si>
  <si>
    <t>D-0746</t>
  </si>
  <si>
    <t>Vũ Thanh Vân</t>
  </si>
  <si>
    <t>vtvan@hcm.misa.com.vn</t>
  </si>
  <si>
    <t>D-0737</t>
  </si>
  <si>
    <t>Nguyễn Ngọc Linh</t>
  </si>
  <si>
    <t>nnlinh1@hcm.misa.com.vn</t>
  </si>
  <si>
    <t>D-0738</t>
  </si>
  <si>
    <t>Nguyễn Thị Bích Phương</t>
  </si>
  <si>
    <t>nbphuong@hcm.misa.com.vn</t>
  </si>
  <si>
    <t>D-0736</t>
  </si>
  <si>
    <t>Bùi Cẩm Tú</t>
  </si>
  <si>
    <t>bctu@hcm.misa.com.vn</t>
  </si>
  <si>
    <t>D-0593</t>
  </si>
  <si>
    <t>Phạm Nguyễn Trà My</t>
  </si>
  <si>
    <t>L05.30.10.05</t>
  </si>
  <si>
    <t>ptmy@hcm.misa.com.vn</t>
  </si>
  <si>
    <t>D09-0117</t>
  </si>
  <si>
    <t>Trương Thị Mỹ Hạnh</t>
  </si>
  <si>
    <t>tmhanh@hcm.misa.com.vn</t>
  </si>
  <si>
    <t>D09-0516</t>
  </si>
  <si>
    <t>Bùi Văn Công</t>
  </si>
  <si>
    <t>bvcong@hcm.misa.com.vn</t>
  </si>
  <si>
    <t>D21-0012</t>
  </si>
  <si>
    <t>Nguyễn Ngọc Xuân Dung</t>
  </si>
  <si>
    <t>L05.30.10.02</t>
  </si>
  <si>
    <t>nnxdung@hcm.misa.com.vn</t>
  </si>
  <si>
    <t>D-0534</t>
  </si>
  <si>
    <t>Nguyễn Thị Thúy</t>
  </si>
  <si>
    <t>ntthuy6@hcm.misa.com.vn</t>
  </si>
  <si>
    <t>D09-0591</t>
  </si>
  <si>
    <t>Francois Thanh Thảo</t>
  </si>
  <si>
    <t>ftthao@hcm.misa.com.vn</t>
  </si>
  <si>
    <t>D-0640</t>
  </si>
  <si>
    <t>Võ Thị Mỹ Thương</t>
  </si>
  <si>
    <t>vmthuong@hcm.misa.com.vn</t>
  </si>
  <si>
    <t>D-0598</t>
  </si>
  <si>
    <t>Dương Công Quý</t>
  </si>
  <si>
    <t>dcquy@hcm.misa.com.vn</t>
  </si>
  <si>
    <t>D20-0232</t>
  </si>
  <si>
    <t>Vương Quốc Anh</t>
  </si>
  <si>
    <t>vqanh1@hcm.misa.com.vn</t>
  </si>
  <si>
    <t>D25-0006</t>
  </si>
  <si>
    <t>ntha1@hcm.misa.com.vn</t>
  </si>
  <si>
    <t>D-0627</t>
  </si>
  <si>
    <t>nnthi1@hcm.misa.com.vn</t>
  </si>
  <si>
    <t>D-0670</t>
  </si>
  <si>
    <t>Mai Ngọc Bảo Hân</t>
  </si>
  <si>
    <t>mbhan@hcm.misa.com.vn</t>
  </si>
  <si>
    <t>D20-0239</t>
  </si>
  <si>
    <t>Nguyễn Phương Trúc Linh</t>
  </si>
  <si>
    <t>ntlinh7@hcm.misa.com.vn</t>
  </si>
  <si>
    <t>D21-0056</t>
  </si>
  <si>
    <t>Trần Hoài Bảo Lộc</t>
  </si>
  <si>
    <t>L05.30.11</t>
  </si>
  <si>
    <t>tbloc@hcm.misa.com.vn</t>
  </si>
  <si>
    <t>D20-0236</t>
  </si>
  <si>
    <t>Nguyễn Thái Phương</t>
  </si>
  <si>
    <t>ntphuong4@hcm.misa.com.vn</t>
  </si>
  <si>
    <t>CĐ Nghề Đà Nẵng</t>
  </si>
  <si>
    <t>D09-0503</t>
  </si>
  <si>
    <t>ntthuy3@hcm.misa.com.vn</t>
  </si>
  <si>
    <t>D09-0495</t>
  </si>
  <si>
    <t>Nguyễn Trương Phụng Nhân</t>
  </si>
  <si>
    <t>npnhan@hcm.misa.com.vn</t>
  </si>
  <si>
    <t>D-0617</t>
  </si>
  <si>
    <t>Nguyễn Thị Phương Ngân</t>
  </si>
  <si>
    <t>npngan@hcm.misa.com.vn</t>
  </si>
  <si>
    <t>ĐH Kinh tế luật TP.HCM</t>
  </si>
  <si>
    <t>D09-0330</t>
  </si>
  <si>
    <t>Bùi Đinh Quang Việt</t>
  </si>
  <si>
    <t>bdqviet@hcm.misa.com.vn</t>
  </si>
  <si>
    <t>ĐH Lạc Hồng</t>
  </si>
  <si>
    <t>D-0581</t>
  </si>
  <si>
    <t>nkyen1@hcm.misa.com.vn</t>
  </si>
  <si>
    <t>CĐ An Giang</t>
  </si>
  <si>
    <t>D-0516</t>
  </si>
  <si>
    <t>Phạm Thị Mộng Điệp</t>
  </si>
  <si>
    <t>pmdiep@hcm.misa.com.vn</t>
  </si>
  <si>
    <t>D09-0433</t>
  </si>
  <si>
    <t>ntthu@hcm.misa.com.vn</t>
  </si>
  <si>
    <t>D26-0035</t>
  </si>
  <si>
    <t>Nguyễn Hữu Phòng</t>
  </si>
  <si>
    <t>nhphong@hcm.misa.com.vn</t>
  </si>
  <si>
    <t>CĐ Sư phạm Thừa Thiên - Huế</t>
  </si>
  <si>
    <t>D-0642</t>
  </si>
  <si>
    <t>Lê Thái Hưng</t>
  </si>
  <si>
    <t>lthung1@hcm.misa.com.vn</t>
  </si>
  <si>
    <t>D-0540</t>
  </si>
  <si>
    <t>Nguyễn Thị Bình Yên</t>
  </si>
  <si>
    <t>nbyen@hcm.misa.com.vn</t>
  </si>
  <si>
    <t>D21-0041</t>
  </si>
  <si>
    <t>ltdung2@hcm.misa.com.vn</t>
  </si>
  <si>
    <t>ĐH Giao Thông Vận Tải TP.HCM</t>
  </si>
  <si>
    <t>D09-0317</t>
  </si>
  <si>
    <t>Nguyễn Duy Hải</t>
  </si>
  <si>
    <t>ndhai@hcm.misa.com.vn</t>
  </si>
  <si>
    <t>D-0549</t>
  </si>
  <si>
    <t>Quách Xuân Phương</t>
  </si>
  <si>
    <t>qxphuong@hcm.misa.com.vn</t>
  </si>
  <si>
    <t>D10-0205</t>
  </si>
  <si>
    <t>Nguyễn Thị Kim Tuyến</t>
  </si>
  <si>
    <t>nktuyen1@hcm.misa.com.vn</t>
  </si>
  <si>
    <t>D09-0434</t>
  </si>
  <si>
    <t>Trương Thị Minh Tâm</t>
  </si>
  <si>
    <t>tmtam@hcm.misa.com.vn</t>
  </si>
  <si>
    <t>D-1105</t>
  </si>
  <si>
    <t>Nguyễn Nhật Phượng</t>
  </si>
  <si>
    <t>nnphuong2@hcm.misa.com.vn</t>
  </si>
  <si>
    <t>D-1098</t>
  </si>
  <si>
    <t>ttphuong@hcm.misa.com.vn</t>
  </si>
  <si>
    <t>F-0128</t>
  </si>
  <si>
    <t>Dương Thị Thảo Vi</t>
  </si>
  <si>
    <t>dtvi@bmt.misa.com.vn</t>
  </si>
  <si>
    <t>F-0126</t>
  </si>
  <si>
    <t>Khổng Quỳnh Như</t>
  </si>
  <si>
    <t>kqnhu@bmt.misa.com.vn</t>
  </si>
  <si>
    <t>D-0983</t>
  </si>
  <si>
    <t>Huỳnh Thị Ái</t>
  </si>
  <si>
    <t>htai@hcm.misa.com.vn</t>
  </si>
  <si>
    <t>F-0124</t>
  </si>
  <si>
    <t>Đinh Thị Ánh Nguyệt</t>
  </si>
  <si>
    <t>danguyet@bmt.misa.com.vn</t>
  </si>
  <si>
    <t>F-0123</t>
  </si>
  <si>
    <t>Nguyễn Bá Ngọc</t>
  </si>
  <si>
    <t>nbngoc@bmt.misa.com.vn</t>
  </si>
  <si>
    <t>ĐH Văn hoá TP .HCM</t>
  </si>
  <si>
    <t>F-0122</t>
  </si>
  <si>
    <t>Bùi Xuân Thành</t>
  </si>
  <si>
    <t>bxthanh@bmt.misa.com.vn</t>
  </si>
  <si>
    <t>Đại Học Gia Định</t>
  </si>
  <si>
    <t>F-0121</t>
  </si>
  <si>
    <t>Hoàng Tường Vy</t>
  </si>
  <si>
    <t>L07.19.03</t>
  </si>
  <si>
    <t>htvy@bmt.misa.com.vn</t>
  </si>
  <si>
    <t>Đại Học Kinh Tế TP. Hồ Chí Minh</t>
  </si>
  <si>
    <t>D-0843</t>
  </si>
  <si>
    <t>Nguyễn Khánh Vy</t>
  </si>
  <si>
    <t>nkvy@hcm.misa.com.vn</t>
  </si>
  <si>
    <t>D-0840</t>
  </si>
  <si>
    <t>Dương Thị Bích Liễu</t>
  </si>
  <si>
    <t>dblieu@hcm.misa.com.vn</t>
  </si>
  <si>
    <t>ĐH Công Nghiệp TP Hồ Chí Minh</t>
  </si>
  <si>
    <t>F-0114</t>
  </si>
  <si>
    <t>ntthao@bmt.misa.com.vn</t>
  </si>
  <si>
    <t>- tài chính ngân hàng</t>
  </si>
  <si>
    <t>Trường Đại Học Kinh Tế Đại Học Huế</t>
  </si>
  <si>
    <t>D-0798</t>
  </si>
  <si>
    <t>vtlinh@hcm.misa.com.vn</t>
  </si>
  <si>
    <t>F-0111</t>
  </si>
  <si>
    <t>dtphuong1@bmt.misa.com.vn</t>
  </si>
  <si>
    <t>Trường Đại Học Tây Nguyên</t>
  </si>
  <si>
    <t>F-0110</t>
  </si>
  <si>
    <t>Mai Thị Oanh</t>
  </si>
  <si>
    <t>mtoanh@bmt.misa.com.vn</t>
  </si>
  <si>
    <t>F-0098</t>
  </si>
  <si>
    <t>Trần Bảo Châu</t>
  </si>
  <si>
    <t>tbchau@bmt.misa.com.vn</t>
  </si>
  <si>
    <t>F-0097</t>
  </si>
  <si>
    <t>Lê Văn Nam</t>
  </si>
  <si>
    <t>lvnam@bmt.misa.com.vn</t>
  </si>
  <si>
    <t>Học viện Hành Chính Quốc gia</t>
  </si>
  <si>
    <t>F09-0067</t>
  </si>
  <si>
    <t>Khổng Thị Ngọc Phương</t>
  </si>
  <si>
    <t>knphuong@bmt.misa.com.vn</t>
  </si>
  <si>
    <t>ĐH Mở TP.HCM</t>
  </si>
  <si>
    <t>F10-0041</t>
  </si>
  <si>
    <t>Phùng Thị Thuý Hạnh</t>
  </si>
  <si>
    <t>pthanh@bmt.misa.com.vn</t>
  </si>
  <si>
    <t>F-0105</t>
  </si>
  <si>
    <t>Nguyễn Thị Ánh Chi</t>
  </si>
  <si>
    <t>nachi@bmt.misa.com.vn</t>
  </si>
  <si>
    <t>F09-0043</t>
  </si>
  <si>
    <t>Lê Thị Ngọc</t>
  </si>
  <si>
    <t>L07.18</t>
  </si>
  <si>
    <t>ltngoc@bmt.misa.com.vn</t>
  </si>
  <si>
    <t>F02-0002</t>
  </si>
  <si>
    <t>nthien@bmt.misa.com.vn</t>
  </si>
  <si>
    <t>F02-0003</t>
  </si>
  <si>
    <t>Nguyễn Thế Hệ</t>
  </si>
  <si>
    <t>nthe@bmt.misa.com.vn</t>
  </si>
  <si>
    <t>Sư phạm</t>
  </si>
  <si>
    <t>F26-0008</t>
  </si>
  <si>
    <t>Hồ Thị Mỹ Ngân</t>
  </si>
  <si>
    <t>hmngan@bmt.misa.com.vn</t>
  </si>
  <si>
    <t>F02-0008</t>
  </si>
  <si>
    <t>Hoàng Diệp Anh</t>
  </si>
  <si>
    <t>hdanh@bmt.misa.com.vn</t>
  </si>
  <si>
    <t>CĐ Văn hoá Nghệ thuật và Du lịch Sài Gòn</t>
  </si>
  <si>
    <t>F25-0002</t>
  </si>
  <si>
    <t>Nguyễn Nữ Thuỳ Tiên</t>
  </si>
  <si>
    <t>nnttien@bmt.misa.com.vn</t>
  </si>
  <si>
    <t>F-0082</t>
  </si>
  <si>
    <t>Lê Thị Phụng</t>
  </si>
  <si>
    <t>ltphung@bmt.misa.com.vn</t>
  </si>
  <si>
    <t>F26-0004</t>
  </si>
  <si>
    <t>Vương Thúy Hậu</t>
  </si>
  <si>
    <t>vthau@bmt.misa.com.vn</t>
  </si>
  <si>
    <t>F25-0003</t>
  </si>
  <si>
    <t>Trần Thị Kim Liên</t>
  </si>
  <si>
    <t>Nhóm KD bán thêm chuyển đổi GP KTDN</t>
  </si>
  <si>
    <t>L07.18.05</t>
  </si>
  <si>
    <t>tklien@bmt.misa.com.vn</t>
  </si>
  <si>
    <t>F-0078</t>
  </si>
  <si>
    <t>Phạm Lâm</t>
  </si>
  <si>
    <t>plam@bmt.misa.com.vn</t>
  </si>
  <si>
    <t>F02-0010</t>
  </si>
  <si>
    <t>Nguyễn Hoàng Vũ</t>
  </si>
  <si>
    <t>nhvu@bmt.misa.com.vn</t>
  </si>
  <si>
    <t>Trường THPT BC Lê Quý Đôn</t>
  </si>
  <si>
    <t>F12-0002</t>
  </si>
  <si>
    <t>Vũ Thị Huế</t>
  </si>
  <si>
    <t>vthue@bmt.misa.com.vn</t>
  </si>
  <si>
    <t>F09-0071</t>
  </si>
  <si>
    <t>Lê Tuấn Vương</t>
  </si>
  <si>
    <t>ltvuong@bmt.misa.com.vn</t>
  </si>
  <si>
    <t>Đại Học Công Nghiệp Thực Phẩm TP. Hồ Chí Minh</t>
  </si>
  <si>
    <t>D02-0029</t>
  </si>
  <si>
    <t>htnga@bmt.misa.com.vn</t>
  </si>
  <si>
    <t>F30-0006</t>
  </si>
  <si>
    <t>Trần Thị Mỹ Duyên</t>
  </si>
  <si>
    <t>L07.17</t>
  </si>
  <si>
    <t>tmduyen@bmt.misa.com.vn</t>
  </si>
  <si>
    <t>F09-0065</t>
  </si>
  <si>
    <t>ntthuy@bmt.misa.com.vn</t>
  </si>
  <si>
    <t>F30-0001</t>
  </si>
  <si>
    <t>Mai Thị Vương</t>
  </si>
  <si>
    <t>L07.22</t>
  </si>
  <si>
    <t>mtvuong@bmt.misa.com.vn</t>
  </si>
  <si>
    <t>Cao Đẳng Viễn Đông</t>
  </si>
  <si>
    <t>D26-0001</t>
  </si>
  <si>
    <t>Nguyễn Hà Kiều Dung</t>
  </si>
  <si>
    <t>nkdung@hcm.misa.com.vn</t>
  </si>
  <si>
    <t>D09-0231</t>
  </si>
  <si>
    <t>Lê Thị Hà Linh</t>
  </si>
  <si>
    <t>lhlinh@hcm.misa.com.vn</t>
  </si>
  <si>
    <t>F09-0011</t>
  </si>
  <si>
    <t>Trần Thị Liên</t>
  </si>
  <si>
    <t>ttlien@bmt.misa.com.vn</t>
  </si>
  <si>
    <t>Quản trị Kinh doanh (du lịch)</t>
  </si>
  <si>
    <t>Đại học DL Phú Xuân - Huế</t>
  </si>
  <si>
    <t>F10-0027</t>
  </si>
  <si>
    <t>Đinh Nguyễn Long</t>
  </si>
  <si>
    <t>dnlong@bmt.misa.com.vn</t>
  </si>
  <si>
    <t>F-0080</t>
  </si>
  <si>
    <t>Vương Thị Thùy Giang</t>
  </si>
  <si>
    <t>vtgiang@bmt.misa.com.vn</t>
  </si>
  <si>
    <t>F02-0009</t>
  </si>
  <si>
    <t>Nguyễn Thị Linh Phương</t>
  </si>
  <si>
    <t>Q. Trưởng nhóm chuyển giao</t>
  </si>
  <si>
    <t>L07.19</t>
  </si>
  <si>
    <t>SB_A.ONBL</t>
  </si>
  <si>
    <t>nlphuong@bmt.misa.com.vn</t>
  </si>
  <si>
    <t>F10-0001</t>
  </si>
  <si>
    <t>Hoàng Thị Hồng</t>
  </si>
  <si>
    <t>hthong@bmt.misa.com.vn</t>
  </si>
  <si>
    <t>Cao Đẳng TCKT Quảng Ngãi</t>
  </si>
  <si>
    <t>A02-0016</t>
  </si>
  <si>
    <t>Triệu Xuân Chúc</t>
  </si>
  <si>
    <t>txchuc@misa.com.vn</t>
  </si>
  <si>
    <t>Trường THPT Lê Hoàn</t>
  </si>
  <si>
    <t>G10-0088</t>
  </si>
  <si>
    <t>ltnghia@cth.misa.com.vn</t>
  </si>
  <si>
    <t>Trường Đại học Công Nghệ TP HCM ( HUTECH )</t>
  </si>
  <si>
    <t>G-0093</t>
  </si>
  <si>
    <t>Nguyễn Thị Quỳnh Anh</t>
  </si>
  <si>
    <t>ntqanh@cth.misa.com.vn</t>
  </si>
  <si>
    <t>G10-0005</t>
  </si>
  <si>
    <t>Trương Ngọc Hiến</t>
  </si>
  <si>
    <t>tnhien@cth.misa.com.vn</t>
  </si>
  <si>
    <t>ĐH Trà Vinh</t>
  </si>
  <si>
    <t>C09-0610</t>
  </si>
  <si>
    <t>Vũ Thị Tùng Lâm</t>
  </si>
  <si>
    <t>Trợ lý Đào tạo</t>
  </si>
  <si>
    <t>BO_HR_TRNA</t>
  </si>
  <si>
    <t>vtlam@misa.com.vn</t>
  </si>
  <si>
    <t>A-0374</t>
  </si>
  <si>
    <t>ENT_NS_ADR</t>
  </si>
  <si>
    <t>ltmy@misa.com.vn</t>
  </si>
  <si>
    <t>kinh tế đối ngoại</t>
  </si>
  <si>
    <t>Trường Đại Học Ngoại Thương Chuyên Ngành Kinh Tế Đối Ngoại</t>
  </si>
  <si>
    <t>D-1152</t>
  </si>
  <si>
    <t>Nguyễn Thị Anh Thư</t>
  </si>
  <si>
    <t>ntathu@hcm.misa.com.vn</t>
  </si>
  <si>
    <t>B08-0030</t>
  </si>
  <si>
    <t>Nguyễn Thị Ngần</t>
  </si>
  <si>
    <t>Q. GĐ DVNS</t>
  </si>
  <si>
    <t>BO_HR_A. HRBPD</t>
  </si>
  <si>
    <t>ntngan@misa.com.vn</t>
  </si>
  <si>
    <t>E-0138</t>
  </si>
  <si>
    <t>Tô Lê Hoàng</t>
  </si>
  <si>
    <t>tlhoang@dng.misa.com.vn</t>
  </si>
  <si>
    <t>D-1150</t>
  </si>
  <si>
    <t>Nguyễn Yến Thương</t>
  </si>
  <si>
    <t>nythuong@hcm.misa.com.vn</t>
  </si>
  <si>
    <t>C-1117</t>
  </si>
  <si>
    <t>Nguyễn Xuân Công</t>
  </si>
  <si>
    <t>nxcong@han.misa.com.vn</t>
  </si>
  <si>
    <t>C-1023</t>
  </si>
  <si>
    <t>Cao Xuân Thịnh</t>
  </si>
  <si>
    <t>cxthinh@han.misa.com.vn</t>
  </si>
  <si>
    <t>kinh tế và quản lý nguồn nhân lực</t>
  </si>
  <si>
    <t>C10-0210</t>
  </si>
  <si>
    <t>Vũ Hoài Nam</t>
  </si>
  <si>
    <t>vhnam1@han.misa.com.vn</t>
  </si>
  <si>
    <t>Ngân hàng thương mại</t>
  </si>
  <si>
    <t>C02-0023</t>
  </si>
  <si>
    <t>ntthuy5@han.misa.com.vn</t>
  </si>
  <si>
    <t>Văn thư- Lưu trữ</t>
  </si>
  <si>
    <t>Đại học Khoa học xã hội và Nhân văn Tp. HCM</t>
  </si>
  <si>
    <t>C02-0016</t>
  </si>
  <si>
    <t>nttrang@han.misa.com.vn</t>
  </si>
  <si>
    <t>C10-0114</t>
  </si>
  <si>
    <t>Trịnh Văn Biển</t>
  </si>
  <si>
    <t>GĐKD Chuyển đổi số</t>
  </si>
  <si>
    <t>BO_BD_DDT</t>
  </si>
  <si>
    <t>tvbien@han.misa.com.vn</t>
  </si>
  <si>
    <t>E10-0053</t>
  </si>
  <si>
    <t>Hoàng Lê Anh Tuấn</t>
  </si>
  <si>
    <t>L06.03</t>
  </si>
  <si>
    <t>hlatuan@dng.misa.com.vn</t>
  </si>
  <si>
    <t>A-0499</t>
  </si>
  <si>
    <t>Nhóm MKT Điều hành</t>
  </si>
  <si>
    <t>L03.34.07.05</t>
  </si>
  <si>
    <t>nthien1@misa.com.vn</t>
  </si>
  <si>
    <t>quản trị marketing</t>
  </si>
  <si>
    <t>Học Viện Ngân Hàng | Tốt Nghiệp Chuyên Ngành :</t>
  </si>
  <si>
    <t>C09-0321</t>
  </si>
  <si>
    <t>Q. Giám đốc nền tảng QL giáo dục MISA EMIS</t>
  </si>
  <si>
    <t>SB_A.SD_EMIS</t>
  </si>
  <si>
    <t>nthai@misa.com.vn</t>
  </si>
  <si>
    <t>C02-0007</t>
  </si>
  <si>
    <t>Trần Thu Trang</t>
  </si>
  <si>
    <t>NV đảm bảo chất lượng</t>
  </si>
  <si>
    <t>BO_AD_QA</t>
  </si>
  <si>
    <t>tttrang@han.misa.com.vn</t>
  </si>
  <si>
    <t>C-1050</t>
  </si>
  <si>
    <t>lthang3@han.misa.com.vn</t>
  </si>
  <si>
    <t>Hành chính Văn phòng</t>
  </si>
  <si>
    <t>Đại học Nội vụ Hà Nội</t>
  </si>
  <si>
    <t>C09-0190</t>
  </si>
  <si>
    <t>Vũ Thúy An</t>
  </si>
  <si>
    <t>vtan@han.misa.com.vn</t>
  </si>
  <si>
    <t>C11-0008</t>
  </si>
  <si>
    <t>Phạm Thị Minh Vui</t>
  </si>
  <si>
    <t>pmvui@han.misa.com.vn</t>
  </si>
  <si>
    <t>C05-0003</t>
  </si>
  <si>
    <t>Nguyễn Thị Hoàng Quy</t>
  </si>
  <si>
    <t>nhquy@han.misa.com.vn</t>
  </si>
  <si>
    <t>Trung cấp Thương mại và Du lịch</t>
  </si>
  <si>
    <t>C05-0009</t>
  </si>
  <si>
    <t>ntlien@han.misa.com.vn</t>
  </si>
  <si>
    <t>C-1186</t>
  </si>
  <si>
    <t>Nguyễn Danh Thành</t>
  </si>
  <si>
    <t>ndthanh@han.misa.com.vn</t>
  </si>
  <si>
    <t>Quản trị mạng</t>
  </si>
  <si>
    <t>ĐH Mỏ - Địa Chất</t>
  </si>
  <si>
    <t>C-1157</t>
  </si>
  <si>
    <t>ptphuong6@han.misa.com.vn</t>
  </si>
  <si>
    <t>C-0935</t>
  </si>
  <si>
    <t>Vũ Trọng An</t>
  </si>
  <si>
    <t>vtan1@han.misa.com.vn</t>
  </si>
  <si>
    <t>C10-0150</t>
  </si>
  <si>
    <t>Dương Thị Lan Hải</t>
  </si>
  <si>
    <t>dlhai@han.misa.com.vn</t>
  </si>
  <si>
    <t>Đại học Kinh tế và Quản trị kinh doanh – Đại học Thái Nguyên</t>
  </si>
  <si>
    <t>C10-0093</t>
  </si>
  <si>
    <t>Lê Thị Huyền Anh</t>
  </si>
  <si>
    <t>lhanh@han.misa.com.vn</t>
  </si>
  <si>
    <t>C10-0152</t>
  </si>
  <si>
    <t>Đào Quang Sáng</t>
  </si>
  <si>
    <t>dqsang@han.misa.com.vn</t>
  </si>
  <si>
    <t>C26-0098</t>
  </si>
  <si>
    <t>Khiếu Thị Thu Trang</t>
  </si>
  <si>
    <t>kttrang@han.misa.com.vn</t>
  </si>
  <si>
    <t>C10-0256</t>
  </si>
  <si>
    <t>Đỗ Thị Huyền</t>
  </si>
  <si>
    <t>dthuyen@han.misa.com.vn</t>
  </si>
  <si>
    <t>C10-0121</t>
  </si>
  <si>
    <t>Trần Văn Bình</t>
  </si>
  <si>
    <t>tvbinh@han.misa.com.vn</t>
  </si>
  <si>
    <t>Cao đẳng Ngô Gia Tự - Bắc Giang</t>
  </si>
  <si>
    <t>C10-0062</t>
  </si>
  <si>
    <t>Nguyễn Thị Quỳnh Mai</t>
  </si>
  <si>
    <t>nqmai@han.misa.com.vn</t>
  </si>
  <si>
    <t>C02-0037</t>
  </si>
  <si>
    <t>Nguyễn Văn Ba</t>
  </si>
  <si>
    <t>nvba@han.misa.com.vn</t>
  </si>
  <si>
    <t>Trung tâm dạy nghề lái xe</t>
  </si>
  <si>
    <t>C10-0024</t>
  </si>
  <si>
    <t>Nguyễn Thị Mai Hồng</t>
  </si>
  <si>
    <t>nmhong@han.misa.com.vn</t>
  </si>
  <si>
    <t>C02-0031</t>
  </si>
  <si>
    <t>NV bảo vệ</t>
  </si>
  <si>
    <t>BO_AD_SEC</t>
  </si>
  <si>
    <t>ntthanh2@han.misa.com.vn</t>
  </si>
  <si>
    <t>Cao đẳng Công nghiệp Hà Nội</t>
  </si>
  <si>
    <t>C10-0056</t>
  </si>
  <si>
    <t>nthuong@han.misa.com.vn</t>
  </si>
  <si>
    <t>A02-0013</t>
  </si>
  <si>
    <t>Đinh Văn Hùng</t>
  </si>
  <si>
    <t>dvhung1@han.misa.com.vn</t>
  </si>
  <si>
    <t>C10-0019</t>
  </si>
  <si>
    <t>Phạm Lê An</t>
  </si>
  <si>
    <t>plan@han.misa.com.vn</t>
  </si>
  <si>
    <t>C-0743</t>
  </si>
  <si>
    <t>dhnam@han.misa.com.vn</t>
  </si>
  <si>
    <t>Không</t>
  </si>
  <si>
    <t>C02-0014</t>
  </si>
  <si>
    <t>Võ Sỹ Kỳ</t>
  </si>
  <si>
    <t>vsky@han.misa.com.vn</t>
  </si>
  <si>
    <t>Sửa chữa ô tô xe máy</t>
  </si>
  <si>
    <t>C10-0185</t>
  </si>
  <si>
    <t>ntdung3@han.misa.com.vn</t>
  </si>
  <si>
    <t>C02-0015</t>
  </si>
  <si>
    <t>Đỗ Việt Sơn</t>
  </si>
  <si>
    <t>dvson@han.misa.com.vn</t>
  </si>
  <si>
    <t>Trung cấp Nghệ Thái Thịnh</t>
  </si>
  <si>
    <t>A02-0012</t>
  </si>
  <si>
    <t>Chu Trung Hiếu</t>
  </si>
  <si>
    <t>cthieu@han.misa.com.vn</t>
  </si>
  <si>
    <t>C05-0001</t>
  </si>
  <si>
    <t>Đỗ Thị Thanh Thủy</t>
  </si>
  <si>
    <t>dtthuy1@han.misa.com.vn</t>
  </si>
  <si>
    <t>Đại học Tài chính Kế toán Hà Nội</t>
  </si>
  <si>
    <t>C-0749</t>
  </si>
  <si>
    <t>vvtri@han.misa.com.vn</t>
  </si>
  <si>
    <t>C12-0020</t>
  </si>
  <si>
    <t>Bùi Thị Hải</t>
  </si>
  <si>
    <t>bthai@han.misa.com.vn</t>
  </si>
  <si>
    <t>C12-0006</t>
  </si>
  <si>
    <t>Ngô Thị Hồng</t>
  </si>
  <si>
    <t>nthong@han.misa.com.vn</t>
  </si>
  <si>
    <t>Ngữ văn</t>
  </si>
  <si>
    <t>C02-0049</t>
  </si>
  <si>
    <t>Phạm Văn Khanh</t>
  </si>
  <si>
    <t>pvkhanh@han.misa.com.vn</t>
  </si>
  <si>
    <t>Cao đẳng nghề công nghiệp Thanh Hóa</t>
  </si>
  <si>
    <t>A-0493</t>
  </si>
  <si>
    <t>Trần Ngọc Linh</t>
  </si>
  <si>
    <t>NV SEO</t>
  </si>
  <si>
    <t>BO_MKT_SEO</t>
  </si>
  <si>
    <t>tnlinh@misa.com.vn</t>
  </si>
  <si>
    <t>K-0010</t>
  </si>
  <si>
    <t>nhtrang4@misa.com.vn</t>
  </si>
  <si>
    <t>C10-0007</t>
  </si>
  <si>
    <t>Đỗ Thị Mỹ Dung</t>
  </si>
  <si>
    <t>Trợ lý kinh doanh</t>
  </si>
  <si>
    <t>Ban Quản lý kinh doanh</t>
  </si>
  <si>
    <t>L03.08</t>
  </si>
  <si>
    <t>BO_MM_AVP</t>
  </si>
  <si>
    <t>dmdung@misa.com.vn</t>
  </si>
  <si>
    <t>D10-0016</t>
  </si>
  <si>
    <t>Trương Thị Mỹ Vân</t>
  </si>
  <si>
    <t>tmvan@misa.com.vn</t>
  </si>
  <si>
    <t>ĐH Dân lập YERSIN Đà Lạt</t>
  </si>
  <si>
    <t>A-0488</t>
  </si>
  <si>
    <t>Đặng Bình Nguyên</t>
  </si>
  <si>
    <t>Quản lý Marketing Automation</t>
  </si>
  <si>
    <t>Nhóm MKT Automation</t>
  </si>
  <si>
    <t>L03.34.07.07</t>
  </si>
  <si>
    <t>BO_MKT_MAT</t>
  </si>
  <si>
    <t>dbnguyen@misa.com.vn</t>
  </si>
  <si>
    <t>A-0474</t>
  </si>
  <si>
    <t>Dương Khánh Huyền</t>
  </si>
  <si>
    <t>Nhóm MKT Quản trị nhân sự</t>
  </si>
  <si>
    <t>L03.34.07.04</t>
  </si>
  <si>
    <t>dkhuyen1@misa.com.vn</t>
  </si>
  <si>
    <t>A-0436</t>
  </si>
  <si>
    <t>Quản lý Marketing Sản phẩm</t>
  </si>
  <si>
    <t>BO_MKT_PMM</t>
  </si>
  <si>
    <t>ntminh@misa.com.vn</t>
  </si>
  <si>
    <t>A-0428</t>
  </si>
  <si>
    <t>Vũ Thị Kim Cúc</t>
  </si>
  <si>
    <t>vtkcuc@misa.com.vn</t>
  </si>
  <si>
    <t>Báo mạng điện tử</t>
  </si>
  <si>
    <t>A-0403</t>
  </si>
  <si>
    <t>Hoàng Thị Khánh Huyền</t>
  </si>
  <si>
    <t>hkhuyen@misa.com.vn</t>
  </si>
  <si>
    <t>Học Viện Ngân Hàng Quản Trị Marketing</t>
  </si>
  <si>
    <t>A-0378</t>
  </si>
  <si>
    <t>Trần Minh Phượng</t>
  </si>
  <si>
    <t>tmphuong@misa.com.vn</t>
  </si>
  <si>
    <t>ĐH Sư phạm (Đại học Thái Nguyên)</t>
  </si>
  <si>
    <t>A-0354</t>
  </si>
  <si>
    <t>Nguyễn Thị Thanh Lam</t>
  </si>
  <si>
    <t>ntlam@misa.com.vn</t>
  </si>
  <si>
    <t>A-0351</t>
  </si>
  <si>
    <t>Lương Hà Trang</t>
  </si>
  <si>
    <t>lhtrang1@misa.com.vn</t>
  </si>
  <si>
    <t>A-0343</t>
  </si>
  <si>
    <t>nthuyen1@misa.com.vn</t>
  </si>
  <si>
    <t>Tin học Kế toán</t>
  </si>
  <si>
    <t>A-0341</t>
  </si>
  <si>
    <t>Hoàng Đức Khiêm</t>
  </si>
  <si>
    <t>Trưởng nhóm Digital Marketing</t>
  </si>
  <si>
    <t>BO_MKT_DGTL</t>
  </si>
  <si>
    <t>hdkhiem@misa.com.vn</t>
  </si>
  <si>
    <t>ĐH Công Nghệ - ĐH Quốc Gia HCM</t>
  </si>
  <si>
    <t>A-0336</t>
  </si>
  <si>
    <t>Nguyễn Việt Đức</t>
  </si>
  <si>
    <t>nvduc@misa.com.vn</t>
  </si>
  <si>
    <t>ĐH Vinh</t>
  </si>
  <si>
    <t>A-0388</t>
  </si>
  <si>
    <t>Dương Mỹ Hà</t>
  </si>
  <si>
    <t>dmha@misa.com.vn</t>
  </si>
  <si>
    <t>A-0329</t>
  </si>
  <si>
    <t>Nguyễn Thị Lan Tiên</t>
  </si>
  <si>
    <t>nltien@misa.com.vn</t>
  </si>
  <si>
    <t>A-0311</t>
  </si>
  <si>
    <t>NV Social Media</t>
  </si>
  <si>
    <t>BO_MKT_SOC</t>
  </si>
  <si>
    <t>dnhuyen@misa.com.vn</t>
  </si>
  <si>
    <t>A-0307</t>
  </si>
  <si>
    <t>Vũ Thủy Linh</t>
  </si>
  <si>
    <t>vtlinh@misa.com.vn</t>
  </si>
  <si>
    <t>A-0303</t>
  </si>
  <si>
    <t>Nguyễn Minh Nguyệt</t>
  </si>
  <si>
    <t>nmnguyet@misa.com.vn</t>
  </si>
  <si>
    <t>A-0263</t>
  </si>
  <si>
    <t>nnha@misa.com.vn</t>
  </si>
  <si>
    <t>Đại học Truyền thông Trung Quốc</t>
  </si>
  <si>
    <t>A-0248</t>
  </si>
  <si>
    <t>Phạm Hồng Anh</t>
  </si>
  <si>
    <t>phanh@misa.com.vn</t>
  </si>
  <si>
    <t>Marketing và Thương mại điện tử</t>
  </si>
  <si>
    <t>A28-0001</t>
  </si>
  <si>
    <t>Đậu Thị Kiều Lục</t>
  </si>
  <si>
    <t>dkluc@misa.com.vn</t>
  </si>
  <si>
    <t>A04-0004</t>
  </si>
  <si>
    <t>Nguyễn Thế Cường</t>
  </si>
  <si>
    <t>Phó giám đốc Trung tâm KD Online</t>
  </si>
  <si>
    <t>L03.34.01</t>
  </si>
  <si>
    <t>BO_MKT_VMO</t>
  </si>
  <si>
    <t>ntcuong@misa.com.vn</t>
  </si>
  <si>
    <t>Đại học Bách khoa Hà Nội</t>
  </si>
  <si>
    <t>C21-0114</t>
  </si>
  <si>
    <t>Lương Thị Thu Thủy</t>
  </si>
  <si>
    <t>Trưởng nhóm MDR</t>
  </si>
  <si>
    <t>BO_MKT_MDRL</t>
  </si>
  <si>
    <t>ltthuy@misa.com.vn</t>
  </si>
  <si>
    <t>A-0274</t>
  </si>
  <si>
    <t>Trần Văn Đoàn</t>
  </si>
  <si>
    <t>tvdoan@misa.com.vn</t>
  </si>
  <si>
    <t>A-0270</t>
  </si>
  <si>
    <t>Trần Thị Diệu</t>
  </si>
  <si>
    <t>ttdieu@misa.com.vn</t>
  </si>
  <si>
    <t>Đại học Hòa Bình</t>
  </si>
  <si>
    <t>A-0272</t>
  </si>
  <si>
    <t>Nguyễn Phương Thanh</t>
  </si>
  <si>
    <t>npthanh@misa.com.vn</t>
  </si>
  <si>
    <t>A-0233</t>
  </si>
  <si>
    <t>Lưu Thị Ngọc Ánh</t>
  </si>
  <si>
    <t>NV điều phối sự kiện</t>
  </si>
  <si>
    <t>BO_MKT_EVENT</t>
  </si>
  <si>
    <t>lnanh1@misa.com.vn</t>
  </si>
  <si>
    <t>A-0288</t>
  </si>
  <si>
    <t>Nguyễn Trung Anh Phụng</t>
  </si>
  <si>
    <t>ntaphung@misa.com.vn</t>
  </si>
  <si>
    <t>C09-0492</t>
  </si>
  <si>
    <t>pthuyen3@misa.com.vn</t>
  </si>
  <si>
    <t>A-0319</t>
  </si>
  <si>
    <t>Đoàn Thị Bích Ngọc</t>
  </si>
  <si>
    <t>Phó giám đốc Trung tâm KD Online (phụ trách chuyên môn)</t>
  </si>
  <si>
    <t>BO_MKT_VMO1</t>
  </si>
  <si>
    <t>dbngoc@misa.com.vn</t>
  </si>
  <si>
    <t>Master of Marketing, Sales &amp; Service</t>
  </si>
  <si>
    <t>University of Paris Sorbonne</t>
  </si>
  <si>
    <t>A-0361</t>
  </si>
  <si>
    <t>Lê Trung Đức</t>
  </si>
  <si>
    <t>ltduc@misa.com.vn</t>
  </si>
  <si>
    <t>Đại Học Đại Nam</t>
  </si>
  <si>
    <t>A28-0018</t>
  </si>
  <si>
    <t>nbngoc1@misa.com.vn</t>
  </si>
  <si>
    <t>Đại học Tổng hợp hữu nghị các dân tộc Nga</t>
  </si>
  <si>
    <t>A-0316</t>
  </si>
  <si>
    <t>Lò Ngọc Ánh</t>
  </si>
  <si>
    <t>Nhóm MKT Giải pháp Ký điện tử</t>
  </si>
  <si>
    <t>L03.34.05.02</t>
  </si>
  <si>
    <t>lnanh@misa.com.vn</t>
  </si>
  <si>
    <t>Phát hành xuất bản phẩm</t>
  </si>
  <si>
    <t>A-0424</t>
  </si>
  <si>
    <t>Bùi Thị Như Quỳnh</t>
  </si>
  <si>
    <t>NV Email Marketing</t>
  </si>
  <si>
    <t>BO_MKT_EMAIL</t>
  </si>
  <si>
    <t>btnquynh@misa.com.vn</t>
  </si>
  <si>
    <t>A-0498</t>
  </si>
  <si>
    <t>Đỗ Thị Kim Liên</t>
  </si>
  <si>
    <t>dklien1@misa.com.vn</t>
  </si>
  <si>
    <t>A-0471</t>
  </si>
  <si>
    <t>Tôn Thị Hường</t>
  </si>
  <si>
    <t>tthuong@misa.com.vn</t>
  </si>
  <si>
    <t>Public Relations</t>
  </si>
  <si>
    <t>A-0490</t>
  </si>
  <si>
    <t>Lê Thùy Mai Anh</t>
  </si>
  <si>
    <t>lmanh@misa.com.vn</t>
  </si>
  <si>
    <t>Kế toán - Kiểm toán và Phân tích tài chính</t>
  </si>
  <si>
    <t>C09-0222</t>
  </si>
  <si>
    <t>Hoàng Văn Thi</t>
  </si>
  <si>
    <t>Q. Giám đốc Trung tâm KD Online</t>
  </si>
  <si>
    <t>BO_MKT_A.CMO</t>
  </si>
  <si>
    <t>hvthi@misa.com.vn</t>
  </si>
  <si>
    <t>C-0611</t>
  </si>
  <si>
    <t>Lưu Thị Lan Thương</t>
  </si>
  <si>
    <t>Nhóm HCTH</t>
  </si>
  <si>
    <t>L09.07</t>
  </si>
  <si>
    <t>ltthuong@misa.com.vn</t>
  </si>
  <si>
    <t>B-1322</t>
  </si>
  <si>
    <t>Bùi Thị Yến Nhi</t>
  </si>
  <si>
    <t>[AI] Nhóm Phân tích và Thiết kế</t>
  </si>
  <si>
    <t>L01.35.02.03</t>
  </si>
  <si>
    <t>bynhi@rd.misa.com.vn</t>
  </si>
  <si>
    <t>A-0507</t>
  </si>
  <si>
    <t>Trần Đức Thiện</t>
  </si>
  <si>
    <t>tdthien@misa.com.vn</t>
  </si>
  <si>
    <t>A-0500</t>
  </si>
  <si>
    <t>Tạ Thị Mỹ Hảo</t>
  </si>
  <si>
    <t>tmhao@misa.com.vn</t>
  </si>
  <si>
    <t>Cass Business School</t>
  </si>
  <si>
    <t>E12-0002</t>
  </si>
  <si>
    <t>Nguyễn Thị Cần</t>
  </si>
  <si>
    <t>ntcan@dng.misa.com.vn</t>
  </si>
  <si>
    <t>E09-0002</t>
  </si>
  <si>
    <t>Nguyễn Hồng Khánh Vy</t>
  </si>
  <si>
    <t>nhkvy@dng.misa.com.vn</t>
  </si>
  <si>
    <t>E10-0008</t>
  </si>
  <si>
    <t>Trần Như Minh</t>
  </si>
  <si>
    <t>tnminh@dng.misa.com.vn</t>
  </si>
  <si>
    <t>Đại học Nha Trang</t>
  </si>
  <si>
    <t>E-0095</t>
  </si>
  <si>
    <t>Trần Hữu Nhã</t>
  </si>
  <si>
    <t>thnha@dng.misa.com.vn</t>
  </si>
  <si>
    <t>Hành chính công</t>
  </si>
  <si>
    <t>E10-0059</t>
  </si>
  <si>
    <t>Trần Mai Dạ Hảo</t>
  </si>
  <si>
    <t>tdhao@dng.misa.com.vn</t>
  </si>
  <si>
    <t>Quản trị du lịch</t>
  </si>
  <si>
    <t>H11-0065</t>
  </si>
  <si>
    <t>nhhanh1@dng.misa.com.vn</t>
  </si>
  <si>
    <t>CĐ Lương thực Thực Phẩm</t>
  </si>
  <si>
    <t>E-0093</t>
  </si>
  <si>
    <t>Nguyễn Thị Kim Thanh</t>
  </si>
  <si>
    <t>nkthanh@dng.misa.com.vn</t>
  </si>
  <si>
    <t>E10-0065</t>
  </si>
  <si>
    <t>Nguyễn Văn Ánh</t>
  </si>
  <si>
    <t>nvanh@dng.misa.com.vn</t>
  </si>
  <si>
    <t>A04-0037</t>
  </si>
  <si>
    <t>Đinh Công Đoàn</t>
  </si>
  <si>
    <t>Q. Phó Giám đốc khối</t>
  </si>
  <si>
    <t>Khối KD khách hàng cá nhân</t>
  </si>
  <si>
    <t>L03.38</t>
  </si>
  <si>
    <t>PCB_A.VPUD</t>
  </si>
  <si>
    <t>dcdoan@misa.com.vn</t>
  </si>
  <si>
    <t>C09-0173</t>
  </si>
  <si>
    <t>Phạm Thị Tuyến</t>
  </si>
  <si>
    <t>pttuyen@han.misa.com.vn</t>
  </si>
  <si>
    <t>C09-0028</t>
  </si>
  <si>
    <t>nhyen1@han.misa.com.vn</t>
  </si>
  <si>
    <t>Trường Kinh tế Kỹ thuật Hải Dương</t>
  </si>
  <si>
    <t>C01-0003</t>
  </si>
  <si>
    <t>Lê Hồng Quang</t>
  </si>
  <si>
    <t>BOD_VP_SALES</t>
  </si>
  <si>
    <t>lhquang@misa.com.vn</t>
  </si>
  <si>
    <t>D01-0004</t>
  </si>
  <si>
    <t>BOD_VP_HR</t>
  </si>
  <si>
    <t>nmtuan@hcm.misa.com.vn</t>
  </si>
  <si>
    <t>Đại học Kinh tế thành phố Hồ Chí Minh</t>
  </si>
  <si>
    <t>D10-0005</t>
  </si>
  <si>
    <t>Trần Bích Ngọc</t>
  </si>
  <si>
    <t>tbngoc@hcm.misa.com.vn</t>
  </si>
  <si>
    <t>E09-0020</t>
  </si>
  <si>
    <t>Lê Thị Ni Ni</t>
  </si>
  <si>
    <t>Q. PGĐVP phụ trách KD</t>
  </si>
  <si>
    <t>L06.01</t>
  </si>
  <si>
    <t>BOM_A.VRSD</t>
  </si>
  <si>
    <t>lnni@dng.misa.com.vn</t>
  </si>
  <si>
    <t>D-0991</t>
  </si>
  <si>
    <t>Trần Thị Mỹ Hân</t>
  </si>
  <si>
    <t>tmhan@hcm.misa.com.vn</t>
  </si>
  <si>
    <t>D02-0104</t>
  </si>
  <si>
    <t>Trần Thị Kim Hồng</t>
  </si>
  <si>
    <t>tkhong@hcm.misa.com.vn</t>
  </si>
  <si>
    <t>CĐ Công Nghệ Thông Tin TP. HCM</t>
  </si>
  <si>
    <t>D02-0077</t>
  </si>
  <si>
    <t>nnanh1@hcm.misa.com.vn</t>
  </si>
  <si>
    <t>D02-0017</t>
  </si>
  <si>
    <t>Đinh Văn Trường</t>
  </si>
  <si>
    <t>dvtruong@hcm.misa.com.vn</t>
  </si>
  <si>
    <t>D02-0093</t>
  </si>
  <si>
    <t>Ka Brối</t>
  </si>
  <si>
    <t>kbroi@hcm.misa.com.vn</t>
  </si>
  <si>
    <t>D02-0002</t>
  </si>
  <si>
    <t>Nguyễn Bá Ngọc Quân</t>
  </si>
  <si>
    <t>HR C&amp;B</t>
  </si>
  <si>
    <t>BO_HR_CB</t>
  </si>
  <si>
    <t>nbnquan@hcm.misa.com.vn</t>
  </si>
  <si>
    <t>D02-0009</t>
  </si>
  <si>
    <t>Lữ Văn Tú</t>
  </si>
  <si>
    <t>lvtu@hcm.misa.com.vn</t>
  </si>
  <si>
    <t>D02-0003</t>
  </si>
  <si>
    <t>Kế toán thanh toán</t>
  </si>
  <si>
    <t>BO_FIN_AP</t>
  </si>
  <si>
    <t>lctu@hcm.misa.com.vn</t>
  </si>
  <si>
    <t>CĐ Công nghiệp Thực phẩm TP. HCM</t>
  </si>
  <si>
    <t>D02-0048</t>
  </si>
  <si>
    <t>Văn Thị Thủy Tiên</t>
  </si>
  <si>
    <t>vttien@hcm.misa.com.vn</t>
  </si>
  <si>
    <t>Quản trị kinh doanh lữ hành</t>
  </si>
  <si>
    <t>D02-0081</t>
  </si>
  <si>
    <t>Hoàng Thị Thùy Dương</t>
  </si>
  <si>
    <t>htduong@hcm.misa.com.vn</t>
  </si>
  <si>
    <t>D-0901</t>
  </si>
  <si>
    <t>Nguyễn Đăng Khoa</t>
  </si>
  <si>
    <t>ndkhoa3@hcm.misa.com.vn</t>
  </si>
  <si>
    <t>D02-0100</t>
  </si>
  <si>
    <t>Nguyễn Bảo Long</t>
  </si>
  <si>
    <t>nblong@hcm.misa.com.vn</t>
  </si>
  <si>
    <t>Điện - Điện tử</t>
  </si>
  <si>
    <t>D02-0016</t>
  </si>
  <si>
    <t>Đỗ Viết Giáp</t>
  </si>
  <si>
    <t>dvgiap@hcm.misa.com.vn</t>
  </si>
  <si>
    <t>D10-0195</t>
  </si>
  <si>
    <t>Nguyễn Ngọc Thanh Vy</t>
  </si>
  <si>
    <t>ntvy1@hcm.misa.com.vn</t>
  </si>
  <si>
    <t>D02-0095</t>
  </si>
  <si>
    <t>Nguyễn Thị Mỹ Thảo</t>
  </si>
  <si>
    <t>nmthao@hcm.misa.com.vn</t>
  </si>
  <si>
    <t>D10-0015</t>
  </si>
  <si>
    <t>Hoàng Minh Phương</t>
  </si>
  <si>
    <t>hmphuong@hcm.misa.com.vn</t>
  </si>
  <si>
    <t>D10-0202</t>
  </si>
  <si>
    <t>ntquyen1@hcm.misa.com.vn</t>
  </si>
  <si>
    <t>D10-0026</t>
  </si>
  <si>
    <t>Bùi Anh Tiến</t>
  </si>
  <si>
    <t>batien@hcm.misa.com.vn</t>
  </si>
  <si>
    <t>D02-0041</t>
  </si>
  <si>
    <t>Hoàng Thị Bảo Ngọc</t>
  </si>
  <si>
    <t>hbngoc@hcm.misa.com.vn</t>
  </si>
  <si>
    <t>ĐH Lao Động - Xã Hội (CS I)</t>
  </si>
  <si>
    <t>D02-0032</t>
  </si>
  <si>
    <t>Đỗ Duy Hảo</t>
  </si>
  <si>
    <t>ddhao@hcm.misa.com.vn</t>
  </si>
  <si>
    <t>THPT</t>
  </si>
  <si>
    <t>Trường THPT Thọ Xuân</t>
  </si>
  <si>
    <t>E-0127</t>
  </si>
  <si>
    <t>Đoàn Chí Tài</t>
  </si>
  <si>
    <t>dctai@dng.misa.com.vn</t>
  </si>
  <si>
    <t>E10-0018</t>
  </si>
  <si>
    <t>ptngoc1@dng.misa.com.vn</t>
  </si>
  <si>
    <t>CĐ Kinh tế - Kế hoạch Đà Nẵng</t>
  </si>
  <si>
    <t>E10-0004</t>
  </si>
  <si>
    <t>Nguyễn Thị Thùy Dung</t>
  </si>
  <si>
    <t>ntdung@dng.misa.com.vn</t>
  </si>
  <si>
    <t>Đại học Bách khoa - ĐH Đà Nẵng</t>
  </si>
  <si>
    <t>E10-0023</t>
  </si>
  <si>
    <t>Hồ Xuân Danh</t>
  </si>
  <si>
    <t>hxdanh@dng.misa.com.vn</t>
  </si>
  <si>
    <t>G10-0085</t>
  </si>
  <si>
    <t>Huỳnh Kim Thơ</t>
  </si>
  <si>
    <t>hktho@cth.misa.com.vn</t>
  </si>
  <si>
    <t>Luật hành chính</t>
  </si>
  <si>
    <t>G10-0059</t>
  </si>
  <si>
    <t>Phan Văn Tuấn</t>
  </si>
  <si>
    <t>L08.03</t>
  </si>
  <si>
    <t>pvtuan@cth.misa.com.vn</t>
  </si>
  <si>
    <t>C09-0388</t>
  </si>
  <si>
    <t>Phạm Thị Nga</t>
  </si>
  <si>
    <t>ptnga@han.misa.com.vn</t>
  </si>
  <si>
    <t>C09-0139</t>
  </si>
  <si>
    <t>Đoàn Thị Ngọc Hà</t>
  </si>
  <si>
    <t>dnha@han.misa.com.vn</t>
  </si>
  <si>
    <t>C09-0187</t>
  </si>
  <si>
    <t>Hoàng Thị Quỳnh Hoa</t>
  </si>
  <si>
    <t>hqhoa@han.misa.com.vn</t>
  </si>
  <si>
    <t>C02-0044</t>
  </si>
  <si>
    <t>nvhai1@han.misa.com.vn</t>
  </si>
  <si>
    <t>C02-0029</t>
  </si>
  <si>
    <t>Nguyễn Danh Sơn</t>
  </si>
  <si>
    <t>Phó phòng PR</t>
  </si>
  <si>
    <t>BO_PR_DEP</t>
  </si>
  <si>
    <t>ndson@han.misa.com.vn</t>
  </si>
  <si>
    <t>C20-0196</t>
  </si>
  <si>
    <t>Trần Thị Thương</t>
  </si>
  <si>
    <t>HR Quan hệ lao động</t>
  </si>
  <si>
    <t>BO_HR_ER</t>
  </si>
  <si>
    <t>ttthuong@han.misa.com.vn</t>
  </si>
  <si>
    <t>tổ chức và quản lý nhân sự</t>
  </si>
  <si>
    <t>Học viện hành chính Quốc gia</t>
  </si>
  <si>
    <t>C09-0056</t>
  </si>
  <si>
    <t>L04.29.01</t>
  </si>
  <si>
    <t>vhtrang@han.misa.com.vn</t>
  </si>
  <si>
    <t>C10-0031</t>
  </si>
  <si>
    <t>Phạm Xuân Cường</t>
  </si>
  <si>
    <t>GOVT_VSD</t>
  </si>
  <si>
    <t>pxcuong@han.misa.com.vn</t>
  </si>
  <si>
    <t>C-1197</t>
  </si>
  <si>
    <t>Hà Tường Vi</t>
  </si>
  <si>
    <t>htvi@han.misa.com.vn</t>
  </si>
  <si>
    <t>C-1170</t>
  </si>
  <si>
    <t>Hoàng Thị Ngọc Bích</t>
  </si>
  <si>
    <t>hnbich@han.misa.com.vn</t>
  </si>
  <si>
    <t>Báo Phát thanh</t>
  </si>
  <si>
    <t>HCM</t>
  </si>
  <si>
    <t>Gia hạn HCM</t>
  </si>
  <si>
    <t>HCM_GIA HẠN</t>
  </si>
  <si>
    <t>giahan@hcm.misa.com.vn</t>
  </si>
  <si>
    <t>HAN</t>
  </si>
  <si>
    <t>Gia hạn HAN</t>
  </si>
  <si>
    <t>HAN_GIA HẠN</t>
  </si>
  <si>
    <t>csm01@support.misa.com.vn</t>
  </si>
  <si>
    <t>B-1097</t>
  </si>
  <si>
    <t>Nguyễn Thanh Tuyền</t>
  </si>
  <si>
    <t>JETPAY_PD</t>
  </si>
  <si>
    <t>nttuyen2@software.misa.com.vn</t>
  </si>
  <si>
    <t>Thiết kế mỹ thuật đa phương tiện</t>
  </si>
  <si>
    <t>CĐ Thực hành FPT</t>
  </si>
  <si>
    <t>C09-0178</t>
  </si>
  <si>
    <t>Hoàng Thị Quỳnh Thư</t>
  </si>
  <si>
    <t>Q. Trưởng phòng phát triển đối tác</t>
  </si>
  <si>
    <t>PF_A.PDRM_ASP</t>
  </si>
  <si>
    <t>hqthu@misa.com.vn</t>
  </si>
  <si>
    <t>A-0320</t>
  </si>
  <si>
    <t>Nghiêm Mạnh Cường</t>
  </si>
  <si>
    <t>nmcuong@misa.com.vn</t>
  </si>
  <si>
    <t>A-0468</t>
  </si>
  <si>
    <t>Vũ Đức Huy</t>
  </si>
  <si>
    <t>vdhuy@misa.com.vn</t>
  </si>
  <si>
    <t>A04-0008</t>
  </si>
  <si>
    <t>Nguyễn Thị Ngà</t>
  </si>
  <si>
    <t>ntnga@misa.com.vn</t>
  </si>
  <si>
    <t>C05-0005</t>
  </si>
  <si>
    <t>Lê Anh Tuân</t>
  </si>
  <si>
    <t>Kiểm soát tài chính</t>
  </si>
  <si>
    <t>Phòng Kế hoạch đầu tư</t>
  </si>
  <si>
    <t>L03.07</t>
  </si>
  <si>
    <t>BO_INVE_FC</t>
  </si>
  <si>
    <t>latuan@misa.com.vn</t>
  </si>
  <si>
    <t>Trường Đại Học DL QL&amp;KD Hà Nội</t>
  </si>
  <si>
    <t>C09-0053</t>
  </si>
  <si>
    <t>Hà Thanh Lụa</t>
  </si>
  <si>
    <t>htlua@misa.com.vn</t>
  </si>
  <si>
    <t>Trung học Kỹ thuật may và thời trang I</t>
  </si>
  <si>
    <t>A14-0015</t>
  </si>
  <si>
    <t>Đinh Tuấn Anh</t>
  </si>
  <si>
    <t>Trưởng ban Đảm bảo chất lượng</t>
  </si>
  <si>
    <t>BO_QA_HEAD</t>
  </si>
  <si>
    <t>dtanh@misa.com.vn</t>
  </si>
  <si>
    <t>A-0397</t>
  </si>
  <si>
    <t>Trần Thị Phương Anh</t>
  </si>
  <si>
    <t>NV quản trị trải nghiệm khách hàng</t>
  </si>
  <si>
    <t>BO_CX</t>
  </si>
  <si>
    <t>tpanh@misa.com.vn</t>
  </si>
  <si>
    <t>A-0339</t>
  </si>
  <si>
    <t>Phạm Vũ Bình Mai</t>
  </si>
  <si>
    <t>pbmai@misa.com.vn</t>
  </si>
  <si>
    <t>Báo truyền hình</t>
  </si>
  <si>
    <t>A-0332</t>
  </si>
  <si>
    <t>Phùng Thanh Hải</t>
  </si>
  <si>
    <t>NV Thiết kế</t>
  </si>
  <si>
    <t>BO_PR_DSN</t>
  </si>
  <si>
    <t>pthai@misa.com.vn</t>
  </si>
  <si>
    <t>E-Commerce</t>
  </si>
  <si>
    <t>A28-0002</t>
  </si>
  <si>
    <t>Nguyễn Hiền Toàn</t>
  </si>
  <si>
    <t>nhtoan@misa.com.vn</t>
  </si>
  <si>
    <t>ĐH Mỹ Thuật Công Nghiệp - Hà Nội</t>
  </si>
  <si>
    <t>B08-0178</t>
  </si>
  <si>
    <t>Lưu Nguyên Phú</t>
  </si>
  <si>
    <t>lnphu@misa.com.vn</t>
  </si>
  <si>
    <t>A-0454</t>
  </si>
  <si>
    <t>Lê Thị Phương Anh</t>
  </si>
  <si>
    <t>NV Truyền thông nội bộ</t>
  </si>
  <si>
    <t>BO_PR_INT</t>
  </si>
  <si>
    <t>lpanh@misa.com.vn</t>
  </si>
  <si>
    <t>A-0328</t>
  </si>
  <si>
    <t>Nguyễn Quang Thanh</t>
  </si>
  <si>
    <t>nqthanh@misa.com.vn</t>
  </si>
  <si>
    <t>A19-0010</t>
  </si>
  <si>
    <t>Nguyễn Ngọc Trà My</t>
  </si>
  <si>
    <t>ntmy@misa.com.vn</t>
  </si>
  <si>
    <t>ĐH Dân Lập Văn Lang</t>
  </si>
  <si>
    <t>A19-0013</t>
  </si>
  <si>
    <t>ntthuy1@misa.com.vn</t>
  </si>
  <si>
    <t>C26-0047</t>
  </si>
  <si>
    <t>Hoàng Thị Thắm</t>
  </si>
  <si>
    <t>httham1@misa.com.vn</t>
  </si>
  <si>
    <t>đại học công nghiệp hà nội</t>
  </si>
  <si>
    <t>C09-0011</t>
  </si>
  <si>
    <t>Đỗ Thị Kiều Liên</t>
  </si>
  <si>
    <t>Chánh Văn phòng</t>
  </si>
  <si>
    <t>L03.01</t>
  </si>
  <si>
    <t>BOM_COS</t>
  </si>
  <si>
    <t>dklien@misa.com.vn</t>
  </si>
  <si>
    <t>A-0497</t>
  </si>
  <si>
    <t>Lê Thị Thảo Linh</t>
  </si>
  <si>
    <t>NV pháp chế</t>
  </si>
  <si>
    <t>Ban Pháp chế</t>
  </si>
  <si>
    <t>L03.30</t>
  </si>
  <si>
    <t>BO_LD</t>
  </si>
  <si>
    <t>ltlinh1@misa.com.vn</t>
  </si>
  <si>
    <t>Trường Đại Học Luật Hà Nội | Ngành Luật Dân Sự Và</t>
  </si>
  <si>
    <t>H11-0008</t>
  </si>
  <si>
    <t>L02.15</t>
  </si>
  <si>
    <t>lhtrang@support.misa.com.vn</t>
  </si>
  <si>
    <t>D-1111</t>
  </si>
  <si>
    <t>Đỗ Anh Tuấn</t>
  </si>
  <si>
    <t>datuan@hcm.misa.com.vn</t>
  </si>
  <si>
    <t>Kỹ thuật hình ảnh</t>
  </si>
  <si>
    <t>ĐH Y Dược TP.HCM</t>
  </si>
  <si>
    <t>A-0267</t>
  </si>
  <si>
    <t>Lê Quang Trưởng</t>
  </si>
  <si>
    <t>Trưởng phòng KD Thị trường nước ngoài</t>
  </si>
  <si>
    <t>SB_FSALE_SM</t>
  </si>
  <si>
    <t>lqtruong@misa.com.vn</t>
  </si>
  <si>
    <t>C11-0006</t>
  </si>
  <si>
    <t>nvhung@support.misa.com.vn</t>
  </si>
  <si>
    <t>C21-0097</t>
  </si>
  <si>
    <t>Đỗ Thị Dung</t>
  </si>
  <si>
    <t>dtdung1@misa.com.vn</t>
  </si>
  <si>
    <t>ĐH Kinh tế và Quản trị kinh doanh – ĐH Thái Nguyên</t>
  </si>
  <si>
    <t>D-0657</t>
  </si>
  <si>
    <t>Mai Thị Hằng</t>
  </si>
  <si>
    <t>mthang@misa.com.vn</t>
  </si>
  <si>
    <t>C21-0007</t>
  </si>
  <si>
    <t>Ngô Đức Kiên</t>
  </si>
  <si>
    <t>ndkien@misa.com.vn</t>
  </si>
  <si>
    <t>C10-0022</t>
  </si>
  <si>
    <t>Nguyễn Thanh Thủy</t>
  </si>
  <si>
    <t>Ban Giám đốc TTKD DN Lớn</t>
  </si>
  <si>
    <t>L03.29.01</t>
  </si>
  <si>
    <t>ENT_NS_A.SD</t>
  </si>
  <si>
    <t>ntthuy@misa.com.vn</t>
  </si>
  <si>
    <t>A03-0015</t>
  </si>
  <si>
    <t>Trưởng ban C&amp;B</t>
  </si>
  <si>
    <t>BO_HR_HCB</t>
  </si>
  <si>
    <t>nlhuong@misa.com.vn</t>
  </si>
  <si>
    <t>Thư ký văn phòng</t>
  </si>
  <si>
    <t>ĐH Nội vụ Hà Nội</t>
  </si>
  <si>
    <t>C25-0006</t>
  </si>
  <si>
    <t>Đỗ Thị Nguyệt</t>
  </si>
  <si>
    <t>dtnguyet@misa.com.vn</t>
  </si>
  <si>
    <t>B06-0292</t>
  </si>
  <si>
    <t>Ngô Tuấn Phong</t>
  </si>
  <si>
    <t>JETPAY_SWEL</t>
  </si>
  <si>
    <t>ntphong@software.misa.com.vn</t>
  </si>
  <si>
    <t>D10-0197</t>
  </si>
  <si>
    <t>nttuyen1@hcm.misa.com.vn</t>
  </si>
  <si>
    <t>D09-0045</t>
  </si>
  <si>
    <t>Nguyễn Thị Phương Quyên</t>
  </si>
  <si>
    <t>PGĐVP phụ trách BO</t>
  </si>
  <si>
    <t>BOM_VD_BO</t>
  </si>
  <si>
    <t>npquyen@hcm.misa.com.vn</t>
  </si>
  <si>
    <t>ĐH Quốc Gia TP.HCM</t>
  </si>
  <si>
    <t>J-0001</t>
  </si>
  <si>
    <t>Trần Sơn Tùng</t>
  </si>
  <si>
    <t>JETPAY_PA</t>
  </si>
  <si>
    <t>tstung@jetpay.vn</t>
  </si>
  <si>
    <t>A22-0005</t>
  </si>
  <si>
    <t>Đỗ Thanh Tùng</t>
  </si>
  <si>
    <t>dttung@misa.com.vn</t>
  </si>
  <si>
    <t>D20-0015</t>
  </si>
  <si>
    <t>Vương Thị Lệ Thu</t>
  </si>
  <si>
    <t>NV tư vấn triển khai phần mềm quốc tế</t>
  </si>
  <si>
    <t>SB_FSALE_ONB</t>
  </si>
  <si>
    <t>vlthu@misa.com.vn</t>
  </si>
  <si>
    <t>B-1161</t>
  </si>
  <si>
    <t>Phan Đức Đạo</t>
  </si>
  <si>
    <t>pddao@software.jetpay.vn</t>
  </si>
  <si>
    <t>ĐH Kiến Trúc Hà Nội</t>
  </si>
  <si>
    <t>A-0227</t>
  </si>
  <si>
    <t>Nguyễn Như Hiếu</t>
  </si>
  <si>
    <t>Phó giám đốc JETPAY</t>
  </si>
  <si>
    <t>L10.01</t>
  </si>
  <si>
    <t>JETPAY_VD</t>
  </si>
  <si>
    <t>nnhieu@rd.misa.com.vn</t>
  </si>
  <si>
    <t>Đại học Kinh tế chính trị LSE (London - Anh Quốc)</t>
  </si>
  <si>
    <t>B-0688</t>
  </si>
  <si>
    <t>Vũ Hải Dương</t>
  </si>
  <si>
    <t>vhduong@jetpay.vn</t>
  </si>
  <si>
    <t>B08-0181</t>
  </si>
  <si>
    <t>Phạm Thùy Dương</t>
  </si>
  <si>
    <t>ptduong@software.jetpay.vn</t>
  </si>
  <si>
    <t>C09-0252</t>
  </si>
  <si>
    <t>Ngô Thị Thúy Huyền</t>
  </si>
  <si>
    <t>nthuyen@jetpay.vn</t>
  </si>
  <si>
    <t>B-0802</t>
  </si>
  <si>
    <t>ttanh2@software.misa.com.vn</t>
  </si>
  <si>
    <t>B-0689</t>
  </si>
  <si>
    <t>Nguyễn Đức Bình</t>
  </si>
  <si>
    <t>ndbinh@jetpay.vn</t>
  </si>
  <si>
    <t>H11-0165</t>
  </si>
  <si>
    <t>Trịnh Thị Tuyết Mỹ</t>
  </si>
  <si>
    <t>Nhân viên HR</t>
  </si>
  <si>
    <t>BO_HCTH_HR</t>
  </si>
  <si>
    <t>ttmy@support.misa.com.vn</t>
  </si>
  <si>
    <t>Trường đại học công nghệ Sài Gòn</t>
  </si>
  <si>
    <t>C01-0001</t>
  </si>
  <si>
    <t>Tổng Giám đốc</t>
  </si>
  <si>
    <t>BOD_CEO</t>
  </si>
  <si>
    <t>dtthuy@misa.com.vn</t>
  </si>
  <si>
    <t>A05-0008</t>
  </si>
  <si>
    <t>Nguyễn Thị Ngoan</t>
  </si>
  <si>
    <t>Giám đốc Tài chính</t>
  </si>
  <si>
    <t>L03.36</t>
  </si>
  <si>
    <t>BOD_CFO</t>
  </si>
  <si>
    <t>ntngoan@misa.com.vn</t>
  </si>
  <si>
    <t>F01-0001</t>
  </si>
  <si>
    <t>Vũ Trí Thức</t>
  </si>
  <si>
    <t>L07.01</t>
  </si>
  <si>
    <t>vtthuc@bmt.misa.com.vn</t>
  </si>
  <si>
    <t>F01-0002</t>
  </si>
  <si>
    <t>Phạm Đức Huy</t>
  </si>
  <si>
    <t>pdhuy@bmt.misa.com.vn</t>
  </si>
  <si>
    <t>E10-0058</t>
  </si>
  <si>
    <t>Dư Quốc Anh</t>
  </si>
  <si>
    <t>dqanh@dng.misa.com.vn</t>
  </si>
  <si>
    <t>A05-0015</t>
  </si>
  <si>
    <t>Nguyễn Phước Thịnh</t>
  </si>
  <si>
    <t>Trợ lý kế hoạch đầu tư</t>
  </si>
  <si>
    <t>BO_INVE_ASS</t>
  </si>
  <si>
    <t>npthinh@misa.com.vn</t>
  </si>
  <si>
    <t>A05-0018</t>
  </si>
  <si>
    <t>Trần Khánh Huy</t>
  </si>
  <si>
    <t>Trưởng phòng Kế hoạch đầu tư</t>
  </si>
  <si>
    <t>BO_INVE_MGR</t>
  </si>
  <si>
    <t>tkhuy@misa.com.vn</t>
  </si>
  <si>
    <t>City University</t>
  </si>
  <si>
    <t>A-0297</t>
  </si>
  <si>
    <t>Nguyễn Thị Hà Trang</t>
  </si>
  <si>
    <t>nhtrang1@misa.com.vn</t>
  </si>
  <si>
    <t>A05-0014</t>
  </si>
  <si>
    <t>Trần Đức Nguyện</t>
  </si>
  <si>
    <t>L03.12</t>
  </si>
  <si>
    <t>tdnguyen@misa.com.vn</t>
  </si>
  <si>
    <t>A05-0009</t>
  </si>
  <si>
    <t>Hoàng Hồng Quyết</t>
  </si>
  <si>
    <t>Kế toán trưởng</t>
  </si>
  <si>
    <t>BO_FIN_CACT</t>
  </si>
  <si>
    <t>hhquyet@misa.com.vn</t>
  </si>
  <si>
    <t>Quản trị Tài chính doanh nghiệp</t>
  </si>
  <si>
    <t>A05-0007</t>
  </si>
  <si>
    <t>Nguyễn Thị Diệu Thuần</t>
  </si>
  <si>
    <t>ndthuan@misa.com.vn</t>
  </si>
  <si>
    <t>A05-0019</t>
  </si>
  <si>
    <t>Đặng Nhật Anh</t>
  </si>
  <si>
    <t>dnanh@misa.com.vn</t>
  </si>
  <si>
    <t>Đại học Monash, Úc</t>
  </si>
  <si>
    <t>A05-0006</t>
  </si>
  <si>
    <t>ntngoc@misa.com.vn</t>
  </si>
  <si>
    <t>A-0443</t>
  </si>
  <si>
    <t>Trần Thu Phương</t>
  </si>
  <si>
    <t>Thư ký chủ tịch HĐQT</t>
  </si>
  <si>
    <t>BO_AD_SECR</t>
  </si>
  <si>
    <t>ttphuong1@misa.com.vn</t>
  </si>
  <si>
    <t>ĐH RMIT TP.HCM</t>
  </si>
  <si>
    <t>C02-0009</t>
  </si>
  <si>
    <t>Nguyễn Thị Hân</t>
  </si>
  <si>
    <t>nthan@misa.com.vn</t>
  </si>
  <si>
    <t>Phổ thông trung học số 3 Quận Đống Đa</t>
  </si>
  <si>
    <t>A02-0007</t>
  </si>
  <si>
    <t>Lê Đình Hùng</t>
  </si>
  <si>
    <t>ldhung@misa.com.vn</t>
  </si>
  <si>
    <t>Trường THPH Lê Hoàn</t>
  </si>
  <si>
    <t>C09-0191</t>
  </si>
  <si>
    <t>Hoàng Kim Tuyến</t>
  </si>
  <si>
    <t>hktuyen@misa.com.vn</t>
  </si>
  <si>
    <t>Chính trị học</t>
  </si>
  <si>
    <t>C09-0161</t>
  </si>
  <si>
    <t>Trần Quang Vinh</t>
  </si>
  <si>
    <t>tqvinh@misa.com.vn</t>
  </si>
  <si>
    <t>C10-0052</t>
  </si>
  <si>
    <t>nhyen@misa.com.vn</t>
  </si>
  <si>
    <t>A-0290</t>
  </si>
  <si>
    <t>Phạm Việt Anh</t>
  </si>
  <si>
    <t>Chuyên viên nghiên cứu thị trường</t>
  </si>
  <si>
    <t>BO_MM_MRA</t>
  </si>
  <si>
    <t>pvanh@misa.com.vn</t>
  </si>
  <si>
    <t>Đại học UCAM</t>
  </si>
  <si>
    <t>A-0412</t>
  </si>
  <si>
    <t>Dương Thu Phương</t>
  </si>
  <si>
    <t>dtphuong@misa.com.vn</t>
  </si>
  <si>
    <t>Đại học Kinh tế quốc dân</t>
  </si>
  <si>
    <t>A-0440</t>
  </si>
  <si>
    <t>Thân Minh Hiếu</t>
  </si>
  <si>
    <t>tmhieu@misa.com.vn</t>
  </si>
  <si>
    <t>A-0439</t>
  </si>
  <si>
    <t>Nguyễn Thị Thu Hằng</t>
  </si>
  <si>
    <t>ntthang@misa.com.vn</t>
  </si>
  <si>
    <t>Quản trị Khách sạn</t>
  </si>
  <si>
    <t>A-0387</t>
  </si>
  <si>
    <t>Nguyễn Thị Tuyết Ngân</t>
  </si>
  <si>
    <t>ntngan1@misa.com.vn</t>
  </si>
  <si>
    <t>Học Viện Tài Chính Ngân Hàng</t>
  </si>
  <si>
    <t>A-0385</t>
  </si>
  <si>
    <t>Vũ Thị Uyên</t>
  </si>
  <si>
    <t>vtuyen@misa.com.vn</t>
  </si>
  <si>
    <t>A-0315</t>
  </si>
  <si>
    <t>Phạm Thị Bích Ngọc</t>
  </si>
  <si>
    <t>pbngoc@misa.com.vn</t>
  </si>
  <si>
    <t>A-0293</t>
  </si>
  <si>
    <t>SB_MKT_ASP</t>
  </si>
  <si>
    <t>nhtrang@misa.com.vn</t>
  </si>
  <si>
    <t>C09-0548</t>
  </si>
  <si>
    <t>Nguyễn Tuấn Cường</t>
  </si>
  <si>
    <t>Q. Trưởng phòng chăm sóc đối tác</t>
  </si>
  <si>
    <t>PF_A.PSMM_ASP</t>
  </si>
  <si>
    <t>ntcuong1@misa.com.vn</t>
  </si>
  <si>
    <t>C09-0363</t>
  </si>
  <si>
    <t>Lê Thị Thu Thanh</t>
  </si>
  <si>
    <t>ltthanh@misa.com.vn</t>
  </si>
  <si>
    <t>C09-0158</t>
  </si>
  <si>
    <t>Bùi Thị Trang</t>
  </si>
  <si>
    <t>Giám đốc MISA ASP</t>
  </si>
  <si>
    <t>SB_SD_ASP</t>
  </si>
  <si>
    <t>bttrang@misa.com.vn</t>
  </si>
  <si>
    <t>A-0282</t>
  </si>
  <si>
    <t>Đỗ Việt Hà</t>
  </si>
  <si>
    <t>Trưởng ban pháp chế</t>
  </si>
  <si>
    <t>BO_LD_MGR</t>
  </si>
  <si>
    <t>dvha@misa.com.vn</t>
  </si>
  <si>
    <t>Luật</t>
  </si>
  <si>
    <t>C02-0011</t>
  </si>
  <si>
    <t>Triệu Xuân Tùng</t>
  </si>
  <si>
    <t>txtung@hcm.misa.com.vn</t>
  </si>
  <si>
    <t>C10-0002</t>
  </si>
  <si>
    <t>Đỗ Quỳnh Anh</t>
  </si>
  <si>
    <t>GĐTT Tư vấn&amp;HTKH</t>
  </si>
  <si>
    <t>Ban Giám đốc TT TV&amp;HTKH</t>
  </si>
  <si>
    <t>L02.01</t>
  </si>
  <si>
    <t>BOM_CCD</t>
  </si>
  <si>
    <t>dqanh@support.misa.com.vn</t>
  </si>
  <si>
    <t>A01-0005</t>
  </si>
  <si>
    <t>Lữ Hồng Chương</t>
  </si>
  <si>
    <t>Phó Chủ tịch HĐQT</t>
  </si>
  <si>
    <t>BOD_VCOB</t>
  </si>
  <si>
    <t>lhchuong@hcm.misa.com.vn</t>
  </si>
  <si>
    <t>Gia công căt gọt kim loại</t>
  </si>
  <si>
    <t>Trung cấp sư phạm kỹ thuật công nghiệp 1 Taskent</t>
  </si>
  <si>
    <t>A01-0002</t>
  </si>
  <si>
    <t>Nguyễn Xuân Hoàng</t>
  </si>
  <si>
    <t>nxhoang@misa.com.vn</t>
  </si>
  <si>
    <t>A-0244</t>
  </si>
  <si>
    <t>Nguyễn Thị Hậu</t>
  </si>
  <si>
    <t>nthau@misa.com.vn</t>
  </si>
  <si>
    <t>C02-0010</t>
  </si>
  <si>
    <t>Trần Quang Cảnh</t>
  </si>
  <si>
    <t>tqcanh@support.misa.com.vn</t>
  </si>
  <si>
    <t>Học Viện Bưu chính viễn thông</t>
  </si>
  <si>
    <t>C12-0031</t>
  </si>
  <si>
    <t>nthong@support.misa.com.vn</t>
  </si>
  <si>
    <t>H-0147</t>
  </si>
  <si>
    <t>Nguyễn Viết Long</t>
  </si>
  <si>
    <t>nvlong@support.misa.com.vn</t>
  </si>
  <si>
    <t>C09-0041</t>
  </si>
  <si>
    <t>Hoàng Thị Thu Hà</t>
  </si>
  <si>
    <t>htha@support.misa.com.vn</t>
  </si>
  <si>
    <t>E02-0003</t>
  </si>
  <si>
    <t>Hoàng Thị Tơ</t>
  </si>
  <si>
    <t>htto@dng.misa.com.vn</t>
  </si>
  <si>
    <t>CĐ Kinh tế - Kỹ thuật Thương Mại</t>
  </si>
  <si>
    <t>E-0122</t>
  </si>
  <si>
    <t>Mai Phục Viên</t>
  </si>
  <si>
    <t>mpvien@dng.misa.com.vn</t>
  </si>
  <si>
    <t>E-0118</t>
  </si>
  <si>
    <t>Đặng Thị Van</t>
  </si>
  <si>
    <t>dtvan@dng.misa.com.vn</t>
  </si>
  <si>
    <t>E09-0048</t>
  </si>
  <si>
    <t>nathu@dng.misa.com.vn</t>
  </si>
  <si>
    <t>E01-0002</t>
  </si>
  <si>
    <t>Nguyễn Hồng Hải</t>
  </si>
  <si>
    <t>nhhai@dng.misa.com.vn</t>
  </si>
  <si>
    <t>E10-0005</t>
  </si>
  <si>
    <t>Dương Văn Hiệp</t>
  </si>
  <si>
    <t>dvhiep@dng.misa.com.vn</t>
  </si>
  <si>
    <t>Trường ĐH Kinh tế Đà Nẵng</t>
  </si>
  <si>
    <t>E02-0011</t>
  </si>
  <si>
    <t>Đoàn Công Hậu</t>
  </si>
  <si>
    <t>dchau@dng.misa.com.vn</t>
  </si>
  <si>
    <t>CĐ Công nghệ thông tin Hữu nghị Việt Hàn</t>
  </si>
  <si>
    <t>H11-0212</t>
  </si>
  <si>
    <t>Võ Lê Thị Tường Vy</t>
  </si>
  <si>
    <t>vtvy@dng.misa.com.vn</t>
  </si>
  <si>
    <t>A01-0007</t>
  </si>
  <si>
    <t>Edward Francis Sippel</t>
  </si>
  <si>
    <t>C11-0005</t>
  </si>
  <si>
    <t>Nguyễn Thị Thanh Nhàn</t>
  </si>
  <si>
    <t>ntnhan1@software.misa.com.vn</t>
  </si>
  <si>
    <t>C11-0007</t>
  </si>
  <si>
    <t>Trần Mai Nhung</t>
  </si>
  <si>
    <t>[MIMOSA] Nhóm Phân tích &amp; Thiết kế</t>
  </si>
  <si>
    <t>L01.29.04.02</t>
  </si>
  <si>
    <t>tmnhung@software.misa.com.vn</t>
  </si>
  <si>
    <t>B06-0476</t>
  </si>
  <si>
    <t>Đào Văn Trọng</t>
  </si>
  <si>
    <t>dvtrong@software.misa.com.vn</t>
  </si>
  <si>
    <t>B06-0477</t>
  </si>
  <si>
    <t>Đặng Giang Sơn</t>
  </si>
  <si>
    <t>dgson@software.misa.com.vn</t>
  </si>
  <si>
    <t>B-0677</t>
  </si>
  <si>
    <t>Trần Thị Hương Trang</t>
  </si>
  <si>
    <t>thtrang1@software.misa.com.vn</t>
  </si>
  <si>
    <t>Hóa sinh</t>
  </si>
  <si>
    <t>Cao đẳng sư phạm Quảng Ninh</t>
  </si>
  <si>
    <t>B06-0309</t>
  </si>
  <si>
    <t>Nguyễn Ngọc Thạo</t>
  </si>
  <si>
    <t>nnthao@software.misa.com.vn</t>
  </si>
  <si>
    <t>B-0952</t>
  </si>
  <si>
    <t>Nguyễn Minh Thắng</t>
  </si>
  <si>
    <t>nmthang2@software.misa.com.vn</t>
  </si>
  <si>
    <t>B-0685</t>
  </si>
  <si>
    <t>Bạch Quốc Hùng</t>
  </si>
  <si>
    <t>bqhung@software.misa.com.vn</t>
  </si>
  <si>
    <t>B-0944</t>
  </si>
  <si>
    <t>Trương Trung Kiên</t>
  </si>
  <si>
    <t>ttkien1@mdc.misa.com.vn</t>
  </si>
  <si>
    <t>B-0947</t>
  </si>
  <si>
    <t>Hoàng Gia Long</t>
  </si>
  <si>
    <t>Dự án Quản lý cửa hàng Mobile (TTVN)</t>
  </si>
  <si>
    <t>L01.30.03.02</t>
  </si>
  <si>
    <t>hglong@mdc.misa.com.vn</t>
  </si>
  <si>
    <t>B-0683</t>
  </si>
  <si>
    <t>ntthao1@software.misa.com.vn</t>
  </si>
  <si>
    <t>Ngân hàng &amp; Tài chính quốc tế</t>
  </si>
  <si>
    <t>B-0942</t>
  </si>
  <si>
    <t>Trần Thị Chung Phương</t>
  </si>
  <si>
    <t>tcphuong@software.misa.com.vn</t>
  </si>
  <si>
    <t>B-0618</t>
  </si>
  <si>
    <t>Trần Duy Bá</t>
  </si>
  <si>
    <t>tdba@software.misa.com.vn</t>
  </si>
  <si>
    <t>B06-0190</t>
  </si>
  <si>
    <t>Nguyễn Huy Hảo</t>
  </si>
  <si>
    <t>nhhao@software.misa.com.vn</t>
  </si>
  <si>
    <t>B06-0287</t>
  </si>
  <si>
    <t>Hoàng Hải Đông</t>
  </si>
  <si>
    <t>hhdong@mdc.misa.com.vn</t>
  </si>
  <si>
    <t>B08-0167</t>
  </si>
  <si>
    <t>Phạm Thành Công</t>
  </si>
  <si>
    <t>ptcong@software.misa.com.vn</t>
  </si>
  <si>
    <t>B-1061</t>
  </si>
  <si>
    <t>Nguyễn Xuân Quang</t>
  </si>
  <si>
    <t>nxquang@software.misa.com.vn</t>
  </si>
  <si>
    <t>B-0836</t>
  </si>
  <si>
    <t>dtthuy2@software.misa.com.vn</t>
  </si>
  <si>
    <t>B-0853</t>
  </si>
  <si>
    <t>Phạm Hải Dương</t>
  </si>
  <si>
    <t>phduong@software.misa.com.vn</t>
  </si>
  <si>
    <t>B08-0183</t>
  </si>
  <si>
    <t>nvanh2@software.misa.com.vn</t>
  </si>
  <si>
    <t>B-0522</t>
  </si>
  <si>
    <t>Hoàng Cẩm Tú</t>
  </si>
  <si>
    <t>hctu@software.misa.com.vn</t>
  </si>
  <si>
    <t>Quản lý hoạt động văn hóa tư tưởng</t>
  </si>
  <si>
    <t>B-1030</t>
  </si>
  <si>
    <t>Vương Ngọc Quân</t>
  </si>
  <si>
    <t>vnquan@software.misa.com.vn</t>
  </si>
  <si>
    <t>B-1065</t>
  </si>
  <si>
    <t>Khuất Quang Hoàng</t>
  </si>
  <si>
    <t>kqhoang@software.misa.com.vn</t>
  </si>
  <si>
    <t>B-1068</t>
  </si>
  <si>
    <t>Nguyễn Thị Thu Uyên</t>
  </si>
  <si>
    <t>ntuyen@software.misa.com.vn</t>
  </si>
  <si>
    <t>B-1069</t>
  </si>
  <si>
    <t>Phạm Thị Luyến</t>
  </si>
  <si>
    <t>ptluyen@software.misa.com.vn</t>
  </si>
  <si>
    <t>B-1070</t>
  </si>
  <si>
    <t>Vũ Quang Phong</t>
  </si>
  <si>
    <t>vqphong@software.misa.com.vn</t>
  </si>
  <si>
    <t>Trường Đh Công Nghệ- Đại Học Quốc Gia Hà Nội</t>
  </si>
  <si>
    <t>B-1079</t>
  </si>
  <si>
    <t>Phạm Văn Linh</t>
  </si>
  <si>
    <t>pvlinh1@software.misa.com.vn</t>
  </si>
  <si>
    <t>B-1078</t>
  </si>
  <si>
    <t>Phạm Sơn Hải</t>
  </si>
  <si>
    <t>pshai@software.misa.com.vn</t>
  </si>
  <si>
    <t>B-1077</t>
  </si>
  <si>
    <t>Vũ Đức Đông</t>
  </si>
  <si>
    <t>vddong@software.misa.com.vn</t>
  </si>
  <si>
    <t>B-1072</t>
  </si>
  <si>
    <t>Phạm Quốc Bình</t>
  </si>
  <si>
    <t>pqbinh@software.misa.com.vn</t>
  </si>
  <si>
    <t>B-1089</t>
  </si>
  <si>
    <t>nhanh3@software.misa.com.vn</t>
  </si>
  <si>
    <t>B-1088</t>
  </si>
  <si>
    <t>Phạm Thị Chanh</t>
  </si>
  <si>
    <t>ptchanh@software.misa.com.vn</t>
  </si>
  <si>
    <t>B-1092</t>
  </si>
  <si>
    <t>ntdat1@software.misa.com.vn</t>
  </si>
  <si>
    <t>B-1057</t>
  </si>
  <si>
    <t>Nguyễn Đức Mạnh</t>
  </si>
  <si>
    <t>ndmanh2@software.misa.com.vn</t>
  </si>
  <si>
    <t>B-0937</t>
  </si>
  <si>
    <t>Đào Quang Duy</t>
  </si>
  <si>
    <t>dqduy@software.misa.com.vn</t>
  </si>
  <si>
    <t>B-0668</t>
  </si>
  <si>
    <t>Nguyễn Sơn Dương</t>
  </si>
  <si>
    <t>nsduong@software.misa.com.vn</t>
  </si>
  <si>
    <t>B-0666</t>
  </si>
  <si>
    <t>Lê Việt Hoàng</t>
  </si>
  <si>
    <t>lvhoang@software.misa.com.vn</t>
  </si>
  <si>
    <t>B-0667</t>
  </si>
  <si>
    <t>Tạ Long Khánh</t>
  </si>
  <si>
    <t>tlkhanh@software.misa.com.vn</t>
  </si>
  <si>
    <t>B-0665</t>
  </si>
  <si>
    <t>Lê Hồng Phong</t>
  </si>
  <si>
    <t>lhphong@software.misa.com.vn</t>
  </si>
  <si>
    <t>B-0660</t>
  </si>
  <si>
    <t>Lưu Văn Thọ</t>
  </si>
  <si>
    <t>lvtho@software.misa.com.vn</t>
  </si>
  <si>
    <t>B06-0519</t>
  </si>
  <si>
    <t>Nguyễn Văn Xuân</t>
  </si>
  <si>
    <t>nvxuan@software.misa.com.vn</t>
  </si>
  <si>
    <t>B08-0177</t>
  </si>
  <si>
    <t>Dương Thị Thảo</t>
  </si>
  <si>
    <t>dtthao1@software.misa.com.vn</t>
  </si>
  <si>
    <t>B-0727</t>
  </si>
  <si>
    <t>Kiều Anh Dũng</t>
  </si>
  <si>
    <t>kadung@software.misa.com.vn</t>
  </si>
  <si>
    <t>B06-0490</t>
  </si>
  <si>
    <t>Lã Thanh Nam</t>
  </si>
  <si>
    <t>ltnam@software.misa.com.vn</t>
  </si>
  <si>
    <t>B08-0051</t>
  </si>
  <si>
    <t>Nông Thị Thúy</t>
  </si>
  <si>
    <t>ntthuy1@software.misa.com.vn</t>
  </si>
  <si>
    <t>B06-0435</t>
  </si>
  <si>
    <t>ntkien2@software.misa.com.vn</t>
  </si>
  <si>
    <t>B-0933</t>
  </si>
  <si>
    <t>Ngô Việt Chung</t>
  </si>
  <si>
    <t>nvchung@software.misa.com.vn</t>
  </si>
  <si>
    <t>B-0752</t>
  </si>
  <si>
    <t>Phạm Như Quỳnh</t>
  </si>
  <si>
    <t>pnquynh@software.misa.com.vn</t>
  </si>
  <si>
    <t>C11-0003</t>
  </si>
  <si>
    <t>Lưu Thị Cẩm Nhung</t>
  </si>
  <si>
    <t>Trưởng phòng Hỗ trợ kỹ thuật</t>
  </si>
  <si>
    <t>SDC_TSP_MGR</t>
  </si>
  <si>
    <t>lcnhung@software.misa.com.vn</t>
  </si>
  <si>
    <t>B-0864</t>
  </si>
  <si>
    <t>Lê Thị Ngọc Thảo</t>
  </si>
  <si>
    <t>lnthao@software.misa.com.vn</t>
  </si>
  <si>
    <t>B07-0003</t>
  </si>
  <si>
    <t>Hồ Thị Kim Dung</t>
  </si>
  <si>
    <t>hkdung@software.misa.com.vn</t>
  </si>
  <si>
    <t>B06-0021</t>
  </si>
  <si>
    <t>Dương Ngô Thắng</t>
  </si>
  <si>
    <t>dnthang@software.misa.com.vn</t>
  </si>
  <si>
    <t>B-1031</t>
  </si>
  <si>
    <t>Ma Thế Thiêm</t>
  </si>
  <si>
    <t>mtthiem@software.misa.com.vn</t>
  </si>
  <si>
    <t>Đại Học Công Nghệ Thông Tin Và Truyền Thông Đại Học Thái Nguyên Chuyên</t>
  </si>
  <si>
    <t>B-1039</t>
  </si>
  <si>
    <t>Nguyễn Thị Ngọc Mai</t>
  </si>
  <si>
    <t>nnmai@software.misa.com.vn</t>
  </si>
  <si>
    <t>B-1043</t>
  </si>
  <si>
    <t>Hoàng Trung Hiếu</t>
  </si>
  <si>
    <t>hthieu@software.misa.com.vn</t>
  </si>
  <si>
    <t>B-1052</t>
  </si>
  <si>
    <t>[AMIS Đánh giá] Nhóm Phân tích &amp; Thiết kế</t>
  </si>
  <si>
    <t>L01.28.03.02</t>
  </si>
  <si>
    <t>ntlinh3@software.misa.com.vn</t>
  </si>
  <si>
    <t>B-1041</t>
  </si>
  <si>
    <t>ttanh3@software.misa.com.vn</t>
  </si>
  <si>
    <t>Mạng máy tính và truyền thông dữ liệu</t>
  </si>
  <si>
    <t>B-1037</t>
  </si>
  <si>
    <t>Vũ Thái Sơn</t>
  </si>
  <si>
    <t>vtson@software.misa.com.vn</t>
  </si>
  <si>
    <t>B08-0192</t>
  </si>
  <si>
    <t>Phí Thị Bích Ngọc</t>
  </si>
  <si>
    <t>Trưởng nhóm kiểm thử tự động</t>
  </si>
  <si>
    <t>SDC_QCAUL</t>
  </si>
  <si>
    <t>pbngoc@software.misa.com.vn</t>
  </si>
  <si>
    <t>B-0654</t>
  </si>
  <si>
    <t>Trịnh Văn Chiến</t>
  </si>
  <si>
    <t>tvchien@software.misa.com.vn</t>
  </si>
  <si>
    <t>B-0655</t>
  </si>
  <si>
    <t>Nguyễn Trọng Quý</t>
  </si>
  <si>
    <t>ntquy@software.misa.com.vn</t>
  </si>
  <si>
    <t>B-0928</t>
  </si>
  <si>
    <t>Phạm Văn Hải</t>
  </si>
  <si>
    <t>pvhai@software.misa.com.vn</t>
  </si>
  <si>
    <t>B-0925</t>
  </si>
  <si>
    <t>Vũ Thị Kiều Thu</t>
  </si>
  <si>
    <t>vkthu@software.misa.com.vn</t>
  </si>
  <si>
    <t>Quản lý thuế</t>
  </si>
  <si>
    <t>B-0926</t>
  </si>
  <si>
    <t>Bùi Mạnh Thắng</t>
  </si>
  <si>
    <t>bmthang@software.misa.com.vn</t>
  </si>
  <si>
    <t>B-0640</t>
  </si>
  <si>
    <t>ntanh2@software.misa.com.vn</t>
  </si>
  <si>
    <t>B-0644</t>
  </si>
  <si>
    <t>vmhieu@software.misa.com.vn</t>
  </si>
  <si>
    <t>B-0649</t>
  </si>
  <si>
    <t>ntgiang2@software.misa.com.vn</t>
  </si>
  <si>
    <t>B-0924</t>
  </si>
  <si>
    <t>Trần Việt Anh</t>
  </si>
  <si>
    <t>tvanh@software.misa.com.vn</t>
  </si>
  <si>
    <t>B-0635</t>
  </si>
  <si>
    <t>Trần Trọng Điển</t>
  </si>
  <si>
    <t>ttdien@software.misa.com.vn</t>
  </si>
  <si>
    <t>B-0628</t>
  </si>
  <si>
    <t>Hà Minh Trí</t>
  </si>
  <si>
    <t>hmtri@software.misa.com.vn</t>
  </si>
  <si>
    <t>B-0923</t>
  </si>
  <si>
    <t>nhnam1@software.misa.com.vn</t>
  </si>
  <si>
    <t>B-0922</t>
  </si>
  <si>
    <t>Trần Thanh Dung</t>
  </si>
  <si>
    <t>ttdung3@software.misa.com.vn</t>
  </si>
  <si>
    <t>Trường Đại Học Tài Nguyên Và Môi Trường Hà Nội</t>
  </si>
  <si>
    <t>B-0611</t>
  </si>
  <si>
    <t>Đàm Minh Giảng</t>
  </si>
  <si>
    <t>dmgiang@software.misa.com.vn</t>
  </si>
  <si>
    <t>B-1035</t>
  </si>
  <si>
    <t>Nguyễn Tiến Thế</t>
  </si>
  <si>
    <t>ntthe@software.misa.com.vn</t>
  </si>
  <si>
    <t>B-0967</t>
  </si>
  <si>
    <t>Chu Thị Trang</t>
  </si>
  <si>
    <t>cttrang@software.misa.com.vn</t>
  </si>
  <si>
    <t>B-0981</t>
  </si>
  <si>
    <t>Lương Thị Hồng Ngọc</t>
  </si>
  <si>
    <t>lhngoc1@software.misa.com.vn</t>
  </si>
  <si>
    <t>B-0975</t>
  </si>
  <si>
    <t>nhtrang1@software.misa.com.vn</t>
  </si>
  <si>
    <t>B-0903</t>
  </si>
  <si>
    <t>Đỗ Mạnh Hà</t>
  </si>
  <si>
    <t>dmha@software.misa.com.vn</t>
  </si>
  <si>
    <t>B-1016</t>
  </si>
  <si>
    <t>Lê Tú Oanh</t>
  </si>
  <si>
    <t>ltoanh@software.misa.com.vn</t>
  </si>
  <si>
    <t>B-0623</t>
  </si>
  <si>
    <t>Chu Văn Mạnh</t>
  </si>
  <si>
    <t>cvmanh@mdc.misa.com.vn</t>
  </si>
  <si>
    <t>B-0918</t>
  </si>
  <si>
    <t>Đỗ Trung Đức</t>
  </si>
  <si>
    <t>dtduc@software.misa.com.vn</t>
  </si>
  <si>
    <t>B-0917</t>
  </si>
  <si>
    <t>Phạm Anh Linh</t>
  </si>
  <si>
    <t>palinh@software.misa.com.vn</t>
  </si>
  <si>
    <t>B-0916</t>
  </si>
  <si>
    <t>nthuyen4@software.misa.com.vn</t>
  </si>
  <si>
    <t>B-0920</t>
  </si>
  <si>
    <t>nmquang3@software.misa.com.vn</t>
  </si>
  <si>
    <t>B-0913</t>
  </si>
  <si>
    <t>nvnam2@software.misa.com.vn</t>
  </si>
  <si>
    <t>B-0914</t>
  </si>
  <si>
    <t>Trần Thế Kiên</t>
  </si>
  <si>
    <t>ttkien@software.misa.com.vn</t>
  </si>
  <si>
    <t>B-0909</t>
  </si>
  <si>
    <t>Hoàng Thu Hằng</t>
  </si>
  <si>
    <t>hthang1@software.misa.com.vn</t>
  </si>
  <si>
    <t>B-0638</t>
  </si>
  <si>
    <t>Phạm Việt Thắng</t>
  </si>
  <si>
    <t>pvthang@software.misa.com.vn</t>
  </si>
  <si>
    <t>B-0609</t>
  </si>
  <si>
    <t>Nguyễn Hoàng Sơn</t>
  </si>
  <si>
    <t>nhson@software.misa.com.vn</t>
  </si>
  <si>
    <t>B-0614</t>
  </si>
  <si>
    <t>Bùi Long Hải</t>
  </si>
  <si>
    <t>blhai@rd.misa.com.vn</t>
  </si>
  <si>
    <t>B-0543</t>
  </si>
  <si>
    <t>Lê Thanh Tuấn</t>
  </si>
  <si>
    <t>lttuan@software.misa.com.vn</t>
  </si>
  <si>
    <t>B06-0414</t>
  </si>
  <si>
    <t>tthuyen@software.misa.com.vn</t>
  </si>
  <si>
    <t>B06-0217</t>
  </si>
  <si>
    <t>Trương Thị Hải Yến</t>
  </si>
  <si>
    <t>thyen@software.misa.com.vn</t>
  </si>
  <si>
    <t>B08-0202</t>
  </si>
  <si>
    <t>Trần Thị Quỳnh Phương</t>
  </si>
  <si>
    <t>tqphuong@software.misa.com.vn</t>
  </si>
  <si>
    <t>B-1020</t>
  </si>
  <si>
    <t>Nguyễn Lê Phương Thảo</t>
  </si>
  <si>
    <t>npthao3@software.misa.com.vn</t>
  </si>
  <si>
    <t>B-1005</t>
  </si>
  <si>
    <t>Bùi Thu Hằng</t>
  </si>
  <si>
    <t>bthang@software.misa.com.vn</t>
  </si>
  <si>
    <t>B06-0118</t>
  </si>
  <si>
    <t>Nguyễn Tuấn Tùng</t>
  </si>
  <si>
    <t>Ban giám đốc Khối DA Hộ cá thể</t>
  </si>
  <si>
    <t>L01.30.01</t>
  </si>
  <si>
    <t>nttung1@software.misa.com.vn</t>
  </si>
  <si>
    <t>B-1003</t>
  </si>
  <si>
    <t>Nguyễn Bảo Tín</t>
  </si>
  <si>
    <t>nbtin@software.misa.com.vn</t>
  </si>
  <si>
    <t>B-1001</t>
  </si>
  <si>
    <t>Đặng Xuân Hoàng</t>
  </si>
  <si>
    <t>dxhoang@software.misa.com.vn</t>
  </si>
  <si>
    <t>Học viện An ninh Nhân dân</t>
  </si>
  <si>
    <t>B-0997</t>
  </si>
  <si>
    <t>Bạch Hoàng Việt</t>
  </si>
  <si>
    <t>bhviet@software.misa.com.vn</t>
  </si>
  <si>
    <t>B-0995</t>
  </si>
  <si>
    <t>Nguyễn Thị Thanh Huyền</t>
  </si>
  <si>
    <t>nthuyen5@software.misa.com.vn</t>
  </si>
  <si>
    <t>H11-0039</t>
  </si>
  <si>
    <t>Đinh Thị Thảo</t>
  </si>
  <si>
    <t>dtthao3@software.misa.com.vn</t>
  </si>
  <si>
    <t>B06-0523</t>
  </si>
  <si>
    <t>Bùi Đức Trường</t>
  </si>
  <si>
    <t>Trưởng ban ANTT</t>
  </si>
  <si>
    <t>SDC_IS_MGR</t>
  </si>
  <si>
    <t>bdtruong@software.misa.com.vn</t>
  </si>
  <si>
    <t>B-0546</t>
  </si>
  <si>
    <t>Nguyễn Kim Ngân</t>
  </si>
  <si>
    <t>nkngan1@software.misa.com.vn</t>
  </si>
  <si>
    <t>Lập trình máy tính</t>
  </si>
  <si>
    <t>CĐ Nghề Bách khoa Hà Nội</t>
  </si>
  <si>
    <t>B06-0283</t>
  </si>
  <si>
    <t>Đỗ Thị Thanh Trà</t>
  </si>
  <si>
    <t>dttra@software.misa.com.vn</t>
  </si>
  <si>
    <t>B-0601</t>
  </si>
  <si>
    <t>Đỗ Thị Huế</t>
  </si>
  <si>
    <t>dthue@software.misa.com.vn</t>
  </si>
  <si>
    <t>B-0597</t>
  </si>
  <si>
    <t>Đặng Lê Huy</t>
  </si>
  <si>
    <t>dlhuy@software.misa.com.vn</t>
  </si>
  <si>
    <t>IS</t>
  </si>
  <si>
    <t>B-0907</t>
  </si>
  <si>
    <t>vmhoang1@software.misa.com.vn</t>
  </si>
  <si>
    <t>B-0585</t>
  </si>
  <si>
    <t>Đặng Thị Nga</t>
  </si>
  <si>
    <t>dtnga3@software.misa.com.vn</t>
  </si>
  <si>
    <t>B-0899</t>
  </si>
  <si>
    <t>nhanh2@software.misa.com.vn</t>
  </si>
  <si>
    <t>B-0896</t>
  </si>
  <si>
    <t>Nguyễn Huy Hùng</t>
  </si>
  <si>
    <t>nhhung@software.misa.com.vn</t>
  </si>
  <si>
    <t>B-0895</t>
  </si>
  <si>
    <t>Đỗ Đình Hưng</t>
  </si>
  <si>
    <t>ddhung@software.misa.com.vn</t>
  </si>
  <si>
    <t>B-0578</t>
  </si>
  <si>
    <t>Vũ Mạnh Quang</t>
  </si>
  <si>
    <t>vmquang@rd.misa.com.vn</t>
  </si>
  <si>
    <t>B-0579</t>
  </si>
  <si>
    <t>Nguyễn Công Bảo</t>
  </si>
  <si>
    <t>ncbao@software.misa.com.vn</t>
  </si>
  <si>
    <t>B-0992</t>
  </si>
  <si>
    <t>Nguyễn Thị Huệ</t>
  </si>
  <si>
    <t>nthue@software.misa.com.vn</t>
  </si>
  <si>
    <t>B-0964</t>
  </si>
  <si>
    <t>nvlinh@software.misa.com.vn</t>
  </si>
  <si>
    <t>B-0990</t>
  </si>
  <si>
    <t>Trần Văn Thái</t>
  </si>
  <si>
    <t>tvthai@software.misa.com.vn</t>
  </si>
  <si>
    <t>B-0973</t>
  </si>
  <si>
    <t>Nguyễn Tiến Chuyền</t>
  </si>
  <si>
    <t>ntchuyen@software.misa.com.vn</t>
  </si>
  <si>
    <t>B-0571</t>
  </si>
  <si>
    <t>Trần Cảnh Dương</t>
  </si>
  <si>
    <t>tcduong@software.misa.com.vn</t>
  </si>
  <si>
    <t>B-0558</t>
  </si>
  <si>
    <t>Nguyễn Quang Trung</t>
  </si>
  <si>
    <t>nqtrung1@software.misa.com.vn</t>
  </si>
  <si>
    <t>B-0559</t>
  </si>
  <si>
    <t>Bùi Khánh Ngọc Anh</t>
  </si>
  <si>
    <t>bnanh@software.misa.com.vn</t>
  </si>
  <si>
    <t>B-0875</t>
  </si>
  <si>
    <t>Đặng Thị Thúy Chang</t>
  </si>
  <si>
    <t>dtchang@software.misa.com.vn</t>
  </si>
  <si>
    <t>B-0873</t>
  </si>
  <si>
    <t>Trịnh Thu Uyên</t>
  </si>
  <si>
    <t>ttuyen@software.misa.com.vn</t>
  </si>
  <si>
    <t>B08-0162</t>
  </si>
  <si>
    <t>Nguyễn Hà Minh Anh</t>
  </si>
  <si>
    <t>nmanh1@software.misa.com.vn</t>
  </si>
  <si>
    <t>B06-0496</t>
  </si>
  <si>
    <t>Phạm Văn Hoàng</t>
  </si>
  <si>
    <t>pvhoang@software.misa.com.vn</t>
  </si>
  <si>
    <t>B-0533</t>
  </si>
  <si>
    <t>Trần Thị Sim</t>
  </si>
  <si>
    <t>ttsim@software.misa.com.vn</t>
  </si>
  <si>
    <t>B06-0532</t>
  </si>
  <si>
    <t>Nguyễn Kiều Thành Công</t>
  </si>
  <si>
    <t>ntcong@software.misa.com.vn</t>
  </si>
  <si>
    <t>B07-0041</t>
  </si>
  <si>
    <t>Nguyễn Ngọc Diệp</t>
  </si>
  <si>
    <t>L01.29.11</t>
  </si>
  <si>
    <t>nndiep@software.misa.com.vn</t>
  </si>
  <si>
    <t>Học viện Ngân Hàng</t>
  </si>
  <si>
    <t>B-0517</t>
  </si>
  <si>
    <t>Cao Văn Cường</t>
  </si>
  <si>
    <t>cvcuong1@software.misa.com.vn</t>
  </si>
  <si>
    <t>B-0486</t>
  </si>
  <si>
    <t>Nguyễn Mạnh Thắng</t>
  </si>
  <si>
    <t>nmthang1@software.misa.com.vn</t>
  </si>
  <si>
    <t>B07-0006</t>
  </si>
  <si>
    <t>Nguyễn Thị Mây</t>
  </si>
  <si>
    <t>ntmay@software.misa.com.vn</t>
  </si>
  <si>
    <t>B-0862</t>
  </si>
  <si>
    <t>lvduy@software.misa.com.vn</t>
  </si>
  <si>
    <t>Cao đẳng kinh tế Hồ Chí Minh</t>
  </si>
  <si>
    <t>B-0855</t>
  </si>
  <si>
    <t>ntdung5@software.misa.com.vn</t>
  </si>
  <si>
    <t>B-0851</t>
  </si>
  <si>
    <t>Trịnh Bảo Ngọc</t>
  </si>
  <si>
    <t>tbngoc@software.misa.com.vn</t>
  </si>
  <si>
    <t>B-0850</t>
  </si>
  <si>
    <t>Nguyễn Minh Tuân</t>
  </si>
  <si>
    <t>nmtuan4@software.misa.com.vn</t>
  </si>
  <si>
    <t>B-0849</t>
  </si>
  <si>
    <t>Nguyễn Huy Hoàng</t>
  </si>
  <si>
    <t>nhhoang1@software.misa.com.vn</t>
  </si>
  <si>
    <t>B-0847</t>
  </si>
  <si>
    <t>Nông Thị Diễm</t>
  </si>
  <si>
    <t>ntdiem@software.misa.com.vn</t>
  </si>
  <si>
    <t>B-0844</t>
  </si>
  <si>
    <t>Lê Hữu Tiến Dũng</t>
  </si>
  <si>
    <t>ltdung1@software.misa.com.vn</t>
  </si>
  <si>
    <t>B-0843</t>
  </si>
  <si>
    <t>Lê Quý Nhật</t>
  </si>
  <si>
    <t>lqnhat@software.misa.com.vn</t>
  </si>
  <si>
    <t>A02-0002</t>
  </si>
  <si>
    <t>Phó phòng HCTH</t>
  </si>
  <si>
    <t>BO_AD_DEP</t>
  </si>
  <si>
    <t>ntha3@fresher.misa.com.vn</t>
  </si>
  <si>
    <t>Văn hóa quần chúng</t>
  </si>
  <si>
    <t>Đại học Văn hóa Hà Nội</t>
  </si>
  <si>
    <t>C02-0005</t>
  </si>
  <si>
    <t>Bùi Doãn Hiếu</t>
  </si>
  <si>
    <t>bdhieu@software.misa.com.vn</t>
  </si>
  <si>
    <t>B-0749</t>
  </si>
  <si>
    <t>Lê Châu Anh</t>
  </si>
  <si>
    <t>lcanh@software.misa.com.vn</t>
  </si>
  <si>
    <t>H11-0121</t>
  </si>
  <si>
    <t>Trương Thị Kim Nhung</t>
  </si>
  <si>
    <t>tknhung@software.misa.com.vn</t>
  </si>
  <si>
    <t>DATA MÃ CƠ CẤU TỔ CHỨC (ORGANIZATION ID) 2024</t>
  </si>
  <si>
    <t>Khối</t>
  </si>
  <si>
    <t>Thị trường</t>
  </si>
  <si>
    <t>Khối KD</t>
  </si>
  <si>
    <t>Cấp 1 (Trung tâm/ cấp tương đương)</t>
  </si>
  <si>
    <t>Cấp 2 (Phòng/ Cấp tương đương)</t>
  </si>
  <si>
    <t>Cấp 3 (Nhóm/ Cấp tương đương)</t>
  </si>
  <si>
    <t>Trụ sở/ địa điểm</t>
  </si>
  <si>
    <t>Mã CCTC đề xuất</t>
  </si>
  <si>
    <t>CCTC hiện tại</t>
  </si>
  <si>
    <t>Mã</t>
  </si>
  <si>
    <t>Thuộc đơn vị</t>
  </si>
  <si>
    <t>Tên đơn vị</t>
  </si>
  <si>
    <t>h</t>
  </si>
  <si>
    <t>Trụ sở KSX</t>
  </si>
  <si>
    <t>KHỐI KD THỊ TRƯỜNG HCSN</t>
  </si>
  <si>
    <t>Trụ sở VP Hà Nội</t>
  </si>
  <si>
    <t>Trụ sở VP Hồ Chí Minh</t>
  </si>
  <si>
    <t>Trụ sở VP Đà Nẵng</t>
  </si>
  <si>
    <t>Trụ sở VP Buôn Mê Thuột</t>
  </si>
  <si>
    <t>Trụ sở VP Cần Thơ</t>
  </si>
  <si>
    <t>KHỐI KD THỊ TRƯỜNG DN</t>
  </si>
  <si>
    <t>KHỐI GIẢI PHÁP BÁN LẺ</t>
  </si>
  <si>
    <t>Trụ sở VP TCT</t>
  </si>
  <si>
    <t>KHỐI DOANH NGHIỆP NHỎ</t>
  </si>
  <si>
    <t>KHỐI DOANH NGHIỆP VỪA</t>
  </si>
  <si>
    <t>KHỐI DOANH NGHIỆP LỚN</t>
  </si>
  <si>
    <t>KHỐI KẾ TOÁN DỊCH VỤ</t>
  </si>
  <si>
    <t>KHỐI GIÁO DỤC TƯ THỤC</t>
  </si>
  <si>
    <t>KHỐI KD THỊ TRƯỜNG TOÀN CẦU</t>
  </si>
  <si>
    <t>KHỐI KD THỊ TRƯỜNG KHÁCH HÀNG CÁ NHÂN</t>
  </si>
  <si>
    <t>KHỐI HỖ TRỢ VÀ CHĂM SÓC KHÁCH HÀNG</t>
  </si>
  <si>
    <t>Trụ sở TT Hỗ trợ &amp; CSKH - HN</t>
  </si>
  <si>
    <t>Trụ sở TT Hỗ trợ &amp; CSKH - HCM</t>
  </si>
  <si>
    <t>KHỐI HỖ TRỢ</t>
  </si>
  <si>
    <t>L1.00.00.11.00.00.07</t>
  </si>
  <si>
    <t>Mã CCTC đề xuất (ko gán với địa điểm)</t>
  </si>
  <si>
    <t>Mã theo cctc mới</t>
  </si>
  <si>
    <t>Cơ cấu hiển thị trên HRM)</t>
  </si>
  <si>
    <t>Tên CCTC đề xuất</t>
  </si>
  <si>
    <t>Mã đơn vị cha</t>
  </si>
  <si>
    <t>NOTE</t>
  </si>
  <si>
    <t>Tên viết tắt</t>
  </si>
  <si>
    <t>HRM cần convert QTCT (x)</t>
  </si>
  <si>
    <t>Cấp tổ chức</t>
  </si>
  <si>
    <t>Công ty cổ phần MISA</t>
  </si>
  <si>
    <t>MISAJSC</t>
  </si>
  <si>
    <t>L4</t>
  </si>
  <si>
    <t>x</t>
  </si>
  <si>
    <t>BO_HĐQT</t>
  </si>
  <si>
    <t>L4.00.00.01.00.00.00</t>
  </si>
  <si>
    <t>BO_BĐH</t>
  </si>
  <si>
    <t>L4.00.00.02.00.00.00</t>
  </si>
  <si>
    <t>L1</t>
  </si>
  <si>
    <t>L1.00.00.00.00.00.07</t>
  </si>
  <si>
    <t>L01.01</t>
  </si>
  <si>
    <t xml:space="preserve">            Ban Giám đốc Văn phòng SX</t>
  </si>
  <si>
    <t>KSX_VPSX</t>
  </si>
  <si>
    <t>KSX_VPSX_BGĐVP</t>
  </si>
  <si>
    <t xml:space="preserve">            Phòng Hành chính tổng hợp</t>
  </si>
  <si>
    <t>KSX_VPSX_HCTH</t>
  </si>
  <si>
    <t xml:space="preserve">            Phòng Quan hệ cộng đồng</t>
  </si>
  <si>
    <t>KSX_VPSX_PR</t>
  </si>
  <si>
    <t xml:space="preserve">            Phòng Quản trị nguồn nhân lực</t>
  </si>
  <si>
    <t>KSX_VPSX_HR</t>
  </si>
  <si>
    <t>KSX_QA</t>
  </si>
  <si>
    <t>KSX_QTHT</t>
  </si>
  <si>
    <t xml:space="preserve">         Phòng Hỗ trợ kỹ thuật</t>
  </si>
  <si>
    <t>KSX_HTKT</t>
  </si>
  <si>
    <t xml:space="preserve">         Ban Phát triển đối tác</t>
  </si>
  <si>
    <t>KSX_PTĐT</t>
  </si>
  <si>
    <t>KSX_NCTT&amp;SP</t>
  </si>
  <si>
    <t>L01.36</t>
  </si>
  <si>
    <t>KSX_CNTT</t>
  </si>
  <si>
    <t>L1.00.00.07.00.00.07</t>
  </si>
  <si>
    <t>KSX_CNTT_BGĐ</t>
  </si>
  <si>
    <t>L01.36.02</t>
  </si>
  <si>
    <t>KSX_CNTT_AUTOSUPPORT</t>
  </si>
  <si>
    <t>L1.00.00.07.02.00.07</t>
  </si>
  <si>
    <t>KSX_CNTT_AUTOSUPPORT_DA_ORDER</t>
  </si>
  <si>
    <t>KSX_CNTT_AUTOSUPPORT_DA_SUMAN</t>
  </si>
  <si>
    <t>KSX_CNTT_AUTOSUPPORT_PT&amp;TK</t>
  </si>
  <si>
    <t>KSX_CNTT_AUTOSUPPORT_DA</t>
  </si>
  <si>
    <t>KSX_CNTT_AUTOMKT</t>
  </si>
  <si>
    <t>L1.00.00.07.03.00.07</t>
  </si>
  <si>
    <t>KSX_CNTT_AUTOMKT_DA_WEB</t>
  </si>
  <si>
    <t>[Automation Marketing] Nhóm Phân tích và Thiết kế</t>
  </si>
  <si>
    <t>L01.36.06.03</t>
  </si>
  <si>
    <t>L01.36.03</t>
  </si>
  <si>
    <t>KSX_CNTT_AUTOSALES</t>
  </si>
  <si>
    <t>L1.00.00.07.04.00.07</t>
  </si>
  <si>
    <t>KSX_CNTT_AUTOSALES_DA</t>
  </si>
  <si>
    <t>KSX_CNTT_AUTOSALES_PT&amp;TK</t>
  </si>
  <si>
    <t>L01.36.04</t>
  </si>
  <si>
    <t>KSX_CNTT_DATA</t>
  </si>
  <si>
    <t>L1.00.00.07.05.00.07</t>
  </si>
  <si>
    <t>KSX_CNTT_DATA_DA_CUSTOMER</t>
  </si>
  <si>
    <t>KSX_CNTT_DATA_PT&amp;TK</t>
  </si>
  <si>
    <t>KSX_CNTT_EXPERT</t>
  </si>
  <si>
    <t xml:space="preserve">         Ban An ninh thông tin</t>
  </si>
  <si>
    <t>KSX_ANTT</t>
  </si>
  <si>
    <t>L01.35</t>
  </si>
  <si>
    <t>KSX_VCN</t>
  </si>
  <si>
    <t>L1.00.00.09.00.00.07</t>
  </si>
  <si>
    <t>KSX_VCN_BGĐ</t>
  </si>
  <si>
    <t>KSX_VCN_NCCN</t>
  </si>
  <si>
    <t>Dự án AI (bỏ)</t>
  </si>
  <si>
    <t>L1.00.00.09.02.00.07</t>
  </si>
  <si>
    <t>KSX_VCN_NCCN_DA_AI</t>
  </si>
  <si>
    <t>[AI] Nhóm Phân tích và Thiết kế (bỏ)</t>
  </si>
  <si>
    <t>KSX_VCN_NCCN_PT&amp;TK_AI</t>
  </si>
  <si>
    <t>KSX_VCN_DA MISACORE</t>
  </si>
  <si>
    <t>KSX_VCN_DA GIAMSAT</t>
  </si>
  <si>
    <t xml:space="preserve"> Sản phẩm AI</t>
  </si>
  <si>
    <t>L01.35.06</t>
  </si>
  <si>
    <t>Sản phẩm AI</t>
  </si>
  <si>
    <t>KSX_VCN_AI</t>
  </si>
  <si>
    <t>Dự án AI (NLP)</t>
  </si>
  <si>
    <t>L01.35.06.01</t>
  </si>
  <si>
    <t>KSX_VCN_AI_NLP</t>
  </si>
  <si>
    <t>Dự án AI (Computer vision)</t>
  </si>
  <si>
    <t>L01.35.06.02</t>
  </si>
  <si>
    <t>KSX_VCN_AI_COM</t>
  </si>
  <si>
    <t>[AI] Nhóm Phân tích &amp; Thiết kế</t>
  </si>
  <si>
    <t>L01.35.06.03</t>
  </si>
  <si>
    <t>KSX_VCN_AI_PTTK</t>
  </si>
  <si>
    <t>L01.28</t>
  </si>
  <si>
    <t>KSX_DN</t>
  </si>
  <si>
    <t>L1.00.00.10.00.00.07</t>
  </si>
  <si>
    <t>KSX_DN_BGĐ</t>
  </si>
  <si>
    <t>KSX_DN_AUTOTEST</t>
  </si>
  <si>
    <t>KSX_DN_EXPERT</t>
  </si>
  <si>
    <t>L01.28..25</t>
  </si>
  <si>
    <t>KSX_DN_MEI_XD</t>
  </si>
  <si>
    <t>L1.00.00.10.04.00.07</t>
  </si>
  <si>
    <t>KSX_DN_MEI_XD_DA</t>
  </si>
  <si>
    <t>KSX_DN_MEI_XD_PT&amp;TK</t>
  </si>
  <si>
    <t>L01.28.02</t>
  </si>
  <si>
    <t>KSX_DN_AMIS C&amp;B</t>
  </si>
  <si>
    <t>L1.00.00.10.05.00.07</t>
  </si>
  <si>
    <t>KSX_DN_AMIS C&amp;B_DA</t>
  </si>
  <si>
    <t>KSX_DN_AMIS C&amp;B_PT&amp;TK</t>
  </si>
  <si>
    <t>L01.28.03</t>
  </si>
  <si>
    <t>KSX_DN_AMIS ĐG</t>
  </si>
  <si>
    <t>L1.00.00.10.06.00.07</t>
  </si>
  <si>
    <t>KSX_DN_AMIS ĐG_DA</t>
  </si>
  <si>
    <t>KSX_DN_AMIS ĐG_PT&amp;TK</t>
  </si>
  <si>
    <t>L01.28.04</t>
  </si>
  <si>
    <t>KSX_DN_AMIS HRM</t>
  </si>
  <si>
    <t>L1.00.00.10.07.00.07</t>
  </si>
  <si>
    <t>KSX_DN_AMIS HRM_DA</t>
  </si>
  <si>
    <t>KSX_DN_AMIS HRM_PT&amp;TK</t>
  </si>
  <si>
    <t>KSX_DN_AMIS OPERA</t>
  </si>
  <si>
    <t>L1.00.00.10.08.01.07</t>
  </si>
  <si>
    <t>KSX_DN_AMIS OPERA_DA</t>
  </si>
  <si>
    <t>KSX_DN_AMIS OPERA_PT&amp;TK</t>
  </si>
  <si>
    <t>L01.28.06</t>
  </si>
  <si>
    <t>KSX_DN_AMIS TMS</t>
  </si>
  <si>
    <t>L1.00.00.10.09.00.07</t>
  </si>
  <si>
    <t>KSX_DN_AMIS TMS_DA</t>
  </si>
  <si>
    <t>KSX_DN_AMIS TMS_PT&amp;TK</t>
  </si>
  <si>
    <t>L01.28.07</t>
  </si>
  <si>
    <t>KSX_DN_AMIS MOBILE</t>
  </si>
  <si>
    <t>L1.00.00.10.10.00.07</t>
  </si>
  <si>
    <t>KSX_DN_AMIS MOBILE_DA</t>
  </si>
  <si>
    <t>KSX_DN_IVAN</t>
  </si>
  <si>
    <t>L1.00.00.10.11.00.07</t>
  </si>
  <si>
    <t>KSX_DN_IVAN_DA</t>
  </si>
  <si>
    <t>KSX_DN_IVAN_PT&amp;TK</t>
  </si>
  <si>
    <t>L01.28.09</t>
  </si>
  <si>
    <t>KSX_DN_AMIS KT</t>
  </si>
  <si>
    <t>L1.00.00.10.12.00.07</t>
  </si>
  <si>
    <t>KSX_DN_AMIS KT_DA</t>
  </si>
  <si>
    <t>KSX_DN_AMIS KT_PT&amp;TK</t>
  </si>
  <si>
    <t>L01.28.10</t>
  </si>
  <si>
    <t>KSX_DN_AMIS MH</t>
  </si>
  <si>
    <t>L1.00.00.10.13.00.07</t>
  </si>
  <si>
    <t>KSX_DN_AMIS MH_PT&amp;TK</t>
  </si>
  <si>
    <t>KSX_DN_MEI</t>
  </si>
  <si>
    <t>L1.00.00.10.14.00.07</t>
  </si>
  <si>
    <t>KSX_DN_MEI_DA_DESKTOP</t>
  </si>
  <si>
    <t>KSX_DN_MEI_DA_INVOICEBOT</t>
  </si>
  <si>
    <t>KSX_DN_MEI_PT&amp;TK</t>
  </si>
  <si>
    <t>KSX_DN_MEI_DA_MEI</t>
  </si>
  <si>
    <t>L01.28.15</t>
  </si>
  <si>
    <t>KSX_DN_AMIS CRM_KH</t>
  </si>
  <si>
    <t>L1.00.00.10.15.00.07</t>
  </si>
  <si>
    <t>KSX_DN_AMIS CRM_KH_DA</t>
  </si>
  <si>
    <t>KSX_DN_AMIS CRM_KH_PT&amp;TK</t>
  </si>
  <si>
    <t>16</t>
  </si>
  <si>
    <t>KSX_DN_ESIGN</t>
  </si>
  <si>
    <t>L1.00.00.10.16.00.07</t>
  </si>
  <si>
    <t>KSX_DN_ESIGN_DA</t>
  </si>
  <si>
    <t>KSX_DN_ESIGN_DA_MOBILE</t>
  </si>
  <si>
    <t>KSX_DN_ESIGN_PT&amp;TK</t>
  </si>
  <si>
    <t>17</t>
  </si>
  <si>
    <t>L01.28.17</t>
  </si>
  <si>
    <t>KSX_DN_WESIGN</t>
  </si>
  <si>
    <t>L1.00.00.10.17.00.07</t>
  </si>
  <si>
    <t>KSX_DN_WESIGN_DA</t>
  </si>
  <si>
    <t>KSX_DN_WESIGN_PT&amp;TK</t>
  </si>
  <si>
    <t>18</t>
  </si>
  <si>
    <t>KSX_DN_QTKD MOBILE</t>
  </si>
  <si>
    <t>19</t>
  </si>
  <si>
    <t>L01.28.19</t>
  </si>
  <si>
    <t>KSX_DN_CUSTOMIZE</t>
  </si>
  <si>
    <t>L1.00.00.10.19.00.07</t>
  </si>
  <si>
    <t>KSX_DN_CUSTOMIZE_KT MISA</t>
  </si>
  <si>
    <t>KSX_DN_CUSTOMIZE_DNL</t>
  </si>
  <si>
    <t>20</t>
  </si>
  <si>
    <t>L01.28.22</t>
  </si>
  <si>
    <t>KSX_DN_AMIS CRM_MISA</t>
  </si>
  <si>
    <t>L1.00.00.10.20.00.07</t>
  </si>
  <si>
    <t>KSX_DN_AMIS CRM_MISA_DA</t>
  </si>
  <si>
    <t>KSX_DN_AMIS CRM_MISA_PT&amp;TK</t>
  </si>
  <si>
    <t>21</t>
  </si>
  <si>
    <t>L01.28.23</t>
  </si>
  <si>
    <t>KSX_DN_AMIS QLTS</t>
  </si>
  <si>
    <t>L1.00.00.10.21.00.07</t>
  </si>
  <si>
    <t>KSX_DN_AMIS QLTS_DA</t>
  </si>
  <si>
    <t>KSX_DN_AMIS QLTS_PT&amp;TK</t>
  </si>
  <si>
    <t>22</t>
  </si>
  <si>
    <t>L01.28.24</t>
  </si>
  <si>
    <t>KSX_DN_AMIS CORE</t>
  </si>
  <si>
    <t>L1.00.00.10.22.00.07</t>
  </si>
  <si>
    <t>KSX_DN_AMIS CORE_DA</t>
  </si>
  <si>
    <t>KSX_DN_AMIS CORE_PT&amp;TK</t>
  </si>
  <si>
    <t>L01.29</t>
  </si>
  <si>
    <t>KSX_HCSN</t>
  </si>
  <si>
    <t>KSX_HCSN_BGĐ</t>
  </si>
  <si>
    <t>L01.29.03</t>
  </si>
  <si>
    <t>KSX_HCSN_MIMOSA ONL</t>
  </si>
  <si>
    <t>L1.00.00.11.02.00.07</t>
  </si>
  <si>
    <t>KSX_HCSN_MIMOSA ONL_DA</t>
  </si>
  <si>
    <t>KSX_HCSN_MIMOSA ONL_PT&amp;TK</t>
  </si>
  <si>
    <t>L01.29.04</t>
  </si>
  <si>
    <t>KSX_HCSN_MIMOSA.NET</t>
  </si>
  <si>
    <t>L1.00.00.11.03.00.07</t>
  </si>
  <si>
    <t>KSX_HCSN_MIMOSA.NET_DA</t>
  </si>
  <si>
    <t>KSX_HCSN_MIMOSA.NET_PT&amp;TK</t>
  </si>
  <si>
    <t>KSX_HCSN_BAMBOO ONL</t>
  </si>
  <si>
    <t>L1.00.00.11.04.00.07</t>
  </si>
  <si>
    <t>KSX_HCSN_BAMBOO ONL_DA</t>
  </si>
  <si>
    <t>KSX_HCSN_BAMBOO ONL_PT&amp;TK</t>
  </si>
  <si>
    <t>L01.29.06</t>
  </si>
  <si>
    <t>KSX_HCSN_BUMAS</t>
  </si>
  <si>
    <t>L1.00.00.11.05.00.07</t>
  </si>
  <si>
    <t>KSX_HCSN_BUMAS_DA</t>
  </si>
  <si>
    <t>KSX_HCSN_BUMAS_PT&amp;TK</t>
  </si>
  <si>
    <t>L01.29.07</t>
  </si>
  <si>
    <t>KSX_HCSN_BCTC</t>
  </si>
  <si>
    <t>L1.00.00.11.06.00.07</t>
  </si>
  <si>
    <t>KSX_HCSN_BCTC_DA</t>
  </si>
  <si>
    <t>KSX_HCSN_QLCB</t>
  </si>
  <si>
    <t>L1.00.00.11.07.00.07</t>
  </si>
  <si>
    <t>KSX_HCSN_QLCB_DA</t>
  </si>
  <si>
    <t>KSX_HCSN_QLCB_PT&amp;TK</t>
  </si>
  <si>
    <t>L01.29.09</t>
  </si>
  <si>
    <t>KSX_HCSN_TASKGO</t>
  </si>
  <si>
    <t>L1.00.00.11.08.00.07</t>
  </si>
  <si>
    <t>KSX_HCSN_TASKGO_DA</t>
  </si>
  <si>
    <t>KSX_HCSN_TASKGO_DA 2</t>
  </si>
  <si>
    <t>L01.29.10</t>
  </si>
  <si>
    <t>KSX_HCSN_CEGOV</t>
  </si>
  <si>
    <t>L1.00.00.11.09.00.07</t>
  </si>
  <si>
    <t>KSX_HCSN_CEGOV_DA</t>
  </si>
  <si>
    <t>KSX_HCSN_QLTS.VN</t>
  </si>
  <si>
    <t>L1.00.00.11.10.00.07</t>
  </si>
  <si>
    <t>KSX_HCSN_QLTS.VN_DA</t>
  </si>
  <si>
    <t>KSX_HCSN_QLTS.VN_PT&amp;TK</t>
  </si>
  <si>
    <t>L01.29.12</t>
  </si>
  <si>
    <t>KSX_HCSN_SALAGOV</t>
  </si>
  <si>
    <t>L1.00.00.11.11.00.07</t>
  </si>
  <si>
    <t>KSX_HCSN_SALAGOV_DA</t>
  </si>
  <si>
    <t>KSX_HCSN_SALAGOV_PT&amp;TK</t>
  </si>
  <si>
    <t>KSX_HCSN_EXPERT</t>
  </si>
  <si>
    <t>L01.29.14</t>
  </si>
  <si>
    <t>KSX_HCSN_PANDA ONL</t>
  </si>
  <si>
    <t>L1.00.00.11.13.00.07</t>
  </si>
  <si>
    <t>KSX_HCSN_PANDA ONL_PT&amp;TK</t>
  </si>
  <si>
    <t>Sản phẩm HCSN Mobile</t>
  </si>
  <si>
    <t>L01.29.15</t>
  </si>
  <si>
    <t>KSX_HCSN_MOBILE</t>
  </si>
  <si>
    <t>Khối sản phẩm Bán lẻ</t>
  </si>
  <si>
    <t>L01.30</t>
  </si>
  <si>
    <t>KSX_GPBL</t>
  </si>
  <si>
    <t>L1.00.00.12.00.00.07</t>
  </si>
  <si>
    <t>KSX_GPBL_BGĐ</t>
  </si>
  <si>
    <t>L01.30.02</t>
  </si>
  <si>
    <t>KSX_GPBL_CUK_VN</t>
  </si>
  <si>
    <t>L1.00.00.12.02.00.07</t>
  </si>
  <si>
    <t>KSX_GPBL_CUK_VN_DA_W&amp;D</t>
  </si>
  <si>
    <t>KSX_GPBL_CUK_VN_DA_MOBILE</t>
  </si>
  <si>
    <t>KSX_GPBL_CUK_VN_PT&amp;TK_CUKCUK</t>
  </si>
  <si>
    <t>L01.30.03</t>
  </si>
  <si>
    <t>L1.00.00.12.03.00.07</t>
  </si>
  <si>
    <t>KSX_GPBL_CUK_VN_ESHOP_VN</t>
  </si>
  <si>
    <t>KSX_GPBL_CUK_VN_ESHOP_VN_MOBILE</t>
  </si>
  <si>
    <t>KSX_GPBL_CUK_VN_PT&amp;TK_ESHOP</t>
  </si>
  <si>
    <t>KSX_GPBL_HKD</t>
  </si>
  <si>
    <t>L1.00.00.12.04.00.07</t>
  </si>
  <si>
    <t>KSX_GPBL_HKD_DA</t>
  </si>
  <si>
    <t>KSX_GPBL_HKD_PT&amp;TK</t>
  </si>
  <si>
    <t>KSX_GPBL_EXPERT</t>
  </si>
  <si>
    <t>Khối nền tảng Giáo dục</t>
  </si>
  <si>
    <t>L01.33</t>
  </si>
  <si>
    <t>KSX_NTGD</t>
  </si>
  <si>
    <t>L1.00.00.13.00.00.07</t>
  </si>
  <si>
    <t>KSX_NTGD_EMIS</t>
  </si>
  <si>
    <t>L1.00.00.13.01.00.07</t>
  </si>
  <si>
    <t>KSX_NTGD_EMIS_DA_CONGLAP</t>
  </si>
  <si>
    <t>KSX_NTGD_EMIS_DA_CORE</t>
  </si>
  <si>
    <t>KSX_NTGD_EMIS_DA_MAMNON</t>
  </si>
  <si>
    <t>KSX_NTGD_EMIS_DA_MOBILE</t>
  </si>
  <si>
    <t>KSX_NTGD_EMIS_PTTK_NCONGLAP</t>
  </si>
  <si>
    <t>KSX_NTGD_EMIS_PTTK_CONGLAP</t>
  </si>
  <si>
    <t>KSX_NTGD_EXPERT</t>
  </si>
  <si>
    <t>Khối nền tảng Kế toán dịch vụ</t>
  </si>
  <si>
    <t>L01.34</t>
  </si>
  <si>
    <t>KSX_KTDV</t>
  </si>
  <si>
    <t>L1.00.00.14.00.00.07</t>
  </si>
  <si>
    <t>KSX_KTDV_ASP</t>
  </si>
  <si>
    <t>L1.00.00.14.01.00.07</t>
  </si>
  <si>
    <t>KSX_KTDV_ASP_DA</t>
  </si>
  <si>
    <t>KSX_KTDV_ASP_PT&amp;TK</t>
  </si>
  <si>
    <t>Khối nền tảng Thị trường nước ngoài</t>
  </si>
  <si>
    <t>L01.32</t>
  </si>
  <si>
    <t>KSX_TTNN</t>
  </si>
  <si>
    <t>L1.00.00.15.00.00.07</t>
  </si>
  <si>
    <t>L01.32.02</t>
  </si>
  <si>
    <t>KSX_TTNN_CUK_TTNN</t>
  </si>
  <si>
    <t>L1.00.00.15.01.00.07</t>
  </si>
  <si>
    <t>KSX_TTNN_CUK_TTNN_DA_W&amp;D</t>
  </si>
  <si>
    <t>KSX_TTNN_CUK_TTNN_PT&amp;TK</t>
  </si>
  <si>
    <t>L01.32.03</t>
  </si>
  <si>
    <t>KSX_TTNN_CUK_USA</t>
  </si>
  <si>
    <t>L1.00.00.15.02.00.07</t>
  </si>
  <si>
    <t>KSX_TTNN_CUK_USA_DA_W&amp;D</t>
  </si>
  <si>
    <t>KSX_TTNN_CUK_USA_DA_MOBILE</t>
  </si>
  <si>
    <t>L01.32.05</t>
  </si>
  <si>
    <t>KSX_TTNN_CUK_PHILIPIN</t>
  </si>
  <si>
    <t>L1.00.00.15.03.00.07</t>
  </si>
  <si>
    <t>KSX_TTNN_CUK_PHILIPIN_DA_W&amp;D</t>
  </si>
  <si>
    <t>L01.31</t>
  </si>
  <si>
    <t>KSX_KHCN</t>
  </si>
  <si>
    <t>L01.31.03</t>
  </si>
  <si>
    <t>KSX_KHCN_MONEYKEEPER</t>
  </si>
  <si>
    <t>L1.00.00.16.00.00.07</t>
  </si>
  <si>
    <t>KSX_KHCN_MONEYKEEPER_DA</t>
  </si>
  <si>
    <t>Ban giám đốc khối sản xuất</t>
  </si>
  <si>
    <t>Khối kinh doanh thị trường HCSN</t>
  </si>
  <si>
    <t>L2</t>
  </si>
  <si>
    <t>Khối KD Thị trường HCSN</t>
  </si>
  <si>
    <t>mã cơ cấu mới</t>
  </si>
  <si>
    <t>Trung tâm KD Hành chính sự nghiệp - Hà Nội</t>
  </si>
  <si>
    <t>L2.01.00.00.00.00.00</t>
  </si>
  <si>
    <t>L04.03</t>
  </si>
  <si>
    <t>HCSN_HAN</t>
  </si>
  <si>
    <t>L2.01.00.01.00.00.01</t>
  </si>
  <si>
    <t>HCSN_HAN_BGĐTT</t>
  </si>
  <si>
    <t>HCSN_HAN_PKD01</t>
  </si>
  <si>
    <t>L2.01.00.01.02.00.01</t>
  </si>
  <si>
    <t>HCSN_HAN_PKD01_NKD02</t>
  </si>
  <si>
    <t>HCSN_HAN_PKD01_NKD03</t>
  </si>
  <si>
    <t>HCSN_HAN_PKD02</t>
  </si>
  <si>
    <t>L2.01.00.01.03.00.01</t>
  </si>
  <si>
    <t>HCSN_HAN_PKD02_NKD04</t>
  </si>
  <si>
    <t>HCSN_HAN_PKD02_NKD05</t>
  </si>
  <si>
    <t>HCSN_HAN_PKD03</t>
  </si>
  <si>
    <t>L2.01.00.01.04.00.01</t>
  </si>
  <si>
    <t>HCSN_HAN_PKD03_NKD06</t>
  </si>
  <si>
    <t>HCSN_HAN_PKD03_NKD07</t>
  </si>
  <si>
    <t>HCSN_HAN_PKD04</t>
  </si>
  <si>
    <t>L2.01.00.01.05.00.01</t>
  </si>
  <si>
    <t>HCSN_HAN_PKD04_NKD08</t>
  </si>
  <si>
    <t>HCSN_HAN_PKD04_NKD09</t>
  </si>
  <si>
    <t>HCSN_HAN_PKD04_DATW</t>
  </si>
  <si>
    <t>HCSN_HAN_TK&amp;CSKH01</t>
  </si>
  <si>
    <t>Nhóm Triển khai &amp; CSKH sản phẩm tài chính</t>
  </si>
  <si>
    <t>L2.01.00.01.06.00.01</t>
  </si>
  <si>
    <t>Ko mapping được với Mã cũ do mã cũ ko phân theo nhóm SP
=&gt; tạo mã mới và move nhân sự sang</t>
  </si>
  <si>
    <t>HCSN_HAN_TK&amp;CSKH01_TC</t>
  </si>
  <si>
    <t>Nhóm Triển khai &amp; CSKH sản phẩm điều hành</t>
  </si>
  <si>
    <t>HCSN_HAN_TK&amp;CSKH01_ĐH</t>
  </si>
  <si>
    <t>HCSN_HAN_TK&amp;CSKH02</t>
  </si>
  <si>
    <t>L2.01.00.01.07.00.01</t>
  </si>
  <si>
    <t>HCSN_HAN_TK&amp;CSKH02_TC</t>
  </si>
  <si>
    <t>HCSN_HAN_TK&amp;CSKH02_ĐH</t>
  </si>
  <si>
    <t>Trung tâm KD Hành chính sự nghiệp - Hồ Chí Minh</t>
  </si>
  <si>
    <t>L05.03</t>
  </si>
  <si>
    <t>HCSN_HCM</t>
  </si>
  <si>
    <t>L2.01.00.01.00.00.02</t>
  </si>
  <si>
    <t>HCSN_HCM_BGĐTT</t>
  </si>
  <si>
    <t>HCSN_HCM_PKD01</t>
  </si>
  <si>
    <t>L2.01.00.01.02.00.02</t>
  </si>
  <si>
    <t>HCSN_HCM_PKD01_NKD01</t>
  </si>
  <si>
    <t>HCSN_HCM_PKD01_NKD02</t>
  </si>
  <si>
    <t>HCSN_HCM_PKD01_NKD03</t>
  </si>
  <si>
    <t>HCSN_HCM_PKD03</t>
  </si>
  <si>
    <t>L2.01.00.01.03.00.02</t>
  </si>
  <si>
    <t>HCSN_HCM_PKD03_NKD05</t>
  </si>
  <si>
    <t>HCSN_HCM_PKD03_NKD06</t>
  </si>
  <si>
    <t>HCSN_HCM_PKD03_NKD04</t>
  </si>
  <si>
    <t>HCSN_HCM_TK&amp;CSKH</t>
  </si>
  <si>
    <t>Nhóm Triển khai &amp; CSKH sản phẩm tài chính 01</t>
  </si>
  <si>
    <t>L2.01.00.01.04.00.02</t>
  </si>
  <si>
    <t>HCSN_HCM_TK&amp;CSKH_TC</t>
  </si>
  <si>
    <t>Nhóm Triển khai &amp; CSKH sản phẩm tài chính 02</t>
  </si>
  <si>
    <t>Nhóm Triển khai &amp; CSKH sản phẩm tài chính 03</t>
  </si>
  <si>
    <t>HCSN_HCM_TK&amp;CSKH_ĐH</t>
  </si>
  <si>
    <t>Phòng KD Hành chính sự nghiệp - Đà Nẵng</t>
  </si>
  <si>
    <t>L2.01.00.01.00.00.03</t>
  </si>
  <si>
    <t>bộ phận mới</t>
  </si>
  <si>
    <t>HCSN_DNG_BGĐKD</t>
  </si>
  <si>
    <t>HCSN_DNG</t>
  </si>
  <si>
    <t>HCSN_DNG_KD</t>
  </si>
  <si>
    <t>HCSN_DNG_TK&amp;CSKH</t>
  </si>
  <si>
    <t>Phòng KD Hành chính sự nghiệp - Buôn Ma Thuột</t>
  </si>
  <si>
    <t>Trụ sở VP Buôn Ma Thuột</t>
  </si>
  <si>
    <t>L2.01.00.01.00.00.04</t>
  </si>
  <si>
    <t>HCSN_BMT_BGĐKD</t>
  </si>
  <si>
    <t>HCSN_BMT_KD</t>
  </si>
  <si>
    <t>L07.03</t>
  </si>
  <si>
    <t>HCSN_BMT</t>
  </si>
  <si>
    <t>HCSN_BMT_TK&amp;CSKH</t>
  </si>
  <si>
    <t>Phòng KD Hành chính sự nghiệp - Cần Thơ</t>
  </si>
  <si>
    <t>L2.01.00.01.00.00.05</t>
  </si>
  <si>
    <t>HCSN_CTH_KD</t>
  </si>
  <si>
    <t>HCSN_CTH</t>
  </si>
  <si>
    <t>HCSN_CTH_TK&amp;CSKH</t>
  </si>
  <si>
    <t>Khối kinh doanh thị trường Doanh nghiệp</t>
  </si>
  <si>
    <t>Khối KD Thị trường Doanh nghiệp</t>
  </si>
  <si>
    <t>Khối giải pháp bán lẻ</t>
  </si>
  <si>
    <t>Khối Giải pháp bán lẻ</t>
  </si>
  <si>
    <t>L2.02.00.00.00.00.00</t>
  </si>
  <si>
    <t>GPBL</t>
  </si>
  <si>
    <t>Ban giám đốc khối Giải pháp bán lẻ</t>
  </si>
  <si>
    <t>L2.02.01.00.00.00.00</t>
  </si>
  <si>
    <t>GPBL_BGĐK</t>
  </si>
  <si>
    <t>Khối KD bán mới Giải pháp bán lẻ</t>
  </si>
  <si>
    <t>Trung tâm KD Giải pháp bán lẻ - Hà Nội</t>
  </si>
  <si>
    <t>L2.02.01.02.00.00.00</t>
  </si>
  <si>
    <t>L04.32</t>
  </si>
  <si>
    <t>GPBL_HAN</t>
  </si>
  <si>
    <t>Ban giám đốc TTKD Giải pháp bán lẻ</t>
  </si>
  <si>
    <t>L2.02.01.02.00.00.01</t>
  </si>
  <si>
    <t>GPBL_HAN_BGĐTT</t>
  </si>
  <si>
    <t>Phòng KD bán mới MISA CUKCUK</t>
  </si>
  <si>
    <t>L04.32.01</t>
  </si>
  <si>
    <t>GPBL_HAN_BM_CUKCUK</t>
  </si>
  <si>
    <t>L2.02.01.02.02.00.01</t>
  </si>
  <si>
    <t>GPBL_HAN_BM_CUKCUK_01</t>
  </si>
  <si>
    <t>GPBL_HAN_BM_CUKCUK_03</t>
  </si>
  <si>
    <t>Phòng KD bán mới MISA ESHOP</t>
  </si>
  <si>
    <t>L04.32.02</t>
  </si>
  <si>
    <t>GPBL_HAN_BM_ESHOP</t>
  </si>
  <si>
    <t>Phòng KD bán mới MISA ESHOP 01</t>
  </si>
  <si>
    <t>L2.02.01.02.03.00.01</t>
  </si>
  <si>
    <t>GPBL_HAN_BM_ESHOP_01</t>
  </si>
  <si>
    <t>Phòng KD bán mới MISA ESHOP 02</t>
  </si>
  <si>
    <t>GPBL_HAN_BM_ESHOP_02</t>
  </si>
  <si>
    <t>GPBL_HAN_ONB</t>
  </si>
  <si>
    <t>Trung tâm KD Giải pháp bán lẻ - Hồ Chí Minh</t>
  </si>
  <si>
    <t>L05.32</t>
  </si>
  <si>
    <t>GPBL_HCM</t>
  </si>
  <si>
    <t>L2.02.01.02.00.00.02</t>
  </si>
  <si>
    <t>GPBL_HCM_BGĐTT</t>
  </si>
  <si>
    <t>L05.32.01</t>
  </si>
  <si>
    <t>GPBL_HCM_BM_CUKCUK</t>
  </si>
  <si>
    <t>Phòng KD bán mới MISA CUKCUK 01</t>
  </si>
  <si>
    <t>L2.02.01.02.02.00.02</t>
  </si>
  <si>
    <t>GPBL_HCM_BM_CUKCUK_01</t>
  </si>
  <si>
    <t>Phòng KD bán mới MISA CUKCUK 02</t>
  </si>
  <si>
    <t>GPBL_HCM_BM_CUKCUK_02</t>
  </si>
  <si>
    <t>Phòng KD bán mới MISA CUKCUK 03</t>
  </si>
  <si>
    <t>GPBL_HCM_BM_CUKCUK_03</t>
  </si>
  <si>
    <t>L05.32.02</t>
  </si>
  <si>
    <t>GPBL_HCM_BM_ESHOP</t>
  </si>
  <si>
    <t>L2.02.01.02.03.00.02</t>
  </si>
  <si>
    <t>GPBL_HCM_BM_ESHOP_01</t>
  </si>
  <si>
    <t>GPBL_HCM_ONB</t>
  </si>
  <si>
    <t>Phòng KD Giải pháp bán lẻ - Đà Nẵng</t>
  </si>
  <si>
    <t>GPBL_DNG</t>
  </si>
  <si>
    <t>L2.02.01.02.00.00.03</t>
  </si>
  <si>
    <t>GPBL_DNG_CUKCUK &amp; ESHOP</t>
  </si>
  <si>
    <r>
      <rPr>
        <rFont val="Times New Roman"/>
        <color rgb="FF000000"/>
        <sz val="10.0"/>
      </rPr>
      <t xml:space="preserve">Phòng KD Giải pháp bán lẻ - Buôn Ma </t>
    </r>
    <r>
      <rPr>
        <rFont val="Times New Roman"/>
        <color rgb="FFFF0000"/>
        <sz val="10.0"/>
      </rPr>
      <t>Thuột</t>
    </r>
  </si>
  <si>
    <t>GPBL_BMT</t>
  </si>
  <si>
    <r>
      <rPr>
        <rFont val="Times New Roman"/>
        <color rgb="FF000000"/>
        <sz val="10.0"/>
      </rPr>
      <t xml:space="preserve">Phòng KD Giải pháp bán lẻ - Buôn Ma </t>
    </r>
    <r>
      <rPr>
        <rFont val="Times New Roman"/>
        <color rgb="FFFF0000"/>
        <sz val="10.0"/>
      </rPr>
      <t>Thuột</t>
    </r>
  </si>
  <si>
    <t>L2.02.01.02.00.00.04</t>
  </si>
  <si>
    <t>GPBL_BMT_CUKCUK &amp; ESHOP</t>
  </si>
  <si>
    <t>Phòng KD Giải pháp bán lẻ - Cần Thơ</t>
  </si>
  <si>
    <t>GPBL_CTH</t>
  </si>
  <si>
    <t>L2.02.01.02.00.00.05</t>
  </si>
  <si>
    <t>GPBL_CTH_CUKCUK &amp; ESHOP</t>
  </si>
  <si>
    <t>Phòng KD bán thêm Giải pháp bán lẻ</t>
  </si>
  <si>
    <t xml:space="preserve">bộ phận mới </t>
  </si>
  <si>
    <t>GPBL_BT</t>
  </si>
  <si>
    <t>L2.02.01.03.00.00.00</t>
  </si>
  <si>
    <t>Phòng KD mạng lưới Giải pháp bán lẻ</t>
  </si>
  <si>
    <t>GPBL_ML</t>
  </si>
  <si>
    <t>L2.02.01.04.00.00.00</t>
  </si>
  <si>
    <t>GPBL_MKT</t>
  </si>
  <si>
    <t>Nhóm Quản lý</t>
  </si>
  <si>
    <t>L2.02.01.05.00.00.06</t>
  </si>
  <si>
    <t>ko mapping được với cctc cũ vì  là bộ phận mới</t>
  </si>
  <si>
    <t>GPBL_MKT_PMM</t>
  </si>
  <si>
    <t>GPBL_MKT_CUKCUK</t>
  </si>
  <si>
    <t>GPBL_MKT_ESHOP</t>
  </si>
  <si>
    <t>GPBL_MKT_MDR</t>
  </si>
  <si>
    <t>Khối doanh nghiệp nhỏ</t>
  </si>
  <si>
    <t>Khối DN nhỏ</t>
  </si>
  <si>
    <t>Khối Doanh nghiệp nhỏ</t>
  </si>
  <si>
    <t>DNN</t>
  </si>
  <si>
    <t>Ban giám đốc Khối Doanh nghiệp nhỏ</t>
  </si>
  <si>
    <t>L2.02.02.00.00.00.00</t>
  </si>
  <si>
    <t>DNN_BGĐK</t>
  </si>
  <si>
    <t>Khối KD giải pháp KTDN</t>
  </si>
  <si>
    <t>DNN_GPKT</t>
  </si>
  <si>
    <t>Khối KD bán thêm</t>
  </si>
  <si>
    <t>DNN_BT</t>
  </si>
  <si>
    <t>Trung tâm KD giải pháp KTDN - Hà Nội</t>
  </si>
  <si>
    <t>L2.02.02.02.00.00.00</t>
  </si>
  <si>
    <t>L04.29</t>
  </si>
  <si>
    <t>DNN_GPKT_HAN</t>
  </si>
  <si>
    <t>L2.02.02.02.00.00.01</t>
  </si>
  <si>
    <t>DNN_GPKT_HAN_BGĐTT</t>
  </si>
  <si>
    <t>Phòng KD bán mới KTDN 01</t>
  </si>
  <si>
    <t>DNN_GPKT_HAN_01</t>
  </si>
  <si>
    <t>Phòng KD bán mới KTDN 03</t>
  </si>
  <si>
    <t>DNN_GPKT_HAN_03</t>
  </si>
  <si>
    <t>Phòng KD bán mới KTDN 04</t>
  </si>
  <si>
    <t>DNN_GPKT_HAN_04</t>
  </si>
  <si>
    <t>Phòng KD bán mới KTDN 05</t>
  </si>
  <si>
    <t>DNN_GPKT_HAN_05</t>
  </si>
  <si>
    <t>Phòng KD bán mới KTDN 07</t>
  </si>
  <si>
    <t>DNN_GPKT_HAN_07</t>
  </si>
  <si>
    <t>Phòng KD bán mới KTDN 08</t>
  </si>
  <si>
    <t>DNN_GPKT_HAN_08</t>
  </si>
  <si>
    <t>Trung tâm KD bán thêm - Hà Nội</t>
  </si>
  <si>
    <t>L04.33</t>
  </si>
  <si>
    <t>DNN_BT_HAN</t>
  </si>
  <si>
    <t>L2.02.02.03.00.00.01</t>
  </si>
  <si>
    <t>DNN_BT_HAN_BGĐTT</t>
  </si>
  <si>
    <t>L04.33.02</t>
  </si>
  <si>
    <t>DNN_BT_HAN_GPKT</t>
  </si>
  <si>
    <t>L2.02.02.03.02.00.01</t>
  </si>
  <si>
    <t>DNN_BT_HAN_GPKT_01</t>
  </si>
  <si>
    <t>DNN_BT_HAN_GPKT_02</t>
  </si>
  <si>
    <t>L04.33.03</t>
  </si>
  <si>
    <t>DNN_BT_HAN_HDDT</t>
  </si>
  <si>
    <t>L2.02.02.03.03.00.01</t>
  </si>
  <si>
    <t>DNN_BT_HAN_HDDT_01</t>
  </si>
  <si>
    <t>DNN_BT_HAN_HDDT_02</t>
  </si>
  <si>
    <t>Phòng bán thêm GP HDDT 03</t>
  </si>
  <si>
    <t>DNN_BT_HAN_HDDT_03</t>
  </si>
  <si>
    <t>DNN_BT_HAN_CĐ</t>
  </si>
  <si>
    <t>DNN_BT_HAN_KĐT</t>
  </si>
  <si>
    <t>Phòng bán thêm GP Ký điện tử 01</t>
  </si>
  <si>
    <t>DNN_BT_HAN_KĐT_01</t>
  </si>
  <si>
    <t>DNN_BT_HAN_MEIDA</t>
  </si>
  <si>
    <t>Trung tâm KD giải pháp KTDN - Hồ Chí Minh</t>
  </si>
  <si>
    <t>L05.29</t>
  </si>
  <si>
    <t>DNN_GPKT_HCM</t>
  </si>
  <si>
    <t>L2.02.02.02.00.00.02</t>
  </si>
  <si>
    <t>DNN_GPKT_HCM_BGĐTT</t>
  </si>
  <si>
    <t>DNN_GPKT_HCM_01</t>
  </si>
  <si>
    <t>Phòng KD bán mới KTDN 02</t>
  </si>
  <si>
    <t>DNN_GPKT_HCM_02</t>
  </si>
  <si>
    <t>DNN_GPKT_HCM_03</t>
  </si>
  <si>
    <t>DNN_GPKT_HCM_04</t>
  </si>
  <si>
    <t>DNN_GPKT_HCM_05</t>
  </si>
  <si>
    <t>Phòng KD bán mới KTDN 06</t>
  </si>
  <si>
    <t>DNN_GPKT_HCM_06</t>
  </si>
  <si>
    <t>DNN_GPKT_HCM_07</t>
  </si>
  <si>
    <t>Trung tâm KD bán thêm - Hồ Chí Minh</t>
  </si>
  <si>
    <t>L2.02.02.03.00.00.00</t>
  </si>
  <si>
    <t>L05.33</t>
  </si>
  <si>
    <t>DNN_BT_HCM</t>
  </si>
  <si>
    <t>L2.02.02.03.00.00.02</t>
  </si>
  <si>
    <t>DNN_BT_HCM_BGĐTT</t>
  </si>
  <si>
    <t>L05.33.02</t>
  </si>
  <si>
    <t>DNN_BT_HCM_GPKT</t>
  </si>
  <si>
    <t>L2.02.02.03.02.00.02</t>
  </si>
  <si>
    <t>DNN_BT_HCM_GPKT_01</t>
  </si>
  <si>
    <t>DNN_BT_HCM_GPKT_02</t>
  </si>
  <si>
    <t>L05.33.03</t>
  </si>
  <si>
    <t>DNN_BT_HCM_HDDT</t>
  </si>
  <si>
    <t>L2.02.02.03.03.00.02</t>
  </si>
  <si>
    <t>DNN_BT_HCM_HDDT_01</t>
  </si>
  <si>
    <t>DNN_BT_HCM_HDDT_02</t>
  </si>
  <si>
    <t>DNN_BT_HCM_HDDT_03</t>
  </si>
  <si>
    <t>DNN_BT_HCM_CĐ</t>
  </si>
  <si>
    <t>L05.33.07 (bỏ)</t>
  </si>
  <si>
    <t>DNN_BT_HCM_KĐT</t>
  </si>
  <si>
    <t>Phòng bán thêm GP Ký điện tử 02</t>
  </si>
  <si>
    <t>L05.33.09</t>
  </si>
  <si>
    <t>Phòng Bán thêm GP Ký điện tử 02</t>
  </si>
  <si>
    <t>DNN_BT_HCM_MEIDA</t>
  </si>
  <si>
    <t>Phòng KD bán mới GPKT - Đà Nẵng</t>
  </si>
  <si>
    <t>L06.16</t>
  </si>
  <si>
    <t>DNN_GPKT_DNG</t>
  </si>
  <si>
    <t>L2.02.02.02.00.00.03</t>
  </si>
  <si>
    <t>DNN_GPKT_DNG_01</t>
  </si>
  <si>
    <t>DNN_GPKT_DNG_02</t>
  </si>
  <si>
    <t>Phòng KD Bán thêm - Đà Nẵng</t>
  </si>
  <si>
    <t>DNN_BT_DNG</t>
  </si>
  <si>
    <t>L2.02.02.03.00.00.03</t>
  </si>
  <si>
    <t>ko mapping được do bộ phận mới</t>
  </si>
  <si>
    <t>DNN_BT_DNG_SM</t>
  </si>
  <si>
    <t>DNN_BT_DNG_GPKT</t>
  </si>
  <si>
    <t>DNN_BT_DNG_HDDT</t>
  </si>
  <si>
    <t>DNN_BT_DNG_CĐ</t>
  </si>
  <si>
    <t>L06.18.07</t>
  </si>
  <si>
    <t>Nhóm Bán thêm GP Ký điện tử</t>
  </si>
  <si>
    <t>DNN_BT_DNG_KĐT</t>
  </si>
  <si>
    <t>Phòng KD bán mới GPKT - Buôn Ma Thuột</t>
  </si>
  <si>
    <t>DNN_GPKT_BMT</t>
  </si>
  <si>
    <t>DNN_GPKT_BMT_01</t>
  </si>
  <si>
    <t>Phòng KD Bán thêm - Buôn Ma Thuột</t>
  </si>
  <si>
    <t>DNN_BT_BMT</t>
  </si>
  <si>
    <t>L2.02.02.03.00.00.04</t>
  </si>
  <si>
    <t>DNN_BT_BMT_SM</t>
  </si>
  <si>
    <t>DNN_BT_BMT_GPKT</t>
  </si>
  <si>
    <t>DNN_BT_BMT_HDDT</t>
  </si>
  <si>
    <t>DNN_BT_BMT_CĐ</t>
  </si>
  <si>
    <t>DNN_BT_BMT_KĐT</t>
  </si>
  <si>
    <t>Phòng KD bán mới GPKT - Cần Thơ</t>
  </si>
  <si>
    <t>DNN_GPKT_CTH</t>
  </si>
  <si>
    <t>L2.02.02.02.00.00.05</t>
  </si>
  <si>
    <t>DNN_GPKT_CTH_01</t>
  </si>
  <si>
    <t>Phòng KD Bán thêm - Cần Thơ</t>
  </si>
  <si>
    <t>DNN_BT_CTH</t>
  </si>
  <si>
    <t>L2.02.02.03.00.00.05</t>
  </si>
  <si>
    <t>DNN_BT_CTH_SM</t>
  </si>
  <si>
    <t>DNN_BT_CTH_GPKT</t>
  </si>
  <si>
    <t>DNN_BT_CTH_HDDT</t>
  </si>
  <si>
    <t>DNN_BT_CTH_CĐ</t>
  </si>
  <si>
    <t>DNN_BT_CTH_KĐT</t>
  </si>
  <si>
    <t>DNN_ONB</t>
  </si>
  <si>
    <t>L2.02.02.04.00.00.00</t>
  </si>
  <si>
    <t>DNN_ONB_BGĐTT</t>
  </si>
  <si>
    <t>Phòng chuyển giao GP Kế toán</t>
  </si>
  <si>
    <t>cơ cấu mới</t>
  </si>
  <si>
    <t>DNN_ONB_GPKT</t>
  </si>
  <si>
    <t>L2.02.02.04.02.00.00</t>
  </si>
  <si>
    <t>mới sửa 23.05</t>
  </si>
  <si>
    <t>Phòng chuyển giao GP HDDT - Ký số</t>
  </si>
  <si>
    <t>DNN_ONB_HDDT - KS</t>
  </si>
  <si>
    <t>L2.02.02.04.03.00.00</t>
  </si>
  <si>
    <t>DNN_ML</t>
  </si>
  <si>
    <t>L2.02.02.05.00.00.00</t>
  </si>
  <si>
    <t>Phòngkinh doanh mạng lưới</t>
  </si>
  <si>
    <t xml:space="preserve">Trung tâm KD Online </t>
  </si>
  <si>
    <t>DNN_ONL</t>
  </si>
  <si>
    <t xml:space="preserve"> Trung tâm KD Online  </t>
  </si>
  <si>
    <t>L2.02.02.06.00.00.00</t>
  </si>
  <si>
    <t>DNN_ONL_BGĐTT</t>
  </si>
  <si>
    <t>Phòng KD Sản phẩm kế toán</t>
  </si>
  <si>
    <t>L03.34.02</t>
  </si>
  <si>
    <t>DNN_ONL_KT</t>
  </si>
  <si>
    <t>Nhóm KD Sản phẩm kế toán 01</t>
  </si>
  <si>
    <t>L2.02.02.06.02.00.00</t>
  </si>
  <si>
    <t>DNN_ONL_KT_KD01</t>
  </si>
  <si>
    <t>Nhóm KD Sản phẩm kế toán 02</t>
  </si>
  <si>
    <t>DNN_ONL_KT_KD02</t>
  </si>
  <si>
    <t>DNN_ONL_KT_MKT</t>
  </si>
  <si>
    <t>mới sửa 22/5</t>
  </si>
  <si>
    <t>Phòng KD Sản phẩm hóa đơn</t>
  </si>
  <si>
    <t>L03.34.04</t>
  </si>
  <si>
    <t>DNN_ONL_HDDT</t>
  </si>
  <si>
    <t>L2.02.02.06.03.00.00</t>
  </si>
  <si>
    <t>DNN_ONL_HDDT_PMM</t>
  </si>
  <si>
    <t>Nhóm KD Sản phẩm Hóa đơn</t>
  </si>
  <si>
    <t>DNN_ONL_HDDT_HDDT</t>
  </si>
  <si>
    <t>L2.02.02.06.03.01.00</t>
  </si>
  <si>
    <t>Nhóm KD Sản phẩm ký điện tử</t>
  </si>
  <si>
    <t>DNN_ONL_HDDT_KĐT</t>
  </si>
  <si>
    <t>L2.02.02.06.03.02.00</t>
  </si>
  <si>
    <t>\Nhóm MKT HDDT, thuế TNCN</t>
  </si>
  <si>
    <t>DNN_ONL_HDDT_MKT</t>
  </si>
  <si>
    <t>DNN_ONL_MDR</t>
  </si>
  <si>
    <t>L2.02.02.06.05.00.00</t>
  </si>
  <si>
    <t>L03.34.09</t>
  </si>
  <si>
    <t>DNN_ONL_AUTOSALE</t>
  </si>
  <si>
    <t>Khối doanh nghiệp vừa</t>
  </si>
  <si>
    <t>Khối DN vừa</t>
  </si>
  <si>
    <t>Khối Doanh nghiệp vừa</t>
  </si>
  <si>
    <t>DNV</t>
  </si>
  <si>
    <t>L2.02.03.00.00.00.00</t>
  </si>
  <si>
    <t>BGĐK</t>
  </si>
  <si>
    <t>Trung tâm KD giải pháp DN Vừa - Hà Nội</t>
  </si>
  <si>
    <t>L04.30</t>
  </si>
  <si>
    <t>DNV_HAN</t>
  </si>
  <si>
    <t>L2.02.03.02.00.00.01</t>
  </si>
  <si>
    <t>DNV_HAN_BGĐTT</t>
  </si>
  <si>
    <t>DNV_HAN_BM01</t>
  </si>
  <si>
    <t>Nhóm Quản lý 01</t>
  </si>
  <si>
    <t>L2.02.03.02.02.00.01</t>
  </si>
  <si>
    <t>DNV_HAN_BM01_QL</t>
  </si>
  <si>
    <t>Nhóm KD MISA AMIS Kế toán 01</t>
  </si>
  <si>
    <t>DNV_HAN_BM01_KT</t>
  </si>
  <si>
    <t>Nhóm KD MISA AMIS Điều hành 01</t>
  </si>
  <si>
    <t>DNV_HAN_BM01_ĐH</t>
  </si>
  <si>
    <t>Nhóm KD MISA AMIS Nhân sự 01</t>
  </si>
  <si>
    <t>DNV_HAN_BM01_NS</t>
  </si>
  <si>
    <t>Nhóm KD MISA AMIS Bán hàng 01</t>
  </si>
  <si>
    <t>DNV_HAN_BM01_BH</t>
  </si>
  <si>
    <t>DNV_HAN_BM02</t>
  </si>
  <si>
    <t>Nhóm Quản lý 02</t>
  </si>
  <si>
    <t>DNV_HAN_BM02_SM</t>
  </si>
  <si>
    <t>Nhóm KD MISA AMIS Kế toán 02</t>
  </si>
  <si>
    <t>DNV_HAN_BM02_KT</t>
  </si>
  <si>
    <t>Nhóm KD MISA AMIS Điều hành 02</t>
  </si>
  <si>
    <t>DNV_HAN_BM02_ĐH</t>
  </si>
  <si>
    <t>Nhóm KD MISA AMIS Nhân sự 02</t>
  </si>
  <si>
    <t>DNV_HAN_BM02_NS</t>
  </si>
  <si>
    <t>Nhóm KD MISA AMIS Bán hàng 02</t>
  </si>
  <si>
    <t>DNV_HAN_BM02_BH</t>
  </si>
  <si>
    <t>Phòng KD Bán mới 03</t>
  </si>
  <si>
    <t>DNV_HAN_BM03</t>
  </si>
  <si>
    <t>Nhóm Quản lý 03</t>
  </si>
  <si>
    <t>DNV_HAN_BM03_SM</t>
  </si>
  <si>
    <t>Nhóm KD MISA AMIS Kế toán 03</t>
  </si>
  <si>
    <t>DNV_HAN_BM03_KT</t>
  </si>
  <si>
    <t>Nhóm KD MISA AMIS Điều hành 03</t>
  </si>
  <si>
    <t>DNV_HAN_BM03_ĐH</t>
  </si>
  <si>
    <t>Nhóm KD MISA AMIS Nhân sự 03</t>
  </si>
  <si>
    <t>DNV_HAN_BM03_NS</t>
  </si>
  <si>
    <t>Nhóm KD MISA AMIS Bán hàng 03</t>
  </si>
  <si>
    <t>DNV_HAN_BM03_BH</t>
  </si>
  <si>
    <t>Phòng KD Bán mới 04</t>
  </si>
  <si>
    <t>DNV_HAN_BM04</t>
  </si>
  <si>
    <t>Nhóm Quản lý 04</t>
  </si>
  <si>
    <t>DNV_HAN_BM04_SM</t>
  </si>
  <si>
    <t>Nhóm KD MISA AMIS Kế toán 04</t>
  </si>
  <si>
    <t>DNV_HAN_BM04_KT</t>
  </si>
  <si>
    <t>Nhóm KD MISA AMIS Điều hành 04</t>
  </si>
  <si>
    <t>DNV_HAN_BM04_ĐH</t>
  </si>
  <si>
    <t>Nhóm KD MISA AMIS Nhân sự 04</t>
  </si>
  <si>
    <t>DNV_HAN_BM04_NS</t>
  </si>
  <si>
    <t>Nhóm KD MISA AMIS Bán hàng 04</t>
  </si>
  <si>
    <t>DNV_HAN_BM04_BH</t>
  </si>
  <si>
    <t>Phòng KD Bán mới 05</t>
  </si>
  <si>
    <t>DNV_HAN_BM05</t>
  </si>
  <si>
    <t>Nhóm Quản lý 05</t>
  </si>
  <si>
    <t>DNV_HAN_BM05_SM</t>
  </si>
  <si>
    <t>Nhóm KD MISA AMIS Kế toán 05</t>
  </si>
  <si>
    <t>DNV_HAN_BM05_KT</t>
  </si>
  <si>
    <t>Nhóm KD MISA AMIS Điều hành 05</t>
  </si>
  <si>
    <t>DNV_HAN_BM05_ĐH</t>
  </si>
  <si>
    <t>Nhóm KD MISA AMIS Nhân sự 05</t>
  </si>
  <si>
    <t>DNV_HAN_BM05_NS</t>
  </si>
  <si>
    <t>Nhóm KD MISA AMIS Bán hàng 05</t>
  </si>
  <si>
    <t>DNV_HAN_BM05_BH</t>
  </si>
  <si>
    <t>Phòng KD Bán mới 06</t>
  </si>
  <si>
    <t>DNV_HAN_BM06</t>
  </si>
  <si>
    <t>Nhóm Quản lý 06</t>
  </si>
  <si>
    <t>DNV_HAN_BM06_SM</t>
  </si>
  <si>
    <t>Nhóm KD MISA AMIS Kế toán 06</t>
  </si>
  <si>
    <t>DNV_HAN_BM06_KT</t>
  </si>
  <si>
    <t>Nhóm KD MISA AMIS Điều hành 06</t>
  </si>
  <si>
    <t>DNV_HAN_BM06_ĐH</t>
  </si>
  <si>
    <t>Nhóm KD MISA AMIS Nhân sự 06</t>
  </si>
  <si>
    <t>DNV_HAN_BM06_NS</t>
  </si>
  <si>
    <t>Nhóm KD MISA AMIS Bán hàng 06</t>
  </si>
  <si>
    <t>DNV_HAN_BM06_BH</t>
  </si>
  <si>
    <t>DNV_HAN_BT01</t>
  </si>
  <si>
    <t>L2.02.03.02.03.00.01</t>
  </si>
  <si>
    <t>DNV_HAN_BT01_SM</t>
  </si>
  <si>
    <t>Nhóm Quản lý khách hàng 01</t>
  </si>
  <si>
    <t>DNV_HAN_BT01_AM</t>
  </si>
  <si>
    <t>Nhóm Bán thêm AMIS Kế toán 01</t>
  </si>
  <si>
    <t>DNV_HAN_BT01_KT</t>
  </si>
  <si>
    <t>Nhóm Bán thêm AMIS Bán hàng 01</t>
  </si>
  <si>
    <t>DNV_HAN_BT01_BH</t>
  </si>
  <si>
    <t>Nhóm Bán thêm AMIS Nhân sự 01</t>
  </si>
  <si>
    <t>DNV_HAN_BT01_NS</t>
  </si>
  <si>
    <t>Nhóm Bán thêm AMIS Điều hành 01</t>
  </si>
  <si>
    <t>DNV_HAN_BT01_ĐH</t>
  </si>
  <si>
    <t>DNV_HAN_BT02</t>
  </si>
  <si>
    <t>L2.02.03.02.04.00.01</t>
  </si>
  <si>
    <t>DNV_HAN_BT02_SM</t>
  </si>
  <si>
    <t>Nhóm Quản lý khách hàng 02</t>
  </si>
  <si>
    <t>DNV_HAN_BT02_AM</t>
  </si>
  <si>
    <t>Nhóm Bán thêm AMIS Kế toán 02</t>
  </si>
  <si>
    <t>DNV_HAN_BT02_KT</t>
  </si>
  <si>
    <t>Nhóm Bán thêm AMIS Bán hàng 02</t>
  </si>
  <si>
    <t>DNV_HAN_BT02_BH</t>
  </si>
  <si>
    <t>Nhóm Bán thêm AMIS Nhân sự 02</t>
  </si>
  <si>
    <t>DNV_HAN_BT02_NS</t>
  </si>
  <si>
    <t>Nhóm Bán thêm AMIS Điều hành 02</t>
  </si>
  <si>
    <t>DNV_HAN_BT02_ĐH</t>
  </si>
  <si>
    <t>DNV_HAN_BT03</t>
  </si>
  <si>
    <t>L2.02.03.02.05.00.01</t>
  </si>
  <si>
    <t>DNV_HAN_BT03_SM</t>
  </si>
  <si>
    <t>Nhóm Quản lý khách hàng 03</t>
  </si>
  <si>
    <t>DNV_HAN_BT03_AM</t>
  </si>
  <si>
    <t>Nhóm Bán thêm AMIS Kế toán 03</t>
  </si>
  <si>
    <t>DNV_HAN_BT03_KT</t>
  </si>
  <si>
    <t>Nhóm Bán thêm AMIS Bán hàng 03</t>
  </si>
  <si>
    <t>DNV_HAN_BT03_BH</t>
  </si>
  <si>
    <t>Nhóm Bán thêm AMIS Nhân sự 03</t>
  </si>
  <si>
    <t>DNV_HAN_BT03_NS</t>
  </si>
  <si>
    <t>Nhóm Bán thêm AMIS Điều hành 03</t>
  </si>
  <si>
    <t>DNV_HAN_BT03_ĐH</t>
  </si>
  <si>
    <t>DNV_HAN_ONB</t>
  </si>
  <si>
    <t>Trung tâm KD giải pháp DN Vừa - Hồ Chí Minh</t>
  </si>
  <si>
    <t>L05.30</t>
  </si>
  <si>
    <t>DNV_HCM</t>
  </si>
  <si>
    <t>mới sửa 22.05</t>
  </si>
  <si>
    <t>L2.02.03.02.00.00.02</t>
  </si>
  <si>
    <t>DNV_HCM_BGĐTT</t>
  </si>
  <si>
    <t>DNV_HCM_BM01</t>
  </si>
  <si>
    <t>L2.02.03.02.02.00.02</t>
  </si>
  <si>
    <t>DNV_HCM_BM01_SM</t>
  </si>
  <si>
    <t>DNV_HCM_BM01_KT</t>
  </si>
  <si>
    <t>DNV_HCM_BM01_ĐH</t>
  </si>
  <si>
    <t>DNV_HCM_BM01_NS</t>
  </si>
  <si>
    <t>DNV_HCM_BM01_BH</t>
  </si>
  <si>
    <t>DNV_HCM_BM02</t>
  </si>
  <si>
    <t>DNV_HCM_BM02_SM</t>
  </si>
  <si>
    <t>DNV_HCM_BM02_KT</t>
  </si>
  <si>
    <t>DNV_HCM_BM02_ĐH</t>
  </si>
  <si>
    <t>DNV_HCM_BM02_NS</t>
  </si>
  <si>
    <t>DNV_HCM_BM02_BH</t>
  </si>
  <si>
    <t>DNV_HCM_BM03</t>
  </si>
  <si>
    <t>DNV_HCM_BM03_SM</t>
  </si>
  <si>
    <t>DNV_HCM_BM03_KT</t>
  </si>
  <si>
    <t>DNV_HCM_BM03_ĐH</t>
  </si>
  <si>
    <t>DNV_HCM_BM03_NS</t>
  </si>
  <si>
    <t>DNV_HCM_BM03_BH</t>
  </si>
  <si>
    <t>DNV_HCM_BM04</t>
  </si>
  <si>
    <t>DNV_HCM_BM04_SM</t>
  </si>
  <si>
    <t>DNV_HCM_BM04_KT</t>
  </si>
  <si>
    <t>DNV_HCM_BM04_ĐH</t>
  </si>
  <si>
    <t>DNV_HCM_BM04_NS</t>
  </si>
  <si>
    <t>DNV_HCM_BM04_BH</t>
  </si>
  <si>
    <t>DNV_HCM_BM05</t>
  </si>
  <si>
    <t>DNV_HCM_BM05_SM</t>
  </si>
  <si>
    <t>DNV_HCM_BM05_KT</t>
  </si>
  <si>
    <t>DNV_HCM_BM05_ĐH</t>
  </si>
  <si>
    <t>DNV_HCM_BM05_NS</t>
  </si>
  <si>
    <t>DNV_HCM_BM05_BH</t>
  </si>
  <si>
    <t>DNV_HCM_BM06</t>
  </si>
  <si>
    <t>DNV_HCM_BM06_SM</t>
  </si>
  <si>
    <t>DNV_HCM_BM06_KT</t>
  </si>
  <si>
    <t>DNV_HCM_BM06_ĐH</t>
  </si>
  <si>
    <t>DNV_HCM_BM06_NS</t>
  </si>
  <si>
    <t>DNV_HCM_BM06_BH</t>
  </si>
  <si>
    <t xml:space="preserve">Tổng số </t>
  </si>
  <si>
    <t>DNV_HCM_BT01</t>
  </si>
  <si>
    <t>L2.02.03.02.04.00.02</t>
  </si>
  <si>
    <t>DNV_HCM_BT01_SM</t>
  </si>
  <si>
    <t>DNV_HCM_BT01_AM</t>
  </si>
  <si>
    <t>DNV_HCM_BT01_KT</t>
  </si>
  <si>
    <t>DNV_HCM_BT01_BH</t>
  </si>
  <si>
    <t>DNV_HCM_BT01_NS</t>
  </si>
  <si>
    <t>DNV_HCM_BT01_ĐH</t>
  </si>
  <si>
    <t>DNV_HCM_BT02</t>
  </si>
  <si>
    <t>L2.02.03.02.05.00.02</t>
  </si>
  <si>
    <t>DNV_HCM_BT02_SM</t>
  </si>
  <si>
    <t>DNV_HCM_BT02_AM</t>
  </si>
  <si>
    <t>DNV_HCM_BT02_KT</t>
  </si>
  <si>
    <t>DNV_HCM_BT02_BH</t>
  </si>
  <si>
    <t>DNV_HCM_BT02_NS</t>
  </si>
  <si>
    <t>DNV_HCM_BT02_ĐH</t>
  </si>
  <si>
    <t>L05.30.12</t>
  </si>
  <si>
    <t>Phòng KD bán thêm 3</t>
  </si>
  <si>
    <t>DNV_HCM_BT03</t>
  </si>
  <si>
    <t>DNV_HCM_BT03_SM</t>
  </si>
  <si>
    <t>L05.30.12.01</t>
  </si>
  <si>
    <t>DNV_HCM_BT03_AM</t>
  </si>
  <si>
    <t>L05.30.12.02</t>
  </si>
  <si>
    <t>DNV_HCM_BT03_KT</t>
  </si>
  <si>
    <t>L05.30.12.03</t>
  </si>
  <si>
    <t>DNV_HCM_BT03_BH</t>
  </si>
  <si>
    <t>L05.30.12.04</t>
  </si>
  <si>
    <t>DNV_HCM_BT03_NS</t>
  </si>
  <si>
    <t>L05.30.12.05</t>
  </si>
  <si>
    <t>DNV_HCM_BT03_ĐH</t>
  </si>
  <si>
    <t>DNV_HCM_ONB</t>
  </si>
  <si>
    <t>Phòng KD giải pháp DN Vừa - Đà Nẵng</t>
  </si>
  <si>
    <t>ko mapping được do cơ cấu mới</t>
  </si>
  <si>
    <t>DNV_DNG</t>
  </si>
  <si>
    <t>Nhóm KD giải pháp DN Vừa</t>
  </si>
  <si>
    <t>L2.02.03.02.00.00.03</t>
  </si>
  <si>
    <t>DNV_DNG_KD</t>
  </si>
  <si>
    <t>DNV_DNG_ONB</t>
  </si>
  <si>
    <t>Phòng KD giải pháp DN Vừa - Buôn Ma Thuột</t>
  </si>
  <si>
    <t>DNV_BMT</t>
  </si>
  <si>
    <t>L2.02.03.02.00.00.04</t>
  </si>
  <si>
    <t>DNV_BMT_KD</t>
  </si>
  <si>
    <t>DNV_BMT_ONB</t>
  </si>
  <si>
    <t>Phòng KD giải pháp DN Vừa - Cần Thơ</t>
  </si>
  <si>
    <t>DNV_CTH</t>
  </si>
  <si>
    <t>L2.02.03.02.00.00.05</t>
  </si>
  <si>
    <t>DNV_CTH_KD</t>
  </si>
  <si>
    <t>DNV_CTH_ONB</t>
  </si>
  <si>
    <t>DNV_MKT</t>
  </si>
  <si>
    <t>L2.02.03.03.00.00.06</t>
  </si>
  <si>
    <t>DNV_MKT_BH</t>
  </si>
  <si>
    <t>DNV_MKT_NS</t>
  </si>
  <si>
    <t>DNV_MKT_VPS</t>
  </si>
  <si>
    <t>DNV_MKT_MDR</t>
  </si>
  <si>
    <t>Khối doanh nghiệp lớn</t>
  </si>
  <si>
    <t>Khối DN Lớn</t>
  </si>
  <si>
    <t>L03.29</t>
  </si>
  <si>
    <t xml:space="preserve">         Trung tâm KD GP DN lớn</t>
  </si>
  <si>
    <t>DNL</t>
  </si>
  <si>
    <t>L2.02.04.00.00.00.00</t>
  </si>
  <si>
    <t>DNL_BGĐK</t>
  </si>
  <si>
    <t>DNL_KD</t>
  </si>
  <si>
    <t>L2.02.04.02.00.00.00</t>
  </si>
  <si>
    <t>ko mapping được vì bộ phận mới</t>
  </si>
  <si>
    <t>DNL_TVGP</t>
  </si>
  <si>
    <t>DNL_ONB</t>
  </si>
  <si>
    <t>Khối Kế toán dịch vụ</t>
  </si>
  <si>
    <t>KTDV</t>
  </si>
  <si>
    <t>L2.02.05.00.00.00.00</t>
  </si>
  <si>
    <t>KTDV_BGĐK</t>
  </si>
  <si>
    <t>ko mapping được do trước đây chưa tách riêng 2 phòng</t>
  </si>
  <si>
    <t>KTDV_ASP_PDR</t>
  </si>
  <si>
    <t>L2.02.05.02.00.00.00</t>
  </si>
  <si>
    <t>KTDV_ASP_PSM</t>
  </si>
  <si>
    <t>L03.27.01</t>
  </si>
  <si>
    <t>KTDV_HKD_PSM</t>
  </si>
  <si>
    <t>L2.02.05.04.00.00.00</t>
  </si>
  <si>
    <t>KTDV_ONB</t>
  </si>
  <si>
    <t>KTDV_MKT</t>
  </si>
  <si>
    <t>Khối giáo dục tư thục</t>
  </si>
  <si>
    <t>Khối Giáo dục tư thục</t>
  </si>
  <si>
    <t>GDTT</t>
  </si>
  <si>
    <t>L2.02.06.00.00.00.00</t>
  </si>
  <si>
    <t>GDTT_BGĐK</t>
  </si>
  <si>
    <t>GDTT_PDR</t>
  </si>
  <si>
    <t>L2.02.06.02.00.00.00</t>
  </si>
  <si>
    <t>GDTT_MKT</t>
  </si>
  <si>
    <t>Khối KD Thị trường toàn cầu</t>
  </si>
  <si>
    <t>TTTC</t>
  </si>
  <si>
    <t>ko mapping được do là bộ phận mới</t>
  </si>
  <si>
    <t>TTTC_BGĐK</t>
  </si>
  <si>
    <t>TTTC_PDR</t>
  </si>
  <si>
    <t>TTTC_ONB</t>
  </si>
  <si>
    <t>TTTC_MKT</t>
  </si>
  <si>
    <t>Khối KD Thị trường Khách hàng cá nhân</t>
  </si>
  <si>
    <t>KHCN</t>
  </si>
  <si>
    <t>KHCN_BGĐK</t>
  </si>
  <si>
    <t>L3</t>
  </si>
  <si>
    <t>Khối Hỗ trợ và Chăm sóc khách hàng</t>
  </si>
  <si>
    <t>HT&amp;CSKH</t>
  </si>
  <si>
    <t>L3.00.00.00.00.00.00</t>
  </si>
  <si>
    <t>HT&amp;CSKH_BGĐK</t>
  </si>
  <si>
    <t>HT&amp;CSKH_HCTH</t>
  </si>
  <si>
    <t>L3.00.00.02.00.00.00</t>
  </si>
  <si>
    <t>ko mapping được do bộ phận mới ko phân chia như cctc cũ</t>
  </si>
  <si>
    <t>HT&amp;CSKH_TCKT DN</t>
  </si>
  <si>
    <t>Nhóm TCKT DN 01</t>
  </si>
  <si>
    <t>HT&amp;CSKH_TCKT DN_01</t>
  </si>
  <si>
    <t>Nhóm TCKT DN 02</t>
  </si>
  <si>
    <t>HT&amp;CSKH_TCKT DN_02</t>
  </si>
  <si>
    <t>Nhóm TCKT DN 03</t>
  </si>
  <si>
    <t>HT&amp;CSKH_TCKT DN_03</t>
  </si>
  <si>
    <t>L3.00.00.03.03.00.00</t>
  </si>
  <si>
    <t>Nhóm TCKT DN 04</t>
  </si>
  <si>
    <t>HT&amp;CSKH_TCKT DN_04</t>
  </si>
  <si>
    <t>Nhóm TCKT DN 05</t>
  </si>
  <si>
    <t>HT&amp;CSKH_TCKT DN_05</t>
  </si>
  <si>
    <t>Nhóm TCKT DN 06</t>
  </si>
  <si>
    <t>HT&amp;CSKH_TCKT DN_06</t>
  </si>
  <si>
    <t>Nhóm TCKT DN 07</t>
  </si>
  <si>
    <t>HT&amp;CSKH_TCKT DN_07</t>
  </si>
  <si>
    <t>Nhóm TCKT DN 08</t>
  </si>
  <si>
    <t>HT&amp;CSKH_TCKT DN_08</t>
  </si>
  <si>
    <t>Nhóm TCKT DN 09</t>
  </si>
  <si>
    <t>HT&amp;CSKH_TCKT DN_09</t>
  </si>
  <si>
    <t>Nhóm TCKT DN 10</t>
  </si>
  <si>
    <t>Phòng hỗ trợ giải pháp quản trị DN &amp; Bán lẻ</t>
  </si>
  <si>
    <t>HT&amp;CSKH_QTDN&amp;BL</t>
  </si>
  <si>
    <t>Nhóm hỗ trợ giải pháp Quản trị điều hành DN</t>
  </si>
  <si>
    <t>HT&amp;CSKH_QTDN&amp;BL_QTĐH</t>
  </si>
  <si>
    <t>Nhóm hỗ trợ giải pháp Bán lẻ</t>
  </si>
  <si>
    <t>HT&amp;CSKH_QTDN&amp;BL_BL</t>
  </si>
  <si>
    <t>Phòng hỗ trợ giải pháp quản trị DN (bỏ)</t>
  </si>
  <si>
    <t>Phòng hỗ trợ giải pháp Bán lẻ (bỏ)</t>
  </si>
  <si>
    <t>HT&amp;CSKH_HCSN_TCKT</t>
  </si>
  <si>
    <t>Nhóm hỗ trợ giải pháp TCKT HCSN 01</t>
  </si>
  <si>
    <t>HT&amp;CSKH_HCSN_TCKT_01</t>
  </si>
  <si>
    <t>Nhóm hỗ trợ giải pháp TCKT HCSN 02</t>
  </si>
  <si>
    <t>HT&amp;CSKH_HCSN_TCKT_02</t>
  </si>
  <si>
    <t>HT&amp;CSKH_HCSN_ĐH</t>
  </si>
  <si>
    <t>HT&amp;CSKH_HTCĐ</t>
  </si>
  <si>
    <t>Phòng CSKH VIP 01</t>
  </si>
  <si>
    <t>HT&amp;CSKH_CSM VIP_01</t>
  </si>
  <si>
    <t>HT&amp;CSKH_CSM VIP_01_CS01</t>
  </si>
  <si>
    <t>HT&amp;CSKH_CSM VIP_01_CS02</t>
  </si>
  <si>
    <t>Phòng CSKH VIP 02</t>
  </si>
  <si>
    <t>HT&amp;CSKH_CSM VIP_02</t>
  </si>
  <si>
    <t>Nhóm CS03</t>
  </si>
  <si>
    <t>HT&amp;CSKH_CSM VIP_02_CS03</t>
  </si>
  <si>
    <t>Nhóm CS04</t>
  </si>
  <si>
    <t>HT&amp;CSKH_CSM VIP_02_CS04</t>
  </si>
  <si>
    <t>Phòng gia hạn</t>
  </si>
  <si>
    <t>HT&amp;CSKH_GIAHAN</t>
  </si>
  <si>
    <t>Nhóm gia hạn 01</t>
  </si>
  <si>
    <t>HT&amp;CSKH_GIAHAN_01</t>
  </si>
  <si>
    <t>Nhóm gia hạn 02</t>
  </si>
  <si>
    <t>HT&amp;CSKH_GIAHAN_02</t>
  </si>
  <si>
    <t>Phòng hỗ trợ giải pháp TCKT DN (bò)</t>
  </si>
  <si>
    <t>L3.00.00.03.00.00.00</t>
  </si>
  <si>
    <t>Phòng hỗ trợ giải pháp quản trị DN (bò)</t>
  </si>
  <si>
    <t>L3.00.00.04.00.00.00</t>
  </si>
  <si>
    <t>L3.00.00.04.01.00.00</t>
  </si>
  <si>
    <t>L3.00.00.04.02.00.00</t>
  </si>
  <si>
    <t>L3.00.00.04.03.00.00</t>
  </si>
  <si>
    <t>Phòng hỗ trợ giải pháp Bán lẻ (bò)</t>
  </si>
  <si>
    <t>L3.00.00.05.00.00.00</t>
  </si>
  <si>
    <t>Phòng hỗ trợ khách hàng HCSN (bò)</t>
  </si>
  <si>
    <t>L3.00.00.06.00.00.00</t>
  </si>
  <si>
    <t>L3.00.00.06.01.00.00</t>
  </si>
  <si>
    <t>L3.00.00.06.02.00.00</t>
  </si>
  <si>
    <t>Phòng hỗ trợ chủ động (bò)</t>
  </si>
  <si>
    <t>L3.00.00.07.00.00.00</t>
  </si>
  <si>
    <t>Phòng CSKH VIP (bò)</t>
  </si>
  <si>
    <t>L3.00.00.08.00.00.00</t>
  </si>
  <si>
    <t>L3.00.00.08.01.00.00</t>
  </si>
  <si>
    <t>L3.00.00.08.02.00.00</t>
  </si>
  <si>
    <t>Nhóm gia hạn (bò)</t>
  </si>
  <si>
    <t>L3.00.00.09.00.00.00</t>
  </si>
  <si>
    <t>Khối hỗ trợ</t>
  </si>
  <si>
    <t>L4.00.00.00.00.00.00</t>
  </si>
  <si>
    <t>BO_BGĐVP</t>
  </si>
  <si>
    <t>Ban GĐ VP - Hà Nội</t>
  </si>
  <si>
    <t>L4.00.00.03.00.00.00</t>
  </si>
  <si>
    <t>BO_BGĐVP_HAN</t>
  </si>
  <si>
    <t>Ban GĐ VP - Hồ Chí Minh</t>
  </si>
  <si>
    <t>BO_BGĐVP_HCM</t>
  </si>
  <si>
    <t>Ban GĐ VP - Đà Nẵng</t>
  </si>
  <si>
    <t>BO_BGĐVP_DNG</t>
  </si>
  <si>
    <t>Ban GĐ VP - Buôn Ma Thuột</t>
  </si>
  <si>
    <t>BO_BGĐVP_BMT</t>
  </si>
  <si>
    <t>Ban GĐ VP - Cần Thơ</t>
  </si>
  <si>
    <t>BO_BGĐVP_CTH</t>
  </si>
  <si>
    <t>Ban GĐ VP - Tổng công ty</t>
  </si>
  <si>
    <t>BO_BGĐVP_TCT</t>
  </si>
  <si>
    <t>BO_HCTH</t>
  </si>
  <si>
    <t>Phòng HCTH - Hà Nội</t>
  </si>
  <si>
    <t>L4.00.00.04.00.00.00</t>
  </si>
  <si>
    <t>BO_HCTH_HAN</t>
  </si>
  <si>
    <t>Phòng HCTH - Hồ Chí Minh</t>
  </si>
  <si>
    <t>BO_HCTH_HCM</t>
  </si>
  <si>
    <t>Phòng HCTH - Đà Nẵng</t>
  </si>
  <si>
    <t>BO_HCTH_DNG</t>
  </si>
  <si>
    <t>Phòng HCTH - Buôn Ma Thuột</t>
  </si>
  <si>
    <t>BO_HCTH_BMT</t>
  </si>
  <si>
    <t>Phòng HCTH - Cần Thơ</t>
  </si>
  <si>
    <t>BO_HCTH_CTH</t>
  </si>
  <si>
    <t>Phòng HCTH - Tổng công ty</t>
  </si>
  <si>
    <t>BO_HCTH_TCT</t>
  </si>
  <si>
    <t>Phòng Quan hệ cộng đồng - Hà Nội</t>
  </si>
  <si>
    <t>L4.00.00.05.00.00.00</t>
  </si>
  <si>
    <t>BO_PR_HAN</t>
  </si>
  <si>
    <t>Phòng Quan hệ cộng đồng - Hồ Chí Minh</t>
  </si>
  <si>
    <t>BO_PR_HCM</t>
  </si>
  <si>
    <t>Phòng Quan hệ cộng đồng - Tổng công ty</t>
  </si>
  <si>
    <t>BO_PR_TCT</t>
  </si>
  <si>
    <t>L4.00.00.06.00.00.06</t>
  </si>
  <si>
    <t>BO_PR_TCT_BGĐTT</t>
  </si>
  <si>
    <t>BO_BTC</t>
  </si>
  <si>
    <t>L4.00.00.07.00.00.00</t>
  </si>
  <si>
    <t>BO_BTC_KT</t>
  </si>
  <si>
    <t>L4.00.00.07.01.00.00</t>
  </si>
  <si>
    <t>bộ phận mới vì trước thuộc cctc P.HCTH</t>
  </si>
  <si>
    <t>BO_BTC_KHĐT</t>
  </si>
  <si>
    <t>L4.00.00.08.00.00.00</t>
  </si>
  <si>
    <t>BO_PHAPCHE</t>
  </si>
  <si>
    <t>BO_CTS</t>
  </si>
  <si>
    <t>BO_ISO</t>
  </si>
  <si>
    <t>BO_QLKD</t>
  </si>
  <si>
    <t>Ban Quản lý kinh doanh - Khối HCSN</t>
  </si>
  <si>
    <t>L4.00.00.12.00.00.00</t>
  </si>
  <si>
    <t>BO_QLKD_HCSN</t>
  </si>
  <si>
    <t>L4.00.00.12.01.00.00</t>
  </si>
  <si>
    <t>Ban Quản lý kinh doanh - Khối DN</t>
  </si>
  <si>
    <t>BO_QLKD_DN</t>
  </si>
  <si>
    <t>BO_MKT</t>
  </si>
  <si>
    <t>Viện đổi mới doanh nghiệp</t>
  </si>
  <si>
    <t>BO_MIBI</t>
  </si>
  <si>
    <t>L4.00.00.14.00.00.06</t>
  </si>
  <si>
    <t>L09.06</t>
  </si>
  <si>
    <t>Ban giám đốc viện</t>
  </si>
  <si>
    <t>BO_MIBI_BGĐ</t>
  </si>
  <si>
    <t>Phòng mới nên ko mapping được</t>
  </si>
  <si>
    <t>BO_MIBI_INBOUND</t>
  </si>
  <si>
    <t>L4.00.00.14.02.00.06</t>
  </si>
  <si>
    <t>BO_MIBI_INBOUND_TCKT</t>
  </si>
  <si>
    <t>BO_MIBI_INBOUND_BH</t>
  </si>
  <si>
    <t>BO_MIBI_INBOUND_HR</t>
  </si>
  <si>
    <t>BO_MIBI_INBOUND_ĐH</t>
  </si>
  <si>
    <t>BO_MIBI_INBOUND_BL</t>
  </si>
  <si>
    <t>L09.10</t>
  </si>
  <si>
    <t>BO_MIBI_HTĐT</t>
  </si>
  <si>
    <t>L4.00.00.14.03.00.00</t>
  </si>
  <si>
    <t>J0</t>
  </si>
  <si>
    <t>Công ty cổ phần JETPAY</t>
  </si>
  <si>
    <t>J0.99.00.00.00.00.00</t>
  </si>
  <si>
    <t>JETPAY_BO_BGĐ</t>
  </si>
  <si>
    <t>JETPAY_KSX_PTSP</t>
  </si>
  <si>
    <t>L1.99.00.02.00.00.07</t>
  </si>
  <si>
    <t>L10.02.01</t>
  </si>
  <si>
    <t>JETPAY_KSX_PTSP_JETPAY</t>
  </si>
  <si>
    <t>L1.99.00.02.01.00.07</t>
  </si>
  <si>
    <t>JETPAY_KSX_PTSP_LENDING_DA</t>
  </si>
  <si>
    <t>JETPAY_KSX_PTSP_LENDING_PT&amp;TK</t>
  </si>
  <si>
    <t>JETPAY_KD_KD&amp;MKT</t>
  </si>
  <si>
    <t>L2.99.00.03.00.00.00</t>
  </si>
  <si>
    <t>JETPAY_KD_KD&amp;MKT_BANKHUB</t>
  </si>
  <si>
    <t>JETPAY_KD_KD&amp;MKT_LENDING</t>
  </si>
  <si>
    <t>L2.99.00.03.02.00.00</t>
  </si>
  <si>
    <t>JETPAY_BO_HCTH</t>
  </si>
  <si>
    <t>JETPAY_BO_GSVH</t>
  </si>
  <si>
    <t>Ghi chú</t>
  </si>
  <si>
    <t>L03.36
L03.36.01
L03.36.02</t>
  </si>
  <si>
    <t>thêm nhóm</t>
  </si>
  <si>
    <t>bỏ cctc này do ngừng theo dõi</t>
  </si>
  <si>
    <t>thêm bộ phận</t>
  </si>
  <si>
    <t>bổ sung bộ phận do cập nhật thiếu</t>
  </si>
  <si>
    <t>sửa tên cctc đề xuất</t>
  </si>
  <si>
    <t>HCSN_HCM_TK&amp;CSKH_TC01</t>
  </si>
  <si>
    <t>sửa lại tên nhóm và bổ sung thêm 3 phòng theo thực tế</t>
  </si>
  <si>
    <t>HCSN_HCM_TK&amp;CSKH_TC02</t>
  </si>
  <si>
    <t>bổ sung thêm phòng theo thực tế</t>
  </si>
  <si>
    <t>HCSN_HCM_TK&amp;CSKH_TC03</t>
  </si>
  <si>
    <t>sửa tên viết tắt cấp 1</t>
  </si>
  <si>
    <t>GPBL_BM</t>
  </si>
  <si>
    <t>tạo mã ảo để group cctc theo mảng KD</t>
  </si>
  <si>
    <t>thay đổi mã cấp cha</t>
  </si>
  <si>
    <t>mã ảo để group cctc, thay đổi mã cctc</t>
  </si>
  <si>
    <t>Phòng KD bán mới CUKCUK 01</t>
  </si>
  <si>
    <t>thay đổi mã cấp cha và chuyển bộ phận vào tương ứng với cấp Phòng</t>
  </si>
  <si>
    <t>Phòng KD bán mới CUKCUK 03</t>
  </si>
  <si>
    <t>sửa tên nhóm thành phòng</t>
  </si>
  <si>
    <t>sửa chính tả tên cấp 1</t>
  </si>
  <si>
    <t>mã ảo để group cctc, thay đổi mã cctc, sửa chính tả tên cấp 1</t>
  </si>
  <si>
    <t>sửa chính tả, đẩy tên phòng vào lùi 1 cấp tương ứng cấp 2, thay đổi mã cha</t>
  </si>
  <si>
    <t>sửa chính tả</t>
  </si>
  <si>
    <t>sửa mã cấp cha</t>
  </si>
  <si>
    <r>
      <rPr>
        <rFont val="Times New Roman"/>
        <color rgb="FF000000"/>
        <sz val="10.0"/>
      </rPr>
      <t xml:space="preserve">Phòng KD Giải pháp bán lẻ - Buôn Ma </t>
    </r>
    <r>
      <rPr>
        <rFont val="Times New Roman"/>
        <color rgb="FFFF0000"/>
        <sz val="10.0"/>
      </rPr>
      <t>Thuột</t>
    </r>
  </si>
  <si>
    <t>sửa mã cấp cha, sửa tên chính tả</t>
  </si>
  <si>
    <r>
      <rPr>
        <rFont val="Times New Roman"/>
        <color rgb="FF000000"/>
        <sz val="10.0"/>
      </rPr>
      <t xml:space="preserve">Phòng KD Giải pháp bán lẻ - Buôn Ma </t>
    </r>
    <r>
      <rPr>
        <rFont val="Times New Roman"/>
        <color rgb="FFFF0000"/>
        <sz val="10.0"/>
      </rPr>
      <t>Thuột</t>
    </r>
  </si>
  <si>
    <t>sửa tên chính tả</t>
  </si>
  <si>
    <t>tạo mã ảo để group cctc cùng thuộc 1 nhóm KD</t>
  </si>
  <si>
    <t>Phòng KD Bán mới KTDN 01</t>
  </si>
  <si>
    <t>thêm số 0 vào tên phòng</t>
  </si>
  <si>
    <t>Phòng KD Bán mới KTDN 03</t>
  </si>
  <si>
    <t>Phòng KD Bán mới KTDN 04</t>
  </si>
  <si>
    <t>Phòng KD Bán mới KTDN 05</t>
  </si>
  <si>
    <t>Phòng KD Bán mới KTDN 07</t>
  </si>
  <si>
    <t>Phòng KD Bán mới KTDN 08</t>
  </si>
  <si>
    <t>Phòng Bán thêm GP KTDN</t>
  </si>
  <si>
    <t>tạo mã ảo để group</t>
  </si>
  <si>
    <t>đẩy tên phòng lùi vào 1 cấp cctc, sửa mã cấp cha</t>
  </si>
  <si>
    <t>Phòng Bán thêm GP HDDT</t>
  </si>
  <si>
    <t>Phòng bán thêm GP HDDT 04</t>
  </si>
  <si>
    <t>L04.33.03.04</t>
  </si>
  <si>
    <t>Phòng bán thêm GP HĐĐT 04</t>
  </si>
  <si>
    <t>DNN_BT_HAN_HDDT_04</t>
  </si>
  <si>
    <t>đẩy tên phòng lùi vào 1 cấp cctc, sửa mã cấp cha, tạo phòng 01 thay vì tên phòng chung như cữ</t>
  </si>
  <si>
    <t>Phòng KD Bán mới KTDN 02</t>
  </si>
  <si>
    <t>Phòng KD Bán mới KTDN 06</t>
  </si>
  <si>
    <t>Phòng Bán thêm GP Ký điện tử 01</t>
  </si>
  <si>
    <t>Phòng KD Bán mới GPKT 01</t>
  </si>
  <si>
    <t>Phòng KD Bán mới GPKT 02</t>
  </si>
  <si>
    <t>tạo mã ảo để group cctc</t>
  </si>
  <si>
    <t>tạo  phòng 01 nằm trong group cctc KT</t>
  </si>
  <si>
    <t>L03.40.01</t>
  </si>
  <si>
    <t>mapping cctc với cơ cấu chạy từ 1,6</t>
  </si>
  <si>
    <t>L03.40.02</t>
  </si>
  <si>
    <t>L03.40.03</t>
  </si>
  <si>
    <t>L04.27
L05.27
L06.22
L07.22
L08.22</t>
  </si>
  <si>
    <t>sửa lại tên ko viết tắt
cập nhật lại mã mapping</t>
  </si>
  <si>
    <t>sửa lại trụ sở</t>
  </si>
  <si>
    <t>Phòng KD Giải pháp kế toán</t>
  </si>
  <si>
    <t>sửa tên</t>
  </si>
  <si>
    <t>Nhóm KD Giải pháp kế toán 01</t>
  </si>
  <si>
    <t>Nhóm KD Giải pháp kế toán 02</t>
  </si>
  <si>
    <t>điều chỉnh lại mã theo mã cấp 3</t>
  </si>
  <si>
    <t>Phòng KD Giải pháp hóa đơn điện tử</t>
  </si>
  <si>
    <t>điều chỉnh trụ sở</t>
  </si>
  <si>
    <t>Nhóm KD Giải pháp hóa đơn điện tử</t>
  </si>
  <si>
    <t>Nhóm KD Giải pháp ký điện tử</t>
  </si>
  <si>
    <t xml:space="preserve">sửa lại chính tả </t>
  </si>
  <si>
    <t>tạo mã ảo</t>
  </si>
  <si>
    <t>L04.30.13</t>
  </si>
  <si>
    <t>sửa lại chính tả, mapping với cctc mới từ 1,6</t>
  </si>
  <si>
    <t>L04.30.13.01</t>
  </si>
  <si>
    <t>L04.30.13.02</t>
  </si>
  <si>
    <t>L04.30.13.03</t>
  </si>
  <si>
    <t>L04.30.13.04</t>
  </si>
  <si>
    <t>L04.30.13.05</t>
  </si>
  <si>
    <t>L04.30.14</t>
  </si>
  <si>
    <t>thêm phòng và mapping với cctc mới từ 1,6</t>
  </si>
  <si>
    <t>L04.30.14.01</t>
  </si>
  <si>
    <t>L04.30.14.02</t>
  </si>
  <si>
    <t>L04.30.14.03</t>
  </si>
  <si>
    <t>L04.30.14.04</t>
  </si>
  <si>
    <t>L04.30.14.05</t>
  </si>
  <si>
    <t>L04.30.15</t>
  </si>
  <si>
    <t>L04.30.15.01</t>
  </si>
  <si>
    <t>L04.30.15.02</t>
  </si>
  <si>
    <t>L04.30.15.03</t>
  </si>
  <si>
    <t>L04.30.15.04</t>
  </si>
  <si>
    <t>L04.30.15.05</t>
  </si>
  <si>
    <t>L04.30.16</t>
  </si>
  <si>
    <t>L04.30.16.01</t>
  </si>
  <si>
    <t>L04.30.16.02</t>
  </si>
  <si>
    <t>L04.30.16.03</t>
  </si>
  <si>
    <t>L04.30.16.04</t>
  </si>
  <si>
    <t>L04.30.16.05</t>
  </si>
  <si>
    <t>L04.30.17</t>
  </si>
  <si>
    <t>L04.30.17.01</t>
  </si>
  <si>
    <t>L04.30.17.02</t>
  </si>
  <si>
    <t>L04.30.17.03</t>
  </si>
  <si>
    <t>L04.30.17.04</t>
  </si>
  <si>
    <t>L04.30.17.05</t>
  </si>
  <si>
    <t>L04.30.18</t>
  </si>
  <si>
    <t>L04.30.18.01</t>
  </si>
  <si>
    <t>L04.30.18.02</t>
  </si>
  <si>
    <t>L04.30.18.03</t>
  </si>
  <si>
    <t>L04.30.18.04</t>
  </si>
  <si>
    <t>L04.30.18.05</t>
  </si>
  <si>
    <t>sửa tên thêm 0 vào</t>
  </si>
  <si>
    <t>Phòng KD Bán thêm 03</t>
  </si>
  <si>
    <t>sửa tên cctc</t>
  </si>
  <si>
    <t>98</t>
  </si>
  <si>
    <t xml:space="preserve">Phòng KD Bán mới </t>
  </si>
  <si>
    <t>L05.30.14</t>
  </si>
  <si>
    <t>mapping với cctc mới và thêm mới cctc</t>
  </si>
  <si>
    <t>L05.30.14.01</t>
  </si>
  <si>
    <t>sửa tên nhóm</t>
  </si>
  <si>
    <t>L05.30.14.02</t>
  </si>
  <si>
    <t>L05.30.14.03</t>
  </si>
  <si>
    <t>L05.30.14.04</t>
  </si>
  <si>
    <t>L05.30.14.05</t>
  </si>
  <si>
    <t>L05.30.15</t>
  </si>
  <si>
    <t>L05.30.15.01</t>
  </si>
  <si>
    <t>L05.30.15.02</t>
  </si>
  <si>
    <t>L05.30.15.03</t>
  </si>
  <si>
    <t>L05.30.15.04</t>
  </si>
  <si>
    <t>L05.30.15.05</t>
  </si>
  <si>
    <t>L05.30.16</t>
  </si>
  <si>
    <t>L05.30.16.01</t>
  </si>
  <si>
    <t>L05.30.16.02</t>
  </si>
  <si>
    <t>L05.30.16.03</t>
  </si>
  <si>
    <t>L05.30.16.04</t>
  </si>
  <si>
    <t>L05.30.16.05</t>
  </si>
  <si>
    <t>L05.30.17</t>
  </si>
  <si>
    <t>L05.30.17.01</t>
  </si>
  <si>
    <t>L05.30.17.02</t>
  </si>
  <si>
    <t>L05.30.17.03</t>
  </si>
  <si>
    <t>L05.30.17.04</t>
  </si>
  <si>
    <t>L05.30.17.05</t>
  </si>
  <si>
    <t>L05.30.18</t>
  </si>
  <si>
    <t>L05.30.18.01</t>
  </si>
  <si>
    <t>L05.30.18.02</t>
  </si>
  <si>
    <t>L05.30.18.03</t>
  </si>
  <si>
    <t>L05.30.18.04</t>
  </si>
  <si>
    <t>L05.30.18.05</t>
  </si>
  <si>
    <t>L05.30.19</t>
  </si>
  <si>
    <t>L05.30.19.01</t>
  </si>
  <si>
    <t>L05.30.19.02</t>
  </si>
  <si>
    <t>L05.30.19.03</t>
  </si>
  <si>
    <t>L05.30.19.04</t>
  </si>
  <si>
    <t>L05.30.19.05</t>
  </si>
  <si>
    <t>tạo nhóm ảo</t>
  </si>
  <si>
    <t>sửa tên bộ phận</t>
  </si>
  <si>
    <t xml:space="preserve">đồng nhất tên </t>
  </si>
  <si>
    <t>thêm phòng</t>
  </si>
  <si>
    <t>sửa chữ viết tắt</t>
  </si>
  <si>
    <t xml:space="preserve"> Nhóm MKT sản phẩm Bán hàng </t>
  </si>
  <si>
    <t>L03.41</t>
  </si>
  <si>
    <t>Khối kế toán dịch vụ</t>
  </si>
  <si>
    <t>sửa theo cctc mới chốt 30,5 và mapping với cctc chạy từ 1.6</t>
  </si>
  <si>
    <t>L03.41.05</t>
  </si>
  <si>
    <t>Ban giám đốc khối</t>
  </si>
  <si>
    <t>Khối MISA ASP</t>
  </si>
  <si>
    <t>L03.41.01</t>
  </si>
  <si>
    <t>L03.41.02</t>
  </si>
  <si>
    <t>Khối GPKT HKD</t>
  </si>
  <si>
    <t>Phòng Kinh doanh GPKT HKD</t>
  </si>
  <si>
    <t>L03.41.03</t>
  </si>
  <si>
    <t>KTDV_HKD</t>
  </si>
  <si>
    <t>Nhóm Kinh doanh GPKT HKD 01</t>
  </si>
  <si>
    <t>L03.41.03.01</t>
  </si>
  <si>
    <t>Phòng Kinh doanh GPKT HKD 01</t>
  </si>
  <si>
    <t>KTDV_HKD_01</t>
  </si>
  <si>
    <t>Nhóm Kinh doanh GPKT HKD 02</t>
  </si>
  <si>
    <t>L03.41.03.02</t>
  </si>
  <si>
    <t>Phòng Kinh doanh GPKT HKD 02</t>
  </si>
  <si>
    <t>KTDV_HKD_02</t>
  </si>
  <si>
    <t>Nhóm Kinh doanh GPKT HKD 03</t>
  </si>
  <si>
    <t>L03.41.03.03</t>
  </si>
  <si>
    <t>Phòng Kinh doanh GPKT HKD 03</t>
  </si>
  <si>
    <t>KTDV_HKD_03</t>
  </si>
  <si>
    <t>Khối GPKT HKD (bỏ)</t>
  </si>
  <si>
    <t>bỏ</t>
  </si>
  <si>
    <t>tạo và mapping theo cctc mới từ 1,6</t>
  </si>
  <si>
    <t>mapping theo cctc cũ và tạo cơ cấu mới</t>
  </si>
  <si>
    <t>L04.12
L05.12
L03.12</t>
  </si>
  <si>
    <t>L03.25
L04.15
L05.15</t>
  </si>
  <si>
    <t>L10</t>
  </si>
  <si>
    <t>sửa lại mã mapping</t>
  </si>
  <si>
    <r>
      <rPr>
        <rFont val="Times New Roman"/>
        <color rgb="FF000000"/>
        <sz val="10.0"/>
      </rPr>
      <t xml:space="preserve">Phòng KD Giải pháp bán lẻ - Buôn Ma </t>
    </r>
    <r>
      <rPr>
        <rFont val="Times New Roman"/>
        <color rgb="FFFF0000"/>
        <sz val="10.0"/>
      </rPr>
      <t>Thuột</t>
    </r>
  </si>
  <si>
    <r>
      <rPr>
        <rFont val="Times New Roman"/>
        <color rgb="FF000000"/>
        <sz val="10.0"/>
      </rPr>
      <t xml:space="preserve">Phòng KD Giải pháp bán lẻ - Buôn Ma </t>
    </r>
    <r>
      <rPr>
        <rFont val="Times New Roman"/>
        <color rgb="FFFF0000"/>
        <sz val="10.0"/>
      </rPr>
      <t>Thuột</t>
    </r>
  </si>
  <si>
    <t>Mã trụ sở</t>
  </si>
  <si>
    <t>Tên trụ sở</t>
  </si>
  <si>
    <t>Nơi đóng thuế</t>
  </si>
  <si>
    <t>Nơi đóng BHXH</t>
  </si>
  <si>
    <t>Trạng thái</t>
  </si>
  <si>
    <t>BMT</t>
  </si>
  <si>
    <t>(TW0011Z) Văn phòng đại diện Công ty CP MISA tại TP. Buôn Ma Thuột</t>
  </si>
  <si>
    <t>Đang theo dõi</t>
  </si>
  <si>
    <t>CTH</t>
  </si>
  <si>
    <t>(TA1319A) Văn phòng Đại diện công ty cổ phần MISA tại Cần Thơ</t>
  </si>
  <si>
    <t>DNG</t>
  </si>
  <si>
    <t>(TE2667E) Công ty CP MISA</t>
  </si>
  <si>
    <t>HAN-CD</t>
  </si>
  <si>
    <t>(TE7843E) VĂN PHÒNG ĐẠI DIỆN CÔNG TY CỔ PHẦN MISA TẠI HÀ NỘI</t>
  </si>
  <si>
    <t>HAN-NGD</t>
  </si>
  <si>
    <t>(YV0013X) VPĐD CÔNG TY CỔ PHẦN MISA TẠI TP. HCM</t>
  </si>
  <si>
    <t>KSX-N03T1</t>
  </si>
  <si>
    <t>KSX-N03T6</t>
  </si>
  <si>
    <t>KSX-TECH</t>
  </si>
  <si>
    <t>MIBI</t>
  </si>
  <si>
    <t>MIBI_cũ</t>
  </si>
  <si>
    <t>Tầng 1, Tòa nhà N03T2, Khu Ngoại Giao Đoàn, Phường Xuân Tảo, Quận Bắc Từ Liêm, Hà Nội</t>
  </si>
  <si>
    <t>Ngừng theo dõi</t>
  </si>
  <si>
    <t>TCT-T3</t>
  </si>
  <si>
    <t>TCT-T8</t>
  </si>
  <si>
    <t>Tầng 8 tòa nhà Technosoft, ngõ 15 Duy Tân, Q.Cầu giấy, Hà Nội</t>
  </si>
  <si>
    <t>TCT-T9</t>
  </si>
  <si>
    <t>TTTV-T2</t>
  </si>
  <si>
    <t>Trụ sở TT Hỗ trợ &amp; CSKH - HAN</t>
  </si>
  <si>
    <t>TTTV-T3</t>
  </si>
  <si>
    <t>TTTV-T4</t>
  </si>
  <si>
    <t>DANH SÁCH CƠ CẤU TỔ CHỨC - không có người nhưng vẫn đang theo dõi</t>
  </si>
  <si>
    <t>Mã đơn vị</t>
  </si>
  <si>
    <t>Mã đơn vị (Bỏ khoảng trắng)</t>
  </si>
  <si>
    <t>Khối kinh doanh</t>
  </si>
  <si>
    <t>Loại doanh số</t>
  </si>
  <si>
    <t>Loại sản phẩm</t>
  </si>
  <si>
    <t>Ngày thành lập</t>
  </si>
  <si>
    <t>Địa chỉ</t>
  </si>
  <si>
    <t>Chức năng, nhiệm vụ</t>
  </si>
  <si>
    <t>Lĩnh vực hoạt động</t>
  </si>
  <si>
    <t>Đã giải thể</t>
  </si>
  <si>
    <t>Ngày giải thể</t>
  </si>
  <si>
    <t>Check</t>
  </si>
  <si>
    <t>Tổng công ty</t>
  </si>
  <si>
    <t>Chi nhánh</t>
  </si>
  <si>
    <t>KSX_BO_VPSX</t>
  </si>
  <si>
    <t>Tòa N03-T1, Khu đô thị Ngoại giao đoàn, Xuân Tảo, Quận Bắc Từ Liêm, Hà Nội</t>
  </si>
  <si>
    <t>VPSX_BGĐ</t>
  </si>
  <si>
    <t>Phòng ban</t>
  </si>
  <si>
    <t>VPSX_PHCTH</t>
  </si>
  <si>
    <t>VPSX_PQTNNL</t>
  </si>
  <si>
    <t>KSX_BO_PTDT</t>
  </si>
  <si>
    <t>KSX_BO_ANTT</t>
  </si>
  <si>
    <t>Sản xuất</t>
  </si>
  <si>
    <t>Trung tâm</t>
  </si>
  <si>
    <t>Nhóm/Tổ/Đội</t>
  </si>
  <si>
    <t>[AMIS Mobile] Nhóm Phân tích &amp; Thiết kế</t>
  </si>
  <si>
    <t>L01.28.07.02</t>
  </si>
  <si>
    <t>Nhóm</t>
  </si>
  <si>
    <t>Dự án AMIS Mua hàng</t>
  </si>
  <si>
    <t>L01.28.10.01</t>
  </si>
  <si>
    <t>Dự án AMIS Kế toán 1</t>
  </si>
  <si>
    <t>L01.28.09.03</t>
  </si>
  <si>
    <t>Dự án AMIS WeSign mobile</t>
  </si>
  <si>
    <t>L01.28.17.02</t>
  </si>
  <si>
    <t>[CeGov] Nhóm Phân tích &amp; Thiết kế</t>
  </si>
  <si>
    <t>L01.29.10.02</t>
  </si>
  <si>
    <t>[TaskGo] Nhóm Phân tích &amp; Thiết kế</t>
  </si>
  <si>
    <t>L01.29.09.03</t>
  </si>
  <si>
    <t>[LEKIMA] Nhóm Phân tích &amp; Thiết kế</t>
  </si>
  <si>
    <t>L01.29.07.02</t>
  </si>
  <si>
    <t>Sản phẩm FinGov Platform</t>
  </si>
  <si>
    <t>L01.29.02</t>
  </si>
  <si>
    <t>Dự án FinGov Platform</t>
  </si>
  <si>
    <t>L01.29.02.01</t>
  </si>
  <si>
    <t>[FinGov Platform] Nhóm Phân tích và Thiết kế</t>
  </si>
  <si>
    <t>L01.29.02.02</t>
  </si>
  <si>
    <t>Dự án MISA Panda Online</t>
  </si>
  <si>
    <t>L01.29.14.01</t>
  </si>
  <si>
    <t>Ban giám đốc Khối Nền tảng GD</t>
  </si>
  <si>
    <t>L01.33.01</t>
  </si>
  <si>
    <t>Nhóm chuyên gia Viện công nghệ</t>
  </si>
  <si>
    <t>L01.35.04</t>
  </si>
  <si>
    <t>Dự án MISA Data Analytics Tools</t>
  </si>
  <si>
    <t>L01.36.04.03</t>
  </si>
  <si>
    <t>Dự án MISA Store</t>
  </si>
  <si>
    <t>L01.36.03.05</t>
  </si>
  <si>
    <t>Dự án MISA Loyalty</t>
  </si>
  <si>
    <t>L01.36.03.06</t>
  </si>
  <si>
    <t>Dự án MISA Promotion</t>
  </si>
  <si>
    <t>L01.36.03.07</t>
  </si>
  <si>
    <t>Dự án MISA Partner</t>
  </si>
  <si>
    <t>L01.36.03.08</t>
  </si>
  <si>
    <t>Dự án MISA Education Program</t>
  </si>
  <si>
    <t>L01.36.06.02</t>
  </si>
  <si>
    <t>Ban giám đốc Khối Nền tảng Kế toán dịch vụ</t>
  </si>
  <si>
    <t>L01.34.01</t>
  </si>
  <si>
    <t>Nhóm chuyên gia Khối Nền tảng Kế toán dịch vụ</t>
  </si>
  <si>
    <t>L01.34.03</t>
  </si>
  <si>
    <t>Ban giám đốc Khối Nền tảng TTNN</t>
  </si>
  <si>
    <t>L01.32.01</t>
  </si>
  <si>
    <t>[Cukcuk TT Mỹ] Nhóm Phân tích &amp; Thiết kế</t>
  </si>
  <si>
    <t>L01.32.03.03</t>
  </si>
  <si>
    <t>Dự án CukCuk Mobile TTNN</t>
  </si>
  <si>
    <t>L01.32.02.03</t>
  </si>
  <si>
    <t>Nhóm chuyên gia Khối Nền tảng TTNN</t>
  </si>
  <si>
    <t>L01.32.04</t>
  </si>
  <si>
    <t>[CukCuk TT Philippines] Nhóm Phân tích &amp; Thiết kế</t>
  </si>
  <si>
    <t>L01.32.05.02</t>
  </si>
  <si>
    <t>Ban giám đốc Khối SP Cá nhân</t>
  </si>
  <si>
    <t>L01.31.01</t>
  </si>
  <si>
    <t>Sản phẩm MISA Golf</t>
  </si>
  <si>
    <t>L01.31.02</t>
  </si>
  <si>
    <t>[MISA Golf] Nhóm Phân tích &amp; Thiết kế</t>
  </si>
  <si>
    <t>L01.31.02.02</t>
  </si>
  <si>
    <t>Dự án MISA Golf</t>
  </si>
  <si>
    <t>L01.31.02.01</t>
  </si>
  <si>
    <t>[MoneyKeeper] Nhóm Phân tích &amp; Thiết kế</t>
  </si>
  <si>
    <t>L01.31.03.02</t>
  </si>
  <si>
    <t>TTTV</t>
  </si>
  <si>
    <t>Văn phòng</t>
  </si>
  <si>
    <t>442, Đội Cấn - Ba Đình - Hà Nội</t>
  </si>
  <si>
    <t>Hỗ trợ</t>
  </si>
  <si>
    <t>TTTV_BO_BGD</t>
  </si>
  <si>
    <t>TTTV_P.TV01</t>
  </si>
  <si>
    <t>TTTV_N.TV01</t>
  </si>
  <si>
    <t>TTTV_NTV02</t>
  </si>
  <si>
    <t>TTTV_P.TV02</t>
  </si>
  <si>
    <t>TTTV_N.TV03</t>
  </si>
  <si>
    <t>TTTV_N.TV04</t>
  </si>
  <si>
    <t>TTTV_N.TV05</t>
  </si>
  <si>
    <t>TTTV_N.TV06</t>
  </si>
  <si>
    <t>TTTV_N.TV12</t>
  </si>
  <si>
    <t>TTTV_N.TV15</t>
  </si>
  <si>
    <t>Nhóm Tư vấn MISA 15</t>
  </si>
  <si>
    <t>L02.12.07</t>
  </si>
  <si>
    <t>TTTV_P.TV03</t>
  </si>
  <si>
    <t>TTTV_N.TV07</t>
  </si>
  <si>
    <t>TTTV_N.TV08</t>
  </si>
  <si>
    <t>Nhóm Tư vấn MISA 08</t>
  </si>
  <si>
    <t>L02.13.02</t>
  </si>
  <si>
    <t>TTTV_N.TV09</t>
  </si>
  <si>
    <t>TTTV_N.TV10</t>
  </si>
  <si>
    <t>TTTV_N.TV11</t>
  </si>
  <si>
    <t>TTTV_P.TV04</t>
  </si>
  <si>
    <t>TTTV_N.TV13</t>
  </si>
  <si>
    <t>TTTV_N.TV14</t>
  </si>
  <si>
    <t>TTTV_BO_HCTH</t>
  </si>
  <si>
    <t>442, Đội Cấn, Ba Đình, Hà Nội</t>
  </si>
  <si>
    <t>TTTV_P.CS01</t>
  </si>
  <si>
    <t>TTTV_P.CS01_N1</t>
  </si>
  <si>
    <t>TTTV_P.CS01_N2</t>
  </si>
  <si>
    <t>TTTV_P.CS02</t>
  </si>
  <si>
    <t>TTTV_P.CS02_N4</t>
  </si>
  <si>
    <t>TTTV_P.CS02_N3</t>
  </si>
  <si>
    <t>TTTV_P.CS03</t>
  </si>
  <si>
    <t>TTTV_P.CS03_N5</t>
  </si>
  <si>
    <t>TTTV_P.CS03_N06</t>
  </si>
  <si>
    <t>TCT</t>
  </si>
  <si>
    <t>Kinh doanh, Hỗ trợ</t>
  </si>
  <si>
    <t>TCT_BO_BGD</t>
  </si>
  <si>
    <t>TCT_BO_TCKT</t>
  </si>
  <si>
    <t>Tầng 9 Tòa nhà TSB- Lô B1D- Phố Duy Tân- Cầu Giấy- Hà Nội</t>
  </si>
  <si>
    <t>TCT_BO_BTGD</t>
  </si>
  <si>
    <t>L03.17</t>
  </si>
  <si>
    <t>TCT_BO_HDQT</t>
  </si>
  <si>
    <t>Tòa nhà TSB- Lô B1D- Phố Duy Tân- Cầu Giấy- Hà Nội</t>
  </si>
  <si>
    <t>TCT_BO_HCTH</t>
  </si>
  <si>
    <t>Tầng 9 Tòa nhà Technosoft - Lô B1D - Phố Duy Tân - Cầu Giấy - Hà Nội</t>
  </si>
  <si>
    <t>TCT_BO_BNS</t>
  </si>
  <si>
    <t>Tầng 09 - tòa nhà Technosoft - ngõ 15 Duy Tân - Cầu Giấy - Hà Nội</t>
  </si>
  <si>
    <t>TCT_BO_QLCTS</t>
  </si>
  <si>
    <t>TCT_KD_ASP</t>
  </si>
  <si>
    <t>Kinh doanh</t>
  </si>
  <si>
    <t>TCT_KD_ENT</t>
  </si>
  <si>
    <t>Trung tâm kinh doanh</t>
  </si>
  <si>
    <t>TCT_KD_ENT_BOM</t>
  </si>
  <si>
    <t>TCT_KD_TTNN</t>
  </si>
  <si>
    <t>Tầng 09 Tòa nhà TSB - Phố Duy Tân - P. Dịch Vọng Hậu - Q. Cầu Giấy - Hà Nội</t>
  </si>
  <si>
    <t>TCT_BO_DBCL</t>
  </si>
  <si>
    <t>Tầng 3 Tòa nhà TSB- Lô B1D- Phố Duy Tân- Cầu Giấy- Hà Nội</t>
  </si>
  <si>
    <t>TCT_BO_QHCD</t>
  </si>
  <si>
    <t>TCT_PR_BOM</t>
  </si>
  <si>
    <t>TCT_BO_KHDT</t>
  </si>
  <si>
    <t>TCT_BO_QLKD</t>
  </si>
  <si>
    <t>L03.31</t>
  </si>
  <si>
    <t>Ban Trải nghiệm Khách hàng</t>
  </si>
  <si>
    <t>L03.32</t>
  </si>
  <si>
    <t>Jetpay</t>
  </si>
  <si>
    <t>TCT_ONLINE</t>
  </si>
  <si>
    <t>TCT_ONLINE_GPKT_MKT</t>
  </si>
  <si>
    <t>TCT_ONLINE_HKD</t>
  </si>
  <si>
    <t>L03.34.03</t>
  </si>
  <si>
    <t>TCT_ONLINE_HKD_MKT</t>
  </si>
  <si>
    <t>Nhóm MKT HKD</t>
  </si>
  <si>
    <t>L03.34.03.02</t>
  </si>
  <si>
    <t>TCT_ONLINE_HDDT</t>
  </si>
  <si>
    <t>TCT_ONLINE_HDDT_MKT</t>
  </si>
  <si>
    <t>TCT_ONLINE_MKT</t>
  </si>
  <si>
    <t>L03.34.07</t>
  </si>
  <si>
    <t>TCT_ONLINE_MKT_MDR</t>
  </si>
  <si>
    <t>TCT_ONLINE_MKT_CRM</t>
  </si>
  <si>
    <t>TCT_ONLINE_MKT_BL</t>
  </si>
  <si>
    <t>TCT_ONLINE_MKT_HRM</t>
  </si>
  <si>
    <t>TCT_ONLINE_MKT_ĐH</t>
  </si>
  <si>
    <t>TCT_ONLINE_MKT_PLATFORM</t>
  </si>
  <si>
    <t>Nhóm MKT Nền tảng - Platform</t>
  </si>
  <si>
    <t>L03.34.07.06</t>
  </si>
  <si>
    <t>TCT_ONLINE_MKT_AUTO</t>
  </si>
  <si>
    <t>TCT_ONLINE_ONB</t>
  </si>
  <si>
    <t>L03.34.06</t>
  </si>
  <si>
    <t>TCT_ONLINE_ONB_GPKT</t>
  </si>
  <si>
    <t>TCT_ONLINE_ONB_HKD</t>
  </si>
  <si>
    <t>Nhóm chuyển giao GP HKD</t>
  </si>
  <si>
    <t>L03.34.06.02</t>
  </si>
  <si>
    <t>TCT_ONLINE_ONB_HDDT</t>
  </si>
  <si>
    <t>TCT_ONLINE_ONB_KĐT</t>
  </si>
  <si>
    <t>Nhóm chuyển giao GP Ký điện tử</t>
  </si>
  <si>
    <t>L03.34.06.04</t>
  </si>
  <si>
    <t>TCT_ONLINE_BOM</t>
  </si>
  <si>
    <t>L03.34.05</t>
  </si>
  <si>
    <t>TCT_ONLINE_KDT_MKT</t>
  </si>
  <si>
    <t>TCT-ONLINE_MEI&amp;HKD&amp;KDT</t>
  </si>
  <si>
    <t>Nhóm KD Automation Sales</t>
  </si>
  <si>
    <t>TCT_BDH</t>
  </si>
  <si>
    <t>TCT_BDH_BTGD</t>
  </si>
  <si>
    <t>TCT_BĐH_GĐTC</t>
  </si>
  <si>
    <t>Giám dốc tài chính</t>
  </si>
  <si>
    <t>L03.36.02</t>
  </si>
  <si>
    <t>TCT_GPGD</t>
  </si>
  <si>
    <t>TCT_CANHAN</t>
  </si>
  <si>
    <t>VPHN</t>
  </si>
  <si>
    <t>HAN_BO_BGD</t>
  </si>
  <si>
    <t>HAN_BO_TCKT</t>
  </si>
  <si>
    <t>Tầng 8 - Tòa nhà TSB - Cầu Giấy - Hà Nội</t>
  </si>
  <si>
    <t>HAN_BO_PRMAR</t>
  </si>
  <si>
    <t>Tầng 09 tòa nhà TSB - Cầu Giấy - Hà Nội</t>
  </si>
  <si>
    <t>HAN_BO_QTNNL</t>
  </si>
  <si>
    <t>HAN_BPTKD</t>
  </si>
  <si>
    <t>HAN_BO_HCTH</t>
  </si>
  <si>
    <t>Tâng 8, Tòa nhà TSB</t>
  </si>
  <si>
    <t>HAN_HCTH_HCNS</t>
  </si>
  <si>
    <t>Nhóm Hành chính - Nhân sự</t>
  </si>
  <si>
    <t>L04.02.01</t>
  </si>
  <si>
    <t>218 Đội Cấn - Ba Đình - Hà Nội</t>
  </si>
  <si>
    <t>HAN_P.CSKH</t>
  </si>
  <si>
    <t>Phòng Chăm sóc khách hàng</t>
  </si>
  <si>
    <t>L04.23</t>
  </si>
  <si>
    <t>HAN_KD_PTML</t>
  </si>
  <si>
    <t>HAN_KD_GPMEI</t>
  </si>
  <si>
    <t>Trung tâm KD Giải pháp Hóa đơn điện tử</t>
  </si>
  <si>
    <t>L04.28</t>
  </si>
  <si>
    <t>HAN_HDDT_BGD</t>
  </si>
  <si>
    <t>Ban giám đốc TTKD GP HĐĐT</t>
  </si>
  <si>
    <t>L04.28.01</t>
  </si>
  <si>
    <t>HAN_HDDT_BL01</t>
  </si>
  <si>
    <t>Phòng KD bán mới HĐĐT 1</t>
  </si>
  <si>
    <t>L04.28.02</t>
  </si>
  <si>
    <t>Phòng KD bán mới HĐĐT 2</t>
  </si>
  <si>
    <t>L04.28.03</t>
  </si>
  <si>
    <t>HAN_HDDT_BL03</t>
  </si>
  <si>
    <t>Phòng KD bán mới HĐĐT 3</t>
  </si>
  <si>
    <t>L04.28.04</t>
  </si>
  <si>
    <t>HAN_HDDT_BL04</t>
  </si>
  <si>
    <t>Phòng KD bán mới HĐĐT 4</t>
  </si>
  <si>
    <t>L04.28.05</t>
  </si>
  <si>
    <t>HAN_HDDT_BL05</t>
  </si>
  <si>
    <t>Phòng KD bán mới HĐĐT 5</t>
  </si>
  <si>
    <t>L04.28.06</t>
  </si>
  <si>
    <t>HAN_HDDT_KDDA</t>
  </si>
  <si>
    <t>L04.28.07</t>
  </si>
  <si>
    <t>HAN_HDDT_TK</t>
  </si>
  <si>
    <t>L04.28.08</t>
  </si>
  <si>
    <t>HAN_KD_GPKTDN</t>
  </si>
  <si>
    <t>HAN_KTDN_BGD</t>
  </si>
  <si>
    <t>HAN_KTDN_09</t>
  </si>
  <si>
    <t>Phòng KD bán mới KTDN 9</t>
  </si>
  <si>
    <t>L04.29.10</t>
  </si>
  <si>
    <t>HAN_KTDN_10</t>
  </si>
  <si>
    <t>Phòng KD bán mới KTDN 10</t>
  </si>
  <si>
    <t>L04.29.12</t>
  </si>
  <si>
    <t>HAN_KTDN_02</t>
  </si>
  <si>
    <t>L04.29.03</t>
  </si>
  <si>
    <t>HAN_KTDN_06</t>
  </si>
  <si>
    <t>L04.29.07</t>
  </si>
  <si>
    <t>HAN_KD_GPDNV</t>
  </si>
  <si>
    <t>HAN_MB_BGD</t>
  </si>
  <si>
    <t>HAN_MB_CSM</t>
  </si>
  <si>
    <t>L04.30.09</t>
  </si>
  <si>
    <t>HAN_MB_CSM_ACT</t>
  </si>
  <si>
    <t>Nhóm CSKH AMIS kế toán</t>
  </si>
  <si>
    <t>L04.30.09.01</t>
  </si>
  <si>
    <t>HAN_MB_CSM_CRM</t>
  </si>
  <si>
    <t>Nhóm CSKH AMIS bán hàng</t>
  </si>
  <si>
    <t>L04.30.09.02</t>
  </si>
  <si>
    <t>HAN_MB_CSM_HRM</t>
  </si>
  <si>
    <t>Nhóm CSKH AMIS nhân sự</t>
  </si>
  <si>
    <t>L04.30.09.03</t>
  </si>
  <si>
    <t>HAN_MB_CSM_OPS</t>
  </si>
  <si>
    <t>Nhóm CSKH AMIS điều hành</t>
  </si>
  <si>
    <t>L04.30.09.04</t>
  </si>
  <si>
    <t>HAN_MB_BANTHEM01</t>
  </si>
  <si>
    <t>HAN_MB_ONB</t>
  </si>
  <si>
    <t>HAN_MB_AMIS_HRM</t>
  </si>
  <si>
    <t>Nhóm chuyển giao AMIS nhân sự</t>
  </si>
  <si>
    <t>L04.30.06.04</t>
  </si>
  <si>
    <t>HAN_MB_ONB_CRM</t>
  </si>
  <si>
    <t>Nhóm chuyển giao AMIS bán hàng</t>
  </si>
  <si>
    <t>L04.30.06.03</t>
  </si>
  <si>
    <t>HAN_MB_ONB_OPS</t>
  </si>
  <si>
    <t>Nhóm chuyển giao AMIS điều hành</t>
  </si>
  <si>
    <t>L04.30.06.05</t>
  </si>
  <si>
    <t>HAN_MB_ONB_ACT</t>
  </si>
  <si>
    <t>Nhóm chuyển giao AMIS kế toán</t>
  </si>
  <si>
    <t>L04.30.06.02</t>
  </si>
  <si>
    <t>HAN_MB_AMISBH02</t>
  </si>
  <si>
    <t>Phòng KD MISA AMIS bán hàng 2</t>
  </si>
  <si>
    <t>L04.30.07</t>
  </si>
  <si>
    <t>HAN_MB_AMISKT03</t>
  </si>
  <si>
    <t>L04.30.08</t>
  </si>
  <si>
    <t>HAN_MB_BANTHEM02</t>
  </si>
  <si>
    <t>HAN_MB_BANTHEM03</t>
  </si>
  <si>
    <t>HAN_MB_BT_AM</t>
  </si>
  <si>
    <t>HAN_KD_HCSN</t>
  </si>
  <si>
    <t>Tầng 8 - Tòa nhà TSB Cầu Giấy - Hà Nội</t>
  </si>
  <si>
    <t>HN_BGĐ_TTKDHCSN</t>
  </si>
  <si>
    <t>Tầng 8 - tòa nhà TSB - Cầu Giấy - Hà Nội</t>
  </si>
  <si>
    <t>HAN_HCSN_KD01</t>
  </si>
  <si>
    <t>HAN_HCSN_KD01_01</t>
  </si>
  <si>
    <t>L04.03.16.01</t>
  </si>
  <si>
    <t>HAN_HCSN_KD02</t>
  </si>
  <si>
    <t>HAN_HCSN_KD03</t>
  </si>
  <si>
    <t>HAN_HCSN_KD04</t>
  </si>
  <si>
    <t>HAN_HCSN_TK&amp;CSKH01</t>
  </si>
  <si>
    <t>HAN_HCSN_P.TK&amp;CSKH01_01</t>
  </si>
  <si>
    <t>HAN_HCSN_P.TK&amp;CSKH01_02</t>
  </si>
  <si>
    <t>HAN_HCSN_TK&amp;CSKH02</t>
  </si>
  <si>
    <t>HAN_HCSN_P.TK&amp;CSKH02_03</t>
  </si>
  <si>
    <t>HAN_HCSN_P.TK&amp;CSKH02_04</t>
  </si>
  <si>
    <t>HAN_POS</t>
  </si>
  <si>
    <t>HAN_POS_CUKCUK</t>
  </si>
  <si>
    <t>L04.32.01.02</t>
  </si>
  <si>
    <t>Phòng KD bán mới CUKCUK 4</t>
  </si>
  <si>
    <t>L04.32.01.04</t>
  </si>
  <si>
    <t>HAN_POS_ESHOP</t>
  </si>
  <si>
    <t>HAN_POS_ONB</t>
  </si>
  <si>
    <t>HAN_SB_BANTHEM</t>
  </si>
  <si>
    <t>HAN_BT_BOM</t>
  </si>
  <si>
    <t>HAN_BT_BL</t>
  </si>
  <si>
    <t>Phòng bán thêm GP bán lẻ</t>
  </si>
  <si>
    <t>L04.33.04</t>
  </si>
  <si>
    <t>HAN_BT_CĐ</t>
  </si>
  <si>
    <t>L04.33.05</t>
  </si>
  <si>
    <t>HAN_BT_CĐ01</t>
  </si>
  <si>
    <t>Phòng KD chuyển đổi 01</t>
  </si>
  <si>
    <t>L04.33.05.01</t>
  </si>
  <si>
    <t>HAN_BT_AM</t>
  </si>
  <si>
    <t>Phòng Quản lý khách hàng</t>
  </si>
  <si>
    <t>L04.33.06</t>
  </si>
  <si>
    <t>HAN_BT_AM01</t>
  </si>
  <si>
    <t>Phòng Quản lý khách hàng 1</t>
  </si>
  <si>
    <t>L04.33.06.01</t>
  </si>
  <si>
    <t>HAN_BT_AM02</t>
  </si>
  <si>
    <t>Phòng Quản lý khách hàng 2</t>
  </si>
  <si>
    <t>L04.33.06.02</t>
  </si>
  <si>
    <t>HAN_BT_AM03</t>
  </si>
  <si>
    <t>Phòng Quản lý khách hàng 3</t>
  </si>
  <si>
    <t>L04.33.06.03</t>
  </si>
  <si>
    <t>HAN_BT_KTDN</t>
  </si>
  <si>
    <t>HAN_BT_HĐĐT</t>
  </si>
  <si>
    <t>HAN_BT_HDDT04</t>
  </si>
  <si>
    <t>HAN_BT_KDT</t>
  </si>
  <si>
    <t>HAN_BT_MEIDA</t>
  </si>
  <si>
    <t>HAN_SB_ONB</t>
  </si>
  <si>
    <t>HAN_ONB_KTDN</t>
  </si>
  <si>
    <t>HAN_ONB_HDDT</t>
  </si>
  <si>
    <t>HAN_HKD_KT</t>
  </si>
  <si>
    <t>TTKD GPKT Hộ kinh doanh</t>
  </si>
  <si>
    <t>L04.36</t>
  </si>
  <si>
    <t>HAN_HKD_GPKT_BOM</t>
  </si>
  <si>
    <t>Ban GĐ TTKD GPKT Hộ kinh doanh</t>
  </si>
  <si>
    <t>L04.36.01</t>
  </si>
  <si>
    <t>HAN_HKD_GPKT_01</t>
  </si>
  <si>
    <t>L04.36.02</t>
  </si>
  <si>
    <t>HAN_HKD_GPKT_02</t>
  </si>
  <si>
    <t>Phòng KD GPKT HKD 02</t>
  </si>
  <si>
    <t>L04.36.03</t>
  </si>
  <si>
    <t>VPHCM</t>
  </si>
  <si>
    <t>L05</t>
  </si>
  <si>
    <t>HCM_BO_BGD</t>
  </si>
  <si>
    <t>HCM_BO_TCKT</t>
  </si>
  <si>
    <t>HCM_BO_PRMAR</t>
  </si>
  <si>
    <t>HCM_BO_QTNNL</t>
  </si>
  <si>
    <t>HCM_BO_PTKD</t>
  </si>
  <si>
    <t>HCM_BO_HCTH</t>
  </si>
  <si>
    <t>HCM_KD_PTML</t>
  </si>
  <si>
    <t>HCM_KD_GPMEI</t>
  </si>
  <si>
    <t>L05.28</t>
  </si>
  <si>
    <t>HCM_HDDT_BGD</t>
  </si>
  <si>
    <t>L05.28.01</t>
  </si>
  <si>
    <t>HCM_HDDT_TK</t>
  </si>
  <si>
    <t>L05.28.10</t>
  </si>
  <si>
    <t>HCM_HDDT_KDDA</t>
  </si>
  <si>
    <t>L05.28.11</t>
  </si>
  <si>
    <t>HCM_HDDT_BL01</t>
  </si>
  <si>
    <t>L05.28.02</t>
  </si>
  <si>
    <t>HCM_HDDT_BL02</t>
  </si>
  <si>
    <t>L05.28.03</t>
  </si>
  <si>
    <t>HCM_HDDT_BL03</t>
  </si>
  <si>
    <t>L05.28.04</t>
  </si>
  <si>
    <t>HCM_HDDT_BL04</t>
  </si>
  <si>
    <t>L05.28.05</t>
  </si>
  <si>
    <t>HCM_HDDT_BL05</t>
  </si>
  <si>
    <t>L05.28.06</t>
  </si>
  <si>
    <t>HCM_HDDT_BL06</t>
  </si>
  <si>
    <t>Phòng KD bán mới HĐĐT 6</t>
  </si>
  <si>
    <t>L05.28.07</t>
  </si>
  <si>
    <t>HCM_HDDT_BL07</t>
  </si>
  <si>
    <t>Phòng KD bán mới HĐĐT 7</t>
  </si>
  <si>
    <t>L05.28.08</t>
  </si>
  <si>
    <t>HCM_HDDT_BL08</t>
  </si>
  <si>
    <t>Phòng KD bán mới HĐĐT 8</t>
  </si>
  <si>
    <t>L05.28.09</t>
  </si>
  <si>
    <t>HCM_KD_GPKTDN</t>
  </si>
  <si>
    <t>HCM_KTDN_BGD</t>
  </si>
  <si>
    <t>HCM_KTDN_08</t>
  </si>
  <si>
    <t>L05.29.09</t>
  </si>
  <si>
    <t>HCM_KD_HCSN</t>
  </si>
  <si>
    <t>HCM_BGD_TT_HCSN</t>
  </si>
  <si>
    <t>HCM_HCSN_KD01</t>
  </si>
  <si>
    <t>HCM_HCSN_KD02</t>
  </si>
  <si>
    <t>Phòng KD HCSN 02 (cũ)</t>
  </si>
  <si>
    <t>L05.03.13</t>
  </si>
  <si>
    <t>Nhóm KD HCSN 03 (cũ)</t>
  </si>
  <si>
    <t>L05.03.13.01</t>
  </si>
  <si>
    <t>Nhóm KD HCSN 04 (cũ)</t>
  </si>
  <si>
    <t>L05.03.13.02</t>
  </si>
  <si>
    <t>HCM_HCSN_KD03</t>
  </si>
  <si>
    <t>HCM_TK&amp;CSKH</t>
  </si>
  <si>
    <t>HCM_HCSN_TK&amp;CSKH_01</t>
  </si>
  <si>
    <t>HCM_HCSN_TK&amp;CSKH_02</t>
  </si>
  <si>
    <t>HCM_HCSN_TK&amp;CSKH_03</t>
  </si>
  <si>
    <t>HCM_HCSN_TK&amp;CSKH_04</t>
  </si>
  <si>
    <t>HCM_KD_GPDNV</t>
  </si>
  <si>
    <t>HCM_MB_BGD</t>
  </si>
  <si>
    <t>HCM_MB_CSM</t>
  </si>
  <si>
    <t>L05.30.09</t>
  </si>
  <si>
    <t>HCM_MB_CSM_ACT</t>
  </si>
  <si>
    <t>L05.30.09.01</t>
  </si>
  <si>
    <t>HCM_MB_CSM_CRM</t>
  </si>
  <si>
    <t>L05.30.09.02</t>
  </si>
  <si>
    <t>HCM_MB_CSM_HRM</t>
  </si>
  <si>
    <t>L05.30.09.03</t>
  </si>
  <si>
    <t>HCM_MB_CSM_OPS</t>
  </si>
  <si>
    <t>L05.30.09.04</t>
  </si>
  <si>
    <t>HCM_MB_BT1_AM</t>
  </si>
  <si>
    <t>HCM_MB_BT2_AM</t>
  </si>
  <si>
    <t>HCM_MB_ONB</t>
  </si>
  <si>
    <t>HCM_MB_ONB_ACT</t>
  </si>
  <si>
    <t>L05.30.06.02</t>
  </si>
  <si>
    <t>HCM_MB_ONB_OPS</t>
  </si>
  <si>
    <t>L05.30.06.05</t>
  </si>
  <si>
    <t>HCM_MB_ONB_HRM</t>
  </si>
  <si>
    <t>L05.30.06.04</t>
  </si>
  <si>
    <t>HCM_MB_ONB_CRM</t>
  </si>
  <si>
    <t>L05.30.06.03</t>
  </si>
  <si>
    <t>HCM_MB_AMISBH02</t>
  </si>
  <si>
    <t>L05.30.08</t>
  </si>
  <si>
    <t>Phòng KD Bán thêm 3</t>
  </si>
  <si>
    <t>HCM_POS</t>
  </si>
  <si>
    <t>HCM_POS_BGD</t>
  </si>
  <si>
    <t>HCM_POS_CUK</t>
  </si>
  <si>
    <t>HCM_POS_CUKCUK04</t>
  </si>
  <si>
    <t>L05.32.01.04</t>
  </si>
  <si>
    <t>HCM_POS_ESHOP</t>
  </si>
  <si>
    <t>HCM_POS_eShop02</t>
  </si>
  <si>
    <t>L05.32.02.02</t>
  </si>
  <si>
    <t>HCM_POS_eShop03</t>
  </si>
  <si>
    <t>Phòng KD bán mới ESHOP 3</t>
  </si>
  <si>
    <t>L05.32.02.03</t>
  </si>
  <si>
    <t>HCM_POS_HKD_01</t>
  </si>
  <si>
    <t>HCM_POS_ONB</t>
  </si>
  <si>
    <t>HCM_SB_BANTHEM</t>
  </si>
  <si>
    <t>HCM_BT_BOM</t>
  </si>
  <si>
    <t>HCM_BT_BL</t>
  </si>
  <si>
    <t>Phòng bán thêm GP Bán lẻ</t>
  </si>
  <si>
    <t>L05.33.04</t>
  </si>
  <si>
    <t>HCM_BT_CĐ</t>
  </si>
  <si>
    <t>L05.33.05</t>
  </si>
  <si>
    <t>HCM_BT_CĐ01</t>
  </si>
  <si>
    <t>Phòng KD chuyển đổi 1</t>
  </si>
  <si>
    <t>L05.33.05.01</t>
  </si>
  <si>
    <t>HCM_BT_AM</t>
  </si>
  <si>
    <t>L05.33.06</t>
  </si>
  <si>
    <t>HCM_BT_AM1</t>
  </si>
  <si>
    <t>L05.33.06.01</t>
  </si>
  <si>
    <t>HCM_BT_AM2</t>
  </si>
  <si>
    <t>L05.33.06.02</t>
  </si>
  <si>
    <t>HCM_BT_KTDN</t>
  </si>
  <si>
    <t>HCM_BT_KTDN03</t>
  </si>
  <si>
    <t>Phòng bán thêm GP KTDN 3</t>
  </si>
  <si>
    <t>L05.33.02.03</t>
  </si>
  <si>
    <t>HCM_BT_HDDT</t>
  </si>
  <si>
    <t>HCM_BT_HDDT04</t>
  </si>
  <si>
    <t>Phòng bán thêm GP HĐĐT 4</t>
  </si>
  <si>
    <t>L05.33.03.04</t>
  </si>
  <si>
    <t>HCM_BT_KDT</t>
  </si>
  <si>
    <t>HCM_BT_MEIDA</t>
  </si>
  <si>
    <t>HCM_SB_ONB</t>
  </si>
  <si>
    <t>HCM_ONB_KTDN</t>
  </si>
  <si>
    <t>HCM_ONB_HDDT</t>
  </si>
  <si>
    <t>HCM_ONB_BL</t>
  </si>
  <si>
    <t>Nhóm chuyển giao GP Bán lẻ</t>
  </si>
  <si>
    <t>L05.35.03</t>
  </si>
  <si>
    <t>HCM_KD_GPKTHKD</t>
  </si>
  <si>
    <t>L05.36</t>
  </si>
  <si>
    <t>HCM_KD_GPKTHKD_BOM</t>
  </si>
  <si>
    <t>L05.36.01</t>
  </si>
  <si>
    <t>HCM_KD_GPKTHKD_BM01</t>
  </si>
  <si>
    <t>Phòng bán mới GPKT HKD 1</t>
  </si>
  <si>
    <t>L05.36.02</t>
  </si>
  <si>
    <t>HCM_KD_GPKTHKD_BM02</t>
  </si>
  <si>
    <t>Phòng bán mới GPKT HKD 02</t>
  </si>
  <si>
    <t>L05.36.03</t>
  </si>
  <si>
    <t>L06</t>
  </si>
  <si>
    <t>Lô 06B1.3 Dương Đình Nghệ, Quận Sơn Trà, TP Đà Nẵng</t>
  </si>
  <si>
    <t>DNG_BGD</t>
  </si>
  <si>
    <t>DNG_KTDN</t>
  </si>
  <si>
    <t>DNG_Banle</t>
  </si>
  <si>
    <t>DNG_GPBL_CUKCUK&amp;ESHOP</t>
  </si>
  <si>
    <t>DNG_GPBL_HKD</t>
  </si>
  <si>
    <t>DNG_BANTHEM</t>
  </si>
  <si>
    <t>DNG_BANTHEM_KTDN</t>
  </si>
  <si>
    <t>DNG_BANTHEM_HDDT</t>
  </si>
  <si>
    <t>DNG_BANTHEM_BL</t>
  </si>
  <si>
    <t>Nhóm KD bán thêm GP bán lẻ</t>
  </si>
  <si>
    <t>L06.18.04</t>
  </si>
  <si>
    <t>DNG_BANTHEM_CĐ</t>
  </si>
  <si>
    <t>DNG_BANTHEM_AM</t>
  </si>
  <si>
    <t>L06.18.06</t>
  </si>
  <si>
    <t>DNG_BT_KDT</t>
  </si>
  <si>
    <t>DNG_ONB</t>
  </si>
  <si>
    <t>L06.19</t>
  </si>
  <si>
    <t>DNG_ONB_KTDN</t>
  </si>
  <si>
    <t>DNG_ONB_HDDT</t>
  </si>
  <si>
    <t>DNG_ONB_BL</t>
  </si>
  <si>
    <t>DNG_CSM</t>
  </si>
  <si>
    <t>Nhóm chăm sóc khách hàng</t>
  </si>
  <si>
    <t>L06.20</t>
  </si>
  <si>
    <t>DNG_CSM_KTDN</t>
  </si>
  <si>
    <t>Nhóm CSKH GP KTDN</t>
  </si>
  <si>
    <t>L06.20.02</t>
  </si>
  <si>
    <t>DNG_CSM_HDDT</t>
  </si>
  <si>
    <t>Nhóm CSKH GP hóa đơn điện tử</t>
  </si>
  <si>
    <t>L06.20.03</t>
  </si>
  <si>
    <t>DNG_CSM_BL</t>
  </si>
  <si>
    <t>Nhóm CSKH GP bán lẻ</t>
  </si>
  <si>
    <t>L06.20.04</t>
  </si>
  <si>
    <t>DNG_HCTH</t>
  </si>
  <si>
    <t>DNG_KD_HCSN</t>
  </si>
  <si>
    <t>DNG_GPKTHKD</t>
  </si>
  <si>
    <t>Phòng KD GPKT Hộ kinh doanh</t>
  </si>
  <si>
    <t>L06.21</t>
  </si>
  <si>
    <t>DNG_ML</t>
  </si>
  <si>
    <t>DNG_AMIS</t>
  </si>
  <si>
    <t>L07</t>
  </si>
  <si>
    <t>72 Ngô Quyền, TP Buôn Ma Thuột, tỉnh Đăk Lăk</t>
  </si>
  <si>
    <t>BMT_BO_BGD</t>
  </si>
  <si>
    <t>72 Ngô Quyền, TP Buôn Ma Thuột tỉnh Đăk Lăk</t>
  </si>
  <si>
    <t>BMT_KTDN</t>
  </si>
  <si>
    <t>L07.16</t>
  </si>
  <si>
    <t>BMT_KTDN_01</t>
  </si>
  <si>
    <t>L07.16.01</t>
  </si>
  <si>
    <t>BMT_BANTHEM</t>
  </si>
  <si>
    <t>BMT_BANTHEM_KTDN</t>
  </si>
  <si>
    <t>BMT_BANTHEM_HDDT</t>
  </si>
  <si>
    <t>BMT_BANTHEM_BL</t>
  </si>
  <si>
    <t>L07.18.04</t>
  </si>
  <si>
    <t>BMT_BANTHEM_CĐ</t>
  </si>
  <si>
    <t>BMT_BANTHEM_AM</t>
  </si>
  <si>
    <t>L07.18.06</t>
  </si>
  <si>
    <t>L07.18.07</t>
  </si>
  <si>
    <t>BMT_ONB</t>
  </si>
  <si>
    <t>BMT_ONB_KTDN</t>
  </si>
  <si>
    <t>BMT_ONB_HDDT</t>
  </si>
  <si>
    <t>BMT_ONB_BL</t>
  </si>
  <si>
    <t>BMT_CSM</t>
  </si>
  <si>
    <t>Nhóm Chăm sóc khách hàng</t>
  </si>
  <si>
    <t>L07.20</t>
  </si>
  <si>
    <t>BMT_CSM_KTDN</t>
  </si>
  <si>
    <t>L07.20.02</t>
  </si>
  <si>
    <t>BMT_CSM_HDDT</t>
  </si>
  <si>
    <t>L07.20.03</t>
  </si>
  <si>
    <t>BMT_CSM_BL</t>
  </si>
  <si>
    <t>L07.20.04</t>
  </si>
  <si>
    <t>BMT_BO_HCTH</t>
  </si>
  <si>
    <t>BMT_KD_HCSN</t>
  </si>
  <si>
    <t>BMT_Nhom_trien khai</t>
  </si>
  <si>
    <t>BMT_GPBL</t>
  </si>
  <si>
    <t>BMT_GPBL_CUKCUK&amp;ESHOP</t>
  </si>
  <si>
    <t>BMT_GPBL_HKD</t>
  </si>
  <si>
    <t>BMT_GPKTHKD</t>
  </si>
  <si>
    <t>L07.21</t>
  </si>
  <si>
    <t>BMT_ML</t>
  </si>
  <si>
    <t>BMT_AMIS</t>
  </si>
  <si>
    <t>L08</t>
  </si>
  <si>
    <t>CTH_BO_BGD</t>
  </si>
  <si>
    <t>CTH_KD_MEI</t>
  </si>
  <si>
    <t>Phòng KD Giải pháp HĐĐT</t>
  </si>
  <si>
    <t>L08.15</t>
  </si>
  <si>
    <t>CTH_KTDN</t>
  </si>
  <si>
    <t>L08.16</t>
  </si>
  <si>
    <t>CTH_KTDN_02</t>
  </si>
  <si>
    <t>L08.16.02</t>
  </si>
  <si>
    <t>CTH_Banle</t>
  </si>
  <si>
    <t>CTH_GPBL_CUKCUK&amp;ESHOP</t>
  </si>
  <si>
    <t>CTH_GPBL_HKD</t>
  </si>
  <si>
    <t>CTH_BANTHEM</t>
  </si>
  <si>
    <t>CTH_BANTHEM_KTDN</t>
  </si>
  <si>
    <t>CTH_BANTHEM_HDDT</t>
  </si>
  <si>
    <t>CTH_BANTHEM_BANLE</t>
  </si>
  <si>
    <t>L08.18.04</t>
  </si>
  <si>
    <t>CTH_BANTHEM_CĐ</t>
  </si>
  <si>
    <t>CTH_BANTHEM_AM</t>
  </si>
  <si>
    <t>Nhóm quản lý khách hàng</t>
  </si>
  <si>
    <t>L08.18.06</t>
  </si>
  <si>
    <t>CTH_BT_KDT</t>
  </si>
  <si>
    <t>L08.18.07</t>
  </si>
  <si>
    <t>CTH_ONB</t>
  </si>
  <si>
    <t>CTH_ONB_KTDN</t>
  </si>
  <si>
    <t>CTH_ONB_HDDT</t>
  </si>
  <si>
    <t>CTH_ONB_BL</t>
  </si>
  <si>
    <t>L08.19.04</t>
  </si>
  <si>
    <t>CTH_CSKH</t>
  </si>
  <si>
    <t>L08.20</t>
  </si>
  <si>
    <t>CTH_CSM_KTDN</t>
  </si>
  <si>
    <t>L08.20.02</t>
  </si>
  <si>
    <t>CTH_CSM_HDDT</t>
  </si>
  <si>
    <t>L08.20.03</t>
  </si>
  <si>
    <t>CTH_CSM_BL</t>
  </si>
  <si>
    <t>L08.20.04</t>
  </si>
  <si>
    <t>CTH_BO_HCTH</t>
  </si>
  <si>
    <t>CTH_KD_HCSN</t>
  </si>
  <si>
    <t>Cần thơ</t>
  </si>
  <si>
    <t>131 Trần Hưng Đạo, An Phú, Ninh Kiều, Cần Thơ</t>
  </si>
  <si>
    <t>CTH_GPKTHKD</t>
  </si>
  <si>
    <t>L08.21</t>
  </si>
  <si>
    <t>CTH_ML</t>
  </si>
  <si>
    <t>CTH_AMIS</t>
  </si>
  <si>
    <t>L09</t>
  </si>
  <si>
    <t>MIBI_KTHT</t>
  </si>
  <si>
    <t>MIBI_BGD</t>
  </si>
  <si>
    <t>Ban giám đốc Viện</t>
  </si>
  <si>
    <t>MIBI_HCTH</t>
  </si>
  <si>
    <t>L09.08</t>
  </si>
  <si>
    <t>Nhóm sản xuất khóa học</t>
  </si>
  <si>
    <t>JETPAY_BGĐ</t>
  </si>
  <si>
    <t>JETPAY_DA</t>
  </si>
  <si>
    <t>JETPAY_DA_SPJ</t>
  </si>
  <si>
    <t>Sản xuất, Hỗ trợ</t>
  </si>
  <si>
    <t>JETPAY_DA_LEN</t>
  </si>
  <si>
    <t>L10.02.02</t>
  </si>
  <si>
    <t>JETPAY_DA_LEN_DEV</t>
  </si>
  <si>
    <t>JETPAY_DA_LEN_PTTK</t>
  </si>
  <si>
    <t>JETPAY_DA_DATA</t>
  </si>
  <si>
    <t>Nhóm phân tích dữ liệu</t>
  </si>
  <si>
    <t>L10.02.03</t>
  </si>
  <si>
    <t>JETPAY_KD</t>
  </si>
  <si>
    <t>L10.03</t>
  </si>
  <si>
    <t>JETPAY_KD_THP</t>
  </si>
  <si>
    <t>Nhóm KD SP thu học phí</t>
  </si>
  <si>
    <t>L10.03.01</t>
  </si>
  <si>
    <t>JETPAY_KD_BANKHUB</t>
  </si>
  <si>
    <t>JETPAY_KD_LEN</t>
  </si>
  <si>
    <t>JETPAY_HCTH</t>
  </si>
  <si>
    <t>Đại hội đồng cổ đông</t>
  </si>
  <si>
    <t>KHỐI SẢN XUẤT</t>
  </si>
  <si>
    <t>L01.00.00.00.00.00.07</t>
  </si>
  <si>
    <t>L01.00.00.01.00.00.07</t>
  </si>
  <si>
    <t>L01.00.00.07.00.00.07</t>
  </si>
  <si>
    <t>L01.00.00.07.02.00.07</t>
  </si>
  <si>
    <t>L01.00.00.07.03.00.07</t>
  </si>
  <si>
    <t>L01.00.00.07.04.00.07</t>
  </si>
  <si>
    <t>L01.00.00.07.05.00.07</t>
  </si>
  <si>
    <t>L01.00.00.08.00.00.07</t>
  </si>
  <si>
    <t>L01.00.00.09.00.00.07</t>
  </si>
  <si>
    <t>L01.00.00.09.02.00.07</t>
  </si>
  <si>
    <t>L01.00.00.10.00.00.07</t>
  </si>
  <si>
    <t>L01.00.00.10.04.00.07</t>
  </si>
  <si>
    <t>L01.00.00.10.05.00.07</t>
  </si>
  <si>
    <t>L01.00.00.10.06.00.07</t>
  </si>
  <si>
    <t>L01.00.00.10.07.00.07</t>
  </si>
  <si>
    <t>L01.00.00.10.08.01.07</t>
  </si>
  <si>
    <t>L01.00.00.10.09.00.07</t>
  </si>
  <si>
    <t>L01.00.00.10.10.00.07</t>
  </si>
  <si>
    <t>L01.00.00.10.11.00.07</t>
  </si>
  <si>
    <t>L01.00.00.10.12.00.07</t>
  </si>
  <si>
    <t>L01.00.00.10.13.00.07</t>
  </si>
  <si>
    <t>L01.00.00.10.14.00.07</t>
  </si>
  <si>
    <t>L01.00.00.10.15.00.07</t>
  </si>
  <si>
    <t>L01.00.00.10.16.00.07</t>
  </si>
  <si>
    <t>L01.00.00.10.17.00.07</t>
  </si>
  <si>
    <t>L01.00.00.10.19.00.07</t>
  </si>
  <si>
    <t>L01.00.00.10.20.00.07</t>
  </si>
  <si>
    <t>L01.00.00.10.21.00.07</t>
  </si>
  <si>
    <t>L01.00.00.10.22.00.07</t>
  </si>
  <si>
    <t>L01.00.00.11.00.00.07</t>
  </si>
  <si>
    <t>L01.00.00.11.02.00.07</t>
  </si>
  <si>
    <t>L01.00.00.11.03.00.07</t>
  </si>
  <si>
    <t>L01.00.00.11.04.00.07</t>
  </si>
  <si>
    <t>L01.00.00.11.05.00.07</t>
  </si>
  <si>
    <t>L01.00.00.11.06.00.07</t>
  </si>
  <si>
    <t>L01.00.00.11.07.00.07</t>
  </si>
  <si>
    <t>L01.00.00.11.08.00.07</t>
  </si>
  <si>
    <t>L01.00.00.11.09.00.07</t>
  </si>
  <si>
    <t>L01.00.00.11.10.00.07</t>
  </si>
  <si>
    <t>L01.00.00.11.11.00.07</t>
  </si>
  <si>
    <t>có cần group nhóm triển khai ko</t>
  </si>
  <si>
    <t>cập nhật tên nhóm theo cctc mới</t>
  </si>
  <si>
    <t>Nhóm chuyển giao GP HDDT-KS</t>
  </si>
  <si>
    <t>check lại địa điểm</t>
  </si>
  <si>
    <t>COUNTA của Mã nhân viên</t>
  </si>
  <si>
    <t>Tổng số Sản phẩm AMIS Operation</t>
  </si>
  <si>
    <t>Tổng số Sản phẩm AMIS TMS</t>
  </si>
  <si>
    <t>00: Trụ sở ko gắn với địa điểm cụ thể</t>
  </si>
  <si>
    <t>Mã khối</t>
  </si>
  <si>
    <t>Mã thị trường</t>
  </si>
  <si>
    <t>Mã khối KD</t>
  </si>
  <si>
    <t>Mảng kinh doanh</t>
  </si>
  <si>
    <t>Vị trí</t>
  </si>
  <si>
    <t>Sản phẩm</t>
  </si>
  <si>
    <t>BM</t>
  </si>
  <si>
    <t>AE</t>
  </si>
  <si>
    <t>ACT</t>
  </si>
  <si>
    <t>BT</t>
  </si>
  <si>
    <t>AM</t>
  </si>
  <si>
    <t>HRM</t>
  </si>
  <si>
    <t>CS</t>
  </si>
  <si>
    <t>TC</t>
  </si>
  <si>
    <t>SM</t>
  </si>
  <si>
    <t>CRM</t>
  </si>
  <si>
    <t>SD</t>
  </si>
  <si>
    <t>VPS</t>
  </si>
  <si>
    <t>AI</t>
  </si>
  <si>
    <t>BANKHUB</t>
  </si>
  <si>
    <t xml:space="preserve">Khối </t>
  </si>
  <si>
    <t>Khối thị trường</t>
  </si>
  <si>
    <t>Tên viết tắt đến cấp nhóm</t>
  </si>
  <si>
    <t>KDDN</t>
  </si>
  <si>
    <t>BM01</t>
  </si>
  <si>
    <t>GPKT</t>
  </si>
  <si>
    <t>HAN_GPKT</t>
  </si>
  <si>
    <t>GPKT01</t>
  </si>
  <si>
    <t>HAN_BT</t>
  </si>
  <si>
    <t>HDDT</t>
  </si>
  <si>
    <t>ONB</t>
  </si>
  <si>
    <t>HT_KT</t>
  </si>
  <si>
    <t>Bán lẻ</t>
  </si>
  <si>
    <t>CUKCUK</t>
  </si>
  <si>
    <t>ESHOP</t>
  </si>
  <si>
    <t>Bán mới GPKT</t>
  </si>
  <si>
    <t>Bán mới</t>
  </si>
  <si>
    <t>8x</t>
  </si>
  <si>
    <t>Bán thêm</t>
  </si>
  <si>
    <t>9x</t>
  </si>
  <si>
    <t>Hóa đơn</t>
  </si>
  <si>
    <t>Ký điện tử</t>
  </si>
  <si>
    <t>CCTC cần convert</t>
  </si>
  <si>
    <t>TTKD, PKD thuộc khối KD tại địa bàn VP
TTKD ONLINE
Phòng BO tại VP
Phòng BO tại TCT
BĐH, HĐQT
KSX
TV</t>
  </si>
  <si>
    <t>CCTC cần tạo QTCT mới</t>
  </si>
  <si>
    <t>Bộ phận mới
Bộ phận centralized</t>
  </si>
  <si>
    <t xml:space="preserve">Cấp tổ chức </t>
  </si>
  <si>
    <t>Định nghĩa</t>
  </si>
  <si>
    <t>Công ty</t>
  </si>
  <si>
    <t>công ty cổ phần MISA
công ty cổ phần JETPAY</t>
  </si>
  <si>
    <t>Khối DN nhỏ, DN vừa, GPBL, KTDV, TTTC, GDTT, KHCN
Khối KD HCSN
Khối HT &amp; CSKH
Khối BO</t>
  </si>
  <si>
    <t>Trung tâm KD
Khối Sản phẩm...</t>
  </si>
  <si>
    <t>Phòng ....
Sản phẩm ...</t>
  </si>
  <si>
    <t>Nhóm ....
Dự án...
Nhóm ...</t>
  </si>
  <si>
    <t xml:space="preserve">      Khối sản xuất</t>
  </si>
  <si>
    <t xml:space="preserve">         Văn phòng Sản xuất</t>
  </si>
  <si>
    <t xml:space="preserve">         Ban Giám đốc Khối sản xuất</t>
  </si>
  <si>
    <t xml:space="preserve">         Khối sản phẩm Doanh nghiệp</t>
  </si>
  <si>
    <t xml:space="preserve">            Dự án Automation Test</t>
  </si>
  <si>
    <t xml:space="preserve">            Sản phẩm AMIS.VN Mobile</t>
  </si>
  <si>
    <t xml:space="preserve">               [AMIS Mobile] Nhóm Phân tích &amp; Thiết kế</t>
  </si>
  <si>
    <t xml:space="preserve">               Dự án AMIS.VN Mobile</t>
  </si>
  <si>
    <t xml:space="preserve">            Sản phẩm MISA meInvoice</t>
  </si>
  <si>
    <t xml:space="preserve">               Dự án MISA meInvoice Desktop</t>
  </si>
  <si>
    <t xml:space="preserve">               [MISA meInvoice] Nhóm Phân tích &amp; Thiết kế</t>
  </si>
  <si>
    <t xml:space="preserve">               Dự án MISA invoiceBot</t>
  </si>
  <si>
    <t xml:space="preserve">               Dự án MISA meInvoice</t>
  </si>
  <si>
    <t xml:space="preserve">            Sản phẩm AMIS CRM (KH)</t>
  </si>
  <si>
    <t xml:space="preserve">               Dự án AMIS CRM (KH)</t>
  </si>
  <si>
    <t xml:space="preserve">               [AMIS CRM KH] Nhóm Phân tích &amp; Thiết kế</t>
  </si>
  <si>
    <t xml:space="preserve">            Sản phẩm AMIS Mua hàng</t>
  </si>
  <si>
    <t xml:space="preserve">               [AMIS Mua hàng] Nhóm Phân tích &amp; Thiết kế</t>
  </si>
  <si>
    <t xml:space="preserve">               Dự án AMIS Mua hàng</t>
  </si>
  <si>
    <t xml:space="preserve">            Sản phẩm MISA eSign</t>
  </si>
  <si>
    <t xml:space="preserve">               Dự án MISA eSign</t>
  </si>
  <si>
    <t xml:space="preserve">               [MISA eSign] Nhóm Phân tích và Thiết kế</t>
  </si>
  <si>
    <t xml:space="preserve">               Dự án MISA eSign Mobile</t>
  </si>
  <si>
    <t xml:space="preserve">            Sản phẩm AMIS Operation</t>
  </si>
  <si>
    <t xml:space="preserve">               Dự án AMIS Operation</t>
  </si>
  <si>
    <t xml:space="preserve">               [AMIS Operation] Nhóm Phân tích &amp; Thiết kế</t>
  </si>
  <si>
    <t xml:space="preserve">            Sản phẩm AMIS C&amp;B</t>
  </si>
  <si>
    <t xml:space="preserve">               [C&amp;B] Nhóm Phân tích &amp; Thiết kế</t>
  </si>
  <si>
    <t xml:space="preserve">               Dự án AMIS C&amp;B</t>
  </si>
  <si>
    <t xml:space="preserve">            Sản phẩm Customize</t>
  </si>
  <si>
    <t xml:space="preserve">               Dự án chuyển đổi kế toán MISA</t>
  </si>
  <si>
    <t xml:space="preserve">               Dự án Customize KH DN lớn</t>
  </si>
  <si>
    <t xml:space="preserve">            Sản phẩm AMIS Kế toán</t>
  </si>
  <si>
    <t xml:space="preserve">               [AMIS Kế toán] Nhóm Phân tích &amp; Thiết kế</t>
  </si>
  <si>
    <t xml:space="preserve">               Dự án AMIS Kế toán</t>
  </si>
  <si>
    <t xml:space="preserve">               Dự án AMIS Kế toán 1</t>
  </si>
  <si>
    <t xml:space="preserve">            Sản phẩm QTKD Mobile</t>
  </si>
  <si>
    <t xml:space="preserve">            Sản phẩm AMIS weSign</t>
  </si>
  <si>
    <t xml:space="preserve">               Dự án AMIS weSign</t>
  </si>
  <si>
    <t xml:space="preserve">               Dự án AMIS WeSign mobile</t>
  </si>
  <si>
    <t xml:space="preserve">               [AMIS weSign] Nhóm Phân tích và Thiết kế</t>
  </si>
  <si>
    <t xml:space="preserve">            Sản phẩm AMIS Đánh giá</t>
  </si>
  <si>
    <t xml:space="preserve">               [AMIS Đánh giá] Nhóm Phân tích &amp; Thiết kế</t>
  </si>
  <si>
    <t xml:space="preserve">               Dự án AMIS Đánh giá</t>
  </si>
  <si>
    <t xml:space="preserve">            Ban Giám đốc Khối SP Doanh nghiệp</t>
  </si>
  <si>
    <t xml:space="preserve">            Sản phẩm AMIS TMS</t>
  </si>
  <si>
    <t xml:space="preserve">               [AMIS TMS] Nhóm Phân tích &amp; Thiết kế</t>
  </si>
  <si>
    <t xml:space="preserve">               Dự án AMIS TMS</t>
  </si>
  <si>
    <t xml:space="preserve">            Sản phẩm AMIS HRM MISA</t>
  </si>
  <si>
    <t xml:space="preserve">               [AMIS HRM MISA] Nhóm Phân tích &amp; Thiết kế</t>
  </si>
  <si>
    <t xml:space="preserve">               Dự án AMIS HRM MISA</t>
  </si>
  <si>
    <t xml:space="preserve">            Sản phẩm iVAN</t>
  </si>
  <si>
    <t xml:space="preserve">               Dự án iVAN</t>
  </si>
  <si>
    <t xml:space="preserve">               [iVAN] Nhóm Phân tích &amp; Thiết kế</t>
  </si>
  <si>
    <t xml:space="preserve">            Nhóm chuyên gia Khối SP Doanh nghiệp</t>
  </si>
  <si>
    <t xml:space="preserve">            Sản phẩm AMIS CRM (MISA)</t>
  </si>
  <si>
    <t xml:space="preserve">               Dự án AMIS CRM (MISA)</t>
  </si>
  <si>
    <t xml:space="preserve">               [AMIS CRM MISA] Nhóm Phân tích &amp; Thiết kế</t>
  </si>
  <si>
    <t xml:space="preserve">            Sản phẩm AMIS Quản lý Tài sản</t>
  </si>
  <si>
    <t xml:space="preserve">               Dự án AMIS Quản lý Tài sản</t>
  </si>
  <si>
    <t xml:space="preserve">               [AMIS QLTS] Nhóm Phân tích &amp; Thiết kế</t>
  </si>
  <si>
    <t xml:space="preserve">            Sản phẩm AMIS Platform Core</t>
  </si>
  <si>
    <t xml:space="preserve">               Dự án AMIS Platform Core</t>
  </si>
  <si>
    <t xml:space="preserve">               [AMIS Platform Core] Nhóm Phân tích &amp; Thiết kế</t>
  </si>
  <si>
    <t xml:space="preserve">            Sản phẩm MISA meInvoice - Xăng dầu</t>
  </si>
  <si>
    <t xml:space="preserve">               Dự án MISA meInvoice - Xăng dầu</t>
  </si>
  <si>
    <t xml:space="preserve">               [meInvoice - Xăng dầu] Nhóm Phân tích &amp; Thiết kế</t>
  </si>
  <si>
    <t xml:space="preserve">         Khối sản phẩm Hành chính sự nghiệp</t>
  </si>
  <si>
    <t xml:space="preserve">            Sản phẩm QLTS.VN</t>
  </si>
  <si>
    <t xml:space="preserve">               Dự án QLTS.VN</t>
  </si>
  <si>
    <t xml:space="preserve">               [QLTS] Nhóm Phân tích &amp; Thiết kế</t>
  </si>
  <si>
    <t xml:space="preserve">            Sản phẩm Mimosa.NET</t>
  </si>
  <si>
    <t xml:space="preserve">               Dự án Mimosa.NET</t>
  </si>
  <si>
    <t xml:space="preserve">               [MIMOSA] Nhóm Phân tích &amp; Thiết kế</t>
  </si>
  <si>
    <t xml:space="preserve">            Sản phẩm MISA Bamboo Online</t>
  </si>
  <si>
    <t xml:space="preserve">               Dự án MISA Bamboo Online</t>
  </si>
  <si>
    <t xml:space="preserve">               [Bamboo Online] Nhóm Phân tích &amp; Thiết kế</t>
  </si>
  <si>
    <t xml:space="preserve">            Sản phẩm MISA SalaGov</t>
  </si>
  <si>
    <t xml:space="preserve">               [SalaGov] Nhóm Phân tích &amp; Thiết kế</t>
  </si>
  <si>
    <t xml:space="preserve">               Dự án MISA SalaGov</t>
  </si>
  <si>
    <t xml:space="preserve">            Sản phẩm MISA CeGov</t>
  </si>
  <si>
    <t xml:space="preserve">               [CeGov] Nhóm Phân tích &amp; Thiết kế</t>
  </si>
  <si>
    <t xml:space="preserve">               Dự án MISA CeGov</t>
  </si>
  <si>
    <t xml:space="preserve">            Sản phẩm MISA TaskGo</t>
  </si>
  <si>
    <t xml:space="preserve">               Dự án MISA TaskGo</t>
  </si>
  <si>
    <t xml:space="preserve">               [TaskGo] Nhóm Phân tích &amp; Thiết kế</t>
  </si>
  <si>
    <t xml:space="preserve">               Dự án MISA TaskGo 2</t>
  </si>
  <si>
    <t xml:space="preserve">            Sản phẩm MISA MIMOSA Online</t>
  </si>
  <si>
    <t xml:space="preserve">               Dự án MISA MIMOSA Online</t>
  </si>
  <si>
    <t xml:space="preserve">               [MIMOSA Online] Nhóm Phân tích và Thiết kế</t>
  </si>
  <si>
    <t xml:space="preserve">            Sản phẩm Tổng hợp báo cáo tài chính HCSN (LEKIMA)</t>
  </si>
  <si>
    <t xml:space="preserve">               Dự án Tổng hợp báo cáo tài chính HCSN (LEKIMA)</t>
  </si>
  <si>
    <t xml:space="preserve">               [LEKIMA] Nhóm Phân tích &amp; Thiết kế</t>
  </si>
  <si>
    <t xml:space="preserve">            Sản phẩm Quản lý ngân sách (BUMAS)</t>
  </si>
  <si>
    <t xml:space="preserve">               Dự án Quản lý ngân sách nhà nước BUMAS Địa phương</t>
  </si>
  <si>
    <t xml:space="preserve">               [BUMAS Địa phương] Nhóm Phân tích &amp; Thiết kế</t>
  </si>
  <si>
    <t xml:space="preserve">            Sản phẩm FinGov Platform</t>
  </si>
  <si>
    <t xml:space="preserve">               Dự án FinGov Platform</t>
  </si>
  <si>
    <t xml:space="preserve">               [FinGov Platform] Nhóm Phân tích và Thiết kế</t>
  </si>
  <si>
    <t xml:space="preserve">            Ban Giám đốc Khối SP HCSN</t>
  </si>
  <si>
    <t xml:space="preserve">            Sản phẩm MISA QLCB</t>
  </si>
  <si>
    <t xml:space="preserve">               [MISA QLCB] Nhóm Phân tích &amp; Thiết kế</t>
  </si>
  <si>
    <t xml:space="preserve">               Dự án MISA QLCB</t>
  </si>
  <si>
    <t xml:space="preserve">            Nhóm chuyên gia Khối SP HCSN</t>
  </si>
  <si>
    <t xml:space="preserve">            Sản phẩm MISA Panda Online</t>
  </si>
  <si>
    <t xml:space="preserve">               Dự án MISA Panda Online</t>
  </si>
  <si>
    <t xml:space="preserve">               [MISA Panda Online] Nhóm Phân tích &amp; Thiết kế</t>
  </si>
  <si>
    <t xml:space="preserve">         Khối sản phẩm Hộ cá thể</t>
  </si>
  <si>
    <t xml:space="preserve">            Sản phẩm AMIS Kế toán (HKD)</t>
  </si>
  <si>
    <t xml:space="preserve">               [AMIS Kế toán HKD] Nhóm Phân tích &amp; Thiết kế</t>
  </si>
  <si>
    <t xml:space="preserve">               Dự án AMIS Kế toán (HKD)</t>
  </si>
  <si>
    <t xml:space="preserve">            Sản phẩm CukCuk (TTVN)</t>
  </si>
  <si>
    <t xml:space="preserve">               Dự án Cukcuk W&amp;D (TTVN)</t>
  </si>
  <si>
    <t xml:space="preserve">               Dự án CukCuk Mobile TTVN</t>
  </si>
  <si>
    <t xml:space="preserve">               [Cukcuk TTVN] Nhóm Phân tích &amp; Thiết kế</t>
  </si>
  <si>
    <t xml:space="preserve">            Sản phẩm eShop (TTVN)</t>
  </si>
  <si>
    <t xml:space="preserve">               Dự án Quản lý cửa hàng thời trang (TTVN)</t>
  </si>
  <si>
    <t xml:space="preserve">               [eShop TTVN] Nhóm Phân tích &amp; Thiết kế</t>
  </si>
  <si>
    <t xml:space="preserve">               Dự án Quản lý cửa hàng Mobile (TTVN)</t>
  </si>
  <si>
    <t xml:space="preserve">            Ban giám đốc Khối DA Hộ cá thể</t>
  </si>
  <si>
    <t xml:space="preserve">            Nhóm chuyên gia Khối SP Hộ cá thể</t>
  </si>
  <si>
    <t xml:space="preserve">         Khối Nền tảng Giáo dục</t>
  </si>
  <si>
    <t xml:space="preserve">            Ban giám đốc Khối Nền tảng GD</t>
  </si>
  <si>
    <t xml:space="preserve">            Sản phẩm MISA EMIS</t>
  </si>
  <si>
    <t xml:space="preserve">               Dự án EMIS Mobile</t>
  </si>
  <si>
    <t xml:space="preserve">               Dự án EMIS Core Platform</t>
  </si>
  <si>
    <t xml:space="preserve">               [EMIS Ngoài công lập] Nhóm Phân tích và Thiết kế</t>
  </si>
  <si>
    <t xml:space="preserve">               Dự án EMIS Mầm non</t>
  </si>
  <si>
    <t xml:space="preserve">               Dự án EMIS Công lập</t>
  </si>
  <si>
    <t xml:space="preserve">               [EMIS Công lập] Nhóm Phân tích và Thiết kế</t>
  </si>
  <si>
    <t xml:space="preserve">            Nhóm chuyên gia Khối Nền tảng GD</t>
  </si>
  <si>
    <t xml:space="preserve">         Viện Công nghệ</t>
  </si>
  <si>
    <t xml:space="preserve">            Ban giám đốc Viện công nghệ</t>
  </si>
  <si>
    <t xml:space="preserve">            Phòng nghiên cứu công nghệ</t>
  </si>
  <si>
    <t xml:space="preserve">               [AI] Nhóm Phân tích và Thiết kế</t>
  </si>
  <si>
    <t xml:space="preserve">               Dự án AI</t>
  </si>
  <si>
    <t xml:space="preserve">            Dự án MISA Core Project</t>
  </si>
  <si>
    <t xml:space="preserve">            Nhóm chuyên gia Viện công nghệ</t>
  </si>
  <si>
    <t xml:space="preserve">            Dự án giám sát</t>
  </si>
  <si>
    <t xml:space="preserve">            Sản phẩm AI</t>
  </si>
  <si>
    <t xml:space="preserve">               Dự án AI (NLP)</t>
  </si>
  <si>
    <t xml:space="preserve">               Dự án AI (Computer vision)</t>
  </si>
  <si>
    <t xml:space="preserve">               [AI] Nhóm Phân tích &amp; Thiết kế</t>
  </si>
  <si>
    <t xml:space="preserve">         Phòng Đảm bảo chất lượng</t>
  </si>
  <si>
    <t xml:space="preserve">         Ban Công nghệ thông tin</t>
  </si>
  <si>
    <t xml:space="preserve">            Sản phẩm Automation Support</t>
  </si>
  <si>
    <t xml:space="preserve">               Dự án MISA Order</t>
  </si>
  <si>
    <t xml:space="preserve">               Dự án MISA SUMAN</t>
  </si>
  <si>
    <t xml:space="preserve">               [Automation Support] Nhóm Phân tích và Thiết kế</t>
  </si>
  <si>
    <t xml:space="preserve">               Dự án MISA Automation Support</t>
  </si>
  <si>
    <t xml:space="preserve">            Ban Giám đốc - Ban CNTT</t>
  </si>
  <si>
    <t xml:space="preserve">            Sản phẩm Data Analytics</t>
  </si>
  <si>
    <t xml:space="preserve">               Dự án MISA Customer Profile</t>
  </si>
  <si>
    <t xml:space="preserve">               Dự án MISA Data Analytics Tools</t>
  </si>
  <si>
    <t xml:space="preserve">               [Data Analytics] Nhóm Phân tích và Thiết kế</t>
  </si>
  <si>
    <t xml:space="preserve">            Sản phẩm Automation Sales</t>
  </si>
  <si>
    <t xml:space="preserve">               Dự án MISA Automation Sales</t>
  </si>
  <si>
    <t xml:space="preserve">               [Automation Sales] Nhóm Phân tích và Thiết kế</t>
  </si>
  <si>
    <t xml:space="preserve">               Dự án MISA Store</t>
  </si>
  <si>
    <t xml:space="preserve">               Dự án MISA Loyalty</t>
  </si>
  <si>
    <t xml:space="preserve">               Dự án MISA Promotion</t>
  </si>
  <si>
    <t xml:space="preserve">               Dự án MISA Partner</t>
  </si>
  <si>
    <t xml:space="preserve">            Nhóm chuyên gia Ban CNTT</t>
  </si>
  <si>
    <t xml:space="preserve">            Sản phẩm Automation Marketing</t>
  </si>
  <si>
    <t xml:space="preserve">               Dự án Websites</t>
  </si>
  <si>
    <t xml:space="preserve">               Dự án MISA Education Program</t>
  </si>
  <si>
    <t xml:space="preserve">               [Automation Marketing] Nhóm Phân tích và Thiết kế </t>
  </si>
  <si>
    <t xml:space="preserve">         Khối Nền tảng Kế toán dịch vụ</t>
  </si>
  <si>
    <t xml:space="preserve">            Sản phẩm MISA ASP</t>
  </si>
  <si>
    <t xml:space="preserve">               [MISA ASP] Nhóm Phân tích &amp; Thiết kế</t>
  </si>
  <si>
    <t xml:space="preserve">               Dự án MISA ASP</t>
  </si>
  <si>
    <t xml:space="preserve">            Ban giám đốc Khối Nền tảng Kế toán dịch vụ</t>
  </si>
  <si>
    <t xml:space="preserve">            Nhóm chuyên gia Khối Nền tảng Kế toán dịch vụ</t>
  </si>
  <si>
    <t xml:space="preserve">         Khối Nền tảng Thị trường nước ngoài</t>
  </si>
  <si>
    <t xml:space="preserve">            Ban giám đốc Khối Nền tảng TTNN</t>
  </si>
  <si>
    <t xml:space="preserve">            Sản phẩm CukCuk (TT Mỹ)</t>
  </si>
  <si>
    <t xml:space="preserve">               Dự án CukCuk Mobile TT Mỹ</t>
  </si>
  <si>
    <t xml:space="preserve">               Dự án Cukcuk W&amp;D (TT Mỹ)</t>
  </si>
  <si>
    <t xml:space="preserve">               [Cukcuk TT Mỹ] Nhóm Phân tích &amp; Thiết kế</t>
  </si>
  <si>
    <t xml:space="preserve">            Sản phẩm CukCuk (TTNN)</t>
  </si>
  <si>
    <t xml:space="preserve">               Dự án Cukcuk W&amp;D (TTNN)</t>
  </si>
  <si>
    <t xml:space="preserve">               [Cukcuk TTNN] Nhóm Phân tích &amp; Thiết kế</t>
  </si>
  <si>
    <t xml:space="preserve">               Dự án CukCuk Mobile TTNN</t>
  </si>
  <si>
    <t xml:space="preserve">            Nhóm chuyên gia Khối Nền tảng TTNN</t>
  </si>
  <si>
    <t xml:space="preserve">            Sản phẩm CukCuk (TT Philippines)</t>
  </si>
  <si>
    <t xml:space="preserve">               Dự án CukCuk W&amp;D (TT Philippines)</t>
  </si>
  <si>
    <t xml:space="preserve">               [CukCuk TT Philippines] Nhóm Phân tích &amp; Thiết kế</t>
  </si>
  <si>
    <t xml:space="preserve">         Ban Nghiên cứu thị trường &amp; Sản phẩm</t>
  </si>
  <si>
    <t xml:space="preserve">         Phòng Quản trị hệ thống</t>
  </si>
  <si>
    <t xml:space="preserve">         Khối sản phẩm Cá nhân</t>
  </si>
  <si>
    <t xml:space="preserve">            Ban giám đốc Khối SP Cá nhân</t>
  </si>
  <si>
    <t xml:space="preserve">            Sản phẩm MISA Golf</t>
  </si>
  <si>
    <t xml:space="preserve">               [MISA Golf] Nhóm Phân tích &amp; Thiết kế</t>
  </si>
  <si>
    <t xml:space="preserve">               Dự án MISA Golf</t>
  </si>
  <si>
    <t xml:space="preserve">            Sản phẩm MISA MoneyKeeper</t>
  </si>
  <si>
    <t xml:space="preserve">               [MoneyKeeper] Nhóm Phân tích &amp; Thiết kế</t>
  </si>
  <si>
    <t xml:space="preserve">               Dự án MISA MoneyKeeper</t>
  </si>
  <si>
    <t xml:space="preserve">      Trung tâm Tư vấn &amp; Hỗ trợ khách hàng</t>
  </si>
  <si>
    <t xml:space="preserve">         Ban Giám đốc TT TV&amp;HTKH</t>
  </si>
  <si>
    <t xml:space="preserve">         Phòng Tư vấn MISA 01 </t>
  </si>
  <si>
    <t xml:space="preserve">Phòng Tư vấn MISA 01 </t>
  </si>
  <si>
    <t xml:space="preserve">            Nhóm Tư vấn MISA 01 </t>
  </si>
  <si>
    <t xml:space="preserve">            Nhóm Tư vấn MISA 02</t>
  </si>
  <si>
    <t xml:space="preserve">         Phòng Tư vấn MISA 02</t>
  </si>
  <si>
    <t xml:space="preserve">            Nhóm Tư vấn MISA 03</t>
  </si>
  <si>
    <t xml:space="preserve">            Nhóm Tư vấn MISA 04</t>
  </si>
  <si>
    <t xml:space="preserve">            Nhóm Tư vấn MISA 05</t>
  </si>
  <si>
    <t xml:space="preserve">            Nhóm Tư vấn MISA 06</t>
  </si>
  <si>
    <t xml:space="preserve">            Nhóm Tư vấn MISA 12</t>
  </si>
  <si>
    <t xml:space="preserve">            Nhóm Tư vấn MISA 15</t>
  </si>
  <si>
    <t xml:space="preserve">         Phòng Tư vấn MISA 03</t>
  </si>
  <si>
    <t xml:space="preserve">            Nhóm Tư vấn MISA 07</t>
  </si>
  <si>
    <t xml:space="preserve">            Nhóm Tư vấn MISA 08</t>
  </si>
  <si>
    <t xml:space="preserve">            Nhóm Tư vấn MISA 09</t>
  </si>
  <si>
    <t xml:space="preserve">            Nhóm Tư vấn MISA 10</t>
  </si>
  <si>
    <t xml:space="preserve">            Nhóm Tư vấn MISA 11</t>
  </si>
  <si>
    <t xml:space="preserve">         Phòng Tư vấn MISA 04</t>
  </si>
  <si>
    <t xml:space="preserve">            Nhóm Tư vấn MISA 13</t>
  </si>
  <si>
    <t xml:space="preserve">            Nhóm Tư vấn MISA 14</t>
  </si>
  <si>
    <t xml:space="preserve">         Phòng Hành chính tổng hợp</t>
  </si>
  <si>
    <t xml:space="preserve">         Phòng CS 01</t>
  </si>
  <si>
    <t xml:space="preserve">            Nhóm CS 01</t>
  </si>
  <si>
    <t xml:space="preserve">            Nhóm CS 02</t>
  </si>
  <si>
    <t xml:space="preserve">         Phòng CS 02</t>
  </si>
  <si>
    <t xml:space="preserve">            Nhóm CS 04</t>
  </si>
  <si>
    <t xml:space="preserve">            Nhóm CS 03</t>
  </si>
  <si>
    <t xml:space="preserve">         Phòng CS 03</t>
  </si>
  <si>
    <t xml:space="preserve">            Nhóm CS 05</t>
  </si>
  <si>
    <t xml:space="preserve">            Nhóm CS 06</t>
  </si>
  <si>
    <t xml:space="preserve">      Văn phòng Tổng công ty</t>
  </si>
  <si>
    <t xml:space="preserve">         Ban giám đốc Văn phòng</t>
  </si>
  <si>
    <t xml:space="preserve">         Phòng kế toán</t>
  </si>
  <si>
    <t xml:space="preserve">         Ban Tổng giám đốc</t>
  </si>
  <si>
    <t xml:space="preserve">         Hội đồng Quản trị</t>
  </si>
  <si>
    <t xml:space="preserve">         Ban nhân sự</t>
  </si>
  <si>
    <t xml:space="preserve">         Ban Quản lý chứng thư số</t>
  </si>
  <si>
    <t xml:space="preserve">         Ban phát triển MISA ASP</t>
  </si>
  <si>
    <t xml:space="preserve">            Ban Giám đốc TTKD DN Lớn</t>
  </si>
  <si>
    <t xml:space="preserve">            Phòng KD GP DN lớn</t>
  </si>
  <si>
    <t xml:space="preserve">         Phòng Phát triển thị trường nước ngoài</t>
  </si>
  <si>
    <t xml:space="preserve">         Ban đảm bảo chất lượng</t>
  </si>
  <si>
    <t xml:space="preserve">         Phòng Quan hệ cộng đồng</t>
  </si>
  <si>
    <t xml:space="preserve">            Ban giám đốc truyền thông</t>
  </si>
  <si>
    <t xml:space="preserve">         Phòng Kế hoạch đầu tư</t>
  </si>
  <si>
    <t xml:space="preserve">         Ban Quản lý kinh doanh</t>
  </si>
  <si>
    <t xml:space="preserve">         Ban Pháp chế</t>
  </si>
  <si>
    <t xml:space="preserve">         Ban Trải nghiệm Khách hàng</t>
  </si>
  <si>
    <t xml:space="preserve">         Jetpay</t>
  </si>
  <si>
    <t xml:space="preserve">         Trung tâm KD Online</t>
  </si>
  <si>
    <t xml:space="preserve">            Khối KD GPKT DN</t>
  </si>
  <si>
    <t xml:space="preserve">               Phòng KD GPKT 01</t>
  </si>
  <si>
    <t xml:space="preserve">               Phòng KD GPKT 02</t>
  </si>
  <si>
    <t xml:space="preserve">               Nhóm MKT Tài chính - kế toán</t>
  </si>
  <si>
    <t xml:space="preserve">            Khối KD GPKT HKD</t>
  </si>
  <si>
    <t xml:space="preserve">               Phòng KD GPKT HKD</t>
  </si>
  <si>
    <t xml:space="preserve">               Nhóm MKT HKD</t>
  </si>
  <si>
    <t xml:space="preserve">            Khối KD GP HDDT</t>
  </si>
  <si>
    <t xml:space="preserve">               Phòng KD HDDT</t>
  </si>
  <si>
    <t xml:space="preserve">               Nhóm MKT HDDT, thuế TNCN</t>
  </si>
  <si>
    <t xml:space="preserve">L03.34.07 </t>
  </si>
  <si>
    <t xml:space="preserve">            Khối MKT</t>
  </si>
  <si>
    <t xml:space="preserve">L03.34.07.01 </t>
  </si>
  <si>
    <t xml:space="preserve">               Nhóm MDR</t>
  </si>
  <si>
    <t xml:space="preserve">L03.34.07.02 </t>
  </si>
  <si>
    <t xml:space="preserve">               Nhóm MKT Bán hàng</t>
  </si>
  <si>
    <t xml:space="preserve">L03.34.07.03 </t>
  </si>
  <si>
    <t xml:space="preserve">               Nhóm MKT Bán lẻ</t>
  </si>
  <si>
    <t xml:space="preserve">L03.34.07.04 </t>
  </si>
  <si>
    <t xml:space="preserve">               Nhóm MKT Quản trị nhân sự</t>
  </si>
  <si>
    <t xml:space="preserve">L03.34.07.05 </t>
  </si>
  <si>
    <t xml:space="preserve">               Nhóm MKT Điều hành</t>
  </si>
  <si>
    <t xml:space="preserve">L03.34.07.06 </t>
  </si>
  <si>
    <t xml:space="preserve">               Nhóm MKT Nền tảng - Platform</t>
  </si>
  <si>
    <t xml:space="preserve">L03.34.07.07 </t>
  </si>
  <si>
    <t xml:space="preserve">               Nhóm MKT Automation</t>
  </si>
  <si>
    <t xml:space="preserve">L03.34.06 </t>
  </si>
  <si>
    <t xml:space="preserve">            Phòng Chuyển giao</t>
  </si>
  <si>
    <t xml:space="preserve">L03.34.06.01 </t>
  </si>
  <si>
    <t xml:space="preserve">               Nhóm chuyển giao GPKT</t>
  </si>
  <si>
    <t xml:space="preserve">L03.34.06.02 </t>
  </si>
  <si>
    <t xml:space="preserve">               Nhóm chuyển giao GP HKD</t>
  </si>
  <si>
    <t xml:space="preserve">L03.34.06.03 </t>
  </si>
  <si>
    <t xml:space="preserve">               Nhóm chuyển giao HDDT</t>
  </si>
  <si>
    <t xml:space="preserve">L03.34.06.04 </t>
  </si>
  <si>
    <t xml:space="preserve">               Nhóm chuyển giao GP Ký điện tử</t>
  </si>
  <si>
    <t xml:space="preserve">            Ban GĐ TTKD Online</t>
  </si>
  <si>
    <t xml:space="preserve">            Khối KD Ký điện tử</t>
  </si>
  <si>
    <t xml:space="preserve">               Phòng KD Ký điện tử</t>
  </si>
  <si>
    <t xml:space="preserve">               Nhóm MKT Giải pháp Ký điện tử</t>
  </si>
  <si>
    <t xml:space="preserve">            Phòng KD HDDT, HKD, KDT</t>
  </si>
  <si>
    <t xml:space="preserve">            Nhóm KD Automation Sales</t>
  </si>
  <si>
    <t xml:space="preserve">         Ban điều hành</t>
  </si>
  <si>
    <t xml:space="preserve">            Ban Tổng giám đốc</t>
  </si>
  <si>
    <t xml:space="preserve">            Giám dốc tài chính</t>
  </si>
  <si>
    <t xml:space="preserve">         Nền tảng QLGD MISA EMIS</t>
  </si>
  <si>
    <t xml:space="preserve">         Khối KD khách hàng cá nhân</t>
  </si>
  <si>
    <t xml:space="preserve">         Trung tâm chuyển giao</t>
  </si>
  <si>
    <t xml:space="preserve">      Văn phòng MISA Hà Nội</t>
  </si>
  <si>
    <t xml:space="preserve">         Phòng Kế toán</t>
  </si>
  <si>
    <t xml:space="preserve">         Phòng Quản trị nguồn nhân lực</t>
  </si>
  <si>
    <t xml:space="preserve">         Ban phát triển kinh doanh</t>
  </si>
  <si>
    <t xml:space="preserve">            Nhóm Hành chính - Nhân sự</t>
  </si>
  <si>
    <t xml:space="preserve">         Phòng Chăm sóc khách hàng</t>
  </si>
  <si>
    <t xml:space="preserve">         Phòng kinh doanh mạng lưới</t>
  </si>
  <si>
    <t xml:space="preserve">         Trung tâm KD Giải pháp Hóa đơn điện tử</t>
  </si>
  <si>
    <t xml:space="preserve">            Ban giám đốc TTKD GP HĐĐT</t>
  </si>
  <si>
    <t xml:space="preserve">            Phòng KD bán mới HĐĐT 1</t>
  </si>
  <si>
    <t xml:space="preserve">            Phòng KD bán mới HĐĐT 2</t>
  </si>
  <si>
    <t xml:space="preserve">            Phòng KD bán mới HĐĐT 3</t>
  </si>
  <si>
    <t xml:space="preserve">            Phòng KD bán mới HĐĐT 4</t>
  </si>
  <si>
    <t xml:space="preserve">            Phòng KD bán mới HĐĐT 5</t>
  </si>
  <si>
    <t xml:space="preserve">            Phòng KD  meInvoice dự án</t>
  </si>
  <si>
    <t xml:space="preserve">            Phòng triển khai</t>
  </si>
  <si>
    <t xml:space="preserve">         Trung tâm KD giải pháp KTDN</t>
  </si>
  <si>
    <t xml:space="preserve">            Ban giám đốc TTKD GP KTDN</t>
  </si>
  <si>
    <t xml:space="preserve">            Phòng KD bán mới KTDN 9</t>
  </si>
  <si>
    <t xml:space="preserve">            Phòng KD bán mới KTDN 10</t>
  </si>
  <si>
    <t xml:space="preserve">            Phòng KD bán mới KTDN 1</t>
  </si>
  <si>
    <t xml:space="preserve">            Phòng KD bán mới KTDN 2</t>
  </si>
  <si>
    <t xml:space="preserve">            Phòng KD bán mới KTDN 3</t>
  </si>
  <si>
    <t xml:space="preserve">            Phòng KD bán mới KTDN 4</t>
  </si>
  <si>
    <t xml:space="preserve">            Phòng KD bán mới KTDN 5</t>
  </si>
  <si>
    <t xml:space="preserve">            Phòng KD bán mới KTDN 6</t>
  </si>
  <si>
    <t xml:space="preserve">            Phòng KD bán mới KTDN 7</t>
  </si>
  <si>
    <t xml:space="preserve">            Phòng KD bán mới KTDN 8</t>
  </si>
  <si>
    <t xml:space="preserve">         Trung tâm KD Giải pháp DN vừa</t>
  </si>
  <si>
    <t xml:space="preserve">            Ban Giám đốc</t>
  </si>
  <si>
    <t xml:space="preserve">            Phòng Chăm sóc khách hàng</t>
  </si>
  <si>
    <t xml:space="preserve">               Nhóm CSKH AMIS kế toán</t>
  </si>
  <si>
    <t xml:space="preserve">               Nhóm CSKH AMIS bán hàng</t>
  </si>
  <si>
    <t xml:space="preserve">               Nhóm CSKH AMIS nhân sự</t>
  </si>
  <si>
    <t xml:space="preserve">               Nhóm CSKH AMIS điều hành</t>
  </si>
  <si>
    <t xml:space="preserve">            Phòng KD bán thêm 01</t>
  </si>
  <si>
    <t xml:space="preserve">               Nhóm Quản lý khách hàng 1</t>
  </si>
  <si>
    <t xml:space="preserve">               Nhóm bán thêm AMIS kế toán 1</t>
  </si>
  <si>
    <t xml:space="preserve">               Nhóm bán thêm AMIS bán hàng 1</t>
  </si>
  <si>
    <t xml:space="preserve">               Nhóm bán thêm AMIS nhân sự 1</t>
  </si>
  <si>
    <t xml:space="preserve">               Nhóm bán thêm AMIS điều hành 1</t>
  </si>
  <si>
    <t xml:space="preserve">            Phòng KD MISA AMIS kế toán 1</t>
  </si>
  <si>
    <t xml:space="preserve">            Phòng KD MISA AMIS kế toán 2</t>
  </si>
  <si>
    <t xml:space="preserve">            Phòng KD MISA AMIS điều hành</t>
  </si>
  <si>
    <t xml:space="preserve">            Phòng KD MISA AMIS nhân sự</t>
  </si>
  <si>
    <t xml:space="preserve">            Phòng KD MISA AMIS bán hàng 1</t>
  </si>
  <si>
    <t xml:space="preserve">            Phòng chuyển giao</t>
  </si>
  <si>
    <t xml:space="preserve">               Nhóm chuyển giao AMIS nhân sự</t>
  </si>
  <si>
    <t xml:space="preserve">               Nhóm chuyển giao AMIS bán hàng</t>
  </si>
  <si>
    <t xml:space="preserve">               Nhóm chuyển giao AMIS điều hành</t>
  </si>
  <si>
    <t xml:space="preserve">               Nhóm chuyển giao AMIS kế toán</t>
  </si>
  <si>
    <t xml:space="preserve">            Phòng KD MISA AMIS bán hàng 2</t>
  </si>
  <si>
    <t xml:space="preserve">            Phòng KD MISA AMIS kế toán 3</t>
  </si>
  <si>
    <t xml:space="preserve">            Phòng KD bán thêm 02</t>
  </si>
  <si>
    <t xml:space="preserve">               Nhóm Quản lý khách hàng 2</t>
  </si>
  <si>
    <t xml:space="preserve">               Nhóm bán thêm AMIS kế toán 2</t>
  </si>
  <si>
    <t xml:space="preserve">               Nhóm bán thêm AMIS bán hàng 2</t>
  </si>
  <si>
    <t xml:space="preserve">               Nhóm bán thêm AMIS Nhân sự 2</t>
  </si>
  <si>
    <t xml:space="preserve">               Nhóm bán thêm AMIS Điều hành 2</t>
  </si>
  <si>
    <t xml:space="preserve">            Phòng KD bán thêm 03</t>
  </si>
  <si>
    <t xml:space="preserve">               Nhóm bán thêm AMIS kế toán 3</t>
  </si>
  <si>
    <t xml:space="preserve">               Nhóm bán thêm AMIS bán hàng 3</t>
  </si>
  <si>
    <t xml:space="preserve">               Nhóm bán thêm AMIS nhân sự 3</t>
  </si>
  <si>
    <t xml:space="preserve">               Nhóm bán thêm AMIS điều hành 3</t>
  </si>
  <si>
    <t xml:space="preserve">               Nhóm quản lý khách hàng 3 </t>
  </si>
  <si>
    <t xml:space="preserve">         Trung tâm Kinh doanh Hành chính sự nghiệp</t>
  </si>
  <si>
    <t xml:space="preserve">            Ban giám đốc TT Kinh doanh Hành chính sự nghiệp</t>
  </si>
  <si>
    <t xml:space="preserve">            Phòng KD HCSN 01</t>
  </si>
  <si>
    <t xml:space="preserve">               Nhóm KD HCSN 01</t>
  </si>
  <si>
    <t xml:space="preserve">               Nhóm KD HCSN 02</t>
  </si>
  <si>
    <t xml:space="preserve">               Nhóm KD HCSN 03</t>
  </si>
  <si>
    <t xml:space="preserve">            Phòng KD HCSN 02</t>
  </si>
  <si>
    <t xml:space="preserve">               Nhóm KD HCSN 04</t>
  </si>
  <si>
    <t xml:space="preserve">               Nhóm KD HCSN 05</t>
  </si>
  <si>
    <t xml:space="preserve">            Phòng KD HCSN 03</t>
  </si>
  <si>
    <t xml:space="preserve">               Nhóm KD HCSN 06</t>
  </si>
  <si>
    <t xml:space="preserve">               Nhóm KD HCSN 07</t>
  </si>
  <si>
    <t xml:space="preserve">            Phòng KD HCSN 04</t>
  </si>
  <si>
    <t xml:space="preserve">               Nhóm KD HCSN 08</t>
  </si>
  <si>
    <t xml:space="preserve">               Nhóm KD HCSN 09</t>
  </si>
  <si>
    <t xml:space="preserve">               Nhóm KD DA TW</t>
  </si>
  <si>
    <t xml:space="preserve">            Phòng Triển khai &amp; CSKH 01</t>
  </si>
  <si>
    <t xml:space="preserve">               Nhóm Triển khai &amp; CSKH 01</t>
  </si>
  <si>
    <t xml:space="preserve">               Nhóm Triển khai &amp; CSKH 02</t>
  </si>
  <si>
    <t xml:space="preserve">            Phòng Triển khai &amp; CSKH 02</t>
  </si>
  <si>
    <t xml:space="preserve">               Nhóm Triển khai &amp; CSKH 03</t>
  </si>
  <si>
    <t xml:space="preserve">               Nhóm Triển khai &amp; CSKH 04</t>
  </si>
  <si>
    <t xml:space="preserve">         Trung tâm KD Giải pháp bán lẻ</t>
  </si>
  <si>
    <t xml:space="preserve">            Ban giám đốc TTKD GP Bán lẻ</t>
  </si>
  <si>
    <t xml:space="preserve">            Khối KD CUKCUK</t>
  </si>
  <si>
    <t xml:space="preserve">               Phòng KD bán mới CUKCUK 1</t>
  </si>
  <si>
    <t xml:space="preserve">               Phòng KD bán mới CUKCUK 2</t>
  </si>
  <si>
    <t xml:space="preserve">               Phòng KD bán mới CUKCUK 3</t>
  </si>
  <si>
    <t xml:space="preserve">               Phòng KD bán mới CUKCUK 4</t>
  </si>
  <si>
    <t xml:space="preserve">            Khối KD eShop</t>
  </si>
  <si>
    <t xml:space="preserve">               Phòng KD bán mới ESHOP 1</t>
  </si>
  <si>
    <t xml:space="preserve">               Phòng KD bán mới ESHOP 2</t>
  </si>
  <si>
    <t xml:space="preserve">            Phòng KD GPKT HKD 01</t>
  </si>
  <si>
    <t xml:space="preserve">            Nhóm chuyển giao</t>
  </si>
  <si>
    <t xml:space="preserve">         Trung tâm KD bán thêm</t>
  </si>
  <si>
    <t xml:space="preserve">            Ban giám đốc TTKD Bán thêm</t>
  </si>
  <si>
    <t xml:space="preserve">            Phòng bán thêm GP bán lẻ</t>
  </si>
  <si>
    <t xml:space="preserve">            Phòng KD chuyển đổi GP KTDN</t>
  </si>
  <si>
    <t xml:space="preserve">               Phòng KD chuyển đổi 01</t>
  </si>
  <si>
    <t xml:space="preserve">               Phòng KD chuyển đổi 02</t>
  </si>
  <si>
    <t xml:space="preserve">            Phòng Quản lý khách hàng</t>
  </si>
  <si>
    <t xml:space="preserve">               Phòng Quản lý khách hàng 1</t>
  </si>
  <si>
    <t xml:space="preserve">               Phòng Quản lý khách hàng 2</t>
  </si>
  <si>
    <t xml:space="preserve">               Phòng Quản lý khách hàng 3</t>
  </si>
  <si>
    <t xml:space="preserve">            Phòng bán thêm GP KTDN</t>
  </si>
  <si>
    <t xml:space="preserve">               Phòng bán thêm GP KTDN 01</t>
  </si>
  <si>
    <t xml:space="preserve">               Phòng bán thêm GP KTDN 02</t>
  </si>
  <si>
    <t xml:space="preserve">            Phòng bán thêm GP HĐĐT</t>
  </si>
  <si>
    <t xml:space="preserve">               Phòng bán thêm GP HĐĐT 01</t>
  </si>
  <si>
    <t xml:space="preserve">               Phòng bán thêm GP HĐĐT 02</t>
  </si>
  <si>
    <t xml:space="preserve">               Phòng bán thêm GP HĐĐT 03</t>
  </si>
  <si>
    <t xml:space="preserve">               Phòng bán thêm GP HĐĐT 04</t>
  </si>
  <si>
    <t xml:space="preserve">            Phòng bán thêm GP Ký điện tử</t>
  </si>
  <si>
    <t xml:space="preserve">            Phòng KD MEI Dự án</t>
  </si>
  <si>
    <t xml:space="preserve">         Phòng chuyển giao</t>
  </si>
  <si>
    <t xml:space="preserve">            Nhóm chuyển giao giải pháp KTDN</t>
  </si>
  <si>
    <t xml:space="preserve">            Nhóm chuyển giao giải pháp hóa đơn điện tử</t>
  </si>
  <si>
    <t xml:space="preserve">         TTKD GPKT Hộ kinh doanh</t>
  </si>
  <si>
    <t xml:space="preserve">            Ban GĐ TTKD GPKT Hộ kinh doanh</t>
  </si>
  <si>
    <t xml:space="preserve">            Phòng KD GPKT HKD 02</t>
  </si>
  <si>
    <t xml:space="preserve">      Văn phòng MISA Tp Hồ Chí Minh</t>
  </si>
  <si>
    <t xml:space="preserve">         Ban giám đốc VP</t>
  </si>
  <si>
    <t xml:space="preserve">            Phòng KD meInvoice dự án</t>
  </si>
  <si>
    <t xml:space="preserve">            Phòng KD bán mới HĐĐT 6</t>
  </si>
  <si>
    <t xml:space="preserve">            Phòng KD bán mới HĐĐT 7</t>
  </si>
  <si>
    <t xml:space="preserve">            Phòng KD bán mới HĐĐT 8</t>
  </si>
  <si>
    <t xml:space="preserve">         Trung tâm KD Giải pháp KTDN</t>
  </si>
  <si>
    <t xml:space="preserve">            Ban giám đốc</t>
  </si>
  <si>
    <t xml:space="preserve">            Ban Giám đốc Trung tâm HCSN</t>
  </si>
  <si>
    <t xml:space="preserve">            Phòng KD HCSN 02 (cũ)</t>
  </si>
  <si>
    <t xml:space="preserve">               Nhóm KD HCSN 03 (cũ)</t>
  </si>
  <si>
    <t xml:space="preserve">               Nhóm KD HCSN 04 (cũ)</t>
  </si>
  <si>
    <t xml:space="preserve">            Phòng Triển khai &amp; CSKH</t>
  </si>
  <si>
    <t xml:space="preserve">            Phòng KD bán thêm 1</t>
  </si>
  <si>
    <t xml:space="preserve">               Nhóm Quản lý khách hàng</t>
  </si>
  <si>
    <t xml:space="preserve">               Nhóm bán thêm AMIS kế toán</t>
  </si>
  <si>
    <t xml:space="preserve">               Nhóm bán thêm AMIS bán hàng</t>
  </si>
  <si>
    <t xml:space="preserve">               Nhóm bán thêm AMIS nhân sự</t>
  </si>
  <si>
    <t xml:space="preserve">               Nhóm bán thêm AMIS điều hành</t>
  </si>
  <si>
    <t xml:space="preserve">            Phòng KD bán thêm 2</t>
  </si>
  <si>
    <t xml:space="preserve">            Phòng KD Bán thêm 3</t>
  </si>
  <si>
    <t xml:space="preserve">            KHỐI KD CUKCUK</t>
  </si>
  <si>
    <t xml:space="preserve">            KHỐI KD eShop</t>
  </si>
  <si>
    <t xml:space="preserve">               Phòng KD bán mới ESHOP 3</t>
  </si>
  <si>
    <t xml:space="preserve">            Phòng bán thêm GP Bán lẻ</t>
  </si>
  <si>
    <t xml:space="preserve">               Phòng KD chuyển đổi 1</t>
  </si>
  <si>
    <t xml:space="preserve">               Phòng KD chuyển đổi 2</t>
  </si>
  <si>
    <t xml:space="preserve">               Phòng bán thêm GP KTDN 1</t>
  </si>
  <si>
    <t xml:space="preserve">               Phòng bán thêm GP KTDN 2</t>
  </si>
  <si>
    <t xml:space="preserve">               Phòng bán thêm GP KTDN 3</t>
  </si>
  <si>
    <t xml:space="preserve">               Phòng bán thêm GP HĐĐT 2</t>
  </si>
  <si>
    <t xml:space="preserve">               Phòng bán thêm GP HĐĐT 1</t>
  </si>
  <si>
    <t xml:space="preserve">               Phòng bán thêm GP HĐĐT 3</t>
  </si>
  <si>
    <t xml:space="preserve">               Phòng bán thêm GP HĐĐT 4</t>
  </si>
  <si>
    <t xml:space="preserve">            Phòng Bán thêm GP Ký điện tử</t>
  </si>
  <si>
    <t xml:space="preserve">            Phòng KD Meinvoice Dự án</t>
  </si>
  <si>
    <t xml:space="preserve">            Phòng Bán thêm GP Ký điện tử 02</t>
  </si>
  <si>
    <t xml:space="preserve">            Nhóm chuyển giao GP KTDN</t>
  </si>
  <si>
    <t xml:space="preserve">            Nhóm chuyển giao GP Hóa đơn điện tử</t>
  </si>
  <si>
    <t xml:space="preserve">            Nhóm chuyển giao GP Bán lẻ</t>
  </si>
  <si>
    <t xml:space="preserve">            Phòng bán mới GPKT HKD 1</t>
  </si>
  <si>
    <t xml:space="preserve">            Phòng bán mới GPKT HKD 02</t>
  </si>
  <si>
    <t xml:space="preserve">      Văn phòng MISA Đà Nẵng</t>
  </si>
  <si>
    <t xml:space="preserve">         Ban Giám đốc Văn phòng</t>
  </si>
  <si>
    <t xml:space="preserve">         Phòng KD Giải pháp KTDN</t>
  </si>
  <si>
    <t xml:space="preserve">            Phòng KD Giải pháp KTDN 01</t>
  </si>
  <si>
    <t xml:space="preserve">            Phòng KD Giải pháp KTDN 02</t>
  </si>
  <si>
    <t xml:space="preserve">         Phòng KD giải pháp bán lẻ</t>
  </si>
  <si>
    <t xml:space="preserve">            Nhóm KD CUKCUK &amp; ESHOP</t>
  </si>
  <si>
    <t xml:space="preserve">            Nhóm GPKT HKD</t>
  </si>
  <si>
    <t xml:space="preserve">         Phòng KD bán thêm</t>
  </si>
  <si>
    <t xml:space="preserve">            Nhóm KD bán thêm GP KTDN</t>
  </si>
  <si>
    <t xml:space="preserve">            Nhóm KD bán thêm GP hóa đơn điện tử</t>
  </si>
  <si>
    <t xml:space="preserve">            Nhóm KD bán thêm GP bán lẻ</t>
  </si>
  <si>
    <t xml:space="preserve">            Nhóm KD bán thêm chuyển đổi KTDN</t>
  </si>
  <si>
    <t xml:space="preserve">            Nhóm Quản lý khách hàng</t>
  </si>
  <si>
    <t xml:space="preserve">            Nhóm Bán thêm GP Ký điện tử</t>
  </si>
  <si>
    <t xml:space="preserve">         Nhóm chuyển giao</t>
  </si>
  <si>
    <t xml:space="preserve">            Nhóm chuyển giao GP hóa đơn điện tử</t>
  </si>
  <si>
    <t xml:space="preserve">            Nhóm chuyển giao GP bán lẻ</t>
  </si>
  <si>
    <t xml:space="preserve">         Nhóm chăm sóc khách hàng</t>
  </si>
  <si>
    <t xml:space="preserve">            Nhóm CSKH GP KTDN</t>
  </si>
  <si>
    <t xml:space="preserve">            Nhóm CSKH GP hóa đơn điện tử</t>
  </si>
  <si>
    <t xml:space="preserve">            Nhóm CSKH GP bán lẻ</t>
  </si>
  <si>
    <t xml:space="preserve">         Phòng Kinh doanh Hành chính sự nghiệp</t>
  </si>
  <si>
    <t xml:space="preserve">            Nhóm triển khai và chăm sóc khách hàng</t>
  </si>
  <si>
    <t xml:space="preserve">            Nhóm kinh doanh HCSN</t>
  </si>
  <si>
    <t xml:space="preserve">         Phòng KD GPKT Hộ kinh doanh</t>
  </si>
  <si>
    <t xml:space="preserve">         Nhóm KD mạng lưới</t>
  </si>
  <si>
    <t xml:space="preserve">         Nhóm KD GPDN vừa</t>
  </si>
  <si>
    <t xml:space="preserve">      Văn phòng MISA Buôn Ma Thuột</t>
  </si>
  <si>
    <t xml:space="preserve">            Nhóm KD bán thêm chuyển đổi GP KTDN</t>
  </si>
  <si>
    <t xml:space="preserve">         Nhóm Chăm sóc khách hàng</t>
  </si>
  <si>
    <t xml:space="preserve">            Nhóm triển khai và CSKH</t>
  </si>
  <si>
    <t xml:space="preserve">            Nhóm KD HCSN</t>
  </si>
  <si>
    <t xml:space="preserve">         Phòng KD Giải pháp bán lẻ</t>
  </si>
  <si>
    <t xml:space="preserve">         Nhóm KD Mạng lưới</t>
  </si>
  <si>
    <t xml:space="preserve">      Văn phòng MISA Cần Thơ</t>
  </si>
  <si>
    <t xml:space="preserve">         Phòng KD Giải pháp HĐĐT</t>
  </si>
  <si>
    <t xml:space="preserve">            Nhóm KD bán thêm chuyển đổi giải pháp KTDN</t>
  </si>
  <si>
    <t xml:space="preserve">            Nhóm quản lý khách hàng</t>
  </si>
  <si>
    <t xml:space="preserve">            Nhóm Triển khai và CSKH</t>
  </si>
  <si>
    <t xml:space="preserve">            Nhóm Xúc tiến</t>
  </si>
  <si>
    <t xml:space="preserve">      Viện Đổi mới doanh nghiệp</t>
  </si>
  <si>
    <t xml:space="preserve">         Nhóm kỹ thuật và hỗ trợ</t>
  </si>
  <si>
    <t xml:space="preserve">         Ban giám đốc Viện</t>
  </si>
  <si>
    <t xml:space="preserve">         Nhóm HCTH</t>
  </si>
  <si>
    <t xml:space="preserve">         Nhóm sản xuất khóa học</t>
  </si>
  <si>
    <t xml:space="preserve">         Nhóm bài viết</t>
  </si>
  <si>
    <t xml:space="preserve">      Công ty CP JETPAY</t>
  </si>
  <si>
    <t xml:space="preserve">         Ban Giám đốc</t>
  </si>
  <si>
    <t xml:space="preserve">         Phòng Phát triển sản phẩm</t>
  </si>
  <si>
    <t xml:space="preserve">            Sản phẩm JETPAY</t>
  </si>
  <si>
    <t xml:space="preserve">               Dự án JETPAY</t>
  </si>
  <si>
    <t xml:space="preserve">            Sản phẩm MISA Lending</t>
  </si>
  <si>
    <t xml:space="preserve">               Dự án MISA Lending Platform</t>
  </si>
  <si>
    <t xml:space="preserve">               [Lending] Nhóm phân tích thiết kế</t>
  </si>
  <si>
    <t xml:space="preserve">            Nhóm phân tích dữ liệu</t>
  </si>
  <si>
    <t xml:space="preserve">         Phòng kinh doanh &amp; marketing</t>
  </si>
  <si>
    <t xml:space="preserve">            Nhóm KD SP thu học phí</t>
  </si>
  <si>
    <t xml:space="preserve">            Nhóm KD sản phẩm Bankhub</t>
  </si>
  <si>
    <t xml:space="preserve">            Nhóm KD sản phẩm Lending</t>
  </si>
  <si>
    <t xml:space="preserve">         Phòng HCTH</t>
  </si>
  <si>
    <t xml:space="preserve">         Phòng Giám sát vận hành</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</si>
</sst>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409]mmm\-yy"/>
    <numFmt numFmtId="165" formatCode="\ * #,##0\ ;\-* #,##0\ ;\ * \-#\ ;\ @\ "/>
    <numFmt numFmtId="166" formatCode="dd-mm-yyyy"/>
    <numFmt numFmtId="167" formatCode="d-m-yyyy"/>
  </numFmts>
  <fonts count="71">
    <font>
      <sz val="12.0"/>
      <color theme="1"/>
      <name val="Calibri"/>
      <scheme val="minor"/>
    </font>
    <font>
      <b/>
      <sz val="14.0"/>
      <color theme="1"/>
      <name val="Calibri"/>
    </font>
    <font>
      <color theme="1"/>
      <name val="Calibri"/>
      <scheme val="minor"/>
    </font>
    <font>
      <sz val="14.0"/>
      <color theme="1"/>
      <name val="Calibri"/>
    </font>
    <font>
      <sz val="11.0"/>
      <color theme="1"/>
      <name val="Calibri"/>
    </font>
    <font>
      <b/>
      <sz val="11.0"/>
      <color theme="1"/>
      <name val="Calibri"/>
    </font>
    <font>
      <color rgb="FF000000"/>
      <name val="Calibri"/>
      <scheme val="minor"/>
    </font>
    <font>
      <sz val="11.0"/>
      <color rgb="FF000000"/>
      <name val="Calibri"/>
    </font>
    <font>
      <b/>
      <sz val="11.0"/>
      <color rgb="FF000000"/>
      <name val="Calibri"/>
    </font>
    <font>
      <b/>
      <sz val="12.0"/>
      <color rgb="FF000000"/>
      <name val="Calibri"/>
    </font>
    <font>
      <b/>
      <sz val="11.0"/>
      <color theme="0"/>
      <name val="Calibri"/>
    </font>
    <font>
      <b/>
      <sz val="12.0"/>
      <color theme="1"/>
      <name val="Calibri"/>
    </font>
    <font>
      <sz val="12.0"/>
      <color theme="1"/>
      <name val="Calibri"/>
    </font>
    <font>
      <b/>
      <sz val="16.0"/>
      <color rgb="FF000000"/>
      <name val="&quot;Times New Roman&quot;"/>
    </font>
    <font>
      <sz val="12.0"/>
      <color rgb="FF000000"/>
      <name val="&quot;Times New Roman&quot;"/>
    </font>
    <font>
      <color rgb="FF000000"/>
      <name val="Arial"/>
    </font>
    <font>
      <b/>
      <sz val="12.0"/>
      <color theme="1"/>
      <name val="&quot;Times New Roman&quot;"/>
    </font>
    <font>
      <sz val="12.0"/>
      <color theme="1"/>
      <name val="&quot;Times New Roman&quot;"/>
    </font>
    <font>
      <u/>
      <sz val="12.0"/>
      <color rgb="FF0000FF"/>
      <name val="&quot;Times New Roman&quot;"/>
    </font>
    <font>
      <b/>
      <sz val="10.0"/>
      <color theme="1"/>
      <name val="Times New Roman"/>
    </font>
    <font/>
    <font>
      <sz val="10.0"/>
      <color theme="1"/>
      <name val="Times New Roman"/>
    </font>
    <font>
      <sz val="10.0"/>
      <color rgb="FFFF0000"/>
      <name val="Times New Roman"/>
    </font>
    <font>
      <sz val="10.0"/>
      <color theme="1"/>
      <name val="Calibri"/>
      <scheme val="minor"/>
    </font>
    <font>
      <sz val="10.0"/>
      <color rgb="FF000000"/>
      <name val="&quot;Times New Roman&quot;"/>
    </font>
    <font>
      <color rgb="FF000000"/>
      <name val="&quot;Times New Roman&quot;"/>
    </font>
    <font>
      <sz val="10.0"/>
      <color rgb="FF000000"/>
      <name val="Times New Roman"/>
    </font>
    <font>
      <i/>
      <sz val="10.0"/>
      <color theme="1"/>
      <name val="Times New Roman"/>
    </font>
    <font>
      <i/>
      <sz val="10.0"/>
      <color rgb="FF000000"/>
      <name val="Times New Roman"/>
    </font>
    <font>
      <i/>
      <sz val="10.0"/>
      <color rgb="FF000000"/>
      <name val="&quot;Times New Roman&quot;"/>
    </font>
    <font>
      <i/>
      <color rgb="FF000000"/>
      <name val="&quot;Times New Roman&quot;"/>
    </font>
    <font>
      <b/>
      <i/>
      <sz val="10.0"/>
      <color theme="1"/>
      <name val="Times New Roman"/>
    </font>
    <font>
      <sz val="10.0"/>
      <color rgb="FFFF0000"/>
      <name val="&quot;Times New Roman&quot;"/>
    </font>
    <font>
      <color rgb="FFFF0000"/>
      <name val="&quot;Times New Roman&quot;"/>
    </font>
    <font>
      <sz val="12.0"/>
      <color rgb="FFFF0000"/>
      <name val="&quot;Times New Roman&quot;"/>
    </font>
    <font>
      <u/>
      <sz val="10.0"/>
      <color rgb="FF000000"/>
      <name val="&quot;Times New Roman&quot;"/>
    </font>
    <font>
      <color rgb="FFFF0000"/>
      <name val="Calibri"/>
      <scheme val="minor"/>
    </font>
    <font>
      <sz val="10.0"/>
      <color rgb="FF434343"/>
      <name val="Times New Roman"/>
    </font>
    <font>
      <sz val="10.0"/>
      <color rgb="FF434343"/>
      <name val="&quot;Times New Roman&quot;"/>
    </font>
    <font>
      <sz val="12.0"/>
      <color rgb="FFFF0000"/>
      <name val="Calibri"/>
    </font>
    <font>
      <i/>
      <sz val="10.0"/>
      <color rgb="FFFF0000"/>
      <name val="Times New Roman"/>
    </font>
    <font>
      <i/>
      <sz val="10.0"/>
      <color rgb="FFFF0000"/>
      <name val="&quot;Times New Roman&quot;"/>
    </font>
    <font>
      <i/>
      <color rgb="FFFF0000"/>
      <name val="&quot;Times New Roman&quot;"/>
    </font>
    <font>
      <color rgb="FFFF0000"/>
      <name val="Arial"/>
    </font>
    <font>
      <sz val="10.0"/>
      <color rgb="FF000000"/>
      <name val="Calibri"/>
    </font>
    <font>
      <color rgb="FF000000"/>
      <name val="Calibri"/>
    </font>
    <font>
      <sz val="10.0"/>
      <color rgb="FFFF0000"/>
      <name val="Calibri"/>
    </font>
    <font>
      <color rgb="FFFF0000"/>
      <name val="Calibri"/>
    </font>
    <font>
      <sz val="12.0"/>
      <color theme="1"/>
      <name val="Times New Roman"/>
    </font>
    <font>
      <i/>
      <color theme="1"/>
      <name val="Calibri"/>
      <scheme val="minor"/>
    </font>
    <font>
      <sz val="12.0"/>
      <color rgb="FF000000"/>
      <name val="Calibri"/>
    </font>
    <font>
      <b/>
      <sz val="10.0"/>
      <color rgb="FF000000"/>
      <name val="Times New Roman"/>
    </font>
    <font>
      <color theme="1"/>
      <name val="Times New Roman"/>
    </font>
    <font>
      <color rgb="FFFF0000"/>
      <name val="Times New Roman"/>
    </font>
    <font>
      <b/>
      <sz val="11.0"/>
      <color rgb="FF000000"/>
      <name val="Roboto"/>
    </font>
    <font>
      <sz val="11.0"/>
      <color rgb="FF1F1F20"/>
      <name val="Roboto"/>
    </font>
    <font>
      <sz val="11.0"/>
      <color rgb="FF17A562"/>
      <name val="Roboto"/>
    </font>
    <font>
      <sz val="11.0"/>
      <color rgb="FFFF0000"/>
      <name val="Roboto"/>
    </font>
    <font>
      <b/>
      <sz val="10.0"/>
      <color rgb="FFFF0000"/>
      <name val="Times New Roman"/>
    </font>
    <font>
      <color rgb="FFFFFFFF"/>
      <name val="Calibri"/>
      <scheme val="minor"/>
    </font>
    <font>
      <color theme="1"/>
      <name val="Arial"/>
    </font>
    <font>
      <b/>
      <color theme="1"/>
      <name val="&quot;Times New Roman&quot;"/>
    </font>
    <font>
      <color theme="1"/>
      <name val="&quot;Times New Roman&quot;"/>
    </font>
    <font>
      <b/>
      <color rgb="FFFF0000"/>
      <name val="&quot;Times New Roman&quot;"/>
    </font>
    <font>
      <u/>
      <color rgb="FF0000FF"/>
      <name val="&quot;Times New Roman&quot;"/>
    </font>
    <font>
      <u/>
      <color rgb="FFFF0000"/>
      <name val="&quot;Times New Roman&quot;"/>
    </font>
    <font>
      <u/>
      <color rgb="FF1155CC"/>
      <name val="&quot;Times New Roman&quot;"/>
    </font>
    <font>
      <u/>
      <color theme="1"/>
      <name val="&quot;Times New Roman&quot;"/>
    </font>
    <font>
      <u/>
      <color rgb="FF0000FF"/>
      <name val="Arial"/>
    </font>
    <font>
      <b/>
      <sz val="16.0"/>
      <color theme="1"/>
      <name val="Times New Roman"/>
    </font>
    <font>
      <sz val="10.0"/>
      <color theme="1"/>
      <name val="Arial"/>
    </font>
  </fonts>
  <fills count="32">
    <fill>
      <patternFill patternType="none"/>
    </fill>
    <fill>
      <patternFill patternType="lightGray"/>
    </fill>
    <fill>
      <patternFill patternType="solid">
        <fgColor rgb="FFFFFFFF"/>
        <bgColor rgb="FFFFFFFF"/>
      </patternFill>
    </fill>
    <fill>
      <patternFill patternType="solid">
        <fgColor rgb="FFC55A11"/>
        <bgColor rgb="FFC55A11"/>
      </patternFill>
    </fill>
    <fill>
      <patternFill patternType="solid">
        <fgColor rgb="FFD8D8D8"/>
        <bgColor rgb="FFD8D8D8"/>
      </patternFill>
    </fill>
    <fill>
      <patternFill patternType="solid">
        <fgColor rgb="FF92D050"/>
        <bgColor rgb="FF92D050"/>
      </patternFill>
    </fill>
    <fill>
      <patternFill patternType="solid">
        <fgColor rgb="FF9CC2E5"/>
        <bgColor rgb="FF9CC2E5"/>
      </patternFill>
    </fill>
    <fill>
      <patternFill patternType="solid">
        <fgColor rgb="FFFFC000"/>
        <bgColor rgb="FFFFC000"/>
      </patternFill>
    </fill>
    <fill>
      <patternFill patternType="solid">
        <fgColor theme="0"/>
        <bgColor theme="0"/>
      </patternFill>
    </fill>
    <fill>
      <patternFill patternType="solid">
        <fgColor rgb="FFDEEAF6"/>
        <bgColor rgb="FFDEEAF6"/>
      </patternFill>
    </fill>
    <fill>
      <patternFill patternType="solid">
        <fgColor rgb="FFF4CCCC"/>
        <bgColor rgb="FFF4CCCC"/>
      </patternFill>
    </fill>
    <fill>
      <patternFill patternType="solid">
        <fgColor theme="9"/>
        <bgColor theme="9"/>
      </patternFill>
    </fill>
    <fill>
      <patternFill patternType="solid">
        <fgColor rgb="FFFF9900"/>
        <bgColor rgb="FFFF9900"/>
      </patternFill>
    </fill>
    <fill>
      <patternFill patternType="solid">
        <fgColor rgb="FFEA9999"/>
        <bgColor rgb="FFEA9999"/>
      </patternFill>
    </fill>
    <fill>
      <patternFill patternType="solid">
        <fgColor rgb="FF6D9EEB"/>
        <bgColor rgb="FF6D9EEB"/>
      </patternFill>
    </fill>
    <fill>
      <patternFill patternType="solid">
        <fgColor rgb="FFFFF2CC"/>
        <bgColor rgb="FFFFF2CC"/>
      </patternFill>
    </fill>
    <fill>
      <patternFill patternType="solid">
        <fgColor rgb="FF999999"/>
        <bgColor rgb="FF999999"/>
      </patternFill>
    </fill>
    <fill>
      <patternFill patternType="solid">
        <fgColor rgb="FFA2C4C9"/>
        <bgColor rgb="FFA2C4C9"/>
      </patternFill>
    </fill>
    <fill>
      <patternFill patternType="solid">
        <fgColor rgb="FFFFFF00"/>
        <bgColor rgb="FFFFFF00"/>
      </patternFill>
    </fill>
    <fill>
      <patternFill patternType="solid">
        <fgColor rgb="FFF2F4F7"/>
        <bgColor rgb="FFF2F4F7"/>
      </patternFill>
    </fill>
    <fill>
      <patternFill patternType="solid">
        <fgColor rgb="FFB7B7B7"/>
        <bgColor rgb="FFB7B7B7"/>
      </patternFill>
    </fill>
    <fill>
      <patternFill patternType="solid">
        <fgColor rgb="FFFCE5CD"/>
        <bgColor rgb="FFFCE5CD"/>
      </patternFill>
    </fill>
    <fill>
      <patternFill patternType="solid">
        <fgColor rgb="FF00FFFF"/>
        <bgColor rgb="FF00FFFF"/>
      </patternFill>
    </fill>
    <fill>
      <patternFill patternType="solid">
        <fgColor rgb="FFFF66FF"/>
        <bgColor rgb="FFFF66FF"/>
      </patternFill>
    </fill>
    <fill>
      <patternFill patternType="solid">
        <fgColor rgb="FFCFE2F3"/>
        <bgColor rgb="FFCFE2F3"/>
      </patternFill>
    </fill>
    <fill>
      <patternFill patternType="solid">
        <fgColor rgb="FF9FC5E8"/>
        <bgColor rgb="FF9FC5E8"/>
      </patternFill>
    </fill>
    <fill>
      <patternFill patternType="solid">
        <fgColor rgb="FF0B5394"/>
        <bgColor rgb="FF0B5394"/>
      </patternFill>
    </fill>
    <fill>
      <patternFill patternType="solid">
        <fgColor rgb="FFF6B26B"/>
        <bgColor rgb="FFF6B26B"/>
      </patternFill>
    </fill>
    <fill>
      <patternFill patternType="solid">
        <fgColor rgb="FFB7E1CD"/>
        <bgColor rgb="FFB7E1CD"/>
      </patternFill>
    </fill>
    <fill>
      <patternFill patternType="solid">
        <fgColor rgb="FFB6D7A8"/>
        <bgColor rgb="FFB6D7A8"/>
      </patternFill>
    </fill>
    <fill>
      <patternFill patternType="solid">
        <fgColor rgb="FF93C47D"/>
        <bgColor rgb="FF93C47D"/>
      </patternFill>
    </fill>
    <fill>
      <patternFill patternType="solid">
        <fgColor rgb="FFD9EAD3"/>
        <bgColor rgb="FFD9EAD3"/>
      </patternFill>
    </fill>
  </fills>
  <borders count="13">
    <border/>
    <border>
      <left/>
      <right/>
      <top/>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right/>
      <top style="thin">
        <color rgb="FF000000"/>
      </top>
      <bottom style="thin">
        <color rgb="FF000000"/>
      </bottom>
    </border>
    <border>
      <top style="thin">
        <color rgb="FF000000"/>
      </top>
      <bottom style="thin">
        <color rgb="FF000000"/>
      </bottom>
    </border>
    <border>
      <left/>
      <right style="thin">
        <color rgb="FF000000"/>
      </right>
      <top style="thin">
        <color rgb="FF000000"/>
      </top>
      <bottom style="thin">
        <color rgb="FF000000"/>
      </bottom>
    </border>
    <border>
      <left/>
      <right style="thin">
        <color rgb="FF000000"/>
      </right>
      <top/>
      <bottom style="thin">
        <color rgb="FF000000"/>
      </bottom>
    </border>
    <border>
      <left style="thin">
        <color rgb="FF000000"/>
      </left>
      <right style="thin">
        <color rgb="FF000000"/>
      </right>
      <top style="thin">
        <color rgb="FF000000"/>
      </top>
    </border>
    <border>
      <bottom style="thin">
        <color rgb="FF000000"/>
      </bottom>
    </border>
  </borders>
  <cellStyleXfs count="1">
    <xf borderId="0" fillId="0" fontId="0" numFmtId="0" applyAlignment="1" applyFont="1"/>
  </cellStyleXfs>
  <cellXfs count="764">
    <xf borderId="0" fillId="0" fontId="0" numFmtId="0" xfId="0" applyAlignment="1" applyFont="1">
      <alignment readingOrder="0" shrinkToFit="0" vertical="bottom" wrapText="0"/>
    </xf>
    <xf borderId="0" fillId="0" fontId="1" numFmtId="0" xfId="0" applyAlignment="1" applyFont="1">
      <alignment vertical="center"/>
    </xf>
    <xf borderId="0" fillId="0" fontId="2" numFmtId="0" xfId="0" applyFont="1"/>
    <xf borderId="0" fillId="0" fontId="3" numFmtId="0" xfId="0" applyAlignment="1" applyFont="1">
      <alignment vertical="center"/>
    </xf>
    <xf borderId="0" fillId="0" fontId="4" numFmtId="0" xfId="0" applyFont="1"/>
    <xf quotePrefix="1" borderId="0" fillId="0" fontId="4" numFmtId="0" xfId="0" applyFont="1"/>
    <xf borderId="0" fillId="0" fontId="5" numFmtId="0" xfId="0" applyFont="1"/>
    <xf borderId="0" fillId="0" fontId="4" numFmtId="0" xfId="0" applyAlignment="1" applyFont="1">
      <alignment horizontal="left"/>
    </xf>
    <xf borderId="0" fillId="2" fontId="6" numFmtId="0" xfId="0" applyFill="1" applyFont="1"/>
    <xf borderId="0" fillId="2" fontId="7" numFmtId="0" xfId="0" applyFont="1"/>
    <xf borderId="0" fillId="2" fontId="8" numFmtId="0" xfId="0" applyFont="1"/>
    <xf borderId="0" fillId="2" fontId="9" numFmtId="0" xfId="0" applyFont="1"/>
    <xf borderId="0" fillId="2" fontId="7" numFmtId="0" xfId="0" applyAlignment="1" applyFont="1">
      <alignment readingOrder="0"/>
    </xf>
    <xf borderId="1" fillId="3" fontId="10" numFmtId="0" xfId="0" applyBorder="1" applyFill="1" applyFont="1"/>
    <xf borderId="1" fillId="3" fontId="4" numFmtId="0" xfId="0" applyBorder="1" applyFont="1"/>
    <xf borderId="0" fillId="0" fontId="11" numFmtId="0" xfId="0" applyFont="1"/>
    <xf borderId="0" fillId="0" fontId="12" numFmtId="0" xfId="0" applyAlignment="1" applyFont="1">
      <alignment horizontal="center" vertical="center"/>
    </xf>
    <xf borderId="0" fillId="0" fontId="12" numFmtId="0" xfId="0" applyAlignment="1" applyFont="1">
      <alignment horizontal="center" shrinkToFit="0" vertical="center" wrapText="1"/>
    </xf>
    <xf borderId="0" fillId="0" fontId="4" numFmtId="0" xfId="0" applyAlignment="1" applyFont="1">
      <alignment horizontal="center" vertical="center"/>
    </xf>
    <xf borderId="0" fillId="0" fontId="12" numFmtId="0" xfId="0" applyAlignment="1" applyFont="1">
      <alignment shrinkToFit="0" wrapText="1"/>
    </xf>
    <xf borderId="0" fillId="0" fontId="2" numFmtId="164" xfId="0" applyFont="1" applyNumberFormat="1"/>
    <xf borderId="0" fillId="0" fontId="2" numFmtId="165" xfId="0" applyFont="1" applyNumberFormat="1"/>
    <xf borderId="0" fillId="0" fontId="4" numFmtId="164" xfId="0" applyFont="1" applyNumberFormat="1"/>
    <xf borderId="0" fillId="0" fontId="13" numFmtId="0" xfId="0" applyFont="1"/>
    <xf borderId="0" fillId="0" fontId="13" numFmtId="0" xfId="0" applyAlignment="1" applyFont="1">
      <alignment horizontal="left" readingOrder="0"/>
    </xf>
    <xf borderId="0" fillId="0" fontId="14" numFmtId="0" xfId="0" applyAlignment="1" applyFont="1">
      <alignment horizontal="left" readingOrder="0"/>
    </xf>
    <xf borderId="0" fillId="0" fontId="14" numFmtId="0" xfId="0" applyFont="1"/>
    <xf borderId="0" fillId="0" fontId="15" numFmtId="0" xfId="0" applyAlignment="1" applyFont="1">
      <alignment shrinkToFit="0" vertical="bottom" wrapText="0"/>
    </xf>
    <xf borderId="2" fillId="4" fontId="16" numFmtId="0" xfId="0" applyAlignment="1" applyBorder="1" applyFill="1" applyFont="1">
      <alignment horizontal="center" readingOrder="0"/>
    </xf>
    <xf borderId="3" fillId="4" fontId="16" numFmtId="0" xfId="0" applyAlignment="1" applyBorder="1" applyFont="1">
      <alignment horizontal="center" readingOrder="0"/>
    </xf>
    <xf borderId="4" fillId="0" fontId="17" numFmtId="0" xfId="0" applyAlignment="1" applyBorder="1" applyFont="1">
      <alignment horizontal="center" readingOrder="0"/>
    </xf>
    <xf borderId="5" fillId="0" fontId="17" numFmtId="0" xfId="0" applyAlignment="1" applyBorder="1" applyFont="1">
      <alignment horizontal="left" readingOrder="0"/>
    </xf>
    <xf borderId="5" fillId="0" fontId="17" numFmtId="166" xfId="0" applyAlignment="1" applyBorder="1" applyFont="1" applyNumberFormat="1">
      <alignment horizontal="center" readingOrder="0"/>
    </xf>
    <xf borderId="5" fillId="0" fontId="17" numFmtId="0" xfId="0" applyAlignment="1" applyBorder="1" applyFont="1">
      <alignment horizontal="center"/>
    </xf>
    <xf borderId="5" fillId="0" fontId="17" numFmtId="0" xfId="0" applyAlignment="1" applyBorder="1" applyFont="1">
      <alignment horizontal="left"/>
    </xf>
    <xf borderId="5" fillId="0" fontId="17" numFmtId="167" xfId="0" applyAlignment="1" applyBorder="1" applyFont="1" applyNumberFormat="1">
      <alignment horizontal="center" readingOrder="0"/>
    </xf>
    <xf borderId="5" fillId="0" fontId="18" numFmtId="0" xfId="0" applyAlignment="1" applyBorder="1" applyFont="1">
      <alignment horizontal="left" readingOrder="0"/>
    </xf>
    <xf borderId="0" fillId="0" fontId="12" numFmtId="0" xfId="0" applyAlignment="1" applyFont="1">
      <alignment horizontal="left"/>
    </xf>
    <xf borderId="0" fillId="0" fontId="12" numFmtId="0" xfId="0" applyAlignment="1" applyFont="1">
      <alignment horizontal="center"/>
    </xf>
    <xf borderId="6" fillId="5" fontId="19" numFmtId="0" xfId="0" applyAlignment="1" applyBorder="1" applyFill="1" applyFont="1">
      <alignment horizontal="center" shrinkToFit="0" vertical="center" wrapText="1"/>
    </xf>
    <xf borderId="3" fillId="0" fontId="20" numFmtId="0" xfId="0" applyBorder="1" applyFont="1"/>
    <xf borderId="7" fillId="0" fontId="20" numFmtId="0" xfId="0" applyBorder="1" applyFont="1"/>
    <xf borderId="2" fillId="5" fontId="19" numFmtId="0" xfId="0" applyAlignment="1" applyBorder="1" applyFont="1">
      <alignment horizontal="center" shrinkToFit="0" vertical="center" wrapText="1"/>
    </xf>
    <xf borderId="6" fillId="6" fontId="11" numFmtId="0" xfId="0" applyAlignment="1" applyBorder="1" applyFill="1" applyFont="1">
      <alignment horizontal="center"/>
    </xf>
    <xf borderId="8" fillId="0" fontId="20" numFmtId="0" xfId="0" applyBorder="1" applyFont="1"/>
    <xf borderId="2" fillId="6" fontId="19" numFmtId="0" xfId="0" applyAlignment="1" applyBorder="1" applyFont="1">
      <alignment horizontal="center" shrinkToFit="0" vertical="center" wrapText="1"/>
    </xf>
    <xf borderId="2" fillId="7" fontId="19" numFmtId="0" xfId="0" applyAlignment="1" applyBorder="1" applyFill="1" applyFont="1">
      <alignment horizontal="center" vertical="center"/>
    </xf>
    <xf borderId="2" fillId="7" fontId="19" numFmtId="0" xfId="0" applyAlignment="1" applyBorder="1" applyFont="1">
      <alignment horizontal="center" shrinkToFit="0" vertical="center" wrapText="1"/>
    </xf>
    <xf borderId="2" fillId="7" fontId="21" numFmtId="0" xfId="0" applyAlignment="1" applyBorder="1" applyFont="1">
      <alignment horizontal="center" vertical="center"/>
    </xf>
    <xf borderId="2" fillId="7" fontId="21" numFmtId="0" xfId="0" applyAlignment="1" applyBorder="1" applyFont="1">
      <alignment horizontal="left" vertical="center"/>
    </xf>
    <xf borderId="2" fillId="7" fontId="19" numFmtId="0" xfId="0" applyAlignment="1" applyBorder="1" applyFont="1">
      <alignment horizontal="left" vertical="center"/>
    </xf>
    <xf borderId="2" fillId="8" fontId="21" numFmtId="0" xfId="0" applyAlignment="1" applyBorder="1" applyFill="1" applyFont="1">
      <alignment horizontal="center" vertical="center"/>
    </xf>
    <xf quotePrefix="1" borderId="2" fillId="8" fontId="21" numFmtId="0" xfId="0" applyAlignment="1" applyBorder="1" applyFont="1">
      <alignment horizontal="center" vertical="center"/>
    </xf>
    <xf quotePrefix="1" borderId="2" fillId="8" fontId="21" numFmtId="164" xfId="0" applyAlignment="1" applyBorder="1" applyFont="1" applyNumberFormat="1">
      <alignment horizontal="center" vertical="center"/>
    </xf>
    <xf borderId="2" fillId="8" fontId="21" numFmtId="0" xfId="0" applyAlignment="1" applyBorder="1" applyFont="1">
      <alignment horizontal="left" vertical="center"/>
    </xf>
    <xf borderId="2" fillId="8" fontId="21" numFmtId="0" xfId="0" applyAlignment="1" applyBorder="1" applyFont="1">
      <alignment vertical="center"/>
    </xf>
    <xf quotePrefix="1" borderId="2" fillId="8" fontId="21" numFmtId="0" xfId="0" applyAlignment="1" applyBorder="1" applyFont="1">
      <alignment horizontal="left" vertical="center"/>
    </xf>
    <xf borderId="2" fillId="0" fontId="21" numFmtId="0" xfId="0" applyAlignment="1" applyBorder="1" applyFont="1">
      <alignment horizontal="center" vertical="center"/>
    </xf>
    <xf borderId="2" fillId="8" fontId="22" numFmtId="0" xfId="0" applyAlignment="1" applyBorder="1" applyFont="1">
      <alignment vertical="center"/>
    </xf>
    <xf borderId="2" fillId="8" fontId="21" numFmtId="164" xfId="0" applyAlignment="1" applyBorder="1" applyFont="1" applyNumberFormat="1">
      <alignment horizontal="center" vertical="center"/>
    </xf>
    <xf borderId="2" fillId="0" fontId="21" numFmtId="0" xfId="0" applyAlignment="1" applyBorder="1" applyFont="1">
      <alignment horizontal="left" vertical="center"/>
    </xf>
    <xf borderId="2" fillId="0" fontId="21" numFmtId="0" xfId="0" applyAlignment="1" applyBorder="1" applyFont="1">
      <alignment vertical="center"/>
    </xf>
    <xf quotePrefix="1" borderId="2" fillId="0" fontId="21" numFmtId="0" xfId="0" applyAlignment="1" applyBorder="1" applyFont="1">
      <alignment horizontal="center" vertical="center"/>
    </xf>
    <xf borderId="2" fillId="0" fontId="22" numFmtId="0" xfId="0" applyAlignment="1" applyBorder="1" applyFont="1">
      <alignment vertical="center"/>
    </xf>
    <xf quotePrefix="1" borderId="2" fillId="8" fontId="22" numFmtId="0" xfId="0" applyAlignment="1" applyBorder="1" applyFont="1">
      <alignment horizontal="center" vertical="center"/>
    </xf>
    <xf borderId="2" fillId="9" fontId="19" numFmtId="0" xfId="0" applyAlignment="1" applyBorder="1" applyFill="1" applyFont="1">
      <alignment horizontal="left" vertical="center"/>
    </xf>
    <xf borderId="2" fillId="9" fontId="21" numFmtId="0" xfId="0" applyAlignment="1" applyBorder="1" applyFont="1">
      <alignment horizontal="center" vertical="center"/>
    </xf>
    <xf borderId="2" fillId="9" fontId="21" numFmtId="164" xfId="0" applyAlignment="1" applyBorder="1" applyFont="1" applyNumberFormat="1">
      <alignment horizontal="center" vertical="center"/>
    </xf>
    <xf borderId="2" fillId="9" fontId="21" numFmtId="0" xfId="0" applyAlignment="1" applyBorder="1" applyFont="1">
      <alignment horizontal="left" vertical="center"/>
    </xf>
    <xf borderId="2" fillId="9" fontId="21" numFmtId="0" xfId="0" applyAlignment="1" applyBorder="1" applyFont="1">
      <alignment vertical="center"/>
    </xf>
    <xf borderId="2" fillId="8" fontId="22" numFmtId="0" xfId="0" applyAlignment="1" applyBorder="1" applyFont="1">
      <alignment horizontal="left" vertical="center"/>
    </xf>
    <xf quotePrefix="1" borderId="2" fillId="8" fontId="22" numFmtId="164" xfId="0" applyAlignment="1" applyBorder="1" applyFont="1" applyNumberFormat="1">
      <alignment horizontal="center" vertical="center"/>
    </xf>
    <xf borderId="2" fillId="8" fontId="21" numFmtId="165" xfId="0" applyAlignment="1" applyBorder="1" applyFont="1" applyNumberFormat="1">
      <alignment horizontal="left" vertical="center"/>
    </xf>
    <xf borderId="9" fillId="8" fontId="21" numFmtId="0" xfId="0" applyAlignment="1" applyBorder="1" applyFont="1">
      <alignment horizontal="left" vertical="center"/>
    </xf>
    <xf borderId="9" fillId="8" fontId="21" numFmtId="165" xfId="0" applyAlignment="1" applyBorder="1" applyFont="1" applyNumberFormat="1">
      <alignment horizontal="left" vertical="center"/>
    </xf>
    <xf borderId="2" fillId="8" fontId="22" numFmtId="165" xfId="0" applyAlignment="1" applyBorder="1" applyFont="1" applyNumberFormat="1">
      <alignment horizontal="left" vertical="center"/>
    </xf>
    <xf borderId="10" fillId="8" fontId="21" numFmtId="0" xfId="0" applyAlignment="1" applyBorder="1" applyFont="1">
      <alignment horizontal="left" vertical="center"/>
    </xf>
    <xf borderId="10" fillId="8" fontId="21" numFmtId="0" xfId="0" applyAlignment="1" applyBorder="1" applyFont="1">
      <alignment vertical="center"/>
    </xf>
    <xf borderId="2" fillId="8" fontId="21" numFmtId="0" xfId="0" applyAlignment="1" applyBorder="1" applyFont="1">
      <alignment shrinkToFit="0" vertical="center" wrapText="1"/>
    </xf>
    <xf borderId="0" fillId="0" fontId="23" numFmtId="0" xfId="0" applyFont="1"/>
    <xf borderId="0" fillId="0" fontId="2" numFmtId="0" xfId="0" applyFont="1"/>
    <xf borderId="2" fillId="10" fontId="19" numFmtId="0" xfId="0" applyAlignment="1" applyBorder="1" applyFill="1" applyFont="1">
      <alignment horizontal="center" readingOrder="0" shrinkToFit="0" vertical="center" wrapText="1"/>
    </xf>
    <xf borderId="11" fillId="5" fontId="19" numFmtId="0" xfId="0" applyAlignment="1" applyBorder="1" applyFont="1">
      <alignment horizontal="center" readingOrder="0" shrinkToFit="0" vertical="center" wrapText="1"/>
    </xf>
    <xf borderId="11" fillId="11" fontId="19" numFmtId="0" xfId="0" applyAlignment="1" applyBorder="1" applyFill="1" applyFont="1">
      <alignment horizontal="center" readingOrder="0" shrinkToFit="0" vertical="center" wrapText="1"/>
    </xf>
    <xf borderId="2" fillId="11" fontId="19" numFmtId="0" xfId="0" applyAlignment="1" applyBorder="1" applyFont="1">
      <alignment horizontal="center" readingOrder="0"/>
    </xf>
    <xf borderId="2" fillId="6" fontId="19" numFmtId="0" xfId="0" applyAlignment="1" applyBorder="1" applyFont="1">
      <alignment horizontal="center"/>
    </xf>
    <xf borderId="8" fillId="6" fontId="19" numFmtId="0" xfId="0" applyAlignment="1" applyBorder="1" applyFont="1">
      <alignment horizontal="center"/>
    </xf>
    <xf borderId="3" fillId="6" fontId="19" numFmtId="0" xfId="0" applyAlignment="1" applyBorder="1" applyFont="1">
      <alignment horizontal="center"/>
    </xf>
    <xf borderId="11" fillId="12" fontId="21" numFmtId="0" xfId="0" applyAlignment="1" applyBorder="1" applyFill="1" applyFont="1">
      <alignment horizontal="center" readingOrder="0"/>
    </xf>
    <xf borderId="11" fillId="13" fontId="19" numFmtId="0" xfId="0" applyAlignment="1" applyBorder="1" applyFill="1" applyFont="1">
      <alignment horizontal="center" readingOrder="0" shrinkToFit="0" vertical="center" wrapText="1"/>
    </xf>
    <xf borderId="11" fillId="14" fontId="19" numFmtId="0" xfId="0" applyAlignment="1" applyBorder="1" applyFill="1" applyFont="1">
      <alignment horizontal="center" readingOrder="0" shrinkToFit="0" vertical="center" wrapText="1"/>
    </xf>
    <xf borderId="0" fillId="0" fontId="21" numFmtId="0" xfId="0" applyFont="1"/>
    <xf borderId="2" fillId="10" fontId="19" numFmtId="0" xfId="0" applyAlignment="1" applyBorder="1" applyFont="1">
      <alignment horizontal="center" shrinkToFit="0" vertical="center" wrapText="1"/>
    </xf>
    <xf borderId="4" fillId="0" fontId="20" numFmtId="0" xfId="0" applyBorder="1" applyFont="1"/>
    <xf borderId="2" fillId="11" fontId="19" numFmtId="0" xfId="0" applyAlignment="1" applyBorder="1" applyFont="1">
      <alignment horizontal="center" shrinkToFit="0" vertical="center" wrapText="1"/>
    </xf>
    <xf borderId="2" fillId="7" fontId="19" numFmtId="0" xfId="0" applyAlignment="1" applyBorder="1" applyFont="1">
      <alignment horizontal="center" readingOrder="0" shrinkToFit="0" vertical="center" wrapText="1"/>
    </xf>
    <xf borderId="2" fillId="0" fontId="21" numFmtId="0" xfId="0" applyBorder="1" applyFont="1"/>
    <xf borderId="2" fillId="0" fontId="21" numFmtId="0" xfId="0" applyAlignment="1" applyBorder="1" applyFont="1">
      <alignment readingOrder="0"/>
    </xf>
    <xf borderId="0" fillId="0" fontId="24" numFmtId="0" xfId="0" applyAlignment="1" applyFont="1">
      <alignment horizontal="left" readingOrder="0" shrinkToFit="0" vertical="bottom" wrapText="0"/>
    </xf>
    <xf borderId="0" fillId="0" fontId="25" numFmtId="0" xfId="0" applyAlignment="1" applyFont="1">
      <alignment shrinkToFit="0" vertical="bottom" wrapText="0"/>
    </xf>
    <xf borderId="2" fillId="15" fontId="26" numFmtId="0" xfId="0" applyAlignment="1" applyBorder="1" applyFill="1" applyFont="1">
      <alignment horizontal="center" readingOrder="0" vertical="center"/>
    </xf>
    <xf borderId="2" fillId="15" fontId="26" numFmtId="0" xfId="0" applyAlignment="1" applyBorder="1" applyFont="1">
      <alignment horizontal="center" vertical="center"/>
    </xf>
    <xf quotePrefix="1" borderId="2" fillId="15" fontId="26" numFmtId="0" xfId="0" applyAlignment="1" applyBorder="1" applyFont="1">
      <alignment horizontal="center" vertical="center"/>
    </xf>
    <xf quotePrefix="1" borderId="2" fillId="15" fontId="26" numFmtId="164" xfId="0" applyAlignment="1" applyBorder="1" applyFont="1" applyNumberFormat="1">
      <alignment horizontal="center" vertical="center"/>
    </xf>
    <xf borderId="2" fillId="15" fontId="26" numFmtId="0" xfId="0" applyAlignment="1" applyBorder="1" applyFont="1">
      <alignment horizontal="left" vertical="center"/>
    </xf>
    <xf quotePrefix="1" borderId="2" fillId="15" fontId="26" numFmtId="0" xfId="0" applyAlignment="1" applyBorder="1" applyFont="1">
      <alignment horizontal="left" vertical="center"/>
    </xf>
    <xf quotePrefix="1" borderId="2" fillId="15" fontId="26" numFmtId="0" xfId="0" applyAlignment="1" applyBorder="1" applyFont="1">
      <alignment horizontal="center" readingOrder="0" vertical="center"/>
    </xf>
    <xf borderId="2" fillId="15" fontId="26" numFmtId="0" xfId="0" applyAlignment="1" applyBorder="1" applyFont="1">
      <alignment vertical="center"/>
    </xf>
    <xf borderId="2" fillId="15" fontId="21" numFmtId="0" xfId="0" applyAlignment="1" applyBorder="1" applyFont="1">
      <alignment horizontal="left" readingOrder="0" shrinkToFit="0" vertical="center" wrapText="1"/>
    </xf>
    <xf borderId="2" fillId="15" fontId="21" numFmtId="0" xfId="0" applyAlignment="1" applyBorder="1" applyFont="1">
      <alignment horizontal="left" shrinkToFit="0" vertical="center" wrapText="1"/>
    </xf>
    <xf borderId="2" fillId="15" fontId="21" numFmtId="0" xfId="0" applyAlignment="1" applyBorder="1" applyFont="1">
      <alignment readingOrder="0"/>
    </xf>
    <xf borderId="2" fillId="15" fontId="21" numFmtId="0" xfId="0" applyBorder="1" applyFont="1"/>
    <xf borderId="0" fillId="15" fontId="24" numFmtId="0" xfId="0" applyAlignment="1" applyFont="1">
      <alignment horizontal="left" readingOrder="0" shrinkToFit="0" vertical="bottom" wrapText="0"/>
    </xf>
    <xf borderId="0" fillId="15" fontId="25" numFmtId="0" xfId="0" applyAlignment="1" applyFont="1">
      <alignment horizontal="left" readingOrder="0" shrinkToFit="0" vertical="bottom" wrapText="0"/>
    </xf>
    <xf borderId="0" fillId="15" fontId="21" numFmtId="0" xfId="0" applyFont="1"/>
    <xf borderId="2" fillId="2" fontId="27" numFmtId="0" xfId="0" applyAlignment="1" applyBorder="1" applyFont="1">
      <alignment horizontal="center" readingOrder="0" vertical="center"/>
    </xf>
    <xf borderId="2" fillId="2" fontId="27" numFmtId="0" xfId="0" applyAlignment="1" applyBorder="1" applyFont="1">
      <alignment horizontal="center" vertical="center"/>
    </xf>
    <xf quotePrefix="1" borderId="2" fillId="2" fontId="27" numFmtId="0" xfId="0" applyAlignment="1" applyBorder="1" applyFont="1">
      <alignment horizontal="center" vertical="center"/>
    </xf>
    <xf quotePrefix="1" borderId="2" fillId="2" fontId="27" numFmtId="164" xfId="0" applyAlignment="1" applyBorder="1" applyFont="1" applyNumberFormat="1">
      <alignment horizontal="center" vertical="center"/>
    </xf>
    <xf borderId="2" fillId="2" fontId="27" numFmtId="0" xfId="0" applyAlignment="1" applyBorder="1" applyFont="1">
      <alignment horizontal="left" vertical="center"/>
    </xf>
    <xf quotePrefix="1" borderId="2" fillId="2" fontId="28" numFmtId="0" xfId="0" applyAlignment="1" applyBorder="1" applyFont="1">
      <alignment horizontal="left" vertical="center"/>
    </xf>
    <xf quotePrefix="1" borderId="2" fillId="2" fontId="28" numFmtId="164" xfId="0" applyAlignment="1" applyBorder="1" applyFont="1" applyNumberFormat="1">
      <alignment horizontal="center" vertical="center"/>
    </xf>
    <xf quotePrefix="1" borderId="2" fillId="2" fontId="28" numFmtId="0" xfId="0" applyAlignment="1" applyBorder="1" applyFont="1">
      <alignment horizontal="center" vertical="center"/>
    </xf>
    <xf borderId="2" fillId="2" fontId="28" numFmtId="0" xfId="0" applyAlignment="1" applyBorder="1" applyFont="1">
      <alignment horizontal="left" vertical="center"/>
    </xf>
    <xf borderId="2" fillId="2" fontId="27" numFmtId="0" xfId="0" applyAlignment="1" applyBorder="1" applyFont="1">
      <alignment vertical="center"/>
    </xf>
    <xf borderId="2" fillId="0" fontId="27" numFmtId="0" xfId="0" applyAlignment="1" applyBorder="1" applyFont="1">
      <alignment horizontal="left" shrinkToFit="0" vertical="center" wrapText="1"/>
    </xf>
    <xf borderId="2" fillId="0" fontId="27" numFmtId="0" xfId="0" applyBorder="1" applyFont="1"/>
    <xf borderId="2" fillId="0" fontId="27" numFmtId="0" xfId="0" applyBorder="1" applyFont="1"/>
    <xf borderId="0" fillId="0" fontId="29" numFmtId="0" xfId="0" applyAlignment="1" applyFont="1">
      <alignment shrinkToFit="0" vertical="bottom" wrapText="0"/>
    </xf>
    <xf borderId="0" fillId="0" fontId="30" numFmtId="0" xfId="0" applyAlignment="1" applyFont="1">
      <alignment shrinkToFit="0" vertical="bottom" wrapText="0"/>
    </xf>
    <xf borderId="0" fillId="0" fontId="27" numFmtId="0" xfId="0" applyFont="1"/>
    <xf borderId="2" fillId="15" fontId="21" numFmtId="0" xfId="0" applyAlignment="1" applyBorder="1" applyFont="1">
      <alignment horizontal="center" readingOrder="0" vertical="center"/>
    </xf>
    <xf borderId="2" fillId="15" fontId="21" numFmtId="0" xfId="0" applyAlignment="1" applyBorder="1" applyFont="1">
      <alignment horizontal="center" vertical="center"/>
    </xf>
    <xf quotePrefix="1" borderId="2" fillId="15" fontId="21" numFmtId="0" xfId="0" applyAlignment="1" applyBorder="1" applyFont="1">
      <alignment horizontal="center" vertical="center"/>
    </xf>
    <xf quotePrefix="1" borderId="2" fillId="15" fontId="21" numFmtId="164" xfId="0" applyAlignment="1" applyBorder="1" applyFont="1" applyNumberFormat="1">
      <alignment horizontal="center" vertical="center"/>
    </xf>
    <xf borderId="2" fillId="15" fontId="21" numFmtId="0" xfId="0" applyAlignment="1" applyBorder="1" applyFont="1">
      <alignment horizontal="left" vertical="center"/>
    </xf>
    <xf borderId="2" fillId="15" fontId="21" numFmtId="0" xfId="0" applyAlignment="1" applyBorder="1" applyFont="1">
      <alignment vertical="center"/>
    </xf>
    <xf borderId="2" fillId="8" fontId="27" numFmtId="0" xfId="0" applyAlignment="1" applyBorder="1" applyFont="1">
      <alignment horizontal="center" readingOrder="0" vertical="center"/>
    </xf>
    <xf borderId="2" fillId="0" fontId="27" numFmtId="0" xfId="0" applyAlignment="1" applyBorder="1" applyFont="1">
      <alignment horizontal="center" vertical="center"/>
    </xf>
    <xf borderId="2" fillId="8" fontId="27" numFmtId="0" xfId="0" applyAlignment="1" applyBorder="1" applyFont="1">
      <alignment horizontal="center" vertical="center"/>
    </xf>
    <xf quotePrefix="1" borderId="2" fillId="8" fontId="27" numFmtId="0" xfId="0" applyAlignment="1" applyBorder="1" applyFont="1">
      <alignment horizontal="center" vertical="center"/>
    </xf>
    <xf quotePrefix="1" borderId="2" fillId="8" fontId="27" numFmtId="164" xfId="0" applyAlignment="1" applyBorder="1" applyFont="1" applyNumberFormat="1">
      <alignment horizontal="center" vertical="center"/>
    </xf>
    <xf quotePrefix="1" borderId="2" fillId="0" fontId="27" numFmtId="0" xfId="0" applyAlignment="1" applyBorder="1" applyFont="1">
      <alignment horizontal="center" vertical="center"/>
    </xf>
    <xf borderId="2" fillId="8" fontId="27" numFmtId="0" xfId="0" applyAlignment="1" applyBorder="1" applyFont="1">
      <alignment horizontal="left" vertical="center"/>
    </xf>
    <xf quotePrefix="1" borderId="2" fillId="8" fontId="28" numFmtId="0" xfId="0" applyAlignment="1" applyBorder="1" applyFont="1">
      <alignment horizontal="left" vertical="center"/>
    </xf>
    <xf quotePrefix="1" borderId="2" fillId="8" fontId="28" numFmtId="164" xfId="0" applyAlignment="1" applyBorder="1" applyFont="1" applyNumberFormat="1">
      <alignment horizontal="center" vertical="center"/>
    </xf>
    <xf quotePrefix="1" borderId="2" fillId="8" fontId="28" numFmtId="0" xfId="0" applyAlignment="1" applyBorder="1" applyFont="1">
      <alignment horizontal="center" vertical="center"/>
    </xf>
    <xf quotePrefix="1" borderId="2" fillId="0" fontId="28" numFmtId="0" xfId="0" applyAlignment="1" applyBorder="1" applyFont="1">
      <alignment horizontal="center" vertical="center"/>
    </xf>
    <xf borderId="2" fillId="8" fontId="28" numFmtId="0" xfId="0" applyAlignment="1" applyBorder="1" applyFont="1">
      <alignment horizontal="left" vertical="center"/>
    </xf>
    <xf borderId="2" fillId="8" fontId="27" numFmtId="0" xfId="0" applyAlignment="1" applyBorder="1" applyFont="1">
      <alignment vertical="center"/>
    </xf>
    <xf borderId="2" fillId="8" fontId="31" numFmtId="0" xfId="0" applyAlignment="1" applyBorder="1" applyFont="1">
      <alignment vertical="center"/>
    </xf>
    <xf borderId="6" fillId="7" fontId="19" numFmtId="0" xfId="0" applyAlignment="1" applyBorder="1" applyFont="1">
      <alignment horizontal="left" readingOrder="0" vertical="center"/>
    </xf>
    <xf borderId="0" fillId="0" fontId="24" numFmtId="0" xfId="0" applyAlignment="1" applyFont="1">
      <alignment shrinkToFit="0" vertical="bottom" wrapText="0"/>
    </xf>
    <xf borderId="0" fillId="0" fontId="25" numFmtId="0" xfId="0" applyAlignment="1" applyFont="1">
      <alignment horizontal="left" readingOrder="0" shrinkToFit="0" vertical="bottom" wrapText="0"/>
    </xf>
    <xf borderId="2" fillId="8" fontId="26" numFmtId="0" xfId="0" applyAlignment="1" applyBorder="1" applyFont="1">
      <alignment horizontal="center" readingOrder="0" vertical="center"/>
    </xf>
    <xf quotePrefix="1" borderId="2" fillId="8" fontId="26" numFmtId="0" xfId="0" applyAlignment="1" applyBorder="1" applyFont="1">
      <alignment horizontal="center" vertical="center"/>
    </xf>
    <xf quotePrefix="1" borderId="2" fillId="2" fontId="26" numFmtId="0" xfId="0" applyAlignment="1" applyBorder="1" applyFont="1">
      <alignment horizontal="left" vertical="center"/>
    </xf>
    <xf quotePrefix="1" borderId="2" fillId="2" fontId="26" numFmtId="0" xfId="0" applyAlignment="1" applyBorder="1" applyFont="1">
      <alignment horizontal="center" vertical="center"/>
    </xf>
    <xf borderId="2" fillId="8" fontId="26" numFmtId="0" xfId="0" applyAlignment="1" applyBorder="1" applyFont="1">
      <alignment horizontal="left" vertical="center"/>
    </xf>
    <xf borderId="2" fillId="8" fontId="26" numFmtId="0" xfId="0" applyAlignment="1" applyBorder="1" applyFont="1">
      <alignment vertical="center"/>
    </xf>
    <xf borderId="2" fillId="0" fontId="26" numFmtId="0" xfId="0" applyAlignment="1" applyBorder="1" applyFont="1">
      <alignment horizontal="left" readingOrder="0" shrinkToFit="0" vertical="center" wrapText="1"/>
    </xf>
    <xf borderId="2" fillId="0" fontId="21" numFmtId="0" xfId="0" applyAlignment="1" applyBorder="1" applyFont="1">
      <alignment horizontal="left" readingOrder="0" shrinkToFit="0" vertical="center" wrapText="1"/>
    </xf>
    <xf borderId="2" fillId="0" fontId="26" numFmtId="0" xfId="0" applyAlignment="1" applyBorder="1" applyFont="1">
      <alignment horizontal="left" shrinkToFit="0" vertical="center" wrapText="1"/>
    </xf>
    <xf borderId="2" fillId="0" fontId="26" numFmtId="0" xfId="0" applyBorder="1" applyFont="1"/>
    <xf borderId="0" fillId="0" fontId="26" numFmtId="0" xfId="0" applyFont="1"/>
    <xf borderId="2" fillId="8" fontId="26" numFmtId="0" xfId="0" applyAlignment="1" applyBorder="1" applyFont="1">
      <alignment horizontal="center" vertical="center"/>
    </xf>
    <xf quotePrefix="1" borderId="2" fillId="8" fontId="26" numFmtId="164" xfId="0" applyAlignment="1" applyBorder="1" applyFont="1" applyNumberFormat="1">
      <alignment horizontal="center" vertical="center"/>
    </xf>
    <xf borderId="2" fillId="2" fontId="26" numFmtId="0" xfId="0" applyAlignment="1" applyBorder="1" applyFont="1">
      <alignment horizontal="left" vertical="center"/>
    </xf>
    <xf quotePrefix="1" borderId="2" fillId="2" fontId="26" numFmtId="0" xfId="0" applyAlignment="1" applyBorder="1" applyFont="1">
      <alignment horizontal="center" readingOrder="0" vertical="center"/>
    </xf>
    <xf borderId="2" fillId="0" fontId="21" numFmtId="0" xfId="0" applyAlignment="1" applyBorder="1" applyFont="1">
      <alignment horizontal="left" shrinkToFit="0" vertical="center" wrapText="1"/>
    </xf>
    <xf borderId="2" fillId="8" fontId="21" numFmtId="0" xfId="0" applyAlignment="1" applyBorder="1" applyFont="1">
      <alignment horizontal="center" readingOrder="0" vertical="center"/>
    </xf>
    <xf borderId="2" fillId="2" fontId="21" numFmtId="0" xfId="0" applyAlignment="1" applyBorder="1" applyFont="1">
      <alignment horizontal="left" vertical="center"/>
    </xf>
    <xf quotePrefix="1" borderId="2" fillId="2" fontId="21" numFmtId="0" xfId="0" applyAlignment="1" applyBorder="1" applyFont="1">
      <alignment horizontal="center" vertical="center"/>
    </xf>
    <xf borderId="2" fillId="2" fontId="21" numFmtId="0" xfId="0" applyAlignment="1" applyBorder="1" applyFont="1">
      <alignment vertical="center"/>
    </xf>
    <xf quotePrefix="1" borderId="2" fillId="2" fontId="21" numFmtId="0" xfId="0" applyAlignment="1" applyBorder="1" applyFont="1">
      <alignment horizontal="left" vertical="center"/>
    </xf>
    <xf quotePrefix="1" borderId="2" fillId="2" fontId="21" numFmtId="0" xfId="0" applyAlignment="1" applyBorder="1" applyFont="1">
      <alignment horizontal="center" readingOrder="0" vertical="center"/>
    </xf>
    <xf borderId="2" fillId="2" fontId="21" numFmtId="0" xfId="0" applyBorder="1" applyFont="1"/>
    <xf borderId="2" fillId="2" fontId="21" numFmtId="0" xfId="0" applyAlignment="1" applyBorder="1" applyFont="1">
      <alignment horizontal="center" readingOrder="0" vertical="center"/>
    </xf>
    <xf borderId="2" fillId="8" fontId="22" numFmtId="0" xfId="0" applyAlignment="1" applyBorder="1" applyFont="1">
      <alignment horizontal="center" readingOrder="0" vertical="center"/>
    </xf>
    <xf borderId="2" fillId="0" fontId="22" numFmtId="0" xfId="0" applyAlignment="1" applyBorder="1" applyFont="1">
      <alignment horizontal="center" vertical="center"/>
    </xf>
    <xf borderId="2" fillId="8" fontId="22" numFmtId="0" xfId="0" applyAlignment="1" applyBorder="1" applyFont="1">
      <alignment horizontal="center" vertical="center"/>
    </xf>
    <xf borderId="2" fillId="2" fontId="22" numFmtId="0" xfId="0" applyAlignment="1" applyBorder="1" applyFont="1">
      <alignment horizontal="left" vertical="center"/>
    </xf>
    <xf quotePrefix="1" borderId="2" fillId="2" fontId="22" numFmtId="0" xfId="0" applyAlignment="1" applyBorder="1" applyFont="1">
      <alignment horizontal="center" readingOrder="0" vertical="center"/>
    </xf>
    <xf borderId="2" fillId="2" fontId="22" numFmtId="0" xfId="0" applyBorder="1" applyFont="1"/>
    <xf borderId="2" fillId="2" fontId="22" numFmtId="0" xfId="0" applyAlignment="1" applyBorder="1" applyFont="1">
      <alignment readingOrder="0"/>
    </xf>
    <xf borderId="2" fillId="0" fontId="22" numFmtId="0" xfId="0" applyAlignment="1" applyBorder="1" applyFont="1">
      <alignment horizontal="left" readingOrder="0" shrinkToFit="0" vertical="center" wrapText="1"/>
    </xf>
    <xf borderId="2" fillId="0" fontId="22" numFmtId="0" xfId="0" applyAlignment="1" applyBorder="1" applyFont="1">
      <alignment horizontal="left" shrinkToFit="0" vertical="center" wrapText="1"/>
    </xf>
    <xf borderId="2" fillId="0" fontId="22" numFmtId="0" xfId="0" applyAlignment="1" applyBorder="1" applyFont="1">
      <alignment readingOrder="0"/>
    </xf>
    <xf borderId="2" fillId="0" fontId="17" numFmtId="0" xfId="0" applyAlignment="1" applyBorder="1" applyFont="1">
      <alignment horizontal="left" readingOrder="0"/>
    </xf>
    <xf borderId="2" fillId="0" fontId="22" numFmtId="0" xfId="0" applyBorder="1" applyFont="1"/>
    <xf borderId="0" fillId="0" fontId="15" numFmtId="0" xfId="0" applyAlignment="1" applyFont="1">
      <alignment horizontal="left" readingOrder="0" vertical="bottom"/>
    </xf>
    <xf borderId="0" fillId="0" fontId="32" numFmtId="0" xfId="0" applyAlignment="1" applyFont="1">
      <alignment horizontal="left" readingOrder="0" shrinkToFit="0" vertical="bottom" wrapText="0"/>
    </xf>
    <xf borderId="0" fillId="0" fontId="33" numFmtId="0" xfId="0" applyAlignment="1" applyFont="1">
      <alignment horizontal="left" readingOrder="0" shrinkToFit="0" vertical="bottom" wrapText="0"/>
    </xf>
    <xf borderId="0" fillId="0" fontId="22" numFmtId="0" xfId="0" applyFont="1"/>
    <xf quotePrefix="1" borderId="2" fillId="2" fontId="21" numFmtId="0" xfId="0" applyBorder="1" applyFont="1"/>
    <xf quotePrefix="1" borderId="2" fillId="2" fontId="21" numFmtId="0" xfId="0" applyAlignment="1" applyBorder="1" applyFont="1">
      <alignment vertical="center"/>
    </xf>
    <xf borderId="2" fillId="16" fontId="21" numFmtId="0" xfId="0" applyAlignment="1" applyBorder="1" applyFill="1" applyFont="1">
      <alignment horizontal="center" readingOrder="0" vertical="center"/>
    </xf>
    <xf borderId="2" fillId="16" fontId="21" numFmtId="0" xfId="0" applyAlignment="1" applyBorder="1" applyFont="1">
      <alignment horizontal="center" vertical="center"/>
    </xf>
    <xf quotePrefix="1" borderId="2" fillId="16" fontId="21" numFmtId="0" xfId="0" applyAlignment="1" applyBorder="1" applyFont="1">
      <alignment horizontal="center" vertical="center"/>
    </xf>
    <xf quotePrefix="1" borderId="2" fillId="16" fontId="21" numFmtId="164" xfId="0" applyAlignment="1" applyBorder="1" applyFont="1" applyNumberFormat="1">
      <alignment horizontal="center" vertical="center"/>
    </xf>
    <xf borderId="2" fillId="16" fontId="21" numFmtId="0" xfId="0" applyAlignment="1" applyBorder="1" applyFont="1">
      <alignment horizontal="left" vertical="center"/>
    </xf>
    <xf borderId="2" fillId="16" fontId="21" numFmtId="0" xfId="0" applyAlignment="1" applyBorder="1" applyFont="1">
      <alignment vertical="center"/>
    </xf>
    <xf borderId="2" fillId="16" fontId="21" numFmtId="0" xfId="0" applyAlignment="1" applyBorder="1" applyFont="1">
      <alignment readingOrder="0"/>
    </xf>
    <xf borderId="2" fillId="16" fontId="26" numFmtId="0" xfId="0" applyAlignment="1" applyBorder="1" applyFont="1">
      <alignment horizontal="left" readingOrder="0" shrinkToFit="0" vertical="center" wrapText="1"/>
    </xf>
    <xf borderId="2" fillId="16" fontId="21" numFmtId="0" xfId="0" applyAlignment="1" applyBorder="1" applyFont="1">
      <alignment horizontal="left" shrinkToFit="0" vertical="center" wrapText="1"/>
    </xf>
    <xf borderId="2" fillId="16" fontId="21" numFmtId="0" xfId="0" applyBorder="1" applyFont="1"/>
    <xf borderId="0" fillId="16" fontId="24" numFmtId="0" xfId="0" applyAlignment="1" applyFont="1">
      <alignment horizontal="left" readingOrder="0" shrinkToFit="0" vertical="bottom" wrapText="0"/>
    </xf>
    <xf borderId="0" fillId="16" fontId="25" numFmtId="0" xfId="0" applyAlignment="1" applyFont="1">
      <alignment horizontal="left" readingOrder="0" shrinkToFit="0" vertical="bottom" wrapText="0"/>
    </xf>
    <xf borderId="0" fillId="16" fontId="21" numFmtId="0" xfId="0" applyFont="1"/>
    <xf quotePrefix="1" borderId="2" fillId="2" fontId="22" numFmtId="0" xfId="0" applyAlignment="1" applyBorder="1" applyFont="1">
      <alignment horizontal="center" vertical="center"/>
    </xf>
    <xf quotePrefix="1" borderId="2" fillId="2" fontId="22" numFmtId="0" xfId="0" applyAlignment="1" applyBorder="1" applyFont="1">
      <alignment horizontal="left" vertical="center"/>
    </xf>
    <xf borderId="2" fillId="0" fontId="34" numFmtId="0" xfId="0" applyAlignment="1" applyBorder="1" applyFont="1">
      <alignment horizontal="left" readingOrder="0"/>
    </xf>
    <xf borderId="2" fillId="2" fontId="22" numFmtId="0" xfId="0" applyAlignment="1" applyBorder="1" applyFont="1">
      <alignment horizontal="left" readingOrder="0" vertical="center"/>
    </xf>
    <xf borderId="4" fillId="0" fontId="34" numFmtId="0" xfId="0" applyAlignment="1" applyBorder="1" applyFont="1">
      <alignment horizontal="left" readingOrder="0"/>
    </xf>
    <xf borderId="2" fillId="2" fontId="21" numFmtId="0" xfId="0" applyAlignment="1" applyBorder="1" applyFont="1">
      <alignment readingOrder="0" vertical="center"/>
    </xf>
    <xf quotePrefix="1" borderId="2" fillId="2" fontId="21" numFmtId="0" xfId="0" applyAlignment="1" applyBorder="1" applyFont="1">
      <alignment horizontal="center"/>
    </xf>
    <xf borderId="2" fillId="2" fontId="21" numFmtId="0" xfId="0" applyAlignment="1" applyBorder="1" applyFont="1">
      <alignment horizontal="center"/>
    </xf>
    <xf borderId="2" fillId="2" fontId="21" numFmtId="0" xfId="0" applyAlignment="1" applyBorder="1" applyFont="1">
      <alignment vertical="bottom"/>
    </xf>
    <xf quotePrefix="1" borderId="2" fillId="2" fontId="21" numFmtId="0" xfId="0" applyAlignment="1" applyBorder="1" applyFont="1">
      <alignment readingOrder="0"/>
    </xf>
    <xf quotePrefix="1" borderId="2" fillId="2" fontId="21" numFmtId="0" xfId="0" applyAlignment="1" applyBorder="1" applyFont="1">
      <alignment readingOrder="0" vertical="center"/>
    </xf>
    <xf borderId="0" fillId="0" fontId="35" numFmtId="0" xfId="0" applyAlignment="1" applyFont="1">
      <alignment horizontal="left" readingOrder="0" shrinkToFit="0" vertical="bottom" wrapText="0"/>
    </xf>
    <xf borderId="2" fillId="2" fontId="21" numFmtId="0" xfId="0" applyAlignment="1" applyBorder="1" applyFont="1">
      <alignment horizontal="center" vertical="center"/>
    </xf>
    <xf quotePrefix="1" borderId="2" fillId="2" fontId="21" numFmtId="164" xfId="0" applyAlignment="1" applyBorder="1" applyFont="1" applyNumberFormat="1">
      <alignment horizontal="center" vertical="center"/>
    </xf>
    <xf borderId="2" fillId="2" fontId="21" numFmtId="0" xfId="0" applyAlignment="1" applyBorder="1" applyFont="1">
      <alignment horizontal="left" shrinkToFit="0" vertical="center" wrapText="1"/>
    </xf>
    <xf borderId="2" fillId="2" fontId="21" numFmtId="0" xfId="0" applyAlignment="1" applyBorder="1" applyFont="1">
      <alignment readingOrder="0"/>
    </xf>
    <xf borderId="0" fillId="2" fontId="24" numFmtId="0" xfId="0" applyAlignment="1" applyFont="1">
      <alignment horizontal="left" readingOrder="0" shrinkToFit="0" vertical="bottom" wrapText="0"/>
    </xf>
    <xf borderId="0" fillId="2" fontId="21" numFmtId="0" xfId="0" applyFont="1"/>
    <xf borderId="2" fillId="0" fontId="21" numFmtId="0" xfId="0" applyBorder="1" applyFont="1"/>
    <xf borderId="2" fillId="2" fontId="22" numFmtId="0" xfId="0" applyAlignment="1" applyBorder="1" applyFont="1">
      <alignment horizontal="center" readingOrder="0" vertical="center"/>
    </xf>
    <xf borderId="2" fillId="0" fontId="22" numFmtId="0" xfId="0" applyBorder="1" applyFont="1"/>
    <xf borderId="2" fillId="2" fontId="21" numFmtId="0" xfId="0" applyAlignment="1" applyBorder="1" applyFont="1">
      <alignment horizontal="left" readingOrder="0" vertical="center"/>
    </xf>
    <xf borderId="2" fillId="2" fontId="26" numFmtId="0" xfId="0" applyAlignment="1" applyBorder="1" applyFont="1">
      <alignment horizontal="center" vertical="center"/>
    </xf>
    <xf borderId="0" fillId="0" fontId="36" numFmtId="0" xfId="0" applyFont="1"/>
    <xf borderId="2" fillId="7" fontId="19" numFmtId="0" xfId="0" applyAlignment="1" applyBorder="1" applyFont="1">
      <alignment horizontal="left" readingOrder="0" vertical="center"/>
    </xf>
    <xf borderId="2" fillId="8" fontId="37" numFmtId="0" xfId="0" applyAlignment="1" applyBorder="1" applyFont="1">
      <alignment horizontal="center" readingOrder="0" vertical="center"/>
    </xf>
    <xf borderId="2" fillId="0" fontId="37" numFmtId="0" xfId="0" applyAlignment="1" applyBorder="1" applyFont="1">
      <alignment horizontal="center" vertical="center"/>
    </xf>
    <xf quotePrefix="1" borderId="2" fillId="8" fontId="37" numFmtId="0" xfId="0" applyAlignment="1" applyBorder="1" applyFont="1">
      <alignment horizontal="center" vertical="center"/>
    </xf>
    <xf quotePrefix="1" borderId="2" fillId="8" fontId="37" numFmtId="164" xfId="0" applyAlignment="1" applyBorder="1" applyFont="1" applyNumberFormat="1">
      <alignment horizontal="center" vertical="center"/>
    </xf>
    <xf quotePrefix="1" borderId="2" fillId="8" fontId="37" numFmtId="0" xfId="0" applyAlignment="1" applyBorder="1" applyFont="1">
      <alignment horizontal="center" readingOrder="0" vertical="center"/>
    </xf>
    <xf quotePrefix="1" borderId="2" fillId="8" fontId="37" numFmtId="0" xfId="0" applyAlignment="1" applyBorder="1" applyFont="1">
      <alignment horizontal="left" readingOrder="0" vertical="center"/>
    </xf>
    <xf quotePrefix="1" borderId="2" fillId="8" fontId="37" numFmtId="0" xfId="0" applyAlignment="1" applyBorder="1" applyFont="1">
      <alignment readingOrder="0" vertical="center"/>
    </xf>
    <xf quotePrefix="1" borderId="2" fillId="8" fontId="37" numFmtId="0" xfId="0" applyAlignment="1" applyBorder="1" applyFont="1">
      <alignment horizontal="left" vertical="center"/>
    </xf>
    <xf borderId="2" fillId="8" fontId="37" numFmtId="0" xfId="0" applyAlignment="1" applyBorder="1" applyFont="1">
      <alignment horizontal="left" vertical="center"/>
    </xf>
    <xf borderId="2" fillId="8" fontId="37" numFmtId="0" xfId="0" applyAlignment="1" applyBorder="1" applyFont="1">
      <alignment vertical="center"/>
    </xf>
    <xf borderId="2" fillId="0" fontId="37" numFmtId="0" xfId="0" applyAlignment="1" applyBorder="1" applyFont="1">
      <alignment horizontal="left" readingOrder="0" shrinkToFit="0" vertical="center" wrapText="1"/>
    </xf>
    <xf borderId="2" fillId="0" fontId="37" numFmtId="0" xfId="0" applyBorder="1" applyFont="1"/>
    <xf borderId="2" fillId="0" fontId="37" numFmtId="0" xfId="0" applyAlignment="1" applyBorder="1" applyFont="1">
      <alignment readingOrder="0"/>
    </xf>
    <xf borderId="2" fillId="0" fontId="37" numFmtId="0" xfId="0" applyBorder="1" applyFont="1"/>
    <xf borderId="0" fillId="0" fontId="38" numFmtId="0" xfId="0" applyAlignment="1" applyFont="1">
      <alignment horizontal="left" readingOrder="0" shrinkToFit="0" vertical="bottom" wrapText="0"/>
    </xf>
    <xf borderId="0" fillId="0" fontId="37" numFmtId="0" xfId="0" applyFont="1"/>
    <xf quotePrefix="1" borderId="2" fillId="8" fontId="21" numFmtId="0" xfId="0" applyAlignment="1" applyBorder="1" applyFont="1">
      <alignment horizontal="center" readingOrder="0" vertical="center"/>
    </xf>
    <xf quotePrefix="1" borderId="2" fillId="8" fontId="21" numFmtId="0" xfId="0" applyAlignment="1" applyBorder="1" applyFont="1">
      <alignment readingOrder="0" vertical="center"/>
    </xf>
    <xf borderId="2" fillId="17" fontId="22" numFmtId="0" xfId="0" applyAlignment="1" applyBorder="1" applyFill="1" applyFont="1">
      <alignment horizontal="left" shrinkToFit="0" vertical="center" wrapText="1"/>
    </xf>
    <xf borderId="2" fillId="8" fontId="21" numFmtId="0" xfId="0" applyAlignment="1" applyBorder="1" applyFont="1">
      <alignment readingOrder="0" vertical="center"/>
    </xf>
    <xf quotePrefix="1" borderId="2" fillId="0" fontId="21" numFmtId="0" xfId="0" applyAlignment="1" applyBorder="1" applyFont="1">
      <alignment readingOrder="0"/>
    </xf>
    <xf quotePrefix="1" borderId="2" fillId="8" fontId="22" numFmtId="0" xfId="0" applyAlignment="1" applyBorder="1" applyFont="1">
      <alignment horizontal="center" readingOrder="0" vertical="center"/>
    </xf>
    <xf borderId="2" fillId="8" fontId="21" numFmtId="0" xfId="0" applyAlignment="1" applyBorder="1" applyFont="1">
      <alignment horizontal="left" readingOrder="0" vertical="center"/>
    </xf>
    <xf borderId="2" fillId="2" fontId="26" numFmtId="0" xfId="0" applyAlignment="1" applyBorder="1" applyFont="1">
      <alignment vertical="center"/>
    </xf>
    <xf quotePrefix="1" borderId="2" fillId="2" fontId="26" numFmtId="0" xfId="0" applyAlignment="1" applyBorder="1" applyFont="1">
      <alignment readingOrder="0" vertical="center"/>
    </xf>
    <xf quotePrefix="1" borderId="2" fillId="8" fontId="21" numFmtId="0" xfId="0" applyAlignment="1" applyBorder="1" applyFont="1">
      <alignment horizontal="left" readingOrder="0" vertical="center"/>
    </xf>
    <xf quotePrefix="1" borderId="2" fillId="8" fontId="22" numFmtId="0" xfId="0" applyAlignment="1" applyBorder="1" applyFont="1">
      <alignment readingOrder="0" vertical="center"/>
    </xf>
    <xf borderId="2" fillId="2" fontId="26" numFmtId="0" xfId="0" applyAlignment="1" applyBorder="1" applyFont="1">
      <alignment horizontal="center" readingOrder="0" vertical="center"/>
    </xf>
    <xf quotePrefix="1" borderId="2" fillId="2" fontId="26" numFmtId="0" xfId="0" applyAlignment="1" applyBorder="1" applyFont="1">
      <alignment horizontal="left" readingOrder="0" vertical="center"/>
    </xf>
    <xf borderId="2" fillId="2" fontId="26" numFmtId="0" xfId="0" applyAlignment="1" applyBorder="1" applyFont="1">
      <alignment horizontal="left" readingOrder="0" shrinkToFit="0" vertical="center" wrapText="1"/>
    </xf>
    <xf borderId="2" fillId="2" fontId="26" numFmtId="0" xfId="0" applyAlignment="1" applyBorder="1" applyFont="1">
      <alignment readingOrder="0"/>
    </xf>
    <xf borderId="2" fillId="2" fontId="26" numFmtId="0" xfId="0" applyBorder="1" applyFont="1"/>
    <xf borderId="0" fillId="2" fontId="25" numFmtId="0" xfId="0" applyAlignment="1" applyFont="1">
      <alignment shrinkToFit="0" vertical="bottom" wrapText="0"/>
    </xf>
    <xf borderId="0" fillId="2" fontId="26" numFmtId="0" xfId="0" applyFont="1"/>
    <xf borderId="2" fillId="9" fontId="19" numFmtId="0" xfId="0" applyAlignment="1" applyBorder="1" applyFont="1">
      <alignment horizontal="left" readingOrder="0" vertical="center"/>
    </xf>
    <xf borderId="2" fillId="2" fontId="26" numFmtId="0" xfId="0" applyBorder="1" applyFont="1"/>
    <xf borderId="2" fillId="2" fontId="22" numFmtId="0" xfId="0" applyAlignment="1" applyBorder="1" applyFont="1">
      <alignment horizontal="center" vertical="center"/>
    </xf>
    <xf quotePrefix="1" borderId="2" fillId="2" fontId="22" numFmtId="164" xfId="0" applyAlignment="1" applyBorder="1" applyFont="1" applyNumberFormat="1">
      <alignment horizontal="center" vertical="center"/>
    </xf>
    <xf borderId="2" fillId="2" fontId="22" numFmtId="0" xfId="0" applyAlignment="1" applyBorder="1" applyFont="1">
      <alignment vertical="center"/>
    </xf>
    <xf borderId="2" fillId="2" fontId="22" numFmtId="0" xfId="0" applyAlignment="1" applyBorder="1" applyFont="1">
      <alignment horizontal="left" shrinkToFit="0" vertical="center" wrapText="1"/>
    </xf>
    <xf borderId="2" fillId="2" fontId="22" numFmtId="0" xfId="0" applyBorder="1" applyFont="1"/>
    <xf borderId="0" fillId="2" fontId="32" numFmtId="0" xfId="0" applyAlignment="1" applyFont="1">
      <alignment horizontal="left" readingOrder="0" shrinkToFit="0" vertical="bottom" wrapText="0"/>
    </xf>
    <xf borderId="0" fillId="2" fontId="33" numFmtId="0" xfId="0" applyAlignment="1" applyFont="1">
      <alignment shrinkToFit="0" vertical="bottom" wrapText="0"/>
    </xf>
    <xf borderId="0" fillId="2" fontId="22" numFmtId="0" xfId="0" applyFont="1"/>
    <xf borderId="2" fillId="18" fontId="33" numFmtId="0" xfId="0" applyAlignment="1" applyBorder="1" applyFill="1" applyFont="1">
      <alignment horizontal="center"/>
    </xf>
    <xf borderId="3" fillId="18" fontId="33" numFmtId="0" xfId="0" applyAlignment="1" applyBorder="1" applyFont="1">
      <alignment horizontal="center"/>
    </xf>
    <xf quotePrefix="1" borderId="3" fillId="18" fontId="33" numFmtId="0" xfId="0" applyAlignment="1" applyBorder="1" applyFont="1">
      <alignment horizontal="center"/>
    </xf>
    <xf quotePrefix="1" borderId="3" fillId="18" fontId="33" numFmtId="164" xfId="0" applyAlignment="1" applyBorder="1" applyFont="1" applyNumberFormat="1">
      <alignment horizontal="center"/>
    </xf>
    <xf borderId="3" fillId="18" fontId="33" numFmtId="0" xfId="0" applyAlignment="1" applyBorder="1" applyFont="1">
      <alignment readingOrder="0"/>
    </xf>
    <xf quotePrefix="1" borderId="3" fillId="18" fontId="33" numFmtId="0" xfId="0" applyAlignment="1" applyBorder="1" applyFont="1">
      <alignment horizontal="center"/>
    </xf>
    <xf quotePrefix="1" borderId="3" fillId="18" fontId="33" numFmtId="0" xfId="0" applyBorder="1" applyFont="1"/>
    <xf quotePrefix="1" borderId="3" fillId="18" fontId="33" numFmtId="0" xfId="0" applyBorder="1" applyFont="1"/>
    <xf borderId="3" fillId="18" fontId="12" numFmtId="0" xfId="0" applyBorder="1" applyFont="1"/>
    <xf borderId="3" fillId="18" fontId="33" numFmtId="0" xfId="0" applyBorder="1" applyFont="1"/>
    <xf borderId="3" fillId="18" fontId="33" numFmtId="0" xfId="0" applyAlignment="1" applyBorder="1" applyFont="1">
      <alignment shrinkToFit="0" wrapText="1"/>
    </xf>
    <xf borderId="3" fillId="18" fontId="33" numFmtId="0" xfId="0" applyAlignment="1" applyBorder="1" applyFont="1">
      <alignment shrinkToFit="0" wrapText="1"/>
    </xf>
    <xf borderId="3" fillId="18" fontId="33" numFmtId="0" xfId="0" applyAlignment="1" applyBorder="1" applyFont="1">
      <alignment vertical="bottom"/>
    </xf>
    <xf borderId="3" fillId="18" fontId="12" numFmtId="0" xfId="0" applyAlignment="1" applyBorder="1" applyFont="1">
      <alignment vertical="bottom"/>
    </xf>
    <xf borderId="3" fillId="18" fontId="12" numFmtId="0" xfId="0" applyAlignment="1" applyBorder="1" applyFont="1">
      <alignment vertical="bottom"/>
    </xf>
    <xf borderId="0" fillId="18" fontId="12" numFmtId="0" xfId="0" applyAlignment="1" applyFont="1">
      <alignment vertical="bottom"/>
    </xf>
    <xf borderId="0" fillId="18" fontId="34" numFmtId="0" xfId="0" applyAlignment="1" applyFont="1">
      <alignment vertical="bottom"/>
    </xf>
    <xf borderId="0" fillId="18" fontId="12" numFmtId="0" xfId="0" applyAlignment="1" applyFont="1">
      <alignment vertical="bottom"/>
    </xf>
    <xf borderId="0" fillId="2" fontId="12" numFmtId="0" xfId="0" applyAlignment="1" applyFont="1">
      <alignment vertical="bottom"/>
    </xf>
    <xf quotePrefix="1" borderId="2" fillId="2" fontId="26" numFmtId="164" xfId="0" applyAlignment="1" applyBorder="1" applyFont="1" applyNumberFormat="1">
      <alignment horizontal="center" vertical="center"/>
    </xf>
    <xf borderId="2" fillId="2" fontId="26" numFmtId="0" xfId="0" applyAlignment="1" applyBorder="1" applyFont="1">
      <alignment horizontal="left" readingOrder="0" vertical="center"/>
    </xf>
    <xf borderId="2" fillId="2" fontId="26" numFmtId="0" xfId="0" applyAlignment="1" applyBorder="1" applyFont="1">
      <alignment horizontal="left" shrinkToFit="0" vertical="center" wrapText="1"/>
    </xf>
    <xf borderId="0" fillId="2" fontId="25" numFmtId="0" xfId="0" applyAlignment="1" applyFont="1">
      <alignment horizontal="left" readingOrder="0" shrinkToFit="0" vertical="bottom" wrapText="0"/>
    </xf>
    <xf borderId="2" fillId="2" fontId="26" numFmtId="0" xfId="0" applyAlignment="1" applyBorder="1" applyFont="1">
      <alignment readingOrder="0" vertical="center"/>
    </xf>
    <xf borderId="5" fillId="2" fontId="14" numFmtId="0" xfId="0" applyAlignment="1" applyBorder="1" applyFont="1">
      <alignment horizontal="left" readingOrder="0" shrinkToFit="0" wrapText="1"/>
    </xf>
    <xf borderId="2" fillId="2" fontId="22" numFmtId="0" xfId="0" applyAlignment="1" applyBorder="1" applyFont="1">
      <alignment readingOrder="0" vertical="center"/>
    </xf>
    <xf borderId="0" fillId="2" fontId="33" numFmtId="0" xfId="0" applyAlignment="1" applyFont="1">
      <alignment horizontal="left" readingOrder="0" shrinkToFit="0" vertical="bottom" wrapText="0"/>
    </xf>
    <xf quotePrefix="1" borderId="2" fillId="2" fontId="26" numFmtId="0" xfId="0" applyAlignment="1" applyBorder="1" applyFont="1">
      <alignment readingOrder="0"/>
    </xf>
    <xf borderId="2" fillId="15" fontId="26" numFmtId="0" xfId="0" applyAlignment="1" applyBorder="1" applyFont="1">
      <alignment horizontal="left" readingOrder="0" vertical="center"/>
    </xf>
    <xf borderId="2" fillId="15" fontId="26" numFmtId="0" xfId="0" applyAlignment="1" applyBorder="1" applyFont="1">
      <alignment horizontal="left" readingOrder="0" shrinkToFit="0" vertical="center" wrapText="1"/>
    </xf>
    <xf borderId="2" fillId="15" fontId="26" numFmtId="0" xfId="0" applyAlignment="1" applyBorder="1" applyFont="1">
      <alignment horizontal="left" shrinkToFit="0" vertical="center" wrapText="1"/>
    </xf>
    <xf borderId="2" fillId="15" fontId="26" numFmtId="0" xfId="0" applyBorder="1" applyFont="1"/>
    <xf borderId="2" fillId="15" fontId="26" numFmtId="0" xfId="0" applyBorder="1" applyFont="1"/>
    <xf borderId="2" fillId="15" fontId="26" numFmtId="0" xfId="0" applyAlignment="1" applyBorder="1" applyFont="1">
      <alignment readingOrder="0"/>
    </xf>
    <xf borderId="0" fillId="15" fontId="25" numFmtId="0" xfId="0" applyAlignment="1" applyFont="1">
      <alignment shrinkToFit="0" vertical="bottom" wrapText="0"/>
    </xf>
    <xf borderId="0" fillId="15" fontId="26" numFmtId="0" xfId="0" applyFont="1"/>
    <xf borderId="2" fillId="2" fontId="28" numFmtId="0" xfId="0" applyAlignment="1" applyBorder="1" applyFont="1">
      <alignment horizontal="center" readingOrder="0" vertical="center"/>
    </xf>
    <xf borderId="2" fillId="2" fontId="28" numFmtId="0" xfId="0" applyAlignment="1" applyBorder="1" applyFont="1">
      <alignment horizontal="center" vertical="center"/>
    </xf>
    <xf borderId="2" fillId="2" fontId="28" numFmtId="0" xfId="0" applyAlignment="1" applyBorder="1" applyFont="1">
      <alignment horizontal="left" readingOrder="0" vertical="center"/>
    </xf>
    <xf borderId="2" fillId="2" fontId="28" numFmtId="0" xfId="0" applyAlignment="1" applyBorder="1" applyFont="1">
      <alignment vertical="center"/>
    </xf>
    <xf borderId="2" fillId="2" fontId="28" numFmtId="0" xfId="0" applyAlignment="1" applyBorder="1" applyFont="1">
      <alignment horizontal="left" shrinkToFit="0" vertical="center" wrapText="1"/>
    </xf>
    <xf borderId="2" fillId="2" fontId="28" numFmtId="0" xfId="0" applyBorder="1" applyFont="1"/>
    <xf borderId="2" fillId="2" fontId="28" numFmtId="0" xfId="0" applyBorder="1" applyFont="1"/>
    <xf borderId="2" fillId="2" fontId="28" numFmtId="0" xfId="0" applyAlignment="1" applyBorder="1" applyFont="1">
      <alignment readingOrder="0"/>
    </xf>
    <xf borderId="0" fillId="2" fontId="29" numFmtId="0" xfId="0" applyAlignment="1" applyFont="1">
      <alignment shrinkToFit="0" vertical="bottom" wrapText="0"/>
    </xf>
    <xf borderId="0" fillId="2" fontId="30" numFmtId="0" xfId="0" applyAlignment="1" applyFont="1">
      <alignment shrinkToFit="0" vertical="bottom" wrapText="0"/>
    </xf>
    <xf borderId="0" fillId="2" fontId="28" numFmtId="0" xfId="0" applyFont="1"/>
    <xf quotePrefix="1" borderId="2" fillId="0" fontId="21" numFmtId="0" xfId="0" applyAlignment="1" applyBorder="1" applyFont="1">
      <alignment horizontal="center" readingOrder="0" vertical="center"/>
    </xf>
    <xf quotePrefix="1" borderId="2" fillId="0" fontId="26" numFmtId="0" xfId="0" applyAlignment="1" applyBorder="1" applyFont="1">
      <alignment horizontal="center" readingOrder="0" vertical="center"/>
    </xf>
    <xf quotePrefix="1" borderId="2" fillId="0" fontId="22" numFmtId="0" xfId="0" applyAlignment="1" applyBorder="1" applyFont="1">
      <alignment horizontal="center" readingOrder="0" vertical="center"/>
    </xf>
    <xf borderId="3" fillId="18" fontId="12" numFmtId="0" xfId="0" applyAlignment="1" applyBorder="1" applyFont="1">
      <alignment readingOrder="0"/>
    </xf>
    <xf borderId="2" fillId="18" fontId="22" numFmtId="0" xfId="0" applyAlignment="1" applyBorder="1" applyFont="1">
      <alignment horizontal="left" shrinkToFit="0" vertical="center" wrapText="1"/>
    </xf>
    <xf borderId="0" fillId="18" fontId="39" numFmtId="0" xfId="0" applyAlignment="1" applyFont="1">
      <alignment readingOrder="0" vertical="bottom"/>
    </xf>
    <xf borderId="4" fillId="18" fontId="33" numFmtId="0" xfId="0" applyAlignment="1" applyBorder="1" applyFont="1">
      <alignment horizontal="center"/>
    </xf>
    <xf borderId="5" fillId="18" fontId="33" numFmtId="0" xfId="0" applyAlignment="1" applyBorder="1" applyFont="1">
      <alignment horizontal="center"/>
    </xf>
    <xf quotePrefix="1" borderId="5" fillId="18" fontId="33" numFmtId="0" xfId="0" applyAlignment="1" applyBorder="1" applyFont="1">
      <alignment horizontal="center"/>
    </xf>
    <xf quotePrefix="1" borderId="5" fillId="18" fontId="33" numFmtId="164" xfId="0" applyAlignment="1" applyBorder="1" applyFont="1" applyNumberFormat="1">
      <alignment horizontal="center"/>
    </xf>
    <xf quotePrefix="1" borderId="5" fillId="18" fontId="33" numFmtId="0" xfId="0" applyAlignment="1" applyBorder="1" applyFont="1">
      <alignment horizontal="center"/>
    </xf>
    <xf borderId="5" fillId="18" fontId="33" numFmtId="0" xfId="0" applyAlignment="1" applyBorder="1" applyFont="1">
      <alignment readingOrder="0"/>
    </xf>
    <xf borderId="5" fillId="18" fontId="12" numFmtId="0" xfId="0" applyBorder="1" applyFont="1"/>
    <xf borderId="5" fillId="18" fontId="33" numFmtId="0" xfId="0" applyBorder="1" applyFont="1"/>
    <xf borderId="5" fillId="18" fontId="33" numFmtId="0" xfId="0" applyAlignment="1" applyBorder="1" applyFont="1">
      <alignment shrinkToFit="0" wrapText="1"/>
    </xf>
    <xf borderId="5" fillId="18" fontId="12" numFmtId="0" xfId="0" applyAlignment="1" applyBorder="1" applyFont="1">
      <alignment vertical="bottom"/>
    </xf>
    <xf borderId="5" fillId="18" fontId="12" numFmtId="0" xfId="0" applyAlignment="1" applyBorder="1" applyFont="1">
      <alignment vertical="bottom"/>
    </xf>
    <xf borderId="5" fillId="2" fontId="14" numFmtId="0" xfId="0" applyAlignment="1" applyBorder="1" applyFont="1">
      <alignment horizontal="left" readingOrder="0"/>
    </xf>
    <xf borderId="2" fillId="16" fontId="22" numFmtId="0" xfId="0" applyAlignment="1" applyBorder="1" applyFont="1">
      <alignment readingOrder="0"/>
    </xf>
    <xf borderId="2" fillId="16" fontId="22" numFmtId="0" xfId="0" applyBorder="1" applyFont="1"/>
    <xf borderId="0" fillId="16" fontId="32" numFmtId="0" xfId="0" applyAlignment="1" applyFont="1">
      <alignment horizontal="left" readingOrder="0" shrinkToFit="0" vertical="bottom" wrapText="0"/>
    </xf>
    <xf borderId="2" fillId="2" fontId="33" numFmtId="0" xfId="0" applyAlignment="1" applyBorder="1" applyFont="1">
      <alignment horizontal="left" readingOrder="0" shrinkToFit="0" wrapText="0"/>
    </xf>
    <xf borderId="0" fillId="0" fontId="2" numFmtId="0" xfId="0" applyAlignment="1" applyFont="1">
      <alignment readingOrder="0"/>
    </xf>
    <xf quotePrefix="1" borderId="2" fillId="15" fontId="26" numFmtId="0" xfId="0" applyAlignment="1" applyBorder="1" applyFont="1">
      <alignment readingOrder="0" vertical="center"/>
    </xf>
    <xf borderId="2" fillId="15" fontId="22" numFmtId="0" xfId="0" applyAlignment="1" applyBorder="1" applyFont="1">
      <alignment readingOrder="0" vertical="center"/>
    </xf>
    <xf borderId="2" fillId="15" fontId="22" numFmtId="0" xfId="0" applyAlignment="1" applyBorder="1" applyFont="1">
      <alignment horizontal="left" shrinkToFit="0" vertical="center" wrapText="1"/>
    </xf>
    <xf borderId="2" fillId="2" fontId="40" numFmtId="0" xfId="0" applyAlignment="1" applyBorder="1" applyFont="1">
      <alignment horizontal="center" readingOrder="0" vertical="center"/>
    </xf>
    <xf borderId="2" fillId="2" fontId="40" numFmtId="0" xfId="0" applyAlignment="1" applyBorder="1" applyFont="1">
      <alignment horizontal="center" vertical="center"/>
    </xf>
    <xf quotePrefix="1" borderId="2" fillId="2" fontId="40" numFmtId="0" xfId="0" applyAlignment="1" applyBorder="1" applyFont="1">
      <alignment horizontal="center" vertical="center"/>
    </xf>
    <xf quotePrefix="1" borderId="2" fillId="2" fontId="40" numFmtId="164" xfId="0" applyAlignment="1" applyBorder="1" applyFont="1" applyNumberFormat="1">
      <alignment horizontal="center" vertical="center"/>
    </xf>
    <xf quotePrefix="1" borderId="2" fillId="2" fontId="40" numFmtId="0" xfId="0" applyAlignment="1" applyBorder="1" applyFont="1">
      <alignment horizontal="center" readingOrder="0" vertical="center"/>
    </xf>
    <xf borderId="2" fillId="2" fontId="40" numFmtId="0" xfId="0" applyAlignment="1" applyBorder="1" applyFont="1">
      <alignment horizontal="left" vertical="center"/>
    </xf>
    <xf borderId="2" fillId="2" fontId="40" numFmtId="0" xfId="0" applyAlignment="1" applyBorder="1" applyFont="1">
      <alignment readingOrder="0" vertical="center"/>
    </xf>
    <xf borderId="2" fillId="2" fontId="40" numFmtId="0" xfId="0" applyAlignment="1" applyBorder="1" applyFont="1">
      <alignment vertical="center"/>
    </xf>
    <xf borderId="2" fillId="8" fontId="40" numFmtId="0" xfId="0" applyAlignment="1" applyBorder="1" applyFont="1">
      <alignment vertical="center"/>
    </xf>
    <xf borderId="2" fillId="2" fontId="40" numFmtId="0" xfId="0" applyAlignment="1" applyBorder="1" applyFont="1">
      <alignment horizontal="left" shrinkToFit="0" vertical="center" wrapText="1"/>
    </xf>
    <xf borderId="2" fillId="2" fontId="40" numFmtId="0" xfId="0" applyBorder="1" applyFont="1"/>
    <xf borderId="2" fillId="2" fontId="40" numFmtId="0" xfId="0" applyBorder="1" applyFont="1"/>
    <xf borderId="0" fillId="2" fontId="41" numFmtId="0" xfId="0" applyAlignment="1" applyFont="1">
      <alignment shrinkToFit="0" vertical="bottom" wrapText="0"/>
    </xf>
    <xf borderId="0" fillId="2" fontId="42" numFmtId="0" xfId="0" applyAlignment="1" applyFont="1">
      <alignment shrinkToFit="0" vertical="bottom" wrapText="0"/>
    </xf>
    <xf borderId="0" fillId="2" fontId="40" numFmtId="0" xfId="0" applyFont="1"/>
    <xf borderId="0" fillId="2" fontId="40" numFmtId="0" xfId="0" applyAlignment="1" applyFont="1">
      <alignment readingOrder="0"/>
    </xf>
    <xf borderId="2" fillId="15" fontId="26" numFmtId="0" xfId="0" applyAlignment="1" applyBorder="1" applyFont="1">
      <alignment readingOrder="0" vertical="center"/>
    </xf>
    <xf borderId="2" fillId="15" fontId="22" numFmtId="0" xfId="0" applyBorder="1" applyFont="1"/>
    <xf quotePrefix="1" borderId="2" fillId="2" fontId="28" numFmtId="0" xfId="0" applyAlignment="1" applyBorder="1" applyFont="1">
      <alignment horizontal="center" readingOrder="0" vertical="center"/>
    </xf>
    <xf borderId="2" fillId="2" fontId="40" numFmtId="0" xfId="0" applyAlignment="1" applyBorder="1" applyFont="1">
      <alignment horizontal="left" readingOrder="0" vertical="center"/>
    </xf>
    <xf borderId="2" fillId="2" fontId="22" numFmtId="165" xfId="0" applyAlignment="1" applyBorder="1" applyFont="1" applyNumberFormat="1">
      <alignment horizontal="left" readingOrder="0" vertical="center"/>
    </xf>
    <xf borderId="2" fillId="2" fontId="22" numFmtId="165" xfId="0" applyAlignment="1" applyBorder="1" applyFont="1" applyNumberFormat="1">
      <alignment horizontal="left" shrinkToFit="0" vertical="center" wrapText="1"/>
    </xf>
    <xf borderId="2" fillId="15" fontId="22" numFmtId="165" xfId="0" applyAlignment="1" applyBorder="1" applyFont="1" applyNumberFormat="1">
      <alignment horizontal="left" readingOrder="0" vertical="center"/>
    </xf>
    <xf borderId="5" fillId="15" fontId="14" numFmtId="0" xfId="0" applyAlignment="1" applyBorder="1" applyFont="1">
      <alignment horizontal="left" readingOrder="0"/>
    </xf>
    <xf borderId="5" fillId="15" fontId="14" numFmtId="0" xfId="0" applyAlignment="1" applyBorder="1" applyFont="1">
      <alignment horizontal="left" readingOrder="0" shrinkToFit="0" wrapText="1"/>
    </xf>
    <xf borderId="0" fillId="2" fontId="26" numFmtId="0" xfId="0" applyAlignment="1" applyFont="1">
      <alignment readingOrder="0"/>
    </xf>
    <xf quotePrefix="1" borderId="2" fillId="15" fontId="26" numFmtId="0" xfId="0" applyAlignment="1" applyBorder="1" applyFont="1">
      <alignment horizontal="left" readingOrder="0" vertical="center"/>
    </xf>
    <xf borderId="2" fillId="2" fontId="40" numFmtId="165" xfId="0" applyAlignment="1" applyBorder="1" applyFont="1" applyNumberFormat="1">
      <alignment horizontal="left" readingOrder="0" vertical="center"/>
    </xf>
    <xf borderId="0" fillId="0" fontId="43" numFmtId="0" xfId="0" applyAlignment="1" applyFont="1">
      <alignment horizontal="left" readingOrder="0" vertical="bottom"/>
    </xf>
    <xf borderId="0" fillId="2" fontId="36" numFmtId="0" xfId="0" applyFont="1"/>
    <xf borderId="0" fillId="2" fontId="36" numFmtId="0" xfId="0" applyAlignment="1" applyFont="1">
      <alignment readingOrder="0"/>
    </xf>
    <xf borderId="2" fillId="9" fontId="26" numFmtId="0" xfId="0" applyAlignment="1" applyBorder="1" applyFont="1">
      <alignment vertical="center"/>
    </xf>
    <xf borderId="2" fillId="9" fontId="26" numFmtId="0" xfId="0" applyAlignment="1" applyBorder="1" applyFont="1">
      <alignment horizontal="center" vertical="center"/>
    </xf>
    <xf borderId="2" fillId="9" fontId="26" numFmtId="0" xfId="0" applyAlignment="1" applyBorder="1" applyFont="1">
      <alignment horizontal="left" vertical="center"/>
    </xf>
    <xf borderId="2" fillId="2" fontId="26" numFmtId="0" xfId="0" applyAlignment="1" applyBorder="1" applyFont="1">
      <alignment horizontal="center"/>
    </xf>
    <xf borderId="3" fillId="2" fontId="26" numFmtId="0" xfId="0" applyAlignment="1" applyBorder="1" applyFont="1">
      <alignment horizontal="center"/>
    </xf>
    <xf quotePrefix="1" borderId="3" fillId="2" fontId="26" numFmtId="0" xfId="0" applyAlignment="1" applyBorder="1" applyFont="1">
      <alignment horizontal="center"/>
    </xf>
    <xf quotePrefix="1" borderId="3" fillId="2" fontId="26" numFmtId="164" xfId="0" applyAlignment="1" applyBorder="1" applyFont="1" applyNumberFormat="1">
      <alignment horizontal="center"/>
    </xf>
    <xf quotePrefix="1" borderId="3" fillId="2" fontId="26" numFmtId="0" xfId="0" applyAlignment="1" applyBorder="1" applyFont="1">
      <alignment horizontal="center"/>
    </xf>
    <xf borderId="3" fillId="2" fontId="22" numFmtId="0" xfId="0" applyAlignment="1" applyBorder="1" applyFont="1">
      <alignment readingOrder="0"/>
    </xf>
    <xf borderId="3" fillId="2" fontId="26" numFmtId="0" xfId="0" applyBorder="1" applyFont="1"/>
    <xf borderId="3" fillId="2" fontId="26" numFmtId="0" xfId="0" applyAlignment="1" applyBorder="1" applyFont="1">
      <alignment readingOrder="0"/>
    </xf>
    <xf borderId="3" fillId="0" fontId="26" numFmtId="0" xfId="0" applyAlignment="1" applyBorder="1" applyFont="1">
      <alignment shrinkToFit="0" wrapText="1"/>
    </xf>
    <xf borderId="3" fillId="2" fontId="26" numFmtId="0" xfId="0" applyAlignment="1" applyBorder="1" applyFont="1">
      <alignment shrinkToFit="0" wrapText="1"/>
    </xf>
    <xf borderId="3" fillId="2" fontId="26" numFmtId="0" xfId="0" applyAlignment="1" applyBorder="1" applyFont="1">
      <alignment vertical="bottom"/>
    </xf>
    <xf borderId="3" fillId="2" fontId="44" numFmtId="0" xfId="0" applyAlignment="1" applyBorder="1" applyFont="1">
      <alignment vertical="bottom"/>
    </xf>
    <xf borderId="8" fillId="2" fontId="26" numFmtId="0" xfId="0" applyAlignment="1" applyBorder="1" applyFont="1">
      <alignment shrinkToFit="0" vertical="bottom" wrapText="0"/>
    </xf>
    <xf borderId="0" fillId="2" fontId="45" numFmtId="0" xfId="0" applyAlignment="1" applyFont="1">
      <alignment shrinkToFit="0" vertical="bottom" wrapText="0"/>
    </xf>
    <xf borderId="0" fillId="2" fontId="44" numFmtId="0" xfId="0" applyAlignment="1" applyFont="1">
      <alignment vertical="bottom"/>
    </xf>
    <xf borderId="2" fillId="2" fontId="22" numFmtId="0" xfId="0" applyAlignment="1" applyBorder="1" applyFont="1">
      <alignment horizontal="center"/>
    </xf>
    <xf borderId="3" fillId="2" fontId="22" numFmtId="0" xfId="0" applyAlignment="1" applyBorder="1" applyFont="1">
      <alignment horizontal="center"/>
    </xf>
    <xf quotePrefix="1" borderId="3" fillId="2" fontId="22" numFmtId="0" xfId="0" applyAlignment="1" applyBorder="1" applyFont="1">
      <alignment horizontal="center"/>
    </xf>
    <xf quotePrefix="1" borderId="3" fillId="2" fontId="22" numFmtId="164" xfId="0" applyAlignment="1" applyBorder="1" applyFont="1" applyNumberFormat="1">
      <alignment horizontal="center"/>
    </xf>
    <xf quotePrefix="1" borderId="3" fillId="2" fontId="22" numFmtId="0" xfId="0" applyAlignment="1" applyBorder="1" applyFont="1">
      <alignment horizontal="center"/>
    </xf>
    <xf borderId="3" fillId="2" fontId="22" numFmtId="0" xfId="0" applyBorder="1" applyFont="1"/>
    <xf borderId="3" fillId="0" fontId="22" numFmtId="0" xfId="0" applyAlignment="1" applyBorder="1" applyFont="1">
      <alignment shrinkToFit="0" wrapText="1"/>
    </xf>
    <xf borderId="3" fillId="2" fontId="22" numFmtId="0" xfId="0" applyAlignment="1" applyBorder="1" applyFont="1">
      <alignment shrinkToFit="0" wrapText="1"/>
    </xf>
    <xf borderId="3" fillId="2" fontId="22" numFmtId="0" xfId="0" applyAlignment="1" applyBorder="1" applyFont="1">
      <alignment vertical="bottom"/>
    </xf>
    <xf borderId="3" fillId="2" fontId="46" numFmtId="0" xfId="0" applyAlignment="1" applyBorder="1" applyFont="1">
      <alignment vertical="bottom"/>
    </xf>
    <xf borderId="8" fillId="2" fontId="22" numFmtId="0" xfId="0" applyAlignment="1" applyBorder="1" applyFont="1">
      <alignment shrinkToFit="0" vertical="bottom" wrapText="0"/>
    </xf>
    <xf borderId="0" fillId="2" fontId="46" numFmtId="0" xfId="0" applyAlignment="1" applyFont="1">
      <alignment horizontal="left" readingOrder="0" shrinkToFit="0" vertical="bottom" wrapText="0"/>
    </xf>
    <xf borderId="0" fillId="2" fontId="47" numFmtId="0" xfId="0" applyAlignment="1" applyFont="1">
      <alignment shrinkToFit="0" vertical="bottom" wrapText="0"/>
    </xf>
    <xf borderId="0" fillId="2" fontId="46" numFmtId="0" xfId="0" applyAlignment="1" applyFont="1">
      <alignment vertical="bottom"/>
    </xf>
    <xf borderId="2" fillId="2" fontId="26" numFmtId="164" xfId="0" applyAlignment="1" applyBorder="1" applyFont="1" applyNumberFormat="1">
      <alignment horizontal="center" vertical="center"/>
    </xf>
    <xf quotePrefix="1" borderId="2" fillId="2" fontId="22" numFmtId="0" xfId="0" applyAlignment="1" applyBorder="1" applyFont="1">
      <alignment readingOrder="0"/>
    </xf>
    <xf borderId="4" fillId="0" fontId="17" numFmtId="0" xfId="0" applyAlignment="1" applyBorder="1" applyFont="1">
      <alignment horizontal="left" readingOrder="0"/>
    </xf>
    <xf borderId="2" fillId="2" fontId="26" numFmtId="0" xfId="0" applyAlignment="1" applyBorder="1" applyFont="1">
      <alignment vertical="bottom"/>
    </xf>
    <xf borderId="2" fillId="2" fontId="26" numFmtId="0" xfId="0" applyAlignment="1" applyBorder="1" applyFont="1">
      <alignment vertical="bottom"/>
    </xf>
    <xf borderId="2" fillId="2" fontId="26" numFmtId="165" xfId="0" applyAlignment="1" applyBorder="1" applyFont="1" applyNumberFormat="1">
      <alignment horizontal="left" vertical="center"/>
    </xf>
    <xf borderId="2" fillId="2" fontId="26" numFmtId="165" xfId="0" applyAlignment="1" applyBorder="1" applyFont="1" applyNumberFormat="1">
      <alignment horizontal="left" shrinkToFit="0" vertical="center" wrapText="1"/>
    </xf>
    <xf borderId="2" fillId="0" fontId="48" numFmtId="0" xfId="0" applyAlignment="1" applyBorder="1" applyFont="1">
      <alignment horizontal="left" shrinkToFit="0" vertical="center" wrapText="1"/>
    </xf>
    <xf quotePrefix="1" borderId="2" fillId="0" fontId="26" numFmtId="0" xfId="0" applyAlignment="1" applyBorder="1" applyFont="1">
      <alignment horizontal="center" vertical="center"/>
    </xf>
    <xf quotePrefix="1" borderId="2" fillId="15" fontId="21" numFmtId="0" xfId="0" applyAlignment="1" applyBorder="1" applyFont="1">
      <alignment horizontal="center" readingOrder="0" vertical="center"/>
    </xf>
    <xf borderId="0" fillId="15" fontId="2" numFmtId="0" xfId="0" applyAlignment="1" applyFont="1">
      <alignment readingOrder="0"/>
    </xf>
    <xf borderId="2" fillId="15" fontId="21" numFmtId="0" xfId="0" applyBorder="1" applyFont="1"/>
    <xf borderId="0" fillId="0" fontId="49" numFmtId="0" xfId="0" applyFont="1"/>
    <xf quotePrefix="1" borderId="2" fillId="2" fontId="21" numFmtId="0" xfId="0" applyAlignment="1" applyBorder="1" applyFont="1">
      <alignment horizontal="left" readingOrder="0" vertical="center"/>
    </xf>
    <xf borderId="2" fillId="2" fontId="21" numFmtId="0" xfId="0" applyAlignment="1" applyBorder="1" applyFont="1">
      <alignment horizontal="left" readingOrder="0" shrinkToFit="0" vertical="center" wrapText="1"/>
    </xf>
    <xf borderId="2" fillId="2" fontId="21" numFmtId="0" xfId="0" applyBorder="1" applyFont="1"/>
    <xf borderId="0" fillId="2" fontId="2" numFmtId="0" xfId="0" applyFont="1"/>
    <xf quotePrefix="1" borderId="2" fillId="2" fontId="27" numFmtId="0" xfId="0" applyAlignment="1" applyBorder="1" applyFont="1">
      <alignment horizontal="center" readingOrder="0" vertical="center"/>
    </xf>
    <xf borderId="2" fillId="2" fontId="27" numFmtId="0" xfId="0" applyAlignment="1" applyBorder="1" applyFont="1">
      <alignment horizontal="left" shrinkToFit="0" vertical="center" wrapText="1"/>
    </xf>
    <xf borderId="2" fillId="2" fontId="27" numFmtId="0" xfId="0" applyBorder="1" applyFont="1"/>
    <xf borderId="2" fillId="2" fontId="27" numFmtId="0" xfId="0" applyBorder="1" applyFont="1"/>
    <xf borderId="2" fillId="2" fontId="27" numFmtId="0" xfId="0" applyAlignment="1" applyBorder="1" applyFont="1">
      <alignment readingOrder="0"/>
    </xf>
    <xf borderId="0" fillId="2" fontId="27" numFmtId="0" xfId="0" applyFont="1"/>
    <xf borderId="2" fillId="18" fontId="21" numFmtId="0" xfId="0" applyAlignment="1" applyBorder="1" applyFont="1">
      <alignment horizontal="left" readingOrder="0" shrinkToFit="0" vertical="center" wrapText="1"/>
    </xf>
    <xf borderId="0" fillId="0" fontId="50" numFmtId="0" xfId="0" applyAlignment="1" applyFont="1">
      <alignment horizontal="left" readingOrder="0" shrinkToFit="0" vertical="bottom" wrapText="0"/>
    </xf>
    <xf borderId="2" fillId="7" fontId="26" numFmtId="0" xfId="0" applyAlignment="1" applyBorder="1" applyFont="1">
      <alignment horizontal="center" vertical="center"/>
    </xf>
    <xf borderId="2" fillId="7" fontId="26" numFmtId="0" xfId="0" applyAlignment="1" applyBorder="1" applyFont="1">
      <alignment horizontal="left" vertical="center"/>
    </xf>
    <xf borderId="2" fillId="19" fontId="21" numFmtId="0" xfId="0" applyAlignment="1" applyBorder="1" applyFill="1" applyFont="1">
      <alignment vertical="bottom"/>
    </xf>
    <xf borderId="2" fillId="7" fontId="51" numFmtId="0" xfId="0" applyAlignment="1" applyBorder="1" applyFont="1">
      <alignment horizontal="left" vertical="center"/>
    </xf>
    <xf borderId="2" fillId="19" fontId="21" numFmtId="0" xfId="0" applyAlignment="1" applyBorder="1" applyFont="1">
      <alignment vertical="bottom"/>
    </xf>
    <xf borderId="2" fillId="19" fontId="21" numFmtId="0" xfId="0" applyAlignment="1" applyBorder="1" applyFont="1">
      <alignment readingOrder="0" vertical="bottom"/>
    </xf>
    <xf borderId="2" fillId="15" fontId="21" numFmtId="0" xfId="0" applyAlignment="1" applyBorder="1" applyFont="1">
      <alignment vertical="bottom"/>
    </xf>
    <xf borderId="2" fillId="19" fontId="27" numFmtId="0" xfId="0" applyAlignment="1" applyBorder="1" applyFont="1">
      <alignment vertical="bottom"/>
    </xf>
    <xf borderId="2" fillId="2" fontId="22" numFmtId="0" xfId="0" applyAlignment="1" applyBorder="1" applyFont="1">
      <alignment horizontal="left" readingOrder="0" shrinkToFit="0" vertical="center" wrapText="1"/>
    </xf>
    <xf borderId="2" fillId="2" fontId="22" numFmtId="0" xfId="0" applyAlignment="1" applyBorder="1" applyFont="1">
      <alignment vertical="bottom"/>
    </xf>
    <xf quotePrefix="1" borderId="2" fillId="2" fontId="22" numFmtId="0" xfId="0" applyAlignment="1" applyBorder="1" applyFont="1">
      <alignment horizontal="left" readingOrder="0" vertical="center"/>
    </xf>
    <xf borderId="2" fillId="20" fontId="21" numFmtId="0" xfId="0" applyAlignment="1" applyBorder="1" applyFill="1" applyFont="1">
      <alignment horizontal="center" readingOrder="0" vertical="center"/>
    </xf>
    <xf borderId="2" fillId="20" fontId="21" numFmtId="0" xfId="0" applyAlignment="1" applyBorder="1" applyFont="1">
      <alignment horizontal="center" vertical="center"/>
    </xf>
    <xf quotePrefix="1" borderId="2" fillId="20" fontId="21" numFmtId="0" xfId="0" applyAlignment="1" applyBorder="1" applyFont="1">
      <alignment horizontal="center" vertical="center"/>
    </xf>
    <xf quotePrefix="1" borderId="2" fillId="20" fontId="21" numFmtId="164" xfId="0" applyAlignment="1" applyBorder="1" applyFont="1" applyNumberFormat="1">
      <alignment horizontal="center" vertical="center"/>
    </xf>
    <xf borderId="2" fillId="20" fontId="21" numFmtId="0" xfId="0" applyAlignment="1" applyBorder="1" applyFont="1">
      <alignment horizontal="left" readingOrder="0" vertical="center"/>
    </xf>
    <xf borderId="2" fillId="20" fontId="26" numFmtId="0" xfId="0" applyAlignment="1" applyBorder="1" applyFont="1">
      <alignment vertical="center"/>
    </xf>
    <xf quotePrefix="1" borderId="2" fillId="20" fontId="26" numFmtId="164" xfId="0" applyAlignment="1" applyBorder="1" applyFont="1" applyNumberFormat="1">
      <alignment horizontal="center" vertical="center"/>
    </xf>
    <xf quotePrefix="1" borderId="2" fillId="20" fontId="26" numFmtId="0" xfId="0" applyAlignment="1" applyBorder="1" applyFont="1">
      <alignment horizontal="center" vertical="center"/>
    </xf>
    <xf quotePrefix="1" borderId="2" fillId="20" fontId="26" numFmtId="0" xfId="0" applyAlignment="1" applyBorder="1" applyFont="1">
      <alignment horizontal="center" readingOrder="0" vertical="center"/>
    </xf>
    <xf borderId="2" fillId="20" fontId="26" numFmtId="0" xfId="0" applyAlignment="1" applyBorder="1" applyFont="1">
      <alignment horizontal="left" vertical="center"/>
    </xf>
    <xf borderId="2" fillId="20" fontId="21" numFmtId="0" xfId="0" applyAlignment="1" applyBorder="1" applyFont="1">
      <alignment vertical="center"/>
    </xf>
    <xf borderId="2" fillId="20" fontId="21" numFmtId="0" xfId="0" applyAlignment="1" applyBorder="1" applyFont="1">
      <alignment horizontal="left" readingOrder="0" shrinkToFit="0" vertical="center" wrapText="1"/>
    </xf>
    <xf borderId="2" fillId="20" fontId="21" numFmtId="0" xfId="0" applyAlignment="1" applyBorder="1" applyFont="1">
      <alignment horizontal="left" shrinkToFit="0" vertical="center" wrapText="1"/>
    </xf>
    <xf borderId="2" fillId="20" fontId="21" numFmtId="0" xfId="0" applyBorder="1" applyFont="1"/>
    <xf borderId="2" fillId="20" fontId="21" numFmtId="0" xfId="0" applyBorder="1" applyFont="1"/>
    <xf borderId="2" fillId="20" fontId="21" numFmtId="0" xfId="0" applyAlignment="1" applyBorder="1" applyFont="1">
      <alignment readingOrder="0"/>
    </xf>
    <xf borderId="0" fillId="20" fontId="24" numFmtId="0" xfId="0" applyAlignment="1" applyFont="1">
      <alignment horizontal="left" readingOrder="0" shrinkToFit="0" vertical="bottom" wrapText="0"/>
    </xf>
    <xf borderId="0" fillId="20" fontId="25" numFmtId="0" xfId="0" applyAlignment="1" applyFont="1">
      <alignment shrinkToFit="0" vertical="bottom" wrapText="0"/>
    </xf>
    <xf borderId="0" fillId="20" fontId="21" numFmtId="0" xfId="0" applyFont="1"/>
    <xf borderId="2" fillId="16" fontId="21" numFmtId="0" xfId="0" applyAlignment="1" applyBorder="1" applyFont="1">
      <alignment horizontal="left" readingOrder="0" vertical="center"/>
    </xf>
    <xf quotePrefix="1" borderId="2" fillId="16" fontId="26" numFmtId="0" xfId="0" applyAlignment="1" applyBorder="1" applyFont="1">
      <alignment horizontal="center" vertical="center"/>
    </xf>
    <xf quotePrefix="1" borderId="2" fillId="16" fontId="26" numFmtId="164" xfId="0" applyAlignment="1" applyBorder="1" applyFont="1" applyNumberFormat="1">
      <alignment horizontal="center" vertical="center"/>
    </xf>
    <xf borderId="2" fillId="16" fontId="26" numFmtId="0" xfId="0" applyAlignment="1" applyBorder="1" applyFont="1">
      <alignment horizontal="left" vertical="center"/>
    </xf>
    <xf borderId="2" fillId="16" fontId="21" numFmtId="0" xfId="0" applyAlignment="1" applyBorder="1" applyFont="1">
      <alignment vertical="bottom"/>
    </xf>
    <xf borderId="0" fillId="16" fontId="24" numFmtId="0" xfId="0" applyAlignment="1" applyFont="1">
      <alignment shrinkToFit="0" vertical="bottom" wrapText="0"/>
    </xf>
    <xf borderId="0" fillId="16" fontId="25" numFmtId="0" xfId="0" applyAlignment="1" applyFont="1">
      <alignment shrinkToFit="0" vertical="bottom" wrapText="0"/>
    </xf>
    <xf quotePrefix="1" borderId="2" fillId="16" fontId="21" numFmtId="0" xfId="0" applyAlignment="1" applyBorder="1" applyFont="1">
      <alignment horizontal="center" readingOrder="0" vertical="center"/>
    </xf>
    <xf quotePrefix="1" borderId="2" fillId="16" fontId="26" numFmtId="0" xfId="0" applyAlignment="1" applyBorder="1" applyFont="1">
      <alignment horizontal="left" readingOrder="0" vertical="center"/>
    </xf>
    <xf borderId="2" fillId="16" fontId="21" numFmtId="0" xfId="0" applyBorder="1" applyFont="1"/>
    <xf borderId="2" fillId="16" fontId="26" numFmtId="0" xfId="0" applyAlignment="1" applyBorder="1" applyFont="1">
      <alignment vertical="center"/>
    </xf>
    <xf borderId="0" fillId="16" fontId="2" numFmtId="0" xfId="0" applyFont="1"/>
    <xf borderId="2" fillId="21" fontId="21" numFmtId="0" xfId="0" applyAlignment="1" applyBorder="1" applyFill="1" applyFont="1">
      <alignment horizontal="center" readingOrder="0" vertical="center"/>
    </xf>
    <xf borderId="2" fillId="21" fontId="21" numFmtId="0" xfId="0" applyAlignment="1" applyBorder="1" applyFont="1">
      <alignment horizontal="center" vertical="center"/>
    </xf>
    <xf quotePrefix="1" borderId="2" fillId="21" fontId="21" numFmtId="0" xfId="0" applyAlignment="1" applyBorder="1" applyFont="1">
      <alignment horizontal="center" vertical="center"/>
    </xf>
    <xf quotePrefix="1" borderId="2" fillId="21" fontId="21" numFmtId="164" xfId="0" applyAlignment="1" applyBorder="1" applyFont="1" applyNumberFormat="1">
      <alignment horizontal="center" vertical="center"/>
    </xf>
    <xf quotePrefix="1" borderId="2" fillId="21" fontId="21" numFmtId="0" xfId="0" applyAlignment="1" applyBorder="1" applyFont="1">
      <alignment horizontal="center" readingOrder="0" vertical="center"/>
    </xf>
    <xf borderId="2" fillId="21" fontId="21" numFmtId="0" xfId="0" applyAlignment="1" applyBorder="1" applyFont="1">
      <alignment horizontal="left" vertical="center"/>
    </xf>
    <xf quotePrefix="1" borderId="2" fillId="21" fontId="26" numFmtId="0" xfId="0" applyAlignment="1" applyBorder="1" applyFont="1">
      <alignment horizontal="left" vertical="center"/>
    </xf>
    <xf quotePrefix="1" borderId="2" fillId="21" fontId="26" numFmtId="164" xfId="0" applyAlignment="1" applyBorder="1" applyFont="1" applyNumberFormat="1">
      <alignment horizontal="center" vertical="center"/>
    </xf>
    <xf quotePrefix="1" borderId="2" fillId="21" fontId="26" numFmtId="0" xfId="0" applyAlignment="1" applyBorder="1" applyFont="1">
      <alignment horizontal="center" vertical="center"/>
    </xf>
    <xf quotePrefix="1" borderId="2" fillId="21" fontId="26" numFmtId="0" xfId="0" applyAlignment="1" applyBorder="1" applyFont="1">
      <alignment horizontal="center" readingOrder="0" vertical="center"/>
    </xf>
    <xf borderId="2" fillId="21" fontId="26" numFmtId="0" xfId="0" applyAlignment="1" applyBorder="1" applyFont="1">
      <alignment horizontal="left" vertical="center"/>
    </xf>
    <xf borderId="2" fillId="21" fontId="21" numFmtId="0" xfId="0" applyAlignment="1" applyBorder="1" applyFont="1">
      <alignment vertical="center"/>
    </xf>
    <xf borderId="2" fillId="21" fontId="21" numFmtId="0" xfId="0" applyAlignment="1" applyBorder="1" applyFont="1">
      <alignment horizontal="left" readingOrder="0" shrinkToFit="0" vertical="center" wrapText="1"/>
    </xf>
    <xf borderId="2" fillId="21" fontId="21" numFmtId="0" xfId="0" applyAlignment="1" applyBorder="1" applyFont="1">
      <alignment horizontal="left" shrinkToFit="0" vertical="center" wrapText="1"/>
    </xf>
    <xf borderId="2" fillId="21" fontId="21" numFmtId="0" xfId="0" applyBorder="1" applyFont="1"/>
    <xf borderId="0" fillId="21" fontId="24" numFmtId="0" xfId="0" applyAlignment="1" applyFont="1">
      <alignment horizontal="left" readingOrder="0" shrinkToFit="0" vertical="bottom" wrapText="0"/>
    </xf>
    <xf borderId="0" fillId="21" fontId="25" numFmtId="0" xfId="0" applyAlignment="1" applyFont="1">
      <alignment shrinkToFit="0" vertical="bottom" wrapText="0"/>
    </xf>
    <xf borderId="0" fillId="21" fontId="21" numFmtId="0" xfId="0" applyFont="1"/>
    <xf borderId="2" fillId="21" fontId="52" numFmtId="0" xfId="0" applyAlignment="1" applyBorder="1" applyFont="1">
      <alignment horizontal="center"/>
    </xf>
    <xf borderId="3" fillId="21" fontId="52" numFmtId="0" xfId="0" applyAlignment="1" applyBorder="1" applyFont="1">
      <alignment horizontal="center"/>
    </xf>
    <xf quotePrefix="1" borderId="3" fillId="21" fontId="52" numFmtId="0" xfId="0" applyAlignment="1" applyBorder="1" applyFont="1">
      <alignment horizontal="center"/>
    </xf>
    <xf quotePrefix="1" borderId="3" fillId="21" fontId="52" numFmtId="164" xfId="0" applyAlignment="1" applyBorder="1" applyFont="1" applyNumberFormat="1">
      <alignment horizontal="center"/>
    </xf>
    <xf borderId="3" fillId="21" fontId="52" numFmtId="0" xfId="0" applyBorder="1" applyFont="1"/>
    <xf quotePrefix="1" borderId="3" fillId="21" fontId="52" numFmtId="0" xfId="0" applyAlignment="1" applyBorder="1" applyFont="1">
      <alignment horizontal="center" readingOrder="0"/>
    </xf>
    <xf borderId="3" fillId="21" fontId="52" numFmtId="0" xfId="0" applyAlignment="1" applyBorder="1" applyFont="1">
      <alignment vertical="bottom"/>
    </xf>
    <xf borderId="3" fillId="21" fontId="12" numFmtId="0" xfId="0" applyAlignment="1" applyBorder="1" applyFont="1">
      <alignment vertical="bottom"/>
    </xf>
    <xf borderId="0" fillId="21" fontId="44" numFmtId="0" xfId="0" applyAlignment="1" applyFont="1">
      <alignment horizontal="left" readingOrder="0" shrinkToFit="0" vertical="bottom" wrapText="0"/>
    </xf>
    <xf borderId="0" fillId="21" fontId="50" numFmtId="0" xfId="0" applyAlignment="1" applyFont="1">
      <alignment shrinkToFit="0" vertical="bottom" wrapText="0"/>
    </xf>
    <xf borderId="0" fillId="21" fontId="12" numFmtId="0" xfId="0" applyAlignment="1" applyFont="1">
      <alignment vertical="bottom"/>
    </xf>
    <xf borderId="2" fillId="2" fontId="52" numFmtId="0" xfId="0" applyAlignment="1" applyBorder="1" applyFont="1">
      <alignment horizontal="center"/>
    </xf>
    <xf borderId="3" fillId="2" fontId="52" numFmtId="0" xfId="0" applyAlignment="1" applyBorder="1" applyFont="1">
      <alignment horizontal="center"/>
    </xf>
    <xf quotePrefix="1" borderId="3" fillId="2" fontId="52" numFmtId="0" xfId="0" applyAlignment="1" applyBorder="1" applyFont="1">
      <alignment horizontal="center"/>
    </xf>
    <xf quotePrefix="1" borderId="3" fillId="2" fontId="52" numFmtId="164" xfId="0" applyAlignment="1" applyBorder="1" applyFont="1" applyNumberFormat="1">
      <alignment horizontal="center"/>
    </xf>
    <xf borderId="3" fillId="2" fontId="52" numFmtId="0" xfId="0" applyAlignment="1" applyBorder="1" applyFont="1">
      <alignment readingOrder="0"/>
    </xf>
    <xf borderId="3" fillId="2" fontId="52" numFmtId="0" xfId="0" applyBorder="1" applyFont="1"/>
    <xf borderId="3" fillId="2" fontId="52" numFmtId="0" xfId="0" applyAlignment="1" applyBorder="1" applyFont="1">
      <alignment vertical="bottom"/>
    </xf>
    <xf borderId="3" fillId="2" fontId="12" numFmtId="0" xfId="0" applyAlignment="1" applyBorder="1" applyFont="1">
      <alignment vertical="bottom"/>
    </xf>
    <xf borderId="0" fillId="2" fontId="44" numFmtId="0" xfId="0" applyAlignment="1" applyFont="1">
      <alignment horizontal="left" readingOrder="0" shrinkToFit="0" vertical="bottom" wrapText="0"/>
    </xf>
    <xf quotePrefix="1" borderId="3" fillId="2" fontId="52" numFmtId="0" xfId="0" applyBorder="1" applyFont="1"/>
    <xf borderId="3" fillId="2" fontId="52" numFmtId="0" xfId="0" applyAlignment="1" applyBorder="1" applyFont="1">
      <alignment shrinkToFit="0" wrapText="1"/>
    </xf>
    <xf borderId="4" fillId="2" fontId="52" numFmtId="0" xfId="0" applyAlignment="1" applyBorder="1" applyFont="1">
      <alignment horizontal="center"/>
    </xf>
    <xf borderId="5" fillId="2" fontId="52" numFmtId="0" xfId="0" applyAlignment="1" applyBorder="1" applyFont="1">
      <alignment horizontal="center"/>
    </xf>
    <xf quotePrefix="1" borderId="5" fillId="2" fontId="52" numFmtId="0" xfId="0" applyAlignment="1" applyBorder="1" applyFont="1">
      <alignment horizontal="center"/>
    </xf>
    <xf quotePrefix="1" borderId="5" fillId="2" fontId="52" numFmtId="164" xfId="0" applyAlignment="1" applyBorder="1" applyFont="1" applyNumberFormat="1">
      <alignment horizontal="center"/>
    </xf>
    <xf borderId="5" fillId="2" fontId="52" numFmtId="0" xfId="0" applyAlignment="1" applyBorder="1" applyFont="1">
      <alignment readingOrder="0"/>
    </xf>
    <xf quotePrefix="1" borderId="5" fillId="2" fontId="52" numFmtId="0" xfId="0" applyBorder="1" applyFont="1"/>
    <xf borderId="5" fillId="2" fontId="52" numFmtId="0" xfId="0" applyAlignment="1" applyBorder="1" applyFont="1">
      <alignment shrinkToFit="0" wrapText="1"/>
    </xf>
    <xf borderId="5" fillId="2" fontId="52" numFmtId="0" xfId="0" applyAlignment="1" applyBorder="1" applyFont="1">
      <alignment vertical="bottom"/>
    </xf>
    <xf borderId="5" fillId="2" fontId="12" numFmtId="0" xfId="0" applyAlignment="1" applyBorder="1" applyFont="1">
      <alignment vertical="bottom"/>
    </xf>
    <xf borderId="5" fillId="2" fontId="52" numFmtId="0" xfId="0" applyBorder="1" applyFont="1"/>
    <xf borderId="4" fillId="21" fontId="52" numFmtId="0" xfId="0" applyAlignment="1" applyBorder="1" applyFont="1">
      <alignment horizontal="center"/>
    </xf>
    <xf borderId="5" fillId="21" fontId="52" numFmtId="0" xfId="0" applyAlignment="1" applyBorder="1" applyFont="1">
      <alignment horizontal="center"/>
    </xf>
    <xf quotePrefix="1" borderId="5" fillId="21" fontId="52" numFmtId="0" xfId="0" applyAlignment="1" applyBorder="1" applyFont="1">
      <alignment horizontal="center"/>
    </xf>
    <xf quotePrefix="1" borderId="5" fillId="21" fontId="52" numFmtId="164" xfId="0" applyAlignment="1" applyBorder="1" applyFont="1" applyNumberFormat="1">
      <alignment horizontal="center"/>
    </xf>
    <xf borderId="5" fillId="21" fontId="52" numFmtId="0" xfId="0" applyBorder="1" applyFont="1"/>
    <xf quotePrefix="1" borderId="5" fillId="21" fontId="52" numFmtId="0" xfId="0" applyAlignment="1" applyBorder="1" applyFont="1">
      <alignment horizontal="center" readingOrder="0"/>
    </xf>
    <xf borderId="5" fillId="21" fontId="52" numFmtId="0" xfId="0" applyAlignment="1" applyBorder="1" applyFont="1">
      <alignment vertical="bottom"/>
    </xf>
    <xf borderId="5" fillId="21" fontId="12" numFmtId="0" xfId="0" applyAlignment="1" applyBorder="1" applyFont="1">
      <alignment vertical="bottom"/>
    </xf>
    <xf borderId="5" fillId="2" fontId="53" numFmtId="0" xfId="0" applyBorder="1" applyFont="1"/>
    <xf borderId="2" fillId="21" fontId="21" numFmtId="0" xfId="0" applyBorder="1" applyFont="1"/>
    <xf borderId="0" fillId="2" fontId="24" numFmtId="0" xfId="0" applyAlignment="1" applyFont="1">
      <alignment shrinkToFit="0" vertical="bottom" wrapText="0"/>
    </xf>
    <xf borderId="2" fillId="21" fontId="21" numFmtId="0" xfId="0" applyAlignment="1" applyBorder="1" applyFont="1">
      <alignment vertical="bottom"/>
    </xf>
    <xf borderId="2" fillId="21" fontId="21" numFmtId="0" xfId="0" applyAlignment="1" applyBorder="1" applyFont="1">
      <alignment vertical="bottom"/>
    </xf>
    <xf borderId="2" fillId="2" fontId="27" numFmtId="0" xfId="0" applyAlignment="1" applyBorder="1" applyFont="1">
      <alignment vertical="bottom"/>
    </xf>
    <xf borderId="2" fillId="2" fontId="27" numFmtId="0" xfId="0" applyAlignment="1" applyBorder="1" applyFont="1">
      <alignment vertical="bottom"/>
    </xf>
    <xf borderId="2" fillId="2" fontId="21" numFmtId="0" xfId="0" applyAlignment="1" applyBorder="1" applyFont="1">
      <alignment vertical="bottom"/>
    </xf>
    <xf borderId="2" fillId="21" fontId="21" numFmtId="0" xfId="0" applyAlignment="1" applyBorder="1" applyFont="1">
      <alignment horizontal="left" readingOrder="0" vertical="center"/>
    </xf>
    <xf quotePrefix="1" borderId="2" fillId="21" fontId="26" numFmtId="0" xfId="0" applyAlignment="1" applyBorder="1" applyFont="1">
      <alignment horizontal="left" readingOrder="0" vertical="center"/>
    </xf>
    <xf borderId="0" fillId="2" fontId="24" numFmtId="0" xfId="0" applyAlignment="1" applyFont="1">
      <alignment readingOrder="0" shrinkToFit="0" vertical="bottom" wrapText="0"/>
    </xf>
    <xf borderId="0" fillId="2" fontId="32" numFmtId="0" xfId="0" applyAlignment="1" applyFont="1">
      <alignment readingOrder="0" shrinkToFit="0" vertical="bottom" wrapText="0"/>
    </xf>
    <xf borderId="5" fillId="2" fontId="17" numFmtId="0" xfId="0" applyAlignment="1" applyBorder="1" applyFont="1">
      <alignment horizontal="left" readingOrder="0"/>
    </xf>
    <xf quotePrefix="1" borderId="2" fillId="2" fontId="26" numFmtId="0" xfId="0" applyAlignment="1" applyBorder="1" applyFont="1">
      <alignment readingOrder="0" shrinkToFit="0" vertical="center" wrapText="1"/>
    </xf>
    <xf borderId="2" fillId="2" fontId="26" numFmtId="0" xfId="0" applyAlignment="1" applyBorder="1" applyFont="1">
      <alignment shrinkToFit="0" vertical="center" wrapText="1"/>
    </xf>
    <xf borderId="2" fillId="21" fontId="26" numFmtId="0" xfId="0" applyAlignment="1" applyBorder="1" applyFont="1">
      <alignment vertical="center"/>
    </xf>
    <xf borderId="3" fillId="0" fontId="34" numFmtId="0" xfId="0" applyAlignment="1" applyBorder="1" applyFont="1">
      <alignment horizontal="left" readingOrder="0"/>
    </xf>
    <xf borderId="2" fillId="21" fontId="22" numFmtId="0" xfId="0" applyAlignment="1" applyBorder="1" applyFont="1">
      <alignment readingOrder="0"/>
    </xf>
    <xf borderId="2" fillId="21" fontId="21" numFmtId="0" xfId="0" applyAlignment="1" applyBorder="1" applyFont="1">
      <alignment readingOrder="0"/>
    </xf>
    <xf quotePrefix="1" borderId="2" fillId="21" fontId="21" numFmtId="0" xfId="0" applyAlignment="1" applyBorder="1" applyFont="1">
      <alignment readingOrder="0"/>
    </xf>
    <xf quotePrefix="1" borderId="2" fillId="8" fontId="26" numFmtId="0" xfId="0" applyAlignment="1" applyBorder="1" applyFont="1">
      <alignment horizontal="left" vertical="center"/>
    </xf>
    <xf borderId="0" fillId="0" fontId="12" numFmtId="0" xfId="0" applyAlignment="1" applyFont="1">
      <alignment horizontal="left" readingOrder="0"/>
    </xf>
    <xf borderId="0" fillId="0" fontId="12" numFmtId="0" xfId="0" applyAlignment="1" applyFont="1">
      <alignment horizontal="center" readingOrder="0"/>
    </xf>
    <xf borderId="2" fillId="22" fontId="21" numFmtId="0" xfId="0" applyAlignment="1" applyBorder="1" applyFill="1" applyFont="1">
      <alignment readingOrder="0"/>
    </xf>
    <xf borderId="0" fillId="0" fontId="22" numFmtId="0" xfId="0" applyAlignment="1" applyFont="1">
      <alignment readingOrder="0"/>
    </xf>
    <xf borderId="0" fillId="16" fontId="21" numFmtId="0" xfId="0" applyAlignment="1" applyFont="1">
      <alignment readingOrder="0"/>
    </xf>
    <xf borderId="0" fillId="0" fontId="21" numFmtId="0" xfId="0" applyAlignment="1" applyFont="1">
      <alignment readingOrder="0"/>
    </xf>
    <xf borderId="0" fillId="2" fontId="22" numFmtId="0" xfId="0" applyAlignment="1" applyFont="1">
      <alignment readingOrder="0"/>
    </xf>
    <xf borderId="2" fillId="15" fontId="22" numFmtId="0" xfId="0" applyAlignment="1" applyBorder="1" applyFont="1">
      <alignment horizontal="center" readingOrder="0" vertical="center"/>
    </xf>
    <xf borderId="2" fillId="15" fontId="22" numFmtId="0" xfId="0" applyAlignment="1" applyBorder="1" applyFont="1">
      <alignment horizontal="center" vertical="center"/>
    </xf>
    <xf quotePrefix="1" borderId="2" fillId="15" fontId="22" numFmtId="0" xfId="0" applyAlignment="1" applyBorder="1" applyFont="1">
      <alignment horizontal="center" vertical="center"/>
    </xf>
    <xf quotePrefix="1" borderId="2" fillId="15" fontId="22" numFmtId="164" xfId="0" applyAlignment="1" applyBorder="1" applyFont="1" applyNumberFormat="1">
      <alignment horizontal="center" vertical="center"/>
    </xf>
    <xf borderId="2" fillId="15" fontId="22" numFmtId="0" xfId="0" applyAlignment="1" applyBorder="1" applyFont="1">
      <alignment horizontal="left" readingOrder="0" vertical="center"/>
    </xf>
    <xf quotePrefix="1" borderId="2" fillId="15" fontId="22" numFmtId="0" xfId="0" applyAlignment="1" applyBorder="1" applyFont="1">
      <alignment horizontal="left" vertical="center"/>
    </xf>
    <xf quotePrefix="1" borderId="2" fillId="15" fontId="22" numFmtId="0" xfId="0" applyAlignment="1" applyBorder="1" applyFont="1">
      <alignment horizontal="center" readingOrder="0" vertical="center"/>
    </xf>
    <xf borderId="2" fillId="15" fontId="22" numFmtId="0" xfId="0" applyAlignment="1" applyBorder="1" applyFont="1">
      <alignment horizontal="left" vertical="center"/>
    </xf>
    <xf borderId="2" fillId="15" fontId="22" numFmtId="0" xfId="0" applyAlignment="1" applyBorder="1" applyFont="1">
      <alignment vertical="center"/>
    </xf>
    <xf borderId="2" fillId="15" fontId="22" numFmtId="0" xfId="0" applyAlignment="1" applyBorder="1" applyFont="1">
      <alignment horizontal="left" readingOrder="0" shrinkToFit="0" vertical="center" wrapText="1"/>
    </xf>
    <xf borderId="2" fillId="15" fontId="22" numFmtId="0" xfId="0" applyBorder="1" applyFont="1"/>
    <xf borderId="2" fillId="15" fontId="22" numFmtId="0" xfId="0" applyAlignment="1" applyBorder="1" applyFont="1">
      <alignment readingOrder="0"/>
    </xf>
    <xf borderId="0" fillId="15" fontId="32" numFmtId="0" xfId="0" applyAlignment="1" applyFont="1">
      <alignment horizontal="left" readingOrder="0" shrinkToFit="0" vertical="bottom" wrapText="0"/>
    </xf>
    <xf borderId="0" fillId="15" fontId="33" numFmtId="0" xfId="0" applyAlignment="1" applyFont="1">
      <alignment shrinkToFit="0" vertical="bottom" wrapText="0"/>
    </xf>
    <xf borderId="0" fillId="15" fontId="22" numFmtId="0" xfId="0" applyFont="1"/>
    <xf borderId="0" fillId="15" fontId="22" numFmtId="0" xfId="0" applyAlignment="1" applyFont="1">
      <alignment readingOrder="0"/>
    </xf>
    <xf borderId="5" fillId="0" fontId="34" numFmtId="0" xfId="0" applyAlignment="1" applyBorder="1" applyFont="1">
      <alignment horizontal="left" readingOrder="0"/>
    </xf>
    <xf borderId="5" fillId="2" fontId="34" numFmtId="0" xfId="0" applyAlignment="1" applyBorder="1" applyFont="1">
      <alignment horizontal="left" readingOrder="0" shrinkToFit="0" wrapText="1"/>
    </xf>
    <xf borderId="0" fillId="18" fontId="12" numFmtId="0" xfId="0" applyAlignment="1" applyFont="1">
      <alignment readingOrder="0" vertical="bottom"/>
    </xf>
    <xf borderId="5" fillId="2" fontId="34" numFmtId="0" xfId="0" applyAlignment="1" applyBorder="1" applyFont="1">
      <alignment horizontal="left" readingOrder="0"/>
    </xf>
    <xf borderId="0" fillId="0" fontId="6" numFmtId="0" xfId="0" applyFont="1"/>
    <xf borderId="2" fillId="23" fontId="22" numFmtId="0" xfId="0" applyAlignment="1" applyBorder="1" applyFill="1" applyFont="1">
      <alignment readingOrder="0"/>
    </xf>
    <xf borderId="2" fillId="22" fontId="22" numFmtId="0" xfId="0" applyAlignment="1" applyBorder="1" applyFont="1">
      <alignment readingOrder="0"/>
    </xf>
    <xf borderId="0" fillId="15" fontId="26" numFmtId="0" xfId="0" applyAlignment="1" applyFont="1">
      <alignment readingOrder="0"/>
    </xf>
    <xf borderId="0" fillId="2" fontId="28" numFmtId="0" xfId="0" applyAlignment="1" applyFont="1">
      <alignment readingOrder="0"/>
    </xf>
    <xf borderId="2" fillId="23" fontId="26" numFmtId="0" xfId="0" applyAlignment="1" applyBorder="1" applyFont="1">
      <alignment readingOrder="0"/>
    </xf>
    <xf borderId="3" fillId="2" fontId="22" numFmtId="0" xfId="0" applyBorder="1" applyFont="1"/>
    <xf borderId="8" fillId="2" fontId="22" numFmtId="0" xfId="0" applyBorder="1" applyFont="1"/>
    <xf borderId="2" fillId="2" fontId="26" numFmtId="165" xfId="0" applyAlignment="1" applyBorder="1" applyFont="1" applyNumberFormat="1">
      <alignment horizontal="left" readingOrder="0" vertical="center"/>
    </xf>
    <xf borderId="2" fillId="24" fontId="19" numFmtId="0" xfId="0" applyAlignment="1" applyBorder="1" applyFill="1" applyFont="1">
      <alignment horizontal="left" readingOrder="0" vertical="center"/>
    </xf>
    <xf borderId="2" fillId="24" fontId="21" numFmtId="0" xfId="0" applyAlignment="1" applyBorder="1" applyFont="1">
      <alignment horizontal="center" vertical="center"/>
    </xf>
    <xf borderId="0" fillId="2" fontId="2" numFmtId="0" xfId="0" applyAlignment="1" applyFont="1">
      <alignment readingOrder="0"/>
    </xf>
    <xf borderId="2" fillId="15" fontId="53" numFmtId="0" xfId="0" applyAlignment="1" applyBorder="1" applyFont="1">
      <alignment horizontal="center"/>
    </xf>
    <xf borderId="3" fillId="15" fontId="53" numFmtId="0" xfId="0" applyAlignment="1" applyBorder="1" applyFont="1">
      <alignment horizontal="center"/>
    </xf>
    <xf quotePrefix="1" borderId="3" fillId="15" fontId="53" numFmtId="0" xfId="0" applyAlignment="1" applyBorder="1" applyFont="1">
      <alignment horizontal="center"/>
    </xf>
    <xf quotePrefix="1" borderId="3" fillId="15" fontId="53" numFmtId="164" xfId="0" applyAlignment="1" applyBorder="1" applyFont="1" applyNumberFormat="1">
      <alignment horizontal="center"/>
    </xf>
    <xf quotePrefix="1" borderId="3" fillId="15" fontId="53" numFmtId="0" xfId="0" applyAlignment="1" applyBorder="1" applyFont="1">
      <alignment horizontal="center"/>
    </xf>
    <xf borderId="3" fillId="15" fontId="53" numFmtId="0" xfId="0" applyBorder="1" applyFont="1"/>
    <xf borderId="3" fillId="15" fontId="53" numFmtId="0" xfId="0" applyBorder="1" applyFont="1"/>
    <xf borderId="3" fillId="15" fontId="53" numFmtId="0" xfId="0" applyAlignment="1" applyBorder="1" applyFont="1">
      <alignment shrinkToFit="0" wrapText="1"/>
    </xf>
    <xf borderId="3" fillId="15" fontId="53" numFmtId="0" xfId="0" applyAlignment="1" applyBorder="1" applyFont="1">
      <alignment readingOrder="0" vertical="bottom"/>
    </xf>
    <xf borderId="3" fillId="15" fontId="39" numFmtId="0" xfId="0" applyAlignment="1" applyBorder="1" applyFont="1">
      <alignment vertical="bottom"/>
    </xf>
    <xf borderId="0" fillId="15" fontId="39" numFmtId="0" xfId="0" applyAlignment="1" applyFont="1">
      <alignment vertical="bottom"/>
    </xf>
    <xf borderId="0" fillId="15" fontId="53" numFmtId="0" xfId="0" applyAlignment="1" applyFont="1">
      <alignment vertical="bottom"/>
    </xf>
    <xf borderId="2" fillId="20" fontId="27" numFmtId="0" xfId="0" applyAlignment="1" applyBorder="1" applyFont="1">
      <alignment horizontal="center" readingOrder="0" vertical="center"/>
    </xf>
    <xf borderId="2" fillId="20" fontId="27" numFmtId="0" xfId="0" applyAlignment="1" applyBorder="1" applyFont="1">
      <alignment horizontal="center" vertical="center"/>
    </xf>
    <xf quotePrefix="1" borderId="2" fillId="20" fontId="27" numFmtId="0" xfId="0" applyAlignment="1" applyBorder="1" applyFont="1">
      <alignment horizontal="center" vertical="center"/>
    </xf>
    <xf quotePrefix="1" borderId="2" fillId="20" fontId="27" numFmtId="164" xfId="0" applyAlignment="1" applyBorder="1" applyFont="1" applyNumberFormat="1">
      <alignment horizontal="center" vertical="center"/>
    </xf>
    <xf quotePrefix="1" borderId="2" fillId="20" fontId="27" numFmtId="0" xfId="0" applyAlignment="1" applyBorder="1" applyFont="1">
      <alignment horizontal="center" readingOrder="0" vertical="center"/>
    </xf>
    <xf quotePrefix="1" borderId="2" fillId="20" fontId="22" numFmtId="0" xfId="0" applyAlignment="1" applyBorder="1" applyFont="1">
      <alignment horizontal="center" readingOrder="0" vertical="center"/>
    </xf>
    <xf borderId="2" fillId="20" fontId="22" numFmtId="0" xfId="0" applyAlignment="1" applyBorder="1" applyFont="1">
      <alignment horizontal="left" readingOrder="0" vertical="center"/>
    </xf>
    <xf quotePrefix="1" borderId="2" fillId="20" fontId="21" numFmtId="0" xfId="0" applyAlignment="1" applyBorder="1" applyFont="1">
      <alignment horizontal="center" readingOrder="0" vertical="center"/>
    </xf>
    <xf borderId="2" fillId="20" fontId="27" numFmtId="0" xfId="0" applyAlignment="1" applyBorder="1" applyFont="1">
      <alignment horizontal="left" vertical="center"/>
    </xf>
    <xf quotePrefix="1" borderId="2" fillId="20" fontId="28" numFmtId="164" xfId="0" applyAlignment="1" applyBorder="1" applyFont="1" applyNumberFormat="1">
      <alignment horizontal="center" vertical="center"/>
    </xf>
    <xf quotePrefix="1" borderId="2" fillId="20" fontId="28" numFmtId="0" xfId="0" applyAlignment="1" applyBorder="1" applyFont="1">
      <alignment horizontal="center" vertical="center"/>
    </xf>
    <xf borderId="2" fillId="20" fontId="28" numFmtId="0" xfId="0" applyAlignment="1" applyBorder="1" applyFont="1">
      <alignment horizontal="left" vertical="center"/>
    </xf>
    <xf borderId="2" fillId="20" fontId="27" numFmtId="0" xfId="0" applyAlignment="1" applyBorder="1" applyFont="1">
      <alignment vertical="center"/>
    </xf>
    <xf borderId="2" fillId="20" fontId="27" numFmtId="0" xfId="0" applyAlignment="1" applyBorder="1" applyFont="1">
      <alignment horizontal="left" shrinkToFit="0" vertical="center" wrapText="1"/>
    </xf>
    <xf borderId="2" fillId="20" fontId="27" numFmtId="0" xfId="0" applyBorder="1" applyFont="1"/>
    <xf borderId="2" fillId="20" fontId="27" numFmtId="0" xfId="0" applyAlignment="1" applyBorder="1" applyFont="1">
      <alignment readingOrder="0"/>
    </xf>
    <xf borderId="2" fillId="20" fontId="27" numFmtId="0" xfId="0" applyBorder="1" applyFont="1"/>
    <xf borderId="0" fillId="20" fontId="29" numFmtId="0" xfId="0" applyAlignment="1" applyFont="1">
      <alignment shrinkToFit="0" vertical="bottom" wrapText="0"/>
    </xf>
    <xf borderId="0" fillId="20" fontId="30" numFmtId="0" xfId="0" applyAlignment="1" applyFont="1">
      <alignment shrinkToFit="0" vertical="bottom" wrapText="0"/>
    </xf>
    <xf borderId="0" fillId="20" fontId="27" numFmtId="0" xfId="0" applyFont="1"/>
    <xf borderId="0" fillId="20" fontId="27" numFmtId="0" xfId="0" applyAlignment="1" applyFont="1">
      <alignment readingOrder="0"/>
    </xf>
    <xf borderId="2" fillId="20" fontId="28" numFmtId="0" xfId="0" applyAlignment="1" applyBorder="1" applyFont="1">
      <alignment horizontal="left" readingOrder="0" vertical="center"/>
    </xf>
    <xf borderId="2" fillId="23" fontId="51" numFmtId="0" xfId="0" applyAlignment="1" applyBorder="1" applyFont="1">
      <alignment horizontal="left" vertical="center"/>
    </xf>
    <xf borderId="2" fillId="23" fontId="19" numFmtId="0" xfId="0" applyAlignment="1" applyBorder="1" applyFont="1">
      <alignment horizontal="center" shrinkToFit="0" vertical="center" wrapText="1"/>
    </xf>
    <xf borderId="2" fillId="23" fontId="21" numFmtId="0" xfId="0" applyAlignment="1" applyBorder="1" applyFont="1">
      <alignment horizontal="center" vertical="center"/>
    </xf>
    <xf borderId="0" fillId="20" fontId="21" numFmtId="0" xfId="0" applyAlignment="1" applyFont="1">
      <alignment readingOrder="0"/>
    </xf>
    <xf borderId="0" fillId="2" fontId="21" numFmtId="0" xfId="0" applyAlignment="1" applyFont="1">
      <alignment readingOrder="0"/>
    </xf>
    <xf borderId="3" fillId="21" fontId="52" numFmtId="0" xfId="0" applyAlignment="1" applyBorder="1" applyFont="1">
      <alignment readingOrder="0" vertical="bottom"/>
    </xf>
    <xf borderId="2" fillId="22" fontId="21" numFmtId="0" xfId="0" applyAlignment="1" applyBorder="1" applyFont="1">
      <alignment readingOrder="0" vertical="bottom"/>
    </xf>
    <xf borderId="2" fillId="0" fontId="54" numFmtId="0" xfId="0" applyAlignment="1" applyBorder="1" applyFont="1">
      <alignment horizontal="center" readingOrder="0"/>
    </xf>
    <xf borderId="3" fillId="0" fontId="54" numFmtId="0" xfId="0" applyAlignment="1" applyBorder="1" applyFont="1">
      <alignment horizontal="center" readingOrder="0"/>
    </xf>
    <xf borderId="4" fillId="0" fontId="15" numFmtId="0" xfId="0" applyAlignment="1" applyBorder="1" applyFont="1">
      <alignment horizontal="center" readingOrder="0"/>
    </xf>
    <xf borderId="5" fillId="2" fontId="55" numFmtId="0" xfId="0" applyAlignment="1" applyBorder="1" applyFont="1">
      <alignment horizontal="left" readingOrder="0"/>
    </xf>
    <xf quotePrefix="1" borderId="5" fillId="2" fontId="55" numFmtId="0" xfId="0" applyAlignment="1" applyBorder="1" applyFont="1">
      <alignment horizontal="left" readingOrder="0"/>
    </xf>
    <xf borderId="5" fillId="2" fontId="56" numFmtId="0" xfId="0" applyAlignment="1" applyBorder="1" applyFont="1">
      <alignment horizontal="left" readingOrder="0"/>
    </xf>
    <xf borderId="4" fillId="0" fontId="43" numFmtId="0" xfId="0" applyAlignment="1" applyBorder="1" applyFont="1">
      <alignment horizontal="center" readingOrder="0"/>
    </xf>
    <xf borderId="5" fillId="2" fontId="57" numFmtId="0" xfId="0" applyAlignment="1" applyBorder="1" applyFont="1">
      <alignment horizontal="left" readingOrder="0"/>
    </xf>
    <xf borderId="4" fillId="0" fontId="43" numFmtId="0" xfId="0" applyAlignment="1" applyBorder="1" applyFont="1">
      <alignment horizontal="center" readingOrder="0"/>
    </xf>
    <xf borderId="0" fillId="0" fontId="13" numFmtId="0" xfId="0" applyAlignment="1" applyFont="1">
      <alignment shrinkToFit="0" wrapText="1"/>
    </xf>
    <xf borderId="0" fillId="0" fontId="13" numFmtId="0" xfId="0" applyAlignment="1" applyFont="1">
      <alignment readingOrder="0"/>
    </xf>
    <xf borderId="0" fillId="0" fontId="14" numFmtId="0" xfId="0" applyAlignment="1" applyFont="1">
      <alignment readingOrder="0"/>
    </xf>
    <xf borderId="0" fillId="0" fontId="14" numFmtId="0" xfId="0" applyAlignment="1" applyFont="1">
      <alignment shrinkToFit="0" wrapText="1"/>
    </xf>
    <xf borderId="0" fillId="0" fontId="15" numFmtId="0" xfId="0" applyAlignment="1" applyFont="1">
      <alignment shrinkToFit="0" vertical="bottom" wrapText="1"/>
    </xf>
    <xf borderId="3" fillId="4" fontId="16" numFmtId="0" xfId="0" applyAlignment="1" applyBorder="1" applyFont="1">
      <alignment horizontal="center" readingOrder="0" shrinkToFit="0" wrapText="1"/>
    </xf>
    <xf borderId="5" fillId="0" fontId="17" numFmtId="0" xfId="0" applyAlignment="1" applyBorder="1" applyFont="1">
      <alignment horizontal="left" readingOrder="0" shrinkToFit="0" wrapText="1"/>
    </xf>
    <xf borderId="5" fillId="0" fontId="17" numFmtId="0" xfId="0" applyAlignment="1" applyBorder="1" applyFont="1">
      <alignment horizontal="center" readingOrder="0"/>
    </xf>
    <xf borderId="0" fillId="0" fontId="2" numFmtId="0" xfId="0" applyAlignment="1" applyFont="1">
      <alignment shrinkToFit="0" wrapText="1"/>
    </xf>
    <xf borderId="6" fillId="6" fontId="19" numFmtId="0" xfId="0" applyAlignment="1" applyBorder="1" applyFont="1">
      <alignment horizontal="center"/>
    </xf>
    <xf borderId="2" fillId="7" fontId="58" numFmtId="0" xfId="0" applyAlignment="1" applyBorder="1" applyFont="1">
      <alignment horizontal="left" readingOrder="0" vertical="center"/>
    </xf>
    <xf quotePrefix="1" borderId="2" fillId="8" fontId="22" numFmtId="0" xfId="0" applyAlignment="1" applyBorder="1" applyFont="1">
      <alignment horizontal="left" vertical="center"/>
    </xf>
    <xf borderId="2" fillId="18" fontId="21" numFmtId="0" xfId="0" applyAlignment="1" applyBorder="1" applyFont="1">
      <alignment horizontal="left" vertical="center"/>
    </xf>
    <xf borderId="2" fillId="18" fontId="21" numFmtId="0" xfId="0" applyBorder="1" applyFont="1"/>
    <xf quotePrefix="1" borderId="2" fillId="0" fontId="21" numFmtId="0" xfId="0" applyBorder="1" applyFont="1"/>
    <xf quotePrefix="1" borderId="2" fillId="8" fontId="21" numFmtId="0" xfId="0" applyAlignment="1" applyBorder="1" applyFont="1">
      <alignment vertical="center"/>
    </xf>
    <xf quotePrefix="1" borderId="2" fillId="0" fontId="21" numFmtId="0" xfId="0" applyAlignment="1" applyBorder="1" applyFont="1">
      <alignment vertical="center"/>
    </xf>
    <xf borderId="2" fillId="0" fontId="21" numFmtId="0" xfId="0" applyAlignment="1" applyBorder="1" applyFont="1">
      <alignment readingOrder="0" vertical="center"/>
    </xf>
    <xf borderId="2" fillId="18" fontId="21" numFmtId="0" xfId="0" applyAlignment="1" applyBorder="1" applyFont="1">
      <alignment vertical="bottom"/>
    </xf>
    <xf quotePrefix="1" borderId="2" fillId="0" fontId="21" numFmtId="0" xfId="0" applyAlignment="1" applyBorder="1" applyFont="1">
      <alignment readingOrder="0" vertical="center"/>
    </xf>
    <xf borderId="2" fillId="0" fontId="21" numFmtId="0" xfId="0" applyAlignment="1" applyBorder="1" applyFont="1">
      <alignment horizontal="center" readingOrder="0" vertical="center"/>
    </xf>
    <xf borderId="2" fillId="25" fontId="21" numFmtId="0" xfId="0" applyAlignment="1" applyBorder="1" applyFill="1" applyFont="1">
      <alignment horizontal="center" vertical="center"/>
    </xf>
    <xf quotePrefix="1" borderId="2" fillId="25" fontId="21" numFmtId="0" xfId="0" applyAlignment="1" applyBorder="1" applyFont="1">
      <alignment horizontal="center" vertical="center"/>
    </xf>
    <xf quotePrefix="1" borderId="2" fillId="25" fontId="21" numFmtId="164" xfId="0" applyAlignment="1" applyBorder="1" applyFont="1" applyNumberFormat="1">
      <alignment horizontal="center" vertical="center"/>
    </xf>
    <xf borderId="2" fillId="25" fontId="21" numFmtId="0" xfId="0" applyBorder="1" applyFont="1"/>
    <xf borderId="2" fillId="25" fontId="21" numFmtId="0" xfId="0" applyAlignment="1" applyBorder="1" applyFont="1">
      <alignment horizontal="center" readingOrder="0" vertical="center"/>
    </xf>
    <xf borderId="2" fillId="25" fontId="21" numFmtId="0" xfId="0" applyAlignment="1" applyBorder="1" applyFont="1">
      <alignment horizontal="left" vertical="center"/>
    </xf>
    <xf borderId="2" fillId="25" fontId="21" numFmtId="0" xfId="0" applyAlignment="1" applyBorder="1" applyFont="1">
      <alignment vertical="center"/>
    </xf>
    <xf borderId="2" fillId="25" fontId="21" numFmtId="0" xfId="0" applyAlignment="1" applyBorder="1" applyFont="1">
      <alignment horizontal="left" shrinkToFit="0" vertical="center" wrapText="1"/>
    </xf>
    <xf borderId="2" fillId="25" fontId="21" numFmtId="0" xfId="0" applyBorder="1" applyFont="1"/>
    <xf borderId="0" fillId="25" fontId="21" numFmtId="0" xfId="0" applyFont="1"/>
    <xf borderId="2" fillId="18" fontId="21" numFmtId="0" xfId="0" applyAlignment="1" applyBorder="1" applyFont="1">
      <alignment horizontal="left" readingOrder="0" vertical="center"/>
    </xf>
    <xf borderId="2" fillId="0" fontId="21" numFmtId="0" xfId="0" applyAlignment="1" applyBorder="1" applyFont="1">
      <alignment horizontal="left" readingOrder="0" vertical="center"/>
    </xf>
    <xf quotePrefix="1" borderId="2" fillId="8" fontId="26" numFmtId="0" xfId="0" applyAlignment="1" applyBorder="1" applyFont="1">
      <alignment horizontal="center" readingOrder="0" vertical="center"/>
    </xf>
    <xf borderId="2" fillId="10" fontId="21" numFmtId="0" xfId="0" applyBorder="1" applyFont="1"/>
    <xf borderId="2" fillId="18" fontId="21" numFmtId="0" xfId="0" applyAlignment="1" applyBorder="1" applyFont="1">
      <alignment readingOrder="0"/>
    </xf>
    <xf borderId="2" fillId="10" fontId="22" numFmtId="0" xfId="0" applyAlignment="1" applyBorder="1" applyFont="1">
      <alignment vertical="center"/>
    </xf>
    <xf borderId="2" fillId="10" fontId="21" numFmtId="0" xfId="0" applyAlignment="1" applyBorder="1" applyFont="1">
      <alignment vertical="center"/>
    </xf>
    <xf quotePrefix="1" borderId="2" fillId="10" fontId="21" numFmtId="0" xfId="0" applyAlignment="1" applyBorder="1" applyFont="1">
      <alignment horizontal="left" vertical="center"/>
    </xf>
    <xf borderId="2" fillId="8" fontId="26" numFmtId="0" xfId="0" applyAlignment="1" applyBorder="1" applyFont="1">
      <alignment readingOrder="0" vertical="center"/>
    </xf>
    <xf borderId="2" fillId="0" fontId="26" numFmtId="0" xfId="0" applyAlignment="1" applyBorder="1" applyFont="1">
      <alignment readingOrder="0" vertical="center"/>
    </xf>
    <xf borderId="2" fillId="18" fontId="26" numFmtId="0" xfId="0" applyAlignment="1" applyBorder="1" applyFont="1">
      <alignment readingOrder="0" vertical="center"/>
    </xf>
    <xf borderId="2" fillId="10" fontId="26" numFmtId="0" xfId="0" applyAlignment="1" applyBorder="1" applyFont="1">
      <alignment vertical="center"/>
    </xf>
    <xf borderId="2" fillId="10" fontId="26" numFmtId="0" xfId="0" applyAlignment="1" applyBorder="1" applyFont="1">
      <alignment readingOrder="0" vertical="center"/>
    </xf>
    <xf borderId="2" fillId="10" fontId="22" numFmtId="0" xfId="0" applyAlignment="1" applyBorder="1" applyFont="1">
      <alignment horizontal="left" readingOrder="0" vertical="center"/>
    </xf>
    <xf borderId="2" fillId="0" fontId="26" numFmtId="0" xfId="0" applyAlignment="1" applyBorder="1" applyFont="1">
      <alignment horizontal="center" vertical="center"/>
    </xf>
    <xf borderId="2" fillId="10" fontId="26" numFmtId="0" xfId="0" applyAlignment="1" applyBorder="1" applyFont="1">
      <alignment horizontal="left" vertical="center"/>
    </xf>
    <xf borderId="2" fillId="8" fontId="26" numFmtId="164" xfId="0" applyAlignment="1" applyBorder="1" applyFont="1" applyNumberFormat="1">
      <alignment horizontal="center" vertical="center"/>
    </xf>
    <xf borderId="2" fillId="8" fontId="26" numFmtId="165" xfId="0" applyAlignment="1" applyBorder="1" applyFont="1" applyNumberFormat="1">
      <alignment horizontal="left" vertical="center"/>
    </xf>
    <xf borderId="2" fillId="0" fontId="21" numFmtId="165" xfId="0" applyAlignment="1" applyBorder="1" applyFont="1" applyNumberFormat="1">
      <alignment horizontal="left" shrinkToFit="0" vertical="center" wrapText="1"/>
    </xf>
    <xf borderId="2" fillId="10" fontId="21" numFmtId="0" xfId="0" applyAlignment="1" applyBorder="1" applyFont="1">
      <alignment horizontal="left" vertical="center"/>
    </xf>
    <xf borderId="2" fillId="0" fontId="26" numFmtId="0" xfId="0" applyAlignment="1" applyBorder="1" applyFont="1">
      <alignment horizontal="left" vertical="center"/>
    </xf>
    <xf borderId="2" fillId="13" fontId="26" numFmtId="0" xfId="0" applyAlignment="1" applyBorder="1" applyFont="1">
      <alignment vertical="center"/>
    </xf>
    <xf borderId="2" fillId="8" fontId="26" numFmtId="0" xfId="0" applyAlignment="1" applyBorder="1" applyFont="1">
      <alignment shrinkToFit="0" vertical="center" wrapText="1"/>
    </xf>
    <xf borderId="2" fillId="26" fontId="59" numFmtId="0" xfId="0" applyAlignment="1" applyBorder="1" applyFill="1" applyFont="1">
      <alignment readingOrder="0"/>
    </xf>
    <xf borderId="2" fillId="0" fontId="2" numFmtId="0" xfId="0" applyAlignment="1" applyBorder="1" applyFont="1">
      <alignment readingOrder="0"/>
    </xf>
    <xf borderId="2" fillId="0" fontId="2" numFmtId="0" xfId="0" applyBorder="1" applyFont="1"/>
    <xf quotePrefix="1" borderId="2" fillId="0" fontId="2" numFmtId="0" xfId="0" applyAlignment="1" applyBorder="1" applyFont="1">
      <alignment readingOrder="0"/>
    </xf>
    <xf borderId="0" fillId="0" fontId="4" numFmtId="0" xfId="0" applyAlignment="1" applyFont="1">
      <alignment readingOrder="0"/>
    </xf>
    <xf borderId="0" fillId="0" fontId="60" numFmtId="0" xfId="0" applyAlignment="1" applyFont="1">
      <alignment vertical="bottom"/>
    </xf>
    <xf borderId="0" fillId="0" fontId="61" numFmtId="0" xfId="0" applyAlignment="1" applyFont="1">
      <alignment shrinkToFit="0" vertical="bottom" wrapText="1"/>
    </xf>
    <xf borderId="0" fillId="0" fontId="61" numFmtId="0" xfId="0" applyAlignment="1" applyFont="1">
      <alignment horizontal="center" vertical="bottom"/>
    </xf>
    <xf borderId="0" fillId="27" fontId="61" numFmtId="0" xfId="0" applyAlignment="1" applyFill="1" applyFont="1">
      <alignment horizontal="center" shrinkToFit="0" vertical="bottom" wrapText="1"/>
    </xf>
    <xf borderId="0" fillId="27" fontId="62" numFmtId="0" xfId="0" applyAlignment="1" applyFont="1">
      <alignment shrinkToFit="0" vertical="bottom" wrapText="1"/>
    </xf>
    <xf borderId="0" fillId="27" fontId="60" numFmtId="0" xfId="0" applyAlignment="1" applyFont="1">
      <alignment vertical="bottom"/>
    </xf>
    <xf borderId="0" fillId="0" fontId="62" numFmtId="0" xfId="0" applyAlignment="1" applyFont="1">
      <alignment shrinkToFit="0" vertical="bottom" wrapText="1"/>
    </xf>
    <xf borderId="0" fillId="0" fontId="61" numFmtId="0" xfId="0" applyAlignment="1" applyFont="1">
      <alignment horizontal="center" shrinkToFit="0" vertical="bottom" wrapText="1"/>
    </xf>
    <xf borderId="0" fillId="0" fontId="62" numFmtId="0" xfId="0" applyAlignment="1" applyFont="1">
      <alignment vertical="bottom"/>
    </xf>
    <xf borderId="0" fillId="0" fontId="63" numFmtId="0" xfId="0" applyAlignment="1" applyFont="1">
      <alignment horizontal="center" vertical="bottom"/>
    </xf>
    <xf borderId="12" fillId="0" fontId="61" numFmtId="0" xfId="0" applyAlignment="1" applyBorder="1" applyFont="1">
      <alignment horizontal="center" vertical="bottom"/>
    </xf>
    <xf borderId="12" fillId="0" fontId="62" numFmtId="0" xfId="0" applyAlignment="1" applyBorder="1" applyFont="1">
      <alignment shrinkToFit="0" vertical="bottom" wrapText="0"/>
    </xf>
    <xf borderId="12" fillId="0" fontId="60" numFmtId="0" xfId="0" applyAlignment="1" applyBorder="1" applyFont="1">
      <alignment vertical="bottom"/>
    </xf>
    <xf borderId="4" fillId="4" fontId="61" numFmtId="0" xfId="0" applyAlignment="1" applyBorder="1" applyFont="1">
      <alignment horizontal="center" vertical="bottom"/>
    </xf>
    <xf borderId="5" fillId="4" fontId="61" numFmtId="0" xfId="0" applyAlignment="1" applyBorder="1" applyFont="1">
      <alignment horizontal="center" vertical="bottom"/>
    </xf>
    <xf borderId="5" fillId="28" fontId="61" numFmtId="0" xfId="0" applyAlignment="1" applyBorder="1" applyFill="1" applyFont="1">
      <alignment horizontal="center" vertical="bottom"/>
    </xf>
    <xf borderId="4" fillId="29" fontId="61" numFmtId="0" xfId="0" applyAlignment="1" applyBorder="1" applyFill="1" applyFont="1">
      <alignment horizontal="center" vertical="bottom"/>
    </xf>
    <xf borderId="5" fillId="29" fontId="60" numFmtId="0" xfId="0" applyAlignment="1" applyBorder="1" applyFont="1">
      <alignment vertical="bottom"/>
    </xf>
    <xf borderId="0" fillId="29" fontId="60" numFmtId="0" xfId="0" applyAlignment="1" applyFont="1">
      <alignment vertical="bottom"/>
    </xf>
    <xf borderId="4" fillId="0" fontId="62" numFmtId="0" xfId="0" applyAlignment="1" applyBorder="1" applyFont="1">
      <alignment horizontal="center" vertical="bottom"/>
    </xf>
    <xf borderId="5" fillId="0" fontId="62" numFmtId="0" xfId="0" applyAlignment="1" applyBorder="1" applyFont="1">
      <alignment vertical="bottom"/>
    </xf>
    <xf borderId="5" fillId="0" fontId="60" numFmtId="0" xfId="0" applyAlignment="1" applyBorder="1" applyFont="1">
      <alignment vertical="bottom"/>
    </xf>
    <xf borderId="0" fillId="30" fontId="60" numFmtId="0" xfId="0" applyAlignment="1" applyFill="1" applyFont="1">
      <alignment vertical="bottom"/>
    </xf>
    <xf borderId="5" fillId="0" fontId="33" numFmtId="0" xfId="0" applyAlignment="1" applyBorder="1" applyFont="1">
      <alignment vertical="bottom"/>
    </xf>
    <xf borderId="0" fillId="18" fontId="60" numFmtId="0" xfId="0" applyAlignment="1" applyFont="1">
      <alignment vertical="bottom"/>
    </xf>
    <xf borderId="5" fillId="18" fontId="60" numFmtId="0" xfId="0" applyAlignment="1" applyBorder="1" applyFont="1">
      <alignment vertical="bottom"/>
    </xf>
    <xf borderId="5" fillId="18" fontId="62" numFmtId="0" xfId="0" applyAlignment="1" applyBorder="1" applyFont="1">
      <alignment vertical="bottom"/>
    </xf>
    <xf borderId="5" fillId="12" fontId="60" numFmtId="0" xfId="0" applyAlignment="1" applyBorder="1" applyFont="1">
      <alignment vertical="bottom"/>
    </xf>
    <xf borderId="5" fillId="12" fontId="62" numFmtId="0" xfId="0" applyAlignment="1" applyBorder="1" applyFont="1">
      <alignment vertical="bottom"/>
    </xf>
    <xf borderId="0" fillId="12" fontId="60" numFmtId="0" xfId="0" applyAlignment="1" applyFont="1">
      <alignment vertical="bottom"/>
    </xf>
    <xf borderId="5" fillId="0" fontId="64" numFmtId="0" xfId="0" applyAlignment="1" applyBorder="1" applyFont="1">
      <alignment vertical="bottom"/>
    </xf>
    <xf borderId="5" fillId="18" fontId="33" numFmtId="0" xfId="0" applyAlignment="1" applyBorder="1" applyFont="1">
      <alignment vertical="bottom"/>
    </xf>
    <xf borderId="5" fillId="0" fontId="65" numFmtId="0" xfId="0" applyAlignment="1" applyBorder="1" applyFont="1">
      <alignment vertical="bottom"/>
    </xf>
    <xf borderId="0" fillId="0" fontId="43" numFmtId="0" xfId="0" applyAlignment="1" applyFont="1">
      <alignment vertical="bottom"/>
    </xf>
    <xf borderId="4" fillId="0" fontId="33" numFmtId="0" xfId="0" applyAlignment="1" applyBorder="1" applyFont="1">
      <alignment horizontal="center" vertical="bottom"/>
    </xf>
    <xf borderId="4" fillId="0" fontId="60" numFmtId="0" xfId="0" applyAlignment="1" applyBorder="1" applyFont="1">
      <alignment vertical="bottom"/>
    </xf>
    <xf borderId="5" fillId="0" fontId="33" numFmtId="0" xfId="0" applyAlignment="1" applyBorder="1" applyFont="1">
      <alignment horizontal="right" vertical="bottom"/>
    </xf>
    <xf borderId="5" fillId="0" fontId="62" numFmtId="0" xfId="0" applyAlignment="1" applyBorder="1" applyFont="1">
      <alignment horizontal="right" vertical="bottom"/>
    </xf>
    <xf borderId="5" fillId="0" fontId="66" numFmtId="0" xfId="0" applyAlignment="1" applyBorder="1" applyFont="1">
      <alignment vertical="bottom"/>
    </xf>
    <xf borderId="0" fillId="31" fontId="60" numFmtId="0" xfId="0" applyAlignment="1" applyFill="1" applyFont="1">
      <alignment vertical="bottom"/>
    </xf>
    <xf borderId="4" fillId="31" fontId="61" numFmtId="0" xfId="0" applyAlignment="1" applyBorder="1" applyFont="1">
      <alignment horizontal="center" vertical="bottom"/>
    </xf>
    <xf borderId="5" fillId="31" fontId="60" numFmtId="0" xfId="0" applyAlignment="1" applyBorder="1" applyFont="1">
      <alignment vertical="bottom"/>
    </xf>
    <xf borderId="5" fillId="0" fontId="67" numFmtId="0" xfId="0" applyAlignment="1" applyBorder="1" applyFont="1">
      <alignment vertical="bottom"/>
    </xf>
    <xf borderId="4" fillId="12" fontId="62" numFmtId="0" xfId="0" applyAlignment="1" applyBorder="1" applyFont="1">
      <alignment horizontal="center" vertical="bottom"/>
    </xf>
    <xf borderId="4" fillId="30" fontId="61" numFmtId="0" xfId="0" applyAlignment="1" applyBorder="1" applyFont="1">
      <alignment horizontal="center" vertical="bottom"/>
    </xf>
    <xf borderId="5" fillId="30" fontId="60" numFmtId="0" xfId="0" applyAlignment="1" applyBorder="1" applyFont="1">
      <alignment vertical="bottom"/>
    </xf>
    <xf borderId="0" fillId="0" fontId="68" numFmtId="0" xfId="0" applyAlignment="1" applyFont="1">
      <alignment vertical="bottom"/>
    </xf>
    <xf borderId="0" fillId="0" fontId="69" numFmtId="0" xfId="0" applyAlignment="1" applyFont="1">
      <alignment horizontal="center" shrinkToFit="0" vertical="center" wrapText="1"/>
    </xf>
    <xf borderId="2" fillId="4" fontId="19" numFmtId="0" xfId="0" applyAlignment="1" applyBorder="1" applyFont="1">
      <alignment horizontal="center" shrinkToFit="0" vertical="center" wrapText="1"/>
    </xf>
    <xf borderId="0" fillId="0" fontId="70" numFmtId="0" xfId="0" applyFont="1"/>
    <xf borderId="2" fillId="0" fontId="48" numFmtId="3" xfId="0" applyAlignment="1" applyBorder="1" applyFont="1" applyNumberFormat="1">
      <alignment horizontal="center" shrinkToFit="0" vertical="center" wrapText="1"/>
    </xf>
    <xf borderId="2" fillId="0" fontId="48" numFmtId="14" xfId="0" applyAlignment="1" applyBorder="1" applyFont="1" applyNumberFormat="1">
      <alignment horizontal="center" shrinkToFit="0" vertical="center" wrapText="1"/>
    </xf>
    <xf borderId="2" fillId="0" fontId="48" numFmtId="0" xfId="0" applyAlignment="1" applyBorder="1" applyFont="1">
      <alignment horizontal="center" shrinkToFit="0" vertical="center" wrapText="1"/>
    </xf>
    <xf borderId="2" fillId="0" fontId="21" numFmtId="3" xfId="0" applyAlignment="1" applyBorder="1" applyFont="1" applyNumberFormat="1">
      <alignment horizontal="center" shrinkToFit="0" vertical="center" wrapText="1"/>
    </xf>
    <xf borderId="2" fillId="0" fontId="21" numFmtId="14" xfId="0" applyAlignment="1" applyBorder="1" applyFont="1" applyNumberFormat="1">
      <alignment horizontal="center" shrinkToFit="0" vertical="center" wrapText="1"/>
    </xf>
    <xf borderId="2" fillId="0" fontId="21" numFmtId="0" xfId="0" applyAlignment="1" applyBorder="1" applyFont="1">
      <alignment horizontal="center" shrinkToFit="0" vertical="center" wrapText="1"/>
    </xf>
  </cellXfs>
  <cellStyles count="1">
    <cellStyle xfId="0" name="Normal" builtinId="0"/>
  </cellStyles>
  <dxfs count="2">
    <dxf>
      <font>
        <color theme="0"/>
      </font>
      <fill>
        <patternFill patternType="none"/>
      </fill>
      <border/>
    </dxf>
    <dxf>
      <font/>
      <fill>
        <patternFill patternType="solid">
          <fgColor rgb="FFFF0000"/>
          <bgColor rgb="FFFF0000"/>
        </patternFill>
      </fill>
      <border/>
    </dxf>
  </dxfs>
</styleSheet>
</file>

<file path=xl/_rels/workbook.xml.rels><?xml version="1.0" encoding="UTF-8" standalone="yes"?><Relationships xmlns="http://schemas.openxmlformats.org/package/2006/relationships"><Relationship Id="rId20"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pivotCacheDefinition" Target="pivotCache/pivotCacheDefinition2.xml"/><Relationship Id="rId18" Type="http://schemas.openxmlformats.org/officeDocument/2006/relationships/pivotCacheDefinition" Target="pivotCache/pivotCacheDefinition1.xml"/></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133350</xdr:colOff>
      <xdr:row>4</xdr:row>
      <xdr:rowOff>47625</xdr:rowOff>
    </xdr:from>
    <xdr:ext cx="15535275" cy="4514850"/>
    <xdr:grpSp>
      <xdr:nvGrpSpPr>
        <xdr:cNvPr id="2" name="Shape 2" title="Bản vẽ"/>
        <xdr:cNvGrpSpPr/>
      </xdr:nvGrpSpPr>
      <xdr:grpSpPr>
        <a:xfrm>
          <a:off x="0" y="1522575"/>
          <a:ext cx="10692000" cy="4514850"/>
          <a:chOff x="0" y="1522575"/>
          <a:chExt cx="10692000" cy="4514850"/>
        </a:xfrm>
      </xdr:grpSpPr>
      <xdr:grpSp>
        <xdr:nvGrpSpPr>
          <xdr:cNvPr id="3" name="Shape 3"/>
          <xdr:cNvGrpSpPr/>
        </xdr:nvGrpSpPr>
        <xdr:grpSpPr>
          <a:xfrm>
            <a:off x="0" y="1522575"/>
            <a:ext cx="10692000" cy="4514850"/>
            <a:chOff x="956945" y="891749"/>
            <a:chExt cx="13042421" cy="4508926"/>
          </a:xfrm>
        </xdr:grpSpPr>
        <xdr:sp>
          <xdr:nvSpPr>
            <xdr:cNvPr id="4" name="Shape 4"/>
            <xdr:cNvSpPr/>
          </xdr:nvSpPr>
          <xdr:spPr>
            <a:xfrm>
              <a:off x="956945" y="891749"/>
              <a:ext cx="13042400" cy="4508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 name="Shape 5"/>
            <xdr:cNvSpPr/>
          </xdr:nvSpPr>
          <xdr:spPr>
            <a:xfrm>
              <a:off x="956945" y="891749"/>
              <a:ext cx="1739812" cy="4461301"/>
            </a:xfrm>
            <a:custGeom>
              <a:rect b="b" l="l" r="r" t="t"/>
              <a:pathLst>
                <a:path extrusionOk="0" h="4461301" w="1756247">
                  <a:moveTo>
                    <a:pt x="0" y="292714"/>
                  </a:moveTo>
                  <a:cubicBezTo>
                    <a:pt x="0" y="131053"/>
                    <a:pt x="131053" y="0"/>
                    <a:pt x="292714" y="0"/>
                  </a:cubicBezTo>
                  <a:lnTo>
                    <a:pt x="1463533" y="0"/>
                  </a:lnTo>
                  <a:cubicBezTo>
                    <a:pt x="1625194" y="0"/>
                    <a:pt x="1756247" y="131053"/>
                    <a:pt x="1756247" y="292714"/>
                  </a:cubicBezTo>
                  <a:lnTo>
                    <a:pt x="1756247" y="4168587"/>
                  </a:lnTo>
                  <a:cubicBezTo>
                    <a:pt x="1756247" y="4330248"/>
                    <a:pt x="1625194" y="4461301"/>
                    <a:pt x="1463533" y="4461301"/>
                  </a:cubicBezTo>
                  <a:lnTo>
                    <a:pt x="292714" y="4461301"/>
                  </a:lnTo>
                  <a:cubicBezTo>
                    <a:pt x="131053" y="4461301"/>
                    <a:pt x="0" y="4330248"/>
                    <a:pt x="0" y="4168587"/>
                  </a:cubicBezTo>
                  <a:lnTo>
                    <a:pt x="0" y="292714"/>
                  </a:lnTo>
                  <a:close/>
                </a:path>
              </a:pathLst>
            </a:custGeom>
            <a:solidFill>
              <a:srgbClr val="CCD3EA"/>
            </a:solidFill>
            <a:ln>
              <a:noFill/>
            </a:ln>
          </xdr:spPr>
          <xdr:txBody>
            <a:bodyPr anchorCtr="0" anchor="ctr" bIns="3230150" lIns="107225" spcFirstLastPara="1" rIns="107225" wrap="square" tIns="107225">
              <a:noAutofit/>
            </a:bodyPr>
            <a:lstStyle/>
            <a:p>
              <a:pPr indent="0" lvl="0" marL="0" rtl="0" algn="ctr">
                <a:lnSpc>
                  <a:spcPct val="90000"/>
                </a:lnSpc>
                <a:spcBef>
                  <a:spcPts val="0"/>
                </a:spcBef>
                <a:spcAft>
                  <a:spcPts val="0"/>
                </a:spcAft>
                <a:buSzPts val="1100"/>
                <a:buFont typeface="Arial"/>
                <a:buNone/>
              </a:pPr>
              <a:r>
                <a:rPr b="1" i="0" lang="en-US" sz="1100">
                  <a:solidFill>
                    <a:schemeClr val="dk1"/>
                  </a:solidFill>
                  <a:latin typeface="Arial"/>
                  <a:ea typeface="Arial"/>
                  <a:cs typeface="Arial"/>
                  <a:sym typeface="Arial"/>
                </a:rPr>
                <a:t>Mã Khối</a:t>
              </a:r>
              <a:endParaRPr sz="1400"/>
            </a:p>
            <a:p>
              <a:pPr indent="0" lvl="0" marL="0" rtl="0" algn="ctr">
                <a:lnSpc>
                  <a:spcPct val="90000"/>
                </a:lnSpc>
                <a:spcBef>
                  <a:spcPts val="385"/>
                </a:spcBef>
                <a:spcAft>
                  <a:spcPts val="0"/>
                </a:spcAft>
                <a:buSzPts val="1100"/>
                <a:buFont typeface="Arial"/>
                <a:buNone/>
              </a:pPr>
              <a:r>
                <a:rPr b="1" i="0" lang="en-US" sz="1100">
                  <a:solidFill>
                    <a:schemeClr val="dk1"/>
                  </a:solidFill>
                  <a:latin typeface="Arial"/>
                  <a:ea typeface="Arial"/>
                  <a:cs typeface="Arial"/>
                  <a:sym typeface="Arial"/>
                </a:rPr>
                <a:t>3</a:t>
              </a:r>
              <a:r>
                <a:rPr b="1" i="0" lang="en-US" sz="1100">
                  <a:solidFill>
                    <a:schemeClr val="dk1"/>
                  </a:solidFill>
                  <a:latin typeface="Arial"/>
                  <a:ea typeface="Arial"/>
                  <a:cs typeface="Arial"/>
                  <a:sym typeface="Arial"/>
                </a:rPr>
                <a:t> </a:t>
              </a:r>
              <a:r>
                <a:rPr b="1" i="0" lang="en-US" sz="1100">
                  <a:solidFill>
                    <a:schemeClr val="dk1"/>
                  </a:solidFill>
                  <a:latin typeface="Arial"/>
                  <a:ea typeface="Arial"/>
                  <a:cs typeface="Arial"/>
                  <a:sym typeface="Arial"/>
                </a:rPr>
                <a:t>ký tự chữ và</a:t>
              </a:r>
              <a:r>
                <a:rPr b="1" i="0" lang="en-US" sz="1100">
                  <a:solidFill>
                    <a:schemeClr val="dk1"/>
                  </a:solidFill>
                  <a:latin typeface="Arial"/>
                  <a:ea typeface="Arial"/>
                  <a:cs typeface="Arial"/>
                  <a:sym typeface="Arial"/>
                </a:rPr>
                <a:t> số</a:t>
              </a:r>
              <a:endParaRPr b="1" i="0" sz="1100">
                <a:latin typeface="Arial"/>
                <a:ea typeface="Arial"/>
                <a:cs typeface="Arial"/>
                <a:sym typeface="Arial"/>
              </a:endParaRPr>
            </a:p>
          </xdr:txBody>
        </xdr:sp>
        <xdr:sp>
          <xdr:nvSpPr>
            <xdr:cNvPr id="6" name="Shape 6"/>
            <xdr:cNvSpPr/>
          </xdr:nvSpPr>
          <xdr:spPr>
            <a:xfrm>
              <a:off x="1159234" y="1876426"/>
              <a:ext cx="1391849" cy="723900"/>
            </a:xfrm>
            <a:custGeom>
              <a:rect b="b" l="l" r="r" t="t"/>
              <a:pathLst>
                <a:path extrusionOk="0" h="690464" w="1404997">
                  <a:moveTo>
                    <a:pt x="0" y="69046"/>
                  </a:moveTo>
                  <a:cubicBezTo>
                    <a:pt x="0" y="30913"/>
                    <a:pt x="30913" y="0"/>
                    <a:pt x="69046" y="0"/>
                  </a:cubicBezTo>
                  <a:lnTo>
                    <a:pt x="1335951" y="0"/>
                  </a:lnTo>
                  <a:cubicBezTo>
                    <a:pt x="1374084" y="0"/>
                    <a:pt x="1404997" y="30913"/>
                    <a:pt x="1404997" y="69046"/>
                  </a:cubicBezTo>
                  <a:lnTo>
                    <a:pt x="1404997" y="621418"/>
                  </a:lnTo>
                  <a:cubicBezTo>
                    <a:pt x="1404997" y="659551"/>
                    <a:pt x="1374084" y="690464"/>
                    <a:pt x="1335951" y="690464"/>
                  </a:cubicBezTo>
                  <a:lnTo>
                    <a:pt x="69046" y="690464"/>
                  </a:lnTo>
                  <a:cubicBezTo>
                    <a:pt x="30913" y="690464"/>
                    <a:pt x="0" y="659551"/>
                    <a:pt x="0" y="621418"/>
                  </a:cubicBezTo>
                  <a:lnTo>
                    <a:pt x="0" y="69046"/>
                  </a:lnTo>
                  <a:close/>
                </a:path>
              </a:pathLst>
            </a:custGeom>
            <a:gradFill>
              <a:gsLst>
                <a:gs pos="0">
                  <a:srgbClr val="5E81C9"/>
                </a:gs>
                <a:gs pos="50000">
                  <a:srgbClr val="3B70C9"/>
                </a:gs>
                <a:gs pos="100000">
                  <a:srgbClr val="2E60B8"/>
                </a:gs>
              </a:gsLst>
              <a:lin ang="5400000" scaled="0"/>
            </a:gradFill>
            <a:ln>
              <a:noFill/>
            </a:ln>
          </xdr:spPr>
          <xdr:txBody>
            <a:bodyPr anchorCtr="0" anchor="ctr" bIns="41175" lIns="48150" spcFirstLastPara="1" rIns="48150" wrap="square" tIns="41175">
              <a:noAutofit/>
            </a:bodyPr>
            <a:lstStyle/>
            <a:p>
              <a:pPr indent="0" lvl="0" marL="0" rtl="0" algn="l">
                <a:lnSpc>
                  <a:spcPct val="90000"/>
                </a:lnSpc>
                <a:spcBef>
                  <a:spcPts val="0"/>
                </a:spcBef>
                <a:spcAft>
                  <a:spcPts val="0"/>
                </a:spcAft>
                <a:buSzPts val="1100"/>
                <a:buFont typeface="Arial"/>
                <a:buNone/>
              </a:pPr>
              <a:r>
                <a:rPr b="0" i="0" lang="en-US" sz="1100">
                  <a:solidFill>
                    <a:schemeClr val="lt1"/>
                  </a:solidFill>
                  <a:latin typeface="Arial"/>
                  <a:ea typeface="Arial"/>
                  <a:cs typeface="Arial"/>
                  <a:sym typeface="Arial"/>
                </a:rPr>
                <a:t>L01 = Production dùng cho Khối sản xuất</a:t>
              </a:r>
              <a:endParaRPr sz="1400"/>
            </a:p>
          </xdr:txBody>
        </xdr:sp>
        <xdr:sp>
          <xdr:nvSpPr>
            <xdr:cNvPr id="7" name="Shape 7"/>
            <xdr:cNvSpPr/>
          </xdr:nvSpPr>
          <xdr:spPr>
            <a:xfrm>
              <a:off x="1159234" y="2692762"/>
              <a:ext cx="1391849" cy="660037"/>
            </a:xfrm>
            <a:custGeom>
              <a:rect b="b" l="l" r="r" t="t"/>
              <a:pathLst>
                <a:path extrusionOk="0" h="622556" w="1404997">
                  <a:moveTo>
                    <a:pt x="0" y="62256"/>
                  </a:moveTo>
                  <a:cubicBezTo>
                    <a:pt x="0" y="27873"/>
                    <a:pt x="27873" y="0"/>
                    <a:pt x="62256" y="0"/>
                  </a:cubicBezTo>
                  <a:lnTo>
                    <a:pt x="1342741" y="0"/>
                  </a:lnTo>
                  <a:cubicBezTo>
                    <a:pt x="1377124" y="0"/>
                    <a:pt x="1404997" y="27873"/>
                    <a:pt x="1404997" y="62256"/>
                  </a:cubicBezTo>
                  <a:lnTo>
                    <a:pt x="1404997" y="560300"/>
                  </a:lnTo>
                  <a:cubicBezTo>
                    <a:pt x="1404997" y="594683"/>
                    <a:pt x="1377124" y="622556"/>
                    <a:pt x="1342741" y="622556"/>
                  </a:cubicBezTo>
                  <a:lnTo>
                    <a:pt x="62256" y="622556"/>
                  </a:lnTo>
                  <a:cubicBezTo>
                    <a:pt x="27873" y="622556"/>
                    <a:pt x="0" y="594683"/>
                    <a:pt x="0" y="560300"/>
                  </a:cubicBezTo>
                  <a:lnTo>
                    <a:pt x="0" y="62256"/>
                  </a:lnTo>
                  <a:close/>
                </a:path>
              </a:pathLst>
            </a:custGeom>
            <a:gradFill>
              <a:gsLst>
                <a:gs pos="0">
                  <a:srgbClr val="5E81C9"/>
                </a:gs>
                <a:gs pos="50000">
                  <a:srgbClr val="3B70C9"/>
                </a:gs>
                <a:gs pos="100000">
                  <a:srgbClr val="2E60B8"/>
                </a:gs>
              </a:gsLst>
              <a:lin ang="5400000" scaled="0"/>
            </a:gradFill>
            <a:ln>
              <a:noFill/>
            </a:ln>
          </xdr:spPr>
          <xdr:txBody>
            <a:bodyPr anchorCtr="0" anchor="ctr" bIns="39175" lIns="46150" spcFirstLastPara="1" rIns="46150" wrap="square" tIns="39175">
              <a:noAutofit/>
            </a:bodyPr>
            <a:lstStyle/>
            <a:p>
              <a:pPr indent="0" lvl="0" marL="0" rtl="0" algn="l">
                <a:lnSpc>
                  <a:spcPct val="90000"/>
                </a:lnSpc>
                <a:spcBef>
                  <a:spcPts val="0"/>
                </a:spcBef>
                <a:spcAft>
                  <a:spcPts val="0"/>
                </a:spcAft>
                <a:buSzPts val="1100"/>
                <a:buFont typeface="Arial"/>
                <a:buNone/>
              </a:pPr>
              <a:r>
                <a:rPr b="0" i="0" lang="en-US" sz="1100">
                  <a:solidFill>
                    <a:schemeClr val="lt1"/>
                  </a:solidFill>
                  <a:latin typeface="Arial"/>
                  <a:ea typeface="Arial"/>
                  <a:cs typeface="Arial"/>
                  <a:sym typeface="Arial"/>
                </a:rPr>
                <a:t>L02 = Sales dùng cho Khối kinh doanh</a:t>
              </a:r>
              <a:endParaRPr sz="1400"/>
            </a:p>
          </xdr:txBody>
        </xdr:sp>
        <xdr:sp>
          <xdr:nvSpPr>
            <xdr:cNvPr id="8" name="Shape 8"/>
            <xdr:cNvSpPr/>
          </xdr:nvSpPr>
          <xdr:spPr>
            <a:xfrm>
              <a:off x="1159234" y="3486420"/>
              <a:ext cx="1391849" cy="904605"/>
            </a:xfrm>
            <a:custGeom>
              <a:rect b="b" l="l" r="r" t="t"/>
              <a:pathLst>
                <a:path extrusionOk="0" h="1280505" w="1404997">
                  <a:moveTo>
                    <a:pt x="0" y="128051"/>
                  </a:moveTo>
                  <a:cubicBezTo>
                    <a:pt x="0" y="57330"/>
                    <a:pt x="57330" y="0"/>
                    <a:pt x="128051" y="0"/>
                  </a:cubicBezTo>
                  <a:lnTo>
                    <a:pt x="1276947" y="0"/>
                  </a:lnTo>
                  <a:cubicBezTo>
                    <a:pt x="1347668" y="0"/>
                    <a:pt x="1404998" y="57330"/>
                    <a:pt x="1404998" y="128051"/>
                  </a:cubicBezTo>
                  <a:cubicBezTo>
                    <a:pt x="1404998" y="469519"/>
                    <a:pt x="1404997" y="810987"/>
                    <a:pt x="1404997" y="1152455"/>
                  </a:cubicBezTo>
                  <a:cubicBezTo>
                    <a:pt x="1404997" y="1223176"/>
                    <a:pt x="1347667" y="1280506"/>
                    <a:pt x="1276946" y="1280506"/>
                  </a:cubicBezTo>
                  <a:lnTo>
                    <a:pt x="128051" y="1280505"/>
                  </a:lnTo>
                  <a:cubicBezTo>
                    <a:pt x="57330" y="1280505"/>
                    <a:pt x="0" y="1223175"/>
                    <a:pt x="0" y="1152454"/>
                  </a:cubicBezTo>
                  <a:lnTo>
                    <a:pt x="0" y="128051"/>
                  </a:lnTo>
                  <a:close/>
                </a:path>
              </a:pathLst>
            </a:custGeom>
            <a:gradFill>
              <a:gsLst>
                <a:gs pos="0">
                  <a:srgbClr val="5E81C9"/>
                </a:gs>
                <a:gs pos="50000">
                  <a:srgbClr val="3B70C9"/>
                </a:gs>
                <a:gs pos="100000">
                  <a:srgbClr val="2E60B8"/>
                </a:gs>
              </a:gsLst>
              <a:lin ang="5400000" scaled="0"/>
            </a:gradFill>
            <a:ln>
              <a:noFill/>
            </a:ln>
          </xdr:spPr>
          <xdr:txBody>
            <a:bodyPr anchorCtr="0" anchor="ctr" bIns="58450" lIns="65425" spcFirstLastPara="1" rIns="65425" wrap="square" tIns="58450">
              <a:noAutofit/>
            </a:bodyPr>
            <a:lstStyle/>
            <a:p>
              <a:pPr indent="0" lvl="0" marL="0" rtl="0" algn="l">
                <a:lnSpc>
                  <a:spcPct val="90000"/>
                </a:lnSpc>
                <a:spcBef>
                  <a:spcPts val="0"/>
                </a:spcBef>
                <a:spcAft>
                  <a:spcPts val="0"/>
                </a:spcAft>
                <a:buSzPts val="1100"/>
                <a:buFont typeface="Arial"/>
                <a:buNone/>
              </a:pPr>
              <a:r>
                <a:rPr b="0" i="0" lang="en-US" sz="1100">
                  <a:solidFill>
                    <a:schemeClr val="lt1"/>
                  </a:solidFill>
                  <a:latin typeface="Arial"/>
                  <a:ea typeface="Arial"/>
                  <a:cs typeface="Arial"/>
                  <a:sym typeface="Arial"/>
                </a:rPr>
                <a:t>L03 = Customer support dùng cho Khối Hỗ trợ &amp; Chăm sóc khách hàng</a:t>
              </a:r>
              <a:endParaRPr sz="1400"/>
            </a:p>
          </xdr:txBody>
        </xdr:sp>
        <xdr:sp>
          <xdr:nvSpPr>
            <xdr:cNvPr id="9" name="Shape 9"/>
            <xdr:cNvSpPr/>
          </xdr:nvSpPr>
          <xdr:spPr>
            <a:xfrm>
              <a:off x="2827243" y="891749"/>
              <a:ext cx="1739812" cy="4461301"/>
            </a:xfrm>
            <a:custGeom>
              <a:rect b="b" l="l" r="r" t="t"/>
              <a:pathLst>
                <a:path extrusionOk="0" h="4461301" w="1756247">
                  <a:moveTo>
                    <a:pt x="0" y="292714"/>
                  </a:moveTo>
                  <a:cubicBezTo>
                    <a:pt x="0" y="131053"/>
                    <a:pt x="131053" y="0"/>
                    <a:pt x="292714" y="0"/>
                  </a:cubicBezTo>
                  <a:lnTo>
                    <a:pt x="1463533" y="0"/>
                  </a:lnTo>
                  <a:cubicBezTo>
                    <a:pt x="1625194" y="0"/>
                    <a:pt x="1756247" y="131053"/>
                    <a:pt x="1756247" y="292714"/>
                  </a:cubicBezTo>
                  <a:lnTo>
                    <a:pt x="1756247" y="4168587"/>
                  </a:lnTo>
                  <a:cubicBezTo>
                    <a:pt x="1756247" y="4330248"/>
                    <a:pt x="1625194" y="4461301"/>
                    <a:pt x="1463533" y="4461301"/>
                  </a:cubicBezTo>
                  <a:lnTo>
                    <a:pt x="292714" y="4461301"/>
                  </a:lnTo>
                  <a:cubicBezTo>
                    <a:pt x="131053" y="4461301"/>
                    <a:pt x="0" y="4330248"/>
                    <a:pt x="0" y="4168587"/>
                  </a:cubicBezTo>
                  <a:lnTo>
                    <a:pt x="0" y="292714"/>
                  </a:lnTo>
                  <a:close/>
                </a:path>
              </a:pathLst>
            </a:custGeom>
            <a:solidFill>
              <a:srgbClr val="CCD3EA"/>
            </a:solidFill>
            <a:ln>
              <a:noFill/>
            </a:ln>
          </xdr:spPr>
          <xdr:txBody>
            <a:bodyPr anchorCtr="0" anchor="ctr" bIns="3164800" lIns="41900" spcFirstLastPara="1" rIns="41900" wrap="square" tIns="41900">
              <a:noAutofit/>
            </a:bodyPr>
            <a:lstStyle/>
            <a:p>
              <a:pPr indent="0" lvl="0" marL="0" rtl="0" algn="ctr">
                <a:lnSpc>
                  <a:spcPct val="90000"/>
                </a:lnSpc>
                <a:spcBef>
                  <a:spcPts val="0"/>
                </a:spcBef>
                <a:spcAft>
                  <a:spcPts val="0"/>
                </a:spcAft>
                <a:buSzPts val="1100"/>
                <a:buFont typeface="Arial"/>
                <a:buNone/>
              </a:pPr>
              <a:r>
                <a:rPr b="1" i="0" lang="en-US" sz="1100">
                  <a:solidFill>
                    <a:schemeClr val="dk1"/>
                  </a:solidFill>
                  <a:latin typeface="Arial"/>
                  <a:ea typeface="Arial"/>
                  <a:cs typeface="Arial"/>
                  <a:sym typeface="Arial"/>
                </a:rPr>
                <a:t>Mã thị trường</a:t>
              </a:r>
              <a:endParaRPr sz="1400"/>
            </a:p>
            <a:p>
              <a:pPr indent="0" lvl="0" marL="0" rtl="0" algn="ctr">
                <a:lnSpc>
                  <a:spcPct val="90000"/>
                </a:lnSpc>
                <a:spcBef>
                  <a:spcPts val="385"/>
                </a:spcBef>
                <a:spcAft>
                  <a:spcPts val="0"/>
                </a:spcAft>
                <a:buSzPts val="1100"/>
                <a:buFont typeface="Arial"/>
                <a:buNone/>
              </a:pPr>
              <a:r>
                <a:rPr b="1" i="0" lang="en-US" sz="1100">
                  <a:solidFill>
                    <a:schemeClr val="dk1"/>
                  </a:solidFill>
                  <a:latin typeface="Arial"/>
                  <a:ea typeface="Arial"/>
                  <a:cs typeface="Arial"/>
                  <a:sym typeface="Arial"/>
                </a:rPr>
                <a:t>2 ký tự số</a:t>
              </a:r>
              <a:endParaRPr sz="1400"/>
            </a:p>
          </xdr:txBody>
        </xdr:sp>
        <xdr:sp>
          <xdr:nvSpPr>
            <xdr:cNvPr id="10" name="Shape 10"/>
            <xdr:cNvSpPr/>
          </xdr:nvSpPr>
          <xdr:spPr>
            <a:xfrm>
              <a:off x="3001224" y="1905000"/>
              <a:ext cx="1391849" cy="3324225"/>
            </a:xfrm>
            <a:custGeom>
              <a:rect b="b" l="l" r="r" t="t"/>
              <a:pathLst>
                <a:path extrusionOk="0" h="2899845" w="1404997">
                  <a:moveTo>
                    <a:pt x="0" y="140500"/>
                  </a:moveTo>
                  <a:cubicBezTo>
                    <a:pt x="0" y="62904"/>
                    <a:pt x="62904" y="0"/>
                    <a:pt x="140500" y="0"/>
                  </a:cubicBezTo>
                  <a:lnTo>
                    <a:pt x="1264497" y="0"/>
                  </a:lnTo>
                  <a:cubicBezTo>
                    <a:pt x="1342093" y="0"/>
                    <a:pt x="1404997" y="62904"/>
                    <a:pt x="1404997" y="140500"/>
                  </a:cubicBezTo>
                  <a:lnTo>
                    <a:pt x="1404997" y="2759345"/>
                  </a:lnTo>
                  <a:cubicBezTo>
                    <a:pt x="1404997" y="2836941"/>
                    <a:pt x="1342093" y="2899845"/>
                    <a:pt x="1264497" y="2899845"/>
                  </a:cubicBezTo>
                  <a:lnTo>
                    <a:pt x="140500" y="2899845"/>
                  </a:lnTo>
                  <a:cubicBezTo>
                    <a:pt x="62904" y="2899845"/>
                    <a:pt x="0" y="2836941"/>
                    <a:pt x="0" y="2759345"/>
                  </a:cubicBezTo>
                  <a:lnTo>
                    <a:pt x="0" y="140500"/>
                  </a:lnTo>
                  <a:close/>
                </a:path>
              </a:pathLst>
            </a:custGeom>
            <a:gradFill>
              <a:gsLst>
                <a:gs pos="0">
                  <a:srgbClr val="5E81C9"/>
                </a:gs>
                <a:gs pos="50000">
                  <a:srgbClr val="3B70C9"/>
                </a:gs>
                <a:gs pos="100000">
                  <a:srgbClr val="2E60B8"/>
                </a:gs>
              </a:gsLst>
              <a:lin ang="5400000" scaled="0"/>
            </a:gradFill>
            <a:ln>
              <a:noFill/>
            </a:ln>
          </xdr:spPr>
          <xdr:txBody>
            <a:bodyPr anchorCtr="0" anchor="ctr" bIns="62100" lIns="69075" spcFirstLastPara="1" rIns="69075" wrap="square" tIns="62100">
              <a:noAutofit/>
            </a:bodyPr>
            <a:lstStyle/>
            <a:p>
              <a:pPr indent="0" lvl="0" marL="0" rtl="0" algn="l">
                <a:lnSpc>
                  <a:spcPct val="90000"/>
                </a:lnSpc>
                <a:spcBef>
                  <a:spcPts val="0"/>
                </a:spcBef>
                <a:spcAft>
                  <a:spcPts val="0"/>
                </a:spcAft>
                <a:buSzPts val="1100"/>
                <a:buFont typeface="Arial"/>
                <a:buNone/>
              </a:pPr>
              <a:r>
                <a:rPr b="0" i="0" lang="en-US" sz="1100">
                  <a:solidFill>
                    <a:schemeClr val="lt1"/>
                  </a:solidFill>
                  <a:latin typeface="Arial"/>
                  <a:ea typeface="Arial"/>
                  <a:cs typeface="Arial"/>
                  <a:sym typeface="Arial"/>
                </a:rPr>
                <a:t>Hiện tại có 4 thị trường chính:</a:t>
              </a:r>
              <a:endParaRPr sz="1400"/>
            </a:p>
            <a:p>
              <a:pPr indent="0" lvl="0" marL="0" rtl="0" algn="l">
                <a:lnSpc>
                  <a:spcPct val="90000"/>
                </a:lnSpc>
                <a:spcBef>
                  <a:spcPts val="385"/>
                </a:spcBef>
                <a:spcAft>
                  <a:spcPts val="0"/>
                </a:spcAft>
                <a:buSzPts val="1100"/>
                <a:buFont typeface="Arial"/>
                <a:buNone/>
              </a:pPr>
              <a:r>
                <a:rPr b="0" i="0" lang="en-US" sz="1100">
                  <a:solidFill>
                    <a:schemeClr val="lt1"/>
                  </a:solidFill>
                  <a:latin typeface="Arial"/>
                  <a:ea typeface="Arial"/>
                  <a:cs typeface="Arial"/>
                  <a:sym typeface="Arial"/>
                </a:rPr>
                <a:t>01. HCSN</a:t>
              </a:r>
              <a:endParaRPr sz="1400"/>
            </a:p>
            <a:p>
              <a:pPr indent="0" lvl="0" marL="0" rtl="0" algn="l">
                <a:lnSpc>
                  <a:spcPct val="90000"/>
                </a:lnSpc>
                <a:spcBef>
                  <a:spcPts val="385"/>
                </a:spcBef>
                <a:spcAft>
                  <a:spcPts val="0"/>
                </a:spcAft>
                <a:buSzPts val="1100"/>
                <a:buFont typeface="Arial"/>
                <a:buNone/>
              </a:pPr>
              <a:r>
                <a:rPr b="0" i="0" lang="en-US" sz="1100">
                  <a:solidFill>
                    <a:schemeClr val="lt1"/>
                  </a:solidFill>
                  <a:latin typeface="Arial"/>
                  <a:ea typeface="Arial"/>
                  <a:cs typeface="Arial"/>
                  <a:sym typeface="Arial"/>
                </a:rPr>
                <a:t>02. DN</a:t>
              </a:r>
              <a:endParaRPr sz="1400"/>
            </a:p>
            <a:p>
              <a:pPr indent="0" lvl="0" marL="0" rtl="0" algn="l">
                <a:lnSpc>
                  <a:spcPct val="90000"/>
                </a:lnSpc>
                <a:spcBef>
                  <a:spcPts val="385"/>
                </a:spcBef>
                <a:spcAft>
                  <a:spcPts val="0"/>
                </a:spcAft>
                <a:buSzPts val="1100"/>
                <a:buFont typeface="Arial"/>
                <a:buNone/>
              </a:pPr>
              <a:r>
                <a:rPr b="0" i="0" lang="en-US" sz="1100">
                  <a:solidFill>
                    <a:schemeClr val="lt1"/>
                  </a:solidFill>
                  <a:latin typeface="Arial"/>
                  <a:ea typeface="Arial"/>
                  <a:cs typeface="Arial"/>
                  <a:sym typeface="Arial"/>
                </a:rPr>
                <a:t>03. Toàn</a:t>
              </a:r>
              <a:r>
                <a:rPr b="0" i="0" lang="en-US" sz="1100">
                  <a:solidFill>
                    <a:schemeClr val="lt1"/>
                  </a:solidFill>
                  <a:latin typeface="Arial"/>
                  <a:ea typeface="Arial"/>
                  <a:cs typeface="Arial"/>
                  <a:sym typeface="Arial"/>
                </a:rPr>
                <a:t> cầu</a:t>
              </a:r>
              <a:endParaRPr sz="1400"/>
            </a:p>
            <a:p>
              <a:pPr indent="0" lvl="0" marL="0" rtl="0" algn="l">
                <a:lnSpc>
                  <a:spcPct val="90000"/>
                </a:lnSpc>
                <a:spcBef>
                  <a:spcPts val="385"/>
                </a:spcBef>
                <a:spcAft>
                  <a:spcPts val="0"/>
                </a:spcAft>
                <a:buSzPts val="1100"/>
                <a:buFont typeface="Arial"/>
                <a:buNone/>
              </a:pPr>
              <a:r>
                <a:rPr b="0" i="0" lang="en-US" sz="1100">
                  <a:solidFill>
                    <a:schemeClr val="lt1"/>
                  </a:solidFill>
                  <a:latin typeface="Arial"/>
                  <a:ea typeface="Arial"/>
                  <a:cs typeface="Arial"/>
                  <a:sym typeface="Arial"/>
                </a:rPr>
                <a:t>04. Khách hàng cá nhân</a:t>
              </a:r>
              <a:endParaRPr sz="1400"/>
            </a:p>
            <a:p>
              <a:pPr indent="0" lvl="0" marL="0" rtl="0" algn="l">
                <a:lnSpc>
                  <a:spcPct val="90000"/>
                </a:lnSpc>
                <a:spcBef>
                  <a:spcPts val="385"/>
                </a:spcBef>
                <a:spcAft>
                  <a:spcPts val="0"/>
                </a:spcAft>
                <a:buSzPts val="1100"/>
                <a:buFont typeface="Arial"/>
                <a:buNone/>
              </a:pPr>
              <a:r>
                <a:t/>
              </a:r>
              <a:endParaRPr b="0" i="0" sz="1100">
                <a:latin typeface="Arial"/>
                <a:ea typeface="Arial"/>
                <a:cs typeface="Arial"/>
                <a:sym typeface="Arial"/>
              </a:endParaRPr>
            </a:p>
            <a:p>
              <a:pPr indent="0" lvl="0" marL="0" rtl="0" algn="l">
                <a:lnSpc>
                  <a:spcPct val="90000"/>
                </a:lnSpc>
                <a:spcBef>
                  <a:spcPts val="385"/>
                </a:spcBef>
                <a:spcAft>
                  <a:spcPts val="0"/>
                </a:spcAft>
                <a:buSzPts val="1100"/>
                <a:buFont typeface="Arial"/>
                <a:buNone/>
              </a:pPr>
              <a:r>
                <a:rPr b="0" i="0" lang="en-US" sz="1100">
                  <a:solidFill>
                    <a:schemeClr val="lt1"/>
                  </a:solidFill>
                  <a:latin typeface="Arial"/>
                  <a:ea typeface="Arial"/>
                  <a:cs typeface="Arial"/>
                  <a:sym typeface="Arial"/>
                </a:rPr>
                <a:t>00. Dùng cho các đơn vị không phải là kinh doanh (Khối SX, CSKH, BO)</a:t>
              </a:r>
              <a:endParaRPr sz="1400"/>
            </a:p>
            <a:p>
              <a:pPr indent="0" lvl="0" marL="0" rtl="0" algn="l">
                <a:lnSpc>
                  <a:spcPct val="90000"/>
                </a:lnSpc>
                <a:spcBef>
                  <a:spcPts val="385"/>
                </a:spcBef>
                <a:spcAft>
                  <a:spcPts val="0"/>
                </a:spcAft>
                <a:buSzPts val="1100"/>
                <a:buFont typeface="Arial"/>
                <a:buNone/>
              </a:pPr>
              <a:r>
                <a:t/>
              </a:r>
              <a:endParaRPr b="0" i="0" sz="1100">
                <a:latin typeface="Arial"/>
                <a:ea typeface="Arial"/>
                <a:cs typeface="Arial"/>
                <a:sym typeface="Arial"/>
              </a:endParaRPr>
            </a:p>
            <a:p>
              <a:pPr indent="0" lvl="0" marL="0" rtl="0" algn="l">
                <a:lnSpc>
                  <a:spcPct val="90000"/>
                </a:lnSpc>
                <a:spcBef>
                  <a:spcPts val="385"/>
                </a:spcBef>
                <a:spcAft>
                  <a:spcPts val="0"/>
                </a:spcAft>
                <a:buSzPts val="1100"/>
                <a:buFont typeface="Arial"/>
                <a:buNone/>
              </a:pPr>
              <a:r>
                <a:rPr b="0" i="0" lang="en-US" sz="1100">
                  <a:solidFill>
                    <a:schemeClr val="lt1"/>
                  </a:solidFill>
                  <a:latin typeface="Arial"/>
                  <a:ea typeface="Arial"/>
                  <a:cs typeface="Arial"/>
                  <a:sym typeface="Arial"/>
                </a:rPr>
                <a:t>99. Dùng cho các đơn vị thuộc JETPAY</a:t>
              </a:r>
              <a:endParaRPr b="0" i="0" sz="1100">
                <a:latin typeface="Arial"/>
                <a:ea typeface="Arial"/>
                <a:cs typeface="Arial"/>
                <a:sym typeface="Arial"/>
              </a:endParaRPr>
            </a:p>
          </xdr:txBody>
        </xdr:sp>
        <xdr:sp>
          <xdr:nvSpPr>
            <xdr:cNvPr id="11" name="Shape 11"/>
            <xdr:cNvSpPr/>
          </xdr:nvSpPr>
          <xdr:spPr>
            <a:xfrm>
              <a:off x="4697540" y="891749"/>
              <a:ext cx="1739812" cy="4461301"/>
            </a:xfrm>
            <a:custGeom>
              <a:rect b="b" l="l" r="r" t="t"/>
              <a:pathLst>
                <a:path extrusionOk="0" h="4461301" w="1756247">
                  <a:moveTo>
                    <a:pt x="0" y="292714"/>
                  </a:moveTo>
                  <a:cubicBezTo>
                    <a:pt x="0" y="131053"/>
                    <a:pt x="131053" y="0"/>
                    <a:pt x="292714" y="0"/>
                  </a:cubicBezTo>
                  <a:lnTo>
                    <a:pt x="1463533" y="0"/>
                  </a:lnTo>
                  <a:cubicBezTo>
                    <a:pt x="1625194" y="0"/>
                    <a:pt x="1756247" y="131053"/>
                    <a:pt x="1756247" y="292714"/>
                  </a:cubicBezTo>
                  <a:lnTo>
                    <a:pt x="1756247" y="4168587"/>
                  </a:lnTo>
                  <a:cubicBezTo>
                    <a:pt x="1756247" y="4330248"/>
                    <a:pt x="1625194" y="4461301"/>
                    <a:pt x="1463533" y="4461301"/>
                  </a:cubicBezTo>
                  <a:lnTo>
                    <a:pt x="292714" y="4461301"/>
                  </a:lnTo>
                  <a:cubicBezTo>
                    <a:pt x="131053" y="4461301"/>
                    <a:pt x="0" y="4330248"/>
                    <a:pt x="0" y="4168587"/>
                  </a:cubicBezTo>
                  <a:lnTo>
                    <a:pt x="0" y="292714"/>
                  </a:lnTo>
                  <a:close/>
                </a:path>
              </a:pathLst>
            </a:custGeom>
            <a:solidFill>
              <a:srgbClr val="CCD3EA"/>
            </a:solidFill>
            <a:ln>
              <a:noFill/>
            </a:ln>
          </xdr:spPr>
          <xdr:txBody>
            <a:bodyPr anchorCtr="0" anchor="ctr" bIns="3164800" lIns="41900" spcFirstLastPara="1" rIns="41900" wrap="square" tIns="41900">
              <a:noAutofit/>
            </a:bodyPr>
            <a:lstStyle/>
            <a:p>
              <a:pPr indent="0" lvl="0" marL="0" rtl="0" algn="ctr">
                <a:lnSpc>
                  <a:spcPct val="90000"/>
                </a:lnSpc>
                <a:spcBef>
                  <a:spcPts val="0"/>
                </a:spcBef>
                <a:spcAft>
                  <a:spcPts val="0"/>
                </a:spcAft>
                <a:buSzPts val="1100"/>
                <a:buFont typeface="Arial"/>
                <a:buNone/>
              </a:pPr>
              <a:r>
                <a:rPr b="1" i="0" lang="en-US" sz="1100">
                  <a:solidFill>
                    <a:schemeClr val="dk1"/>
                  </a:solidFill>
                  <a:latin typeface="Arial"/>
                  <a:ea typeface="Arial"/>
                  <a:cs typeface="Arial"/>
                  <a:sym typeface="Arial"/>
                </a:rPr>
                <a:t>Mã Khối</a:t>
              </a:r>
              <a:r>
                <a:rPr b="1" i="0" lang="en-US" sz="1100">
                  <a:solidFill>
                    <a:schemeClr val="dk1"/>
                  </a:solidFill>
                  <a:latin typeface="Arial"/>
                  <a:ea typeface="Arial"/>
                  <a:cs typeface="Arial"/>
                  <a:sym typeface="Arial"/>
                </a:rPr>
                <a:t> KD</a:t>
              </a:r>
              <a:endParaRPr b="1" i="0" sz="1100">
                <a:latin typeface="Arial"/>
                <a:ea typeface="Arial"/>
                <a:cs typeface="Arial"/>
                <a:sym typeface="Arial"/>
              </a:endParaRPr>
            </a:p>
            <a:p>
              <a:pPr indent="0" lvl="0" marL="0" rtl="0" algn="ctr">
                <a:lnSpc>
                  <a:spcPct val="90000"/>
                </a:lnSpc>
                <a:spcBef>
                  <a:spcPts val="385"/>
                </a:spcBef>
                <a:spcAft>
                  <a:spcPts val="0"/>
                </a:spcAft>
                <a:buSzPts val="1100"/>
                <a:buFont typeface="Arial"/>
                <a:buNone/>
              </a:pPr>
              <a:r>
                <a:rPr b="1" i="0" lang="en-US" sz="1100">
                  <a:solidFill>
                    <a:schemeClr val="dk1"/>
                  </a:solidFill>
                  <a:latin typeface="Arial"/>
                  <a:ea typeface="Arial"/>
                  <a:cs typeface="Arial"/>
                  <a:sym typeface="Arial"/>
                </a:rPr>
                <a:t>2 ký tự số</a:t>
              </a:r>
              <a:endParaRPr sz="1400"/>
            </a:p>
          </xdr:txBody>
        </xdr:sp>
        <xdr:sp>
          <xdr:nvSpPr>
            <xdr:cNvPr id="12" name="Shape 12"/>
            <xdr:cNvSpPr/>
          </xdr:nvSpPr>
          <xdr:spPr>
            <a:xfrm>
              <a:off x="4881047" y="1964745"/>
              <a:ext cx="1391849" cy="2159579"/>
            </a:xfrm>
            <a:custGeom>
              <a:rect b="b" l="l" r="r" t="t"/>
              <a:pathLst>
                <a:path extrusionOk="0" h="1345143" w="1404997">
                  <a:moveTo>
                    <a:pt x="0" y="134514"/>
                  </a:moveTo>
                  <a:cubicBezTo>
                    <a:pt x="0" y="60224"/>
                    <a:pt x="60224" y="0"/>
                    <a:pt x="134514" y="0"/>
                  </a:cubicBezTo>
                  <a:lnTo>
                    <a:pt x="1270483" y="0"/>
                  </a:lnTo>
                  <a:cubicBezTo>
                    <a:pt x="1344773" y="0"/>
                    <a:pt x="1404997" y="60224"/>
                    <a:pt x="1404997" y="134514"/>
                  </a:cubicBezTo>
                  <a:lnTo>
                    <a:pt x="1404997" y="1210629"/>
                  </a:lnTo>
                  <a:cubicBezTo>
                    <a:pt x="1404997" y="1284919"/>
                    <a:pt x="1344773" y="1345143"/>
                    <a:pt x="1270483" y="1345143"/>
                  </a:cubicBezTo>
                  <a:lnTo>
                    <a:pt x="134514" y="1345143"/>
                  </a:lnTo>
                  <a:cubicBezTo>
                    <a:pt x="60224" y="1345143"/>
                    <a:pt x="0" y="1284919"/>
                    <a:pt x="0" y="1210629"/>
                  </a:cubicBezTo>
                  <a:lnTo>
                    <a:pt x="0" y="134514"/>
                  </a:lnTo>
                  <a:close/>
                </a:path>
              </a:pathLst>
            </a:custGeom>
            <a:gradFill>
              <a:gsLst>
                <a:gs pos="0">
                  <a:srgbClr val="5E81C9"/>
                </a:gs>
                <a:gs pos="50000">
                  <a:srgbClr val="3B70C9"/>
                </a:gs>
                <a:gs pos="100000">
                  <a:srgbClr val="2E60B8"/>
                </a:gs>
              </a:gsLst>
              <a:lin ang="5400000" scaled="0"/>
            </a:gradFill>
            <a:ln>
              <a:noFill/>
            </a:ln>
          </xdr:spPr>
          <xdr:txBody>
            <a:bodyPr anchorCtr="0" anchor="ctr" bIns="60350" lIns="67325" spcFirstLastPara="1" rIns="67325" wrap="square" tIns="60350">
              <a:noAutofit/>
            </a:bodyPr>
            <a:lstStyle/>
            <a:p>
              <a:pPr indent="0" lvl="0" marL="0" rtl="0" algn="l">
                <a:lnSpc>
                  <a:spcPct val="90000"/>
                </a:lnSpc>
                <a:spcBef>
                  <a:spcPts val="0"/>
                </a:spcBef>
                <a:spcAft>
                  <a:spcPts val="0"/>
                </a:spcAft>
                <a:buSzPts val="1100"/>
                <a:buFont typeface="Arial"/>
                <a:buNone/>
              </a:pPr>
              <a:r>
                <a:rPr b="0" i="0" lang="en-US" sz="1100">
                  <a:solidFill>
                    <a:schemeClr val="lt1"/>
                  </a:solidFill>
                  <a:latin typeface="Arial"/>
                  <a:ea typeface="Arial"/>
                  <a:cs typeface="Arial"/>
                  <a:sym typeface="Arial"/>
                </a:rPr>
                <a:t>01: Khối</a:t>
              </a:r>
              <a:r>
                <a:rPr b="0" i="0" lang="en-US" sz="1100">
                  <a:solidFill>
                    <a:schemeClr val="lt1"/>
                  </a:solidFill>
                  <a:latin typeface="Arial"/>
                  <a:ea typeface="Arial"/>
                  <a:cs typeface="Arial"/>
                  <a:sym typeface="Arial"/>
                </a:rPr>
                <a:t> GPBL</a:t>
              </a:r>
              <a:endParaRPr sz="1400"/>
            </a:p>
            <a:p>
              <a:pPr indent="0" lvl="0" marL="0" rtl="0" algn="l">
                <a:lnSpc>
                  <a:spcPct val="90000"/>
                </a:lnSpc>
                <a:spcBef>
                  <a:spcPts val="385"/>
                </a:spcBef>
                <a:spcAft>
                  <a:spcPts val="0"/>
                </a:spcAft>
                <a:buSzPts val="1100"/>
                <a:buFont typeface="Arial"/>
                <a:buNone/>
              </a:pPr>
              <a:r>
                <a:rPr b="0" i="0" lang="en-US" sz="1100">
                  <a:solidFill>
                    <a:schemeClr val="lt1"/>
                  </a:solidFill>
                  <a:latin typeface="Arial"/>
                  <a:ea typeface="Arial"/>
                  <a:cs typeface="Arial"/>
                  <a:sym typeface="Arial"/>
                </a:rPr>
                <a:t>02: Khối Nhỏ</a:t>
              </a:r>
              <a:endParaRPr sz="1400"/>
            </a:p>
            <a:p>
              <a:pPr indent="0" lvl="0" marL="0" rtl="0" algn="l">
                <a:lnSpc>
                  <a:spcPct val="90000"/>
                </a:lnSpc>
                <a:spcBef>
                  <a:spcPts val="385"/>
                </a:spcBef>
                <a:spcAft>
                  <a:spcPts val="0"/>
                </a:spcAft>
                <a:buSzPts val="1100"/>
                <a:buFont typeface="Arial"/>
                <a:buNone/>
              </a:pPr>
              <a:r>
                <a:rPr b="0" i="0" lang="en-US" sz="1100">
                  <a:solidFill>
                    <a:schemeClr val="lt1"/>
                  </a:solidFill>
                  <a:latin typeface="Arial"/>
                  <a:ea typeface="Arial"/>
                  <a:cs typeface="Arial"/>
                  <a:sym typeface="Arial"/>
                </a:rPr>
                <a:t>03: Khối Vừa</a:t>
              </a:r>
              <a:endParaRPr sz="1400"/>
            </a:p>
            <a:p>
              <a:pPr indent="0" lvl="0" marL="0" rtl="0" algn="l">
                <a:lnSpc>
                  <a:spcPct val="90000"/>
                </a:lnSpc>
                <a:spcBef>
                  <a:spcPts val="385"/>
                </a:spcBef>
                <a:spcAft>
                  <a:spcPts val="0"/>
                </a:spcAft>
                <a:buSzPts val="1100"/>
                <a:buFont typeface="Arial"/>
                <a:buNone/>
              </a:pPr>
              <a:r>
                <a:rPr b="0" i="0" lang="en-US" sz="1100">
                  <a:solidFill>
                    <a:schemeClr val="lt1"/>
                  </a:solidFill>
                  <a:latin typeface="Arial"/>
                  <a:ea typeface="Arial"/>
                  <a:cs typeface="Arial"/>
                  <a:sym typeface="Arial"/>
                </a:rPr>
                <a:t>04: Khối Lớn</a:t>
              </a:r>
              <a:endParaRPr sz="1400"/>
            </a:p>
            <a:p>
              <a:pPr indent="0" lvl="0" marL="0" rtl="0" algn="l">
                <a:lnSpc>
                  <a:spcPct val="90000"/>
                </a:lnSpc>
                <a:spcBef>
                  <a:spcPts val="385"/>
                </a:spcBef>
                <a:spcAft>
                  <a:spcPts val="0"/>
                </a:spcAft>
                <a:buSzPts val="1100"/>
                <a:buFont typeface="Arial"/>
                <a:buNone/>
              </a:pPr>
              <a:r>
                <a:rPr b="0" i="0" lang="en-US" sz="1100">
                  <a:solidFill>
                    <a:schemeClr val="lt1"/>
                  </a:solidFill>
                  <a:latin typeface="Arial"/>
                  <a:ea typeface="Arial"/>
                  <a:cs typeface="Arial"/>
                  <a:sym typeface="Arial"/>
                </a:rPr>
                <a:t>05: Khối KTDV</a:t>
              </a:r>
              <a:endParaRPr sz="1400"/>
            </a:p>
            <a:p>
              <a:pPr indent="0" lvl="0" marL="0" rtl="0" algn="l">
                <a:lnSpc>
                  <a:spcPct val="90000"/>
                </a:lnSpc>
                <a:spcBef>
                  <a:spcPts val="385"/>
                </a:spcBef>
                <a:spcAft>
                  <a:spcPts val="0"/>
                </a:spcAft>
                <a:buSzPts val="1100"/>
                <a:buFont typeface="Arial"/>
                <a:buNone/>
              </a:pPr>
              <a:r>
                <a:rPr b="0" i="0" lang="en-US" sz="1100">
                  <a:solidFill>
                    <a:schemeClr val="lt1"/>
                  </a:solidFill>
                  <a:latin typeface="Arial"/>
                  <a:ea typeface="Arial"/>
                  <a:cs typeface="Arial"/>
                  <a:sym typeface="Arial"/>
                </a:rPr>
                <a:t>06:Khối GD Tư thục</a:t>
              </a:r>
              <a:endParaRPr sz="1400"/>
            </a:p>
            <a:p>
              <a:pPr indent="0" lvl="0" marL="0" rtl="0" algn="l">
                <a:lnSpc>
                  <a:spcPct val="90000"/>
                </a:lnSpc>
                <a:spcBef>
                  <a:spcPts val="385"/>
                </a:spcBef>
                <a:spcAft>
                  <a:spcPts val="0"/>
                </a:spcAft>
                <a:buSzPts val="1100"/>
                <a:buFont typeface="Arial"/>
                <a:buNone/>
              </a:pPr>
              <a:r>
                <a:t/>
              </a:r>
              <a:endParaRPr b="0" i="0" sz="1100">
                <a:latin typeface="Arial"/>
                <a:ea typeface="Arial"/>
                <a:cs typeface="Arial"/>
                <a:sym typeface="Arial"/>
              </a:endParaRPr>
            </a:p>
            <a:p>
              <a:pPr indent="0" lvl="0" marL="0" rtl="0" algn="l">
                <a:lnSpc>
                  <a:spcPct val="90000"/>
                </a:lnSpc>
                <a:spcBef>
                  <a:spcPts val="385"/>
                </a:spcBef>
                <a:spcAft>
                  <a:spcPts val="0"/>
                </a:spcAft>
                <a:buSzPts val="1100"/>
                <a:buFont typeface="Arial"/>
                <a:buNone/>
              </a:pPr>
              <a:r>
                <a:rPr b="0" i="0" lang="en-US" sz="1100">
                  <a:solidFill>
                    <a:schemeClr val="lt1"/>
                  </a:solidFill>
                  <a:latin typeface="Arial"/>
                  <a:ea typeface="Arial"/>
                  <a:cs typeface="Arial"/>
                  <a:sym typeface="Arial"/>
                </a:rPr>
                <a:t>00: Dùng cho các đơn vị không phải KD DN</a:t>
              </a:r>
              <a:endParaRPr b="0" i="0" sz="1100">
                <a:latin typeface="Arial"/>
                <a:ea typeface="Arial"/>
                <a:cs typeface="Arial"/>
                <a:sym typeface="Arial"/>
              </a:endParaRPr>
            </a:p>
          </xdr:txBody>
        </xdr:sp>
        <xdr:sp>
          <xdr:nvSpPr>
            <xdr:cNvPr id="13" name="Shape 13"/>
            <xdr:cNvSpPr/>
          </xdr:nvSpPr>
          <xdr:spPr>
            <a:xfrm>
              <a:off x="4871522" y="4267201"/>
              <a:ext cx="1391849" cy="952500"/>
            </a:xfrm>
            <a:custGeom>
              <a:rect b="b" l="l" r="r" t="t"/>
              <a:pathLst>
                <a:path extrusionOk="0" h="1345143" w="1404997">
                  <a:moveTo>
                    <a:pt x="0" y="134514"/>
                  </a:moveTo>
                  <a:cubicBezTo>
                    <a:pt x="0" y="60224"/>
                    <a:pt x="60224" y="0"/>
                    <a:pt x="134514" y="0"/>
                  </a:cubicBezTo>
                  <a:lnTo>
                    <a:pt x="1270483" y="0"/>
                  </a:lnTo>
                  <a:cubicBezTo>
                    <a:pt x="1344773" y="0"/>
                    <a:pt x="1404997" y="60224"/>
                    <a:pt x="1404997" y="134514"/>
                  </a:cubicBezTo>
                  <a:lnTo>
                    <a:pt x="1404997" y="1210629"/>
                  </a:lnTo>
                  <a:cubicBezTo>
                    <a:pt x="1404997" y="1284919"/>
                    <a:pt x="1344773" y="1345143"/>
                    <a:pt x="1270483" y="1345143"/>
                  </a:cubicBezTo>
                  <a:lnTo>
                    <a:pt x="134514" y="1345143"/>
                  </a:lnTo>
                  <a:cubicBezTo>
                    <a:pt x="60224" y="1345143"/>
                    <a:pt x="0" y="1284919"/>
                    <a:pt x="0" y="1210629"/>
                  </a:cubicBezTo>
                  <a:lnTo>
                    <a:pt x="0" y="134514"/>
                  </a:lnTo>
                  <a:close/>
                </a:path>
              </a:pathLst>
            </a:custGeom>
            <a:gradFill>
              <a:gsLst>
                <a:gs pos="0">
                  <a:srgbClr val="5E81C9"/>
                </a:gs>
                <a:gs pos="50000">
                  <a:srgbClr val="3B70C9"/>
                </a:gs>
                <a:gs pos="100000">
                  <a:srgbClr val="2E60B8"/>
                </a:gs>
              </a:gsLst>
              <a:lin ang="5400000" scaled="0"/>
            </a:gradFill>
            <a:ln>
              <a:noFill/>
            </a:ln>
          </xdr:spPr>
          <xdr:txBody>
            <a:bodyPr anchorCtr="0" anchor="ctr" bIns="60350" lIns="67325" spcFirstLastPara="1" rIns="67325" wrap="square" tIns="60350">
              <a:noAutofit/>
            </a:bodyPr>
            <a:lstStyle/>
            <a:p>
              <a:pPr indent="0" lvl="0" marL="0" rtl="0" algn="l">
                <a:lnSpc>
                  <a:spcPct val="90000"/>
                </a:lnSpc>
                <a:spcBef>
                  <a:spcPts val="0"/>
                </a:spcBef>
                <a:spcAft>
                  <a:spcPts val="0"/>
                </a:spcAft>
                <a:buSzPts val="1100"/>
                <a:buFont typeface="Arial"/>
                <a:buNone/>
              </a:pPr>
              <a:r>
                <a:rPr b="0" i="0" lang="en-US" sz="1100">
                  <a:solidFill>
                    <a:schemeClr val="lt1"/>
                  </a:solidFill>
                  <a:latin typeface="Arial"/>
                  <a:ea typeface="Arial"/>
                  <a:cs typeface="Arial"/>
                  <a:sym typeface="Arial"/>
                </a:rPr>
                <a:t>Số thứ tự mã</a:t>
              </a:r>
              <a:r>
                <a:rPr b="0" i="0" lang="en-US" sz="1100">
                  <a:solidFill>
                    <a:schemeClr val="lt1"/>
                  </a:solidFill>
                  <a:latin typeface="Arial"/>
                  <a:ea typeface="Arial"/>
                  <a:cs typeface="Arial"/>
                  <a:sym typeface="Arial"/>
                </a:rPr>
                <a:t> khối </a:t>
              </a:r>
              <a:r>
                <a:rPr b="0" i="0" lang="en-US" sz="1100">
                  <a:solidFill>
                    <a:schemeClr val="lt1"/>
                  </a:solidFill>
                  <a:latin typeface="Arial"/>
                  <a:ea typeface="Arial"/>
                  <a:cs typeface="Arial"/>
                  <a:sym typeface="Arial"/>
                </a:rPr>
                <a:t>không phụ thuộc vào thị trường </a:t>
              </a:r>
              <a:endParaRPr sz="1400"/>
            </a:p>
          </xdr:txBody>
        </xdr:sp>
        <xdr:grpSp>
          <xdr:nvGrpSpPr>
            <xdr:cNvPr id="14" name="Shape 14"/>
            <xdr:cNvGrpSpPr/>
          </xdr:nvGrpSpPr>
          <xdr:grpSpPr>
            <a:xfrm>
              <a:off x="10356059" y="920324"/>
              <a:ext cx="1759741" cy="4461301"/>
              <a:chOff x="7670009" y="891749"/>
              <a:chExt cx="1759741" cy="4461301"/>
            </a:xfrm>
          </xdr:grpSpPr>
          <xdr:sp>
            <xdr:nvSpPr>
              <xdr:cNvPr id="15" name="Shape 15"/>
              <xdr:cNvSpPr/>
            </xdr:nvSpPr>
            <xdr:spPr>
              <a:xfrm>
                <a:off x="7670009" y="891749"/>
                <a:ext cx="1759741" cy="4461301"/>
              </a:xfrm>
              <a:custGeom>
                <a:rect b="b" l="l" r="r" t="t"/>
                <a:pathLst>
                  <a:path extrusionOk="0" h="4461301" w="1756247">
                    <a:moveTo>
                      <a:pt x="0" y="292714"/>
                    </a:moveTo>
                    <a:cubicBezTo>
                      <a:pt x="0" y="131053"/>
                      <a:pt x="131053" y="0"/>
                      <a:pt x="292714" y="0"/>
                    </a:cubicBezTo>
                    <a:lnTo>
                      <a:pt x="1463533" y="0"/>
                    </a:lnTo>
                    <a:cubicBezTo>
                      <a:pt x="1625194" y="0"/>
                      <a:pt x="1756247" y="131053"/>
                      <a:pt x="1756247" y="292714"/>
                    </a:cubicBezTo>
                    <a:lnTo>
                      <a:pt x="1756247" y="4168587"/>
                    </a:lnTo>
                    <a:cubicBezTo>
                      <a:pt x="1756247" y="4330248"/>
                      <a:pt x="1625194" y="4461301"/>
                      <a:pt x="1463533" y="4461301"/>
                    </a:cubicBezTo>
                    <a:lnTo>
                      <a:pt x="292714" y="4461301"/>
                    </a:lnTo>
                    <a:cubicBezTo>
                      <a:pt x="131053" y="4461301"/>
                      <a:pt x="0" y="4330248"/>
                      <a:pt x="0" y="4168587"/>
                    </a:cubicBezTo>
                    <a:lnTo>
                      <a:pt x="0" y="292714"/>
                    </a:lnTo>
                    <a:close/>
                  </a:path>
                </a:pathLst>
              </a:custGeom>
              <a:solidFill>
                <a:srgbClr val="CCD3EA"/>
              </a:solidFill>
              <a:ln>
                <a:noFill/>
              </a:ln>
            </xdr:spPr>
            <xdr:txBody>
              <a:bodyPr anchorCtr="0" anchor="ctr" bIns="3164800" lIns="41900" spcFirstLastPara="1" rIns="41900" wrap="square" tIns="41900">
                <a:noAutofit/>
              </a:bodyPr>
              <a:lstStyle/>
              <a:p>
                <a:pPr indent="0" lvl="0" marL="0" rtl="0" algn="ctr">
                  <a:lnSpc>
                    <a:spcPct val="90000"/>
                  </a:lnSpc>
                  <a:spcBef>
                    <a:spcPts val="0"/>
                  </a:spcBef>
                  <a:spcAft>
                    <a:spcPts val="0"/>
                  </a:spcAft>
                  <a:buSzPts val="1100"/>
                  <a:buFont typeface="Arial"/>
                  <a:buNone/>
                </a:pPr>
                <a:r>
                  <a:rPr b="1" i="0" lang="en-US" sz="1100">
                    <a:solidFill>
                      <a:schemeClr val="dk1"/>
                    </a:solidFill>
                    <a:latin typeface="Arial"/>
                    <a:ea typeface="Arial"/>
                    <a:cs typeface="Arial"/>
                    <a:sym typeface="Arial"/>
                  </a:rPr>
                  <a:t>Mã cấp</a:t>
                </a:r>
                <a:r>
                  <a:rPr b="1" i="0" lang="en-US" sz="1100">
                    <a:solidFill>
                      <a:schemeClr val="dk1"/>
                    </a:solidFill>
                    <a:latin typeface="Arial"/>
                    <a:ea typeface="Arial"/>
                    <a:cs typeface="Arial"/>
                    <a:sym typeface="Arial"/>
                  </a:rPr>
                  <a:t> 3 (</a:t>
                </a:r>
                <a:r>
                  <a:rPr b="1" i="0" lang="en-US" sz="1100">
                    <a:solidFill>
                      <a:schemeClr val="dk1"/>
                    </a:solidFill>
                    <a:latin typeface="Arial"/>
                    <a:ea typeface="Arial"/>
                    <a:cs typeface="Arial"/>
                    <a:sym typeface="Arial"/>
                  </a:rPr>
                  <a:t>Nhóm/</a:t>
                </a:r>
                <a:r>
                  <a:rPr b="1" i="0" lang="en-US" sz="1100">
                    <a:solidFill>
                      <a:schemeClr val="dk1"/>
                    </a:solidFill>
                    <a:latin typeface="Arial"/>
                    <a:ea typeface="Arial"/>
                    <a:cs typeface="Arial"/>
                    <a:sym typeface="Arial"/>
                  </a:rPr>
                  <a:t> Cấp tương đương)</a:t>
                </a:r>
                <a:r>
                  <a:rPr b="1" i="0" lang="en-US" sz="1100">
                    <a:solidFill>
                      <a:schemeClr val="dk1"/>
                    </a:solidFill>
                    <a:latin typeface="Arial"/>
                    <a:ea typeface="Arial"/>
                    <a:cs typeface="Arial"/>
                    <a:sym typeface="Arial"/>
                  </a:rPr>
                  <a:t> </a:t>
                </a:r>
                <a:endParaRPr sz="1400"/>
              </a:p>
              <a:p>
                <a:pPr indent="0" lvl="0" marL="0" rtl="0" algn="ctr">
                  <a:lnSpc>
                    <a:spcPct val="90000"/>
                  </a:lnSpc>
                  <a:spcBef>
                    <a:spcPts val="385"/>
                  </a:spcBef>
                  <a:spcAft>
                    <a:spcPts val="0"/>
                  </a:spcAft>
                  <a:buSzPts val="1100"/>
                  <a:buFont typeface="Arial"/>
                  <a:buNone/>
                </a:pPr>
                <a:r>
                  <a:rPr b="1" i="0" lang="en-US" sz="1100">
                    <a:solidFill>
                      <a:schemeClr val="dk1"/>
                    </a:solidFill>
                    <a:latin typeface="Arial"/>
                    <a:ea typeface="Arial"/>
                    <a:cs typeface="Arial"/>
                    <a:sym typeface="Arial"/>
                  </a:rPr>
                  <a:t>2 ký tự số</a:t>
                </a:r>
                <a:endParaRPr sz="1400"/>
              </a:p>
            </xdr:txBody>
          </xdr:sp>
          <xdr:sp>
            <xdr:nvSpPr>
              <xdr:cNvPr id="16" name="Shape 16"/>
              <xdr:cNvSpPr/>
            </xdr:nvSpPr>
            <xdr:spPr>
              <a:xfrm>
                <a:off x="7843991" y="1971676"/>
                <a:ext cx="1391849" cy="2066924"/>
              </a:xfrm>
              <a:custGeom>
                <a:rect b="b" l="l" r="r" t="t"/>
                <a:pathLst>
                  <a:path extrusionOk="0" h="1345143" w="1404997">
                    <a:moveTo>
                      <a:pt x="0" y="134514"/>
                    </a:moveTo>
                    <a:cubicBezTo>
                      <a:pt x="0" y="60224"/>
                      <a:pt x="60224" y="0"/>
                      <a:pt x="134514" y="0"/>
                    </a:cubicBezTo>
                    <a:lnTo>
                      <a:pt x="1270483" y="0"/>
                    </a:lnTo>
                    <a:cubicBezTo>
                      <a:pt x="1344773" y="0"/>
                      <a:pt x="1404997" y="60224"/>
                      <a:pt x="1404997" y="134514"/>
                    </a:cubicBezTo>
                    <a:lnTo>
                      <a:pt x="1404997" y="1210629"/>
                    </a:lnTo>
                    <a:cubicBezTo>
                      <a:pt x="1404997" y="1284919"/>
                      <a:pt x="1344773" y="1345143"/>
                      <a:pt x="1270483" y="1345143"/>
                    </a:cubicBezTo>
                    <a:lnTo>
                      <a:pt x="134514" y="1345143"/>
                    </a:lnTo>
                    <a:cubicBezTo>
                      <a:pt x="60224" y="1345143"/>
                      <a:pt x="0" y="1284919"/>
                      <a:pt x="0" y="1210629"/>
                    </a:cubicBezTo>
                    <a:lnTo>
                      <a:pt x="0" y="134514"/>
                    </a:lnTo>
                    <a:close/>
                  </a:path>
                </a:pathLst>
              </a:custGeom>
              <a:gradFill>
                <a:gsLst>
                  <a:gs pos="0">
                    <a:srgbClr val="5E81C9"/>
                  </a:gs>
                  <a:gs pos="50000">
                    <a:srgbClr val="3B70C9"/>
                  </a:gs>
                  <a:gs pos="100000">
                    <a:srgbClr val="2E60B8"/>
                  </a:gs>
                </a:gsLst>
                <a:lin ang="5400000" scaled="0"/>
              </a:gradFill>
              <a:ln>
                <a:noFill/>
              </a:ln>
            </xdr:spPr>
            <xdr:txBody>
              <a:bodyPr anchorCtr="0" anchor="ctr" bIns="60350" lIns="67325" spcFirstLastPara="1" rIns="67325" wrap="square" tIns="60350">
                <a:noAutofit/>
              </a:bodyPr>
              <a:lstStyle/>
              <a:p>
                <a:pPr indent="0" lvl="0" marL="0" rtl="0" algn="ctr">
                  <a:lnSpc>
                    <a:spcPct val="90000"/>
                  </a:lnSpc>
                  <a:spcBef>
                    <a:spcPts val="0"/>
                  </a:spcBef>
                  <a:spcAft>
                    <a:spcPts val="0"/>
                  </a:spcAft>
                  <a:buSzPts val="1100"/>
                  <a:buFont typeface="Arial"/>
                  <a:buNone/>
                </a:pPr>
                <a:r>
                  <a:rPr b="0" i="0" lang="en-US" sz="1100">
                    <a:solidFill>
                      <a:schemeClr val="lt1"/>
                    </a:solidFill>
                    <a:latin typeface="Arial"/>
                    <a:ea typeface="Arial"/>
                    <a:cs typeface="Arial"/>
                    <a:sym typeface="Arial"/>
                  </a:rPr>
                  <a:t>Đánh</a:t>
                </a:r>
                <a:r>
                  <a:rPr b="0" i="0" lang="en-US" sz="1100">
                    <a:solidFill>
                      <a:schemeClr val="lt1"/>
                    </a:solidFill>
                    <a:latin typeface="Arial"/>
                    <a:ea typeface="Arial"/>
                    <a:cs typeface="Arial"/>
                    <a:sym typeface="Arial"/>
                  </a:rPr>
                  <a:t> số theo thứ tự</a:t>
                </a:r>
                <a:endParaRPr b="0" i="0" sz="1100">
                  <a:latin typeface="Arial"/>
                  <a:ea typeface="Arial"/>
                  <a:cs typeface="Arial"/>
                  <a:sym typeface="Arial"/>
                </a:endParaRPr>
              </a:p>
            </xdr:txBody>
          </xdr:sp>
          <xdr:sp>
            <xdr:nvSpPr>
              <xdr:cNvPr id="17" name="Shape 17"/>
              <xdr:cNvSpPr/>
            </xdr:nvSpPr>
            <xdr:spPr>
              <a:xfrm>
                <a:off x="7843991" y="4324350"/>
                <a:ext cx="1391849" cy="804327"/>
              </a:xfrm>
              <a:custGeom>
                <a:rect b="b" l="l" r="r" t="t"/>
                <a:pathLst>
                  <a:path extrusionOk="0" h="1345143" w="1404997">
                    <a:moveTo>
                      <a:pt x="0" y="134514"/>
                    </a:moveTo>
                    <a:cubicBezTo>
                      <a:pt x="0" y="60224"/>
                      <a:pt x="60224" y="0"/>
                      <a:pt x="134514" y="0"/>
                    </a:cubicBezTo>
                    <a:lnTo>
                      <a:pt x="1270483" y="0"/>
                    </a:lnTo>
                    <a:cubicBezTo>
                      <a:pt x="1344773" y="0"/>
                      <a:pt x="1404997" y="60224"/>
                      <a:pt x="1404997" y="134514"/>
                    </a:cubicBezTo>
                    <a:lnTo>
                      <a:pt x="1404997" y="1210629"/>
                    </a:lnTo>
                    <a:cubicBezTo>
                      <a:pt x="1404997" y="1284919"/>
                      <a:pt x="1344773" y="1345143"/>
                      <a:pt x="1270483" y="1345143"/>
                    </a:cubicBezTo>
                    <a:lnTo>
                      <a:pt x="134514" y="1345143"/>
                    </a:lnTo>
                    <a:cubicBezTo>
                      <a:pt x="60224" y="1345143"/>
                      <a:pt x="0" y="1284919"/>
                      <a:pt x="0" y="1210629"/>
                    </a:cubicBezTo>
                    <a:lnTo>
                      <a:pt x="0" y="134514"/>
                    </a:lnTo>
                    <a:close/>
                  </a:path>
                </a:pathLst>
              </a:custGeom>
              <a:gradFill>
                <a:gsLst>
                  <a:gs pos="0">
                    <a:srgbClr val="5E81C9"/>
                  </a:gs>
                  <a:gs pos="50000">
                    <a:srgbClr val="3B70C9"/>
                  </a:gs>
                  <a:gs pos="100000">
                    <a:srgbClr val="2E60B8"/>
                  </a:gs>
                </a:gsLst>
                <a:lin ang="5400000" scaled="0"/>
              </a:gradFill>
              <a:ln>
                <a:noFill/>
              </a:ln>
            </xdr:spPr>
            <xdr:txBody>
              <a:bodyPr anchorCtr="0" anchor="ctr" bIns="60350" lIns="67325" spcFirstLastPara="1" rIns="67325" wrap="square" tIns="60350">
                <a:noAutofit/>
              </a:bodyPr>
              <a:lstStyle/>
              <a:p>
                <a:pPr indent="0" lvl="0" marL="0" marR="0" rtl="0" algn="l">
                  <a:lnSpc>
                    <a:spcPct val="90000"/>
                  </a:lnSpc>
                  <a:spcBef>
                    <a:spcPts val="0"/>
                  </a:spcBef>
                  <a:spcAft>
                    <a:spcPts val="0"/>
                  </a:spcAft>
                  <a:buClr>
                    <a:schemeClr val="lt1"/>
                  </a:buClr>
                  <a:buSzPts val="1100"/>
                  <a:buFont typeface="Calibri"/>
                  <a:buNone/>
                </a:pPr>
                <a:r>
                  <a:rPr b="0" i="0" lang="en-US" sz="1100">
                    <a:solidFill>
                      <a:schemeClr val="lt1"/>
                    </a:solidFill>
                    <a:latin typeface="Calibri"/>
                    <a:ea typeface="Calibri"/>
                    <a:cs typeface="Calibri"/>
                    <a:sym typeface="Calibri"/>
                  </a:rPr>
                  <a:t>Số thứ tự mã</a:t>
                </a:r>
                <a:r>
                  <a:rPr b="0" i="0" lang="en-US" sz="1100">
                    <a:solidFill>
                      <a:schemeClr val="lt1"/>
                    </a:solidFill>
                    <a:latin typeface="Calibri"/>
                    <a:ea typeface="Calibri"/>
                    <a:cs typeface="Calibri"/>
                    <a:sym typeface="Calibri"/>
                  </a:rPr>
                  <a:t> nhóm </a:t>
                </a:r>
                <a:r>
                  <a:rPr b="0" i="0" lang="en-US" sz="1100">
                    <a:solidFill>
                      <a:schemeClr val="lt1"/>
                    </a:solidFill>
                    <a:latin typeface="Calibri"/>
                    <a:ea typeface="Calibri"/>
                    <a:cs typeface="Calibri"/>
                    <a:sym typeface="Calibri"/>
                  </a:rPr>
                  <a:t>phụ thuộc vào mã</a:t>
                </a:r>
                <a:r>
                  <a:rPr b="0" i="0" lang="en-US" sz="1100">
                    <a:solidFill>
                      <a:schemeClr val="lt1"/>
                    </a:solidFill>
                    <a:latin typeface="Calibri"/>
                    <a:ea typeface="Calibri"/>
                    <a:cs typeface="Calibri"/>
                    <a:sym typeface="Calibri"/>
                  </a:rPr>
                  <a:t> phòng</a:t>
                </a:r>
                <a:endParaRPr sz="1100"/>
              </a:p>
              <a:p>
                <a:pPr indent="0" lvl="0" marL="0" rtl="0" algn="ctr">
                  <a:lnSpc>
                    <a:spcPct val="90000"/>
                  </a:lnSpc>
                  <a:spcBef>
                    <a:spcPts val="385"/>
                  </a:spcBef>
                  <a:spcAft>
                    <a:spcPts val="0"/>
                  </a:spcAft>
                  <a:buSzPts val="1100"/>
                  <a:buFont typeface="Arial"/>
                  <a:buNone/>
                </a:pPr>
                <a:r>
                  <a:t/>
                </a:r>
                <a:endParaRPr b="0" i="0" sz="1100">
                  <a:latin typeface="Arial"/>
                  <a:ea typeface="Arial"/>
                  <a:cs typeface="Arial"/>
                  <a:sym typeface="Arial"/>
                </a:endParaRPr>
              </a:p>
            </xdr:txBody>
          </xdr:sp>
        </xdr:grpSp>
        <xdr:sp>
          <xdr:nvSpPr>
            <xdr:cNvPr id="18" name="Shape 18"/>
            <xdr:cNvSpPr/>
          </xdr:nvSpPr>
          <xdr:spPr>
            <a:xfrm>
              <a:off x="1147445" y="4482674"/>
              <a:ext cx="1404997" cy="723900"/>
            </a:xfrm>
            <a:custGeom>
              <a:rect b="b" l="l" r="r" t="t"/>
              <a:pathLst>
                <a:path extrusionOk="0" h="690464" w="1404997">
                  <a:moveTo>
                    <a:pt x="0" y="69046"/>
                  </a:moveTo>
                  <a:cubicBezTo>
                    <a:pt x="0" y="30913"/>
                    <a:pt x="30913" y="0"/>
                    <a:pt x="69046" y="0"/>
                  </a:cubicBezTo>
                  <a:lnTo>
                    <a:pt x="1335951" y="0"/>
                  </a:lnTo>
                  <a:cubicBezTo>
                    <a:pt x="1374084" y="0"/>
                    <a:pt x="1404997" y="30913"/>
                    <a:pt x="1404997" y="69046"/>
                  </a:cubicBezTo>
                  <a:lnTo>
                    <a:pt x="1404997" y="621418"/>
                  </a:lnTo>
                  <a:cubicBezTo>
                    <a:pt x="1404997" y="659551"/>
                    <a:pt x="1374084" y="690464"/>
                    <a:pt x="1335951" y="690464"/>
                  </a:cubicBezTo>
                  <a:lnTo>
                    <a:pt x="69046" y="690464"/>
                  </a:lnTo>
                  <a:cubicBezTo>
                    <a:pt x="30913" y="690464"/>
                    <a:pt x="0" y="659551"/>
                    <a:pt x="0" y="621418"/>
                  </a:cubicBezTo>
                  <a:lnTo>
                    <a:pt x="0" y="69046"/>
                  </a:lnTo>
                  <a:close/>
                </a:path>
              </a:pathLst>
            </a:custGeom>
            <a:gradFill>
              <a:gsLst>
                <a:gs pos="0">
                  <a:srgbClr val="5E81C9"/>
                </a:gs>
                <a:gs pos="50000">
                  <a:srgbClr val="3B70C9"/>
                </a:gs>
                <a:gs pos="100000">
                  <a:srgbClr val="2E60B8"/>
                </a:gs>
              </a:gsLst>
              <a:lin ang="5400000" scaled="0"/>
            </a:gradFill>
            <a:ln>
              <a:noFill/>
            </a:ln>
          </xdr:spPr>
          <xdr:txBody>
            <a:bodyPr anchorCtr="0" anchor="ctr" bIns="41175" lIns="48150" spcFirstLastPara="1" rIns="48150" wrap="square" tIns="41175">
              <a:noAutofit/>
            </a:bodyPr>
            <a:lstStyle/>
            <a:p>
              <a:pPr indent="0" lvl="0" marL="0" rtl="0" algn="l">
                <a:lnSpc>
                  <a:spcPct val="90000"/>
                </a:lnSpc>
                <a:spcBef>
                  <a:spcPts val="0"/>
                </a:spcBef>
                <a:spcAft>
                  <a:spcPts val="0"/>
                </a:spcAft>
                <a:buSzPts val="1100"/>
                <a:buFont typeface="Arial"/>
                <a:buNone/>
              </a:pPr>
              <a:r>
                <a:rPr b="0" i="0" lang="en-US" sz="1100">
                  <a:solidFill>
                    <a:schemeClr val="lt1"/>
                  </a:solidFill>
                  <a:latin typeface="Arial"/>
                  <a:ea typeface="Arial"/>
                  <a:cs typeface="Arial"/>
                  <a:sym typeface="Arial"/>
                </a:rPr>
                <a:t>L04 = BO dùng cho Khối hỗ</a:t>
              </a:r>
              <a:r>
                <a:rPr b="0" i="0" lang="en-US" sz="1100">
                  <a:solidFill>
                    <a:schemeClr val="lt1"/>
                  </a:solidFill>
                  <a:latin typeface="Arial"/>
                  <a:ea typeface="Arial"/>
                  <a:cs typeface="Arial"/>
                  <a:sym typeface="Arial"/>
                </a:rPr>
                <a:t> trợ</a:t>
              </a:r>
              <a:endParaRPr b="0" i="0" sz="1100">
                <a:latin typeface="Arial"/>
                <a:ea typeface="Arial"/>
                <a:cs typeface="Arial"/>
                <a:sym typeface="Arial"/>
              </a:endParaRPr>
            </a:p>
          </xdr:txBody>
        </xdr:sp>
        <xdr:grpSp>
          <xdr:nvGrpSpPr>
            <xdr:cNvPr id="19" name="Shape 19"/>
            <xdr:cNvGrpSpPr/>
          </xdr:nvGrpSpPr>
          <xdr:grpSpPr>
            <a:xfrm>
              <a:off x="12239625" y="914400"/>
              <a:ext cx="1759741" cy="4461301"/>
              <a:chOff x="9620250" y="914400"/>
              <a:chExt cx="1759741" cy="4461301"/>
            </a:xfrm>
          </xdr:grpSpPr>
          <xdr:sp>
            <xdr:nvSpPr>
              <xdr:cNvPr id="20" name="Shape 20"/>
              <xdr:cNvSpPr/>
            </xdr:nvSpPr>
            <xdr:spPr>
              <a:xfrm>
                <a:off x="9620250" y="914400"/>
                <a:ext cx="1759741" cy="4461301"/>
              </a:xfrm>
              <a:custGeom>
                <a:rect b="b" l="l" r="r" t="t"/>
                <a:pathLst>
                  <a:path extrusionOk="0" h="4461301" w="1756247">
                    <a:moveTo>
                      <a:pt x="0" y="292714"/>
                    </a:moveTo>
                    <a:cubicBezTo>
                      <a:pt x="0" y="131053"/>
                      <a:pt x="131053" y="0"/>
                      <a:pt x="292714" y="0"/>
                    </a:cubicBezTo>
                    <a:lnTo>
                      <a:pt x="1463533" y="0"/>
                    </a:lnTo>
                    <a:cubicBezTo>
                      <a:pt x="1625194" y="0"/>
                      <a:pt x="1756247" y="131053"/>
                      <a:pt x="1756247" y="292714"/>
                    </a:cubicBezTo>
                    <a:lnTo>
                      <a:pt x="1756247" y="4168587"/>
                    </a:lnTo>
                    <a:cubicBezTo>
                      <a:pt x="1756247" y="4330248"/>
                      <a:pt x="1625194" y="4461301"/>
                      <a:pt x="1463533" y="4461301"/>
                    </a:cubicBezTo>
                    <a:lnTo>
                      <a:pt x="292714" y="4461301"/>
                    </a:lnTo>
                    <a:cubicBezTo>
                      <a:pt x="131053" y="4461301"/>
                      <a:pt x="0" y="4330248"/>
                      <a:pt x="0" y="4168587"/>
                    </a:cubicBezTo>
                    <a:lnTo>
                      <a:pt x="0" y="292714"/>
                    </a:lnTo>
                    <a:close/>
                  </a:path>
                </a:pathLst>
              </a:custGeom>
              <a:solidFill>
                <a:srgbClr val="CCD3EA"/>
              </a:solidFill>
              <a:ln>
                <a:noFill/>
              </a:ln>
            </xdr:spPr>
            <xdr:txBody>
              <a:bodyPr anchorCtr="0" anchor="ctr" bIns="3164800" lIns="41900" spcFirstLastPara="1" rIns="41900" wrap="square" tIns="41900">
                <a:noAutofit/>
              </a:bodyPr>
              <a:lstStyle/>
              <a:p>
                <a:pPr indent="0" lvl="0" marL="0" rtl="0" algn="ctr">
                  <a:lnSpc>
                    <a:spcPct val="90000"/>
                  </a:lnSpc>
                  <a:spcBef>
                    <a:spcPts val="0"/>
                  </a:spcBef>
                  <a:spcAft>
                    <a:spcPts val="0"/>
                  </a:spcAft>
                  <a:buSzPts val="1100"/>
                  <a:buFont typeface="Arial"/>
                  <a:buNone/>
                </a:pPr>
                <a:r>
                  <a:rPr b="1" i="0" lang="en-US" sz="1100">
                    <a:solidFill>
                      <a:schemeClr val="dk1"/>
                    </a:solidFill>
                    <a:latin typeface="Arial"/>
                    <a:ea typeface="Arial"/>
                    <a:cs typeface="Arial"/>
                    <a:sym typeface="Arial"/>
                  </a:rPr>
                  <a:t>Mã trụ</a:t>
                </a:r>
                <a:r>
                  <a:rPr b="1" i="0" lang="en-US" sz="1100">
                    <a:solidFill>
                      <a:schemeClr val="dk1"/>
                    </a:solidFill>
                    <a:latin typeface="Arial"/>
                    <a:ea typeface="Arial"/>
                    <a:cs typeface="Arial"/>
                    <a:sym typeface="Arial"/>
                  </a:rPr>
                  <a:t> sở/ </a:t>
                </a:r>
                <a:r>
                  <a:rPr b="1" i="0" lang="en-US" sz="1100">
                    <a:solidFill>
                      <a:schemeClr val="dk1"/>
                    </a:solidFill>
                    <a:latin typeface="Arial"/>
                    <a:ea typeface="Arial"/>
                    <a:cs typeface="Arial"/>
                    <a:sym typeface="Arial"/>
                  </a:rPr>
                  <a:t>địa</a:t>
                </a:r>
                <a:r>
                  <a:rPr b="1" i="0" lang="en-US" sz="1100">
                    <a:solidFill>
                      <a:schemeClr val="dk1"/>
                    </a:solidFill>
                    <a:latin typeface="Arial"/>
                    <a:ea typeface="Arial"/>
                    <a:cs typeface="Arial"/>
                    <a:sym typeface="Arial"/>
                  </a:rPr>
                  <a:t> điểm</a:t>
                </a:r>
                <a:endParaRPr b="1" i="0" sz="1100">
                  <a:latin typeface="Arial"/>
                  <a:ea typeface="Arial"/>
                  <a:cs typeface="Arial"/>
                  <a:sym typeface="Arial"/>
                </a:endParaRPr>
              </a:p>
              <a:p>
                <a:pPr indent="0" lvl="0" marL="0" rtl="0" algn="ctr">
                  <a:lnSpc>
                    <a:spcPct val="90000"/>
                  </a:lnSpc>
                  <a:spcBef>
                    <a:spcPts val="385"/>
                  </a:spcBef>
                  <a:spcAft>
                    <a:spcPts val="0"/>
                  </a:spcAft>
                  <a:buSzPts val="1100"/>
                  <a:buFont typeface="Arial"/>
                  <a:buNone/>
                </a:pPr>
                <a:r>
                  <a:rPr b="1" i="0" lang="en-US" sz="1100">
                    <a:solidFill>
                      <a:schemeClr val="dk1"/>
                    </a:solidFill>
                    <a:latin typeface="Arial"/>
                    <a:ea typeface="Arial"/>
                    <a:cs typeface="Arial"/>
                    <a:sym typeface="Arial"/>
                  </a:rPr>
                  <a:t>2 ký tự số</a:t>
                </a:r>
                <a:endParaRPr sz="1400"/>
              </a:p>
            </xdr:txBody>
          </xdr:sp>
          <xdr:sp>
            <xdr:nvSpPr>
              <xdr:cNvPr id="21" name="Shape 21"/>
              <xdr:cNvSpPr/>
            </xdr:nvSpPr>
            <xdr:spPr>
              <a:xfrm>
                <a:off x="9791700" y="2021938"/>
                <a:ext cx="1391849" cy="3106758"/>
              </a:xfrm>
              <a:custGeom>
                <a:rect b="b" l="l" r="r" t="t"/>
                <a:pathLst>
                  <a:path extrusionOk="0" h="2899845" w="1404997">
                    <a:moveTo>
                      <a:pt x="0" y="140500"/>
                    </a:moveTo>
                    <a:cubicBezTo>
                      <a:pt x="0" y="62904"/>
                      <a:pt x="62904" y="0"/>
                      <a:pt x="140500" y="0"/>
                    </a:cubicBezTo>
                    <a:lnTo>
                      <a:pt x="1264497" y="0"/>
                    </a:lnTo>
                    <a:cubicBezTo>
                      <a:pt x="1342093" y="0"/>
                      <a:pt x="1404997" y="62904"/>
                      <a:pt x="1404997" y="140500"/>
                    </a:cubicBezTo>
                    <a:lnTo>
                      <a:pt x="1404997" y="2759345"/>
                    </a:lnTo>
                    <a:cubicBezTo>
                      <a:pt x="1404997" y="2836941"/>
                      <a:pt x="1342093" y="2899845"/>
                      <a:pt x="1264497" y="2899845"/>
                    </a:cubicBezTo>
                    <a:lnTo>
                      <a:pt x="140500" y="2899845"/>
                    </a:lnTo>
                    <a:cubicBezTo>
                      <a:pt x="62904" y="2899845"/>
                      <a:pt x="0" y="2836941"/>
                      <a:pt x="0" y="2759345"/>
                    </a:cubicBezTo>
                    <a:lnTo>
                      <a:pt x="0" y="140500"/>
                    </a:lnTo>
                    <a:close/>
                  </a:path>
                </a:pathLst>
              </a:custGeom>
              <a:gradFill>
                <a:gsLst>
                  <a:gs pos="0">
                    <a:srgbClr val="5E81C9"/>
                  </a:gs>
                  <a:gs pos="50000">
                    <a:srgbClr val="3B70C9"/>
                  </a:gs>
                  <a:gs pos="100000">
                    <a:srgbClr val="2E60B8"/>
                  </a:gs>
                </a:gsLst>
                <a:lin ang="5400000" scaled="0"/>
              </a:gradFill>
              <a:ln>
                <a:noFill/>
              </a:ln>
            </xdr:spPr>
            <xdr:txBody>
              <a:bodyPr anchorCtr="0" anchor="ctr" bIns="62100" lIns="69075" spcFirstLastPara="1" rIns="69075" wrap="square" tIns="62100">
                <a:noAutofit/>
              </a:bodyPr>
              <a:lstStyle/>
              <a:p>
                <a:pPr indent="0" lvl="0" marL="0" rtl="0" algn="l">
                  <a:lnSpc>
                    <a:spcPct val="90000"/>
                  </a:lnSpc>
                  <a:spcBef>
                    <a:spcPts val="0"/>
                  </a:spcBef>
                  <a:spcAft>
                    <a:spcPts val="0"/>
                  </a:spcAft>
                  <a:buSzPts val="1100"/>
                  <a:buFont typeface="Arial"/>
                  <a:buNone/>
                </a:pPr>
                <a:r>
                  <a:rPr b="0" i="0" lang="en-US" sz="1100">
                    <a:solidFill>
                      <a:schemeClr val="lt1"/>
                    </a:solidFill>
                    <a:latin typeface="Arial"/>
                    <a:ea typeface="Arial"/>
                    <a:cs typeface="Arial"/>
                    <a:sym typeface="Arial"/>
                  </a:rPr>
                  <a:t>01:</a:t>
                </a:r>
                <a:r>
                  <a:rPr b="0" i="0" lang="en-US" sz="1100">
                    <a:solidFill>
                      <a:schemeClr val="lt1"/>
                    </a:solidFill>
                    <a:latin typeface="Arial"/>
                    <a:ea typeface="Arial"/>
                    <a:cs typeface="Arial"/>
                    <a:sym typeface="Arial"/>
                  </a:rPr>
                  <a:t> Trụ sở VP Hà Nội</a:t>
                </a:r>
                <a:endParaRPr sz="1400"/>
              </a:p>
              <a:p>
                <a:pPr indent="0" lvl="0" marL="0" rtl="0" algn="l">
                  <a:lnSpc>
                    <a:spcPct val="90000"/>
                  </a:lnSpc>
                  <a:spcBef>
                    <a:spcPts val="385"/>
                  </a:spcBef>
                  <a:spcAft>
                    <a:spcPts val="0"/>
                  </a:spcAft>
                  <a:buSzPts val="1100"/>
                  <a:buFont typeface="Arial"/>
                  <a:buNone/>
                </a:pPr>
                <a:r>
                  <a:rPr b="0" i="0" lang="en-US" sz="1100">
                    <a:solidFill>
                      <a:schemeClr val="lt1"/>
                    </a:solidFill>
                    <a:latin typeface="Arial"/>
                    <a:ea typeface="Arial"/>
                    <a:cs typeface="Arial"/>
                    <a:sym typeface="Arial"/>
                  </a:rPr>
                  <a:t>02: Trụ sở VP Hồ Chí Minh</a:t>
                </a:r>
                <a:endParaRPr sz="1400"/>
              </a:p>
              <a:p>
                <a:pPr indent="0" lvl="0" marL="0" rtl="0" algn="l">
                  <a:lnSpc>
                    <a:spcPct val="90000"/>
                  </a:lnSpc>
                  <a:spcBef>
                    <a:spcPts val="385"/>
                  </a:spcBef>
                  <a:spcAft>
                    <a:spcPts val="0"/>
                  </a:spcAft>
                  <a:buSzPts val="1100"/>
                  <a:buFont typeface="Arial"/>
                  <a:buNone/>
                </a:pPr>
                <a:r>
                  <a:rPr b="0" i="0" lang="en-US" sz="1100">
                    <a:solidFill>
                      <a:schemeClr val="lt1"/>
                    </a:solidFill>
                    <a:latin typeface="Arial"/>
                    <a:ea typeface="Arial"/>
                    <a:cs typeface="Arial"/>
                    <a:sym typeface="Arial"/>
                  </a:rPr>
                  <a:t>03: Trụ sở VP Đà Nẵng</a:t>
                </a:r>
                <a:endParaRPr sz="1400"/>
              </a:p>
              <a:p>
                <a:pPr indent="0" lvl="0" marL="0" rtl="0" algn="l">
                  <a:lnSpc>
                    <a:spcPct val="90000"/>
                  </a:lnSpc>
                  <a:spcBef>
                    <a:spcPts val="385"/>
                  </a:spcBef>
                  <a:spcAft>
                    <a:spcPts val="0"/>
                  </a:spcAft>
                  <a:buSzPts val="1100"/>
                  <a:buFont typeface="Arial"/>
                  <a:buNone/>
                </a:pPr>
                <a:r>
                  <a:rPr b="0" i="0" lang="en-US" sz="1100">
                    <a:solidFill>
                      <a:schemeClr val="lt1"/>
                    </a:solidFill>
                    <a:latin typeface="Arial"/>
                    <a:ea typeface="Arial"/>
                    <a:cs typeface="Arial"/>
                    <a:sym typeface="Arial"/>
                  </a:rPr>
                  <a:t>04: Trụ sở Buôn Mê Thuột</a:t>
                </a:r>
                <a:endParaRPr sz="1400"/>
              </a:p>
              <a:p>
                <a:pPr indent="0" lvl="0" marL="0" rtl="0" algn="l">
                  <a:lnSpc>
                    <a:spcPct val="90000"/>
                  </a:lnSpc>
                  <a:spcBef>
                    <a:spcPts val="385"/>
                  </a:spcBef>
                  <a:spcAft>
                    <a:spcPts val="0"/>
                  </a:spcAft>
                  <a:buSzPts val="1100"/>
                  <a:buFont typeface="Arial"/>
                  <a:buNone/>
                </a:pPr>
                <a:r>
                  <a:rPr b="0" i="0" lang="en-US" sz="1100">
                    <a:solidFill>
                      <a:schemeClr val="lt1"/>
                    </a:solidFill>
                    <a:latin typeface="Arial"/>
                    <a:ea typeface="Arial"/>
                    <a:cs typeface="Arial"/>
                    <a:sym typeface="Arial"/>
                  </a:rPr>
                  <a:t>05: Trụ sở Cần Thơ</a:t>
                </a:r>
                <a:endParaRPr sz="1400"/>
              </a:p>
              <a:p>
                <a:pPr indent="0" lvl="0" marL="0" rtl="0" algn="l">
                  <a:lnSpc>
                    <a:spcPct val="90000"/>
                  </a:lnSpc>
                  <a:spcBef>
                    <a:spcPts val="385"/>
                  </a:spcBef>
                  <a:spcAft>
                    <a:spcPts val="0"/>
                  </a:spcAft>
                  <a:buSzPts val="1100"/>
                  <a:buFont typeface="Arial"/>
                  <a:buNone/>
                </a:pPr>
                <a:r>
                  <a:rPr b="0" i="0" lang="en-US" sz="1100">
                    <a:solidFill>
                      <a:schemeClr val="lt1"/>
                    </a:solidFill>
                    <a:latin typeface="Arial"/>
                    <a:ea typeface="Arial"/>
                    <a:cs typeface="Arial"/>
                    <a:sym typeface="Arial"/>
                  </a:rPr>
                  <a:t>06: Trụ sở VP TCT</a:t>
                </a:r>
                <a:endParaRPr sz="1400"/>
              </a:p>
              <a:p>
                <a:pPr indent="0" lvl="0" marL="0" rtl="0" algn="l">
                  <a:lnSpc>
                    <a:spcPct val="90000"/>
                  </a:lnSpc>
                  <a:spcBef>
                    <a:spcPts val="385"/>
                  </a:spcBef>
                  <a:spcAft>
                    <a:spcPts val="0"/>
                  </a:spcAft>
                  <a:buSzPts val="1100"/>
                  <a:buFont typeface="Arial"/>
                  <a:buNone/>
                </a:pPr>
                <a:r>
                  <a:rPr b="0" i="0" lang="en-US" sz="1100">
                    <a:solidFill>
                      <a:schemeClr val="lt1"/>
                    </a:solidFill>
                    <a:latin typeface="Arial"/>
                    <a:ea typeface="Arial"/>
                    <a:cs typeface="Arial"/>
                    <a:sym typeface="Arial"/>
                  </a:rPr>
                  <a:t>07: Trụ sở KSX</a:t>
                </a:r>
                <a:endParaRPr sz="1400"/>
              </a:p>
              <a:p>
                <a:pPr indent="0" lvl="0" marL="0" rtl="0" algn="l">
                  <a:lnSpc>
                    <a:spcPct val="90000"/>
                  </a:lnSpc>
                  <a:spcBef>
                    <a:spcPts val="385"/>
                  </a:spcBef>
                  <a:spcAft>
                    <a:spcPts val="0"/>
                  </a:spcAft>
                  <a:buSzPts val="1100"/>
                  <a:buFont typeface="Arial"/>
                  <a:buNone/>
                </a:pPr>
                <a:r>
                  <a:rPr b="0" i="0" lang="en-US" sz="1100">
                    <a:solidFill>
                      <a:schemeClr val="lt1"/>
                    </a:solidFill>
                    <a:latin typeface="Arial"/>
                    <a:ea typeface="Arial"/>
                    <a:cs typeface="Arial"/>
                    <a:sym typeface="Arial"/>
                  </a:rPr>
                  <a:t>08: Trụ sở TT Hỗ trợ &amp; CSKH - HN</a:t>
                </a:r>
                <a:endParaRPr sz="1400"/>
              </a:p>
              <a:p>
                <a:pPr indent="0" lvl="0" marL="0" rtl="0" algn="l">
                  <a:lnSpc>
                    <a:spcPct val="90000"/>
                  </a:lnSpc>
                  <a:spcBef>
                    <a:spcPts val="385"/>
                  </a:spcBef>
                  <a:spcAft>
                    <a:spcPts val="0"/>
                  </a:spcAft>
                  <a:buSzPts val="1100"/>
                  <a:buFont typeface="Arial"/>
                  <a:buNone/>
                </a:pPr>
                <a:r>
                  <a:rPr b="0" i="0" lang="en-US" sz="1100">
                    <a:solidFill>
                      <a:schemeClr val="lt1"/>
                    </a:solidFill>
                    <a:latin typeface="Arial"/>
                    <a:ea typeface="Arial"/>
                    <a:cs typeface="Arial"/>
                    <a:sym typeface="Arial"/>
                  </a:rPr>
                  <a:t>09: Trụ sở TT Hỗ trợ &amp; CSKH - HCM</a:t>
                </a:r>
                <a:endParaRPr sz="1400"/>
              </a:p>
            </xdr:txBody>
          </xdr:sp>
        </xdr:grpSp>
        <xdr:grpSp>
          <xdr:nvGrpSpPr>
            <xdr:cNvPr id="22" name="Shape 22"/>
            <xdr:cNvGrpSpPr/>
          </xdr:nvGrpSpPr>
          <xdr:grpSpPr>
            <a:xfrm>
              <a:off x="6586888" y="939374"/>
              <a:ext cx="1766537" cy="4461301"/>
              <a:chOff x="5634388" y="939374"/>
              <a:chExt cx="1766537" cy="4461301"/>
            </a:xfrm>
          </xdr:grpSpPr>
          <xdr:grpSp>
            <xdr:nvGrpSpPr>
              <xdr:cNvPr id="23" name="Shape 23"/>
              <xdr:cNvGrpSpPr/>
            </xdr:nvGrpSpPr>
            <xdr:grpSpPr>
              <a:xfrm>
                <a:off x="5634388" y="939374"/>
                <a:ext cx="1766537" cy="4461301"/>
                <a:chOff x="5615338" y="891749"/>
                <a:chExt cx="1652237" cy="4461301"/>
              </a:xfrm>
            </xdr:grpSpPr>
            <xdr:sp>
              <xdr:nvSpPr>
                <xdr:cNvPr id="24" name="Shape 24"/>
                <xdr:cNvSpPr/>
              </xdr:nvSpPr>
              <xdr:spPr>
                <a:xfrm>
                  <a:off x="5615338" y="891749"/>
                  <a:ext cx="1652237" cy="4461301"/>
                </a:xfrm>
                <a:custGeom>
                  <a:rect b="b" l="l" r="r" t="t"/>
                  <a:pathLst>
                    <a:path extrusionOk="0" h="4461301" w="1756247">
                      <a:moveTo>
                        <a:pt x="0" y="292714"/>
                      </a:moveTo>
                      <a:cubicBezTo>
                        <a:pt x="0" y="131053"/>
                        <a:pt x="131053" y="0"/>
                        <a:pt x="292714" y="0"/>
                      </a:cubicBezTo>
                      <a:lnTo>
                        <a:pt x="1463533" y="0"/>
                      </a:lnTo>
                      <a:cubicBezTo>
                        <a:pt x="1625194" y="0"/>
                        <a:pt x="1756247" y="131053"/>
                        <a:pt x="1756247" y="292714"/>
                      </a:cubicBezTo>
                      <a:lnTo>
                        <a:pt x="1756247" y="4168587"/>
                      </a:lnTo>
                      <a:cubicBezTo>
                        <a:pt x="1756247" y="4330248"/>
                        <a:pt x="1625194" y="4461301"/>
                        <a:pt x="1463533" y="4461301"/>
                      </a:cubicBezTo>
                      <a:lnTo>
                        <a:pt x="292714" y="4461301"/>
                      </a:lnTo>
                      <a:cubicBezTo>
                        <a:pt x="131053" y="4461301"/>
                        <a:pt x="0" y="4330248"/>
                        <a:pt x="0" y="4168587"/>
                      </a:cubicBezTo>
                      <a:lnTo>
                        <a:pt x="0" y="292714"/>
                      </a:lnTo>
                      <a:close/>
                    </a:path>
                  </a:pathLst>
                </a:custGeom>
                <a:solidFill>
                  <a:srgbClr val="CCD3EA"/>
                </a:solidFill>
                <a:ln>
                  <a:noFill/>
                </a:ln>
              </xdr:spPr>
              <xdr:txBody>
                <a:bodyPr anchorCtr="0" anchor="ctr" bIns="3164800" lIns="41900" spcFirstLastPara="1" rIns="41900" wrap="square" tIns="41900">
                  <a:noAutofit/>
                </a:bodyPr>
                <a:lstStyle/>
                <a:p>
                  <a:pPr indent="0" lvl="0" marL="0" rtl="0" algn="ctr">
                    <a:lnSpc>
                      <a:spcPct val="90000"/>
                    </a:lnSpc>
                    <a:spcBef>
                      <a:spcPts val="0"/>
                    </a:spcBef>
                    <a:spcAft>
                      <a:spcPts val="0"/>
                    </a:spcAft>
                    <a:buSzPts val="1100"/>
                    <a:buFont typeface="Arial"/>
                    <a:buNone/>
                  </a:pPr>
                  <a:r>
                    <a:rPr b="1" i="0" lang="en-US" sz="1100">
                      <a:solidFill>
                        <a:schemeClr val="dk1"/>
                      </a:solidFill>
                      <a:latin typeface="Arial"/>
                      <a:ea typeface="Arial"/>
                      <a:cs typeface="Arial"/>
                      <a:sym typeface="Arial"/>
                    </a:rPr>
                    <a:t>Mã cấp</a:t>
                  </a:r>
                  <a:r>
                    <a:rPr b="1" i="0" lang="en-US" sz="1100">
                      <a:solidFill>
                        <a:schemeClr val="dk1"/>
                      </a:solidFill>
                      <a:latin typeface="Arial"/>
                      <a:ea typeface="Arial"/>
                      <a:cs typeface="Arial"/>
                      <a:sym typeface="Arial"/>
                    </a:rPr>
                    <a:t> 1 (</a:t>
                  </a:r>
                  <a:r>
                    <a:rPr b="1" i="0" lang="en-US" sz="1100">
                      <a:solidFill>
                        <a:schemeClr val="dk1"/>
                      </a:solidFill>
                      <a:latin typeface="Arial"/>
                      <a:ea typeface="Arial"/>
                      <a:cs typeface="Arial"/>
                      <a:sym typeface="Arial"/>
                    </a:rPr>
                    <a:t>Trung</a:t>
                  </a:r>
                  <a:r>
                    <a:rPr b="1" i="0" lang="en-US" sz="1100">
                      <a:solidFill>
                        <a:schemeClr val="dk1"/>
                      </a:solidFill>
                      <a:latin typeface="Arial"/>
                      <a:ea typeface="Arial"/>
                      <a:cs typeface="Arial"/>
                      <a:sym typeface="Arial"/>
                    </a:rPr>
                    <a:t> tâm/ cấp tương đương)</a:t>
                  </a:r>
                  <a:endParaRPr sz="1400"/>
                </a:p>
                <a:p>
                  <a:pPr indent="0" lvl="0" marL="0" rtl="0" algn="ctr">
                    <a:lnSpc>
                      <a:spcPct val="90000"/>
                    </a:lnSpc>
                    <a:spcBef>
                      <a:spcPts val="385"/>
                    </a:spcBef>
                    <a:spcAft>
                      <a:spcPts val="0"/>
                    </a:spcAft>
                    <a:buSzPts val="1100"/>
                    <a:buFont typeface="Arial"/>
                    <a:buNone/>
                  </a:pPr>
                  <a:r>
                    <a:rPr b="1" i="0" lang="en-US" sz="1100">
                      <a:solidFill>
                        <a:schemeClr val="dk1"/>
                      </a:solidFill>
                      <a:latin typeface="Arial"/>
                      <a:ea typeface="Arial"/>
                      <a:cs typeface="Arial"/>
                      <a:sym typeface="Arial"/>
                    </a:rPr>
                    <a:t>2 ký tự số</a:t>
                  </a:r>
                  <a:endParaRPr sz="1400"/>
                </a:p>
              </xdr:txBody>
            </xdr:sp>
            <xdr:sp>
              <xdr:nvSpPr>
                <xdr:cNvPr id="25" name="Shape 25"/>
                <xdr:cNvSpPr/>
              </xdr:nvSpPr>
              <xdr:spPr>
                <a:xfrm>
                  <a:off x="5732051" y="1933575"/>
                  <a:ext cx="1367155" cy="2095500"/>
                </a:xfrm>
                <a:custGeom>
                  <a:rect b="b" l="l" r="r" t="t"/>
                  <a:pathLst>
                    <a:path extrusionOk="0" h="1345143" w="1404997">
                      <a:moveTo>
                        <a:pt x="0" y="134514"/>
                      </a:moveTo>
                      <a:cubicBezTo>
                        <a:pt x="0" y="60224"/>
                        <a:pt x="60224" y="0"/>
                        <a:pt x="134514" y="0"/>
                      </a:cubicBezTo>
                      <a:lnTo>
                        <a:pt x="1270483" y="0"/>
                      </a:lnTo>
                      <a:cubicBezTo>
                        <a:pt x="1344773" y="0"/>
                        <a:pt x="1404997" y="60224"/>
                        <a:pt x="1404997" y="134514"/>
                      </a:cubicBezTo>
                      <a:lnTo>
                        <a:pt x="1404997" y="1210629"/>
                      </a:lnTo>
                      <a:cubicBezTo>
                        <a:pt x="1404997" y="1284919"/>
                        <a:pt x="1344773" y="1345143"/>
                        <a:pt x="1270483" y="1345143"/>
                      </a:cubicBezTo>
                      <a:lnTo>
                        <a:pt x="134514" y="1345143"/>
                      </a:lnTo>
                      <a:cubicBezTo>
                        <a:pt x="60224" y="1345143"/>
                        <a:pt x="0" y="1284919"/>
                        <a:pt x="0" y="1210629"/>
                      </a:cubicBezTo>
                      <a:lnTo>
                        <a:pt x="0" y="134514"/>
                      </a:lnTo>
                      <a:close/>
                    </a:path>
                  </a:pathLst>
                </a:custGeom>
                <a:gradFill>
                  <a:gsLst>
                    <a:gs pos="0">
                      <a:srgbClr val="5E81C9"/>
                    </a:gs>
                    <a:gs pos="50000">
                      <a:srgbClr val="3B70C9"/>
                    </a:gs>
                    <a:gs pos="100000">
                      <a:srgbClr val="2E60B8"/>
                    </a:gs>
                  </a:gsLst>
                  <a:lin ang="5400000" scaled="0"/>
                </a:gradFill>
                <a:ln>
                  <a:noFill/>
                </a:ln>
              </xdr:spPr>
              <xdr:txBody>
                <a:bodyPr anchorCtr="0" anchor="ctr" bIns="60350" lIns="67325" spcFirstLastPara="1" rIns="67325" wrap="square" tIns="60350">
                  <a:noAutofit/>
                </a:bodyPr>
                <a:lstStyle/>
                <a:p>
                  <a:pPr indent="0" lvl="0" marL="0" rtl="0" algn="l">
                    <a:lnSpc>
                      <a:spcPct val="90000"/>
                    </a:lnSpc>
                    <a:spcBef>
                      <a:spcPts val="0"/>
                    </a:spcBef>
                    <a:spcAft>
                      <a:spcPts val="0"/>
                    </a:spcAft>
                    <a:buSzPts val="1100"/>
                    <a:buFont typeface="Arial"/>
                    <a:buNone/>
                  </a:pPr>
                  <a:r>
                    <a:rPr b="0" i="0" lang="en-US" sz="1100">
                      <a:solidFill>
                        <a:schemeClr val="lt1"/>
                      </a:solidFill>
                      <a:latin typeface="Arial"/>
                      <a:ea typeface="Arial"/>
                      <a:cs typeface="Arial"/>
                      <a:sym typeface="Arial"/>
                    </a:rPr>
                    <a:t>Đánh</a:t>
                  </a:r>
                  <a:r>
                    <a:rPr b="0" i="0" lang="en-US" sz="1100">
                      <a:solidFill>
                        <a:schemeClr val="lt1"/>
                      </a:solidFill>
                      <a:latin typeface="Arial"/>
                      <a:ea typeface="Arial"/>
                      <a:cs typeface="Arial"/>
                      <a:sym typeface="Arial"/>
                    </a:rPr>
                    <a:t> số theo thứ tự</a:t>
                  </a:r>
                  <a:endParaRPr b="0" i="0" sz="1100">
                    <a:latin typeface="Arial"/>
                    <a:ea typeface="Arial"/>
                    <a:cs typeface="Arial"/>
                    <a:sym typeface="Arial"/>
                  </a:endParaRPr>
                </a:p>
              </xdr:txBody>
            </xdr:sp>
          </xdr:grpSp>
          <xdr:sp>
            <xdr:nvSpPr>
              <xdr:cNvPr id="26" name="Shape 26"/>
              <xdr:cNvSpPr/>
            </xdr:nvSpPr>
            <xdr:spPr>
              <a:xfrm>
                <a:off x="5805838" y="4282649"/>
                <a:ext cx="1391849" cy="927526"/>
              </a:xfrm>
              <a:custGeom>
                <a:rect b="b" l="l" r="r" t="t"/>
                <a:pathLst>
                  <a:path extrusionOk="0" h="1345143" w="1404997">
                    <a:moveTo>
                      <a:pt x="0" y="134514"/>
                    </a:moveTo>
                    <a:cubicBezTo>
                      <a:pt x="0" y="60224"/>
                      <a:pt x="60224" y="0"/>
                      <a:pt x="134514" y="0"/>
                    </a:cubicBezTo>
                    <a:lnTo>
                      <a:pt x="1270483" y="0"/>
                    </a:lnTo>
                    <a:cubicBezTo>
                      <a:pt x="1344773" y="0"/>
                      <a:pt x="1404997" y="60224"/>
                      <a:pt x="1404997" y="134514"/>
                    </a:cubicBezTo>
                    <a:lnTo>
                      <a:pt x="1404997" y="1210629"/>
                    </a:lnTo>
                    <a:cubicBezTo>
                      <a:pt x="1404997" y="1284919"/>
                      <a:pt x="1344773" y="1345143"/>
                      <a:pt x="1270483" y="1345143"/>
                    </a:cubicBezTo>
                    <a:lnTo>
                      <a:pt x="134514" y="1345143"/>
                    </a:lnTo>
                    <a:cubicBezTo>
                      <a:pt x="60224" y="1345143"/>
                      <a:pt x="0" y="1284919"/>
                      <a:pt x="0" y="1210629"/>
                    </a:cubicBezTo>
                    <a:lnTo>
                      <a:pt x="0" y="134514"/>
                    </a:lnTo>
                    <a:close/>
                  </a:path>
                </a:pathLst>
              </a:custGeom>
              <a:gradFill>
                <a:gsLst>
                  <a:gs pos="0">
                    <a:srgbClr val="5E81C9"/>
                  </a:gs>
                  <a:gs pos="50000">
                    <a:srgbClr val="3B70C9"/>
                  </a:gs>
                  <a:gs pos="100000">
                    <a:srgbClr val="2E60B8"/>
                  </a:gs>
                </a:gsLst>
                <a:lin ang="5400000" scaled="0"/>
              </a:gradFill>
              <a:ln>
                <a:noFill/>
              </a:ln>
            </xdr:spPr>
            <xdr:txBody>
              <a:bodyPr anchorCtr="0" anchor="ctr" bIns="60350" lIns="67325" spcFirstLastPara="1" rIns="67325" wrap="square" tIns="60350">
                <a:noAutofit/>
              </a:bodyPr>
              <a:lstStyle/>
              <a:p>
                <a:pPr indent="0" lvl="0" marL="0" rtl="0" algn="l">
                  <a:lnSpc>
                    <a:spcPct val="90000"/>
                  </a:lnSpc>
                  <a:spcBef>
                    <a:spcPts val="0"/>
                  </a:spcBef>
                  <a:spcAft>
                    <a:spcPts val="0"/>
                  </a:spcAft>
                  <a:buSzPts val="1100"/>
                  <a:buFont typeface="Arial"/>
                  <a:buNone/>
                </a:pPr>
                <a:r>
                  <a:rPr b="0" i="0" lang="en-US" sz="1100">
                    <a:solidFill>
                      <a:schemeClr val="lt1"/>
                    </a:solidFill>
                    <a:latin typeface="Arial"/>
                    <a:ea typeface="Arial"/>
                    <a:cs typeface="Arial"/>
                    <a:sym typeface="Arial"/>
                  </a:rPr>
                  <a:t>Số thứ tự mã</a:t>
                </a:r>
                <a:r>
                  <a:rPr b="0" i="0" lang="en-US" sz="1100">
                    <a:solidFill>
                      <a:schemeClr val="lt1"/>
                    </a:solidFill>
                    <a:latin typeface="Arial"/>
                    <a:ea typeface="Arial"/>
                    <a:cs typeface="Arial"/>
                    <a:sym typeface="Arial"/>
                  </a:rPr>
                  <a:t> trung tâm </a:t>
                </a:r>
                <a:r>
                  <a:rPr b="0" i="0" lang="en-US" sz="1100">
                    <a:solidFill>
                      <a:schemeClr val="lt1"/>
                    </a:solidFill>
                    <a:latin typeface="Arial"/>
                    <a:ea typeface="Arial"/>
                    <a:cs typeface="Arial"/>
                    <a:sym typeface="Arial"/>
                  </a:rPr>
                  <a:t>phụ thuộc vào mã</a:t>
                </a:r>
                <a:r>
                  <a:rPr b="0" i="0" lang="en-US" sz="1100">
                    <a:solidFill>
                      <a:schemeClr val="lt1"/>
                    </a:solidFill>
                    <a:latin typeface="Arial"/>
                    <a:ea typeface="Arial"/>
                    <a:cs typeface="Arial"/>
                    <a:sym typeface="Arial"/>
                  </a:rPr>
                  <a:t> khối/ mã thị trường</a:t>
                </a:r>
                <a:endParaRPr b="0" i="0" sz="1100">
                  <a:latin typeface="Arial"/>
                  <a:ea typeface="Arial"/>
                  <a:cs typeface="Arial"/>
                  <a:sym typeface="Arial"/>
                </a:endParaRPr>
              </a:p>
            </xdr:txBody>
          </xdr:sp>
        </xdr:grpSp>
        <xdr:grpSp>
          <xdr:nvGrpSpPr>
            <xdr:cNvPr id="27" name="Shape 27"/>
            <xdr:cNvGrpSpPr/>
          </xdr:nvGrpSpPr>
          <xdr:grpSpPr>
            <a:xfrm>
              <a:off x="8485760" y="939374"/>
              <a:ext cx="1763140" cy="4461301"/>
              <a:chOff x="7533260" y="939374"/>
              <a:chExt cx="1763140" cy="4461301"/>
            </a:xfrm>
          </xdr:grpSpPr>
          <xdr:grpSp>
            <xdr:nvGrpSpPr>
              <xdr:cNvPr id="28" name="Shape 28"/>
              <xdr:cNvGrpSpPr/>
            </xdr:nvGrpSpPr>
            <xdr:grpSpPr>
              <a:xfrm>
                <a:off x="7533260" y="939374"/>
                <a:ext cx="1763140" cy="4461301"/>
                <a:chOff x="9400160" y="5177999"/>
                <a:chExt cx="1763140" cy="4461301"/>
              </a:xfrm>
            </xdr:grpSpPr>
            <xdr:sp>
              <xdr:nvSpPr>
                <xdr:cNvPr id="29" name="Shape 29"/>
                <xdr:cNvSpPr/>
              </xdr:nvSpPr>
              <xdr:spPr>
                <a:xfrm>
                  <a:off x="9400160" y="5177999"/>
                  <a:ext cx="1763140" cy="4461301"/>
                </a:xfrm>
                <a:custGeom>
                  <a:rect b="b" l="l" r="r" t="t"/>
                  <a:pathLst>
                    <a:path extrusionOk="0" h="4461301" w="1756247">
                      <a:moveTo>
                        <a:pt x="0" y="292714"/>
                      </a:moveTo>
                      <a:cubicBezTo>
                        <a:pt x="0" y="131053"/>
                        <a:pt x="131053" y="0"/>
                        <a:pt x="292714" y="0"/>
                      </a:cubicBezTo>
                      <a:lnTo>
                        <a:pt x="1463533" y="0"/>
                      </a:lnTo>
                      <a:cubicBezTo>
                        <a:pt x="1625194" y="0"/>
                        <a:pt x="1756247" y="131053"/>
                        <a:pt x="1756247" y="292714"/>
                      </a:cubicBezTo>
                      <a:lnTo>
                        <a:pt x="1756247" y="4168587"/>
                      </a:lnTo>
                      <a:cubicBezTo>
                        <a:pt x="1756247" y="4330248"/>
                        <a:pt x="1625194" y="4461301"/>
                        <a:pt x="1463533" y="4461301"/>
                      </a:cubicBezTo>
                      <a:lnTo>
                        <a:pt x="292714" y="4461301"/>
                      </a:lnTo>
                      <a:cubicBezTo>
                        <a:pt x="131053" y="4461301"/>
                        <a:pt x="0" y="4330248"/>
                        <a:pt x="0" y="4168587"/>
                      </a:cubicBezTo>
                      <a:lnTo>
                        <a:pt x="0" y="292714"/>
                      </a:lnTo>
                      <a:close/>
                    </a:path>
                  </a:pathLst>
                </a:custGeom>
                <a:solidFill>
                  <a:srgbClr val="CCD3EA"/>
                </a:solidFill>
                <a:ln>
                  <a:noFill/>
                </a:ln>
              </xdr:spPr>
              <xdr:txBody>
                <a:bodyPr anchorCtr="0" anchor="ctr" bIns="3164800" lIns="41900" spcFirstLastPara="1" rIns="41900" wrap="square" tIns="41900">
                  <a:noAutofit/>
                </a:bodyPr>
                <a:lstStyle/>
                <a:p>
                  <a:pPr indent="0" lvl="0" marL="0" rtl="0" algn="ctr">
                    <a:lnSpc>
                      <a:spcPct val="90000"/>
                    </a:lnSpc>
                    <a:spcBef>
                      <a:spcPts val="0"/>
                    </a:spcBef>
                    <a:spcAft>
                      <a:spcPts val="0"/>
                    </a:spcAft>
                    <a:buSzPts val="1100"/>
                    <a:buFont typeface="Arial"/>
                    <a:buNone/>
                  </a:pPr>
                  <a:r>
                    <a:rPr b="1" i="0" lang="en-US" sz="1100">
                      <a:solidFill>
                        <a:schemeClr val="dk1"/>
                      </a:solidFill>
                      <a:latin typeface="Arial"/>
                      <a:ea typeface="Arial"/>
                      <a:cs typeface="Arial"/>
                      <a:sym typeface="Arial"/>
                    </a:rPr>
                    <a:t>Mã cấp</a:t>
                  </a:r>
                  <a:r>
                    <a:rPr b="1" i="0" lang="en-US" sz="1100">
                      <a:solidFill>
                        <a:schemeClr val="dk1"/>
                      </a:solidFill>
                      <a:latin typeface="Arial"/>
                      <a:ea typeface="Arial"/>
                      <a:cs typeface="Arial"/>
                      <a:sym typeface="Arial"/>
                    </a:rPr>
                    <a:t> 2</a:t>
                  </a:r>
                  <a:r>
                    <a:rPr b="1" i="0" lang="en-US" sz="1100">
                      <a:solidFill>
                        <a:schemeClr val="dk1"/>
                      </a:solidFill>
                      <a:latin typeface="Arial"/>
                      <a:ea typeface="Arial"/>
                      <a:cs typeface="Arial"/>
                      <a:sym typeface="Arial"/>
                    </a:rPr>
                    <a:t> (Phòng/</a:t>
                  </a:r>
                  <a:r>
                    <a:rPr b="1" i="0" lang="en-US" sz="1100">
                      <a:solidFill>
                        <a:schemeClr val="dk1"/>
                      </a:solidFill>
                      <a:latin typeface="Arial"/>
                      <a:ea typeface="Arial"/>
                      <a:cs typeface="Arial"/>
                      <a:sym typeface="Arial"/>
                    </a:rPr>
                    <a:t> Cấp tương đương)</a:t>
                  </a:r>
                  <a:endParaRPr b="1" i="0" sz="1100">
                    <a:latin typeface="Arial"/>
                    <a:ea typeface="Arial"/>
                    <a:cs typeface="Arial"/>
                    <a:sym typeface="Arial"/>
                  </a:endParaRPr>
                </a:p>
                <a:p>
                  <a:pPr indent="0" lvl="0" marL="0" rtl="0" algn="ctr">
                    <a:lnSpc>
                      <a:spcPct val="90000"/>
                    </a:lnSpc>
                    <a:spcBef>
                      <a:spcPts val="385"/>
                    </a:spcBef>
                    <a:spcAft>
                      <a:spcPts val="0"/>
                    </a:spcAft>
                    <a:buSzPts val="1100"/>
                    <a:buFont typeface="Arial"/>
                    <a:buNone/>
                  </a:pPr>
                  <a:r>
                    <a:rPr b="1" i="0" lang="en-US" sz="1100">
                      <a:solidFill>
                        <a:schemeClr val="dk1"/>
                      </a:solidFill>
                      <a:latin typeface="Arial"/>
                      <a:ea typeface="Arial"/>
                      <a:cs typeface="Arial"/>
                      <a:sym typeface="Arial"/>
                    </a:rPr>
                    <a:t>2 ký tự số</a:t>
                  </a:r>
                  <a:endParaRPr sz="1400"/>
                </a:p>
              </xdr:txBody>
            </xdr:sp>
            <xdr:sp>
              <xdr:nvSpPr>
                <xdr:cNvPr id="30" name="Shape 30"/>
                <xdr:cNvSpPr/>
              </xdr:nvSpPr>
              <xdr:spPr>
                <a:xfrm>
                  <a:off x="9544049" y="6210301"/>
                  <a:ext cx="1417835" cy="2095500"/>
                </a:xfrm>
                <a:custGeom>
                  <a:rect b="b" l="l" r="r" t="t"/>
                  <a:pathLst>
                    <a:path extrusionOk="0" h="2899845" w="1404997">
                      <a:moveTo>
                        <a:pt x="0" y="140500"/>
                      </a:moveTo>
                      <a:cubicBezTo>
                        <a:pt x="0" y="62904"/>
                        <a:pt x="62904" y="0"/>
                        <a:pt x="140500" y="0"/>
                      </a:cubicBezTo>
                      <a:lnTo>
                        <a:pt x="1264497" y="0"/>
                      </a:lnTo>
                      <a:cubicBezTo>
                        <a:pt x="1342093" y="0"/>
                        <a:pt x="1404997" y="62904"/>
                        <a:pt x="1404997" y="140500"/>
                      </a:cubicBezTo>
                      <a:lnTo>
                        <a:pt x="1404997" y="2759345"/>
                      </a:lnTo>
                      <a:cubicBezTo>
                        <a:pt x="1404997" y="2836941"/>
                        <a:pt x="1342093" y="2899845"/>
                        <a:pt x="1264497" y="2899845"/>
                      </a:cubicBezTo>
                      <a:lnTo>
                        <a:pt x="140500" y="2899845"/>
                      </a:lnTo>
                      <a:cubicBezTo>
                        <a:pt x="62904" y="2899845"/>
                        <a:pt x="0" y="2836941"/>
                        <a:pt x="0" y="2759345"/>
                      </a:cubicBezTo>
                      <a:lnTo>
                        <a:pt x="0" y="140500"/>
                      </a:lnTo>
                      <a:close/>
                    </a:path>
                  </a:pathLst>
                </a:custGeom>
                <a:gradFill>
                  <a:gsLst>
                    <a:gs pos="0">
                      <a:srgbClr val="5E81C9"/>
                    </a:gs>
                    <a:gs pos="50000">
                      <a:srgbClr val="3B70C9"/>
                    </a:gs>
                    <a:gs pos="100000">
                      <a:srgbClr val="2E60B8"/>
                    </a:gs>
                  </a:gsLst>
                  <a:lin ang="5400000" scaled="0"/>
                </a:gradFill>
                <a:ln>
                  <a:noFill/>
                </a:ln>
              </xdr:spPr>
              <xdr:txBody>
                <a:bodyPr anchorCtr="0" anchor="ctr" bIns="62100" lIns="69075" spcFirstLastPara="1" rIns="69075" wrap="square" tIns="62100">
                  <a:noAutofit/>
                </a:bodyPr>
                <a:lstStyle/>
                <a:p>
                  <a:pPr indent="0" lvl="0" marL="0" rtl="0" algn="l">
                    <a:lnSpc>
                      <a:spcPct val="90000"/>
                    </a:lnSpc>
                    <a:spcBef>
                      <a:spcPts val="0"/>
                    </a:spcBef>
                    <a:spcAft>
                      <a:spcPts val="0"/>
                    </a:spcAft>
                    <a:buSzPts val="1100"/>
                    <a:buFont typeface="Arial"/>
                    <a:buNone/>
                  </a:pPr>
                  <a:r>
                    <a:rPr b="0" i="0" lang="en-US" sz="1100">
                      <a:solidFill>
                        <a:schemeClr val="lt1"/>
                      </a:solidFill>
                      <a:latin typeface="Arial"/>
                      <a:ea typeface="Arial"/>
                      <a:cs typeface="Arial"/>
                      <a:sym typeface="Arial"/>
                    </a:rPr>
                    <a:t>Đánh</a:t>
                  </a:r>
                  <a:r>
                    <a:rPr b="0" i="0" lang="en-US" sz="1100">
                      <a:solidFill>
                        <a:schemeClr val="lt1"/>
                      </a:solidFill>
                      <a:latin typeface="Arial"/>
                      <a:ea typeface="Arial"/>
                      <a:cs typeface="Arial"/>
                      <a:sym typeface="Arial"/>
                    </a:rPr>
                    <a:t> số theo thứ tự</a:t>
                  </a:r>
                  <a:endParaRPr b="0" i="0" sz="1100">
                    <a:latin typeface="Arial"/>
                    <a:ea typeface="Arial"/>
                    <a:cs typeface="Arial"/>
                    <a:sym typeface="Arial"/>
                  </a:endParaRPr>
                </a:p>
              </xdr:txBody>
            </xdr:sp>
          </xdr:grpSp>
          <xdr:sp>
            <xdr:nvSpPr>
              <xdr:cNvPr id="31" name="Shape 31"/>
              <xdr:cNvSpPr/>
            </xdr:nvSpPr>
            <xdr:spPr>
              <a:xfrm>
                <a:off x="7714235" y="4295776"/>
                <a:ext cx="1391849" cy="923924"/>
              </a:xfrm>
              <a:custGeom>
                <a:rect b="b" l="l" r="r" t="t"/>
                <a:pathLst>
                  <a:path extrusionOk="0" h="1345143" w="1404997">
                    <a:moveTo>
                      <a:pt x="0" y="134514"/>
                    </a:moveTo>
                    <a:cubicBezTo>
                      <a:pt x="0" y="60224"/>
                      <a:pt x="60224" y="0"/>
                      <a:pt x="134514" y="0"/>
                    </a:cubicBezTo>
                    <a:lnTo>
                      <a:pt x="1270483" y="0"/>
                    </a:lnTo>
                    <a:cubicBezTo>
                      <a:pt x="1344773" y="0"/>
                      <a:pt x="1404997" y="60224"/>
                      <a:pt x="1404997" y="134514"/>
                    </a:cubicBezTo>
                    <a:lnTo>
                      <a:pt x="1404997" y="1210629"/>
                    </a:lnTo>
                    <a:cubicBezTo>
                      <a:pt x="1404997" y="1284919"/>
                      <a:pt x="1344773" y="1345143"/>
                      <a:pt x="1270483" y="1345143"/>
                    </a:cubicBezTo>
                    <a:lnTo>
                      <a:pt x="134514" y="1345143"/>
                    </a:lnTo>
                    <a:cubicBezTo>
                      <a:pt x="60224" y="1345143"/>
                      <a:pt x="0" y="1284919"/>
                      <a:pt x="0" y="1210629"/>
                    </a:cubicBezTo>
                    <a:lnTo>
                      <a:pt x="0" y="134514"/>
                    </a:lnTo>
                    <a:close/>
                  </a:path>
                </a:pathLst>
              </a:custGeom>
              <a:gradFill>
                <a:gsLst>
                  <a:gs pos="0">
                    <a:srgbClr val="5E81C9"/>
                  </a:gs>
                  <a:gs pos="50000">
                    <a:srgbClr val="3B70C9"/>
                  </a:gs>
                  <a:gs pos="100000">
                    <a:srgbClr val="2E60B8"/>
                  </a:gs>
                </a:gsLst>
                <a:lin ang="5400000" scaled="0"/>
              </a:gradFill>
              <a:ln>
                <a:noFill/>
              </a:ln>
            </xdr:spPr>
            <xdr:txBody>
              <a:bodyPr anchorCtr="0" anchor="ctr" bIns="60350" lIns="67325" spcFirstLastPara="1" rIns="67325" wrap="square" tIns="60350">
                <a:noAutofit/>
              </a:bodyPr>
              <a:lstStyle/>
              <a:p>
                <a:pPr indent="0" lvl="0" marL="0" rtl="0" algn="l">
                  <a:lnSpc>
                    <a:spcPct val="90000"/>
                  </a:lnSpc>
                  <a:spcBef>
                    <a:spcPts val="0"/>
                  </a:spcBef>
                  <a:spcAft>
                    <a:spcPts val="0"/>
                  </a:spcAft>
                  <a:buSzPts val="1100"/>
                  <a:buFont typeface="Arial"/>
                  <a:buNone/>
                </a:pPr>
                <a:r>
                  <a:rPr b="0" i="0" lang="en-US" sz="1100">
                    <a:solidFill>
                      <a:schemeClr val="lt1"/>
                    </a:solidFill>
                    <a:latin typeface="Arial"/>
                    <a:ea typeface="Arial"/>
                    <a:cs typeface="Arial"/>
                    <a:sym typeface="Arial"/>
                  </a:rPr>
                  <a:t>Số thứ tự mã</a:t>
                </a:r>
                <a:r>
                  <a:rPr b="0" i="0" lang="en-US" sz="1100">
                    <a:solidFill>
                      <a:schemeClr val="lt1"/>
                    </a:solidFill>
                    <a:latin typeface="Arial"/>
                    <a:ea typeface="Arial"/>
                    <a:cs typeface="Arial"/>
                    <a:sym typeface="Arial"/>
                  </a:rPr>
                  <a:t> phòng </a:t>
                </a:r>
                <a:r>
                  <a:rPr b="0" i="0" lang="en-US" sz="1100">
                    <a:solidFill>
                      <a:schemeClr val="lt1"/>
                    </a:solidFill>
                    <a:latin typeface="Arial"/>
                    <a:ea typeface="Arial"/>
                    <a:cs typeface="Arial"/>
                    <a:sym typeface="Arial"/>
                  </a:rPr>
                  <a:t>phụ thuộc vào mã</a:t>
                </a:r>
                <a:r>
                  <a:rPr b="0" i="0" lang="en-US" sz="1100">
                    <a:solidFill>
                      <a:schemeClr val="lt1"/>
                    </a:solidFill>
                    <a:latin typeface="Arial"/>
                    <a:ea typeface="Arial"/>
                    <a:cs typeface="Arial"/>
                    <a:sym typeface="Arial"/>
                  </a:rPr>
                  <a:t> trung tâm</a:t>
                </a:r>
                <a:endParaRPr b="0" i="0" sz="1100">
                  <a:latin typeface="Arial"/>
                  <a:ea typeface="Arial"/>
                  <a:cs typeface="Arial"/>
                  <a:sym typeface="Arial"/>
                </a:endParaRPr>
              </a:p>
            </xdr:txBody>
          </xdr:sp>
        </xdr:grpSp>
      </xdr:grpSp>
    </xdr:grpSp>
    <xdr:clientData fLocksWithSheet="0"/>
  </xdr:oneCellAnchor>
  <xdr:oneCellAnchor>
    <xdr:from>
      <xdr:col>11</xdr:col>
      <xdr:colOff>466725</xdr:colOff>
      <xdr:row>4</xdr:row>
      <xdr:rowOff>180975</xdr:rowOff>
    </xdr:from>
    <xdr:ext cx="8258175" cy="2628900"/>
    <xdr:grpSp>
      <xdr:nvGrpSpPr>
        <xdr:cNvPr id="2" name="Shape 2"/>
        <xdr:cNvGrpSpPr/>
      </xdr:nvGrpSpPr>
      <xdr:grpSpPr>
        <a:xfrm>
          <a:off x="1216913" y="2465550"/>
          <a:ext cx="8258174" cy="2628889"/>
          <a:chOff x="1216913" y="2465550"/>
          <a:chExt cx="8258174" cy="2628889"/>
        </a:xfrm>
      </xdr:grpSpPr>
      <xdr:grpSp>
        <xdr:nvGrpSpPr>
          <xdr:cNvPr id="32" name="Shape 32"/>
          <xdr:cNvGrpSpPr/>
        </xdr:nvGrpSpPr>
        <xdr:grpSpPr>
          <a:xfrm>
            <a:off x="1216913" y="2465550"/>
            <a:ext cx="8258174" cy="2628889"/>
            <a:chOff x="17754600" y="1172164"/>
            <a:chExt cx="7248525" cy="2628300"/>
          </a:xfrm>
        </xdr:grpSpPr>
        <xdr:sp>
          <xdr:nvSpPr>
            <xdr:cNvPr id="4" name="Shape 4"/>
            <xdr:cNvSpPr/>
          </xdr:nvSpPr>
          <xdr:spPr>
            <a:xfrm>
              <a:off x="17754600" y="1172164"/>
              <a:ext cx="7248525" cy="2628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3" name="Shape 33"/>
            <xdr:cNvGrpSpPr/>
          </xdr:nvGrpSpPr>
          <xdr:grpSpPr>
            <a:xfrm>
              <a:off x="17754600" y="2634975"/>
              <a:ext cx="7244334" cy="842600"/>
              <a:chOff x="17754600" y="2634975"/>
              <a:chExt cx="7244334" cy="842600"/>
            </a:xfrm>
          </xdr:grpSpPr>
          <xdr:grpSp>
            <xdr:nvGrpSpPr>
              <xdr:cNvPr id="34" name="Shape 34"/>
              <xdr:cNvGrpSpPr/>
            </xdr:nvGrpSpPr>
            <xdr:grpSpPr>
              <a:xfrm>
                <a:off x="17754600" y="2639688"/>
                <a:ext cx="1126534" cy="837493"/>
                <a:chOff x="17754600" y="2639688"/>
                <a:chExt cx="1126534" cy="837493"/>
              </a:xfrm>
            </xdr:grpSpPr>
            <xdr:sp>
              <xdr:nvSpPr>
                <xdr:cNvPr id="35" name="Shape 35"/>
                <xdr:cNvSpPr/>
              </xdr:nvSpPr>
              <xdr:spPr>
                <a:xfrm rot="10800000">
                  <a:off x="17754600" y="2639688"/>
                  <a:ext cx="1126534" cy="837493"/>
                </a:xfrm>
                <a:prstGeom prst="wedgeRectCallout">
                  <a:avLst>
                    <a:gd fmla="val -50824" name="adj1"/>
                    <a:gd fmla="val 81591" name="adj2"/>
                  </a:avLst>
                </a:prstGeom>
                <a:solidFill>
                  <a:schemeClr val="accent1"/>
                </a:solidFill>
                <a:ln cap="flat" cmpd="sng" w="12700">
                  <a:solidFill>
                    <a:srgbClr val="31538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100"/>
                </a:p>
              </xdr:txBody>
            </xdr:sp>
            <xdr:sp>
              <xdr:nvSpPr>
                <xdr:cNvPr id="36" name="Shape 36"/>
                <xdr:cNvSpPr txBox="1"/>
              </xdr:nvSpPr>
              <xdr:spPr>
                <a:xfrm>
                  <a:off x="17859375" y="2724150"/>
                  <a:ext cx="904875" cy="628650"/>
                </a:xfrm>
                <a:prstGeom prst="rect">
                  <a:avLst/>
                </a:prstGeom>
                <a:solidFill>
                  <a:schemeClr val="accen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chemeClr val="lt1"/>
                      </a:solidFill>
                      <a:latin typeface="Calibri"/>
                      <a:ea typeface="Calibri"/>
                      <a:cs typeface="Calibri"/>
                      <a:sym typeface="Calibri"/>
                    </a:rPr>
                    <a:t>L02</a:t>
                  </a:r>
                  <a:endParaRPr sz="1400"/>
                </a:p>
                <a:p>
                  <a:pPr indent="0" lvl="0" marL="0" rtl="0" algn="ctr">
                    <a:spcBef>
                      <a:spcPts val="0"/>
                    </a:spcBef>
                    <a:spcAft>
                      <a:spcPts val="0"/>
                    </a:spcAft>
                    <a:buNone/>
                  </a:pPr>
                  <a:r>
                    <a:rPr lang="en-US" sz="1200">
                      <a:solidFill>
                        <a:schemeClr val="lt1"/>
                      </a:solidFill>
                      <a:latin typeface="Calibri"/>
                      <a:ea typeface="Calibri"/>
                      <a:cs typeface="Calibri"/>
                      <a:sym typeface="Calibri"/>
                    </a:rPr>
                    <a:t>Mã</a:t>
                  </a:r>
                  <a:r>
                    <a:rPr lang="en-US" sz="1200">
                      <a:solidFill>
                        <a:schemeClr val="lt1"/>
                      </a:solidFill>
                      <a:latin typeface="Calibri"/>
                      <a:ea typeface="Calibri"/>
                      <a:cs typeface="Calibri"/>
                      <a:sym typeface="Calibri"/>
                    </a:rPr>
                    <a:t> Khối</a:t>
                  </a:r>
                  <a:endParaRPr sz="1200">
                    <a:solidFill>
                      <a:schemeClr val="lt1"/>
                    </a:solidFill>
                  </a:endParaRPr>
                </a:p>
              </xdr:txBody>
            </xdr:sp>
          </xdr:grpSp>
          <xdr:grpSp>
            <xdr:nvGrpSpPr>
              <xdr:cNvPr id="37" name="Shape 37"/>
              <xdr:cNvGrpSpPr/>
            </xdr:nvGrpSpPr>
            <xdr:grpSpPr>
              <a:xfrm>
                <a:off x="18892493" y="2634975"/>
                <a:ext cx="1014984" cy="837493"/>
                <a:chOff x="18892493" y="2634975"/>
                <a:chExt cx="1014984" cy="837493"/>
              </a:xfrm>
            </xdr:grpSpPr>
            <xdr:sp>
              <xdr:nvSpPr>
                <xdr:cNvPr id="38" name="Shape 38"/>
                <xdr:cNvSpPr/>
              </xdr:nvSpPr>
              <xdr:spPr>
                <a:xfrm rot="10800000">
                  <a:off x="18892493" y="2634975"/>
                  <a:ext cx="1014984" cy="837493"/>
                </a:xfrm>
                <a:prstGeom prst="wedgeRectCallout">
                  <a:avLst>
                    <a:gd fmla="val -35345" name="adj1"/>
                    <a:gd fmla="val 87558" name="adj2"/>
                  </a:avLst>
                </a:prstGeom>
                <a:solidFill>
                  <a:schemeClr val="accent1"/>
                </a:solidFill>
                <a:ln cap="flat" cmpd="sng" w="12700">
                  <a:solidFill>
                    <a:srgbClr val="31538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100"/>
                </a:p>
              </xdr:txBody>
            </xdr:sp>
            <xdr:sp>
              <xdr:nvSpPr>
                <xdr:cNvPr id="39" name="Shape 39"/>
                <xdr:cNvSpPr txBox="1"/>
              </xdr:nvSpPr>
              <xdr:spPr>
                <a:xfrm>
                  <a:off x="18954750" y="2743200"/>
                  <a:ext cx="904875" cy="628650"/>
                </a:xfrm>
                <a:prstGeom prst="rect">
                  <a:avLst/>
                </a:prstGeom>
                <a:solidFill>
                  <a:schemeClr val="accen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chemeClr val="lt1"/>
                      </a:solidFill>
                      <a:latin typeface="Calibri"/>
                      <a:ea typeface="Calibri"/>
                      <a:cs typeface="Calibri"/>
                      <a:sym typeface="Calibri"/>
                    </a:rPr>
                    <a:t>02</a:t>
                  </a:r>
                  <a:endParaRPr sz="1400"/>
                </a:p>
                <a:p>
                  <a:pPr indent="0" lvl="0" marL="0" rtl="0" algn="ctr">
                    <a:spcBef>
                      <a:spcPts val="0"/>
                    </a:spcBef>
                    <a:spcAft>
                      <a:spcPts val="0"/>
                    </a:spcAft>
                    <a:buNone/>
                  </a:pPr>
                  <a:r>
                    <a:rPr lang="en-US" sz="1100">
                      <a:solidFill>
                        <a:schemeClr val="lt1"/>
                      </a:solidFill>
                      <a:latin typeface="Calibri"/>
                      <a:ea typeface="Calibri"/>
                      <a:cs typeface="Calibri"/>
                      <a:sym typeface="Calibri"/>
                    </a:rPr>
                    <a:t>Mã</a:t>
                  </a:r>
                  <a:r>
                    <a:rPr lang="en-US" sz="1100">
                      <a:solidFill>
                        <a:schemeClr val="lt1"/>
                      </a:solidFill>
                      <a:latin typeface="Calibri"/>
                      <a:ea typeface="Calibri"/>
                      <a:cs typeface="Calibri"/>
                      <a:sym typeface="Calibri"/>
                    </a:rPr>
                    <a:t> Thị trường</a:t>
                  </a:r>
                  <a:endParaRPr sz="1100">
                    <a:solidFill>
                      <a:schemeClr val="lt1"/>
                    </a:solidFill>
                  </a:endParaRPr>
                </a:p>
              </xdr:txBody>
            </xdr:sp>
          </xdr:grpSp>
          <xdr:grpSp>
            <xdr:nvGrpSpPr>
              <xdr:cNvPr id="40" name="Shape 40"/>
              <xdr:cNvGrpSpPr/>
            </xdr:nvGrpSpPr>
            <xdr:grpSpPr>
              <a:xfrm>
                <a:off x="22179797" y="2640082"/>
                <a:ext cx="1014984" cy="837493"/>
                <a:chOff x="22179797" y="2640082"/>
                <a:chExt cx="1014984" cy="837493"/>
              </a:xfrm>
            </xdr:grpSpPr>
            <xdr:sp>
              <xdr:nvSpPr>
                <xdr:cNvPr id="41" name="Shape 41"/>
                <xdr:cNvSpPr/>
              </xdr:nvSpPr>
              <xdr:spPr>
                <a:xfrm rot="10800000">
                  <a:off x="22179797" y="2640082"/>
                  <a:ext cx="1014984" cy="837493"/>
                </a:xfrm>
                <a:prstGeom prst="wedgeRectCallout">
                  <a:avLst>
                    <a:gd fmla="val -1484" name="adj1"/>
                    <a:gd fmla="val 83978" name="adj2"/>
                  </a:avLst>
                </a:prstGeom>
                <a:solidFill>
                  <a:schemeClr val="accent1"/>
                </a:solidFill>
                <a:ln cap="flat" cmpd="sng" w="12700">
                  <a:solidFill>
                    <a:srgbClr val="31538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100"/>
                </a:p>
              </xdr:txBody>
            </xdr:sp>
            <xdr:sp>
              <xdr:nvSpPr>
                <xdr:cNvPr id="42" name="Shape 42"/>
                <xdr:cNvSpPr txBox="1"/>
              </xdr:nvSpPr>
              <xdr:spPr>
                <a:xfrm>
                  <a:off x="22240875" y="2752725"/>
                  <a:ext cx="904875" cy="628650"/>
                </a:xfrm>
                <a:prstGeom prst="rect">
                  <a:avLst/>
                </a:prstGeom>
                <a:solidFill>
                  <a:schemeClr val="accen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chemeClr val="lt1"/>
                      </a:solidFill>
                      <a:latin typeface="Calibri"/>
                      <a:ea typeface="Calibri"/>
                      <a:cs typeface="Calibri"/>
                      <a:sym typeface="Calibri"/>
                    </a:rPr>
                    <a:t>02</a:t>
                  </a:r>
                  <a:endParaRPr sz="1400"/>
                </a:p>
                <a:p>
                  <a:pPr indent="0" lvl="0" marL="0" rtl="0" algn="ctr">
                    <a:spcBef>
                      <a:spcPts val="0"/>
                    </a:spcBef>
                    <a:spcAft>
                      <a:spcPts val="0"/>
                    </a:spcAft>
                    <a:buNone/>
                  </a:pPr>
                  <a:r>
                    <a:rPr lang="en-US" sz="1200">
                      <a:solidFill>
                        <a:schemeClr val="lt1"/>
                      </a:solidFill>
                      <a:latin typeface="Calibri"/>
                      <a:ea typeface="Calibri"/>
                      <a:cs typeface="Calibri"/>
                      <a:sym typeface="Calibri"/>
                    </a:rPr>
                    <a:t>Mã</a:t>
                  </a:r>
                  <a:r>
                    <a:rPr lang="en-US" sz="1200">
                      <a:solidFill>
                        <a:schemeClr val="lt1"/>
                      </a:solidFill>
                      <a:latin typeface="Calibri"/>
                      <a:ea typeface="Calibri"/>
                      <a:cs typeface="Calibri"/>
                      <a:sym typeface="Calibri"/>
                    </a:rPr>
                    <a:t> Phòng</a:t>
                  </a:r>
                  <a:endParaRPr sz="1200">
                    <a:solidFill>
                      <a:schemeClr val="lt1"/>
                    </a:solidFill>
                  </a:endParaRPr>
                </a:p>
              </xdr:txBody>
            </xdr:sp>
          </xdr:grpSp>
          <xdr:grpSp>
            <xdr:nvGrpSpPr>
              <xdr:cNvPr id="43" name="Shape 43"/>
              <xdr:cNvGrpSpPr/>
            </xdr:nvGrpSpPr>
            <xdr:grpSpPr>
              <a:xfrm>
                <a:off x="21152570" y="2634975"/>
                <a:ext cx="1015868" cy="837493"/>
                <a:chOff x="21152570" y="2634975"/>
                <a:chExt cx="1015868" cy="837493"/>
              </a:xfrm>
            </xdr:grpSpPr>
            <xdr:sp>
              <xdr:nvSpPr>
                <xdr:cNvPr id="44" name="Shape 44"/>
                <xdr:cNvSpPr/>
              </xdr:nvSpPr>
              <xdr:spPr>
                <a:xfrm rot="10800000">
                  <a:off x="21152570" y="2634975"/>
                  <a:ext cx="1015868" cy="837493"/>
                </a:xfrm>
                <a:prstGeom prst="wedgeRectCallout">
                  <a:avLst>
                    <a:gd fmla="val -7288" name="adj1"/>
                    <a:gd fmla="val 83978" name="adj2"/>
                  </a:avLst>
                </a:prstGeom>
                <a:solidFill>
                  <a:schemeClr val="accent1"/>
                </a:solidFill>
                <a:ln cap="flat" cmpd="sng" w="12700">
                  <a:solidFill>
                    <a:srgbClr val="31538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100"/>
                </a:p>
              </xdr:txBody>
            </xdr:sp>
            <xdr:sp>
              <xdr:nvSpPr>
                <xdr:cNvPr id="45" name="Shape 45"/>
                <xdr:cNvSpPr txBox="1"/>
              </xdr:nvSpPr>
              <xdr:spPr>
                <a:xfrm>
                  <a:off x="21183600" y="2743200"/>
                  <a:ext cx="952500" cy="628650"/>
                </a:xfrm>
                <a:prstGeom prst="rect">
                  <a:avLst/>
                </a:prstGeom>
                <a:solidFill>
                  <a:schemeClr val="accen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chemeClr val="lt1"/>
                      </a:solidFill>
                      <a:latin typeface="Calibri"/>
                      <a:ea typeface="Calibri"/>
                      <a:cs typeface="Calibri"/>
                      <a:sym typeface="Calibri"/>
                    </a:rPr>
                    <a:t>03</a:t>
                  </a:r>
                  <a:endParaRPr sz="1400"/>
                </a:p>
                <a:p>
                  <a:pPr indent="0" lvl="0" marL="0" rtl="0" algn="ctr">
                    <a:spcBef>
                      <a:spcPts val="0"/>
                    </a:spcBef>
                    <a:spcAft>
                      <a:spcPts val="0"/>
                    </a:spcAft>
                    <a:buNone/>
                  </a:pPr>
                  <a:r>
                    <a:rPr lang="en-US" sz="1100">
                      <a:solidFill>
                        <a:schemeClr val="lt1"/>
                      </a:solidFill>
                      <a:latin typeface="Calibri"/>
                      <a:ea typeface="Calibri"/>
                      <a:cs typeface="Calibri"/>
                      <a:sym typeface="Calibri"/>
                    </a:rPr>
                    <a:t>Mã</a:t>
                  </a:r>
                  <a:r>
                    <a:rPr lang="en-US" sz="1100">
                      <a:solidFill>
                        <a:schemeClr val="lt1"/>
                      </a:solidFill>
                      <a:latin typeface="Calibri"/>
                      <a:ea typeface="Calibri"/>
                      <a:cs typeface="Calibri"/>
                      <a:sym typeface="Calibri"/>
                    </a:rPr>
                    <a:t> Trung tâm</a:t>
                  </a:r>
                  <a:endParaRPr sz="1100">
                    <a:solidFill>
                      <a:schemeClr val="lt1"/>
                    </a:solidFill>
                  </a:endParaRPr>
                </a:p>
              </xdr:txBody>
            </xdr:sp>
          </xdr:grpSp>
          <xdr:grpSp>
            <xdr:nvGrpSpPr>
              <xdr:cNvPr id="46" name="Shape 46"/>
              <xdr:cNvGrpSpPr/>
            </xdr:nvGrpSpPr>
            <xdr:grpSpPr>
              <a:xfrm>
                <a:off x="19918836" y="2640081"/>
                <a:ext cx="1242406" cy="837493"/>
                <a:chOff x="19918836" y="2640081"/>
                <a:chExt cx="1242406" cy="837493"/>
              </a:xfrm>
            </xdr:grpSpPr>
            <xdr:sp>
              <xdr:nvSpPr>
                <xdr:cNvPr id="47" name="Shape 47"/>
                <xdr:cNvSpPr/>
              </xdr:nvSpPr>
              <xdr:spPr>
                <a:xfrm rot="10800000">
                  <a:off x="19918836" y="2640081"/>
                  <a:ext cx="1242406" cy="837493"/>
                </a:xfrm>
                <a:prstGeom prst="wedgeRectCallout">
                  <a:avLst>
                    <a:gd fmla="val -29540" name="adj1"/>
                    <a:gd fmla="val 87557" name="adj2"/>
                  </a:avLst>
                </a:prstGeom>
                <a:solidFill>
                  <a:schemeClr val="accent1"/>
                </a:solidFill>
                <a:ln cap="flat" cmpd="sng" w="12700">
                  <a:solidFill>
                    <a:srgbClr val="31538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100"/>
                </a:p>
              </xdr:txBody>
            </xdr:sp>
            <xdr:sp>
              <xdr:nvSpPr>
                <xdr:cNvPr id="48" name="Shape 48"/>
                <xdr:cNvSpPr txBox="1"/>
              </xdr:nvSpPr>
              <xdr:spPr>
                <a:xfrm>
                  <a:off x="20050125" y="2743200"/>
                  <a:ext cx="904875" cy="628650"/>
                </a:xfrm>
                <a:prstGeom prst="rect">
                  <a:avLst/>
                </a:prstGeom>
                <a:solidFill>
                  <a:schemeClr val="accen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chemeClr val="lt1"/>
                      </a:solidFill>
                      <a:latin typeface="Calibri"/>
                      <a:ea typeface="Calibri"/>
                      <a:cs typeface="Calibri"/>
                      <a:sym typeface="Calibri"/>
                    </a:rPr>
                    <a:t>02</a:t>
                  </a:r>
                  <a:endParaRPr sz="1400"/>
                </a:p>
                <a:p>
                  <a:pPr indent="0" lvl="0" marL="0" rtl="0" algn="ctr">
                    <a:spcBef>
                      <a:spcPts val="0"/>
                    </a:spcBef>
                    <a:spcAft>
                      <a:spcPts val="0"/>
                    </a:spcAft>
                    <a:buNone/>
                  </a:pPr>
                  <a:r>
                    <a:rPr lang="en-US" sz="1200">
                      <a:solidFill>
                        <a:schemeClr val="lt1"/>
                      </a:solidFill>
                      <a:latin typeface="Calibri"/>
                      <a:ea typeface="Calibri"/>
                      <a:cs typeface="Calibri"/>
                      <a:sym typeface="Calibri"/>
                    </a:rPr>
                    <a:t>Mã</a:t>
                  </a:r>
                  <a:r>
                    <a:rPr lang="en-US" sz="1200">
                      <a:solidFill>
                        <a:schemeClr val="lt1"/>
                      </a:solidFill>
                      <a:latin typeface="Calibri"/>
                      <a:ea typeface="Calibri"/>
                      <a:cs typeface="Calibri"/>
                      <a:sym typeface="Calibri"/>
                    </a:rPr>
                    <a:t> Khối KD</a:t>
                  </a:r>
                  <a:endParaRPr sz="1200">
                    <a:solidFill>
                      <a:schemeClr val="lt1"/>
                    </a:solidFill>
                  </a:endParaRPr>
                </a:p>
              </xdr:txBody>
            </xdr:sp>
          </xdr:grpSp>
          <xdr:grpSp>
            <xdr:nvGrpSpPr>
              <xdr:cNvPr id="49" name="Shape 49"/>
              <xdr:cNvGrpSpPr/>
            </xdr:nvGrpSpPr>
            <xdr:grpSpPr>
              <a:xfrm>
                <a:off x="23206139" y="2635367"/>
                <a:ext cx="949260" cy="837493"/>
                <a:chOff x="23206139" y="2635367"/>
                <a:chExt cx="949260" cy="837493"/>
              </a:xfrm>
            </xdr:grpSpPr>
            <xdr:sp>
              <xdr:nvSpPr>
                <xdr:cNvPr id="50" name="Shape 50"/>
                <xdr:cNvSpPr/>
              </xdr:nvSpPr>
              <xdr:spPr>
                <a:xfrm rot="10800000">
                  <a:off x="23206139" y="2635367"/>
                  <a:ext cx="949260" cy="837493"/>
                </a:xfrm>
                <a:prstGeom prst="wedgeRectCallout">
                  <a:avLst>
                    <a:gd fmla="val 40117" name="adj1"/>
                    <a:gd fmla="val 82784" name="adj2"/>
                  </a:avLst>
                </a:prstGeom>
                <a:solidFill>
                  <a:schemeClr val="accent1"/>
                </a:solidFill>
                <a:ln cap="flat" cmpd="sng" w="12700">
                  <a:solidFill>
                    <a:srgbClr val="31538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100"/>
                </a:p>
              </xdr:txBody>
            </xdr:sp>
            <xdr:sp>
              <xdr:nvSpPr>
                <xdr:cNvPr id="51" name="Shape 51"/>
                <xdr:cNvSpPr txBox="1"/>
              </xdr:nvSpPr>
              <xdr:spPr>
                <a:xfrm>
                  <a:off x="23261522" y="2746231"/>
                  <a:ext cx="846253" cy="628650"/>
                </a:xfrm>
                <a:prstGeom prst="rect">
                  <a:avLst/>
                </a:prstGeom>
                <a:solidFill>
                  <a:schemeClr val="accen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chemeClr val="lt1"/>
                      </a:solidFill>
                      <a:latin typeface="Calibri"/>
                      <a:ea typeface="Calibri"/>
                      <a:cs typeface="Calibri"/>
                      <a:sym typeface="Calibri"/>
                    </a:rPr>
                    <a:t>00</a:t>
                  </a:r>
                  <a:endParaRPr sz="1400"/>
                </a:p>
                <a:p>
                  <a:pPr indent="0" lvl="0" marL="0" rtl="0" algn="ctr">
                    <a:spcBef>
                      <a:spcPts val="0"/>
                    </a:spcBef>
                    <a:spcAft>
                      <a:spcPts val="0"/>
                    </a:spcAft>
                    <a:buNone/>
                  </a:pPr>
                  <a:r>
                    <a:rPr lang="en-US" sz="1200">
                      <a:solidFill>
                        <a:schemeClr val="lt1"/>
                      </a:solidFill>
                      <a:latin typeface="Calibri"/>
                      <a:ea typeface="Calibri"/>
                      <a:cs typeface="Calibri"/>
                      <a:sym typeface="Calibri"/>
                    </a:rPr>
                    <a:t>Mã</a:t>
                  </a:r>
                  <a:r>
                    <a:rPr lang="en-US" sz="1200">
                      <a:solidFill>
                        <a:schemeClr val="lt1"/>
                      </a:solidFill>
                      <a:latin typeface="Calibri"/>
                      <a:ea typeface="Calibri"/>
                      <a:cs typeface="Calibri"/>
                      <a:sym typeface="Calibri"/>
                    </a:rPr>
                    <a:t> Nhóm</a:t>
                  </a:r>
                  <a:endParaRPr sz="1200">
                    <a:solidFill>
                      <a:schemeClr val="lt1"/>
                    </a:solidFill>
                  </a:endParaRPr>
                </a:p>
              </xdr:txBody>
            </xdr:sp>
          </xdr:grpSp>
          <xdr:grpSp>
            <xdr:nvGrpSpPr>
              <xdr:cNvPr id="52" name="Shape 52"/>
              <xdr:cNvGrpSpPr/>
            </xdr:nvGrpSpPr>
            <xdr:grpSpPr>
              <a:xfrm>
                <a:off x="24164925" y="2638425"/>
                <a:ext cx="834009" cy="837493"/>
                <a:chOff x="24164925" y="2638425"/>
                <a:chExt cx="834009" cy="837493"/>
              </a:xfrm>
            </xdr:grpSpPr>
            <xdr:sp>
              <xdr:nvSpPr>
                <xdr:cNvPr id="53" name="Shape 53"/>
                <xdr:cNvSpPr/>
              </xdr:nvSpPr>
              <xdr:spPr>
                <a:xfrm rot="10800000">
                  <a:off x="24164925" y="2638425"/>
                  <a:ext cx="834009" cy="837493"/>
                </a:xfrm>
                <a:prstGeom prst="wedgeRectCallout">
                  <a:avLst>
                    <a:gd fmla="val 40117" name="adj1"/>
                    <a:gd fmla="val 82784" name="adj2"/>
                  </a:avLst>
                </a:prstGeom>
                <a:solidFill>
                  <a:schemeClr val="accent1"/>
                </a:solidFill>
                <a:ln cap="flat" cmpd="sng" w="12700">
                  <a:solidFill>
                    <a:srgbClr val="31538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100"/>
                </a:p>
              </xdr:txBody>
            </xdr:sp>
            <xdr:sp>
              <xdr:nvSpPr>
                <xdr:cNvPr id="54" name="Shape 54"/>
                <xdr:cNvSpPr txBox="1"/>
              </xdr:nvSpPr>
              <xdr:spPr>
                <a:xfrm>
                  <a:off x="24212551" y="2743200"/>
                  <a:ext cx="742950" cy="628650"/>
                </a:xfrm>
                <a:prstGeom prst="rect">
                  <a:avLst/>
                </a:prstGeom>
                <a:solidFill>
                  <a:schemeClr val="accen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200">
                      <a:solidFill>
                        <a:schemeClr val="lt1"/>
                      </a:solidFill>
                      <a:latin typeface="Calibri"/>
                      <a:ea typeface="Calibri"/>
                      <a:cs typeface="Calibri"/>
                      <a:sym typeface="Calibri"/>
                    </a:rPr>
                    <a:t>01</a:t>
                  </a:r>
                  <a:endParaRPr sz="1400"/>
                </a:p>
                <a:p>
                  <a:pPr indent="0" lvl="0" marL="0" rtl="0" algn="ctr">
                    <a:spcBef>
                      <a:spcPts val="0"/>
                    </a:spcBef>
                    <a:spcAft>
                      <a:spcPts val="0"/>
                    </a:spcAft>
                    <a:buNone/>
                  </a:pPr>
                  <a:r>
                    <a:rPr lang="en-US" sz="1100">
                      <a:solidFill>
                        <a:schemeClr val="lt1"/>
                      </a:solidFill>
                      <a:latin typeface="Calibri"/>
                      <a:ea typeface="Calibri"/>
                      <a:cs typeface="Calibri"/>
                      <a:sym typeface="Calibri"/>
                    </a:rPr>
                    <a:t>Mã</a:t>
                  </a:r>
                  <a:r>
                    <a:rPr lang="en-US" sz="1100">
                      <a:solidFill>
                        <a:schemeClr val="lt1"/>
                      </a:solidFill>
                      <a:latin typeface="Calibri"/>
                      <a:ea typeface="Calibri"/>
                      <a:cs typeface="Calibri"/>
                      <a:sym typeface="Calibri"/>
                    </a:rPr>
                    <a:t> địa điểm</a:t>
                  </a:r>
                  <a:endParaRPr sz="1100">
                    <a:solidFill>
                      <a:schemeClr val="lt1"/>
                    </a:solidFill>
                  </a:endParaRPr>
                </a:p>
              </xdr:txBody>
            </xdr:sp>
          </xdr:grpSp>
        </xdr:grpSp>
      </xdr:grpSp>
    </xdr:grp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2439650" cy="3600450"/>
    <xdr:pic>
      <xdr:nvPicPr>
        <xdr:cNvPr id="0" name="image1.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5:O297" sheet="Data mã CCTC mới 2024_Mẫu"/>
  </cacheSource>
  <cacheFields>
    <cacheField name="Mã Khối" numFmtId="0">
      <sharedItems containsBlank="1">
        <s v="L00"/>
        <s v="h"/>
        <s v="L01"/>
        <m/>
        <s v="KHỐI KD THỊ TRƯỜNG HCSN"/>
        <s v="L02"/>
        <s v="KHỐI KD THỊ TRƯỜNG DN"/>
        <s v="KHỐI GIẢI PHÁP BÁN LẺ"/>
        <s v="KHỐI DOANH NGHIỆP NHỎ"/>
        <s v="KHỐI DOANH NGHIỆP VỪA"/>
        <s v="KHỐI DOANH NGHIỆP LỚN"/>
        <s v="KHỐI KẾ TOÁN DỊCH VỤ"/>
        <s v="KHỐI GIÁO DỤC TƯ THỤC"/>
        <s v="KHỐI KD THỊ TRƯỜNG TOÀN CẦU"/>
        <s v="KHỐI KD THỊ TRƯỜNG KHÁCH HÀNG CÁ NHÂN"/>
        <s v="KHỐI HỖ TRỢ VÀ CHĂM SÓC KHÁCH HÀNG"/>
        <s v="L03"/>
        <s v="KHỐI HỖ TRỢ"/>
        <s v="L04"/>
        <s v="JETPAY"/>
      </sharedItems>
    </cacheField>
    <cacheField name="Tên Khối" numFmtId="0">
      <sharedItems containsBlank="1">
        <s v="CTCP MISA"/>
        <m/>
        <s v="KSX"/>
        <s v="KD"/>
        <s v="HT &amp; CSKH"/>
        <s v="BO"/>
      </sharedItems>
    </cacheField>
    <cacheField name="Mã Thị trường" numFmtId="0">
      <sharedItems containsBlank="1">
        <m/>
        <s v="00"/>
        <s v="01"/>
        <s v="02"/>
        <s v="03"/>
        <s v="04"/>
        <s v="99"/>
      </sharedItems>
    </cacheField>
    <cacheField name="Tên thị trường" numFmtId="0">
      <sharedItems containsBlank="1">
        <m/>
        <s v="-"/>
        <s v="HCSN"/>
        <s v="DN"/>
        <s v="Toàn cầu"/>
        <s v="KH cá nhân"/>
        <s v="JETPAY"/>
      </sharedItems>
    </cacheField>
    <cacheField name="Mã Khối KD" numFmtId="0">
      <sharedItems containsBlank="1">
        <m/>
        <s v="00"/>
        <s v="01"/>
        <s v="02"/>
        <s v="03"/>
        <s v="04"/>
        <s v="05"/>
        <s v="06"/>
      </sharedItems>
    </cacheField>
    <cacheField name="Tên Khối KD" numFmtId="0">
      <sharedItems containsBlank="1">
        <m/>
        <s v="-"/>
        <s v="Khối GPBL"/>
        <s v="Khối Nhỏ"/>
        <s v="Khối Vừa"/>
        <s v="Khối Lớn"/>
        <s v="Khối KTDV"/>
        <s v="Khối GD Tư thục"/>
      </sharedItems>
    </cacheField>
    <cacheField name="Mã cấp 1">
      <sharedItems containsBlank="1" containsMixedTypes="1" containsNumber="1" containsInteger="1">
        <m/>
        <s v="01"/>
        <s v="02"/>
        <s v="03"/>
        <s v="04"/>
        <s v="05"/>
        <s v="06"/>
        <s v="07"/>
        <s v="08"/>
        <s v="09"/>
        <s v="10"/>
        <s v="11"/>
        <s v="12"/>
        <s v="13"/>
        <s v="14"/>
        <s v="15"/>
        <n v="16.0"/>
        <n v="11.0"/>
        <n v="12.0"/>
        <n v="13.0"/>
      </sharedItems>
    </cacheField>
    <cacheField name="Tên cấp 1" numFmtId="0">
      <sharedItems containsBlank="1">
        <m/>
        <s v="Văn phòng sản xuất"/>
        <s v="Phòng Đảm bảo chất lượng"/>
        <s v="Phòng Quản trị hệ thống"/>
        <s v="Phòng Hỗ trợ kỹ thuật"/>
        <s v="Ban Phát triển đối tác"/>
        <s v="Ban Nghiên cứu Thị trường &amp; Sản phẩm"/>
        <s v="Ban Công nghệ thông tin"/>
        <s v="Ban An Ninh thông tin"/>
        <s v="Viện Công nghệ"/>
        <s v="Khối SP Doanh nghiệp"/>
        <s v="Khối SP Hành chính sự nghiệp"/>
        <s v="Khối SP Bán lẻ"/>
        <s v="Khối NT Giáo dục"/>
        <s v="Khối NT Kế toán dịch vụ"/>
        <s v="Khối NT Thị trường nước ngoài"/>
        <s v="Khối thị trường khách hàng cá nhân"/>
        <s v="Trung tâm KD HCSN"/>
        <s v="Phòng KD HCSN"/>
        <s v="Ban giám đốc khối GP Bán lẻ"/>
        <s v="Trung tâm KD Giải pháp bán lẻ"/>
        <s v="Phòng KD GP bán lẻ"/>
        <s v="Phòng KD bán thêm GP bán lẻ"/>
        <s v="Phòng KD mạng lưới GP bán lẻ"/>
        <s v="Nhóm MKT Bán lẻ"/>
        <s v="Ban giám đốc Khối DN Nhỏ"/>
        <s v="Trung tâm KD giải pháp KTDN"/>
        <s v="TT kinh doanh bán thêm"/>
        <s v=" TT kinh doanh bán thêm "/>
        <s v="Phòng KD bán mới GPKT"/>
        <s v="Phòng KD Bán thêm"/>
        <s v="Trung tâm chuyển giao"/>
        <s v="Phòng KD Phát triển mạng lưới"/>
        <s v=" TTKD Online  "/>
        <s v="Ban Giám đốc khối DN Vừa"/>
        <s v="Trung tâm KD giải pháp DN vừa"/>
        <s v="Phòng KD GP DN Vừa"/>
        <s v=" Nhóm MKT sản phẩm Quản trị doanh nghiệp "/>
        <s v="Ban Giám đốc khối DN Lớn"/>
        <s v="Phòng KD GP DN lớn"/>
        <s v="Phòng Tư vấn giải pháp"/>
        <s v="Phòng triển khai"/>
        <s v="Ban Giám đốc khối KTDV"/>
        <s v="Phòng phát triển đối tác MISA ASP"/>
        <s v="Phòng chăm sóc đối tác MISA ASP"/>
        <s v="Phòng phát triển đối tác GPKT HKD"/>
        <s v="Phòng chuyển giao"/>
        <s v="Nhóm Marketing"/>
        <s v="Ban Giám đốc khối GD Tư thục"/>
        <s v="Phòng phát triển đối tác"/>
        <s v="Ban Giám đốc khối thị trường toàn cầu"/>
        <s v="Phòng phát triển đối tác PDR"/>
        <s v="Phòng triển khai ONB"/>
        <s v="Nhóm Marketing Support"/>
        <s v="Ban Giám đốc khối thị trường KH cá nhân"/>
        <s v="Phòng kinh doanh"/>
        <s v="Ban Giám đốc Khối HT &amp; CSKH"/>
        <s v="Phòng HCTH"/>
        <s v="Phòng hỗ trợ giải pháp TCKT DN"/>
        <s v="Phòng hỗ trợ giải pháp quản trị DN"/>
        <s v="Phòng hỗ trợ giải pháp Bán lẻ"/>
        <s v="Phòng hỗ trợ khách hàng HCSN"/>
        <s v="Phòng hỗ trợ chủ động"/>
        <s v="Phòng CSKH VIP"/>
        <s v="Nhóm gia hạn"/>
        <s v="Hội đồng quản trị"/>
        <s v="Ban điều hành"/>
        <s v="Ban GĐ VP"/>
        <s v="Phòng Quan hệ cộng đồng"/>
        <s v="Ban tài chính"/>
        <s v="Ban nhân sự"/>
        <s v="Ban pháp chế"/>
        <s v="Ban quản lý chứng thư số"/>
        <s v="Ban đảm bảo chất lượng"/>
        <s v="Ban QLKD"/>
        <s v="Ban Marketing"/>
        <s v="Viện MIBI"/>
        <s v="Ban Giám đốc"/>
        <s v="Phòng Phát triển sản phẩm"/>
        <s v="Phòng kinh doanh &amp; marketing"/>
        <s v="Phòng Giám sát vận hành"/>
      </sharedItems>
    </cacheField>
    <cacheField name="Mã cấp 2" numFmtId="0">
      <sharedItems containsBlank="1">
        <m/>
        <s v="01"/>
        <s v="02"/>
        <s v="03"/>
        <s v="04"/>
        <s v="00"/>
        <s v="05"/>
        <s v="06"/>
      </sharedItems>
    </cacheField>
    <cacheField name="Tên cấp 2" numFmtId="0">
      <sharedItems containsBlank="1">
        <m/>
        <s v="Ban Giám đốc Văn phòng"/>
        <s v="Phòng HCTH"/>
        <s v="Phòng Quan hệ cộng đồng"/>
        <s v="Phòng Quản trị nguồn nhân lực"/>
        <s v="-"/>
        <s v="Ban giám đốc - Ban CNTT"/>
        <s v="Sản phẩm…"/>
        <s v="Ban Giám đốc Viện"/>
        <s v="Phòng Nghiên cứu công nghệ"/>
        <s v="Ban Giám đốc Khối SP DN"/>
        <s v="Sản phẩm MISA meInvoice - Xăng dầu"/>
        <s v="Ban Giám đốc Khối SP HCSN"/>
        <s v="Ban giám đốc Khối SP Bán lẻ"/>
        <s v="Ban giám đốc TT KD HDCSN"/>
        <s v="Phòng KD HCSN"/>
        <s v="Phòng Triển khai &amp; CSKH"/>
        <s v="Ban giám đốc TT KD HCSN"/>
        <s v="Ban giám đốc KD"/>
        <s v="Nhóm KD HCSN"/>
        <s v="Nhóm Triển khai &amp; CSKH"/>
        <s v="Ban giám đốc TTKD GP Bán lẻ"/>
        <s v="PKD bán mới MISA CUKCUK"/>
        <s v="PKD bán mới MISA ESHOP"/>
        <s v="Phòng chuyển giao"/>
        <s v="Nhóm MKT Sản phẩm CUKCUK"/>
        <s v="Nhóm MKT Sản phẩm ESHOP"/>
        <s v="Ban giám đốc TTKD GP KTDN"/>
        <s v="Phòng KD bán mới KT"/>
        <s v="Ban giám đốc TTKD Bán thêm"/>
        <s v="Phòng bán thêm GP KTDN"/>
        <s v="Phòng bán thêm GP HDDT"/>
        <s v="Phòng KD chuyển đổi GPKT"/>
        <s v="Phòng bán thêm GP Ký điện tử"/>
        <s v="Phòng KD meInvoice dự án"/>
        <s v="Phòng KD bán mới GPKT 01"/>
        <s v="Phòng KD bán mới GPKT 02"/>
        <s v="Ban giám đốc Phòng KD bán thêm"/>
        <s v="Nhóm KD Bán thêm GP KTDN"/>
        <s v="Nhóm KD Bán thêm GP HDDT"/>
        <s v="Nhóm KD Bán thêm chuyển đổi KTDN"/>
        <s v="Nhóm KD Bán thêm GP ký điện tử"/>
        <s v="Ban giám đốc TT chuyển giao"/>
        <s v="Phòng chuyển giao GP KT"/>
        <s v="Phòng chuyển giao GP HDDT-KS"/>
        <s v="Ban GĐ TTKD Online"/>
        <s v="P.KD Sản phẩm kế toán"/>
        <s v="P.KD Sản phẩm hóa đơn"/>
        <s v="Nhóm MDR"/>
        <s v="Nhóm KD Automation sales"/>
        <s v="Ban Giám đốc"/>
        <s v="Phòng KD Bán mới"/>
        <s v="Phòng KD Bán thêm"/>
        <s v="Nhóm KD GP DN Vừa"/>
        <s v="Nhóm chuyển giao"/>
        <s v=" Nhóm MKT sản phẩm bán hàng "/>
        <s v=" Nhóm MKT sản phẩm nhân sự "/>
        <s v=" Nhóm MKT sản phẩm VPS "/>
        <s v=" Nhóm MDR "/>
        <s v="Nhóm hỗ trợ giải pháp Bán hàng"/>
        <s v="Nhóm hỗ trợ giải pháp Nhân sự"/>
        <s v="Nhóm hỗ trợ giải pháp Văn phòng số"/>
        <s v="Nhóm hỗ trợ giải pháp TCKT HCSN"/>
        <s v="Nhóm hỗ trợ giải pháp điều hành HCSN"/>
        <s v="Nhóm CS 01 - KH Gold, Silver"/>
        <s v="Nhóm CS 02 - KH Bronze"/>
        <s v="Ban giám đốc truyền thông"/>
        <s v="Phòng PR"/>
        <s v="Phòng kế toán"/>
        <s v="Phòng kế hoạch đầu tư"/>
        <s v="Ban QLKD - Khối HCSN"/>
        <s v="Ban QLKD - Khối DN"/>
        <s v="Ban GĐ Viện"/>
        <s v="Phòng Inbound Marketing"/>
        <s v="Ban hợp tác đào tạo"/>
      </sharedItems>
    </cacheField>
    <cacheField name="Mã cấp 3" numFmtId="0">
      <sharedItems containsBlank="1">
        <m/>
        <s v="00"/>
        <s v="01"/>
        <s v="02"/>
        <s v="03"/>
        <s v="04"/>
        <s v="05"/>
      </sharedItems>
    </cacheField>
    <cacheField name="Tên cấp 3" numFmtId="0">
      <sharedItems containsBlank="1">
        <m/>
        <s v="-"/>
        <s v="Dự án MISA meInvoice - Xăng dầu"/>
        <s v="[meInvoice - Xăng dầu] Nhóm Phân tích &amp; Thiết kế"/>
        <s v="Nhóm triển khai &amp; CSKH sản phẩm tài chính"/>
        <s v="Nhóm triển khai &amp; CSKH sản phẩm điều hành"/>
        <s v="PKD bán mới MISA CUKCUK 01"/>
        <s v="PKD bán mới MISA CUKCUK 02"/>
        <s v="PKD bán mới MISA ESHOP 01"/>
        <s v="PKD bán mới MISA ESHOP 02"/>
        <s v="Phòng bán thêm GP KTDN 01"/>
        <s v="Phòng bán thêm GP KTDN 02"/>
        <s v="Phòng bán thêm GP HDDT 01"/>
        <s v="Phòng bán thêm GP HDDT 02"/>
        <s v="Nhóm chuyển giao GP KT 01"/>
        <s v="Nhóm chuyển giao GP KT 02"/>
        <s v="Nhóm KD Sản phẩm kế toán"/>
        <s v="Nhóm Marketing SP Kế toán"/>
        <s v="Nhóm KD Sản phẩm Hóa đơn, ký điện tử"/>
        <s v="Nhóm Marketing SP Hóa đơn, ký điện tử"/>
        <s v="Phòng KD Bán mới 01"/>
        <s v="Phòng KD Bán mới 02"/>
        <s v="Phòng KD Bán thêm 01"/>
        <s v="Phòng KD Bán thêm 02"/>
        <s v="Nhóm nội dung TCKT"/>
        <s v="Nhóm nội dung QT bán hàng/MKT"/>
        <s v="Nhóm nội dung QT Nguồn nhân lực"/>
        <s v="Nhóm nội dung QL điều hành DN"/>
        <s v="Nhóm nội dung QL bán lẻ"/>
      </sharedItems>
    </cacheField>
    <cacheField name="Mã địa điểm" numFmtId="0">
      <sharedItems containsBlank="1">
        <m/>
        <s v="07"/>
        <s v="01"/>
        <s v="02"/>
        <s v="03"/>
        <s v="04"/>
        <s v="05"/>
        <s v="06"/>
        <s v="08"/>
        <s v="09"/>
      </sharedItems>
    </cacheField>
    <cacheField name="Tên địa điểm" numFmtId="0">
      <sharedItems containsBlank="1">
        <m/>
        <s v="Trụ sở KSX"/>
        <s v="Trụ sở VP Hà Nội"/>
        <s v="Trụ sở VP Hồ Chí Minh"/>
        <s v="Trụ sở VP Đà Nẵng"/>
        <s v="Trụ sở VP Buôn Mê Thuột"/>
        <s v="Trụ sở VP Cần Thơ"/>
        <s v="Trụ sở VP TCT"/>
        <s v="Trụ sở TT Hỗ trợ &amp; CSKH - HN"/>
        <s v="Trụ sở TT Hỗ trợ &amp; CSKH - HCM"/>
      </sharedItems>
    </cacheField>
    <cacheField name="Mã" numFmtId="0">
      <sharedItems containsBlank="1">
        <m/>
        <s v="L01.00.00.01.01.00.07"/>
        <s v="L01.00.00.01.02.00.07"/>
        <s v="L01.00.00.01.03.00.07"/>
        <s v="L01.00.00.01.04.00.07"/>
        <s v="L01.00.00.02.00.00.07"/>
        <s v="L01.00.00.03.00.00.07"/>
        <s v="L01.00.00.04.00.00.07"/>
        <s v="L01.00.00.05.00.00.07"/>
        <s v="L01.00.00.06.00.00.07"/>
        <s v="L01.00.00.07.01.00.07"/>
        <s v="L01.00.00.07.02.00.07"/>
        <s v="L01.00.00.08.00.00.07"/>
        <s v="L01.00.00.09.01.00.07"/>
        <s v="L01.00.00.09.02.00.07"/>
        <s v="L01.00.00.09.03.00.07"/>
        <s v="L01.00.00.10.01.00.07"/>
        <s v="L01.00.00.10.02.00.07"/>
        <s v="L01.00.00.11.01.00.07"/>
        <s v="L01.00.00.11.02.00.07"/>
        <s v="L01.00.00.12.01.00.07"/>
        <s v="L01.00.00.12.02.00.07"/>
        <s v="L01.00.00.13.01.00.07"/>
        <s v="L01.00.00.14.01.00.07"/>
        <s v="L01.00.00.15.01.00.07"/>
        <s v="L01.00.00.16.01.00.07"/>
        <s v="L02.01.00.01.01.00.01"/>
        <s v="L02.01.00.01.02.00.01"/>
        <s v="L02.01.00.01.03.00.01"/>
        <s v="L02.01.00.01.03.01.01"/>
        <s v="L02.01.00.01.03.02.01"/>
        <s v="L02.01.00.01.01.00.02"/>
        <s v="L02.01.00.01.02.00.02"/>
        <s v="L02.01.00.01.03.00.02"/>
        <s v="L02.01.00.01.03.01.02"/>
        <s v="L02.01.00.01.03.02.02"/>
        <s v="L02.01.00.01.01.00.03"/>
        <s v="L02.01.00.01.02.00.03"/>
        <s v="L02.01.00.01.03.00.03"/>
        <s v="L02.01.00.01.01.00.04"/>
        <s v="L02.01.00.01.02.00.04"/>
        <s v="L02.01.00.01.03.00.04"/>
        <s v="L02.01.00.01.01.00.05"/>
        <s v="L02.01.00.01.02.00.05"/>
        <s v="L02.01.00.01.03.00.05"/>
        <s v="L02.02.01.01.00.00.01"/>
        <s v="L02.02.01.02.01.00.01"/>
        <s v="L02.02.01.02.02.00.01"/>
        <s v="L02.02.01.02.02.01.01"/>
        <s v="L02.02.01.02.02.02.01"/>
        <s v="L02.02.01.02.03.00.01"/>
        <s v="L02.02.01.02.03.01.01"/>
        <s v="L02.02.01.02.03.02.01"/>
        <s v="L02.02.01.02.04.00.01"/>
        <s v="L02.02.01.02.01.00.02"/>
        <s v="L02.02.01.02.02.00.02"/>
        <s v="L02.02.01.02.02.01.02"/>
        <s v="L02.02.01.02.02.02.02"/>
        <s v="L02.02.01.02.03.00.02"/>
        <s v="L02.02.01.02.03.01.02"/>
        <s v="L02.02.01.02.03.02.02"/>
        <s v="L02.02.01.02.04.00.02"/>
        <s v="L02.02.01.02.00.00.03"/>
        <s v="L02.02.01.02.00.00.04"/>
        <s v="L02.02.01.02.00.00.05"/>
        <s v="L02.02.01.03.00.00.01"/>
        <s v="L02.02.01.03.00.00.02"/>
        <s v="L02.02.01.04.00.00.01"/>
        <s v="L02.02.01.04.00.00.02"/>
        <s v="L02.02.01.05.00.00.06"/>
        <s v="L02.02.01.05.01.00.06"/>
        <s v="L02.02.01.05.02.00.06"/>
        <s v="L02.02.02.01.00.00.01"/>
        <s v="L02.02.02.02.01.00.01"/>
        <s v="L02.02.02.02.02.00.01"/>
        <s v="L02.02.02.03.01.00.01"/>
        <s v="L02.02.02.03.02.00.01"/>
        <s v="L02.02.02.03.02.01.01"/>
        <s v="L02.02.02.03.02.02.01"/>
        <s v="L02.02.02.03.03.00.01"/>
        <s v="L02.02.02.03.03.01.01"/>
        <s v="L02.02.02.03.03.02.01"/>
        <s v="L02.02.02.03.04.00.01"/>
        <s v="L02.02.02.03.05.00.01"/>
        <s v="L02.02.02.03.06.00.01"/>
        <s v="L02.02.02.02.01.00.02"/>
        <s v="L02.02.02.02.02.00.02"/>
        <s v="L02.02.02.03.01.00.02"/>
        <s v="L02.02.02.03.02.00.02"/>
        <s v="L02.02.02.03.02.01.02"/>
        <s v="L02.02.02.03.02.02.02"/>
        <s v="L02.02.02.03.03.00.02"/>
        <s v="L02.02.02.03.03.01.02"/>
        <s v="L02.02.02.03.03.02.02"/>
        <s v="L02.02.02.03.04.00.02"/>
        <s v="L02.02.02.03.05.00.02"/>
        <s v="L02.02.02.03.06.00.02"/>
        <s v="L02.02.02.02.00.00.03"/>
        <s v="L02.02.02.02.01.00.03"/>
        <s v="L02.02.02.02.02.00.03"/>
        <s v="L02.02.02.03.01.00.03"/>
        <s v="L02.02.02.03.02.00.03"/>
        <s v="L02.02.02.03.03.00.03"/>
        <s v="L02.02.02.03.04.00.03"/>
        <s v="L02.02.02.03.05.00.03"/>
        <s v="L02.02.02.02.00.00.04"/>
        <s v="L02.02.02.03.01.00.04"/>
        <s v="L02.02.02.03.02.00.04"/>
        <s v="L02.02.02.03.03.00.04"/>
        <s v="L02.02.02.03.04.00.04"/>
        <s v="L02.02.02.03.05.00.04"/>
        <s v="L02.02.02.02.00.00.05"/>
        <s v="L02.02.02.03.01.00.05"/>
        <s v="L02.02.02.03.02.00.05"/>
        <s v="L02.02.02.03.03.00.05"/>
        <s v="L02.02.02.03.04.00.05"/>
        <s v="L02.02.02.03.05.00.05"/>
        <s v="L02.02.02.04.01.00.01"/>
        <s v="L02.02.02.04.02.00.01"/>
        <s v="L02.02.02.04.02.01.01"/>
        <s v="L02.02.02.04.02.02.01"/>
        <s v="L02.02.02.04.03.00.01"/>
        <s v="L02.02.02.04.02.00.02"/>
        <s v="L02.02.02.04.02.01.02"/>
        <s v="L02.02.02.04.02.02.02"/>
        <s v="L02.02.02.04.03.00.02"/>
        <s v="L02.02.02.05.00.00.01"/>
        <s v="L02.02.02.05.00.00.02"/>
        <s v="L02.02.02.05.00.00.03"/>
        <s v="L02.02.02.05.00.00.04"/>
        <s v="L02.02.02.05.00.00.05"/>
        <s v="L02.02.02.06.01.00.01"/>
        <s v="L02.02.02.06.02.00.01"/>
        <s v="L02.02.02.06.02.01.06"/>
        <s v="L02.02.02.06.02.01.02"/>
        <s v="L02.02.02.06.02.02.06"/>
        <s v="L02.02.02.06.03.01.01"/>
        <s v="L02.02.02.06.03.01.02"/>
        <s v="L02.02.02.06.03.02.06"/>
        <s v="L02.02.02.06.05.00.01"/>
        <s v="L02.02.02.06.05.00.02"/>
        <s v="L02.02.02.06.04.00.02"/>
        <s v="L02.02.03.01.00.00.01"/>
        <s v="L02.02.03.02.01.00.01"/>
        <s v="L02.02.03.02.02.00.01"/>
        <s v="L02.02.03.02.02.01.01"/>
        <s v="L02.02.03.02.02.02.01"/>
        <s v="L02.02.03.02.03.00.01"/>
        <s v="L02.02.03.02.03.01.01"/>
        <s v="L02.02.03.02.03.02.01"/>
        <s v="L02.02.03.02.04.00.01"/>
        <s v="L02.02.03.02.01.00.02"/>
        <s v="L02.02.03.02.02.00.02"/>
        <s v="L02.02.03.02.02.01.02"/>
        <s v="L02.02.03.02.02.02.02"/>
        <s v="L02.02.03.02.03.00.02"/>
        <s v="L02.02.03.02.03.01.02"/>
        <s v="L02.02.03.02.03.02.02"/>
        <s v="L02.02.03.02.04.00.02"/>
        <s v="L02.02.03.02.01.00.03"/>
        <s v="L02.02.03.02.02.00.03"/>
        <s v="L02.02.03.02.01.00.04"/>
        <s v="L02.02.03.02.02.00.04"/>
        <s v="L02.02.03.02.01.00.05"/>
        <s v="L02.02.03.02.02.00.05"/>
        <s v="L02.02.03.03.01.00.06"/>
        <s v="L02.02.03.03.02.00.06"/>
        <s v="L02.02.03.03.03.00.06"/>
        <s v="L02.02.03.03.04.00.06"/>
        <s v="L02.02.04.01.00.00.06"/>
        <s v="L02.02.04.02.00.00.06"/>
        <s v="L02.02.04.02.00.00.02"/>
        <s v="L02.02.04.03.00.00.06"/>
        <s v="L02.02.04.04.00.00.06"/>
        <s v="L02.02.05.01.00.00.06"/>
        <s v="L02.02.05.02.00.00.06"/>
        <s v="L02.02.05.02.00.00.02"/>
        <s v="L02.02.05.03.00.00.06"/>
        <s v="L02.02.05.04.00.00.06"/>
        <s v="L02.02.05.04.00.00.02"/>
        <s v="L02.02.05.04.00.00.03"/>
        <s v="L02.02.05.04.00.00.04"/>
        <s v="L02.02.05.05.00.00.06"/>
        <s v="L02.02.05.06.00.00.06"/>
        <s v="L02.02.06.01.00.00.07"/>
        <s v="L02.02.06.02.00.00.07"/>
        <s v="L02.02.06.02.00.00.02"/>
        <s v="L02.02.06.03.00.00.07"/>
        <s v="L02.03.00.01.00.00.02"/>
        <s v="L02.03.00.02.00.00.02"/>
        <s v="L02.03.00.03.00.00.02"/>
        <s v="L02.03.00.04.00.00.02"/>
        <s v="L02.04.00.01.00.00.07"/>
        <s v="L02.04.00.02.00.00.07"/>
        <s v="L03.00.00.01.00.00.08"/>
        <s v="L03.00.00.02.00.00.08"/>
        <s v="L03.00.00.02.00.00.09"/>
        <s v="L03.00.00.03.00.00.08"/>
        <s v="L03.00.00.04.01.00.08"/>
        <s v="L03.00.00.04.02.00.08"/>
        <s v="L03.00.00.04.03.00.08"/>
        <s v="L03.00.00.05.00.00.08"/>
        <s v="L03.00.00.06.01.00.08"/>
        <s v="L03.00.00.06.02.00.08"/>
        <s v="L03.00.00.07.00.00.08"/>
        <s v="L03.00.00.08.01.00.08"/>
        <s v="L03.00.00.08.02.00.08"/>
        <s v="L03.00.00.09.00.00.08"/>
        <s v="L03.00.00.03.00.00.09"/>
        <s v="L03.00.00.04.01.00.09"/>
        <s v="L03.00.00.04.02.00.09"/>
        <s v="L03.00.00.04.03.00.09"/>
        <s v="L03.00.00.05.00.00.09"/>
        <s v="L03.00.00.06.01.00.09"/>
        <s v="L03.00.00.06.02.00.09"/>
        <s v="L03.00.00.07.00.00.09"/>
        <s v="L03.00.00.08.01.00.09"/>
        <s v="L03.00.00.08.02.00.09"/>
        <s v="L03.00.00.09.00.00.09"/>
        <s v="L04.00.00.01.00.00.06"/>
        <s v="L04.00.00.01.00.00.07"/>
        <s v="L04.00.00.01.00.00.02"/>
        <s v="L04.00.00.02.00.00.06"/>
        <s v="L04.00.00.02.00.00.07"/>
        <s v="L04.00.00.02.00.00.02"/>
        <s v="L04.00.00.03.00.00.01"/>
        <s v="L04.00.00.03.00.00.02"/>
        <s v="L04.00.00.03.00.00.03"/>
        <s v="L04.00.00.03.00.00.04"/>
        <s v="L04.00.00.03.00.00.05"/>
        <s v="L04.00.00.03.00.00.06"/>
        <s v="L04.00.00.04.00.00.01"/>
        <s v="L04.00.00.04.00.00.02"/>
        <s v="L04.00.00.04.00.00.03"/>
        <s v="L04.00.00.04.00.00.04"/>
        <s v="L04.00.00.04.00.00.05"/>
        <s v="L04.00.00.04.00.00.06"/>
        <s v="L04.00.00.05.00.00.01"/>
        <s v="L04.00.00.05.00.00.02"/>
        <s v="L04.00.00.05.01.00.06"/>
        <s v="L04.00.00.05.02.00.06"/>
        <s v="L04.00.00.06.01.00.01"/>
        <s v="L04.00.00.06.01.00.02"/>
        <s v="L04.00.00.06.01.00.03"/>
        <s v="L04.00.00.06.01.00.04"/>
        <s v="L04.00.00.06.01.00.05"/>
        <s v="L04.00.00.06.01.00.06"/>
        <s v="L04.00.00.06.01.00.07"/>
        <s v="L04.00.00.06.02.00.06"/>
        <s v="L04.00.00.07.00.00.06"/>
        <s v="L04.00.00.07.00.00.01"/>
        <s v="L04.00.00.07.00.00.02"/>
        <s v="L04.00.00.07.00.00.08"/>
        <s v="L04.00.00.08.00.00.06"/>
        <s v="L04.00.00.09.00.00.06"/>
        <s v="L04.00.00.10.00.00.06"/>
        <s v="L04.00.00.11.01.00.06"/>
        <s v="L04.00.00.11.02.00.06"/>
        <s v="L04.00.00.12.00.00.06"/>
        <s v="L04.00.00.13.01.00.06"/>
        <s v="L04.00.00.13.02.01.06"/>
        <s v="L04.00.00.13.02.02.06"/>
        <s v="L04.00.00.13.02.03.06"/>
        <s v="L04.00.00.13.02.04.06"/>
        <s v="L04.00.00.13.02.05.06"/>
        <s v="L04.00.00.13.03.00.01"/>
        <s v="L04.00.00.13.03.00.02"/>
        <s v="L04.99.00.01.00.00.07"/>
        <s v="L01.99.00.02.00.00.07"/>
        <s v="L02.99.00.03.00.00.07"/>
        <s v="L02.99.00.03.00.00.02"/>
        <s v="L04.99.00.04.00.00.07"/>
        <s v="L04.99.00.05.00.00.07"/>
      </sharedItems>
    </cacheField>
  </cacheFields>
</pivotCacheDefinition>
</file>

<file path=xl/pivotCache/pivotCacheDefinition2.xml><?xml version="1.0" encoding="UTF-8" standalone="yes"?>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cacheSource type="worksheet"><worksheetSource ref="A5:W2700" sheet="Trang tính1"/></cacheSource><cacheFields><cacheField name="STT" numFmtId="0"><sharedItems containsSemiMixedTypes="0" containsString="0" containsNumber="1"><n v="1.0"/><n v="2.0"/><n v="3.0"/><n v="4.0"/><n v="5.0"/><n v="6.0"/><n v="7.0"/><n v="8.0"/><n v="9.0"/><n v="10.0"/><n v="11.0"/><n v="12.0"/><n v="13.0"/><n v="14.0"/><n v="15.0"/><n v="16.0"/><n v="17.0"/><n v="18.0"/><n v="19.0"/><n v="20.0"/><n v="21.0"/><n v="22.0"/><n v="23.0"/><n v="24.0"/><n v="25.0"/><n v="26.0"/><n v="27.0"/><n v="28.0"/><n v="29.0"/><n v="30.0"/><n v="31.0"/><n v="32.0"/><n v="33.0"/><n v="34.0"/><n v="35.0"/><n v="36.0"/><n v="37.0"/><n v="38.0"/><n v="39.0"/><n v="40.0"/><n v="41.0"/><n v="42.0"/><n v="43.0"/><n v="44.0"/><n v="45.0"/><n v="46.0"/><n v="47.0"/><n v="48.0"/><n v="49.0"/><n v="50.0"/><n v="51.0"/><n v="52.0"/><n v="53.0"/><n v="54.0"/><n v="55.0"/><n v="56.0"/><n v="57.0"/><n v="58.0"/><n v="59.0"/><n v="60.0"/><n v="61.0"/><n v="62.0"/><n v="63.0"/><n v="64.0"/><n v="65.0"/><n v="66.0"/><n v="67.0"/><n v="68.0"/><n v="69.0"/><n v="70.0"/><n v="71.0"/><n v="72.0"/><n v="73.0"/><n v="74.0"/><n v="75.0"/><n v="76.0"/><n v="77.0"/><n v="78.0"/><n v="79.0"/><n v="80.0"/><n v="81.0"/><n v="82.0"/><n v="83.0"/><n v="84.0"/><n v="85.0"/><n v="86.0"/><n v="87.0"/><n v="88.0"/><n v="89.0"/><n v="90.0"/><n v="91.0"/><n v="92.0"/><n v="93.0"/><n v="94.0"/><n v="95.0"/><n v="96.0"/><n v="97.0"/><n v="98.0"/><n v="99.0"/><n v="100.0"/><n v="101.0"/><n v="102.0"/><n v="103.0"/><n v="104.0"/><n v="105.0"/><n v="106.0"/><n v="107.0"/><n v="108.0"/><n v="109.0"/><n v="110.0"/><n v="111.0"/><n v="112.0"/><n v="113.0"/><n v="114.0"/><n v="115.0"/><n v="116.0"/><n v="117.0"/><n v="118.0"/><n v="119.0"/><n v="120.0"/><n v="121.0"/><n v="122.0"/><n v="123.0"/><n v="124.0"/><n v="125.0"/><n v="126.0"/><n v="127.0"/><n v="128.0"/><n v="129.0"/><n v="130.0"/><n v="131.0"/><n v="132.0"/><n v="133.0"/><n v="134.0"/><n v="135.0"/><n v="136.0"/><n v="137.0"/><n v="138.0"/><n v="139.0"/><n v="140.0"/><n v="141.0"/><n v="142.0"/><n v="143.0"/><n v="144.0"/><n v="145.0"/><n v="146.0"/><n v="147.0"/><n v="148.0"/><n v="149.0"/><n v="150.0"/><n v="151.0"/><n v="152.0"/><n v="153.0"/><n v="154.0"/><n v="155.0"/><n v="156.0"/><n v="157.0"/><n v="158.0"/><n v="159.0"/><n v="160.0"/><n v="161.0"/><n v="162.0"/><n v="163.0"/><n v="164.0"/><n v="165.0"/><n v="166.0"/><n v="167.0"/><n v="168.0"/><n v="169.0"/><n v="170.0"/><n v="171.0"/><n v="172.0"/><n v="173.0"/><n v="174.0"/><n v="175.0"/><n v="176.0"/><n v="177.0"/><n v="178.0"/><n v="179.0"/><n v="180.0"/><n v="181.0"/><n v="182.0"/><n v="183.0"/><n v="184.0"/><n v="185.0"/><n v="186.0"/><n v="187.0"/><n v="188.0"/><n v="189.0"/><n v="190.0"/><n v="191.0"/><n v="192.0"/><n v="193.0"/><n v="194.0"/><n v="195.0"/><n v="196.0"/><n v="197.0"/><n v="198.0"/><n v="199.0"/><n v="200.0"/><n v="201.0"/><n v="202.0"/><n v="203.0"/><n v="204.0"/><n v="205.0"/><n v="206.0"/><n v="207.0"/><n v="208.0"/><n v="209.0"/><n v="210.0"/><n v="211.0"/><n v="212.0"/><n v="213.0"/><n v="214.0"/><n v="215.0"/><n v="216.0"/><n v="217.0"/><n v="218.0"/><n v="219.0"/><n v="220.0"/><n v="221.0"/><n v="222.0"/><n v="223.0"/><n v="224.0"/><n v="225.0"/><n v="226.0"/><n v="227.0"/><n v="228.0"/><n v="229.0"/><n v="230.0"/><n v="231.0"/><n v="232.0"/><n v="233.0"/><n v="234.0"/><n v="235.0"/><n v="236.0"/><n v="237.0"/><n v="238.0"/><n v="239.0"/><n v="240.0"/><n v="241.0"/><n v="242.0"/><n v="243.0"/><n v="244.0"/><n v="245.0"/><n v="246.0"/><n v="247.0"/><n v="248.0"/><n v="249.0"/><n v="250.0"/><n v="251.0"/><n v="252.0"/><n v="253.0"/><n v="254.0"/><n v="255.0"/><n v="256.0"/><n v="257.0"/><n v="258.0"/><n v="259.0"/><n v="260.0"/><n v="261.0"/><n v="262.0"/><n v="263.0"/><n v="264.0"/><n v="265.0"/><n v="266.0"/><n v="267.0"/><n v="268.0"/><n v="269.0"/><n v="270.0"/><n v="271.0"/><n v="272.0"/><n v="273.0"/><n v="274.0"/><n v="275.0"/><n v="276.0"/><n v="277.0"/><n v="278.0"/><n v="279.0"/><n v="280.0"/><n v="281.0"/><n v="282.0"/><n v="283.0"/><n v="284.0"/><n v="285.0"/><n v="286.0"/><n v="287.0"/><n v="288.0"/><n v="289.0"/><n v="290.0"/><n v="291.0"/><n v="292.0"/><n v="293.0"/><n v="294.0"/><n v="295.0"/><n v="296.0"/><n v="297.0"/><n v="298.0"/><n v="299.0"/><n v="300.0"/><n v="301.0"/><n v="302.0"/><n v="303.0"/><n v="304.0"/><n v="305.0"/><n v="306.0"/><n v="307.0"/><n v="308.0"/><n v="309.0"/><n v="310.0"/><n v="311.0"/><n v="312.0"/><n v="313.0"/><n v="314.0"/><n v="315.0"/><n v="316.0"/><n v="317.0"/><n v="318.0"/><n v="319.0"/><n v="320.0"/><n v="321.0"/><n v="322.0"/><n v="323.0"/><n v="324.0"/><n v="325.0"/><n v="326.0"/><n v="327.0"/><n v="328.0"/><n v="329.0"/><n v="330.0"/><n v="331.0"/><n v="332.0"/><n v="333.0"/><n v="334.0"/><n v="335.0"/><n v="336.0"/><n v="337.0"/><n v="338.0"/><n v="339.0"/><n v="340.0"/><n v="341.0"/><n v="342.0"/><n v="343.0"/><n v="344.0"/><n v="345.0"/><n v="346.0"/><n v="347.0"/><n v="348.0"/><n v="349.0"/><n v="350.0"/><n v="351.0"/><n v="352.0"/><n v="353.0"/><n v="354.0"/><n v="355.0"/><n v="356.0"/><n v="357.0"/><n v="358.0"/><n v="359.0"/><n v="360.0"/><n v="361.0"/><n v="362.0"/><n v="363.0"/><n v="364.0"/><n v="365.0"/><n v="366.0"/><n v="367.0"/><n v="368.0"/><n v="369.0"/><n v="370.0"/><n v="371.0"/><n v="372.0"/><n v="373.0"/><n v="374.0"/><n v="375.0"/><n v="376.0"/><n v="377.0"/><n v="378.0"/><n v="379.0"/><n v="380.0"/><n v="381.0"/><n v="382.0"/><n v="383.0"/><n v="384.0"/><n v="385.0"/><n v="386.0"/><n v="387.0"/><n v="388.0"/><n v="389.0"/><n v="390.0"/><n v="391.0"/><n v="392.0"/><n v="393.0"/><n v="394.0"/><n v="395.0"/><n v="396.0"/><n v="397.0"/><n v="398.0"/><n v="399.0"/><n v="400.0"/><n v="401.0"/><n v="402.0"/><n v="403.0"/><n v="404.0"/><n v="405.0"/><n v="406.0"/><n v="407.0"/><n v="408.0"/><n v="409.0"/><n v="410.0"/><n v="411.0"/><n v="412.0"/><n v="413.0"/><n v="414.0"/><n v="415.0"/><n v="416.0"/><n v="417.0"/><n v="418.0"/><n v="419.0"/><n v="420.0"/><n v="421.0"/><n v="422.0"/><n v="423.0"/><n v="424.0"/><n v="425.0"/><n v="426.0"/><n v="427.0"/><n v="428.0"/><n v="429.0"/><n v="430.0"/><n v="431.0"/><n v="432.0"/><n v="433.0"/><n v="434.0"/><n v="435.0"/><n v="436.0"/><n v="437.0"/><n v="438.0"/><n v="439.0"/><n v="440.0"/><n v="441.0"/><n v="442.0"/><n v="443.0"/><n v="444.0"/><n v="445.0"/><n v="446.0"/><n v="447.0"/><n v="448.0"/><n v="449.0"/><n v="450.0"/><n v="451.0"/><n v="452.0"/><n v="453.0"/><n v="454.0"/><n v="455.0"/><n v="456.0"/><n v="457.0"/><n v="458.0"/><n v="459.0"/><n v="460.0"/><n v="461.0"/><n v="462.0"/><n v="463.0"/><n v="464.0"/><n v="465.0"/><n v="466.0"/><n v="467.0"/><n v="468.0"/><n v="469.0"/><n v="470.0"/><n v="471.0"/><n v="472.0"/><n v="473.0"/><n v="474.0"/><n v="475.0"/><n v="476.0"/><n v="477.0"/><n v="478.0"/><n v="479.0"/><n v="480.0"/><n v="481.0"/><n v="482.0"/><n v="483.0"/><n v="484.0"/><n v="485.0"/><n v="486.0"/><n v="487.0"/><n v="488.0"/><n v="489.0"/><n v="490.0"/><n v="491.0"/><n v="492.0"/><n v="493.0"/><n v="494.0"/><n v="495.0"/><n v="496.0"/><n v="497.0"/><n v="498.0"/><n v="499.0"/><n v="500.0"/><n v="501.0"/><n v="502.0"/><n v="503.0"/><n v="504.0"/><n v="505.0"/><n v="506.0"/><n v="507.0"/><n v="508.0"/><n v="509.0"/><n v="510.0"/><n v="511.0"/><n v="512.0"/><n v="513.0"/><n v="514.0"/><n v="515.0"/><n v="516.0"/><n v="517.0"/><n v="518.0"/><n v="519.0"/><n v="520.0"/><n v="521.0"/><n v="522.0"/><n v="523.0"/><n v="524.0"/><n v="525.0"/><n v="526.0"/><n v="527.0"/><n v="528.0"/><n v="529.0"/><n v="530.0"/><n v="531.0"/><n v="532.0"/><n v="533.0"/><n v="534.0"/><n v="535.0"/><n v="536.0"/><n v="537.0"/><n v="538.0"/><n v="539.0"/><n v="540.0"/><n v="541.0"/><n v="542.0"/><n v="543.0"/><n v="544.0"/><n v="545.0"/><n v="546.0"/><n v="547.0"/><n v="548.0"/><n v="549.0"/><n v="550.0"/><n v="551.0"/><n v="552.0"/><n v="553.0"/><n v="554.0"/><n v="555.0"/><n v="556.0"/><n v="557.0"/><n v="558.0"/><n v="559.0"/><n v="560.0"/><n v="561.0"/><n v="562.0"/><n v="563.0"/><n v="564.0"/><n v="565.0"/><n v="566.0"/><n v="567.0"/><n v="568.0"/><n v="569.0"/><n v="570.0"/><n v="571.0"/><n v="572.0"/><n v="573.0"/><n v="574.0"/><n v="575.0"/><n v="576.0"/><n v="577.0"/><n v="578.0"/><n v="579.0"/><n v="580.0"/><n v="581.0"/><n v="582.0"/><n v="583.0"/><n v="584.0"/><n v="585.0"/><n v="586.0"/><n v="587.0"/><n v="588.0"/><n v="589.0"/><n v="590.0"/><n v="591.0"/><n v="592.0"/><n v="593.0"/><n v="594.0"/><n v="595.0"/><n v="596.0"/><n v="597.0"/><n v="598.0"/><n v="599.0"/><n v="600.0"/><n v="601.0"/><n v="602.0"/><n v="603.0"/><n v="604.0"/><n v="605.0"/><n v="606.0"/><n v="607.0"/><n v="608.0"/><n v="609.0"/><n v="610.0"/><n v="611.0"/><n v="612.0"/><n v="613.0"/><n v="614.0"/><n v="615.0"/><n v="616.0"/><n v="617.0"/><n v="618.0"/><n v="619.0"/><n v="620.0"/><n v="621.0"/><n v="622.0"/><n v="623.0"/><n v="624.0"/><n v="625.0"/><n v="626.0"/><n v="627.0"/><n v="628.0"/><n v="629.0"/><n v="630.0"/><n v="631.0"/><n v="632.0"/><n v="633.0"/><n v="634.0"/><n v="635.0"/><n v="636.0"/><n v="637.0"/><n v="638.0"/><n v="639.0"/><n v="640.0"/><n v="641.0"/><n v="642.0"/><n v="643.0"/><n v="644.0"/><n v="645.0"/><n v="646.0"/><n v="647.0"/><n v="648.0"/><n v="649.0"/><n v="650.0"/><n v="651.0"/><n v="652.0"/><n v="653.0"/><n v="654.0"/><n v="655.0"/><n v="656.0"/><n v="657.0"/><n v="658.0"/><n v="659.0"/><n v="660.0"/><n v="661.0"/><n v="662.0"/><n v="663.0"/><n v="664.0"/><n v="665.0"/><n v="666.0"/><n v="667.0"/><n v="668.0"/><n v="669.0"/><n v="670.0"/><n v="671.0"/><n v="672.0"/><n v="673.0"/><n v="674.0"/><n v="675.0"/><n v="676.0"/><n v="677.0"/><n v="678.0"/><n v="679.0"/><n v="680.0"/><n v="681.0"/><n v="682.0"/><n v="683.0"/><n v="684.0"/><n v="685.0"/><n v="686.0"/><n v="687.0"/><n v="688.0"/><n v="689.0"/><n v="690.0"/><n v="691.0"/><n v="692.0"/><n v="693.0"/><n v="694.0"/><n v="695.0"/><n v="696.0"/><n v="697.0"/><n v="698.0"/><n v="699.0"/><n v="700.0"/><n v="701.0"/><n v="702.0"/><n v="703.0"/><n v="704.0"/><n v="705.0"/><n v="706.0"/><n v="707.0"/><n v="708.0"/><n v="709.0"/><n v="710.0"/><n v="711.0"/><n v="712.0"/><n v="713.0"/><n v="714.0"/><n v="715.0"/><n v="716.0"/><n v="717.0"/><n v="718.0"/><n v="719.0"/><n v="720.0"/><n v="721.0"/><n v="722.0"/><n v="723.0"/><n v="724.0"/><n v="725.0"/><n v="726.0"/><n v="727.0"/><n v="728.0"/><n v="729.0"/><n v="730.0"/><n v="731.0"/><n v="732.0"/><n v="733.0"/><n v="734.0"/><n v="735.0"/><n v="736.0"/><n v="737.0"/><n v="738.0"/><n v="739.0"/><n v="740.0"/><n v="741.0"/><n v="742.0"/><n v="743.0"/><n v="744.0"/><n v="745.0"/><n v="746.0"/><n v="747.0"/><n v="748.0"/><n v="749.0"/><n v="750.0"/><n v="751.0"/><n v="752.0"/><n v="753.0"/><n v="754.0"/><n v="755.0"/><n v="756.0"/><n v="757.0"/><n v="758.0"/><n v="759.0"/><n v="760.0"/><n v="761.0"/><n v="762.0"/><n v="763.0"/><n v="764.0"/><n v="765.0"/><n v="766.0"/><n v="767.0"/><n v="768.0"/><n v="769.0"/><n v="770.0"/><n v="771.0"/><n v="772.0"/><n v="773.0"/><n v="774.0"/><n v="775.0"/><n v="776.0"/><n v="777.0"/><n v="778.0"/><n v="779.0"/><n v="780.0"/><n v="781.0"/><n v="782.0"/><n v="783.0"/><n v="784.0"/><n v="785.0"/><n v="786.0"/><n v="787.0"/><n v="788.0"/><n v="789.0"/><n v="790.0"/><n v="791.0"/><n v="792.0"/><n v="793.0"/><n v="794.0"/><n v="795.0"/><n v="796.0"/><n v="797.0"/><n v="798.0"/><n v="799.0"/><n v="800.0"/><n v="801.0"/><n v="802.0"/><n v="803.0"/><n v="804.0"/><n v="805.0"/><n v="806.0"/><n v="807.0"/><n v="808.0"/><n v="809.0"/><n v="810.0"/><n v="811.0"/><n v="812.0"/><n v="813.0"/><n v="814.0"/><n v="815.0"/><n v="816.0"/><n v="817.0"/><n v="818.0"/><n v="819.0"/><n v="820.0"/><n v="821.0"/><n v="822.0"/><n v="823.0"/><n v="824.0"/><n v="825.0"/><n v="826.0"/><n v="827.0"/><n v="828.0"/><n v="829.0"/><n v="830.0"/><n v="831.0"/><n v="832.0"/><n v="833.0"/><n v="834.0"/><n v="835.0"/><n v="836.0"/><n v="837.0"/><n v="838.0"/><n v="839.0"/><n v="840.0"/><n v="841.0"/><n v="842.0"/><n v="843.0"/><n v="844.0"/><n v="845.0"/><n v="846.0"/><n v="847.0"/><n v="848.0"/><n v="849.0"/><n v="850.0"/><n v="851.0"/><n v="852.0"/><n v="853.0"/><n v="854.0"/><n v="855.0"/><n v="856.0"/><n v="857.0"/><n v="858.0"/><n v="859.0"/><n v="860.0"/><n v="861.0"/><n v="862.0"/><n v="863.0"/><n v="864.0"/><n v="865.0"/><n v="866.0"/><n v="867.0"/><n v="868.0"/><n v="869.0"/><n v="870.0"/><n v="871.0"/><n v="872.0"/><n v="873.0"/><n v="874.0"/><n v="875.0"/><n v="876.0"/><n v="877.0"/><n v="878.0"/><n v="879.0"/><n v="880.0"/><n v="881.0"/><n v="882.0"/><n v="883.0"/><n v="884.0"/><n v="885.0"/><n v="886.0"/><n v="887.0"/><n v="888.0"/><n v="889.0"/><n v="890.0"/><n v="891.0"/><n v="892.0"/><n v="893.0"/><n v="894.0"/><n v="895.0"/><n v="896.0"/><n v="897.0"/><n v="898.0"/><n v="899.0"/><n v="900.0"/><n v="901.0"/><n v="902.0"/><n v="903.0"/><n v="904.0"/><n v="905.0"/><n v="906.0"/><n v="907.0"/><n v="908.0"/><n v="909.0"/><n v="910.0"/><n v="911.0"/><n v="912.0"/><n v="913.0"/><n v="914.0"/><n v="915.0"/><n v="916.0"/><n v="917.0"/><n v="918.0"/><n v="919.0"/><n v="920.0"/><n v="921.0"/><n v="922.0"/><n v="923.0"/><n v="924.0"/><n v="925.0"/><n v="926.0"/><n v="927.0"/><n v="928.0"/><n v="929.0"/><n v="930.0"/><n v="931.0"/><n v="932.0"/><n v="933.0"/><n v="934.0"/><n v="935.0"/><n v="936.0"/><n v="937.0"/><n v="938.0"/><n v="939.0"/><n v="940.0"/><n v="941.0"/><n v="942.0"/><n v="943.0"/><n v="944.0"/><n v="945.0"/><n v="946.0"/><n v="947.0"/><n v="948.0"/><n v="949.0"/><n v="950.0"/><n v="951.0"/><n v="952.0"/><n v="953.0"/><n v="954.0"/><n v="955.0"/><n v="956.0"/><n v="957.0"/><n v="958.0"/><n v="959.0"/><n v="960.0"/><n v="961.0"/><n v="962.0"/><n v="963.0"/><n v="964.0"/><n v="965.0"/><n v="966.0"/><n v="967.0"/><n v="968.0"/><n v="969.0"/><n v="970.0"/><n v="971.0"/><n v="972.0"/><n v="973.0"/><n v="974.0"/><n v="975.0"/><n v="976.0"/><n v="977.0"/><n v="978.0"/><n v="979.0"/><n v="980.0"/><n v="981.0"/><n v="982.0"/><n v="983.0"/><n v="984.0"/><n v="985.0"/><n v="986.0"/><n v="987.0"/><n v="988.0"/><n v="989.0"/><n v="990.0"/><n v="991.0"/><n v="992.0"/><n v="993.0"/><n v="994.0"/><n v="995.0"/><n v="996.0"/><n v="997.0"/><n v="998.0"/><n v="999.0"/><n v="1.001"/><n v="1.002"/><n v="1.003"/><n v="1.004"/><n v="1.005"/><n v="1.006"/><n v="1.007"/><n v="1.008"/><n v="1.009"/><n v="1.01"/><n v="1.011"/><n v="1.012"/><n v="1.013"/><n v="1.014"/><n v="1.015"/><n v="1.016"/><n v="1.017"/><n v="1.018"/><n v="1.019"/><n v="1.02"/><n v="1.021"/><n v="1.022"/><n v="1.023"/><n v="1.024"/><n v="1.025"/><n v="1.026"/><n v="1.027"/><n v="1.028"/><n v="1.029"/><n v="1.03"/><n v="1.031"/><n v="1.032"/><n v="1.033"/><n v="1.034"/><n v="1.035"/><n v="1.036"/><n v="1.037"/><n v="1.038"/><n v="1.039"/><n v="1.04"/><n v="1.041"/><n v="1.042"/><n v="1.043"/><n v="1.044"/><n v="1.045"/><n v="1.046"/><n v="1.047"/><n v="1.048"/><n v="1.049"/><n v="1.05"/><n v="1.051"/><n v="1.052"/><n v="1.053"/><n v="1.054"/><n v="1.055"/><n v="1.056"/><n v="1.057"/><n v="1.058"/><n v="1.059"/><n v="1.06"/><n v="1.061"/><n v="1.062"/><n v="1.063"/><n v="1.064"/><n v="1.065"/><n v="1.066"/><n v="1.067"/><n v="1.068"/><n v="1.069"/><n v="1.07"/><n v="1.071"/><n v="1.072"/><n v="1.073"/><n v="1.074"/><n v="1.075"/><n v="1.076"/><n v="1.077"/><n v="1.078"/><n v="1.079"/><n v="1.08"/><n v="1.081"/><n v="1.082"/><n v="1.083"/><n v="1.084"/><n v="1.085"/><n v="1.086"/><n v="1.087"/><n v="1.088"/><n v="1.089"/><n v="1.09"/><n v="1.091"/><n v="1.092"/><n v="1.093"/><n v="1.094"/><n v="1.095"/><n v="1.096"/><n v="1.097"/><n v="1.098"/><n v="1.099"/><n v="1.1"/><n v="1.101"/><n v="1.102"/><n v="1.103"/><n v="1.104"/><n v="1.105"/><n v="1.106"/><n v="1.107"/><n v="1.108"/><n v="1.109"/><n v="1.11"/><n v="1.111"/><n v="1.112"/><n v="1.113"/><n v="1.114"/><n v="1.115"/><n v="1.116"/><n v="1.117"/><n v="1.118"/><n v="1.119"/><n v="1.12"/><n v="1.121"/><n v="1.122"/><n v="1.123"/><n v="1.124"/><n v="1.125"/><n v="1.126"/><n v="1.127"/><n v="1.128"/><n v="1.129"/><n v="1.13"/><n v="1.131"/><n v="1.132"/><n v="1.133"/><n v="1.134"/><n v="1.135"/><n v="1.136"/><n v="1.137"/><n v="1.138"/><n v="1.139"/><n v="1.14"/><n v="1.141"/><n v="1.142"/><n v="1.143"/><n v="1.144"/><n v="1.145"/><n v="1.146"/><n v="1.147"/><n v="1.148"/><n v="1.149"/><n v="1.15"/><n v="1.151"/><n v="1.152"/><n v="1.153"/><n v="1.154"/><n v="1.155"/><n v="1.156"/><n v="1.157"/><n v="1.158"/><n v="1.159"/><n v="1.16"/><n v="1.161"/><n v="1.162"/><n v="1.163"/><n v="1.164"/><n v="1.165"/><n v="1.166"/><n v="1.167"/><n v="1.168"/><n v="1.169"/><n v="1.17"/><n v="1.171"/><n v="1.172"/><n v="1.173"/><n v="1.174"/><n v="1.175"/><n v="1.176"/><n v="1.177"/><n v="1.178"/><n v="1.179"/><n v="1.18"/><n v="1.181"/><n v="1.182"/><n v="1.183"/><n v="1.184"/><n v="1.185"/><n v="1.186"/><n v="1.187"/><n v="1.188"/><n v="1.189"/><n v="1.19"/><n v="1.191"/><n v="1.192"/><n v="1.193"/><n v="1.194"/><n v="1.195"/><n v="1.196"/><n v="1.197"/><n v="1.198"/><n v="1.199"/><n v="1.2"/><n v="1.201"/><n v="1.202"/><n v="1.203"/><n v="1.204"/><n v="1.205"/><n v="1.206"/><n v="1.207"/><n v="1.208"/><n v="1.209"/><n v="1.21"/><n v="1.211"/><n v="1.212"/><n v="1.213"/><n v="1.214"/><n v="1.215"/><n v="1.216"/><n v="1.217"/><n v="1.218"/><n v="1.219"/><n v="1.22"/><n v="1.221"/><n v="1.222"/><n v="1.223"/><n v="1.224"/><n v="1.225"/><n v="1.226"/><n v="1.227"/><n v="1.228"/><n v="1.229"/><n v="1.23"/><n v="1.231"/><n v="1.232"/><n v="1.233"/><n v="1.234"/><n v="1.235"/><n v="1.236"/><n v="1.237"/><n v="1.238"/><n v="1.239"/><n v="1.24"/><n v="1.241"/><n v="1.242"/><n v="1.243"/><n v="1.244"/><n v="1.245"/><n v="1.246"/><n v="1.247"/><n v="1.248"/><n v="1.249"/><n v="1.25"/><n v="1.251"/><n v="1.252"/><n v="1.253"/><n v="1.254"/><n v="1.255"/><n v="1.256"/><n v="1.257"/><n v="1.258"/><n v="1.259"/><n v="1.26"/><n v="1.261"/><n v="1.262"/><n v="1.263"/><n v="1.264"/><n v="1.265"/><n v="1.266"/><n v="1.267"/><n v="1.268"/><n v="1.269"/><n v="1.27"/><n v="1.271"/><n v="1.272"/><n v="1.273"/><n v="1.274"/><n v="1.275"/><n v="1.276"/><n v="1.277"/><n v="1.278"/><n v="1.279"/><n v="1.28"/><n v="1.281"/><n v="1.282"/><n v="1.283"/><n v="1.284"/><n v="1.285"/><n v="1.286"/><n v="1.287"/><n v="1.288"/><n v="1.289"/><n v="1.29"/><n v="1.291"/><n v="1.292"/><n v="1.293"/><n v="1.294"/><n v="1.295"/><n v="1.296"/><n v="1.297"/><n v="1.298"/><n v="1.299"/><n v="1.3"/><n v="1.301"/><n v="1.302"/><n v="1.303"/><n v="1.304"/><n v="1.305"/><n v="1.306"/><n v="1.307"/><n v="1.308"/><n v="1.309"/><n v="1.31"/><n v="1.311"/><n v="1.312"/><n v="1.313"/><n v="1.314"/><n v="1.315"/><n v="1.316"/><n v="1.317"/><n v="1.318"/><n v="1.319"/><n v="1.32"/><n v="1.321"/><n v="1.322"/><n v="1.323"/><n v="1.324"/><n v="1.325"/><n v="1.326"/><n v="1.327"/><n v="1.328"/><n v="1.329"/><n v="1.33"/><n v="1.331"/><n v="1.332"/><n v="1.333"/><n v="1.334"/><n v="1.335"/><n v="1.336"/><n v="1.337"/><n v="1.338"/><n v="1.339"/><n v="1.34"/><n v="1.341"/><n v="1.342"/><n v="1.343"/><n v="1.344"/><n v="1.345"/><n v="1.346"/><n v="1.347"/><n v="1.348"/><n v="1.349"/><n v="1.35"/><n v="1.351"/><n v="1.352"/><n v="1.353"/><n v="1.354"/><n v="1.355"/><n v="1.356"/><n v="1.357"/><n v="1.358"/><n v="1.359"/><n v="1.36"/><n v="1.361"/><n v="1.362"/><n v="1.363"/><n v="1.364"/><n v="1.365"/><n v="1.366"/><n v="1.367"/><n v="1.368"/><n v="1.369"/><n v="1.37"/><n v="1.371"/><n v="1.372"/><n v="1.373"/><n v="1.374"/><n v="1.375"/><n v="1.376"/><n v="1.377"/><n v="1.378"/><n v="1.379"/><n v="1.38"/><n v="1.381"/><n v="1.382"/><n v="1.383"/><n v="1.384"/><n v="1.385"/><n v="1.386"/><n v="1.387"/><n v="1.388"/><n v="1.389"/><n v="1.39"/><n v="1.391"/><n v="1.392"/><n v="1.393"/><n v="1.394"/><n v="1.395"/><n v="1.396"/><n v="1.397"/><n v="1.398"/><n v="1.399"/><n v="1.4"/><n v="1.401"/><n v="1.402"/><n v="1.403"/><n v="1.404"/><n v="1.405"/><n v="1.406"/><n v="1.407"/><n v="1.408"/><n v="1.409"/><n v="1.41"/><n v="1.411"/><n v="1.412"/><n v="1.413"/><n v="1.414"/><n v="1.415"/><n v="1.416"/><n v="1.417"/><n v="1.418"/><n v="1.419"/><n v="1.42"/><n v="1.421"/><n v="1.422"/><n v="1.423"/><n v="1.424"/><n v="1.425"/><n v="1.426"/><n v="1.427"/><n v="1.428"/><n v="1.429"/><n v="1.43"/><n v="1.431"/><n v="1.432"/><n v="1.433"/><n v="1.434"/><n v="1.435"/><n v="1.436"/><n v="1.437"/><n v="1.438"/><n v="1.439"/><n v="1.44"/><n v="1.441"/><n v="1.442"/><n v="1.443"/><n v="1.444"/><n v="1.445"/><n v="1.446"/><n v="1.447"/><n v="1.448"/><n v="1.449"/><n v="1.45"/><n v="1.451"/><n v="1.452"/><n v="1.453"/><n v="1.454"/><n v="1.455"/><n v="1.456"/><n v="1.457"/><n v="1.458"/><n v="1.459"/><n v="1.46"/><n v="1.461"/><n v="1.462"/><n v="1.463"/><n v="1.464"/><n v="1.465"/><n v="1.466"/><n v="1.467"/><n v="1.468"/><n v="1.469"/><n v="1.47"/><n v="1.471"/><n v="1.472"/><n v="1.473"/><n v="1.474"/><n v="1.475"/><n v="1.476"/><n v="1.477"/><n v="1.478"/><n v="1.479"/><n v="1.48"/><n v="1.481"/><n v="1.482"/><n v="1.483"/><n v="1.484"/><n v="1.485"/><n v="1.486"/><n v="1.487"/><n v="1.488"/><n v="1.489"/><n v="1.49"/><n v="1.491"/><n v="1.492"/><n v="1.493"/><n v="1.494"/><n v="1.495"/><n v="1.496"/><n v="1.497"/><n v="1.498"/><n v="1.499"/><n v="1.5"/><n v="1.501"/><n v="1.502"/><n v="1.503"/><n v="1.504"/><n v="1.505"/><n v="1.506"/><n v="1.507"/><n v="1.508"/><n v="1.509"/><n v="1.51"/><n v="1.511"/><n v="1.512"/><n v="1.513"/><n v="1.514"/><n v="1.515"/><n v="1.516"/><n v="1.517"/><n v="1.518"/><n v="1.519"/><n v="1.52"/><n v="1.521"/><n v="1.522"/><n v="1.523"/><n v="1.524"/><n v="1.525"/><n v="1.526"/><n v="1.527"/><n v="1.528"/><n v="1.529"/><n v="1.53"/><n v="1.531"/><n v="1.532"/><n v="1.533"/><n v="1.534"/><n v="1.535"/><n v="1.536"/><n v="1.537"/><n v="1.538"/><n v="1.539"/><n v="1.54"/><n v="1.541"/><n v="1.542"/><n v="1.543"/><n v="1.544"/><n v="1.545"/><n v="1.546"/><n v="1.547"/><n v="1.548"/><n v="1.549"/><n v="1.55"/><n v="1.551"/><n v="1.552"/><n v="1.553"/><n v="1.554"/><n v="1.555"/><n v="1.556"/><n v="1.557"/><n v="1.558"/><n v="1.559"/><n v="1.56"/><n v="1.561"/><n v="1.562"/><n v="1.563"/><n v="1.564"/><n v="1.565"/><n v="1.566"/><n v="1.567"/><n v="1.568"/><n v="1.569"/><n v="1.57"/><n v="1.571"/><n v="1.572"/><n v="1.573"/><n v="1.574"/><n v="1.575"/><n v="1.576"/><n v="1.577"/><n v="1.578"/><n v="1.579"/><n v="1.58"/><n v="1.581"/><n v="1.582"/><n v="1.583"/><n v="1.584"/><n v="1.585"/><n v="1.586"/><n v="1.587"/><n v="1.588"/><n v="1.589"/><n v="1.59"/><n v="1.591"/><n v="1.592"/><n v="1.593"/><n v="1.594"/><n v="1.595"/><n v="1.596"/><n v="1.597"/><n v="1.598"/><n v="1.599"/><n v="1.6"/><n v="1.601"/><n v="1.602"/><n v="1.603"/><n v="1.604"/><n v="1.605"/><n v="1.606"/><n v="1.607"/><n v="1.608"/><n v="1.609"/><n v="1.61"/><n v="1.611"/><n v="1.612"/><n v="1.613"/><n v="1.614"/><n v="1.615"/><n v="1.616"/><n v="1.617"/><n v="1.618"/><n v="1.619"/><n v="1.62"/><n v="1.621"/><n v="1.622"/><n v="1.623"/><n v="1.624"/><n v="1.625"/><n v="1.626"/><n v="1.627"/><n v="1.628"/><n v="1.629"/><n v="1.63"/><n v="1.631"/><n v="1.632"/><n v="1.633"/><n v="1.634"/><n v="1.635"/><n v="1.636"/><n v="1.637"/><n v="1.638"/><n v="1.639"/><n v="1.64"/><n v="1.641"/><n v="1.642"/><n v="1.643"/><n v="1.644"/><n v="1.645"/><n v="1.646"/><n v="1.647"/><n v="1.648"/><n v="1.649"/><n v="1.65"/><n v="1.651"/><n v="1.652"/><n v="1.653"/><n v="1.654"/><n v="1.655"/><n v="1.656"/><n v="1.657"/><n v="1.658"/><n v="1.659"/><n v="1.66"/><n v="1.661"/><n v="1.662"/><n v="1.663"/><n v="1.664"/><n v="1.665"/><n v="1.666"/><n v="1.667"/><n v="1.668"/><n v="1.669"/><n v="1.67"/><n v="1.671"/><n v="1.672"/><n v="1.673"/><n v="1.674"/><n v="1.675"/><n v="1.676"/><n v="1.677"/><n v="1.678"/><n v="1.679"/><n v="1.68"/><n v="1.681"/><n v="1.682"/><n v="1.683"/><n v="1.684"/><n v="1.685"/><n v="1.686"/><n v="1.687"/><n v="1.688"/><n v="1.689"/><n v="1.69"/><n v="1.691"/><n v="1.692"/><n v="1.693"/><n v="1.694"/><n v="1.695"/><n v="1.696"/><n v="1.697"/><n v="1.698"/><n v="1.699"/><n v="1.7"/><n v="1.701"/><n v="1.702"/><n v="1.703"/><n v="1.704"/><n v="1.705"/><n v="1.706"/><n v="1.707"/><n v="1.708"/><n v="1.709"/><n v="1.71"/><n v="1.711"/><n v="1.712"/><n v="1.713"/><n v="1.714"/><n v="1.715"/><n v="1.716"/><n v="1.717"/><n v="1.718"/><n v="1.719"/><n v="1.72"/><n v="1.721"/><n v="1.722"/><n v="1.723"/><n v="1.724"/><n v="1.725"/><n v="1.726"/><n v="1.727"/><n v="1.728"/><n v="1.729"/><n v="1.73"/><n v="1.731"/><n v="1.732"/><n v="1.733"/><n v="1.734"/><n v="1.735"/><n v="1.736"/><n v="1.737"/><n v="1.738"/><n v="1.739"/><n v="1.74"/><n v="1.741"/><n v="1.742"/><n v="1.743"/><n v="1.744"/><n v="1.745"/><n v="1.746"/><n v="1.747"/><n v="1.748"/><n v="1.749"/><n v="1.75"/><n v="1.751"/><n v="1.752"/><n v="1.753"/><n v="1.754"/><n v="1.755"/><n v="1.756"/><n v="1.757"/><n v="1.758"/><n v="1.759"/><n v="1.76"/><n v="1.761"/><n v="1.762"/><n v="1.763"/><n v="1.764"/><n v="1.765"/><n v="1.766"/><n v="1.767"/><n v="1.768"/><n v="1.769"/><n v="1.77"/><n v="1.771"/><n v="1.772"/><n v="1.773"/><n v="1.774"/><n v="1.775"/><n v="1.776"/><n v="1.777"/><n v="1.778"/><n v="1.779"/><n v="1.78"/><n v="1.781"/><n v="1.782"/><n v="1.783"/><n v="1.784"/><n v="1.785"/><n v="1.786"/><n v="1.787"/><n v="1.788"/><n v="1.789"/><n v="1.79"/><n v="1.791"/><n v="1.792"/><n v="1.793"/><n v="1.794"/><n v="1.795"/><n v="1.796"/><n v="1.797"/><n v="1.798"/><n v="1.799"/><n v="1.8"/><n v="1.801"/><n v="1.802"/><n v="1.803"/><n v="1.804"/><n v="1.805"/><n v="1.806"/><n v="1.807"/><n v="1.808"/><n v="1.809"/><n v="1.81"/><n v="1.811"/><n v="1.812"/><n v="1.813"/><n v="1.814"/><n v="1.815"/><n v="1.816"/><n v="1.817"/><n v="1.818"/><n v="1.819"/><n v="1.82"/><n v="1.821"/><n v="1.822"/><n v="1.823"/><n v="1.824"/><n v="1.825"/><n v="1.826"/><n v="1.827"/><n v="1.828"/><n v="1.829"/><n v="1.83"/><n v="1.831"/><n v="1.832"/><n v="1.833"/><n v="1.834"/><n v="1.835"/><n v="1.836"/><n v="1.837"/><n v="1.838"/><n v="1.839"/><n v="1.84"/><n v="1.841"/><n v="1.842"/><n v="1.843"/><n v="1.844"/><n v="1.845"/><n v="1.846"/><n v="1.847"/><n v="1.848"/><n v="1.849"/><n v="1.85"/><n v="1.851"/><n v="1.852"/><n v="1.853"/><n v="1.854"/><n v="1.855"/><n v="1.856"/><n v="1.857"/><n v="1.858"/><n v="1.859"/><n v="1.86"/><n v="1.861"/><n v="1.862"/><n v="1.863"/><n v="1.864"/><n v="1.865"/><n v="1.866"/><n v="1.867"/><n v="1.868"/><n v="1.869"/><n v="1.87"/><n v="1.871"/><n v="1.872"/><n v="1.873"/><n v="1.874"/><n v="1.875"/><n v="1.876"/><n v="1.877"/><n v="1.878"/><n v="1.879"/><n v="1.88"/><n v="1.881"/><n v="1.882"/><n v="1.883"/><n v="1.884"/><n v="1.885"/><n v="1.886"/><n v="1.887"/><n v="1.888"/><n v="1.889"/><n v="1.89"/><n v="1.891"/><n v="1.892"/><n v="1.893"/><n v="1.894"/><n v="1.895"/><n v="1.896"/><n v="1.897"/><n v="1.898"/><n v="1.899"/><n v="1.9"/><n v="1.901"/><n v="1.902"/><n v="1.903"/><n v="1.904"/><n v="1.905"/><n v="1.906"/><n v="1.907"/><n v="1.908"/><n v="1.909"/><n v="1.91"/><n v="1.911"/><n v="1.912"/><n v="1.913"/><n v="1.914"/><n v="1.915"/><n v="1.916"/><n v="1.917"/><n v="1.918"/><n v="1.919"/><n v="1.92"/><n v="1.921"/><n v="1.922"/><n v="1.923"/><n v="1.924"/><n v="1.925"/><n v="1.926"/><n v="1.927"/><n v="1.928"/><n v="1.929"/><n v="1.93"/><n v="1.931"/><n v="1.932"/><n v="1.933"/><n v="1.934"/><n v="1.935"/><n v="1.936"/><n v="1.937"/><n v="1.938"/><n v="1.939"/><n v="1.94"/><n v="1.941"/><n v="1.942"/><n v="1.943"/><n v="1.944"/><n v="1.945"/><n v="1.946"/><n v="1.947"/><n v="1.948"/><n v="1.949"/><n v="1.95"/><n v="1.951"/><n v="1.952"/><n v="1.953"/><n v="1.954"/><n v="1.955"/><n v="1.956"/><n v="1.957"/><n v="1.958"/><n v="1.959"/><n v="1.96"/><n v="1.961"/><n v="1.962"/><n v="1.963"/><n v="1.964"/><n v="1.965"/><n v="1.966"/><n v="1.967"/><n v="1.968"/><n v="1.969"/><n v="1.97"/><n v="1.971"/><n v="1.972"/><n v="1.973"/><n v="1.974"/><n v="1.975"/><n v="1.976"/><n v="1.977"/><n v="1.978"/><n v="1.979"/><n v="1.98"/><n v="1.981"/><n v="1.982"/><n v="1.983"/><n v="1.984"/><n v="1.985"/><n v="1.986"/><n v="1.987"/><n v="1.988"/><n v="1.989"/><n v="1.99"/><n v="1.991"/><n v="1.992"/><n v="1.993"/><n v="1.994"/><n v="1.995"/><n v="1.996"/><n v="1.997"/><n v="1.998"/><n v="1.999"/><n v="2.001"/><n v="2.002"/><n v="2.003"/><n v="2.004"/><n v="2.005"/><n v="2.006"/><n v="2.007"/><n v="2.008"/><n v="2.009"/><n v="2.01"/><n v="2.011"/><n v="2.012"/><n v="2.013"/><n v="2.014"/><n v="2.015"/><n v="2.016"/><n v="2.017"/><n v="2.018"/><n v="2.019"/><n v="2.02"/><n v="2.021"/><n v="2.022"/><n v="2.023"/><n v="2.024"/><n v="2.025"/><n v="2.026"/><n v="2.027"/><n v="2.028"/><n v="2.029"/><n v="2.03"/><n v="2.031"/><n v="2.032"/><n v="2.033"/><n v="2.034"/><n v="2.035"/><n v="2.036"/><n v="2.037"/><n v="2.038"/><n v="2.039"/><n v="2.04"/><n v="2.041"/><n v="2.042"/><n v="2.043"/><n v="2.044"/><n v="2.045"/><n v="2.046"/><n v="2.047"/><n v="2.048"/><n v="2.049"/><n v="2.05"/><n v="2.051"/><n v="2.052"/><n v="2.053"/><n v="2.054"/><n v="2.055"/><n v="2.056"/><n v="2.057"/><n v="2.058"/><n v="2.059"/><n v="2.06"/><n v="2.061"/><n v="2.062"/><n v="2.063"/><n v="2.064"/><n v="2.065"/><n v="2.066"/><n v="2.067"/><n v="2.068"/><n v="2.069"/><n v="2.07"/><n v="2.071"/><n v="2.072"/><n v="2.073"/><n v="2.074"/><n v="2.075"/><n v="2.076"/><n v="2.077"/><n v="2.078"/><n v="2.079"/><n v="2.08"/><n v="2.081"/><n v="2.082"/><n v="2.083"/><n v="2.084"/><n v="2.085"/><n v="2.086"/><n v="2.087"/><n v="2.088"/><n v="2.089"/><n v="2.09"/><n v="2.091"/><n v="2.092"/><n v="2.093"/><n v="2.094"/><n v="2.095"/><n v="2.096"/><n v="2.097"/><n v="2.098"/><n v="2.099"/><n v="2.1"/><n v="2.101"/><n v="2.102"/><n v="2.103"/><n v="2.104"/><n v="2.105"/><n v="2.106"/><n v="2.107"/><n v="2.108"/><n v="2.109"/><n v="2.11"/><n v="2.111"/><n v="2.112"/><n v="2.113"/><n v="2.114"/><n v="2.115"/><n v="2.116"/><n v="2.117"/><n v="2.118"/><n v="2.119"/><n v="2.12"/><n v="2.121"/><n v="2.122"/><n v="2.123"/><n v="2.124"/><n v="2.125"/><n v="2.126"/><n v="2.127"/><n v="2.128"/><n v="2.129"/><n v="2.13"/><n v="2.131"/><n v="2.132"/><n v="2.133"/><n v="2.134"/><n v="2.135"/><n v="2.136"/><n v="2.137"/><n v="2.138"/><n v="2.139"/><n v="2.14"/><n v="2.141"/><n v="2.142"/><n v="2.143"/><n v="2.144"/><n v="2.145"/><n v="2.146"/><n v="2.147"/><n v="2.148"/><n v="2.149"/><n v="2.15"/><n v="2.151"/><n v="2.152"/><n v="2.153"/><n v="2.154"/><n v="2.155"/><n v="2.156"/><n v="2.157"/><n v="2.158"/><n v="2.159"/><n v="2.16"/><n v="2.161"/><n v="2.162"/><n v="2.163"/><n v="2.164"/><n v="2.165"/><n v="2.166"/><n v="2.167"/><n v="2.168"/><n v="2.169"/><n v="2.17"/><n v="2.171"/><n v="2.172"/><n v="2.173"/><n v="2.174"/><n v="2.175"/><n v="2.176"/><n v="2.177"/><n v="2.178"/><n v="2.179"/><n v="2.18"/><n v="2.181"/><n v="2.182"/><n v="2.183"/><n v="2.184"/><n v="2.185"/><n v="2.186"/><n v="2.187"/><n v="2.188"/><n v="2.189"/><n v="2.19"/><n v="2.191"/><n v="2.192"/><n v="2.193"/><n v="2.194"/><n v="2.195"/><n v="2.196"/><n v="2.197"/><n v="2.198"/><n v="2.199"/><n v="2.2"/><n v="2.201"/><n v="2.202"/><n v="2.203"/><n v="2.204"/><n v="2.205"/><n v="2.206"/><n v="2.207"/><n v="2.208"/><n v="2.209"/><n v="2.21"/><n v="2.211"/><n v="2.212"/><n v="2.213"/><n v="2.214"/><n v="2.215"/><n v="2.216"/><n v="2.217"/><n v="2.218"/><n v="2.219"/><n v="2.22"/><n v="2.221"/><n v="2.222"/><n v="2.223"/><n v="2.224"/><n v="2.225"/><n v="2.226"/><n v="2.227"/><n v="2.228"/><n v="2.229"/><n v="2.23"/><n v="2.231"/><n v="2.232"/><n v="2.233"/><n v="2.234"/><n v="2.235"/><n v="2.236"/><n v="2.237"/><n v="2.238"/><n v="2.239"/><n v="2.24"/><n v="2.241"/><n v="2.242"/><n v="2.243"/><n v="2.244"/><n v="2.245"/><n v="2.246"/><n v="2.247"/><n v="2.248"/><n v="2.249"/><n v="2.25"/><n v="2.251"/><n v="2.252"/><n v="2.253"/><n v="2.254"/><n v="2.255"/><n v="2.256"/><n v="2.257"/><n v="2.258"/><n v="2.259"/><n v="2.26"/><n v="2.261"/><n v="2.262"/><n v="2.263"/><n v="2.264"/><n v="2.265"/><n v="2.266"/><n v="2.267"/><n v="2.268"/><n v="2.269"/><n v="2.27"/><n v="2.271"/><n v="2.272"/><n v="2.273"/><n v="2.274"/><n v="2.275"/><n v="2.276"/><n v="2.277"/><n v="2.278"/><n v="2.279"/><n v="2.28"/><n v="2.281"/><n v="2.282"/><n v="2.283"/><n v="2.284"/><n v="2.285"/><n v="2.286"/><n v="2.287"/><n v="2.288"/><n v="2.289"/><n v="2.29"/><n v="2.291"/><n v="2.292"/><n v="2.293"/><n v="2.294"/><n v="2.295"/><n v="2.296"/><n v="2.297"/><n v="2.298"/><n v="2.299"/><n v="2.3"/><n v="2.301"/><n v="2.302"/><n v="2.303"/><n v="2.304"/><n v="2.305"/><n v="2.306"/><n v="2.307"/><n v="2.308"/><n v="2.309"/><n v="2.31"/><n v="2.311"/><n v="2.312"/><n v="2.313"/><n v="2.314"/><n v="2.315"/><n v="2.316"/><n v="2.317"/><n v="2.318"/><n v="2.319"/><n v="2.32"/><n v="2.321"/><n v="2.322"/><n v="2.323"/><n v="2.324"/><n v="2.325"/><n v="2.326"/><n v="2.327"/><n v="2.328"/><n v="2.329"/><n v="2.33"/><n v="2.331"/><n v="2.332"/><n v="2.333"/><n v="2.334"/><n v="2.335"/><n v="2.336"/><n v="2.337"/><n v="2.338"/><n v="2.339"/><n v="2.34"/><n v="2.341"/><n v="2.342"/><n v="2.343"/><n v="2.344"/><n v="2.345"/><n v="2.346"/><n v="2.347"/><n v="2.348"/><n v="2.349"/><n v="2.35"/><n v="2.351"/><n v="2.352"/><n v="2.353"/><n v="2.354"/><n v="2.355"/><n v="2.356"/><n v="2.357"/><n v="2.358"/><n v="2.359"/><n v="2.36"/><n v="2.361"/><n v="2.362"/><n v="2.363"/><n v="2.364"/><n v="2.365"/><n v="2.366"/><n v="2.367"/><n v="2.368"/><n v="2.369"/><n v="2.37"/><n v="2.371"/><n v="2.372"/><n v="2.373"/><n v="2.374"/><n v="2.375"/><n v="2.376"/><n v="2.377"/><n v="2.378"/><n v="2.379"/><n v="2.38"/><n v="2.381"/><n v="2.382"/><n v="2.383"/><n v="2.384"/><n v="2.385"/><n v="2.386"/><n v="2.387"/><n v="2.388"/><n v="2.389"/><n v="2.39"/><n v="2.391"/><n v="2.392"/><n v="2.393"/><n v="2.394"/><n v="2.395"/><n v="2.396"/><n v="2.397"/><n v="2.398"/><n v="2.399"/><n v="2.4"/><n v="2.401"/><n v="2.402"/><n v="2.403"/><n v="2.404"/><n v="2.405"/><n v="2.406"/><n v="2.407"/><n v="2.408"/><n v="2.409"/><n v="2.41"/><n v="2.411"/><n v="2.412"/><n v="2.413"/><n v="2.414"/><n v="2.415"/><n v="2.416"/><n v="2.417"/><n v="2.418"/><n v="2.419"/><n v="2.42"/><n v="2.421"/><n v="2.422"/><n v="2.423"/><n v="2.424"/><n v="2.425"/><n v="2.426"/><n v="2.427"/><n v="2.428"/><n v="2.429"/><n v="2.43"/><n v="2.431"/><n v="2.432"/><n v="2.433"/><n v="2.434"/><n v="2.435"/><n v="2.436"/><n v="2.437"/><n v="2.438"/><n v="2.439"/><n v="2.44"/><n v="2.441"/><n v="2.442"/><n v="2.443"/><n v="2.444"/><n v="2.445"/><n v="2.446"/><n v="2.447"/><n v="2.448"/><n v="2.449"/><n v="2.45"/><n v="2.451"/><n v="2.452"/><n v="2.453"/><n v="2.454"/><n v="2.455"/><n v="2.456"/><n v="2.457"/><n v="2.458"/><n v="2.459"/><n v="2.46"/><n v="2.461"/><n v="2.462"/><n v="2.463"/><n v="2.464"/><n v="2.465"/><n v="2.466"/><n v="2.467"/><n v="2.468"/><n v="2.469"/><n v="2.47"/><n v="2.471"/><n v="2.472"/><n v="2.473"/><n v="2.474"/><n v="2.475"/><n v="2.476"/><n v="2.477"/><n v="2.478"/><n v="2.479"/><n v="2.48"/><n v="2.481"/><n v="2.482"/><n v="2.483"/><n v="2.484"/><n v="2.485"/><n v="2.486"/><n v="2.487"/><n v="2.488"/><n v="2.489"/><n v="2.49"/><n v="2.491"/><n v="2.492"/><n v="2.493"/><n v="2.494"/><n v="2.495"/><n v="2.496"/><n v="2.497"/><n v="2.498"/><n v="2.499"/><n v="2.5"/><n v="2.501"/><n v="2.502"/><n v="2.503"/><n v="2.504"/><n v="2.505"/><n v="2.506"/><n v="2.507"/><n v="2.508"/><n v="2.509"/><n v="2.51"/><n v="2.511"/><n v="2.512"/><n v="2.513"/><n v="2.514"/><n v="2.515"/><n v="2.516"/><n v="2.517"/><n v="2.518"/><n v="2.519"/><n v="2.52"/><n v="2.521"/><n v="2.522"/><n v="2.523"/><n v="2.524"/><n v="2.525"/><n v="2.526"/><n v="2.527"/><n v="2.528"/><n v="2.529"/><n v="2.53"/><n v="2.531"/><n v="2.532"/><n v="2.533"/><n v="2.534"/><n v="2.535"/><n v="2.536"/><n v="2.537"/><n v="2.538"/><n v="2.539"/><n v="2.54"/><n v="2.541"/><n v="2.542"/><n v="2.543"/><n v="2.544"/><n v="2.545"/><n v="2.546"/><n v="2.547"/><n v="2.548"/><n v="2.549"/><n v="2.55"/><n v="2.551"/><n v="2.552"/><n v="2.553"/><n v="2.554"/><n v="2.555"/><n v="2.556"/><n v="2.557"/><n v="2.558"/><n v="2.559"/><n v="2.56"/><n v="2.561"/><n v="2.562"/><n v="2.563"/><n v="2.564"/><n v="2.565"/><n v="2.566"/><n v="2.567"/><n v="2.568"/><n v="2.569"/><n v="2.57"/><n v="2.571"/><n v="2.572"/><n v="2.573"/><n v="2.574"/><n v="2.575"/><n v="2.576"/><n v="2.577"/><n v="2.578"/><n v="2.579"/><n v="2.58"/><n v="2.581"/><n v="2.582"/><n v="2.583"/><n v="2.584"/><n v="2.585"/><n v="2.586"/><n v="2.587"/><n v="2.588"/><n v="2.589"/><n v="2.59"/><n v="2.591"/><n v="2.592"/><n v="2.593"/><n v="2.594"/><n v="2.595"/><n v="2.596"/><n v="2.597"/><n v="2.598"/><n v="2.599"/><n v="2.6"/><n v="2.601"/><n v="2.602"/><n v="2.603"/><n v="2.604"/><n v="2.605"/><n v="2.606"/><n v="2.607"/><n v="2.608"/><n v="2.609"/><n v="2.61"/><n v="2.611"/><n v="2.612"/><n v="2.613"/><n v="2.614"/><n v="2.615"/><n v="2.616"/><n v="2.617"/><n v="2.618"/><n v="2.619"/><n v="2.62"/><n v="2.621"/><n v="2.622"/><n v="2.623"/><n v="2.624"/><n v="2.625"/><n v="2.626"/><n v="2.627"/><n v="2.628"/><n v="2.629"/><n v="2.63"/><n v="2.631"/><n v="2.632"/><n v="2.633"/><n v="2.634"/><n v="2.635"/><n v="2.636"/><n v="2.637"/><n v="2.638"/><n v="2.639"/><n v="2.64"/><n v="2.641"/><n v="2.642"/><n v="2.643"/><n v="2.644"/><n v="2.645"/><n v="2.646"/><n v="2.647"/><n v="2.648"/><n v="2.649"/><n v="2.65"/><n v="2.651"/><n v="2.652"/><n v="2.653"/><n v="2.654"/><n v="2.655"/><n v="2.656"/><n v="2.657"/><n v="2.658"/><n v="2.659"/><n v="2.66"/><n v="2.661"/><n v="2.662"/><n v="2.663"/><n v="2.664"/><n v="2.665"/><n v="2.666"/><n v="2.667"/><n v="2.668"/><n v="2.669"/><n v="2.67"/><n v="2.671"/><n v="2.672"/><n v="2.673"/><n v="2.674"/><n v="2.675"/><n v="2.676"/><n v="2.677"/><n v="2.678"/><n v="2.679"/><n v="2.68"/><n v="2.681"/><n v="2.682"/><n v="2.683"/><n v="2.684"/><n v="2.685"/><n v="2.686"/><n v="2.687"/><n v="2.688"/><n v="2.689"/><n v="2.69"/><n v="2.691"/><n v="2.692"/><n v="2.693"/><n v="2.694"/><n v="2.695"/></sharedItems></cacheField><cacheField name="Mã nhân viên" numFmtId="0"><sharedItems><s v="D-1219"/><s v="D-1216"/><s v="D-1215"/><s v="D-1214"/><s v="D-1213"/><s v="A-0337"/><s v="D-0693"/><s v="G-0187"/><s v="A-0547"/><s v="C-1414"/><s v="C-1412"/><s v="C-1411"/><s v="C-1410"/><s v="C-1409"/><s v="C-1408"/><s v="C-1407"/><s v="C-1406"/><s v="C-1405"/><s v="C-1404"/><s v="C-1403"/><s v="C-1402"/><s v="C-1401"/><s v="C-1400"/><s v="C-1399"/><s v="C-1398"/><s v="C-1397"/><s v="B-0994"/><s v="B06-0485"/><s v="B-0737"/><s v="B-1051"/><s v="B-0823"/><s v="B06-0317"/><s v="B06-0438"/><s v="C-1424"/><s v="C-1423"/><s v="C-1422"/><s v="C-1421"/><s v="C-1420"/><s v="C-1419"/><s v="C-1418"/><s v="C-1417"/><s v="B-1419"/><s v="B-1418"/><s v="H-0304"/><s v="B-1416"/><s v="B-1417"/><s v="A04-0016"/><s v="B-1190"/><s v="B-1420"/><s v="C11-0013"/><s v="H-0292"/><s v="B-1415"/><s v="B-1414"/><s v="C-0929"/><s v="C-0926"/><s v="C-0830"/><s v="C-0831"/><s v="C26-0147"/><s v="C26-0100"/><s v="C26-0052"/><s v="C-1281"/><s v="C-1273"/><s v="C-1180"/><s v="C-1155"/><s v="C-1154"/><s v="C-1070"/><s v="C-1053"/><s v="C-0928"/><s v="C-0927"/><s v="C-0925"/><s v="C-0924"/><s v="C-0905"/><s v="C-0891"/><s v="C-0876"/><s v="C09-0532"/><s v="C-0616"/><s v="C26-0011"/><s v="C09-0285"/><s v="C09-0432"/><s v="C26-0001"/><s v="C09-0164"/><s v="C26-0183"/><s v="C-1294"/><s v="C-1260"/><s v="C-1248"/><s v="C-1224"/><s v="C-1207"/><s v="C-1161"/><s v="C-1122"/><s v="C-1121"/><s v="C-0988"/><s v="C-0892"/><s v="C26-0103"/><s v="C-0742"/><s v="C-0727"/><s v="C26-0082"/><s v="C26-0131"/><s v="C26-0118"/><s v="C26-0140"/><s v="C26-0044"/><s v="C26-0104"/><s v="C26-0099"/><s v="C09-0582"/><s v="C26-0177"/><s v="C-0747"/><s v="C-0711"/><s v="C09-0458"/><s v="C-0641"/><s v="C09-0389"/><s v="C-1179"/><s v="C-1093"/><s v="C-0992"/><s v="C-0970"/><s v="C-0950"/><s v="C-0913"/><s v="C-0889"/><s v="C-0863"/><s v="C-0847"/><s v="C-0843"/><s v="C-0791"/><s v="C38-0007"/><s v="C-0623"/><s v="C26-0024"/><s v="C20-0101"/><s v="C26-0037"/><s v="C-0670"/><s v="C20-0202"/><s v="C-0695"/><s v="C20-0133"/><s v="C-0596"/><s v="C-0790"/><s v="C20-0170"/><s v="C09-0259"/><s v="C21-0008"/><s v="C-1196"/><s v="C-1195"/><s v="C-1194"/><s v="C-1168"/><s v="C-1166"/><s v="C-1148"/><s v="C-1145"/><s v="C-1142"/><s v="C-1134"/><s v="C-1115"/><s v="C-1067"/><s v="C-1063"/><s v="A-0421"/><s v="C-0865"/><s v="C-0824"/><s v="C-0850"/><s v="C-0825"/><s v="C-0860"/><s v="C-0826"/><s v="C-0720"/><s v="C-0651"/><s v="C-0687"/><s v="C-0664"/><s v="C-0692"/><s v="C-0753"/><s v="C-0635"/><s v="C-1132"/><s v="C-1096"/><s v="C-1087"/><s v="C-1084"/><s v="C-1033"/><s v="C-0955"/><s v="C-0953"/><s v="C-0921"/><s v="C-0919"/><s v="C-0904"/><s v="C09-0635"/><s v="C09-0567"/><s v="C09-0195"/><s v="C09-0502"/><s v="C-0702"/><s v="C-0815"/><s v="C09-0323"/><s v="C09-0094"/><s v="C09-0590"/><s v="C09-0636"/><s v="C-1193"/><s v="C-1164"/><s v="C-1094"/><s v="C-0168"/><s v="C-1055"/><s v="C-1007"/><s v="C-0899"/><s v="C-0894"/><s v="C09-0606"/><s v="C09-0069"/><s v="C10-0064"/><s v="C20-0013"/><s v="C-0768"/><s v="C09-0365"/><s v="C09-0429"/><s v="C09-0156"/><s v="C-0729"/><s v="C10-0130"/><s v="C26-0012"/><s v="C-0722"/><s v="C09-0395"/><s v="C10-0227"/><s v="C-0732"/><s v="C-0706"/><s v="C-0589"/><s v="C09-0541"/><s v="C-0173"/><s v="C-0169"/><s v="C12-0001"/><s v="C10-0246"/><s v="C10-0021"/><s v="C10-0157"/><s v="C10-0040"/><s v="C10-0257"/><s v="C10-0063"/><s v="C10-0208"/><s v="C10-0042"/><s v="H11-0095"/><s v="C10-0180"/><s v="C10-0163"/><s v="C10-0280"/><s v="C10-0038"/><s v="D10-0155"/><s v="C10-0277"/><s v="C-0602"/><s v="C10-0158"/><s v="C10-0047"/><s v="C10-0161"/><s v="C-0174"/><s v="C-0170"/><s v="C-0167"/><s v="H-0299"/><s v="C-1022"/><s v="C-1021"/><s v="C-1020"/><s v="C10-0247"/><s v="C10-0232"/><s v="C10-0205"/><s v="C10-0230"/><s v="C10-0151"/><s v="C10-0226"/><s v="C10-0253"/><s v="C10-0271"/><s v="C10-0120"/><s v="C10-0222"/><s v="C10-0281"/><s v="C10-0285"/><s v="C10-0284"/><s v="C-0597"/><s v="C10-0035"/><s v="C-0618"/><s v="C10-0282"/><s v="C-1270"/><s v="C-1269"/><s v="C-1268"/><s v="C-1189"/><s v="C-1187"/><s v="C-0881"/><s v="C-0798"/><s v="C10-0179"/><s v="C10-0234"/><s v="C10-0072"/><s v="C10-0101"/><s v="C10-0259"/><s v="C10-0026"/><s v="C10-0125"/><s v="C10-0115"/><s v="C10-0273"/><s v="C10-0057"/><s v="C10-0149"/><s v="C10-0216"/><s v="C10-0294"/><s v="C10-0147"/><s v="C10-0241"/><s v="C02-0025"/><s v="C10-0213"/><s v="C10-0292"/><s v="B-0989"/><s v="B-0988"/><s v="B-1241"/><s v="B-1217"/><s v="B-1364"/><s v="B-1239"/><s v="C20-0144"/><s v="C09-0174"/><s v="D-0913"/><s v="D-0907"/><s v="D-0903"/><s v="D-0809"/><s v="D-0759"/><s v="D09-0354"/><s v="D-0570"/><s v="D-0629"/><s v="D12-0008"/><s v="D09-0026"/><s v="D-0664"/><s v="D26-0058"/><s v="D10-0067"/><s v="D09-0443"/><s v="D26-0032"/><s v="D09-0270"/><s v="D-0520"/><s v="D-1112"/><s v="D-0926"/><s v="D-0902"/><s v="D26-0140"/><s v="D09-0561"/><s v="D26-0086"/><s v="D26-0141"/><s v="D26-0100"/><s v="D09-0555"/><s v="D09-0590"/><s v="D09-0440"/><s v="D09-0304"/><s v="D09-0605"/><s v="D-0551"/><s v="D26-0102"/><s v="D-1067"/><s v="D-0974"/><s v="D-0930"/><s v="D26-0030"/><s v="D26-0118"/><s v="D-0560"/><s v="D-0697"/><s v="D26-0095"/><s v="D-0654"/><s v="D09-0063"/><s v="D09-0482"/><s v="D26-0135"/><s v="D26-0075"/><s v="D26-0059"/><s v="D-0573"/><s v="D26-0026"/><s v="D26-0117"/><s v="D26-0088"/><s v="D-0825"/><s v="D-0800"/><s v="D-0732"/><s v="D26-0130"/><s v="D-0584"/><s v="D-0601"/><s v="D-0527"/><s v="D-0558"/><s v="D09-0465"/><s v="D20-0190"/><s v="D26-0020"/><s v="D38-0004"/><s v="D20-0014"/><s v="D26-0039"/><s v="D26-0089"/><s v="D09-0236"/><s v="D-0920"/><s v="D-0911"/><s v="D-0848"/><s v="D-0841"/><s v="D-0542"/><s v="D20-0188"/><s v="D26-0119"/><s v="D20-0222"/><s v="D20-0033"/><s v="D20-0128"/><s v="D26-0121"/><s v="D26-0127"/><s v="D-0645"/><s v="D-0563"/><s v="D-0631"/><s v="D20-0230"/><s v="D20-0215"/><s v="D26-0087"/><s v="D26-0067"/><s v="D-0998"/><s v="D-0942"/><s v="D-0886"/><s v="D-0874"/><s v="D-0872"/><s v="D-0852"/><s v="D-0782"/><s v="D-0780"/><s v="D-0726"/><s v="D20-0209"/><s v="D-0578"/><s v="D09-0227"/><s v="D20-0237"/><s v="D20-0045"/><s v="D20-0196"/><s v="D21-0003"/><s v="D-0616"/><s v="D-0554"/><s v="D20-0195"/><s v="D-1138"/><s v="D-1136"/><s v="D-1072"/><s v="D-1016"/><s v="D-1001"/><s v="D-0962"/><s v="D-0961"/><s v="D-0959"/><s v="D-0899"/><s v="D-0885"/><s v="D-0829"/><s v="D-0822"/><s v="D-0818"/><s v="D-0816"/><s v="D-0729"/><s v="D21-0117"/><s v="D21-0091"/><s v="D26-0049"/><s v="D21-0028"/><s v="D-0530"/><s v="D-1139"/><s v="D-1077"/><s v="D-1023"/><s v="D-0940"/><s v="D-0888"/><s v="D-0857"/><s v="D-0727"/><s v="D-0725"/><s v="D-0568"/><s v="D21-0111"/><s v="D21-0100"/><s v="D-0703"/><s v="D21-0109"/><s v="D11-0004"/><s v="D-0638"/><s v="D-0705"/><s v="D-0655"/><s v="H11-0144"/><s v="D-0663"/><s v="D-0641"/><s v="D21-0011"/><s v="D-1002"/><s v="D-0855"/><s v="D-0748"/><s v="D-0739"/><s v="D-0745"/><s v="D09-0375"/><s v="D09-0203"/><s v="D21-0046"/><s v="D26-0144"/><s v="D09-0549"/><s v="D-0613"/><s v="D-0509"/><s v="D09-0362"/><s v="D-0522"/><s v="D09-0562"/><s v="D26-0072"/><s v="D-0712"/><s v="D-0533"/><s v="D-1032"/><s v="D-0768"/><s v="D09-0508"/><s v="D09-0622"/><s v="D-0480"/><s v="D09-0234"/><s v="D26-0014"/><s v="D09-0515"/><s v="D-0523"/><s v="D-0710"/><s v="D09-0569"/><s v="D-0701"/><s v="D-0510"/><s v="D20-0198"/><s v="D09-0554"/><s v="D-1128"/><s v="D-1044"/><s v="D-0934"/><s v="D-0880"/><s v="D-0826"/><s v="D-0778"/><s v="D-0722"/><s v="D10-0193"/><s v="D-0695"/><s v="D26-0053"/><s v="D09-0459"/><s v="D-0696"/><s v="D09-0194"/><s v="D09-0255"/><s v="D10-0128"/><s v="D-1129"/><s v="D-1080"/><s v="D-1061"/><s v="D-1009"/><s v="D-0933"/><s v="D-0932"/><s v="D-0839"/><s v="D-0827"/><s v="D-0794"/><s v="D10-0191"/><s v="D11-0010"/><s v="D-0612"/><s v="D09-0342"/><s v="D-0555"/><s v="D10-0156"/><s v="D-0476"/><s v="D-0938"/><s v="D-0849"/><s v="D-0846"/><s v="D02-0092"/><s v="D02-0103"/><s v="D02-0094"/><s v="D02-0066"/><s v="D-1220"/><s v="D-1221"/><s v="A-0510"/><s v="D-0977"/><s v="C-1090"/><s v="C-0976"/><s v="C-0861"/><s v="C-0833"/><s v="D-0479"/><s v="D-0621"/><s v="D26-0062"/><s v="D26-0120"/><s v="D26-0147"/><s v="A-0511"/><s v="A-0486"/><s v="A-0480"/><s v="D-0968"/><s v="D-0915"/><s v="C-0869"/><s v="D09-0144"/><s v="C09-0558"/><s v="C09-0122"/><s v="C09-0625"/><s v="D26-0050"/><s v="D09-0298"/><s v="C09-0295"/><s v="C-0581"/><s v="D09-0397"/><s v="C09-0269"/><s v="C09-0383"/><s v="A-0513"/><s v="C-1125"/><s v="D-0758"/><s v="C20-0177"/><s v="C09-0242"/><s v="C09-0602"/><s v="D09-0358"/><s v="C09-0560"/><s v="C20-0038"/><s v="D37-0001"/><s v="B-1413"/><s v="B-1408"/><s v="B-1409"/><s v="C09-0231"/><s v="B-1393"/><s v="B-1394"/><s v="B-1395"/><s v="B-1396"/><s v="B-1397"/><s v="B-1392"/><s v="B-1399"/><s v="B-1398"/><s v="A-0546"/><s v="A03-0013"/><s v="C-1415"/><s v="C-1416"/><s v="F-0087"/><s v="F09-0084"/><s v="G26-0006"/><s v="G-0138"/><s v="G-0143"/><s v="G-0137"/><s v="G30-0004"/><s v="G-0119"/><s v="G-0116"/><s v="G09-0099"/><s v="G26-0002"/><s v="G-0099"/><s v="G20-0016"/><s v="F-0100"/><s v="G-0065"/><s v="D-1217"/><s v="H-0172"/><s v="H11-0176"/><s v="D-1207"/><s v="D-1218"/><s v="D-1208"/><s v="B24-0038"/><s v="D10-0021"/><s v="H-0322"/><s v="H11-0246"/><s v="F-0142"/><s v="C-1365"/><s v="A-0530"/><s v="B-1412"/><s v="B-1411"/><s v="B-1410"/><s v="B-1406"/><s v="B-1403"/><s v="B-0588"/><s v="B06-0042"/><s v="E-0167"/><s v="A-0367"/><s v="C-1295"/><s v="C21-0043"/><s v="D-1210"/><s v="C-1361"/><s v="C-1359"/><s v="C-1364"/><s v="D-1209"/><s v="D-1212"/><s v="F-0101"/><s v="A-0543"/><s v="A-0541"/><s v="D-1211"/><s v="A-0545"/><s v="B-1027"/><s v="B08-0206"/><s v="D-1206"/><s v="F-0140"/><s v="A-0400"/><s v="C-0744"/><s v="D11-0018"/><s v="B-0704"/><s v="B-1011"/><s v="B06-0386"/><s v="B-1391"/><s v="D-1203"/><s v="D-1202"/><s v="E-0168"/><s v="E-0169"/><s v="E-0170"/><s v="B-1178"/><s v="B-0910"/><s v="B-0682"/><s v="B06-0507"/><s v="B08-0164"/><s v="B-1073"/><s v="B08-0065"/><s v="B24-0004"/><s v="B-0492"/><s v="B-0720"/><s v="B-0616"/><s v="B-0842"/><s v="B-0935"/><s v="B-1063"/><s v="B-1121"/><s v="B-1259"/><s v="B-1125"/><s v="B-1162"/><s v="B-1062"/><s v="C10-0172"/><s v="B-1336"/><s v="B06-0494"/><s v="B06-0395"/><s v="D-1011"/><s v="B06-0130"/><s v="B06-0200"/><s v="D-1174"/><s v="B-0717"/><s v="B-0865"/><s v="A13-0003"/><s v="C-1210"/><s v="F09-0068"/><s v="B08-0179"/><s v="D-1200"/><s v="D09-0598"/><s v="D-1205"/><s v="B24-0029"/><s v="C13-0001"/><s v="A-0533"/><s v="D-1199"/><s v="D-1201"/><s v="D-1204"/><s v="B06-0213"/><s v="D-0637"/><s v="H-0329"/><s v="H-0324"/><s v="H-0326"/><s v="H-0327"/><s v="H-0325"/><s v="H-0323"/><s v="F-0138"/><s v="A-0535"/><s v="A-0538"/><s v="C-1097"/><s v="F-0141"/><s v="C09-0176"/><s v="E09-0055"/><s v="G-0097"/><s v="G-0186"/><s v="A-0389"/><s v="G-0177"/><s v="C21-0016"/><s v="B-0796"/><s v="B08-0189"/><s v="B-0663"/><s v="B24-0032"/><s v="J-0002"/><s v="A-0470"/><s v="G-0184"/><s v="G-0185"/><s v="B-1381"/><s v="B-1252"/><s v="B-1022"/><s v="D-0610"/><s v="D20-0172"/><s v="D11-0009"/><s v="D33-0001"/><s v="D09-0617"/><s v="D20-0004"/><s v="D12-0016"/><s v="D-0592"/><s v="D21-0093"/><s v="D20-0219"/><s v="D-0602"/><s v="D09-0452"/><s v="D09-0361"/><s v="H-0161"/><s v="D09-0578"/><s v="D21-0023"/><s v="D-0810"/><s v="D-0474"/><s v="H11-0067"/><s v="D21-0089"/><s v="H-0155"/><s v="D-0781"/><s v="D-0691"/><s v="D-0970"/><s v="D-0889"/><s v="D09-0609"/><s v="D21-0021"/><s v="D-0979"/><s v="D09-0254"/><s v="H-0314"/><s v="D-1196"/><s v="D09-0213"/><s v="B17-0005"/><s v="A-0526"/><s v="B-0509"/><s v="B06-0290"/><s v="B-1167"/><s v="A-0532"/><s v="H11-0131"/><s v="G-0129"/><s v="A-0455"/><s v="C09-0620"/><s v="B-0547"/><s v="C09-0023"/><s v="D-1198"/><s v="C09-0308"/><s v="C-0587"/><s v="B-0786"/><s v="B-0756"/><s v="C09-0628"/><s v="G-0183"/><s v="E-0120"/><s v="B-1004"/><s v="H-0320"/><s v="C-1024"/><s v="C10-0075"/><s v="C10-0066"/><s v="C10-0173"/><s v="C10-0265"/><s v="C10-0261"/><s v="C10-0108"/><s v="C10-0290"/><s v="C10-0051"/><s v="C10-0219"/><s v="C09-0170"/><s v="C10-0018"/><s v="C10-0124"/><s v="C-1064"/><s v="C-0878"/><s v="C09-0207"/><s v="C20-0111"/><s v="C20-0154"/><s v="C21-0107"/><s v="C-1046"/><s v="C-1011"/><s v="C-0985"/><s v="C-0956"/><s v="C-0940"/><s v="C-0909"/><s v="C-0883"/><s v="C-0846"/><s v="C-0842"/><s v="C-1244"/><s v="C-1243"/><s v="C-1184"/><s v="C-1152"/><s v="C-1139"/><s v="C-1123"/><s v="C-1120"/><s v="C-1119"/><s v="C-1112"/><s v="C-1079"/><s v="C-1283"/><s v="C-1263"/><s v="C09-0244"/><s v="C-0708"/><s v="C09-0427"/><s v="C09-0098"/><s v="C09-0409"/><s v="C09-0319"/><s v="C-0788"/><s v="C09-0616"/><s v="C-0579"/><s v="C-0723"/><s v="C-0690"/><s v="C-0684"/><s v="C09-0528"/><s v="C09-0595"/><s v="C09-0525"/><s v="C09-0576"/><s v="C21-0006"/><s v="C-0710"/><s v="C09-0186"/><s v="C-0882"/><s v="C-0870"/><s v="C-0840"/><s v="C-0839"/><s v="C21-0013"/><s v="C09-0553"/><s v="C09-0489"/><s v="C21-0023"/><s v="C-1054"/><s v="C-1040"/><s v="C-1030"/><s v="C-0966"/><s v="C-0945"/><s v="C-1239"/><s v="C-1238"/><s v="C-1234"/><s v="C-1231"/><s v="C-1225"/><s v="C-1219"/><s v="C-1218"/><s v="C-1202"/><s v="C-1147"/><s v="C-1304"/><s v="C-1265"/><s v="C-1255"/><s v="C21-0047"/><s v="C21-0082"/><s v="C-0786"/><s v="C-0584"/><s v="C21-0115"/><s v="C10-0084"/><s v="C21-0103"/><s v="C09-0052"/><s v="C-0697"/><s v="C21-0058"/><s v="C09-0499"/><s v="C09-0474"/><s v="C-0828"/><s v="C09-0597"/><s v="C20-0007"/><s v="C21-0029"/><s v="C09-0179"/><s v="C-0787"/><s v="C-0724"/><s v="C09-0120"/><s v="C-1105"/><s v="C-1073"/><s v="C-0871"/><s v="C10-0146"/><s v="C10-0061"/><s v="C10-0198"/><s v="C09-0596"/><s v="C-0580"/><s v="C10-0171"/><s v="C-1330"/><s v="C-1328"/><s v="C-1323"/><s v="C-1320"/><s v="C-1317"/><s v="C-1274"/><s v="C-1144"/><s v="C-1076"/><s v="C-0978"/><s v="C-0975"/><s v="C-0906"/><s v="C09-0623"/><s v="C-0593"/><s v="C10-0291"/><s v="C09-0559"/><s v="C21-0113"/><s v="C09-0605"/><s v="C09-0294"/><s v="C-1356"/><s v="C-1351"/><s v="C-1347"/><s v="C-1345"/><s v="C-1339"/><s v="C-1316"/><s v="C-1308"/><s v="C-1271"/><s v="C-1214"/><s v="C09-0619"/><s v="C26-0034"/><s v="C10-0217"/><s v="C-0693"/><s v="C-1338"/><s v="C-1335"/><s v="C-1332"/><s v="C-1327"/><s v="C-1324"/><s v="C-1175"/><s v="C-1114"/><s v="C-1111"/><s v="C26-0178"/><s v="C09-0290"/><s v="C-0770"/><s v="C-0718"/><s v="C-1367"/><s v="C-1362"/><s v="C-1358"/><s v="C09-0274"/><s v="C21-0056"/><s v="C26-0146"/><s v="C10-0202"/><s v="C26-0157"/><s v="C-0803"/><s v="C-1395"/><s v="C-1394"/><s v="C-1393"/><s v="C-1392"/><s v="C-1390"/><s v="C-1388"/><s v="C-1387"/><s v="C-1386"/><s v="C-1385"/><s v="C-1382"/><s v="C-1376"/><s v="C-1375"/><s v="C-1374"/><s v="C-1371"/><s v="C-1370"/><s v="C-1369"/><s v="C-1396"/><s v="H-0319"/><s v="H-0321"/><s v="D10-0151"/><s v="C26-0096"/><s v="C-1278"/><s v="C-0750"/><s v="C-1277"/><s v="C-1264"/><s v="C-0619"/><s v="B-0858"/><s v="C09-0198"/><s v="C-0612"/><s v="C09-0533"/><s v="C09-0509"/><s v="C09-0177"/><s v="C09-0470"/><s v="C-0769"/><s v="C-1275"/><s v="C-1306"/><s v="C-1310"/><s v="C-1303"/><s v="C-1300"/><s v="B-1261"/><s v="A-0531"/><s v="A-0399"/><s v="D-1183"/><s v="B07-0092"/><s v="B-1356"/><s v="B-1350"/><s v="B-1348"/><s v="B-1346"/><s v="B-1349"/><s v="B-1358"/><s v="B-1359"/><s v="B-1339"/><s v="B-1341"/><s v="B-1344"/><s v="B-1351"/><s v="B-1360"/><s v="C09-0537"/><s v="E-0166"/><s v="B06-0109"/><s v="E-0165"/><s v="E-0164"/><s v="B-1405"/><s v="F09-0076"/><s v="G20-0035"/><s v="H-0149"/><s v="B-0531"/><s v="B-1189"/><s v="A28-0008"/><s v="A-0407"/><s v="C-0936"/><s v="H11-0110"/><s v="C-1381"/><s v="C-1378"/><s v="C-1377"/><s v="B06-0188"/><s v="A-0529"/><s v="D-1186"/><s v="A-0528"/><s v="D-1194"/><s v="F-0084"/><s v="C09-0184"/><s v="E10-0056"/><s v="B-1228"/><s v="B-1067"/><s v="D-0850"/><s v="D-1192"/><s v="D-1193"/><s v="A-0521"/><s v="D-1195"/><s v="D-1190"/><s v="B-0697"/><s v="D02-0051"/><s v="B-1262"/><s v="B06-0388"/><s v="B-0943"/><s v="A-0536"/><s v="D-1187"/><s v="C20-0045"/><s v="B08-0213"/><s v="H11-0267"/><s v="H-0311"/><s v="D-1191"/><s v="H-0312"/><s v="B-1404"/><s v="H-0309"/><s v="H-0307"/><s v="H11-0173"/><s v="H11-0164"/><s v="D-0854"/><s v="B06-0199"/><s v="B06-0015"/><s v="D02-0042"/><s v="D-1182"/><s v="G-0180"/><s v="D-1185"/><s v="D-1188"/><s v="C02-0002"/><s v="B07-0061"/><s v="B-1354"/><s v="G-0178"/><s v="G-0181"/><s v="C-0897"/><s v="C09-0573"/><s v="E20-0030"/><s v="C09-0588"/><s v="G-0182"/><s v="B-1025"/><s v="D09-0418"/><s v="D09-0492"/><s v="C09-0166"/><s v="B06-0517"/><s v="B06-0244"/><s v="B-1357"/><s v="D09-0421"/><s v="D-1069"/><s v="B08-0057"/><s v="D09-0466"/><s v="B-1028"/><s v="C21-0041"/><s v="B02-0006"/><s v="G12-0003"/><s v="A-0310"/><s v="B06-0354"/><s v="B-1382"/><s v="B-1384"/><s v="B-1279"/><s v="D11-0003"/><s v="B06-0311"/><s v="F10-0006"/><s v="B07-0069"/><s v="B06-0406"/><s v="C11-0002"/><s v="B-1008"/><s v="B-0970"/><s v="B-0963"/><s v="B-0960"/><s v="B-0959"/><s v="B-0868"/><s v="B-0832"/><s v="B-0831"/><s v="B-0826"/><s v="B-0825"/><s v="B-0819"/><s v="B-0816"/><s v="B06-0488"/><s v="B08-0070"/><s v="B06-0258"/><s v="B06-0070"/><s v="B06-0426"/><s v="B06-0230"/><s v="B08-0193"/><s v="B06-0329"/><s v="B06-0478"/><s v="B-0504"/><s v="B06-0024"/><s v="B06-0334"/><s v="B06-0535"/><s v="B06-0383"/><s v="B06-0516"/><s v="B06-0436"/><s v="B06-0251"/><s v="H-0142"/><s v="B24-0040"/><s v="B08-0024"/><s v="B08-0195"/><s v="B06-0171"/><s v="B06-0380"/><s v="C10-0010"/><s v="B02-0025"/><s v="B-0779"/><s v="B08-0014"/><s v="B-0791"/><s v="B06-0437"/><s v="B06-0294"/><s v="B06-0144"/><s v="B06-0397"/><s v="B-0787"/><s v="B-0503"/><s v="B06-0439"/><s v="B06-0353"/><s v="H11-0100"/><s v="B08-0054"/><s v="B06-0381"/><s v="B-0771"/><s v="B06-0340"/><s v="B24-0009"/><s v="B08-0154"/><s v="B-0525"/><s v="B06-0078"/><s v="B06-0350"/><s v="B-0696"/><s v="H-0133"/><s v="B06-0464"/><s v="B-0732"/><s v="H11-0101"/><s v="B-0813"/><s v="B08-0185"/><s v="B07-0080"/><s v="B-0532"/><s v="B-0700"/><s v="B-0698"/><s v="B-0812"/><s v="H11-0024"/><s v="B08-0204"/><s v="B06-0508"/><s v="H11-0093"/><s v="B-0515"/><s v="B06-0530"/><s v="B06-0505"/><s v="B06-0510"/><s v="B06-0050"/><s v="A32-0002"/><s v="H11-0001"/><s v="B06-0456"/><s v="B-0801"/><s v="B-0815"/><s v="B07-0026"/><s v="B06-0273"/><s v="B24-0036"/><s v="B-0792"/><s v="B02-0001"/><s v="B06-0270"/><s v="B-0769"/><s v="B-0731"/><s v="B08-0076"/><s v="B07-0032"/><s v="B06-0097"/><s v="H11-0040"/><s v="B06-0346"/><s v="B06-0170"/><s v="B06-0371"/><s v="B06-0177"/><s v="B06-0443"/><s v="B06-0479"/><s v="B-0724"/><s v="B07-0104"/><s v="B06-0373"/><s v="B08-0203"/><s v="B-0507"/><s v="B02-0012"/><s v="B-0775"/><s v="B06-0401"/><s v="B06-0323"/><s v="B06-0489"/><s v="B06-0005"/><s v="A05-0005"/><s v="B06-0338"/><s v="B06-0410"/><s v="B08-0187"/><s v="B06-0447"/><s v="B06-0286"/><s v="B06-0411"/><s v="B-0739"/><s v="B-0502"/><s v="B06-0129"/><s v="C02-0003"/><s v="B07-0119"/><s v="B08-0002"/><s v="C11-0020"/><s v="B06-0046"/><s v="B-0707"/><s v="C09-0044"/><s v="B06-0010"/><s v="B06-0453"/><s v="B08-0006"/><s v="B06-0451"/><s v="B06-0277"/><s v="B02-0004"/><s v="B06-0403"/><s v="B06-0484"/><s v="B06-0296"/><s v="B08-0212"/><s v="B06-0502"/><s v="B06-0351"/><s v="B08-0199"/><s v="B06-0056"/><s v="B06-0307"/><s v="B06-0391"/><s v="B06-0293"/><s v="B-0767"/><s v="B07-0090"/><s v="B06-0319"/><s v="B06-0342"/><s v="B08-0205"/><s v="B06-0420"/><s v="B06-0223"/><s v="B06-0463"/><s v="B06-0172"/><s v="B06-0483"/><s v="B06-0389"/><s v="B06-0225"/><s v="B07-0077"/><s v="B06-0007"/><s v="B06-0033"/><s v="B06-0458"/><s v="B-0505"/><s v="B06-0062"/><s v="B07-0029"/><s v="B06-0492"/><s v="B06-0316"/><s v="B08-0078"/><s v="B06-0545"/><s v="B-0772"/><s v="B-1233"/><s v="B-1227"/><s v="B-1226"/><s v="B-1225"/><s v="B-1220"/><s v="B-1224"/><s v="B-1215"/><s v="B-1213"/><s v="B-1201"/><s v="B-1207"/><s v="B-1205"/><s v="B-1203"/><s v="B-1198"/><s v="B-1199"/><s v="B-1194"/><s v="B-1196"/><s v="B-1193"/><s v="B-1180"/><s v="B-1166"/><s v="B-1182"/><s v="B-1188"/><s v="B-1191"/><s v="B-1160"/><s v="B-1170"/><s v="B-1171"/><s v="B-1179"/><s v="B-1186"/><s v="B-1181"/><s v="B-1176"/><s v="B-1163"/><s v="B-1165"/><s v="B-1172"/><s v="B-1159"/><s v="B-1155"/><s v="B-1153"/><s v="B-1151"/><s v="B-1142"/><s v="B-1146"/><s v="B-1148"/><s v="B-1147"/><s v="B-1140"/><s v="B-1139"/><s v="B-1136"/><s v="B-1135"/><s v="B-1133"/><s v="B-1128"/><s v="B-1127"/><s v="B-1126"/><s v="B-1123"/><s v="B-1119"/><s v="B-1112"/><s v="B-1110"/><s v="B-1108"/><s v="B-1106"/><s v="B-1104"/><s v="B-1103"/><s v="B-1102"/><s v="B-1098"/><s v="B-1101"/><s v="B-1099"/><s v="B-1085"/><s v="B-1076"/><s v="B-1002"/><s v="B-0974"/><s v="B-0905"/><s v="B-0857"/><s v="B-0827"/><s v="B-0818"/><s v="B24-0031"/><s v="B06-0145"/><s v="B-0809"/><s v="B06-0512"/><s v="B06-0504"/><s v="B08-0207"/><s v="B-0748"/><s v="B08-0172"/><s v="B24-0041"/><s v="B-0639"/><s v="B23-0001"/><s v="B07-0122"/><s v="B06-0207"/><s v="B06-0128"/><s v="B06-0121"/><s v="B06-0466"/><s v="B06-0163"/><s v="B-0729"/><s v="B06-0482"/><s v="B06-0522"/><s v="H11-0003"/><s v="B06-0370"/><s v="B06-0434"/><s v="B06-0423"/><s v="B-0672"/><s v="B06-0308"/><s v="B-0799"/><s v="B-0807"/><s v="B06-0089"/><s v="B06-0475"/><s v="B-1369"/><s v="B-1361"/><s v="B-1363"/><s v="B-1321"/><s v="B-1320"/><s v="B-1319"/><s v="B-1317"/><s v="B-1315"/><s v="B-1314"/><s v="B-1313"/><s v="B-1312"/><s v="B-1311"/><s v="B-1310"/><s v="B-1309"/><s v="B-1308"/><s v="B-1307"/><s v="B-1306"/><s v="B-1305"/><s v="B-1303"/><s v="B-1302"/><s v="B-1300"/><s v="B-1294"/><s v="B-1265"/><s v="B-1278"/><s v="B-1291"/><s v="B-1290"/><s v="B-1283"/><s v="B-1281"/><s v="B-1276"/><s v="B-1272"/><s v="B-1277"/><s v="B-1274"/><s v="B-1273"/><s v="B-1271"/><s v="B-1269"/><s v="B-1270"/><s v="B-1266"/><s v="B-1267"/><s v="B-1263"/><s v="B-1258"/><s v="B-1257"/><s v="B-1256"/><s v="B-1255"/><s v="B-1254"/><s v="B-1253"/><s v="B-1251"/><s v="B-1250"/><s v="B-1249"/><s v="B-1244"/><s v="B-1240"/><s v="B-1237"/><s v="B-1235"/><s v="B-1234"/><s v="B-1230"/><s v="B-1229"/><s v="B-1218"/><s v="B-1219"/><s v="B-1212"/><s v="B-1200"/><s v="B-1202"/><s v="B-1168"/><s v="B-1169"/><s v="B-1184"/><s v="B-1177"/><s v="B-1129"/><s v="B-1124"/><s v="B-1091"/><s v="B-1084"/><s v="B-1071"/><s v="B-1064"/><s v="B-1060"/><s v="B-1049"/><s v="B-1045"/><s v="B-0953"/><s v="B-0955"/><s v="B-0948"/><s v="B-0929"/><s v="B-0885"/><s v="B-0856"/><s v="B-0833"/><s v="B-0828"/><s v="B-0821"/><s v="B06-0480"/><s v="B06-0470"/><s v="B-0556"/><s v="B07-0107"/><s v="B06-0412"/><s v="B06-0124"/><s v="B06-0291"/><s v="B-0528"/><s v="B24-0022"/><s v="B-0742"/><s v="B06-0544"/><s v="B06-0362"/><s v="B06-0275"/><s v="H-0171"/><s v="B06-0205"/><s v="B-0587"/><s v="B06-0542"/><s v="B08-0168"/><s v="B02-0021"/><s v="B-0790"/><s v="B06-0355"/><s v="B06-0103"/><s v="B08-0010"/><s v="C04-0002"/><s v="B08-0053"/><s v="B06-0359"/><s v="B-0721"/><s v="B06-0305"/><s v="B-0586"/><s v="C10-0094"/><s v="C09-0210"/><s v="B07-0002"/><s v="B08-0157"/><s v="B06-0500"/><s v="B07-0120"/><s v="B06-0491"/><s v="B06-0495"/><s v="B06-0454"/><s v="B03-0001"/><s v="B06-0461"/><s v="B-0501"/><s v="B06-0361"/><s v="B-0572"/><s v="B06-0114"/><s v="B06-0462"/><s v="B-0610"/><s v="B06-0041"/><s v="B-0594"/><s v="B-0795"/><s v="B08-0027"/><s v="B06-0064"/><s v="B06-0208"/><s v="B-0577"/><s v="B-0680"/><s v="B06-0330"/><s v="B-0495"/><s v="B06-0499"/><s v="B-0570"/><s v="H11-0138"/><s v="B-0625"/><s v="B-0783"/><s v="B08-0056"/><s v="H11-0154"/><s v="B-0750"/><s v="B06-0238"/><s v="B07-0118"/><s v="B06-0312"/><s v="B-0699"/><s v="H11-0082"/><s v="B08-0029"/><s v="B06-0111"/><s v="B02-0024"/><s v="B06-0049"/><s v="B-0487"/><s v="B-0535"/><s v="B24-0020"/><s v="B06-0081"/><s v="D12-0001"/><s v="H11-0026"/><s v="B08-0017"/><s v="B-0544"/><s v="B06-0053"/><s v="B-0617"/><s v="B-0723"/><s v="B-0494"/><s v="B08-0171"/><s v="B07-0036"/><s v="B06-0031"/><s v="B-0608"/><s v="B06-0187"/><s v="B-1388"/><s v="B-1387"/><s v="B-1386"/><s v="B-1385"/><s v="B-1383"/><s v="B-1380"/><s v="B-1375"/><s v="B-1378"/><s v="B-1379"/><s v="B-1374"/><s v="B-1376"/><s v="B-1377"/><s v="B-1368"/><s v="B-1367"/><s v="B-1370"/><s v="B-1371"/><s v="B-1372"/><s v="B-1373"/><s v="B-1347"/><s v="B-1340"/><s v="B-1338"/><s v="B-1337"/><s v="B-1332"/><s v="B-1333"/><s v="B-1331"/><s v="B-1330"/><s v="B-1323"/><s v="B-1292"/><s v="B-1246"/><s v="B-1236"/><s v="B-1209"/><s v="B-1197"/><s v="B-1192"/><s v="B-1134"/><s v="B-1143"/><s v="B-1131"/><s v="B-1109"/><s v="B-1086"/><s v="B-1087"/><s v="B-0996"/><s v="B-0993"/><s v="B-0983"/><s v="B-0961"/><s v="B-0958"/><s v="B-0956"/><s v="B-0945"/><s v="B-0940"/><s v="B-0932"/><s v="B-0893"/><s v="B-0863"/><s v="B-0829"/><s v="B06-0331"/><s v="B08-0089"/><s v="C02-0001"/><s v="B08-0191"/><s v="B-0690"/><s v="C02-0020"/><s v="B24-0035"/><s v="B06-0246"/><s v="B06-0320"/><s v="B06-0282"/><s v="B06-0098"/><s v="B06-0100"/><s v="B06-0333"/><s v="B06-0016"/><s v="B06-0119"/><s v="B-0715"/><s v="B-0735"/><s v="B-0763"/><s v="B-0670"/><s v="B-0576"/><s v="B06-0030"/><s v="B24-0023"/><s v="A17-0005"/><s v="B06-0048"/><s v="B-0708"/><s v="B06-0325"/><s v="B-0551"/><s v="B06-0352"/><s v="B06-0090"/><s v="B06-0184"/><s v="B-0773"/><s v="B06-0017"/><s v="B08-0200"/><s v="B-0781"/><s v="B-1353"/><s v="B-1334"/><s v="B-1328"/><s v="B-1325"/><s v="B-1324"/><s v="B-1301"/><s v="B-1299"/><s v="B-1287"/><s v="B-1285"/><s v="B-1282"/><s v="B-1264"/><s v="B-1243"/><s v="B-1223"/><s v="B-1204"/><s v="B-1175"/><s v="B-1156"/><s v="B-1150"/><s v="B-1145"/><s v="B-1122"/><s v="B-1120"/><s v="B-1117"/><s v="B-1115"/><s v="B-1114"/><s v="B-1107"/><s v="B-1100"/><s v="B-1096"/><s v="B-1094"/><s v="B-1080"/><s v="B-1066"/><s v="B-1059"/><s v="B-1054"/><s v="B-1047"/><s v="B-1034"/><s v="B-1033"/><s v="B-1014"/><s v="B-1000"/><s v="B-0998"/><s v="B-0976"/><s v="B-0971"/><s v="B-0965"/><s v="B-0951"/><s v="B-0950"/><s v="B-0941"/><s v="B-0897"/><s v="B-0879"/><s v="B-0871"/><s v="B-0841"/><s v="B-0820"/><s v="B08-0019"/><s v="C02-0018"/><s v="B06-0509"/><s v="H11-0244"/><s v="B06-0408"/><s v="B08-0059"/><s v="B-0561"/><s v="H11-0219"/><s v="A32-0001"/><s v="B06-0400"/><s v="B-0545"/><s v="B-0516"/><s v="B-0811"/><s v="B06-0377"/><s v="B-0632"/><s v="A13-0001"/><s v="B06-0372"/><s v="B06-0084"/><s v="B-0604"/><s v="B-0810"/><s v="B24-0010"/><s v="B-0766"/><s v="B-0537"/><s v="A17-0007"/><s v="B-0484"/><s v="C03-0002"/><s v="B-0805"/><s v="B-0593"/><s v="A14-0004"/><s v="B-0726"/><s v="B-0770"/><s v="B06-0487"/><s v="B-0814"/><s v="A02-0004"/><s v="B06-0058"/><s v="B06-0469"/><s v="B07-0097"/><s v="B06-0001"/><s v="B-0606"/><s v="D12-0015"/><s v="B06-0257"/><s v="H11-0028"/><s v="B06-0011"/><s v="B-0701"/><s v="H11-0090"/><s v="B-0765"/><s v="B06-0446"/><s v="B-0489"/><s v="B06-0012"/><s v="B-0746"/><s v="B-0702"/><s v="B06-0306"/><s v="B08-0045"/><s v="B-0542"/><s v="B08-0174"/><s v="C11-0014"/><s v="B06-0347"/><s v="B-0589"/><s v="B02-0026"/><s v="B06-0515"/><s v="B08-0008"/><s v="B-0743"/><s v="B06-0407"/><s v="B06-0101"/><s v="B07-0035"/><s v="B08-0012"/><s v="B-0736"/><s v="B-0710"/><s v="B07-0098"/><s v="B06-0425"/><s v="B02-0014"/><s v="B06-0167"/><s v="B06-0448"/><s v="B-0506"/><s v="B06-0003"/><s v="B06-0243"/><s v="H11-0029"/><s v="H11-0089"/><s v="B06-0227"/><s v="B08-0066"/><s v="B-0549"/><s v="B06-0288"/><s v="B17-0001"/><s v="B08-0080"/><s v="B06-0147"/><s v="B06-0211"/><s v="B-0758"/><s v="B06-0280"/><s v="B-0512"/><s v="A-0285"/><s v="B-0612"/><s v="B-0709"/><s v="B06-0318"/><s v="B-0747"/><s v="B-0534"/><s v="B06-0506"/><s v="B06-0416"/><s v="F09-0055"/><s v="C-0688"/><s v="D09-0608"/><s v="C09-0034"/><s v="C-1108"/><s v="K-0003"/><s v="C09-0030"/><s v="D-1179"/><s v="K-0001"/><s v="C10-0189"/><s v="D-1155"/><s v="A-0527"/><s v="A-0525"/><s v="A-0524"/><s v="H-0271"/><s v="A-0404"/><s v="C02-0022"/><s v="G-0175"/><s v="D10-0150"/><s v="D10-0122"/><s v="D10-0209"/><s v="G-0169"/><s v="C10-0091"/><s v="H-0317"/><s v="D-1172"/><s v="A01-0001"/><s v="K-0013"/><s v="D09-0049"/><s v="D09-0023"/><s v="D09-0108"/><s v="D20-0212"/><s v="C-0637"/><s v="E-0124"/><s v="D21-0106"/><s v="A-0334"/><s v="A34-0002"/><s v="D-1133"/><s v="E-0136"/><s v="E-0162"/><s v="G10-0039"/><s v="C09-0481"/><s v="D-0946"/><s v="D10-0201"/><s v="D26-0148"/><s v="G10-0086"/><s v="G-0114"/><s v="G-0122"/><s v="D-0529"/><s v="E09-0065"/><s v="C-0903"/><s v="C09-0306"/><s v="D20-0189"/><s v="D-1158"/><s v="A-0517"/><s v="C02-0004"/><s v="E-0113"/><s v="B-0969"/><s v="B-0985"/><s v="D26-0131"/><s v="A04-0035"/><s v="H-0143"/><s v="K-0012"/><s v="H11-0136"/><s v="H11-0211"/><s v="E-0091"/><s v="F-0132"/><s v="D-0495"/><s v="B06-0093"/><s v="C09-0556"/><s v="D-1171"/><s v="D-1170"/><s v="D-1169"/><s v="D-0766"/><s v="H11-0109"/><s v="G-0101"/><s v="G-0160"/><s v="G-0121"/><s v="G-0158"/><s v="G09-0116"/><s v="G-0139"/><s v="G-0063"/><s v="F10-0043"/><s v="F-0077"/><s v="D-0618"/><s v="H-0316"/><s v="C-0610"/><s v="H-0315"/><s v="A-0475"/><s v="D21-0070"/><s v="C09-0591"/><s v="D10-0134"/><s v="D-0833"/><s v="A14-0002"/><s v="H11-0209"/><s v="H-0237"/><s v="H11-0123"/><s v="D37-0003"/><s v="H11-0119"/><s v="F02-0001"/><s v="C09-0472"/><s v="D-1164"/><s v="F09-0097"/><s v="H-0213"/><s v="H11-0057"/><s v="D09-0512"/><s v="E10-0066"/><s v="D-0628"/><s v="D-0595"/><s v="D40-0001"/><s v="A-0441"/><s v="C09-0003"/><s v="D-1162"/><s v="C20-0061"/><s v="C21-0104"/><s v="G09-0022"/><s v="D-1156"/><s v="D-0483"/><s v="C02-0028"/><s v="D-1161"/><s v="D-1159"/><s v="E02-0021"/><s v="C10-0027"/><s v="C-1088"/><s v="E-0132"/><s v="D10-0023"/><s v="G30-0003"/><s v="D-1163"/><s v="F-0070"/><s v="F20-0037"/><s v="F12-0001"/><s v="F26-0007"/><s v="F26-0009"/><s v="G-0159"/><s v="G09-0029"/><s v="G-0078"/><s v="D09-0557"/><s v="C02-0027"/><s v="J-0004"/><s v="B24-0016"/><s v="D12-0005"/><s v="B06-0472"/><s v="D09-0150"/><s v="C10-0087"/><s v="A-0460"/><s v="D09-0091"/><s v="E-0084"/><s v="D20-0156"/><s v="A-0384"/><s v="C09-0048"/><s v="A28-0007"/><s v="E09-0083"/><s v="H11-0156"/><s v="D09-0489"/><s v="C-0620"/><s v="F-0089"/><s v="A-0502"/><s v="D-1145"/><s v="D10-0117"/><s v="H11-0059"/><s v="D12-0002"/><s v="D11-0017"/><s v="D-0807"/><s v="D-0686"/><s v="F09-0083"/><s v="D-1026"/><s v="H-0308"/><s v="C-1035"/><s v="H-0306"/><s v="H-0302"/><s v="H-0300"/><s v="H-0298"/><s v="H-0297"/><s v="H-0291"/><s v="H-0296"/><s v="H-0285"/><s v="H-0284"/><s v="H-0283"/><s v="H-0270"/><s v="H-0259"/><s v="H-0261"/><s v="H-0263"/><s v="H-0264"/><s v="H-0258"/><s v="C-0998"/><s v="H-0256"/><s v="H-0255"/><s v="H-0253"/><s v="C-0968"/><s v="G-0125"/><s v="H-0250"/><s v="H-0240"/><s v="H-0236"/><s v="H-0235"/><s v="H-0234"/><s v="C-0934"/><s v="C-0933"/><s v="C-0931"/><s v="H-0227"/><s v="H-0220"/><s v="H-0217"/><s v="D-0821"/><s v="H-0215"/><s v="H-0216"/><s v="D-0814"/><s v="C-0923"/><s v="F-0113"/><s v="H-0207"/><s v="H-0206"/><s v="H-0205"/><s v="H-0202"/><s v="H-0203"/><s v="E-0125"/><s v="H-0191"/><s v="H-0186"/><s v="H-0197"/><s v="C-0895"/><s v="C-0893"/><s v="D-0786"/><s v="C-0872"/><s v="G-0115"/><s v="C21-0074"/><s v="D26-0083"/><s v="F-0104"/><s v="C26-0139"/><s v="H11-0012"/><s v="C26-0151"/><s v="H11-0049"/><s v="C21-0084"/><s v="C09-0417"/><s v="D-0504"/><s v="C09-0381"/><s v="C11-0025"/><s v="H11-0066"/><s v="C09-0394"/><s v="H11-0224"/><s v="H11-0207"/><s v="H11-0130"/><s v="H11-0269"/><s v="H11-0171"/><s v="C09-0412"/><s v="H-0176"/><s v="C09-0593"/><s v="H11-0231"/><s v="C38-0009"/><s v="H11-0241"/><s v="D09-0546"/><s v="C20-0124"/><s v="H11-0188"/><s v="H11-0235"/><s v="C26-0130"/><s v="G10-0002"/><s v="D-0475"/><s v="H-0166"/><s v="D12-0009"/><s v="D21-0039"/><s v="G-0079"/><s v="H11-0058"/><s v="D11-0013"/><s v="H-0163"/><s v="H11-0004"/><s v="G-0067"/><s v="D11-0030"/><s v="D-0565"/><s v="C21-0055"/><s v="H11-0112"/><s v="H11-0203"/><s v="D-0550"/><s v="C-0756"/><s v="D09-0520"/><s v="H-0148"/><s v="H11-0169"/><s v="D21-0087"/><s v="H11-0226"/><s v="H11-0210"/><s v="C26-0021"/><s v="C20-0006"/><s v="C12-0008"/><s v="C-0594"/><s v="H11-0030"/><s v="H11-0160"/><s v="H-0159"/><s v="C09-0291"/><s v="H11-0127"/><s v="H11-0257"/><s v="C12-0003"/><s v="C26-0112"/><s v="C21-0046"/><s v="H11-0263"/><s v="D-0547"/><s v="D26-0142"/><s v="H-0145"/><s v="E21-0001"/><s v="H11-0155"/><s v="H-0151"/><s v="C-0745"/><s v="D26-0124"/><s v="H11-0162"/><s v="D09-0229"/><s v="H11-0153"/><s v="C11-0011"/><s v="C11-0026"/><s v="D20-0060"/><s v="H11-0202"/><s v="C12-0026"/><s v="C10-0137"/><s v="C11-0027"/><s v="H11-0225"/><s v="D12-0010"/><s v="C10-0009"/><s v="H11-0054"/><s v="H11-0161"/><s v="C09-0037"/><s v="H-0135"/><s v="H11-0116"/><s v="D-0906"/><s v="D20-0089"/><s v="D10-0152"/><s v="D-0851"/><s v="E30-0005"/><s v="E10-0022"/><s v="E09-0075"/><s v="D09-0401"/><s v="G09-0087"/><s v="G21-0002"/><s v="C02-0050"/><s v="D-0978"/><s v="J-0011"/><s v="D-0660"/><s v="D-0919"/><s v="B07-0073"/><s v="D10-0207"/><s v="D-1153"/><s v="C-0757"/><s v="C26-0060"/><s v="A03-0006"/><s v="C09-0088"/><s v="C02-0038"/><s v="E01-0001"/><s v="C02-0034"/><s v="C10-0032"/><s v="C10-0221"/><s v="C20-0097"/><s v="C09-0055"/><s v="A05-0002"/><s v="C10-0005"/><s v="C10-0177"/><s v="C10-0254"/><s v="C10-0155"/><s v="C21-0014"/><s v="C10-0041"/><s v="C20-0073"/><s v="C03-0001"/><s v="D10-0019"/><s v="D-1021"/><s v="C10-0167"/><s v="G02-0072"/><s v="G12-0019"/><s v="G02-0067"/><s v="G-0140"/><s v="G-0135"/><s v="G09-0088"/><s v="G-0087"/><s v="D10-0089"/><s v="D-0658"/><s v="D-0594"/><s v="D-0719"/><s v="D-1115"/><s v="D-0914"/><s v="D-1054"/><s v="D-1120"/><s v="D20-0201"/><s v="D02-0080"/><s v="D-1040"/><s v="D-0835"/><s v="D-1045"/><s v="D-0862"/><s v="D-1005"/><s v="D09-0504"/><s v="D-1031"/><s v="D-0969"/><s v="D20-0174"/><s v="D10-0118"/><s v="D-0957"/><s v="D-0842"/><s v="K-0011"/><s v="D10-0025"/><s v="F09-0096"/><s v="F30-0008"/><s v="F20-0036"/><s v="D-1020"/><s v="F09-0087"/><s v="F-0106"/><s v="E-0157"/><s v="E-0153"/><s v="E-0140"/><s v="E-0139"/><s v="E-0126"/><s v="E-0123"/><s v="C-0834"/><s v="E-0086"/><s v="E09-0079"/><s v="E-0107"/><s v="C09-0580"/><s v="E-0114"/><s v="E30-0003"/><s v="E26-0007"/><s v="E20-0001"/><s v="C09-0607"/><s v="E20-0010"/><s v="C09-0614"/><s v="E-0101"/><s v="E26-0016"/><s v="E09-0022"/><s v="C09-0611"/><s v="E26-0012"/><s v="E26-0011"/><s v="E-0074"/><s v="E09-0070"/><s v="E09-0084"/><s v="D-0488"/><s v="E09-0034"/><s v="E09-0036"/><s v="E-0071"/><s v="E09-0069"/><s v="D-0967"/><s v="D-0965"/><s v="D-0943"/><s v="D-0931"/><s v="D-0881"/><s v="D-0858"/><s v="D-0838"/><s v="D-0765"/><s v="D-0742"/><s v="D10-0172"/><s v="D-0556"/><s v="D09-0456"/><s v="D26-0029"/><s v="D20-0176"/><s v="D10-0018"/><s v="D09-0299"/><s v="D21-0101"/><s v="C26-0003"/><s v="D-0532"/><s v="D10-0078"/><s v="D10-0017"/><s v="G01-0004"/><s v="D10-0008"/><s v="D10-0149"/><s v="D10-0075"/><s v="D10-0001"/><s v="D26-0080"/><s v="D10-0032"/><s v="D10-0133"/><s v="D-0506"/><s v="D10-0010"/><s v="D10-0194"/><s v="D-1144"/><s v="D-1141"/><s v="D-1135"/><s v="D-1134"/><s v="D-1122"/><s v="D-1121"/><s v="D-1119"/><s v="D-1109"/><s v="D-1108"/><s v="D-1102"/><s v="D-1097"/><s v="D-1092"/><s v="D-1090"/><s v="D-1088"/><s v="D-1084"/><s v="D-1083"/><s v="D-1059"/><s v="D-1053"/><s v="D-1047"/><s v="D-1033"/><s v="D-1030"/><s v="D-1027"/><s v="D-1024"/><s v="D-1012"/><s v="D-1007"/><s v="D-1004"/><s v="D-1003"/><s v="D-0997"/><s v="D-0994"/><s v="D-0992"/><s v="D-0958"/><s v="D-0955"/><s v="D-0941"/><s v="D-0900"/><s v="D-0876"/><s v="D-0866"/><s v="D-0799"/><s v="D-0795"/><s v="D-0750"/><s v="D-0746"/><s v="D-0737"/><s v="D-0738"/><s v="D-0736"/><s v="D-0593"/><s v="D09-0117"/><s v="D09-0516"/><s v="D21-0012"/><s v="D-0534"/><s v="D09-0591"/><s v="D-0640"/><s v="D-0598"/><s v="D20-0232"/><s v="D25-0006"/><s v="D-0627"/><s v="D-0670"/><s v="D20-0239"/><s v="D21-0056"/><s v="D20-0236"/><s v="D09-0503"/><s v="D09-0495"/><s v="D-0617"/><s v="D09-0330"/><s v="D-0581"/><s v="D-0516"/><s v="D09-0433"/><s v="D26-0035"/><s v="D-0642"/><s v="D-0540"/><s v="D21-0041"/><s v="D09-0317"/><s v="D-0549"/><s v="D10-0205"/><s v="D09-0434"/><s v="D-1105"/><s v="D-1098"/><s v="F-0128"/><s v="F-0126"/><s v="D-0983"/><s v="F-0124"/><s v="F-0123"/><s v="F-0122"/><s v="F-0121"/><s v="D-0843"/><s v="D-0840"/><s v="F-0114"/><s v="D-0798"/><s v="F-0111"/><s v="F-0110"/><s v="F-0098"/><s v="F-0097"/><s v="F09-0067"/><s v="F10-0041"/><s v="F-0105"/><s v="F09-0043"/><s v="F02-0002"/><s v="F02-0003"/><s v="F26-0008"/><s v="F02-0008"/><s v="F25-0002"/><s v="F-0082"/><s v="F26-0004"/><s v="F25-0003"/><s v="F-0078"/><s v="F02-0010"/><s v="F12-0002"/><s v="F09-0071"/><s v="D02-0029"/><s v="F30-0006"/><s v="F09-0065"/><s v="F30-0001"/><s v="D26-0001"/><s v="D09-0231"/><s v="F09-0011"/><s v="F10-0027"/><s v="F-0080"/><s v="F02-0009"/><s v="F10-0001"/><s v="A02-0016"/><s v="G10-0088"/><s v="G-0093"/><s v="G10-0005"/><s v="C09-0610"/><s v="A-0374"/><s v="D-1152"/><s v="B08-0030"/><s v="E-0138"/><s v="D-1150"/><s v="C-1117"/><s v="C-1023"/><s v="C10-0210"/><s v="C02-0023"/><s v="C02-0016"/><s v="C10-0114"/><s v="E10-0053"/><s v="A-0499"/><s v="C09-0321"/><s v="C02-0007"/><s v="C-1050"/><s v="C09-0190"/><s v="C11-0008"/><s v="C05-0003"/><s v="C05-0009"/><s v="C-1186"/><s v="C-1157"/><s v="C-0935"/><s v="C10-0150"/><s v="C10-0093"/><s v="C10-0152"/><s v="C26-0098"/><s v="C10-0256"/><s v="C10-0121"/><s v="C10-0062"/><s v="C02-0037"/><s v="C10-0024"/><s v="C02-0031"/><s v="C10-0056"/><s v="A02-0013"/><s v="C10-0019"/><s v="C-0743"/><s v="C02-0014"/><s v="C10-0185"/><s v="C02-0015"/><s v="A02-0012"/><s v="C05-0001"/><s v="C-0749"/><s v="C12-0020"/><s v="C12-0006"/><s v="C02-0049"/><s v="A-0493"/><s v="K-0010"/><s v="C10-0007"/><s v="D10-0016"/><s v="A-0488"/><s v="A-0474"/><s v="A-0436"/><s v="A-0428"/><s v="A-0403"/><s v="A-0378"/><s v="A-0354"/><s v="A-0351"/><s v="A-0343"/><s v="A-0341"/><s v="A-0336"/><s v="A-0388"/><s v="A-0329"/><s v="A-0311"/><s v="A-0307"/><s v="A-0303"/><s v="A-0263"/><s v="A-0248"/><s v="A28-0001"/><s v="A04-0004"/><s v="C21-0114"/><s v="A-0274"/><s v="A-0270"/><s v="A-0272"/><s v="A-0233"/><s v="A-0288"/><s v="C09-0492"/><s v="A-0319"/><s v="A-0361"/><s v="A28-0018"/><s v="A-0316"/><s v="A-0424"/><s v="A-0498"/><s v="A-0471"/><s v="A-0490"/><s v="C09-0222"/><s v="C-0611"/><s v="B-1322"/><s v="A-0507"/><s v="A-0500"/><s v="E12-0002"/><s v="E09-0002"/><s v="E10-0008"/><s v="E-0095"/><s v="E10-0059"/><s v="H11-0065"/><s v="E-0093"/><s v="E10-0065"/><s v="A04-0037"/><s v="C09-0173"/><s v="C09-0028"/><s v="C01-0003"/><s v="D01-0004"/><s v="D10-0005"/><s v="E09-0020"/><s v="D-0991"/><s v="D02-0104"/><s v="D02-0077"/><s v="D02-0017"/><s v="D02-0093"/><s v="D02-0002"/><s v="D02-0009"/><s v="D02-0003"/><s v="D02-0048"/><s v="D02-0081"/><s v="D-0901"/><s v="D02-0100"/><s v="D02-0016"/><s v="D10-0195"/><s v="D02-0095"/><s v="D10-0015"/><s v="D10-0202"/><s v="D10-0026"/><s v="D02-0041"/><s v="D02-0032"/><s v="E-0127"/><s v="E10-0018"/><s v="E10-0004"/><s v="E10-0023"/><s v="G10-0085"/><s v="G10-0059"/><s v="C09-0388"/><s v="C09-0139"/><s v="C09-0187"/><s v="C02-0044"/><s v="C02-0029"/><s v="C20-0196"/><s v="C09-0056"/><s v="C10-0031"/><s v="C-1197"/><s v="C-1170"/><s v="HCM"/><s v="HAN"/><s v="B-1097"/><s v="C09-0178"/><s v="A-0320"/><s v="A-0468"/><s v="A04-0008"/><s v="C05-0005"/><s v="C09-0053"/><s v="A14-0015"/><s v="A-0397"/><s v="A-0339"/><s v="A-0332"/><s v="A28-0002"/><s v="B08-0178"/><s v="A-0454"/><s v="A-0328"/><s v="A19-0010"/><s v="A19-0013"/><s v="C26-0047"/><s v="C09-0011"/><s v="A-0497"/><s v="H11-0008"/><s v="D-1111"/><s v="A-0267"/><s v="C11-0006"/><s v="C21-0097"/><s v="D-0657"/><s v="C21-0007"/><s v="C10-0022"/><s v="A03-0015"/><s v="C25-0006"/><s v="B06-0292"/><s v="D10-0197"/><s v="D09-0045"/><s v="J-0001"/><s v="A22-0005"/><s v="D20-0015"/><s v="B-1161"/><s v="A-0227"/><s v="B-0688"/><s v="B08-0181"/><s v="C09-0252"/><s v="B-0802"/><s v="B-0689"/><s v="H11-0165"/><s v="C01-0001"/><s v="A05-0008"/><s v="F01-0001"/><s v="F01-0002"/><s v="E10-0058"/><s v="A05-0015"/><s v="A05-0018"/><s v="A-0297"/><s v="A05-0014"/><s v="A05-0009"/><s v="A05-0007"/><s v="A05-0019"/><s v="A05-0006"/><s v="A-0443"/><s v="C02-0009"/><s v="A02-0007"/><s v="C09-0191"/><s v="C09-0161"/><s v="C10-0052"/><s v="A-0290"/><s v="A-0412"/><s v="A-0440"/><s v="A-0439"/><s v="A-0387"/><s v="A-0385"/><s v="A-0315"/><s v="A-0293"/><s v="C09-0548"/><s v="C09-0363"/><s v="C09-0158"/><s v="A-0282"/><s v="C02-0011"/><s v="C10-0002"/><s v="A01-0005"/><s v="A01-0002"/><s v="A-0244"/><s v="C02-0010"/><s v="C12-0031"/><s v="H-0147"/><s v="C09-0041"/><s v="E02-0003"/><s v="E-0122"/><s v="E-0118"/><s v="E09-0048"/><s v="E01-0002"/><s v="E10-0005"/><s v="E02-0011"/><s v="H11-0212"/><s v="A01-0007"/><s v="C11-0005"/><s v="C11-0007"/><s v="B06-0476"/><s v="B06-0477"/><s v="B-0677"/><s v="B06-0309"/><s v="B-0952"/><s v="B-0685"/><s v="B-0944"/><s v="B-0947"/><s v="B-0683"/><s v="B-0942"/><s v="B-0618"/><s v="B06-0190"/><s v="B06-0287"/><s v="B08-0167"/><s v="B-1061"/><s v="B-0836"/><s v="B-0853"/><s v="B08-0183"/><s v="B-0522"/><s v="B-1030"/><s v="B-1065"/><s v="B-1068"/><s v="B-1069"/><s v="B-1070"/><s v="B-1079"/><s v="B-1078"/><s v="B-1077"/><s v="B-1072"/><s v="B-1089"/><s v="B-1088"/><s v="B-1092"/><s v="B-1057"/><s v="B-0937"/><s v="B-0668"/><s v="B-0666"/><s v="B-0667"/><s v="B-0665"/><s v="B-0660"/><s v="B06-0519"/><s v="B08-0177"/><s v="B-0727"/><s v="B06-0490"/><s v="B08-0051"/><s v="B06-0435"/><s v="B-0933"/><s v="B-0752"/><s v="C11-0003"/><s v="B-0864"/><s v="B07-0003"/><s v="B06-0021"/><s v="B-1031"/><s v="B-1039"/><s v="B-1043"/><s v="B-1052"/><s v="B-1041"/><s v="B-1037"/><s v="B08-0192"/><s v="B-0654"/><s v="B-0655"/><s v="B-0928"/><s v="B-0925"/><s v="B-0926"/><s v="B-0640"/><s v="B-0644"/><s v="B-0649"/><s v="B-0924"/><s v="B-0635"/><s v="B-0628"/><s v="B-0923"/><s v="B-0922"/><s v="B-0611"/><s v="B-1035"/><s v="B-0967"/><s v="B-0981"/><s v="B-0975"/><s v="B-0903"/><s v="B-1016"/><s v="B-0623"/><s v="B-0918"/><s v="B-0917"/><s v="B-0916"/><s v="B-0920"/><s v="B-0913"/><s v="B-0914"/><s v="B-0909"/><s v="B-0638"/><s v="B-0609"/><s v="B-0614"/><s v="B-0543"/><s v="B06-0414"/><s v="B06-0217"/><s v="B08-0202"/><s v="B-1020"/><s v="B-1005"/><s v="B06-0118"/><s v="B-1003"/><s v="B-1001"/><s v="B-0997"/><s v="B-0995"/><s v="H11-0039"/><s v="B06-0523"/><s v="B-0546"/><s v="B06-0283"/><s v="B-0601"/><s v="B-0597"/><s v="B-0907"/><s v="B-0585"/><s v="B-0899"/><s v="B-0896"/><s v="B-0895"/><s v="B-0578"/><s v="B-0579"/><s v="B-0992"/><s v="B-0964"/><s v="B-0990"/><s v="B-0973"/><s v="B-0571"/><s v="B-0558"/><s v="B-0559"/><s v="B-0875"/><s v="B-0873"/><s v="B08-0162"/><s v="B06-0496"/><s v="B-0533"/><s v="B06-0532"/><s v="B07-0041"/><s v="B-0517"/><s v="B-0486"/><s v="B07-0006"/><s v="B-0862"/><s v="B-0855"/><s v="B-0851"/><s v="B-0850"/><s v="B-0849"/><s v="B-0847"/><s v="B-0844"/><s v="B-0843"/><s v="A02-0002"/><s v="C02-0005"/><s v="B-0749"/><s v="H11-0121"/></sharedItems></cacheField><cacheField name="Họ và tên" numFmtId="0"><sharedItems><s v="Nguyễn Thị Hương Ly"/><s v="Trần Mỹ Hạnh"/><s v="Lương Thị Thanh An"/><s v="Bành Ngươn Thùy Nhung"/><s v="Lê Thị Nga"/><s v="Trần Thị Nguyệt Ánh"/><s v="Nguyễn Phương Uyên"/><s v="Phạm Khánh Vy"/><s v="Nguyễn Thị Huyền"/><s v="Võ Tuệ Giáng Vân"/><s v="Vương Thị Bích Duyên"/><s v="Trương Thị Ngọc Ánh"/><s v="Nguyễn Thị Thoan"/><s v="Dương Thị Chín"/><s v="Đỗ Vũ Thu Ngân"/><s v="Tạ Bích Nhung"/><s v="Tống Khánh Linh"/><s v="Nguyễn Thị Ngọc Huyền"/><s v="Dương Thị Tiến"/><s v="Đỗ Thị Thu"/><s v="Lê Thị Thu Trang"/><s v="Đậu Thị Liên"/><s v="Phạm Như Phượng"/><s v="Nguyễn Thị Quỳnh"/><s v="Nguyễn Phương Anh"/><s v="Nguyễn Thị Hoài"/><s v="Đỗ Thị Ngoan"/><s v="Nguyễn Đức Anh"/><s v="Phạm Ngọc Thuận"/><s v="Đỗ Thị Thu Thủy"/><s v="Đỗ Văn Hải"/><s v="Nguyễn Đức Quảng"/><s v="Đặng Văn Nam"/><s v="Nguyễn Thảo Chi"/><s v="Đào Thúy Vy"/><s v="Phạm Minh Trang"/><s v="Lê Xuân Bách"/><s v="Phạm Hồng Mỵ"/><s v="Nguyễn Thị Ngọc Diệp"/><s v="Dương Thị Thu Thảo"/><s v="Nguyễn Thị Hằng"/><s v="Nguyễn Thị Liên"/><s v="Nguyễn Ngọc Minh Hằng"/><s v="Đỗ Thị Thủy"/><s v="Ngô Hoàng Trường Sơn"/><s v="Đặng Bình An"/><s v="Nguyễn Thanh Huyền"/><s v="Nguyễn Thế Hiệp"/><s v="Đào Phương Thủy"/><s v="Nguyễn Thị Hồng Hiền"/><s v="Lương Thị Ngọc Bích"/><s v="Nguyễn Thị Nhung"/><s v="Hồ Đặng Anh Thư"/><s v="Phùng Thị Thanh Thuý"/><s v="Chu Thị Minh Trang"/><s v="Phạm Trọng Thể"/><s v="Phạm Thị Quỳnh"/><s v="Hoàng Thị Giang"/><s v="Đào Thị Bích Hạnh"/><s v="Nguyễn Hải Yến"/><s v="Nguyễn Thị Lê Vi"/><s v="Triệu Quốc Sơn"/><s v="Nguyễn Thị Ngân"/><s v="Vũ Thị Hồng Diễm"/><s v="Đinh Thị Ngọc"/><s v="Nguyễn Thị Tuyết"/><s v="Nguyễn Hương Thảo"/><s v="Nguyễn Thanh Hà"/><s v="Thân Thị Oanh"/><s v="Đào Thanh Duyên"/><s v="Vũ Thị Nhi"/><s v="Vũ Thị Thơm"/><s v="Lê Thị Hồng Đăng"/><s v="Khuất Doãn Thanh Lam"/><s v="Nguyễn Thành Nam"/><s v="Nguyễn Thị Lan"/><s v="Đinh Thị Ngọc Ánh"/><s v="Đỗ Hải Trà My"/><s v="Bùi Thị Kiều Oanh"/><s v="Phạm Thị Huyền Trang"/><s v="Cao Văn Dũng"/><s v="Nguyễn Mạnh Cường"/><s v="Phạm Thị Hậu Giang"/><s v="Lê Thị Trang"/><s v="Hà Việt Anh"/><s v="Nguyễn Thị Khánh Ly"/><s v="Nguyễn Thị Trang"/><s v="Nguyễn Kiều Trang"/><s v="Nguyễn Thị Ngọc"/><s v="Nguyễn Quang Hà"/><s v="Phạm Quỳnh Anh"/><s v="Đỗ Thị Kim Ngân"/><s v="Vũ Thị Tươi"/><s v="Lê Thị Huyền"/><s v="Nguyễn Thị Diệu Linh"/><s v="Đặng Tiến Dũng"/><s v="Trịnh Thị Phượng"/><s v="Vũ Thị Hồng Hạnh"/><s v="Nguyễn Thị Hảo"/><s v="Phạm Thị Kim Anh"/><s v="Nguyễn Thị Hương"/><s v="Cao Thị Phương"/><s v="Đào Hiền Trang"/><s v="Ninh Công Phương"/><s v="Phạm Thị Thu Huyền"/><s v="Đỗ Thùy Dương"/><s v="Nguyễn Thị Thảo My"/><s v="Lưu Thị Xuân"/><s v="Nguyễn Thị Hiền"/><s v="Nguyễn Thị Thùy Linh"/><s v="Lê Thị Hồng Trang"/><s v="Hoàng Thị Khánh Vi"/><s v="Đặng Thế Biên"/><s v="Hoàng Tịnh Hoài"/><s v="Nguyễn Thị Thư"/><s v="Phạm Thị Nhật Vy"/><s v="Đào Thị Ngọc Liên"/><s v="Phạm Hoàng Mạnh"/><s v="Đặng Thị Bích Lệ"/><s v="Đỗ Việt Hưng"/><s v="Nguyễn Trần Đức Anh"/><s v="Nguyễn Đức Thiên"/><s v="Ngô Thị Thùy"/><s v="Phùng Thị Linh Chi"/><s v="Đỗ Quốc Đạt"/><s v="Vũ Thị Thu Hương"/><s v="Phạm Thị Hương"/><s v="Nguyễn Văn Anh"/><s v="Đào Văn Tòng"/><s v="Phạm Văn Tuấn"/><s v="Mai Xuân Đạt"/><s v="Nguyễn Hoàng Vinh"/><s v="Đồng Thị Phương Thảo"/><s v="Hắc Huyền Trang"/><s v="Nguyễn Diệu Hương"/><s v="Từ Đức Thắng"/><s v="Vũ Thị Ngọc Ánh"/><s v="Phạm Phương Thanh"/><s v="Bùi Thị Ngọc"/><s v="Trần Thế Anh"/><s v="Nguyễn Thị Hồng Hoa"/><s v="Ngô Thị Linh"/><s v="Nguyễn Thị Ngọc Diễm"/><s v="Nguyễn Thị Hoài Thu"/><s v="Nguyễn Thị Bảo Thoa"/><s v="Đặng Minh Đức"/><s v="Đinh Thúy Nga"/><s v="Trần Thị Thu Trang"/><s v="Trịnh Hoài Xuân"/><s v="Nguyễn Thanh Mai"/><s v="Trần Hồng Nhung"/><s v="Phạm Khánh Huyền"/><s v="Nguyễn Thị Vân"/><s v="Bùi Mỹ Linh"/><s v="Phạm Thị Hằng"/><s v="Phạm Thị Ngọc Ánh"/><s v="Nguyễn Thị Thu Hương"/><s v="Phương Thị Ngọc Phương"/><s v="Nguyễn Thị Linh"/><s v="Đặng Vũ Hạnh"/><s v="Đỗ Diệu Ái"/><s v="Nghiêm Thị Nguyệt"/><s v="Lê Thu Thủy"/><s v="Phạm Thị Quyên"/><s v="Vương Thị Ngọc Ánh"/><s v="Hoàng Thị Huyền"/><s v="Tô Thị Thoa"/><s v="Lê Thị Vui"/><s v="Nguyễn Thị Phương Liên"/><s v="Quan Trần Hà Mi"/><s v="Nguyễn Đức Long"/><s v="Nguyễn Tiến Huy"/><s v="Hoàng Thị Thu Hương"/><s v="Trần Ngọc Tiến"/><s v="Trịnh Thị Hạnh"/><s v="Trần Thị Duyên"/><s v="Ngô Thị Khánh Huyền"/><s v="Trần Anh Dũng"/><s v="Phạm Linh Trang"/><s v="Dương Thị Hơn"/><s v="Vũ Thị Tuyên"/><s v="Đặng Văn Thành"/><s v="Lê Thị Thu Hà"/><s v="Nguyễn Thị Thu"/><s v="Hoàng Thị Hằng"/><s v="Phí Thị Thúy"/><s v="Đồng Thị Phương"/><s v="Đình Thị Hằng"/><s v="Lương Thị Hương"/><s v="Mai Thị Thảo"/><s v="Tào Văn Thiện"/><s v="Đinh Thị Phương"/><s v="Nguyễn Khánh Huyền"/><s v="Vương Thu Hà"/><s v="Nguyễn Thu Trang"/><s v="Lã Nam Anh"/><s v="Nguyễn Thị Thu Huyền"/><s v="Đinh Thị Vân"/><s v="Đinh Ngọc Lập"/><s v="Dương Thị Thanh Thủy"/><s v="Nông Thị Nhung"/><s v="Phùng Như Tùng"/><s v="Hoàng Thị Nguyệt"/><s v="Dương Thị Quỳnh"/><s v="Nguyễn Thị Mến"/><s v="Trần Thị Nguyệt"/><s v="Nguyễn Thị Liền"/><s v="Đoàn Thị Nga"/><s v="Đào Ngọc Thông"/><s v="Thái Thị Huyền Trang"/><s v="Vũ Thị Hoàn"/><s v="Nguyễn Văn Hưng"/><s v="Phạm Thị Hiền"/><s v="Nguyễn Thị Huyền Trang"/><s v="Bùi Hoàng Nam"/><s v="Nguyễn Văn Huy"/><s v="Lê Thị Nương"/><s v="Hoàng Minh Đăng"/><s v="Nguyễn Thị Oanh"/><s v="Vũ Đoàn Bình Minh"/><s v="Nguyễn Hoàng Long"/><s v="Đỗ Thị Ngọc"/><s v="Hoàng Huy Mạnh"/><s v="Trịnh Thị Nhung"/><s v="Nguyễn Tiến Hiếu"/><s v="Đàm Việt Đức"/><s v="Phạm Thị Trang"/><s v="Nguyễn Thành Đạt"/><s v="Trần Văn Quảng"/><s v="Nguyễn Kim Anh"/><s v="Đinh Thị Thúy"/><s v="Trần Quốc Hà"/><s v="Nguyễn Kiều My"/><s v="Đào Thị Hòe"/><s v="Vũ Thị Ngọc"/><s v="Diêm Công Thiện"/><s v="Bùi Thị Lương"/><s v="Thái Thanh Tuấn"/><s v="Đỗ Đình Thắng"/><s v="Nguyễn Thị Thu Trang"/><s v="Trần Tùng Lâm"/><s v="Vũ Thành Quyền"/><s v="Phạm Duy Tùng"/><s v="Bùi Thị Lan"/><s v="Nguyễn Thị Phương"/><s v="Vi Thị Ngọc Anh"/><s v="Nguyễn Văn Tuân"/><s v="Vũ Thị Hà"/><s v="Đinh Trí Tuệ"/><s v="Lê Ngọc Thanh"/><s v="Đỗ Đức Quỳnh"/><s v="Ngô Thị Vân"/><s v="Tống Ngọc Tài"/><s v="Đoàn Thị Loan"/><s v="Nguyễn Văn Thức"/><s v="Lưu Thị Thanh Hảo"/><s v="Nguyễn Thị Hồng Xiêm"/><s v="Trần Đức Thắng"/><s v="Ngô Duy Tiệp"/><s v="Đỗ Thị Thúy"/><s v="Nguyễn Thị Anh"/><s v="Hoàng Đức Hiền"/><s v="Nguyễn Đức Toán"/><s v="Đinh Văn Khánh"/><s v="Tô Văn Tài"/><s v="Nguyễn Đắc Long"/><s v="Bùi Ngọc Tiến"/><s v="Trần Thái Tuấn"/><s v="Lữ Nguyễn Đức Hạnh"/><s v="Vũ Thị Trang"/><s v="Nguyễn Thị Phương Thanh"/><s v="Huỳnh Thị Hằng"/><s v="Lâm Hoài Trâm"/><s v="Lê Minh Thư"/><s v="Trương Ngọc Quỳnh Duyên"/><s v="Vũ Thị Thùy Trang"/><s v="Trương Thị Trúc Diên"/><s v="Trần Thị Cẩm Thúy"/><s v="Đặng Thị Thảo"/><s v="Hoàng Thị Mỹ Dung"/><s v="Hồ Thị Kim Vàng"/><s v="Trần Tấn Tài"/><s v="Nguyễn Trung Hiếu"/><s v="Đinh Thị Thu Trang"/><s v="Lê Thị Hoàng Oanh"/><s v="Trần Thị Phương Uyên"/><s v="Nguyễn Thị Mỹ Ngọc"/><s v="Nguyễn Mai Lệ Quỳnh"/><s v="Nguyễn Ngọc Hoa Nhài"/><s v="Tống Thị Hương Giang"/><s v="Mai Thị Lê Hương"/><s v="Võ Đức Nhân"/><s v="Trần Thị Thanh Thùy"/><s v="Nguyễn Thị Thu Lựu"/><s v="Nguyễn Thị Lệ Quyên"/><s v="Đỗ Thị Hồng Dâng"/><s v="Trần Thị Như Nguyệt"/><s v="Trần Huyền Trang"/><s v="Châu Phan Đan Phương"/><s v="Lê Huỳnh Như"/><s v="Trần Thị Oanh"/><s v="Tống Thị Hoài Linh"/><s v="Lương Văn Hùng"/><s v="Hồ Quốc Phong"/><s v="Nguyễn Thành Phi"/><s v="Nguyễn Thị Phượng"/><s v="Đinh Thiên Vũ"/><s v="Nguyễn Như Trinh"/><s v="Lê Thùy Trang"/><s v="Nguyễn Thị Huỳnh Như"/><s v="Đặng Thị Thùy Vy"/><s v="Nguyễn Thị Thu Sương"/><s v="Nguyễn Thị Mỹ Linh"/><s v="Nguyễn Thị Mỹ Huyền"/><s v="Huỳnh Anh Phương"/><s v="Nguyễn Lâm Thanh Vân"/><s v="Trần Thị Cúc"/><s v="Võ Thị Ngọc Truyền"/><s v="Cao Thị Hồng Phúc"/><s v="Cao Lê Trần Diệp Thủy"/><s v="Huỳnh Thị Mỹ Trinh"/><s v="Trần Khánh Linh"/><s v="Nguyễn Hoàng Nam"/><s v="Tăng Bửu Anh Tú"/><s v="Phạm Văn Tài"/><s v="Lê Thị Thùy Dương"/><s v="Phan Thị Cẩm Vân"/><s v="Phạm Thị Yến Nhi"/><s v="Trịnh Thị Điểm"/><s v="Trương Thị Lin"/><s v="Nguyễn Thị Bé Em"/><s v="Thái Chánh Tín"/><s v="Phạm Thị Xuân Đào"/><s v="Mai Thị Hồng Trâm"/><s v="Trần Viết Hữu"/><s v="Nguyễn Như Quỳnh"/><s v="Lê Lâm Trường"/><s v="Nguyễn Tiến Dũng"/><s v="Đỗ Xuân Sơn"/><s v="Nguyễn Trương Gia Ân"/><s v="Tô Xuân Lợi"/><s v="Trần Thị Thu Vân"/><s v="Bùi Thị Thùy Linh"/><s v="Nguyễn Thị Khánh Linh"/><s v="Lại Thị Thúy"/><s v="Võ Ngọc Hoàng Nhi"/><s v="Nguyễn Phương Thảo"/><s v="Đặng Thị Bích Trâm"/><s v="Nguyễn Phiến"/><s v="Hồ Quốc Văn"/><s v="Nguyễn Thị Ánh Hòa"/><s v="Nguyễn Lê Chí Toàn"/><s v="Đặng Tấn Lâm"/><s v="Nguyễn Thị Thanh Phương"/><s v="Nguyễn Lê Thành Hiệp"/><s v="Nguyễn Trà Viên"/><s v="Phạm Tuyết Ngân"/><s v="Trần Thị Yến Muội"/><s v="Phan Thanh Phương"/><s v="Trần Thị Cẩm Phương"/><s v="Trương Lê Kha Hy"/><s v="Trần Minh Khôi"/><s v="Phạm Quang Khâm"/><s v="Âu Lê Phượng Mai"/><s v="Nguyễn Phạm Khánh Minh"/><s v="Võ Thị Xuân Nhung"/><s v="Kiều Bửu Phương"/><s v="Đặng Minh Sâm"/><s v="Đỗ Thị Mĩ Dung"/><s v="Trần Nguyễn Hữu Hưng"/><s v="Phan Đức Hải Linh"/><s v="Nguyễn Ngọc Hải"/><s v="Lê Ngọc Trâm Anh"/><s v="Trần Ngọc Tú Nhi"/><s v="Nguyễn Ngọc Khánh Vy"/><s v="Nguyễn Thiện Phát"/><s v="Khuất Đặng Tiến Dũng"/><s v="Lê Thu Sương"/><s v="Phan Thị Thư Trang"/><s v="Trần Thị Kim Uyên"/><s v="Nguyễn Thị Thúy Kiều"/><s v="Nguyễn Thị Tuyết Hoa"/><s v="Nguyễn Văn Mẫn"/><s v="Hồ Anh Kiệt"/><s v="Nguyễn Thị Sáng"/><s v="Huỳnh Thị Minh Thư"/><s v="Đậu Thị Cẩm Tú"/><s v="Phạm Khắc Duy"/><s v="Nguyễn Huỳnh Thúy Vy"/><s v="Châu Lâm Ngọc Phụng"/><s v="Phạm Thị Ngọc Quyên"/><s v="Trương Thu Cúc"/><s v="Bùi Thị Bích Ngân"/><s v="Lê Thị Hồng Phương"/><s v="Hồ Văn Hưng"/><s v="Nguyễn Thị Hồng Diễm"/><s v="Đoàn Minh Trường"/><s v="Đoàn Thị Yến Nhi"/><s v="Nguyễn Trúc Ly"/><s v="Nguyễn Trung Vĩ"/><s v="Lê Thị Thùy Trang"/><s v="Nguyễn Thị Hoàn"/><s v="Bùi Thị Nga"/><s v="Đặng Thanh Hoàng"/><s v="Nguyễn Thị Cẩm Duyên"/><s v="Trần Ngọc Hân"/><s v="Nguyễn Thị Thủy"/><s v="Hoàng Thị Quỳnh Trang"/><s v="Lê Thị Hà"/><s v="Nguyễn Thị Mỹ"/><s v="Nguyễn Hoài Xuân Hòa"/><s v="Phạm Thị Ngọc Giàu"/><s v="Huỳnh Tấn Phước"/><s v="Nguyễn Thị Hoàng Giang"/><s v="Tào Mỹ Phụng"/><s v="Nguyễn Thị Mỹ Thanh"/><s v="Phan Thị Lệ Trâm"/><s v="Nguyễn Thanh Triều"/><s v="Đào Tiết Chinh"/><s v="Vũ Thị Thanh Tâm"/><s v="Nguyễn Thị Ngọc Yến"/><s v="Nguyễn Thị Thu Hoa"/><s v="Nguyễn Thị Hồng Nhung"/><s v="Nguyễn Thiện Toàn"/><s v="Phạm Trường Giang"/><s v="Trương Lê Duy Khánh"/><s v="Đinh Lăng Ngọc Trân"/><s v="Nguyễn Thị Yến"/><s v="Nguyễn Thúy Quỳnh"/><s v="Phan Thị Thủy"/><s v="Châu Ngọc Tú"/><s v="Hoàng Thị Yến Nhung"/><s v="Nguyễn Ngọc Duy"/><s v="Nguyễn Thị Kim Quỳnh"/><s v="Trần Kiều My"/><s v="Trần Ngọc Khoa"/><s v="Đinh Thị Thuỳ Trang"/><s v="Nguyễn Vũ Tùng"/><s v="Lương Thị Thúy"/><s v="Nguyễn Quốc Anh"/><s v="Bùi Thị Thanh Nhu"/><s v="Nguyễn Thị Sông Hương"/><s v="Huỳnh Thị Thanh Diễm"/><s v="Lê Công Bằng"/><s v="Võ Thiện Luân"/><s v="Lê Thị Hoài Thương"/><s v="Lê Minh Trí"/><s v="Phan Xuân Sang"/><s v="Võ Đình Hà"/><s v="Bùi Thị Ngọc Huyền"/><s v="Đinh Thiện Tâm"/><s v="Nguyễn Thị Ngọc Thi"/><s v="Lạc Lê Kiến Quốc"/><s v="Tạ Bảo Tín"/><s v="Trần Hoài Ân"/><s v="Đặng Đức Trung"/><s v="Trịnh Thị Thu"/><s v="Lê Đình Chung"/><s v="Nguyễn Bảo Quỳnh"/><s v="Dương Bảo Ngọc"/><s v="Hà Thị Hải Yến"/><s v="Võ Duy Tuấn"/><s v="Trương Nguyễn Thanh Trang"/><s v="Lê Nguyễn Vân Khánh"/><s v="Lý Công Quỳnh Nhi"/><s v="Đinh Xuân Hương"/><s v="Phan Văn Nam"/><s v="Dụng Văn Triều"/><s v="Vũ Thị Thu"/><s v="Nguyễn Lệ Hiền Thảo"/><s v="Nguyễn Thị Hồng Xuyên"/><s v="Phạm Thị Thùy Trang"/><s v="Nguyễn Đình Yên"/><s v="Bùi Thị Linh Trang"/><s v="Đặng Thị Kim Ngân"/><s v="Lê Thị Diễm Tuyền"/><s v="Nguyễn Thành Hội"/><s v="Ngô Thanh Thà"/><s v="Dương Thị Bồng"/><s v="Đỗ Bích Ngọc"/><s v="Trần Anh Quốc"/><s v="Trần Vĩnh Hoàng"/><s v="Võ Đại Đan"/><s v="Trần Vân Sơn"/><s v="Đặng Ngọc Quỳnh Vy"/><s v="Đỗ Thái Sơn"/><s v="Bùi Công Chính"/><s v="Nguyễn Thùy Linh"/><s v="Đỗ Lê Linh"/><s v="Lê Đức Thuận"/><s v="Hà Thị Hương"/><s v="Lê Thị Ngọc Dung"/><s v="Lê Vân Anh"/><s v="Lê Thị Kim Vàng"/><s v="Trần Thị Kiều Hạnh"/><s v="Nguyễn Thị Bích Ngọc"/><s v="Nguyễn Huyền Trang"/><s v="Huỳnh Mỹ Dung"/><s v="Lê Thị Kim Hoàng"/><s v="Trình Thị Nhung"/><s v="Nguyễn Ngọc Phát"/><s v="Nguyễn Thị Liễu"/><s v="Lê Phương Vũ"/><s v="Trần Thị Thủy"/><s v="Nguyễn Huỳnh Thảo My"/><s v="Hồ Thị Ngọc Cầm"/><s v="Trần Thị Ngọc"/><s v="Đinh Hùng Dũng"/><s v="Vũ Kiều Nga"/><s v="Đặng Hoàng Hoài Linh"/><s v="Lê Tiến Thành"/><s v="Phạm Thị Tú Anh"/><s v="Nguyễn Thị Tâm"/><s v="Trần Đình Tú"/><s v="Hà Thị Lan Anh"/><s v="Hoàng Thị Kim Liên"/><s v="Vũ Quốc Minh Quân"/><s v="Tống Thị Hằng"/><s v="Lê Thị Liên"/><s v="Bùi Thị Ngọc Thoa"/><s v="Trần Thị Nhàn"/><s v="Nguyễn Thị Minh Nguyệt"/><s v="Vũ Thị Hương"/><s v="Nguyễn Kiều Anh"/><s v="Trần Xuân Bách"/><s v="Vũ Tùng Lâm"/><s v="Khuất Văn Hải"/><s v="Nguyễn Thế Vũ"/><s v="Dương Khánh Tuân"/><s v="Nguyễn Thanh Lâm"/><s v="Trần Thị Minh Tươi"/><s v="Vũ Trí Anh Hoàng"/><s v="Nguyễn Ngọc Trưởng"/><s v="Bùi Thị Thúy Quỳnh"/><s v="Đinh Thị Thanh Mai"/><s v="Nguyễn Anh Tuấn"/><s v="Lê Đức Thọ"/><s v="Nguyễn Diểm My"/><s v="Võ Thị Minh Thư"/><s v="Nguyễn Thị Kiều Trang"/><s v="Nguyễn Hồng Nhiên"/><s v="Phan Quốc Thái"/><s v="Cũng Thị Thúy Ngân"/><s v="Phan Đặng Quỳnh Như"/><s v="Trần Tường Duy"/><s v="Võ Phương Uyên"/><s v="Nguyễn Hồng Tú Muội"/><s v="Trần Thị Huỳnh Như"/><s v="Phạm Thị Thu Hồng"/><s v="Đinh Công Toản"/><s v="Đỗ Thị Luyến"/><s v="Lê Thị Mỹ Linh"/><s v="Nguyễn Thị Minh Thùy"/><s v="Lê Thị Ánh Nga"/><s v="Nguyễn Hoài Nam"/><s v="Nguyễn Hà Phương"/><s v="Nguyễn Thị Thu Trà"/><s v="Lê Thị Thúy"/><s v="Ngô Thị Hà Trang"/><s v="Trịnh Ngọc Việt Hoàng"/><s v="Nguyễn Quang Thưởng"/><s v="Trần Quang Hưng"/><s v="Nguyễn Văn Thuận"/><s v="Trần Văn Báu"/><s v="Hoàng Thị Lan Anh"/><s v="Trần Doãn Đô"/><s v="Hồ Nam Anh"/><s v="Vũ Ngọc Tuấn"/><s v="Lê Thị Hải Yến"/><s v="Nguyễn Tùng Lâm"/><s v="Lê Trung Kiên"/><s v="Hà Thị Ngọc Ánh"/><s v="Ngô Thị Thu Hà"/><s v="Đào Nam Anh"/><s v="Trần Thanh Long"/><s v="Đặng Minh Phương"/><s v="Khổng Thị Bảo Khuyên"/><s v="Vũ Nguyễn Phương Thảo"/><s v="Đỗ Thị Kim Oanh"/><s v="Đỗ Thị Thùy Dương"/><s v="Nguyễn Tiến Hưng"/><s v="Nguyễn Hồ Phương Thảo"/><s v="Phạm Thị Thúy"/><s v="Nguyễn Gia Minh Quang"/><s v="Trịnh Thị Thanh Phương"/><s v="Hoàng Thế Duyệt"/><s v="Đặng Văn Đồng"/><s v="Vì Thu Hường"/><s v="Bùi Thị Ngọc Bích"/><s v="Phan Nguyệt Hằng"/><s v="Nguyễn Thị Vân Anh"/><s v="Nguyễn Thành Chung"/><s v="Nguyễn Anh Quốc"/><s v="Nguyễn Ngọc Nhật Uyên"/><s v="Võ Thị Mộng Mơ"/><s v="Lê Thị Hằng"/><s v="Trương Thị Ánh Nguyệt"/><s v="Nguyễn Tiến Thịnh"/><s v="Nguyễn Thị Hoàng Anh"/><s v="Nguyễn Tiến Thành"/><s v="Hà Quỳnh Anh"/><s v="Đặng Văn Anh"/><s v="Đào Thị Huyền Anh"/><s v="Nguyễn Thanh Bình"/><s v="Hoàng Thị Dung"/><s v="Đỗ Doãn Trường"/><s v="Đàm Văn Quân"/><s v="Nguyễn Lan Anh"/><s v="Hoàng Thị Minh Trang"/><s v="Nguyễn Xuân Thành"/><s v="Nguyễn Đức Duy"/><s v="Ngô Thị Ba"/><s v="Lê Thanh Ngọc"/><s v="Trịnh Văn Phương"/><s v="Bùi Tiến Dũng"/><s v="Đặng Văn Dũng"/><s v="Lê Trọng Nghĩa"/><s v="Vương Thị Nga"/><s v="Nguyễn Văn An"/><s v="Đỗ Thị Kim Chi"/><s v="Bùi Trung Dũng"/><s v="Trần Thị Phương Linh"/><s v="Trương Hoàng Đức"/><s v="Nguyễn Thị Lan Anh"/><s v="Nguyễn Thị Thúy Hằng"/><s v="Nguyễn Thị Thanh Nam"/><s v="Nguyễn Thị Quỳnh Trang"/><s v="Mai Lan Anh"/><s v="Đan Khánh Linh"/><s v="Phạm Vũ Văn"/><s v="Phan Lê Phương Uyên"/><s v="Nguyễn Kim Ngọc"/><s v="Nguyễn Thị Thanh Bình"/><s v="Nguyễn Hồng Thơ"/><s v="Nguyễn Ngọc Phương Hà"/><s v="Phạm Thị Mỹ Lệ"/><s v="Lê Hồ Như Nguyệt"/><s v="Đặng Hoài Nam"/><s v="Hoàng Thị Thùy Trang"/><s v="Nguyễn Thị Phương Hiền"/><s v="Lê Thị Kim Thoa"/><s v="Nguyễn Thị Bích Trâm"/><s v="Trần Thị Kim Diễm"/><s v="Lý Thị Mai"/><s v="Bùi Thị Hải Hà"/><s v="Nguyễn Thị Minh Hiền"/><s v="Phùng Thu Giang"/><s v="Tạ Anh Tú"/><s v="Trần Mỹ Duyên"/><s v="Bùi Thị Thanh Nhàn"/><s v="Lê Thị Thanh Huyền"/><s v="Đặng Công Khanh"/><s v="Đỗ Tú Trinh"/><s v="Hoàng Thùy Dung"/><s v="Hà Thị Ngọc Trân"/><s v="Nguyễn Mạnh Quang"/><s v="Bùi Thị Hương Giang"/><s v="Nguyễn Trường Giang"/><s v="Trương Thị Huyền Thu"/><s v="Đỗ Thu Trang"/><s v="Dư Kim Anh"/><s v="Võ Tuyết Băng"/><s v="Nguyễn Văn Thắng"/><s v="Quách Công Thành"/><s v="Nguyễn Văn Nguyên"/><s v="Lê Thành Ánh Minh"/><s v="Lê Thị Nữ"/><s v="Phạm Quốc Huỳnh"/><s v="Phạm Hồng Hoa"/><s v="Lê Thị Thanh Triều"/><s v="Phạm Văn Trình"/><s v="Cao Lê Thị Trúc Linh"/><s v="Lê Hoàng Gia Gia"/><s v="Nguyễn Hùng Cường"/><s v="Trần Ngọc Hương Liên"/><s v="Phan Thị Xuân"/><s v="Nguyễn Thị Mỹ Nương"/><s v="Hồ Huỳnh Trường An"/><s v="Tôn Thị Hà Giang"/><s v="Nguyễn Lê Huyền Trâm"/><s v="Đoàn Quốc Tuấn"/><s v="Trương Thị Ngọc Yến"/><s v="Trương Thị Hạnh"/><s v="Trần Thị Hoài Linh"/><s v="Huỳnh Ái Vi"/><s v="Nguyễn Thị Lan Phương"/><s v="Võ Minh Nguyệt"/><s v="Trần Thanh Tuấn"/><s v="Cao Kiều Trinh"/><s v="Lê Thị Búp"/><s v="Nguyễn Tân Dung Thùy"/><s v="Nguyễn Thị Ngọc Nhi"/><s v="Nguyễn Vũ Thùy Trâm"/><s v="Huỳnh Tấn Đại"/><s v="Trần Mỹ Trinh"/><s v="Trần Thị Phương Lý"/><s v="Lương Văn Khang"/><s v="Nguyễn Thị Ngọc Hà"/><s v="Dương Văn Tuấn"/><s v="Trần Tiến Lợi"/><s v="Trịnh Trung Đức"/><s v="Lê Khánh Long"/><s v="Hồ Thị Trang"/><s v="Mai Ngọc Trâm"/><s v="Nguyễn Thị Kim Thúy"/><s v="Trần Nhật Quyết"/><s v="Nguyễn Thanh Khiêm"/><s v="Vũ Phạm Bảo Ngọc"/><s v="Nguyễn Đắc Tuấn Anh"/><s v="Trần Thị Thắm"/><s v="Dương Bằng Huân"/><s v="Bùi Thị Thực"/><s v="Phạm Thị Hiên"/><s v="Đặng Thị Yến Phil"/><s v="Bùi Thị Xuân Nguyên"/><s v="Ngô Công Quyến"/><s v="Ngô Thị Yến"/><s v="Nguyễn Thị Huyền My"/><s v="Bùi Văn Quân"/><s v="Phạm Ngọc Huy"/><s v="Lê Thế Hiệp"/><s v="Nguyễn Thị Hồng Ngọc"/><s v="Nguyễn Thị Phúc"/><s v="Bùi Thị Nhung"/><s v="Vũ Thị Kim Dung"/><s v="Nguyễn Ngọc Khánh"/><s v="Nguyễn Thanh Nga"/><s v="Lê Văn Chỉnh"/><s v="Trần Mạnh Dũng"/><s v="Đỗ Thị Hà Trang"/><s v="Nguyễn Thị Vui"/><s v="Nguyễn Phương Thúy"/><s v="Nguyễn Khánh Hiệp"/><s v="Bùi Văn Linh"/><s v="Nguyễn Việt Cường"/><s v="Đặng Thị Phương Thùy"/><s v="Phương Quyền Linh"/><s v="Lê Thị Thùy Dung"/><s v="Nguyễn Thị Thương Thương"/><s v="Nguyễn Thị Phương Thảo"/><s v="Nguyễn Thị Loan"/><s v="Bùi Thị Thu Trang"/><s v="Trần Thị Thu Hiền"/><s v="Đỗ Nhật Uyên"/><s v="Phạm Thị Nhật Uyên"/><s v="Ngô Thị Vân Anh"/><s v="Phan Thị Na"/><s v="Đào Ngọc Hân"/><s v="Hoàng Thị Thủy"/><s v="Dương Thị Thanh Mai"/><s v="Nguyễn Thị Hường"/><s v="Nguyễn Thị Phương Linh"/><s v="Nguyễn Tiến Mạnh"/><s v="Chu Thị Vân"/><s v="Võ Thị Mai"/><s v="Nguyễn Mai Linh"/><s v="Hà Mạnh Hải"/><s v="Phạm Thị Vui"/><s v="Trình Thị Trang"/><s v="Nguyễn Thị Thu Hà"/><s v="Phạm Thị Ánh"/><s v="Lê Ngọc Huyền"/><s v="Trần Thị Kim Oanh"/><s v="Nguyễn Thị Thảo"/><s v="Chu Thị Ánh Tuyết"/><s v="Đinh Thị Mơ"/><s v="Đinh Thị Lan"/><s v="Đỗ Hoàng Thu"/><s v="Trần Thị Thùy Linh"/><s v="Nguyễn Thị Dung"/><s v="Bùi Khánh Huyền"/><s v="Đặng Thị Thu Gấm"/><s v="Nguyễn Thị Phương Thoa"/><s v="Lương Thị Thương"/><s v="Bùi Thị Mỹ Dung"/><s v="Đỗ Ngọc Mỹ"/><s v="Phạm Kim Khánh"/><s v="Lục Linh Trang"/><s v="Phạm Thị Hồng Ngọc"/><s v="Nguyễn Thị Bích Hồng"/><s v="Đỗ Thành Đức"/><s v="Nguyễn Thị Ánh"/><s v="Nguyễn Thị Chinh"/><s v="Phùng Thị Huyền Trang"/><s v="Nguyễn Thị Mai"/><s v="Lương Thị Yến Nhi"/><s v="Hoàng Thị Vinh"/><s v="Vi Đức Thắng"/><s v="Phan Thị Thùy Linh"/><s v="Nguyễn Phương Hải"/><s v="Bùi Thị Huyền Trang"/><s v="Nguyễn Thị Hồng"/><s v="Vũ Đức Thắng"/><s v="Lê Văn Duy"/><s v="Đỗ Thị Thảo"/><s v="Nguyễn Thị Hoa"/><s v="Trương Công Thành"/><s v="Nguyễn Thùy Dung"/><s v="Đàm Thị Hải Yến"/><s v="Bùi Phương Linh"/><s v="Nguyễn Thị Thương"/><s v="Phạm Thị Ánh Vân"/><s v="Phạm Văn Hùng"/><s v="Lê Thị Thúy Nga"/><s v="Mai Thị Xoan"/><s v="Nguyễn Văn Khải"/><s v="Bùi Thị Thu Hường"/><s v="Hoàng Mỹ Duyên"/><s v="Quách Thị Tươi"/><s v="Nguyễn Quang Bình"/><s v="Hoàng Đăng Trưởng"/><s v="Lê Thu Hằng"/><s v="Nguyễn Ngọc Bích"/><s v="Lê Thị Thanh Hằng"/><s v="Đặng Thị Linh Hương"/><s v="Nguyễn Thị Thanh Hoa"/><s v="Dương Thị Lan Anh"/><s v="Nguyễn Thị Tuyết Mai"/><s v="Tô Thị Bình"/><s v="Nguyễn Thị Minh"/><s v="Tạ Thị Thu Huế"/><s v="Phạm Thị Vân"/><s v="Đỗ Đức Thiện"/><s v="Hoàng Thị Lý"/><s v="Vũ Thị Lan"/><s v="Hà Thị Mừng"/><s v="Nguyễn Quyết Thuận"/><s v="Nguyễn Trí Đức"/><s v="Dương Thị Thanh Hương"/><s v="Hoàng Nguyễn Xuân Hương"/><s v="Vũ Khánh Toàn"/><s v="Nguyễn Thị Ngọc Lan"/><s v="Lê Thị Tú Anh"/><s v="Vũ Khánh Linh"/><s v="Lê Thị Hoài Trang"/><s v="Nguyễn Văn Cường"/><s v="Nguyễn Thị Hải Yến"/><s v="Vũ Thị Ngát"/><s v="Ông Thị Gấm"/><s v="Ngô Thị Bích"/><s v="Nguyễn Văn Toàn"/><s v="Trần Thị Linh"/><s v="Đặng Thu Hà"/><s v="Trần Hương Thảo Nguyên"/><s v="Đặng Thuý Quỳnh"/><s v="Khổng Thị Thảo Vân"/><s v="Đông Đức Huy"/><s v="Phạm Thị Lan Anh"/><s v="Phan Thị Huyền Trang"/><s v="Hà Thị Thảo Ly"/><s v="Lê Thị Kim Liên"/><s v="Trần Thị Nhung"/><s v="Dương Thị Phương"/><s v="Lê Thanh Bình"/><s v="Lê Ngọc Minh"/><s v="Phan Thị Quỳnh"/><s v="Dương Phương Đông"/><s v="Nguyễn Quỳnh Trang"/><s v="Nguyễn Thị Nhật Lệ"/><s v="Đoàn Thị Đông"/><s v="Trần Phương Trà"/><s v="Nguyễn Ngọc Ánh"/><s v="Đỗ Nguyễn Lan Anh"/><s v="Đào Hiển Vinh"/><s v="Nguyễn Thanh Thùy"/><s v="Châu Thiên Nhất"/><s v="Trần Anh Tuấn"/><s v="Nguyễn Xuân Vũ"/><s v="Đặng Thị Thảo Vân"/><s v="Nguyễn Thị Thùy Trang"/><s v="Lê Thị Trung Hiếu"/><s v="Phí Thị Thanh Bình"/><s v="Nguyễn Thị Hồng Thơm"/><s v="Hoàng Phương Quỳnh"/><s v="Đào Thị Phương Anh"/><s v="Trương Hoài Linh"/><s v="Hoàng Mai Trang"/><s v="Trương Khánh Minh"/><s v="Lê Thị Hồng Uyên"/><s v="Trần Phượng Vĩ"/><s v="Hà Thị Tâm"/><s v="Đào Thị Hồng Nhẫn"/><s v="Đại Thị Hồng Ngọc"/><s v="Nguyễn Thu Hà"/><s v="Hoàng Thị Ngọc Ánh"/><s v="Nguyễn Hải Anh"/><s v="Nguyễn Thị Hòa"/><s v="Lê Thị Hồng Anh"/><s v="Lê Thị Châu"/><s v="Nguyễn Thu Quỳnh"/><s v="Nguyễn Thu Phương"/><s v="Hồ Thị Hoa"/><s v="Lưu Quang Đại"/><s v="Nguyễn Đức Dũng"/><s v="Đỗ Thị Thắm"/><s v="Phạm Văn Đạt"/><s v="Trần Thị Thơm"/><s v="Nguyễn Thành Hưng"/><s v="Lê Thị Lệ"/><s v="Nguyễn Thị Thanh Quyên"/><s v="Trần Minh Nghĩa"/><s v="Nguyễn Quốc Huy"/><s v="Kiều Thị Bích Nguyệt"/><s v="Vũ Đình Lân"/><s v="Lê Đức Kiên"/><s v="Ngô Thị Phương Thảo"/><s v="Đỗ Đức Khang"/><s v="Đinh Thị Nguyệt"/><s v="Nguyễn Văn Long"/><s v="Phương Quỳnh Trang"/><s v="Lê Anh Kiệt"/><s v="Lê Công Toàn"/><s v="Huỳnh Ngọc Châu"/><s v="Tưởng Ngọc Bé"/><s v="Phạm Thị Nhung"/><s v="Bùi Thị Trúc Ly"/><s v="Nguyễn Thị Trà Giang"/><s v="Nguyễn Văn Hùng"/><s v="Hoàng Đức Dũng"/><s v="Hoàng Huy Toàn"/><s v="Nguyễn Hồng Nhung"/><s v="Nguyễn Thị Thúy Hiền"/><s v="Đỗ Thị Mai Hương"/><s v="Nguyễn Đình Dương"/><s v="Đào Thị Hương Quỳnh"/><s v="Đặng Anh Tú"/><s v="Nguyễn Thị Minh Trang"/><s v="Phạm Thị Kiều Diễm"/><s v="Bùi Mạnh Khương"/><s v="Trương Quỳnh An"/><s v="Nguyễn Thị Thu Thủy"/><s v="Trương Thị Bích Cẩm"/><s v="Nguyễn Nghĩa Ninh"/><s v="Trịnh Quý Công"/><s v="Phan Đàm Ngọc Ánh"/><s v="Trầm Tấn Phát"/><s v="Nguyễn Ngọc An Hòa"/><s v="Lê Hoài Thương"/><s v="Lương Văn Đức Lợi"/><s v="Phạm Thị Lệ Quỳnh"/><s v="Phạm Thị Thủy"/><s v="Nguyễn Ngọc Phong"/><s v="Trương Quang Minh"/><s v="Nguyễn Thái Bảo"/><s v="Huỳnh Thị Như"/><s v="Phạm Thị Loan"/><s v="Nguyễn Thanh Hằng"/><s v="Lê Thị Hồng Trinh"/><s v="Phạm Thu Thảo"/><s v="Lê Khánh Hân"/><s v="Đặng Phương Linh"/><s v="Ngô Xuân Hinh"/><s v="Nguyễn Thị Thuần"/><s v="Dương Thị Mai Châm"/><s v="Ngô Thị Thu Huyền"/><s v="Nguyễn Thị Thanh Trúc"/><s v="Ngô Đức Việt"/><s v="Nguyễn Văn Kiều"/><s v="Trần Văn Cường"/><s v="Nguyễn Tuấn Lực"/><s v="Võ Văn Đắng"/><s v="Dương Gia Tuệ"/><s v="Bùi Minh Dũng"/><s v="Đinh Thị Giang"/><s v="Vũ Thị Phương Lan"/><s v="Trần Nguyễn Bảo Duy"/><s v="Trần Tuấn Kiệt"/><s v="Lê Thị Linh"/><s v="Nguyễn Thảo Hương"/><s v="Trần Thuỳ Trang"/><s v="Trần Chí Linh"/><s v="Dương Thị Thanh Huyền"/><s v="Lê Thị Hồng Hạnh"/><s v="Nguyễn Thị Phương Thu"/><s v="Nguyễn Công Phước"/><s v="Hoàng Tuấn Hiệp"/><s v="Bùi Thu Uyên"/><s v="Phan Thị Thu Thủy"/><s v="Đồng Nhật Linh"/><s v="Nguyễn Thị Kiều Trinh"/><s v="Lê Thị Thực"/><s v="Lưu Trung Khôi"/><s v="Lê Quỳnh Trang"/><s v="Trần Hoàng Hiệp"/><s v="Phạm Công Minh"/><s v="Lê Bá Thành"/><s v="Nguyễn Đức Thiện"/><s v="Trần Thị Vân Khánh"/><s v="Phạm Thị Hải Yến"/><s v="Vũ Ngọc Long"/><s v="Đào Việt Hùng"/><s v="Mạc Thị Thùy Dương"/><s v="Phùng Văn Dương"/><s v="Nguyễn Thị Khánh"/><s v="Phùng Thị Ngọc"/><s v="Phan Chính Quốc"/><s v="Nguyễn Văn Quyết"/><s v="Trần Phương Nam"/><s v="Nguyễn Thành Lộc"/><s v="Phạm Thị Duyên"/><s v="Đỗ Hoàng Phi"/><s v="Bùi Tuấn Anh"/><s v="Mã Văn Tiến"/><s v="Trần Thị Dung"/><s v="Phạm Quang Hiệp"/><s v="Trần Thị Quyên"/><s v="Trần Ngọc Đức"/><s v="Nguyễn Mạnh Trưởng"/><s v="Phạm Phú Đăng"/><s v="Trần Văn Thắng"/><s v="Phạm Thị Khuyên"/><s v="Nguyễn Phú Cường"/><s v="Chu Minh Sang"/><s v="Phạm Trung Thủy"/><s v="Hoàng Viết Đức"/><s v="Nguyễn Thiện Sơn"/><s v="Phan Quốc Đạt"/><s v="Hoàng Quốc Đức"/><s v="Nguyễn Bá Hải"/><s v="Lê Đình Long"/><s v="Vũ Xuân Quỳnh"/><s v="Đỗ Trung Kiên"/><s v="Lưu Thị Lan Hương"/><s v="Lê Thị Dung"/><s v="Nguyễn Tiến Đà"/><s v="Phùng Ngọc Huề"/><s v="Nguyễn Thị Bình An"/><s v="Phạm Văn Thuyết"/><s v="Đỗ Ánh Nguyệt"/><s v="Nguyễn Thị Thanh Nga"/><s v="Đỗ Văn Trung"/><s v="Nguyễn Quang Anh"/><s v="Nguyễn Đức Nghĩa"/><s v="Nguyễn Thị Thiên Nga"/><s v="Quách Văn Lực"/><s v="Đỗ Minh Anh"/><s v="Bùi Hồng Quân"/><s v="Trần Thị Ngọc Anh"/><s v="Kim Thu Trang"/><s v="Nguyễn Thị Thịnh"/><s v="Phí Hồng Mạnh"/><s v="Nguyễn Xuân Hoàng Dũng"/><s v="Nguyễn Cao Quân"/><s v="Nguyễn Văn Sơn"/><s v="Nguyễn Thị Ly"/><s v="Khuất Quang Quân"/><s v="Bùi Xuân Hiếu"/><s v="Vũ Trí Hiệp"/><s v="Nguyễn Ngọc Lâm"/><s v="Nguyễn Thúc Quân"/><s v="Đào Thị Như Quỳnh"/><s v="Vũ Mạnh Hà"/><s v="Hà Thị Hồng Vân"/><s v="Nguyễn Thị Hương Lý"/><s v="Cao Thị Khánh Ly"/><s v="Phan Thị Sương"/><s v="Lê Phương Liên"/><s v="Đinh Thị Hà"/><s v="Nguyễn Phương Nam"/><s v="Nguyễn Vân Anh"/><s v="Nguyễn Đăng Mạnh"/><s v="Ngô Minh Đại"/><s v="Nguyễn Quang Minh"/><s v="Hoàng Đình Nam"/><s v="Hoàng Thị Nga"/><s v="Phùng Đình Xuân"/><s v="Kiều Đức Long"/><s v="Nguyễn Công Long"/><s v="Tô Thị Hương Sáng"/><s v="Đỗ Trung Hiếu"/><s v="Phạm Văn Châu"/><s v="Nguyễn Văn Hiến"/><s v="Bùi Mạnh Linh"/><s v="Lê Đức Hùng"/><s v="Vũ Thị Huyền Trang"/><s v="Nguyễn Trung Kiên"/><s v="Phí Trung Hiếu"/><s v="Nguyễn Diệu Linh"/><s v="Hoàng Ngọc Thắng"/><s v="Nguyễn Thu Hoài"/><s v="Nguyễn Mạnh Đức"/><s v="Võ Quốc Hưng"/><s v="Lê Văn Diệp"/><s v="Nguyễn Đinh Sửu"/><s v="Nguyễn Nghĩa Nam"/><s v="Lương Xuân Trường"/><s v="Vũ Thị Bích Thủy"/><s v="Đặng Bá Long"/><s v="Phạm Thị Ngân"/><s v="Phạm Thanh Bình"/><s v="Nguyễn Hữu Quảng"/><s v="Nguyễn Hoàng Quý"/><s v="Bành Tuấn Anh"/><s v="Lê Cao Vinh"/><s v="Lê Xuân Biển"/><s v="Lê Trần Tiến Đạt"/><s v="Nguyễn Văn Tuấn"/><s v="Dương Trung Thảo"/><s v="Đỗ Huy Hoàng"/><s v="Hoàng Minh Đức Anh"/><s v="Phạm Thị Khánh Huyền"/><s v="Đỗ Đức Chiến"/><s v="Trần Thị Mỹ Linh"/><s v="Hoàng Thị Lê"/><s v="Kim Đình Chiến"/><s v="Nguyễn Ngọc Kiểm"/><s v="Đặng Thị Vân"/><s v="Trần Văn Phương"/><s v="Hoàng Thanh Hòa"/><s v="Đoàn Trung Hiếu"/><s v="Nguyễn Tuấn Hưng"/><s v="Nguyễn Thị Thanh Thủy"/><s v="Vũ Văn Kiệt"/><s v="Đặng Quang Nam"/><s v="Hoàng Trung Kiên"/><s v="Nguyễn Thị Hồng Hạnh"/><s v="Nguyễn Hoàng Anh"/><s v="Dương Khánh Linh"/><s v="Đoàn Văn Việt"/><s v="Đỗ Xuân Phú"/><s v="Nguyễn Công Tài"/><s v="Lê Văn Trường"/><s v="Nguyễn Xuân Chiến"/><s v="Vũ Ngọc Mai"/><s v="Phạm Tiến Thành Đạt"/><s v="Vũ Hải Trường"/><s v="Nguyễn Thùy Trang"/><s v="Lương Xuân Phước"/><s v="Hoàng Văn Bình"/><s v="Nguyễn Bá Hiệu"/><s v="Phùng Tiến Sỹ"/><s v="Hà Quốc Tuấn"/><s v="Nguyễn Thanh Liêm"/><s v="Phạm Thị Thái Hà"/><s v="Ngô Quốc Khánh"/><s v="Lê Lương Tuấn Anh"/><s v="Phạm Đức Mạnh"/><s v="Phạm Đăng Tú"/><s v="Nguyễn Minh Quang"/><s v="Tạ Văn Vinh"/><s v="Lê Thị Hiền Thảo"/><s v="Nguyễn Mạnh Dũng"/><s v="Nguyễn Kiên Trung"/><s v="Nguyễn Bá Lộc"/><s v="Quách Văn Cảnh"/><s v="Mai Đại Long"/><s v="Đặng Tiến Đạo"/><s v="Nguyễn Quang Lợi"/><s v="Phạm Thị Hồng Hạnh"/><s v="Nguyễn Duy Hưng"/><s v="Lê Lan Hương"/><s v="Lê Thanh Hiếu"/><s v="Nguyễn Văn Quang"/><s v="Nguyễn Đức Đạt"/><s v="Trần Hậu"/><s v="Nguyễn Văn Thìn"/><s v="Nguyễn Xuân Tấn San"/><s v="Đặng Việt Anh"/><s v="Bùi Quang Điệp"/><s v="Nguyễn Vũ Hải Thái"/><s v="Phan Văn Hiếu"/><s v="Lê Danh Vũ"/><s v="Trần Văn Lợi"/><s v="Phạm Việt Dương"/><s v="Lê Đức Huy"/><s v="Trần Ngọc Lâm"/><s v="Nguyễn Thị Nhàn"/><s v="Trương Tuấn Anh"/><s v="Lê Thế Hùng"/><s v="Phùng Quang Vinh"/><s v="Nguyễn Phúc Tĩnh"/><s v="Ngô Thị Thanh Hằng"/><s v="Nguyễn Như Nam"/><s v="Lê Đức Trung Anh"/><s v="Nguyễn Thành Long"/><s v="Phạm Văn Đức"/><s v="Hoàng Ngọc Anh"/><s v="Tạ Việt Khang"/><s v="Đào Văn Hùng"/><s v="Tô Nguyễn Đức Mạnh"/><s v="Nguyễn Thị Nhung Huyền"/><s v="Nguyễn Văn Nam"/><s v="Nguyễn Đình Hiếu"/><s v="Nguyễn Thu Thủy"/><s v="Trần Thị Soan"/><s v="Nguyễn Phạm Vân Khánh"/><s v="Bùi Thị Duyên"/><s v="Đào Thị Thủy"/><s v="Vũ Đức Giang"/><s v="Vũ Mạnh Cường"/><s v="Lê Văn Kiên"/><s v="Ngô Quỳnh Hương"/><s v="Đỗ Văn Thức"/><s v="Phạm Quang Khánh"/><s v="Bùi Đức Anh"/><s v="Lê Mạnh Hùng"/><s v="Vũ Công Đoàn"/><s v="Nguyễn Đăng Dũng"/><s v="Nguyễn Chung Đỉnh"/><s v="Phạm Công Phong"/><s v="Lê Thiện Tuấn"/><s v="Đỗ Hoàng Nam"/><s v="Nguyễn Việt Quang"/><s v="Vũ Minh Đức"/><s v="Đoàn Quang Vinh"/><s v="Phạm Minh Hiếu"/><s v="Nguyễn Hữu Thắng"/><s v="Hoàng Văn Thuyên"/><s v="Phạm Tú Anh"/><s v="Nguyễn Việt Hà"/><s v="Hoàng Thị Thùy Linh"/><s v="Lê Thu Phương"/><s v="Phan Thị Hương Giang"/><s v="Nguyễn Đình Vũ"/><s v="Hoàng Quang Minh"/><s v="Trần Thị Khánh Hòa"/><s v="Ngô Thị Hải Yến"/><s v="Phạm Trọng Hoàn"/><s v="Lê Trung Hiếu"/><s v="Lương Ngọc Tùng"/><s v="Trần Trung"/><s v="Trần Đăng Lâm"/><s v="Bùi Thiện Quang"/><s v="Lại Thị Mai"/><s v="Nguyễn Anh Dũng"/><s v="Ngô Văn Hải"/><s v="Nguyễn Văn Hòa"/><s v="Bùi Quang Duy"/><s v="Nguyễn Xuân Đức"/><s v="Nông Thị Bảo Châu"/><s v="Đinh Quang Đạt"/><s v="Nguyễn Văn Đoàn"/><s v="Trần Đình Công"/><s v="Đào Thế Quốc"/><s v="Đăng Thị Thúy"/><s v="Trịnh Thị Kim Tuyến"/><s v="Phạm Đức Long"/><s v="Trần Thị Trang"/><s v="Đặng Thị Thanh"/><s v="Đỗ Ngọc Ánh"/><s v="Hoàng Long"/><s v="Đặng Thế Lập"/><s v="Lê Văn Hùng"/><s v="Trịnh Xuân Đào"/><s v="Nguyễn Văn Đức"/><s v="Lại Thái Việt"/><s v="Nguyễn Ngọc Đức"/><s v="Nguyễn Đăng Chiến"/><s v="Trần Văn Tám"/><s v="Hoàng Thị Thỏa"/><s v="Hoàng Văn Mạnh"/><s v="Vũ Quốc Anh"/><s v="Phạm Văn Biển"/><s v="Nguyễn Duy Cương"/><s v="Bùi Đình Hải"/><s v="Hoàng Anh Nghiệp"/><s v="Nguyễn Khắc Tiềm"/><s v="Nguyễn Hữu Giang"/><s v="Phạm Thị Ngọc"/><s v="Nguyễn Văn Đức Quang"/><s v="Hoàng Thị Ngọc"/><s v="Nguyễn Đình Thế"/><s v="Nguyễn Chí Công"/><s v="Nguyễn Mạnh Thế"/><s v="Đàm Văn Hiếu"/><s v="Đỗ Văn Hưng"/><s v="Nguyễn Sỹ Khởi"/><s v="Bùi Thị Hồng Nhung"/><s v="Nguyễn Thiên Sơn"/><s v="Nguyễn Văn Linh"/><s v="Nguyễn Kim Thi"/><s v="Nguyễn Thị Tuyết Trang"/><s v="Phạm Hải Nam"/><s v="Lê Huy Hưng"/><s v="Nguyễn Văn Dương"/><s v="Nguyễn Văn Ngọc"/><s v="Đoàn Thị Lan Anh"/><s v="Nguyễn Ngọc Tuấn"/><s v="Phạm Thị Hoan"/><s v="Phạm Văn Ngọc"/><s v="Nguyễn Việt Hoàng"/><s v="Nguyễn Văn Thịnh"/><s v="Ngô Hải Long"/><s v="Hoàng Anh Thư"/><s v="Vũ Thị Liên"/><s v="Trịnh Văn Toàn"/><s v="Nguyễn Tùng Dương"/><s v="Nguyễn Tài Quân"/><s v="Đỗ Đức Thịnh"/><s v="Nguyễn Thị Trà My"/><s v="Lâm Mạnh Hùng"/><s v="Vũ Hương Liên"/><s v="Nguyễn Đăng Hoàng"/><s v="Nguyễn Văn Dũng"/><s v="Lương Hữu Quý"/><s v="Trần Đức Hiếu"/><s v="Vũ Thùy Linh"/><s v="Vũ Ngọc Hà"/><s v="Phạm Hồng Vân"/><s v="Hoàng Thanh Long"/><s v="Trang Hải Long"/><s v="Nguyễn Hồng Cường"/><s v="Phạm Vũ Minh Quân"/><s v="Phan Ngọc Toản"/><s v="Phạm Quang Hiếu"/><s v="Phan Thị Thùy Ngân"/><s v="Cao Công Hân"/><s v="Nguyễn Xuân Phong"/><s v="Vũ Đức Dũng"/><s v="Mai Thị Ngân"/><s v="Phạm Tiến Long"/><s v="Trần Văn Dũng"/><s v="Võ Văn Hưng"/><s v="Nguyễn Tiến Bảo"/><s v="Chu Hữu Bắc"/><s v="Tạ Đình Dũng"/><s v="Nguyễn Minh Tuấn"/><s v="Phạm Minh Ngọc"/><s v="Nguyễn Đình Nghĩa"/><s v="Đỗ Văn Minh"/><s v="Nguyễn Tác Chiến"/><s v="Lê Tuấn Hải"/><s v="Lê Quốc Tuấn"/><s v="Lê Thị Ly Ly"/><s v="Dư Ngọc Cường"/><s v="Trần Văn Huân"/><s v="Lê Thị Mai Hương"/><s v="Vũ Thùy Nhung"/><s v="Hoàng Tuấn Anh"/><s v="Vương Văn An"/><s v="Hà Đức Huy"/><s v="Đồng Văn Quang"/><s v="Phạm Thị Quỳnh Mai"/><s v="Đoàn Ngọc Anh"/><s v="Lại Thị Đào"/><s v="Lê Thị Minh Hoa"/><s v="Trần Đại Nghĩa"/><s v="Nguyễn Hồng Lý"/><s v="Nguyễn Văn Đông"/><s v="Trần Thiên Sơn"/><s v="Nguyễn Tiến Xuân"/><s v="Lưu Thị Hiền Hiền"/><s v="Nguyễn Bình Dương"/><s v="Phạm Thành Trung"/><s v="Phạm Văn Duy"/><s v="Vũ Thị Linh"/><s v="Lê Đình Ngọc"/><s v="Vũ Tuấn Minh"/><s v="Trần Ngọc Sơn"/><s v="Đặng Trung Kiên"/><s v="Nguyễn Phan Duy"/><s v="Hà Thị Hồng Sơn"/><s v="Vũ Bá Tám"/><s v="Lê Trọng Quân"/><s v="Nguyễn Mạnh Hùng"/><s v="Nguyễn Văn Minh"/><s v="Trần Hải Dương"/><s v="Bùi Trung Tú"/><s v="Nguyễn Thị Thu Hường"/><s v="Nguyễn Quốc Khánh"/><s v="Vũ Khắc Điển"/><s v="Mai Ngọc Sơn"/><s v="Đặng Thị Ngọc Tú"/><s v="Trần Văn Hiếu"/><s v="Nguyễn Xuân Cường"/><s v="Đầu Đài Trang"/><s v="Trần Đức Mạnh"/><s v="Trần Thị Thu Trà"/><s v="Hồ Xuân Mạnh"/><s v="Phạm Thị Phượng"/><s v="Đỗ Văn Thắng"/><s v="Hà Quỳnh Nga"/><s v="Nguyễn Văn Hà"/><s v="Nguyễn Văn Định"/><s v="Bùi Ngọc Đức"/><s v="Nguyễn Thị Hà"/><s v="Bùi Thế Anh"/><s v="Nguyễn Thành Trung"/><s v="Trịnh Tiến Hòa"/><s v="Lê Khắc Khỏe"/><s v="Vũ Viết Văn"/><s v="Nguyễn Thị Út Linh"/><s v="Nguyễn Ngọc An"/><s v="Phùng Đắc Tài"/><s v="Đỗ Đức Nhân"/><s v="Phạm Thị Thu Hà"/><s v="Nguyễn Duy Hảo"/><s v="Bùi Xuân Dương"/><s v="Phạm Đức Anh"/><s v="Bùi Huy Tuyền"/><s v="Hoàng Bảo Việt"/><s v="Nguyễn Trọng Tuế"/><s v="Nguyễn Long Nhật"/><s v="Nguyễn Tiến Trung"/><s v="Nguyễn Đình Thi"/><s v="Nguyễn Anh Quân"/><s v="Hoàng Minh Đức"/><s v="Vũ Đình Tiến"/><s v="Trần Xuân Phúc"/><s v="Đinh Gia Bảo"/><s v="Lê Minh Quang"/><s v="Lê Đức Tiệp"/><s v="Tạ Mạnh Thức"/><s v="Trần Thị Minh Phượng"/><s v="Phạm Thiên Nhật"/><s v="Trịnh Huỳnh Đức"/><s v="Vũ Minh Hiếu"/><s v="Nguyễn Đức Đại"/><s v="Nguyễn Thị Ánh Xao"/><s v="Nguyễn Minh Đức"/><s v="Trương Thị Thanh Ngân"/><s v="Trần Minh Hùng"/><s v="Nguyễn Thị An"/><s v="Lê Văn Tươi"/><s v="Nguyễn Duy Chiến"/><s v="Đặng Nguyệt Ánh"/><s v="Đỗ Ngọc Phương"/><s v="Lê Văn Hiếu"/><s v="Phạm Minh Hải"/><s v="Đặng Tiến Dương"/><s v="Nguyễn Đình Phú"/><s v="Đào Hồng Hạnh"/><s v="Lê Ngọc Trường Giang"/><s v="Nguyễn Đức Nhật Linh"/><s v="Nguyễn Công Chính"/><s v="Nguyễn Thị Lan Hương"/><s v="Lê Minh Đức"/><s v="Đỗ Minh Ngọc"/><s v="Đào Mai Phương"/><s v="Nguyễn Tuấn Anh"/><s v="Đỗ Thị Thu Huyền"/><s v="Phạm Thị Mai Giang"/><s v="Tô Mạnh Dương"/><s v="Đỗ Văn Quảng"/><s v="Trần Xuân Thịnh"/><s v="Ngọ Minh Sinh"/><s v="Nguyễn Xuân Hòa"/><s v="Nguyễn Đức Được"/><s v="Mai Văn Kiên"/><s v="Nguyễn Minh Dương"/><s v="Đặng Thị Ngát"/><s v="Phạm Ngọc Duy"/><s v="Vũ Minh Quang"/><s v="Đinh Thị Phương Trà"/><s v="Nghiêm Phú Thiết"/><s v="Nguyễn Hồng Thắng"/><s v="Nguyễn Thế Quyền"/><s v="Nguyễn Ngọc Hiệp"/><s v="Phạm Duy Kiên"/><s v="Trần Xuân An"/><s v="Trần Tuấn Anh"/><s v="Đào Thị Loan"/><s v="Nguyễn Văn Bình"/><s v="Đặng Văn Thi"/><s v="Nguyễn Quang Cường"/><s v="Nguyễn Thị Giang"/><s v="Bá Ngọc Đĩnh"/><s v="Bùi Thị Hải Vân"/><s v="Tống Hồng Nhung"/><s v="Ngô Quang Trường"/><s v="Lê Đình Duy"/><s v="Hoàng Việt Dũng"/><s v="Phạm Đức Đăng"/><s v="Đỗ Thị Thùy Trang"/><s v="Hoàng Thị Vân Chinh"/><s v="Nguyễn Thị Ban"/><s v="Vũ Hoàng Yến"/><s v="Hồ Văn Anh"/><s v="Trịnh Quỳnh Anh"/><s v="Hoàng Văn Thắng"/><s v="Lê Thị Mai"/><s v="Phạm Công Khang"/><s v="Nguyễn Thị Phương Anh"/><s v="Trương Công Vinh"/><s v="Vương Thị Hải Yến"/><s v="Lê Thị Quỳnh Nga"/><s v="Vũ Thị Nương"/><s v="Bùi Việt Anh"/><s v="Vũ Văn Trí"/><s v="Trần Nhật Danh"/><s v="Đặng Trọng Đức"/><s v="Phạm Thị Tâm"/><s v="Ngô Duy Hiển"/><s v="Đặng Vũ Hoàng Trung"/><s v="Nguyễn Văn Chính"/><s v="Dương Minh Việt"/><s v="Nguyễn Hoàng Hải"/><s v="Lưu Thị Xuyên"/><s v="Vũ Thị Phương Anh"/><s v="Nguyễn Thị Hương Giang"/><s v="Lê Chí Tưởng"/><s v="Hoàng Minh Nam"/><s v="Trần Minh Chiến"/><s v="Đặng Phương Anh"/><s v="Dương Kiều Trang"/><s v="Lã Hải Yến"/><s v="Lương Tiến Luật"/><s v="Lại Tiến Long"/><s v="Lê Đình Hải"/><s v="Vũ Thiện Hoàng"/><s v="Phùng Thị Sợi"/><s v="Bùi Thị Bích Phương"/><s v="Vũ Minh Hoàng"/><s v="Đặng Thị Phương Loan"/><s v="Vũ Thị Xuyến"/><s v="Kiều Xuân Việt"/><s v="Nguyễn Việt Hòa"/><s v="Nguyễn Ngọc Tâm"/><s v="Trương Thị Sen"/><s v="Hà Đức Phú"/><s v="Trần Mỹ Lệ"/><s v="Đặng Hữu Thịnh"/><s v="Nguyễn Quang Hiệp"/><s v="Nguyễn Tuấn Ngọc"/><s v="Vũ Hoài Sơn"/><s v="Bùi Thị Khánh Huyền"/><s v="Đinh Phương Nam"/><s v="Phan Thị Thanh Nhàn"/><s v="Triệu Tuấn Kiệt"/><s v="Tạ Minh Ngọc"/><s v="Nguyễn Phùng Hải Linh"/><s v="Đào Đình Đức"/><s v="Nguyễn Văn Tiến"/><s v="Trần Huy Tùng"/><s v="Hoàng Huy Ngọc"/><s v="Nguyễn Ngọc Long"/><s v="Ngô Thị Bích Hòa"/><s v="Lê Tuyết Chinh"/><s v="Dương Minh Phương"/><s v="Vũ Thị Phương Thảo"/><s v="Đỗ Thúy Nga"/><s v="Nguyễn Đức Hiếu"/><s v="Nguyễn Ngọc Đại"/><s v="Phan Văn Thông"/><s v="Tăng Châu Phong"/><s v="Đặng Thái Dương"/><s v="Nguyễn Thị Ngọc Anh"/><s v="Nguyễn Quang Hoàng"/><s v="Đào Trung Thành"/><s v="Trần Thị Thảo"/><s v="Đinh Văn Bình"/><s v="Đào Thị Hoa"/><s v="Nguyễn Thanh Tùng"/><s v="Trần Văn Hiển"/><s v="Phạm Thị Tuyết"/><s v="Trần Khánh Minh"/><s v="Trương Quang Hải"/><s v="Vũ Trí Hùng"/><s v="Nguyễn Thế Vinh"/><s v="Lê Minh Nguyệt"/><s v="Nguyễn Đăng Đạt"/><s v="Phạm Trung Hà"/><s v="Đỗ Lê Anh"/><s v="Nguyễn Đình Huy"/><s v="Phan Thị Thu Liên"/><s v="Triệu Việt Hưng"/><s v="Thiều Thị Thu Thanh"/><s v="Phạm Đình Thiện"/><s v="Nguyễn Thị Thu Hiền"/><s v="Phan Bắc"/><s v="Nguyễn Ngọc Anh"/><s v="Vương Thùy Chi"/><s v="Nguyễn Bảo Ngọc"/><s v="Nguyễn Thị Hải"/><s v="Ngô Ngọc Anh"/><s v="Trần Thị Huyền"/><s v="Thân Đức Hùng"/><s v="Nguyễn Thanh Hiếu"/><s v="Nguyễn Thu Quang"/><s v="Đặng Quốc Thắng"/><s v="Đinh Thành Nam"/><s v="Nguyễn Thị Kim Yên"/><s v="Phạm Mỹ Hạnh"/><s v="Trần Thị Tuyết Nhung"/><s v="Nguyễn Thị Lương"/><s v="Trần Thị Thúy Ngân"/><s v="Cao Thị Duyên"/><s v="Trịnh Văn Thắng"/><s v="Đỗ Đình Vy"/><s v="Đinh Thị Nga"/><s v="Nguyễn Văn Mạnh"/><s v="Đinh Ngọc Tân"/><s v="Chu Thị Gia Trang"/><s v="Nguyễn Trọng Hiền"/><s v="Đỗ Quốc Việt Anh"/><s v="Ngô Xuân Hùng"/><s v="Bùi Thị Liên"/><s v="Bùi Văn Hậu"/><s v="Đào Thị Cẩm Nhung"/><s v="Trần Thị Huyền Trang"/><s v="Nguyễn Văn Lâm"/><s v="Nguyễn Văn Tình"/><s v="Bùi Hà Bích Phương"/><s v="Nguyễn Thị Thùy Vân"/><s v="Tạ Thị Vân"/><s v="Nguyễn Thị Tố Uyên"/><s v="Đoàn Thị Ánh"/><s v="Lã Thị Thu Hiền"/><s v="Huỳnh Thị Thanh Nhàn"/><s v="Vũ Thị Thúy"/><s v="Phạm Hải Anh"/><s v="Nguyễn Ngọc Hân"/><s v="Nguyễn Thị Khánh Tiên"/><s v="Trần Đăng Khoa"/><s v="Quách Quế Trân"/><s v="Trần Hải Yến"/><s v="Nguyễn Trung Triệu"/><s v="Nguyễn Trọng Tính"/><s v="Lê Thị Bích Ngân"/><s v="Nguyễn Công Việt"/><s v="Nguyễn Thị Bảo Anh"/><s v="Đỗ Duy Khánh"/><s v="Nguyễn Thị Dịu"/><s v="Nguyễn Thị Bích Ngân"/><s v="Chống Phương Yến"/><s v="Lữ Thành Long"/><s v="Ngô Thị Chung"/><s v="Nguyễn Ngọc Lệ"/><s v="Huỳnh Văn Thành"/><s v="Trịnh Hoàng Anh Tuấn"/><s v="Trần Hoàng Duy Tân"/><s v="Đỗ Thị Út"/><s v="Trương Trần Thị Thùy Trang"/><s v="Nguyễn Ngọc Phương Dung"/><s v="Phan Hoàng Mai"/><s v="Nguyễn Thị Kim Chi"/><s v="Trần Thị Thanh Tuyền"/><s v="Huỳnh Thị Minh Trang"/><s v="Nguyễn Thị Thu Phương"/><s v="Hoàng Thị Thúy Oanh"/><s v="Cao Thị Mỹ Luyện"/><s v="Nguyễn Hữu Văn"/><s v="Lê Huỳnh Trung Thư"/><s v="Đỗ Thị Mỹ Phương"/><s v="Vũ Thị Loan"/><s v="Tiêu Hải Đăng"/><s v="Trần Thị Kim Chung"/><s v="Phạm Duy Khang"/><s v="Nguyễn Minh Hiếu"/><s v="Triệu Thị Chinh"/><s v="Lê Thị Mộng Thùy"/><s v="Trần Minh Anh"/><s v="Đỗ Ngọc Huyền"/><s v="Nguyễn Ngọc Tường Vy"/><s v="Bùi Minh Tuấn"/><s v="Nguyễn Hoàng Giang"/><s v="Lê Thị Thùy"/><s v="Trà Sen Phương"/><s v="Nguyễn Thị Ánh Tuyết"/><s v="Tạ Thị Thoa"/><s v="Bùi Thanh Minh"/><s v="Lỗ Thị Thu Thảo"/><s v="Đoàn Huỳnh Anh Nghĩa"/><s v="Đoàn Tấn Phong"/><s v="Nguyễn Minh Anh Phương"/><s v="Dương Thị Diễm Sương"/><s v="Lại Thị Cẩm Tiên"/><s v="Nghị Hồng Chi"/><s v="Huỳnh Thị Mi"/><s v="Đặng Thị Thảo Như"/><s v="Nguyễn Huỳnh Như"/><s v="Đặng Thị Mỹ Tiên"/><s v="Bùi Thị Minh Anh"/><s v="Trương Hải Đăng"/><s v="Đinh Thị Hồng Liên"/><s v="Tô Vũ Thanh Uyên"/><s v="Võ Phi Thắng"/><s v="Lê Ngọc Bảo Trân"/><s v="Đào Thị Duyên"/><s v="Huỳnh Thị Thanh Ngân"/><s v="Vương Thị Lân"/><s v="Nguyễn Thị Quỳnh Giao"/><s v="Đinh Ánh Lâm"/><s v="Phan Ngọc Thảo Nhi"/><s v="Lâm Vũ Phượng Uyên"/><s v="Phạm Thị Lệ Quyên"/><s v="Đỗ Thị Thanh Ngân"/><s v="Nguyễn Văn Hải"/><s v="Đinh Thị Mai Hoa"/><s v="Nguyễn Thị Diễm Ngọc"/><s v="Doãn Thảo Dương"/><s v="Trần Nguyễn Minh Lâm"/><s v="Trương Thị Ngọc Tú"/><s v="Nguyễn Minh Vũ"/><s v="Nguyễn Thị Trúc Linh"/><s v="Nguyễn Thị Tường Vi"/><s v="Lê Minh Đăng"/><s v="Nguyễn Thị Kim Mến"/><s v="Nguyễn Hà Linh"/><s v="Nguyễn Phi Nghị"/><s v="Cao Lý Hoàng My"/><s v="Trần Văn Biên"/><s v="Đặng Thị Uyên"/><s v="Huỳnh Ngọc Mỹ"/><s v="Cao Ánh Tuyết"/><s v="Nguyễn Trần Anh Vy"/><s v="Lê Thị Huyền Trang"/><s v="Trần Gia Huy"/><s v="Phạm Thị Lan Vĩnh"/><s v="Nguyễn Quang Khải"/><s v="Hồ Thủy Tiên"/><s v="Dương Thu Hà"/><s v="Lê Hữu Nguyên"/><s v="Trần Khoa Nghi"/><s v="Lê Anh Sơn"/><s v="Đỗ Thị Thư"/><s v="Trần Thị Ngọc Ánh"/><s v="Nguyễn Ngọc Thu Linh"/><s v="Cao Nguyễn Nhật Tân"/><s v="Đặng Ngọc Trúc"/><s v="Nguyễn Thị Thảo Quyên"/><s v="Nguyễn Thị Anh Vân"/><s v="Thái Ngọc Huỳnh"/><s v="Nguyễn Văn Thanh"/><s v="Nguyễn Phạm Khánh My"/><s v="Lê Triệu Vĩ"/><s v="Đỗ Thị Diệu Quỳnh"/><s v="Nguyễn Thị Minh Thành"/><s v="Cao Thị Thanh Thương"/><s v="Trần Thị Hương Giang"/><s v="Võ Thị Thu Tình"/><s v="Vũ Quỳnh Anh"/><s v="Thân Thị Ngọc Mai"/><s v="Nguyễn Thị Nhật Hường"/><s v="Phan Qúi Ngân"/><s v="Lương Thị Hoài Thương"/><s v="Võ Đình Tùng"/><s v="Hà Thị Thảo"/><s v="Nguyễn Thị Ngọc Tuyền"/><s v="Cao Mai Linh"/><s v="Đỗ Thị Thương"/><s v="Nguyễn Thị Ni Ly"/><s v="Nguyễn Thúy Ngọc"/><s v="Lê Văn Cát Tường"/><s v="Phan Thị Thùy Nhung"/><s v="Phạm Thị Quỳnh Ly"/><s v="Phạm Ngọc Anh Thư"/><s v="Trần Thị Hướng Dương"/><s v="La Phương Vũ Hoàng"/><s v="Lê Thị Phương Thảo"/><s v="Lê Thị Hồng Ánh"/><s v="Giang Trần Tú Linh"/><s v="Phan Thị Ngọc Anh"/><s v="Nguyễn Huyền Ninh"/><s v="Lê Thị Ngọc Anh"/><s v="Phạm Thị Phương"/><s v="Lê Xuân Anh"/><s v="Phạm Thanh Hải"/><s v="Nguyễn Thu Thảo"/><s v="Nguyễn Thị Yến Vy"/><s v="Khương Thị Ngọc Mai"/><s v="Nguyễn Thị Hương Trầm"/><s v="Nguyễn Thị Việt Hồng"/><s v="Nguyễn Việt Linh"/><s v="Nguyễn Hoàng Quyên"/><s v="Đỗ Thị Thúy An"/><s v="Đỗ Thị Thảo Nhi"/><s v="Trần Phương Anh"/><s v="Phí Thu Trang"/><s v="Huỳnh Thị Duyên"/><s v="Đỗ Thị Hạnh"/><s v="Lâm Thị Dung"/><s v="Nguyễn Thị Thu Thảo"/><s v="Nguyễn Thị Kim Trinh"/><s v="Lê Thị Kim Oanh"/><s v="Lê Thị Hiên"/><s v="Nguyễn Đức Thắng"/><s v="Lê Thu Hường"/><s v="Nguyễn Lê Anh Thư"/><s v="Võ Thị Thu Minh"/><s v="Đỗ Nguyễn Thiên Trúc"/><s v="Lê Thị Hạng"/><s v="Đào Thị Minh Tài"/><s v="Trần Thị Minh Anh"/><s v="Hoàng Thị Thu Thảo"/><s v="Chử Hoàng Bảo Khánh"/><s v="Bùi Thị Hoài"/><s v="Lê Thị Xuân Đào"/><s v="Võ Thị Vân Anh"/><s v="Nguyễn Thị Thanh Hường"/><s v="Võ Thị Hoàng Giang"/><s v="Lê Ngọc Phương Uyên"/><s v="Hoàng Thu Phương"/><s v="Đặng Phương Thúy"/><s v="Trịnh Thị Hóa"/><s v="Lê Thị Tuyết Nhung"/><s v="Lê Thị Thoa"/><s v="Nguyễn Thị Tường Qui"/><s v="Nguyễn Thị Ngọc Ánh"/><s v="Đỗ Văn Đoàn"/><s v="Vũ Văn Tiến"/><s v="Bùi Ánh Tuyết"/><s v="Nguyễn Thúy Nga"/><s v="Đỗ Thu Hằng"/><s v="Nguyễn Thị Kim Oanh"/><s v="Phan Thị Mỹ Linh"/><s v="Chu Thị Kim Anh"/><s v="Lê Bão Sơn"/><s v="Phùng Thị Thương"/><s v="Trương Thị Ngọc Anh"/><s v="Trần Thị Tươi"/><s v="Lê Xuân Cường"/><s v="Bùi Thị Lan Phượng"/><s v="Lê Thị Trà My"/><s v="Vũ Lan Anh"/><s v="Vũ Thị Huệ"/><s v="Nguyễn Phượng Thiên"/><s v="Lê Thị Khánh Hòa"/><s v="Trần Thị Hoa"/><s v="Nguyễn Thế Hào"/><s v="Nguyễn Trọng Nguyên"/><s v="Nguyễn Thị Hà My"/><s v="Nguyễn Thị Thanh Thảo"/><s v="Nguyễn Thị Thúy Anh"/><s v="Phạm Ngọc Việt Phương"/><s v="Đặng Thị Thùy"/><s v="Lê Vy"/><s v="Huỳnh Thị Kim Huyên"/><s v="Lê Thị Hoài Thương"/><s v="Trương Thị Thùy Dương"/><s v="Trần Ngọc Trâm"/><s v="Nguyễn Thị Tiết"/><s v="Đỗ Thị Thu Trang"/><s v="Phạm Ngọc Toàn"/><s v="Nguyễn Thanh Ngọc"/><s v="Trần Thị Anh Thành"/><s v="Nguyễn Linh Huyền"/><s v="Phạm Thị Yến"/><s v="Tống Thị Giang"/><s v="Đặng Thị Hằng"/><s v="Đặng Thị Hồng Phương"/><s v="Trần Thị Hà"/><s v="Nguyễn Ngọc Lương"/><s v="Phạm Thị Kim Chung"/><s v="Nguyễn Bích Ngọc"/><s v="Dương Thị Trang"/><s v="Nguyễn Thị Ái Diệu"/><s v="Đào Xuân Thắng"/><s v="Phí Thu Hương"/><s v="Nguyễn Thúy Hằng"/><s v="Lê Cẩm Tú"/><s v="Lê Thị Ngọc Quyên"/><s v="Đỗ Thị Thanh"/><s v="Thái Đinh Thị Quỳnh Anh"/><s v="Nguyễn Thị Tuyền"/><s v="Phan Thị Tuyết Hân"/><s v="Phan Thị Hải Yến"/><s v="Nguyễn Dương Trúc Nhi"/><s v="Nguyễn Thị Nga Hằng"/><s v="Trần Hiền Vương"/><s v="Lê Thị Lan"/><s v="Phạm Thị Thúy Ngân"/><s v="Nguyễn Thị Hà Phương"/><s v="Trần Thị Yến Chi"/><s v="Nguyễn Thị Ngọc Hiền"/><s v="Phạm Thị Thu"/><s v="Ngô Thị Thảo"/><s v="Nguyễn Thị Trinh"/><s v="Phạm Thị Mai"/><s v="Nguyễn Thị Hoàng Khanh"/><s v="Nguyễn Thị Minh Lý"/><s v="Bùi Thanh Huyền"/><s v="Nguyễn Trọng Đại"/><s v="Nguyễn Ngô Thị Như Quỳnh"/><s v="Lê Duy Phán"/><s v="Lê Thị Cẩm Nhung"/><s v="Đoàn Trúc Phương"/><s v="Trương Thị Nghĩa"/><s v="Bùi Đăng Thưởng"/><s v="Tô Thiện Mẫn"/><s v="Nguyễn Thị Cẩm Tiên"/><s v="Lê Hồng Hạnh"/><s v="Võ Ngọc Ái"/><s v="Phùng Văn Trường"/><s v="Nguyễn Hải Trung"/><s v="Lê Anh Hào"/><s v="Nguyễn Thị Thanh Hà"/><s v="Nguyễn Thị Duyên"/><s v="Phạm Thị Phương Dung"/><s v="Cao Qúy Hoàng"/><s v="Vũ Thị Hà Chi"/><s v="Bùi Ngọc Hà"/><s v="Hà Thị Hồng Trang"/><s v="Nguyễn Trần Hiếu"/><s v="Đặng Quỳnh Anh"/><s v="Phương Thị Thùy"/><s v="Bùi Đắc Dũng"/><s v="Nguyễn Thị Ngọc Diệu"/><s v="Lê Thanh Huyền"/><s v="Phí Phượng Vĩ"/><s v="Bùi Thị Thu"/><s v="Phạm Thế Vũ"/><s v="Hoàng Thành Công"/><s v="Lê Thị Ngoan"/><s v="Nguyễn Đức Khánh"/><s v="Đoàn Ngọc Thạch"/><s v="Ngô Thị Huyền Trang"/><s v="Huỳnh Minh Quang"/><s v="Trần Thị Thu Hà"/><s v="Vũ Hương Thanh"/><s v="Đoàn Phú Vinh"/><s v="Lưu Thị Tùng Dinh"/><s v="Đinh Ngọc Nhật Hạ"/><s v="Huỳnh Như"/><s v="Trương Thảo Uyên"/><s v="Trần Thị Kim Hương"/><s v="Nguyễn Phú Hào"/><s v="Nguyễn Thị Như Huệ"/><s v="Nguyễn Thị Tỉnh"/><s v="Nguyễn Định An"/><s v="Nguyễn Hoàng Ngân Bình"/><s v="Phan Thị Nhã Phương"/><s v="Lữ Anh Thư"/><s v="Thân Thị Ngọc Ánh"/><s v="Nguyễn Thị Thanh Đẩu"/><s v="Nguyễn Huỳnh Diệu Quyên"/><s v="Lê Thị Mỹ Hạnh"/><s v="Đường Thị Hằng"/><s v="Lê An Thùy"/><s v="Đặng Thị Kim Thảo"/><s v="Hồ Thị Thanh Vân"/><s v="Nguyễn Thị Thanh Thúy"/><s v="Bùi Thành Nam"/><s v="Bùi Thị Hoàng Yến"/><s v="Lê Thị Ngọc Trang"/><s v="Lê Trà Tân"/><s v="Hồ Thị Hồng Hương"/><s v="Đỗ Thị Kim Thoa"/><s v="Trần Thị Thu An"/><s v="Nguyễn Thị Kim Yến"/><s v="Nguyễn Thị Nguyệt Minh"/><s v="Nhữ Thế Long"/><s v="Nguyễn Thị Kiều Oanh"/><s v="Đỗ Thị Quỳnh Tiên"/><s v="Võ Thị Kim Duyên"/><s v="Công Tằng Tôn Nữ Quỳnh Vân"/><s v="Hoàng Thị Vân"/><s v="Bùi Thị Mỹ Linh"/><s v="Nguyễn Thị Minh Tiền"/><s v="Dương Huỳnh Bích Huệ"/><s v="Phan Thị Ty"/><s v="Trần Thị Thu Thủy"/><s v="Lê Thu Hà"/><s v="Lê Thị Hồng Vân"/><s v="Nguyễn Xuân Phương Hằng"/><s v="Nguyễn Trọng Lộc"/><s v="Lê Thị Hương"/><s v="Phạm Diệu Thùy"/><s v="Lê Thị Đông Anh"/><s v="Phạm Thị Hưng Thịnh"/><s v="Huỳnh Thị Thúy"/><s v="Trần Thị Thanh Huyền"/><s v="Hoàng Thùy Trang"/><s v="Tạ Thị Huyền Linh"/><s v="Phạm Thị Thanh Thúy"/><s v="Trần Thị Thu Phương"/><s v="Huỳnh Thị Tiên"/><s v="Trương Thị Ái Ny"/><s v="Nguyễn Triệu Linh"/><s v="Hoàng Thị Yến Vy"/><s v="Trần Thị Sen"/><s v="Hình Quốc Thông"/><s v="Trần Vĩnh Trọng"/><s v="Dương Thị Vân Anh"/><s v="Nguyễn Huỳnh Kim Ngân"/><s v="Hà Cao Minh"/><s v="Nguyễn Bá Hòa"/><s v="Dương Ngọc Thúy"/><s v="Nguyễn Trương Quỳnh Như Ý"/><s v="Nguyễn Bảo Linh"/><s v="Bạch Hoài Nam"/><s v="La Ngọc Phương Trinh"/><s v="Nguyễn Trọng Nhân"/><s v="Nguyễn Vũ Kim Thành"/><s v="Thân Quốc Dũng"/><s v="Phạm Văn Phương"/><s v="Huỳnh Duy Thanh"/><s v="Cao Minh Chính"/><s v="Đỗ Hồng Sơn"/><s v="Nguyễn Thanh Liêm"/><s v="Trần Thị Xuân"/><s v="Hồ Thị Xuân Nương"/><s v="Hồ Thảo Triều"/><s v="Đặng Thành Lợi"/><s v="Nguyễn Trần Tuấn Anh"/><s v="Nguyễn Thị Phương Loan"/><s v="Nguyễn Hải Thành"/><s v="Khưu Tấn Phát"/><s v="Dương Trường Thành"/><s v="Nguyễn Văn Toan"/><s v="Đinh Thị Tuyết Loan"/><s v="Trương Thái Nhựt Trường"/><s v="Nguyễn Đặng Tấn Thành"/><s v="Phạm Thị Hồng Mỵ"/><s v="Võ Thị Yến Nhi"/><s v="Huỳnh Thị Mai Thy"/><s v="Trần Thị Ánh Nhi"/><s v="Võ Trúc Ly"/><s v="Nguyễn Phạm Mỹ Duyên"/><s v="Võ Hoàng Thanh"/><s v="Nguyễn Thị Kim Ngân"/><s v="Trần Thị Kim Anh"/><s v="Văn Đức Hữu"/><s v="Nguyễn Thị Kim Quyên"/><s v="Nguyễn Trọng Phúc"/><s v="Trần Nguyễn Anh Thư"/><s v="Hà Phạm Hải Âu"/><s v="Đỗ Thị Cẩm Thúy"/><s v="Phan Thị Huyền"/><s v="Trần Như Ánh Nguyệt"/><s v="Lương Thị Thúy Ngân"/><s v="Tôn Đức Phú"/><s v="Trần Hữu Quyết"/><s v="Nguyễn Hoàng Kim"/><s v="Võ Thị Bích Trâm"/><s v="Nguyễn Thị Việt Trinh"/><s v="Trương Thị Hà"/><s v="Lê Ngọc Trang"/><s v="Mai Thị Cẩm Viên"/><s v="Nguyễn Thị Huyền Trân"/><s v="Nguyễn Hoàng Thúy Vi"/><s v="Phan Nguyễn Quỳnh Hoa"/><s v="Trần Phương Lan Vy"/><s v="Vũ Thanh Vân"/><s v="Nguyễn Ngọc Linh"/><s v="Nguyễn Thị Bích Phương"/><s v="Bùi Cẩm Tú"/><s v="Phạm Nguyễn Trà My"/><s v="Trương Thị Mỹ Hạnh"/><s v="Bùi Văn Công"/><s v="Nguyễn Ngọc Xuân Dung"/><s v="Nguyễn Thị Thúy"/><s v="Francois Thanh Thảo"/><s v="Võ Thị Mỹ Thương"/><s v="Dương Công Quý"/><s v="Vương Quốc Anh"/><s v="Mai Ngọc Bảo Hân"/><s v="Nguyễn Phương Trúc Linh"/><s v="Trần Hoài Bảo Lộc"/><s v="Nguyễn Thái Phương"/><s v="Nguyễn Trương Phụng Nhân"/><s v="Nguyễn Thị Phương Ngân"/><s v="Bùi Đinh Quang Việt"/><s v="Phạm Thị Mộng Điệp"/><s v="Nguyễn Hữu Phòng"/><s v="Lê Thái Hưng"/><s v="Nguyễn Thị Bình Yên"/><s v="Nguyễn Duy Hải"/><s v="Quách Xuân Phương"/><s v="Nguyễn Thị Kim Tuyến"/><s v="Trương Thị Minh Tâm"/><s v="Nguyễn Nhật Phượng"/><s v="Dương Thị Thảo Vi"/><s v="Khổng Quỳnh Như"/><s v="Huỳnh Thị Ái"/><s v="Đinh Thị Ánh Nguyệt"/><s v="Nguyễn Bá Ngọc"/><s v="Bùi Xuân Thành"/><s v="Hoàng Tường Vy"/><s v="Nguyễn Khánh Vy"/><s v="Dương Thị Bích Liễu"/><s v="Mai Thị Oanh"/><s v="Trần Bảo Châu"/><s v="Lê Văn Nam"/><s v="Khổng Thị Ngọc Phương"/><s v="Phùng Thị Thuý Hạnh"/><s v="Nguyễn Thị Ánh Chi"/><s v="Lê Thị Ngọc"/><s v="Nguyễn Thế Hệ"/><s v="Hồ Thị Mỹ Ngân"/><s v="Hoàng Diệp Anh"/><s v="Nguyễn Nữ Thuỳ Tiên"/><s v="Lê Thị Phụng"/><s v="Vương Thúy Hậu"/><s v="Trần Thị Kim Liên"/><s v="Phạm Lâm"/><s v="Nguyễn Hoàng Vũ"/><s v="Vũ Thị Huế"/><s v="Lê Tuấn Vương"/><s v="Trần Thị Mỹ Duyên"/><s v="Mai Thị Vương"/><s v="Nguyễn Hà Kiều Dung"/><s v="Lê Thị Hà Linh"/><s v="Trần Thị Liên"/><s v="Đinh Nguyễn Long"/><s v="Vương Thị Thùy Giang"/><s v="Nguyễn Thị Linh Phương"/><s v="Hoàng Thị Hồng"/><s v="Triệu Xuân Chúc"/><s v="Nguyễn Thị Quỳnh Anh"/><s v="Trương Ngọc Hiến"/><s v="Vũ Thị Tùng Lâm"/><s v="Nguyễn Thị Anh Thư"/><s v="Nguyễn Thị Ngần"/><s v="Tô Lê Hoàng"/><s v="Nguyễn Yến Thương"/><s v="Nguyễn Xuân Công"/><s v="Cao Xuân Thịnh"/><s v="Vũ Hoài Nam"/><s v="Trịnh Văn Biển"/><s v="Hoàng Lê Anh Tuấn"/><s v="Trần Thu Trang"/><s v="Vũ Thúy An"/><s v="Phạm Thị Minh Vui"/><s v="Nguyễn Thị Hoàng Quy"/><s v="Nguyễn Danh Thành"/><s v="Vũ Trọng An"/><s v="Dương Thị Lan Hải"/><s v="Lê Thị Huyền Anh"/><s v="Đào Quang Sáng"/><s v="Khiếu Thị Thu Trang"/><s v="Đỗ Thị Huyền"/><s v="Trần Văn Bình"/><s v="Nguyễn Thị Quỳnh Mai"/><s v="Nguyễn Văn Ba"/><s v="Nguyễn Thị Mai Hồng"/><s v="Đinh Văn Hùng"/><s v="Phạm Lê An"/><s v="Võ Sỹ Kỳ"/><s v="Đỗ Việt Sơn"/><s v="Chu Trung Hiếu"/><s v="Đỗ Thị Thanh Thủy"/><s v="Bùi Thị Hải"/><s v="Ngô Thị Hồng"/><s v="Phạm Văn Khanh"/><s v="Trần Ngọc Linh"/><s v="Đỗ Thị Mỹ Dung"/><s v="Trương Thị Mỹ Vân"/><s v="Đặng Bình Nguyên"/><s v="Dương Khánh Huyền"/><s v="Vũ Thị Kim Cúc"/><s v="Hoàng Thị Khánh Huyền"/><s v="Trần Minh Phượng"/><s v="Nguyễn Thị Thanh Lam"/><s v="Lương Hà Trang"/><s v="Hoàng Đức Khiêm"/><s v="Nguyễn Việt Đức"/><s v="Dương Mỹ Hà"/><s v="Nguyễn Thị Lan Tiên"/><s v="Vũ Thủy Linh"/><s v="Nguyễn Minh Nguyệt"/><s v="Phạm Hồng Anh"/><s v="Đậu Thị Kiều Lục"/><s v="Nguyễn Thế Cường"/><s v="Lương Thị Thu Thủy"/><s v="Trần Văn Đoàn"/><s v="Trần Thị Diệu"/><s v="Nguyễn Phương Thanh"/><s v="Lưu Thị Ngọc Ánh"/><s v="Nguyễn Trung Anh Phụng"/><s v="Đoàn Thị Bích Ngọc"/><s v="Lê Trung Đức"/><s v="Lò Ngọc Ánh"/><s v="Bùi Thị Như Quỳnh"/><s v="Đỗ Thị Kim Liên"/><s v="Tôn Thị Hường"/><s v="Lê Thùy Mai Anh"/><s v="Hoàng Văn Thi"/><s v="Lưu Thị Lan Thương"/><s v="Bùi Thị Yến Nhi"/><s v="Trần Đức Thiện"/><s v="Tạ Thị Mỹ Hảo"/><s v="Nguyễn Thị Cần"/><s v="Nguyễn Hồng Khánh Vy"/><s v="Trần Như Minh"/><s v="Trần Hữu Nhã"/><s v="Trần Mai Dạ Hảo"/><s v="Nguyễn Thị Kim Thanh"/><s v="Nguyễn Văn Ánh"/><s v="Đinh Công Đoàn"/><s v="Phạm Thị Tuyến"/><s v="Lê Hồng Quang"/><s v="Trần Bích Ngọc"/><s v="Lê Thị Ni Ni"/><s v="Trần Thị Mỹ Hân"/><s v="Trần Thị Kim Hồng"/><s v="Đinh Văn Trường"/><s v="Ka Brối"/><s v="Nguyễn Bá Ngọc Quân"/><s v="Lữ Văn Tú"/><s v="Văn Thị Thủy Tiên"/><s v="Hoàng Thị Thùy Dương"/><s v="Nguyễn Đăng Khoa"/><s v="Nguyễn Bảo Long"/><s v="Đỗ Viết Giáp"/><s v="Nguyễn Ngọc Thanh Vy"/><s v="Nguyễn Thị Mỹ Thảo"/><s v="Hoàng Minh Phương"/><s v="Bùi Anh Tiến"/><s v="Hoàng Thị Bảo Ngọc"/><s v="Đỗ Duy Hảo"/><s v="Đoàn Chí Tài"/><s v="Nguyễn Thị Thùy Dung"/><s v="Hồ Xuân Danh"/><s v="Huỳnh Kim Thơ"/><s v="Phan Văn Tuấn"/><s v="Phạm Thị Nga"/><s v="Đoàn Thị Ngọc Hà"/><s v="Hoàng Thị Quỳnh Hoa"/><s v="Nguyễn Danh Sơn"/><s v="Trần Thị Thương"/><s v="Phạm Xuân Cường"/><s v="Hà Tường Vi"/><s v="Hoàng Thị Ngọc Bích"/><s v="Gia hạn HCM"/><s v="Gia hạn HAN"/><s v="Nguyễn Thanh Tuyền"/><s v="Hoàng Thị Quỳnh Thư"/><s v="Nghiêm Mạnh Cường"/><s v="Vũ Đức Huy"/><s v="Nguyễn Thị Ngà"/><s v="Lê Anh Tuân"/><s v="Hà Thanh Lụa"/><s v="Đinh Tuấn Anh"/><s v="Trần Thị Phương Anh"/><s v="Phạm Vũ Bình Mai"/><s v="Phùng Thanh Hải"/><s v="Nguyễn Hiền Toàn"/><s v="Lưu Nguyên Phú"/><s v="Lê Thị Phương Anh"/><s v="Nguyễn Quang Thanh"/><s v="Nguyễn Ngọc Trà My"/><s v="Hoàng Thị Thắm"/><s v="Đỗ Thị Kiều Liên"/><s v="Lê Thị Thảo Linh"/><s v="Đỗ Anh Tuấn"/><s v="Lê Quang Trưởng"/><s v="Đỗ Thị Dung"/><s v="Mai Thị Hằng"/><s v="Ngô Đức Kiên"/><s v="Nguyễn Thanh Thủy"/><s v="Đỗ Thị Nguyệt"/><s v="Ngô Tuấn Phong"/><s v="Nguyễn Thị Phương Quyên"/><s v="Trần Sơn Tùng"/><s v="Đỗ Thanh Tùng"/><s v="Vương Thị Lệ Thu"/><s v="Phan Đức Đạo"/><s v="Nguyễn Như Hiếu"/><s v="Vũ Hải Dương"/><s v="Phạm Thùy Dương"/><s v="Ngô Thị Thúy Huyền"/><s v="Nguyễn Đức Bình"/><s v="Trịnh Thị Tuyết Mỹ"/><s v="Nguyễn Thị Ngoan"/><s v="Vũ Trí Thức"/><s v="Phạm Đức Huy"/><s v="Dư Quốc Anh"/><s v="Nguyễn Phước Thịnh"/><s v="Trần Khánh Huy"/><s v="Nguyễn Thị Hà Trang"/><s v="Trần Đức Nguyện"/><s v="Hoàng Hồng Quyết"/><s v="Nguyễn Thị Diệu Thuần"/><s v="Đặng Nhật Anh"/><s v="Trần Thu Phương"/><s v="Nguyễn Thị Hân"/><s v="Lê Đình Hùng"/><s v="Hoàng Kim Tuyến"/><s v="Trần Quang Vinh"/><s v="Phạm Việt Anh"/><s v="Dương Thu Phương"/><s v="Thân Minh Hiếu"/><s v="Nguyễn Thị Thu Hằng"/><s v="Nguyễn Thị Tuyết Ngân"/><s v="Vũ Thị Uyên"/><s v="Phạm Thị Bích Ngọc"/><s v="Nguyễn Tuấn Cường"/><s v="Lê Thị Thu Thanh"/><s v="Bùi Thị Trang"/><s v="Đỗ Việt Hà"/><s v="Triệu Xuân Tùng"/><s v="Đỗ Quỳnh Anh"/><s v="Lữ Hồng Chương"/><s v="Nguyễn Xuân Hoàng"/><s v="Nguyễn Thị Hậu"/><s v="Trần Quang Cảnh"/><s v="Nguyễn Viết Long"/><s v="Hoàng Thị Thu Hà"/><s v="Hoàng Thị Tơ"/><s v="Mai Phục Viên"/><s v="Đặng Thị Van"/><s v="Nguyễn Hồng Hải"/><s v="Dương Văn Hiệp"/><s v="Đoàn Công Hậu"/><s v="Võ Lê Thị Tường Vy"/><s v="Edward Francis Sippel"/><s v="Nguyễn Thị Thanh Nhàn"/><s v="Trần Mai Nhung"/><s v="Đào Văn Trọng"/><s v="Đặng Giang Sơn"/><s v="Trần Thị Hương Trang"/><s v="Nguyễn Ngọc Thạo"/><s v="Nguyễn Minh Thắng"/><s v="Bạch Quốc Hùng"/><s v="Trương Trung Kiên"/><s v="Hoàng Gia Long"/><s v="Trần Thị Chung Phương"/><s v="Trần Duy Bá"/><s v="Nguyễn Huy Hảo"/><s v="Hoàng Hải Đông"/><s v="Phạm Thành Công"/><s v="Nguyễn Xuân Quang"/><s v="Phạm Hải Dương"/><s v="Hoàng Cẩm Tú"/><s v="Vương Ngọc Quân"/><s v="Khuất Quang Hoàng"/><s v="Nguyễn Thị Thu Uyên"/><s v="Phạm Thị Luyến"/><s v="Vũ Quang Phong"/><s v="Phạm Văn Linh"/><s v="Phạm Sơn Hải"/><s v="Vũ Đức Đông"/><s v="Phạm Quốc Bình"/><s v="Phạm Thị Chanh"/><s v="Nguyễn Đức Mạnh"/><s v="Đào Quang Duy"/><s v="Nguyễn Sơn Dương"/><s v="Lê Việt Hoàng"/><s v="Tạ Long Khánh"/><s v="Lê Hồng Phong"/><s v="Lưu Văn Thọ"/><s v="Nguyễn Văn Xuân"/><s v="Dương Thị Thảo"/><s v="Kiều Anh Dũng"/><s v="Lã Thanh Nam"/><s v="Nông Thị Thúy"/><s v="Ngô Việt Chung"/><s v="Phạm Như Quỳnh"/><s v="Lưu Thị Cẩm Nhung"/><s v="Lê Thị Ngọc Thảo"/><s v="Hồ Thị Kim Dung"/><s v="Dương Ngô Thắng"/><s v="Ma Thế Thiêm"/><s v="Nguyễn Thị Ngọc Mai"/><s v="Hoàng Trung Hiếu"/><s v="Vũ Thái Sơn"/><s v="Phí Thị Bích Ngọc"/><s v="Trịnh Văn Chiến"/><s v="Nguyễn Trọng Quý"/><s v="Phạm Văn Hải"/><s v="Vũ Thị Kiều Thu"/><s v="Bùi Mạnh Thắng"/><s v="Trần Việt Anh"/><s v="Trần Trọng Điển"/><s v="Hà Minh Trí"/><s v="Trần Thanh Dung"/><s v="Đàm Minh Giảng"/><s v="Nguyễn Tiến Thế"/><s v="Chu Thị Trang"/><s v="Lương Thị Hồng Ngọc"/><s v="Đỗ Mạnh Hà"/><s v="Lê Tú Oanh"/><s v="Chu Văn Mạnh"/><s v="Đỗ Trung Đức"/><s v="Phạm Anh Linh"/><s v="Trần Thế Kiên"/><s v="Hoàng Thu Hằng"/><s v="Phạm Việt Thắng"/><s v="Nguyễn Hoàng Sơn"/><s v="Bùi Long Hải"/><s v="Lê Thanh Tuấn"/><s v="Trương Thị Hải Yến"/><s v="Trần Thị Quỳnh Phương"/><s v="Nguyễn Lê Phương Thảo"/><s v="Bùi Thu Hằng"/><s v="Nguyễn Tuấn Tùng"/><s v="Nguyễn Bảo Tín"/><s v="Đặng Xuân Hoàng"/><s v="Bạch Hoàng Việt"/><s v="Nguyễn Thị Thanh Huyền"/><s v="Đinh Thị Thảo"/><s v="Bùi Đức Trường"/><s v="Nguyễn Kim Ngân"/><s v="Đỗ Thị Thanh Trà"/><s v="Đỗ Thị Huế"/><s v="Đặng Lê Huy"/><s v="Đặng Thị Nga"/><s v="Nguyễn Huy Hùng"/><s v="Đỗ Đình Hưng"/><s v="Vũ Mạnh Quang"/><s v="Nguyễn Công Bảo"/><s v="Nguyễn Thị Huệ"/><s v="Trần Văn Thái"/><s v="Nguyễn Tiến Chuyền"/><s v="Trần Cảnh Dương"/><s v="Nguyễn Quang Trung"/><s v="Bùi Khánh Ngọc Anh"/><s v="Đặng Thị Thúy Chang"/><s v="Trịnh Thu Uyên"/><s v="Nguyễn Hà Minh Anh"/><s v="Phạm Văn Hoàng"/><s v="Trần Thị Sim"/><s v="Nguyễn Kiều Thành Công"/><s v="Nguyễn Ngọc Diệp"/><s v="Cao Văn Cường"/><s v="Nguyễn Mạnh Thắng"/><s v="Nguyễn Thị Mây"/><s v="Trịnh Bảo Ngọc"/><s v="Nguyễn Minh Tuân"/><s v="Nguyễn Huy Hoàng"/><s v="Nông Thị Diễm"/><s v="Lê Hữu Tiến Dũng"/><s v="Lê Quý Nhật"/><s v="Bùi Doãn Hiếu"/><s v="Lê Châu Anh"/><s v="Trương Thị Kim Nhung"/></sharedItems></cacheField><cacheField name="Vị trí công việc" numFmtId="0"><sharedItems><s v="NV Tư vấn bán hàng"/><s v="Trợ lý C&amp;B"/><s v="NV Xúc tiến"/><s v="NV Digital Marketing"/><s v="HR Tuyển dụng"/><s v="NV phân tích nghiệp vụ"/><s v="QL thi công"/><s v="Lập trình viên"/><s v="Trưởng nhóm lập trình"/><s v="NV chuyển giao"/><s v="NV kiểm soát chất lượng"/><s v="Giám đốc sản phẩm"/><s v="NV Tư vấn"/><s v="NV An ninh thông tin"/><s v="Giám đốc Truyền thông"/><s v="NV thiết kế"/><s v="NV Hỗ trợ kỹ thuật"/><s v="NV nghiên cứu và phát triển công nghệ"/><s v="Trưởng nhóm chuyển giao"/><s v="NV Tư vấn bán hàng (chuyển đổi)"/><s v="Quản lý kinh doanh (bán thêm)"/><s v="NV Quản lý khách hàng"/><s v="Quản lý kinh doanh"/><s v="Trưởng phòng bán thêm"/><s v="NV kinh doanh mạng lưới"/><s v="NV triển khai và CSKH"/><s v="NV Đào tạo sản phẩm"/><s v="Trưởng phòng Triển khai và CSKH"/><s v="Trưởng nhóm Triển khai và CSKH"/><s v="Trưởng phòng Kinh doanh"/><s v="Trưởng nhóm Kinh doanh"/><s v="Q. Giám đốc TTKD"/><s v="Q. Phó giám đốc TTKD"/><s v="Trưởng phòng chuyển giao"/><s v="Quản lý kinh doanh (chuyển đổi)"/><s v="Q. Quản lý kinh doanh"/><s v="Trưởng phòng KD phát triển mạng lưới"/><s v="HRBP"/><s v="NV phát triển kinh doanh"/><s v="NV PR"/><s v="NV Quản trị mạng"/><s v="Kế toán tổng hợp"/><s v="Kế toán bán hàng"/><s v="NV hỗ trợ bán hàng trực tuyến"/><s v="Giám đốc TTKD"/><s v="Trưởng nhóm SEO"/><s v="NV Nhân sự"/><s v="NV Nghiên cứu thị trường và SP"/><s v="NV lái xe"/><s v="Trợ lý Tuyển dụng"/><s v="NV Hỗ trợ khách hàng"/><s v="NV CSKH"/><s v="NV phát triển khách hàng"/><s v="NV Truyền thông thương hiệu"/><s v="Q. Quản lý kinh doanh (bán thêm)"/><s v="Trưởng nhóm Tư vấn&amp;HTKH"/><s v="Thiết kế trưởng"/><s v="Trưởng nhóm DevOps"/><s v="Nhân viên Marketing"/><s v="QC trưởng"/><s v="QL phân tích thiết kế"/><s v="NV kiểm thử tự động"/><s v="Q. Trưởng nhóm KD Dự án TW"/><s v="NV hướng dẫn chuyển giao"/><s v="NV Tư vấn đào tạo trực tuyến"/><s v="Trưởng ban PTKD"/><s v="TTS Đào tạo"/><s v="NV QL thành công khách hàng"/><s v="Trưởng phòng CSKH"/><s v="Q. Trưởng nhóm CSKH"/><s v="SysOps"/><s v="TTS Tuyển dụng"/><s v="NV Triển khai"/><s v="NV Hành chính tổng hợp"/><s v="NV phát triển đối tác"/><s v="NV Marketing Support"/><s v="NV Đảm bảo chất lượng"/><s v="NV KD Phát triển thị trường nước ngoài"/><s v="Q. Giám đốc khối"/><s v="NV Nội dung (Content Creator)"/><s v="Kiến trúc sư"/><s v="NV Content Marketing"/><s v="Trưởng nhóm kiểm soát chất lượng"/><s v="DevOps"/><s v="NV Quản trị hệ thống"/><s v="Phó Giám đốc khối"/><s v="Trưởng nhóm thiết kế"/><s v="Trưởng nhóm Hỗ trợ kỹ thuật"/><s v="Trưởng nhóm hướng dẫn chuyển giao"/><s v="Kiến trúc sư trưởng"/><s v="Phụ trách kế toán"/><s v="Phó phòng Quản trị hệ thống"/><s v="Q. Giám đốc thiết kế"/><s v="Phó phòng QA"/><s v="Trưởng phòng PR"/><s v="Q. Giám đốc thi công"/><s v="Trưởng ban Phát triển đối tác"/><s v="Trưởng phòng QTNNL"/><s v="Phó ban CNTT"/><s v="Trưởng nhóm phân tích nghiệp vụ"/><s v="HR Đào tạo"/><s v="DBO trưởng"/><s v="NV Phân tích dữ liệu"/><s v="Giám đốc vận hành"/><s v="Trợ lý"/><s v="Giám đốc sản phẩm Khối"/><s v="Trưởng phòng HCTH"/><s v="Quản lý thi công nền tảng"/><s v="Trưởng phòng Quản trị hệ thống"/><s v="Giám đốc An ninh thông tin"/><s v="Trưởng nhóm nghiên cứu TT&amp;SP"/><s v="Viện trưởng viện công nghệ"/><s v="Giám đốc sản phẩm Nhóm"/><s v="Trưởng ban CNTT"/><s v="Q. Giám đốc trung tâm"/><s v="NV Điều phối nội dung"/><s v="Trợ lý Quan hệ lao động"/><s v="Phó phòng QTNNL"/><s v="Chủ tịch HĐQT"/><s v="Phó giám đốc TTKD"/><s v="NV Thẩm định CTS"/><s v="Giám đốc Văn phòng"/><s v="NV Multimedia"/><s v="Phó Tổng Giám Đốc"/><s v="NV Tư vấn cộng đồng"/><s v="Nhân viên Giám sát vận hành"/><s v="Giám đốc Đào tạo"/><s v="PGĐVP phụ trách KD"/><s v="Nhân viên Sale Support"/><s v="Phó phòng PTSP"/><s v="Nhân viên HR tổng hợp"/><s v="Kế toán công nợ"/><s v="Trưởng nhóm Tư vấn đào tạo trực tuyến"/><s v="Trưởng nhóm Tư vấn cộng đồng"/><s v="Trưởng nhóm CSKH"/><s v="Trưởng phòng Tư vấn&amp;HTKH"/><s v="Trưởng phòng Tư vấn chủ động"/><s v="NV Tư vấn bán hàng (AE)"/><s v="Giám đốc Dự án"/><s v="NV Kế toán"/><s v="Trưởng phòng kế toán"/><s v="Nhân viên lễ tân"/><s v="NV Truyền thông và Marketing"/><s v="Phó phòng Triển khai và CSKH"/><s v="Q. Trưởng nhóm chuyển giao"/><s v="Trợ lý Đào tạo"/><s v="Q. GĐ DVNS"/><s v="GĐKD Chuyển đổi số"/><s v="Q. Giám đốc nền tảng QL giáo dục MISA EMIS"/><s v="NV bảo vệ"/><s v="NV SEO"/><s v="Trợ lý kinh doanh"/><s v="Quản lý Marketing Automation"/><s v="Quản lý Marketing Sản phẩm"/><s v="Trưởng nhóm Digital Marketing"/><s v="NV Social Media"/><s v="Phó giám đốc Trung tâm KD Online"/><s v="Trưởng nhóm MDR"/><s v="NV điều phối sự kiện"/><s v="Phó giám đốc Trung tâm KD Online (phụ trách chuyên môn)"/><s v="NV Email Marketing"/><s v="Q. Giám đốc Trung tâm KD Online"/><s v="Q. Phó Giám đốc khối"/><s v="Q. PGĐVP phụ trách KD"/><s v="HR C&amp;B"/><s v="Kế toán thanh toán"/><s v="Phó phòng PR"/><s v="HR Quan hệ lao động"/><s v="Gia hạn HCM"/><s v="Gia hạn HAN"/><s v="Q. Trưởng phòng phát triển đối tác"/><s v="Kiểm soát tài chính"/><s v="Trưởng ban Đảm bảo chất lượng"/><s v="NV quản trị trải nghiệm khách hàng"/><s v="NV Truyền thông nội bộ"/><s v="Chánh Văn phòng"/><s v="NV pháp chế"/><s v="Trưởng phòng KD Thị trường nước ngoài"/><s v="Trưởng ban C&amp;B"/><s v="PGĐVP phụ trách BO"/><s v="NV tư vấn triển khai phần mềm quốc tế"/><s v="Phó giám đốc JETPAY"/><s v="Nhân viên HR"/><s v="Tổng Giám đốc"/><s v="Giám đốc Tài chính"/><s v="Trợ lý kế hoạch đầu tư"/><s v="Trưởng phòng Kế hoạch đầu tư"/><s v="Kế toán trưởng"/><s v="Thư ký chủ tịch HĐQT"/><s v="Chuyên viên nghiên cứu thị trường"/><s v="Q. Trưởng phòng chăm sóc đối tác"/><s v="Giám đốc MISA ASP"/><s v="Trưởng ban pháp chế"/><s v="GĐTT Tư vấn&amp;HTKH"/><s v="Phó Chủ tịch HĐQT"/><s v="Trưởng phòng Hỗ trợ kỹ thuật"/><s v="Trưởng nhóm kiểm thử tự động"/><s v="Trưởng ban ANTT"/><s v="Phó phòng HCTH"/></sharedItems></cacheField><cacheField name="Đơn vị công tác" numFmtId="0"><sharedItems><s v="Phòng Bán thêm GP Ký điện tử"/><s v="Phòng KD MISA AMIS kế toán 2"/><s v="Phòng KD MISA AMIS kế toán 1"/><s v="Phòng KD MISA AMIS bán hàng 1"/><s v="Ban nhân sự"/><s v="Nhóm KD HCSN 06"/><s v="Nhóm KD bán thêm GP hóa đơn điện tử"/><s v="Nhóm MKT Bán lẻ"/><s v="Phòng Quản trị nguồn nhân lực"/><s v="Phòng bán thêm GP HĐĐT 01"/><s v="Phòng KD bán mới ESHOP 1"/><s v="Phòng KD MISA AMIS điều hành"/><s v="Phòng KD bán mới KTDN 3"/><s v="Phòng KD bán mới KTDN 8"/><s v="Phòng KD bán mới KTDN 4"/><s v="Phòng bán thêm GP KTDN 02"/><s v="Phòng KD MISA AMIS nhân sự"/><s v="[meInvoice - Xăng dầu] Nhóm Phân tích &amp; Thiết kế"/><s v="Dự án MISA meInvoice - Xăng dầu"/><s v="Dự án AMIS Platform Core"/><s v="[AMIS Platform Core] Nhóm Phân tích &amp; Thiết kế"/><s v="Phòng chuyển giao"/><s v="Phòng bán thêm GP KTDN 01"/><s v="Phòng bán thêm GP HĐĐT 03"/><s v="Phòng bán thêm GP HĐĐT 02"/><s v="Dự án EMIS Mầm non"/><s v="[eShop TTVN] Nhóm Phân tích &amp; Thiết kế"/><s v="Nhóm Tư vấn MISA 09"/><s v="Ban An ninh thông tin"/><s v="Ban giám đốc truyền thông"/><s v="Dự án MISA SalaGov"/><s v="[EMIS Ngoài công lập] Nhóm Phân tích và Thiết kế"/><s v="Phòng Hỗ trợ kỹ thuật"/><s v="Dự án AI"/><s v="Nhóm chuyển giao giải pháp KTDN"/><s v="Nhóm chuyển giao giải pháp hóa đơn điện tử"/><s v="Phòng KD MEI Dự án"/><s v="Phòng KD chuyển đổi 02"/><s v="Phòng KD GPKT HKD 01"/><s v="Phòng KD bán mới CUKCUK 1"/><s v="Phòng KD bán mới CUKCUK 3"/><s v="Nhóm Quản lý khách hàng 2"/><s v="Nhóm bán thêm AMIS Nhân sự 2"/><s v="Nhóm chuyển giao"/><s v="Phòng KD bán mới ESHOP 2"/><s v="Nhóm bán thêm AMIS bán hàng 2"/><s v="Phòng KD bán thêm 03"/><s v="Nhóm bán thêm AMIS bán hàng 1"/><s v="Nhóm Quản lý khách hàng 1"/><s v="Nhóm bán thêm AMIS nhân sự 1"/><s v="Nhóm bán thêm AMIS điều hành 1"/><s v="Phòng KD bán mới KTDN 5"/><s v="Phòng KD bán mới KTDN 7"/><s v="Phòng kinh doanh mạng lưới"/><s v="Nhóm Triển khai &amp; CSKH 04"/><s v="Phòng KD bán mới KTDN 1"/><s v="Phòng Triển khai &amp; CSKH 02"/><s v="Nhóm Triển khai &amp; CSKH 03"/><s v="Nhóm Triển khai &amp; CSKH 02"/><s v="Nhóm Triển khai &amp; CSKH 01"/><s v="Nhóm KD HCSN 04"/><s v="Nhóm KD DA TW"/><s v="Nhóm KD HCSN 07"/><s v="Nhóm KD HCSN 05"/><s v="Nhóm KD HCSN 09"/><s v="Phòng KD HCSN 04"/><s v="Phòng Triển khai &amp; CSKH 01"/><s v="Nhóm KD HCSN 08"/><s v="Nhóm KD HCSN 03"/><s v="Nhóm KD HCSN 02"/><s v="Ban giám đốc TTKD GP Bán lẻ"/><s v="Nhóm chuyển giao GP KTDN"/><s v="Nhóm chuyển giao GP Hóa đơn điện tử"/><s v="Phòng KD Meinvoice Dự án"/><s v="Phòng KD chuyển đổi 2"/><s v="Phòng bán thêm GP HĐĐT 3"/><s v="Phòng bán thêm GP HĐĐT 2"/><s v="Phòng bán thêm GP HĐĐT 1"/><s v="Phòng bán thêm GP KTDN 1"/><s v="Phòng bán thêm GP KTDN 2"/><s v="Phòng KD HDDT"/><s v="Nhóm Quản lý khách hàng"/><s v="Phòng KD bán mới CUKCUK 2"/><s v="Nhóm bán thêm AMIS nhân sự"/><s v="Nhóm bán thêm AMIS kế toán"/><s v="Nhóm bán thêm AMIS bán hàng"/><s v="Nhóm bán thêm AMIS điều hành"/><s v="Phòng KD MISA AMIS kế toán 3"/><s v="Phòng KD bán mới KTDN 6"/><s v="Phòng KD bán mới KTDN 2"/><s v="Ban phát triển kinh doanh"/><s v="Nhóm KD HCSN 01"/><s v="Phòng Quan hệ cộng đồng"/><s v="Phòng Hành chính tổng hợp"/><s v="Phòng Kế toán"/><s v="Phòng KD GPKT 02"/><s v="Phòng KD GPKT HKD"/><s v="Nhóm MDR"/><s v="Phòng KD GPKT 01"/><s v="Phòng KD Ký điện tử"/><s v="Phòng KD HDDT, HKD, KDT"/><s v="Dự án Quản lý cửa hàng thời trang (TTVN)"/><s v="Ban giám đốc TTKD Bán thêm"/><s v="Dự án AMIS weSign"/><s v="Dự án AMIS Operation"/><s v="Dự án iVAN"/><s v="Dự án Quản lý ngân sách nhà nước BUMAS Địa phương"/><s v="Trung tâm KD Online"/><s v="Nhóm KD bán thêm GP KTDN"/><s v="Nhóm GPKT HKD"/><s v="Phòng KD Giải pháp KTDN 01"/><s v="Nhóm KD Mạng lưới"/><s v="Nhóm triển khai và CSKH"/><s v="Nhóm KD GPDN vừa"/><s v="Nhóm Tư vấn MISA 05"/><s v="Dự án CukCuk W&amp;D (TT Philippines)"/><s v="Ban Nghiên cứu thị trường &amp; Sản phẩm"/><s v="Nhóm Tư vấn MISA 12"/><s v="Phòng KD Giải pháp KTDN 02"/><s v="Dự án MISA Core Project"/><s v="[Cukcuk TTVN] Nhóm Phân tích &amp; Thiết kế"/><s v="Dự án Cukcuk W&amp;D (TTVN)"/><s v="Dự án AMIS CRM (KH)"/><s v="Nhóm KD CUKCUK &amp; ESHOP"/><s v="Phòng HCTH"/><s v="Nhóm CS 01"/><s v="Nền tảng QLGD MISA EMIS"/><s v="Ban phát triển MISA ASP"/><s v="[EMIS Công lập] Nhóm Phân tích và Thiết kế"/><s v="Nhóm Tư vấn MISA 10"/><s v="[MISA QLCB] Nhóm Phân tích &amp; Thiết kế"/><s v="[AMIS HRM MISA] Nhóm Phân tích &amp; Thiết kế"/><s v="Dự án AMIS.VN Mobile"/><s v="Dự án EMIS Công lập"/><s v="Nhóm kinh doanh HCSN"/><s v="Dự án MISA Lending Platform"/><s v="Phòng Phát triển sản phẩm"/><s v="Dự án JETPAY"/><s v="Nhóm KD sản phẩm Lending"/><s v="[Lending] Nhóm phân tích thiết kế"/><s v="Dự án Automation Test"/><s v="[AMIS Kế toán] Nhóm Phân tích &amp; Thiết kế"/><s v="[C&amp;B] Nhóm Phân tích &amp; Thiết kế"/><s v="Nhóm bán thêm AMIS nhân sự 3"/><s v="Nhóm Tư vấn MISA 01"/><s v="Dự án QLTS.VN"/><s v="Nhóm CS 06"/><s v="Phòng nghiên cứu công nghệ"/><s v="Dự án EMIS Mobile"/><s v="Nhóm CS 04"/><s v="Nhóm Tư vấn MISA 11"/><s v="Nhóm Tư vấn MISA 07"/><s v="Nhóm MKT Tài chính - kế toán"/><s v="Phòng KD Giải pháp bán lẻ"/><s v="Dự án chuyển đổi kế toán MISA"/><s v="[QLTS] Nhóm Phân tích &amp; Thiết kế"/><s v="[Automation Support] Nhóm Phân tích và Thiết kế"/><s v="Dự án AMIS Kế toán"/><s v="[SalaGov] Nhóm Phân tích &amp; Thiết kế"/><s v="Nhóm Tư vấn MISA 14"/><s v="Phòng CS 02"/><s v="Nhóm CS 03"/><s v="Dự án giám sát"/><s v="Dự án Cukcuk W&amp;D (TTNN)"/><s v="Sản phẩm QTKD Mobile"/><s v="Nhóm Xúc tiến"/><s v="Nhóm CS 02"/><s v="Dự án AMIS Đánh giá"/><s v="Nhóm bán thêm AMIS kế toán 2"/><s v="Dự án MISA Automation Support"/><s v="Nhóm KD bán thêm chuyển đổi giải pháp KTDN"/><s v="Phòng KD HCSN 01"/><s v="Phòng KD HCSN 02"/><s v="Nhóm quản lý khách hàng 3"/><s v="Phòng KD GP DN lớn"/><s v="Nhóm bán thêm AMIS điều hành 3"/><s v="Nhóm bán thêm AMIS bán hàng 3"/><s v="Phòng KD HCSN 03"/><s v="Phòng KD bán thêm 01"/><s v="Nhóm bán thêm AMIS kế toán 1"/><s v="Nhóm bán thêm AMIS Điều hành 2"/><s v="Phòng KD bán thêm 02"/><s v="Nhóm bán thêm AMIS kế toán 3"/><s v="Nhóm Tư vấn MISA 03"/><s v="[MISA ASP] Nhóm Phân tích &amp; Thiết kế"/><s v="Dự án MISA Bamboo Online"/><s v="Phòng Phát triển thị trường nước ngoài"/><s v="Ban đảm bảo chất lượng"/><s v="Dự án MISA MIMOSA Online"/><s v="Dự án Customize KH DN lớn"/><s v="[BUMAS Địa phương] Nhóm Phân tích &amp; Thiết kế"/><s v="Dự án CukCuk Mobile TTVN"/><s v="Dự án EMIS Core Platform"/><s v="[Data Analytics] Nhóm Phân tích và Thiết kế"/><s v="Sản phẩm Automation Marketing"/><s v="Dự án AMIS CRM (MISA)"/><s v="Dự án CukCuk Mobile TT Mỹ"/><s v="Nhóm Tư vấn MISA 06"/><s v="Ban Giám đốc Khối SP Doanh nghiệp"/><s v="Sản phẩm MISA QLCB"/><s v="Nhóm chuyển giao GPKT"/><s v="Nhóm Tư vấn MISA 13"/><s v="Nhóm bài viết"/><s v="[Automation Sales] Nhóm Phân tích và Thiết kế"/><s v="Sản phẩm MISA eSign"/><s v="Nhóm MKT HDDT, thuế TNCN"/><s v="Dự án MISA meInvoice"/><s v="Dự án MISA Automation Sales"/><s v="Dự án MISA CeGov"/><s v="Dự án MISA Customer Profile"/><s v="Dự án MISA SUMAN"/><s v="Phòng Đảm bảo chất lượng"/><s v="Dự án MISA invoiceBot"/><s v="Nhóm chuyên gia Khối SP Doanh nghiệp"/><s v="Dự án Tổng hợp báo cáo tài chính HCSN (LEKIMA)"/><s v="[AMIS CRM KH] Nhóm Phân tích &amp; Thiết kế"/><s v="Phòng Quản trị hệ thống"/><s v="Dự án MISA ASP"/><s v="Dự án AMIS C&amp;B"/><s v="Ban Giám đốc Khối SP HCSN"/><s v="Dự án Mimosa.NET"/><s v="Sản phẩm iVAN"/><s v="Nhóm chuyên gia Ban CNTT"/><s v="Dự án Cukcuk W&amp;D (TT Mỹ)"/><s v="Dự án AMIS TMS"/><s v="[MISA meInvoice] Nhóm Phân tích &amp; Thiết kế"/><s v="Dự án MISA meInvoice Desktop"/><s v="Dự án MISA Order"/><s v="[AMIS Operation] Nhóm Phân tích &amp; Thiết kế"/><s v="Sản phẩm MISA EMIS"/><s v="Nhóm chuyên gia Khối Nền tảng GD"/><s v="Nhóm chuyên gia Khối SP HCSN"/><s v="[AMIS QLTS] Nhóm Phân tích &amp; Thiết kế"/><s v="Dự án Websites"/><s v="Sản phẩm AMIS Operation"/><s v="Ban Giám đốc Khối sản xuất"/><s v="[Cukcuk TTNN] Nhóm Phân tích &amp; Thiết kế"/><s v="Sản phẩm MISA meInvoice"/><s v="Sản phẩm MISA Bamboo Online"/><s v="[iVAN] Nhóm Phân tích &amp; Thiết kế"/><s v="Dự án MISA QLCB"/><s v="Dự án MISA eSign"/><s v="[AMIS Mua hàng] Nhóm Phân tích &amp; Thiết kế"/><s v="[AMIS TMS] Nhóm Phân tích &amp; Thiết kế"/><s v="[Bamboo Online] Nhóm Phân tích &amp; Thiết kế"/><s v="Dự án MISA TaskGo"/><s v="[MISA eSign] Nhóm Phân tích và Thiết kế"/><s v="Sản phẩm MISA ASP"/><s v="Dự án MISA eSign Mobile"/><s v="Dự án AMIS HRM MISA"/><s v="[AMIS weSign] Nhóm Phân tích và Thiết kế"/><s v="Dự án MISA MoneyKeeper"/><s v="Dự án MISA TaskGo 2"/><s v="Ban Phát triển đối tác"/><s v="[MIMOSA Online] Nhóm Phân tích và Thiết kế"/><s v="Ban Giám đốc - Ban CNTT"/><s v="Dự án AMIS Kế toán (HKD)"/><s v="[AMIS Kế toán HKD] Nhóm Phân tích &amp; Thiết kế"/><s v="Sản phẩm AMIS Kế toán (HKD)"/><s v="Nhóm chuyên gia Khối SP Hộ cá thể"/><s v="[AMIS CRM MISA] Nhóm Phân tích &amp; Thiết kế"/><s v="Ban Giám đốc Văn phòng SX"/><s v="Dự án AMIS Quản lý Tài sản"/><s v="[MISA Panda Online] Nhóm Phân tích &amp; Thiết kế"/><s v="Ban giám đốc Viện công nghệ"/><s v="Trung tâm chuyển giao"/><s v="Hội đồng Quản trị"/><s v="Ban giám đốc"/><s v="Ban Quản lý chứng thư số"/><s v="Ban Giám đốc Văn phòng"/><s v="Ban Tổng giám đốc"/><s v="Nhóm Tư vấn MISA 02"/><s v="Phòng KD bán thêm"/><s v="Nhóm KD HCSN"/><s v="Phòng KD bán thêm 1"/><s v="Nhóm Tư vấn MISA 04"/><s v="Phòng Giám sát vận hành"/><s v="Nhóm CS 05"/><s v="Nhóm triển khai và chăm sóc khách hàng"/><s v="Ban giám đốc VP"/><s v="Nhóm MKT Bán hàng"/><s v="Phòng Tư vấn MISA 03"/><s v="Phòng Tư vấn MISA 01"/><s v="Phòng CS 03"/><s v="Phòng Tư vấn MISA 04"/><s v="Phòng Tư vấn MISA 02"/><s v="Nhóm KD sản phẩm Bankhub"/><s v="Ban giám đốc TT Kinh doanh Hành chính sự nghiệp"/><s v="Nhóm kỹ thuật và hỗ trợ"/><s v="Nhóm chuyển giao GP bán lẻ"/><s v="Nhóm chuyển giao HDDT"/><s v="Nhóm KD bán thêm chuyển đổi KTDN"/><s v="Ban Giám đốc Trung tâm HCSN"/><s v="Phòng Triển khai &amp; CSKH"/><s v="Phòng KD bán thêm 2"/><s v="Nhóm KD bán thêm chuyển đổi GP KTDN"/><s v="Phòng Kinh doanh Hành chính sự nghiệp"/><s v="Nhóm MKT Điều hành"/><s v="Ban Quản lý kinh doanh"/><s v="Nhóm MKT Automation"/><s v="Nhóm MKT Quản trị nhân sự"/><s v="Ban GĐ TTKD Online"/><s v="Nhóm MKT Giải pháp Ký điện tử"/><s v="Nhóm HCTH"/><s v="[AI] Nhóm Phân tích và Thiết kế"/><s v="Khối KD khách hàng cá nhân"/><s v="Ban giám đốc TTKD GP KTDN"/><s v="Phòng Kế hoạch đầu tư"/><s v="Ban Pháp chế"/><s v="Phòng CS 01"/><s v="Ban Giám đốc TTKD DN Lớn"/><s v="Ban điều hành"/><s v="Ban Giám đốc TT TV&amp;HTKH"/><s v="[MIMOSA] Nhóm Phân tích &amp; Thiết kế"/><s v="Dự án Quản lý cửa hàng Mobile (TTVN)"/><s v="[AMIS Đánh giá] Nhóm Phân tích &amp; Thiết kế"/><s v="Ban giám đốc Khối DA Hộ cá thể"/><s v="Sản phẩm QLTS.VN"/></sharedItems></cacheField><cacheField name="Ngày thử việc" numFmtId="166"><sharedItems containsDate="1" containsString="0" containsBlank="1"><d v="2024-05-02T00:00:00Z"/><d v="2022-04-18T00:00:00Z"/><d v="2021-06-19T00:00:00Z"/><d v="2024-05-06T00:00:00Z"/><d v="2024-05-13T00:00:00Z"/><d v="2024-04-25T00:00:00Z"/><d v="2024-04-19T00:00:00Z"/><d v="2024-04-17T00:00:00Z"/><d v="2024-04-15T00:00:00Z"/><d v="2024-04-09T00:00:00Z"/><d v="2024-04-08T00:00:00Z"/><d v="2024-04-03T00:00:00Z"/><d v="2024-04-01T00:00:00Z"/><d v="2022-06-20T00:00:00Z"/><d v="2019-09-13T00:00:00Z"/><d v="2021-05-28T00:00:00Z"/><d v="2022-08-11T00:00:00Z"/><d v="2021-08-23T00:00:00Z"/><d v="2018-05-21T00:00:00Z"/><d v="2019-05-20T00:00:00Z"/><d v="2022-09-15T00:00:00Z"/><d v="2024-05-03T00:00:00Z"/><d v="2021-01-01T00:00:00Z"/><d v="2022-12-01T00:00:00Z"/><d v="2010-12-01T00:00:00Z"/><d v="2022-08-25T00:00:00Z"/><d v="2024-04-16T00:00:00Z"/><d v="2022-05-31T00:00:00Z"/><d v="2021-12-13T00:00:00Z"/><d v="2019-12-10T00:00:00Z"/><d v="2019-10-24T00:00:00Z"/><d v="2019-06-01T00:00:00Z"/><d v="2023-08-16T00:00:00Z"/><d v="2023-08-02T00:00:00Z"/><d v="2023-04-22T00:00:00Z"/><d v="2023-03-28T00:00:00Z"/><d v="2022-12-19T00:00:00Z"/><d v="2022-10-14T00:00:00Z"/><d v="2022-05-04T00:00:00Z"/><d v="2022-04-08T00:00:00Z"/><d v="2022-03-12T00:00:00Z"/><d v="2019-04-02T00:00:00Z"/><d v="2020-09-22T00:00:00Z"/><d v="2019-01-02T00:00:00Z"/><d v="2016-10-18T00:00:00Z"/><d v="2017-10-09T00:00:00Z"/><d v="2018-04-12T00:00:00Z"/><d v="2014-04-16T00:00:00Z"/><d v="2020-03-25T00:00:00Z"/><d v="2023-09-05T00:00:00Z"/><d v="2023-07-25T00:00:00Z"/><d v="2023-07-10T00:00:00Z"/><d v="2023-06-19T00:00:00Z"/><d v="2023-06-02T00:00:00Z"/><d v="2023-02-21T00:00:00Z"/><d v="2022-07-29T00:00:00Z"/><d v="2019-11-08T00:00:00Z"/><d v="2021-04-06T00:00:00Z"/><d v="2021-03-19T00:00:00Z"/><d v="2019-09-30T00:00:00Z"/><d v="2023-03-09T00:00:00Z"/><d v="2023-02-23T00:00:00Z"/><d v="2019-05-25T00:00:00Z"/><d v="2019-06-24T00:00:00Z"/><d v="2021-04-12T00:00:00Z"/><d v="2021-02-18T00:00:00Z"/><d v="2017-12-11T00:00:00Z"/><d v="2020-10-27T00:00:00Z"/><d v="2017-08-14T00:00:00Z"/><d v="2023-01-16T00:00:00Z"/><d v="2022-07-12T00:00:00Z"/><d v="2022-06-22T00:00:00Z"/><d v="2022-05-18T00:00:00Z"/><d v="2022-06-01T00:00:00Z"/><d v="2022-03-09T00:00:00Z"/><d v="2022-01-11T00:00:00Z"/><d v="2021-07-01T00:00:00Z"/><d v="2020-03-02T00:00:00Z"/><d v="2020-12-14T00:00:00Z"/><d v="2019-01-11T00:00:00Z"/><d v="2017-03-02T00:00:00Z"/><d v="2019-04-25T00:00:00Z"/><d v="2020-12-01T00:00:00Z"/><d v="2019-06-27T00:00:00Z"/><d v="2021-01-21T00:00:00Z"/><d v="2022-07-04T00:00:00Z"/><d v="2020-08-01T00:00:00Z"/><d v="2018-06-05T00:00:00Z"/><d v="2023-05-19T00:00:00Z"/><d v="2023-04-03T00:00:00Z"/><d v="2023-03-06T00:00:00Z"/><d v="2023-03-03T00:00:00Z"/><d v="2023-02-27T00:00:00Z"/><d v="2023-02-17T00:00:00Z"/><d v="2022-12-02T00:00:00Z"/><d v="2022-11-21T00:00:00Z"/><d v="2022-10-28T00:00:00Z"/><d v="2022-02-24T00:00:00Z"/><d v="2021-12-01T00:00:00Z"/><d v="2022-02-08T00:00:00Z"/><d v="2022-02-10T00:00:00Z"/><d v="2021-03-05T00:00:00Z"/><d v="2020-10-31T00:00:00Z"/><d v="2020-12-23T00:00:00Z"/><d v="2020-11-16T00:00:00Z"/><d v="2021-04-23T00:00:00Z"/><d v="2023-01-30T00:00:00Z"/><d v="2023-01-03T00:00:00Z"/><d v="2022-12-29T00:00:00Z"/><d v="2022-09-22T00:00:00Z"/><d v="2022-07-01T00:00:00Z"/><d v="2022-08-01T00:00:00Z"/><d v="2022-05-27T00:00:00Z"/><d v="2020-06-01T00:00:00Z"/><d v="2019-05-03T00:00:00Z"/><d v="2015-08-03T00:00:00Z"/><d v="2018-08-27T00:00:00Z"/><d v="2021-07-21T00:00:00Z"/><d v="2017-02-06T00:00:00Z"/><d v="2011-08-16T00:00:00Z"/><d v="2019-07-09T00:00:00Z"/><d v="2020-06-11T00:00:00Z"/><d v="2023-05-17T00:00:00Z"/><d v="2023-04-01T00:00:00Z"/><d v="2022-11-28T00:00:00Z"/><d v="2022-10-17T00:00:00Z"/><d v="2022-08-13T00:00:00Z"/><d v="2022-04-13T00:00:00Z"/><d v="2019-09-26T00:00:00Z"/><d v="2010-12-15T00:00:00Z"/><d v="2011-05-11T00:00:00Z"/><d v="2023-10-04T00:00:00Z"/><d v="2021-06-01T00:00:00Z"/><d v="2017-03-07T00:00:00Z"/><d v="2017-08-29T00:00:00Z"/><d v="2013-06-16T00:00:00Z"/><d v="2015-05-25T00:00:00Z"/><d v="2019-12-09T00:00:00Z"/><d v="2021-08-01T00:00:00Z"/><d v="2017-05-18T00:00:00Z"/><d v="2018-09-27T00:00:00Z"/><d v="2020-09-21T00:00:00Z"/><d v="2003-07-08T00:00:00Z"/><d v="2019-05-14T00:00:00Z"/><d v="2009-03-16T00:00:00Z"/><d v="2016-10-19T00:00:00Z"/><d v="2019-03-09T00:00:00Z"/><d v="2018-01-09T00:00:00Z"/><d v="2011-01-01T00:00:00Z"/><d v="2016-09-01T00:00:00Z"/><d v="2017-05-04T00:00:00Z"/><d v="2021-05-11T00:00:00Z"/><d v="2019-12-17T00:00:00Z"/><d v="2009-05-15T00:00:00Z"/><d v="2018-04-18T00:00:00Z"/><d v="2020-08-10T00:00:00Z"/><d v="2022-06-06T00:00:00Z"/><d v="2011-03-07T00:00:00Z"/><d v="2022-08-23T00:00:00Z"/><d v="2016-09-12T00:00:00Z"/><d v="2019-07-22T00:00:00Z"/><d v="2014-06-02T00:00:00Z"/><d v="2020-07-30T00:00:00Z"/><d v="2010-05-05T00:00:00Z"/><d v="2020-10-01T00:00:00Z"/><d v="2023-05-05T00:00:00Z"/><d v="2022-03-15T00:00:00Z"/><d v="2021-07-13T00:00:00Z"/><d v="2013-12-01T00:00:00Z"/><d v="2019-06-11T00:00:00Z"/><d v="2006-09-05T00:00:00Z"/><d v="2019-08-06T00:00:00Z"/><d v="2016-07-11T00:00:00Z"/><d v="2018-05-22T00:00:00Z"/><d v="2020-03-17T00:00:00Z"/><d v="2016-05-24T00:00:00Z"/><d v="2017-04-03T00:00:00Z"/><d v="2020-03-10T00:00:00Z"/><d v="2023-02-06T00:00:00Z"/><d v="2023-08-23T00:00:00Z"/><d v="2023-02-20T00:00:00Z"/><d v="2017-11-01T00:00:00Z"/><d v="2022-10-03T00:00:00Z"/><d v="2022-11-29T00:00:00Z"/><d v="2022-09-19T00:00:00Z"/><d v="2022-02-28T00:00:00Z"/><d v="2017-05-05T00:00:00Z"/><d v="2020-11-02T00:00:00Z"/><d v="2021-03-13T00:00:00Z"/><d v="2005-12-01T00:00:00Z"/><d v="2021-06-23T00:00:00Z"/><d v="2019-08-17T00:00:00Z"/><d v="2013-12-20T00:00:00Z"/><d v="2017-09-18T00:00:00Z"/><d v="2019-04-01T00:00:00Z"/><d v="2016-05-09T00:00:00Z"/><d v="2023-08-01T00:00:00Z"/><d v="2023-01-01T00:00:00Z"/><d v="2020-06-02T00:00:00Z"/><d v="2019-06-13T00:00:00Z"/><d v="2019-11-01T00:00:00Z"/><d v="2020-06-16T00:00:00Z"/><d v="2019-11-27T00:00:00Z"/><d v="2019-05-24T00:00:00Z"/><d v="2019-10-21T00:00:00Z"/><d v="2016-10-26T00:00:00Z"/><d v="2020-05-14T00:00:00Z"/><d v="2020-10-15T00:00:00Z"/><d v="2023-06-01T00:00:00Z"/><d v="2023-02-25T00:00:00Z"/><d v="2022-11-14T00:00:00Z"/><d v="2020-03-04T00:00:00Z"/><d v="2021-06-25T00:00:00Z"/><d v="2019-11-13T00:00:00Z"/><d v="2021-03-31T00:00:00Z"/><d v="2011-04-18T00:00:00Z"/><d v="2018-05-02T00:00:00Z"/><d v="2020-05-22T00:00:00Z"/><d v="2019-07-15T00:00:00Z"/><d v="2020-11-14T00:00:00Z"/><d v="2019-02-14T00:00:00Z"/><d v="2020-02-17T00:00:00Z"/><d v="2022-09-12T00:00:00Z"/><d v="2022-04-26T00:00:00Z"/><d v="2022-01-10T00:00:00Z"/><d v="2020-11-23T00:00:00Z"/><d v="2021-02-01T00:00:00Z"/><d v="2020-09-29T00:00:00Z"/><d v="2017-11-30T00:00:00Z"/><d v="2018-12-01T00:00:00Z"/><d v="2020-04-20T00:00:00Z"/><d v="2016-04-11T00:00:00Z"/><d v="2019-05-21T00:00:00Z"/><d v="2015-10-13T00:00:00Z"/><d v="2022-09-28T00:00:00Z"/><d v="2022-07-11T00:00:00Z"/><d v="2022-06-30T00:00:00Z"/><d v="2020-10-12T00:00:00Z"/><d v="2018-07-09T00:00:00Z"/><d v="2019-08-31T00:00:00Z"/><d v="2016-09-19T00:00:00Z"/><d v="2017-06-28T00:00:00Z"/><d v="2021-03-30T00:00:00Z"/><d v="2021-03-15T00:00:00Z"/><d v="2019-11-21T00:00:00Z"/><d v="2019-08-07T00:00:00Z"/><d v="2019-07-01T00:00:00Z"/><d v="2023-03-20T00:00:00Z"/><d v="2022-08-12T00:00:00Z"/><d v="2022-08-09T00:00:00Z"/><d v="2022-07-25T00:00:00Z"/><d v="2022-03-31T00:00:00Z"/><d v="2021-12-20T00:00:00Z"/><d v="2023-02-14T00:00:00Z"/><d v="2020-11-13T00:00:00Z"/><d v="2015-09-24T00:00:00Z"/><d v="2020-07-01T00:00:00Z"/><d v="2018-10-08T00:00:00Z"/><d v="2016-04-26T00:00:00Z"/><d v="2021-02-17T00:00:00Z"/><d v="2020-10-23T00:00:00Z"/><d v="2023-08-21T00:00:00Z"/><d v="2023-06-06T00:00:00Z"/><d v="2023-02-08T00:00:00Z"/><d v="2022-06-08T00:00:00Z"/><d v="2020-06-22T00:00:00Z"/><d v="2018-09-24T00:00:00Z"/><d v="2019-06-05T00:00:00Z"/><d v="2019-05-07T00:00:00Z"/><d v="2020-12-05T00:00:00Z"/><d v="2023-04-11T00:00:00Z"/><d v="2022-12-05T00:00:00Z"/><d v="2022-08-30T00:00:00Z"/><d v="2020-05-06T00:00:00Z"/><d v="2019-09-19T00:00:00Z"/><d v="2021-07-05T00:00:00Z"/><d v="2009-10-05T00:00:00Z"/><d v="2021-03-23T00:00:00Z"/><d v="2021-04-19T00:00:00Z"/><d v="2017-07-17T00:00:00Z"/><d v="2016-09-05T00:00:00Z"/><d v="2021-12-31T00:00:00Z"/><d v="2022-01-28T00:00:00Z"/><d v="2017-04-12T00:00:00Z"/><d v="2015-04-13T00:00:00Z"/><d v="2017-07-03T00:00:00Z"/><d v="2019-05-02T00:00:00Z"/><d v="2021-01-26T00:00:00Z"/><d v="2020-08-29T00:00:00Z"/><d v="2017-03-27T00:00:00Z"/><d v="2022-11-25T00:00:00Z"/><d v="2021-07-15T00:00:00Z"/><d v="2020-10-05T00:00:00Z"/><d v="2023-04-24T00:00:00Z"/><d v="2022-03-18T00:00:00Z"/><d v="2018-10-01T00:00:00Z"/><d v="2020-08-23T00:00:00Z"/><d v="2020-07-07T00:00:00Z"/><d v="2018-12-07T00:00:00Z"/><d v="2019-07-04T00:00:00Z"/><d v="2018-12-06T00:00:00Z"/><d v="2023-02-22T00:00:00Z"/><d v="2023-08-11T00:00:00Z"/><d v="2023-05-04T00:00:00Z"/><d v="2022-08-19T00:00:00Z"/><d v="2021-12-11T00:00:00Z"/><d v="2019-07-19T00:00:00Z"/><d v="2019-06-17T00:00:00Z"/><d v="2017-11-09T00:00:00Z"/><d v="2014-09-03T00:00:00Z"/><d v="2017-04-17T00:00:00Z"/><d v="2023-06-21T00:00:00Z"/><d v="2023-05-27T00:00:00Z"/><d v="2022-11-19T00:00:00Z"/><d v="2022-04-21T00:00:00Z"/><d v="2019-06-29T00:00:00Z"/><d v="2010-06-01T00:00:00Z"/><d v="2017-02-02T00:00:00Z"/><d v="2020-10-29T00:00:00Z"/><d v="2020-07-03T00:00:00Z"/><d v="2022-07-13T00:00:00Z"/><d v="2018-07-14T00:00:00Z"/><d v="2020-02-24T00:00:00Z"/><d v="2021-05-18T00:00:00Z"/><d v="2017-05-26T00:00:00Z"/><d v="2023-11-01T00:00:00Z"/><d v="2022-07-14T00:00:00Z"/><d v="2022-02-18T00:00:00Z"/><d v="2021-03-03T00:00:00Z"/><d v="2023-11-10T00:00:00Z"/><d v="2023-06-03T00:00:00Z"/><d v="2012-09-11T00:00:00Z"/><d v="2012-05-01T00:00:00Z"/><d v="2020-04-28T00:00:00Z"/><d v="2016-09-26T00:00:00Z"/><d v="2017-01-04T00:00:00Z"/><d v="2017-06-23T00:00:00Z"/><d v="2023-11-15T00:00:00Z"/><d v="2018-07-27T00:00:00Z"/><d v="2016-08-15T00:00:00Z"/><d v="2019-07-25T00:00:00Z"/><d v="2018-04-02T00:00:00Z"/><d v="2020-02-26T00:00:00Z"/><d v="2016-06-20T00:00:00Z"/><d v="2024-02-19T00:00:00Z"/><d v="2021-05-04T00:00:00Z"/><d v="2018-04-05T00:00:00Z"/><d v="2020-01-30T00:00:00Z"/><d v="2019-04-03T00:00:00Z"/><d v="2022-02-22T00:00:00Z"/><d v="2018-06-15T00:00:00Z"/><d v="2019-10-10T00:00:00Z"/><d v="2022-01-04T00:00:00Z"/><d v="2017-08-01T00:00:00Z"/><d v="2022-03-03T00:00:00Z"/><d v="2021-06-16T00:00:00Z"/><d v="2018-05-18T00:00:00Z"/><d v="2024-04-24T00:00:00Z"/><d v="2024-03-04T00:00:00Z"/><d v="2010-05-04T00:00:00Z"/><d v="2024-03-25T00:00:00Z"/><d v="2019-07-18T00:00:00Z"/><d v="2024-02-26T00:00:00Z"/><d v="2024-03-01T00:00:00Z"/><d v="2021-01-07T00:00:00Z"/><d v="2009-08-28T00:00:00Z"/><d v="2017-07-18T00:00:00Z"/><d v="2024-04-22T00:00:00Z"/><d v="2022-07-18T00:00:00Z"/><d v="2020-03-30T00:00:00Z"/><d v="2011-01-21T00:00:00Z"/><d v="2021-04-22T00:00:00Z"/><d v="2019-03-01T00:00:00Z"/><d v="2021-04-07T00:00:00Z"/><d v="2020-02-20T00:00:00Z"/><d v="2018-08-13T00:00:00Z"/><d v="2022-09-05T00:00:00Z"/><d v="2016-11-02T00:00:00Z"/><d v="2018-03-12T00:00:00Z"/><d v="2020-07-23T00:00:00Z"/><d v="2021-10-01T00:00:00Z"/><d v="2022-03-28T00:00:00Z"/><d v="2022-08-29T00:00:00Z"/><d v="2022-10-04T00:00:00Z"/><d v="2023-03-13T00:00:00Z"/><d v="2020-01-14T00:00:00Z"/><d v="2019-03-25T00:00:00Z"/><d v="2014-11-03T00:00:00Z"/><d v="2024-02-15T00:00:00Z"/><d v="2021-05-10T00:00:00Z"/><d v="2021-10-21T00:00:00Z"/><d v="2007-07-01T00:00:00Z"/><d v="2016-09-13T00:00:00Z"/><d v="2019-03-18T00:00:00Z"/><d v="2022-07-22T00:00:00Z"/><d v="2024-03-08T00:00:00Z"/><d v="2024-04-02T00:00:00Z"/><d v="2024-04-10T00:00:00Z"/><d v="2017-02-07T00:00:00Z"/><d v="2024-04-11T00:00:00Z"/><m/><d v="2024-03-22T00:00:00Z"/><d v="2015-04-15T00:00:00Z"/><d v="2016-08-29T00:00:00Z"/><d v="2022-08-08T00:00:00Z"/><d v="2016-12-01T00:00:00Z"/><d v="2019-08-01T00:00:00Z"/><d v="2021-03-22T00:00:00Z"/><d v="2019-12-16T00:00:00Z"/><d v="2021-11-01T00:00:00Z"/><d v="2023-08-04T00:00:00Z"/><d v="2024-04-12T00:00:00Z"/><d v="2023-10-05T00:00:00Z"/><d v="2018-04-06T00:00:00Z"/><d v="2010-01-01T00:00:00Z"/><d v="2020-06-06T00:00:00Z"/><d v="2015-10-23T00:00:00Z"/><d v="2011-06-01T00:00:00Z"/><d v="2020-12-04T00:00:00Z"/><d v="2019-04-10T00:00:00Z"/><d v="2020-12-15T00:00:00Z"/><d v="2017-09-28T00:00:00Z"/><d v="2020-12-18T00:00:00Z"/><d v="2019-08-09T00:00:00Z"/><d v="2017-03-03T00:00:00Z"/><d v="2015-10-16T00:00:00Z"/><d v="2020-09-24T00:00:00Z"/><d v="2021-06-17T00:00:00Z"/><d v="2024-01-04T00:00:00Z"/><d v="2015-06-03T00:00:00Z"/><d v="2019-04-15T00:00:00Z"/><d v="2018-03-19T00:00:00Z"/><d v="2022-12-12T00:00:00Z"/><d v="2017-05-16T00:00:00Z"/><d v="2023-03-29T00:00:00Z"/><d v="2020-11-17T00:00:00Z"/><d v="2021-04-26T00:00:00Z"/><d v="2020-07-08T00:00:00Z"/><d v="2021-07-08T00:00:00Z"/><d v="2021-06-21T00:00:00Z"/><d v="2024-04-04T00:00:00Z"/><d v="2022-03-02T00:00:00Z"/><d v="2022-06-28T00:00:00Z"/><d v="2022-08-26T00:00:00Z"/><d v="2012-04-02T00:00:00Z"/><d v="2011-04-15T00:00:00Z"/><d v="2014-05-26T00:00:00Z"/><d v="2008-09-01T00:00:00Z"/><d v="2016-04-04T00:00:00Z"/><d v="2018-02-02T00:00:00Z"/><d v="2022-07-28T00:00:00Z"/><d v="2022-07-07T00:00:00Z"/><d v="2022-06-16T00:00:00Z"/><d v="2022-05-06T00:00:00Z"/><d v="2022-03-23T00:00:00Z"/><d v="2023-07-05T00:00:00Z"/><d v="2023-03-15T00:00:00Z"/><d v="2023-02-09T00:00:00Z"/><d v="2022-12-23T00:00:00Z"/><d v="2023-08-18T00:00:00Z"/><d v="2017-07-08T00:00:00Z"/><d v="2018-10-22T00:00:00Z"/><d v="2019-06-12T00:00:00Z"/><d v="2022-03-17T00:00:00Z"/><d v="2021-12-28T00:00:00Z"/><d v="2022-09-26T00:00:00Z"/><d v="2022-09-11T00:00:00Z"/><d v="2022-06-17T00:00:00Z"/><d v="2023-07-04T00:00:00Z"/><d v="2023-06-29T00:00:00Z"/><d v="2023-06-27T00:00:00Z"/><d v="2023-06-22T00:00:00Z"/><d v="2023-06-13T00:00:00Z"/><d v="2023-05-23T00:00:00Z"/><d v="2023-09-25T00:00:00Z"/><d v="2023-07-26T00:00:00Z"/><d v="2023-07-17T00:00:00Z"/><d v="2017-08-23T00:00:00Z"/><d v="2020-04-07T00:00:00Z"/><d v="2023-09-06T00:00:00Z"/><d v="2006-07-05T00:00:00Z"/><d v="2021-01-22T00:00:00Z"/><d v="2018-04-03T00:00:00Z"/><d v="2021-12-08T00:00:00Z"/><d v="2016-03-29T00:00:00Z"/><d v="2017-04-04T00:00:00Z"/><d v="2012-04-16T00:00:00Z"/><d v="2023-12-08T00:00:00Z"/><d v="2023-11-14T00:00:00Z"/><d v="2023-11-02T00:00:00Z"/><d v="2023-10-19T00:00:00Z"/><d v="2023-08-07T00:00:00Z"/><d v="2022-07-26T00:00:00Z"/><d v="2020-07-14T00:00:00Z"/><d v="2020-04-24T00:00:00Z"/><d v="2019-09-06T00:00:00Z"/><d v="2024-01-24T00:00:00Z"/><d v="2024-01-18T00:00:00Z"/><d v="2024-01-11T00:00:00Z"/><d v="2024-01-02T00:00:00Z"/><d v="2023-10-10T00:00:00Z"/><d v="2023-06-08T00:00:00Z"/><d v="2019-04-09T00:00:00Z"/><d v="2018-05-28T00:00:00Z"/><d v="2023-12-19T00:00:00Z"/><d v="2023-12-11T00:00:00Z"/><d v="2023-12-01T00:00:00Z"/><d v="2023-04-17T00:00:00Z"/><d v="2024-02-16T00:00:00Z"/><d v="2020-01-02T00:00:00Z"/><d v="2024-03-18T00:00:00Z"/><d v="2024-03-16T00:00:00Z"/><d v="2024-03-13T00:00:00Z"/><d v="2024-03-12T00:00:00Z"/><d v="2024-03-02T00:00:00Z"/><d v="2018-04-10T00:00:00Z"/><d v="2019-10-14T00:00:00Z"/><d v="2023-08-14T00:00:00Z"/><d v="2021-10-18T00:00:00Z"/><d v="2020-09-04T00:00:00Z"/><d v="2018-09-25T00:00:00Z"/><d v="2023-10-02T00:00:00Z"/><d v="2023-09-22T00:00:00Z"/><d v="2024-03-05T00:00:00Z"/><d v="2019-03-14T00:00:00Z"/><d v="2023-07-20T00:00:00Z"/><d v="2023-07-24T00:00:00Z"/><d v="2024-03-26T00:00:00Z"/><d v="2014-05-05T00:00:00Z"/><d v="2017-07-14T00:00:00Z"/><d v="2019-10-28T00:00:00Z"/><d v="2020-09-18T00:00:00Z"/><d v="2020-10-21T00:00:00Z"/><d v="2018-08-03T00:00:00Z"/><d v="2022-10-01T00:00:00Z"/><d v="2022-06-07T00:00:00Z"/><d v="2016-11-01T00:00:00Z"/><d v="2016-04-14T00:00:00Z"/><d v="2021-04-20T00:00:00Z"/><d v="2017-05-25T00:00:00Z"/><d v="2023-02-03T00:00:00Z"/><d v="2017-02-27T00:00:00Z"/><d v="2022-04-06T00:00:00Z"/><d v="2016-09-20T00:00:00Z"/><d v="2019-12-20T00:00:00Z"/><d v="2024-03-20T00:00:00Z"/><d v="2017-12-20T00:00:00Z"/><d v="2004-05-01T00:00:00Z"/><d v="2016-04-05T00:00:00Z"/><d v="2010-08-01T00:00:00Z"/><d v="2017-04-24T00:00:00Z"/><d v="2022-04-14T00:00:00Z"/><d v="2019-05-17T00:00:00Z"/><d v="2017-07-31T00:00:00Z"/><d v="2018-05-30T00:00:00Z"/><d v="2017-04-10T00:00:00Z"/><d v="2016-04-01T00:00:00Z"/><d v="2018-01-19T00:00:00Z"/><d v="2011-01-17T00:00:00Z"/><d v="2024-02-05T00:00:00Z"/><d v="2018-09-10T00:00:00Z"/><d v="2023-10-11T00:00:00Z"/><d v="2023-04-05T00:00:00Z"/><d v="2008-08-18T00:00:00Z"/><d v="2018-04-17T00:00:00Z"/><d v="2018-06-04T00:00:00Z"/><d v="2019-05-09T00:00:00Z"/><d v="2010-05-01T00:00:00Z"/><d v="2022-05-10T00:00:00Z"/><d v="2021-11-04T00:00:00Z"/><d v="2021-09-13T00:00:00Z"/><d v="2021-09-06T00:00:00Z"/><d v="2021-08-25T00:00:00Z"/><d v="2021-08-16T00:00:00Z"/><d v="2011-12-16T00:00:00Z"/><d v="2019-05-06T00:00:00Z"/><d v="2017-04-01T00:00:00Z"/><d v="2019-11-04T00:00:00Z"/><d v="2018-06-26T00:00:00Z"/><d v="2019-09-10T00:00:00Z"/><d v="2020-08-17T00:00:00Z"/><d v="2009-08-06T00:00:00Z"/><d v="2020-06-04T00:00:00Z"/><d v="2020-08-28T00:00:00Z"/><d v="2020-05-11T00:00:00Z"/><d v="2011-07-01T00:00:00Z"/><d v="2019-11-18T00:00:00Z"/><d v="2015-11-02T00:00:00Z"/><d v="2019-02-18T00:00:00Z"/><d v="2009-07-01T00:00:00Z"/><d v="2018-07-24T00:00:00Z"/><d v="2010-07-01T00:00:00Z"/><d v="2021-07-12T00:00:00Z"/><d v="2015-06-24T00:00:00Z"/><d v="2016-02-16T00:00:00Z"/><d v="2021-06-24T00:00:00Z"/><d v="2018-07-23T00:00:00Z"/><d v="2015-11-16T00:00:00Z"/><d v="2012-02-01T00:00:00Z"/><d v="2020-07-24T00:00:00Z"/><d v="2021-05-24T00:00:00Z"/><d v="2021-08-03T00:00:00Z"/><d v="2018-11-26T00:00:00Z"/><d v="2021-08-02T00:00:00Z"/><d v="2015-06-16T00:00:00Z"/><d v="2020-03-09T00:00:00Z"/><d v="2020-09-03T00:00:00Z"/><d v="2020-05-15T00:00:00Z"/><d v="2020-02-03T00:00:00Z"/><d v="2020-03-16T00:00:00Z"/><d v="2019-07-11T00:00:00Z"/><d v="2021-07-19T00:00:00Z"/><d v="2021-08-09T00:00:00Z"/><d v="2012-04-01T00:00:00Z"/><d v="2018-01-02T00:00:00Z"/><d v="2019-12-23T00:00:00Z"/><d v="2004-03-10T00:00:00Z"/><d v="2017-11-13T00:00:00Z"/><d v="2013-05-01T00:00:00Z"/><d v="2019-01-07T00:00:00Z"/><d v="2016-03-01T00:00:00Z"/><d v="2019-06-06T00:00:00Z"/><d v="2021-05-14T00:00:00Z"/><d v="2019-01-22T00:00:00Z"/><d v="2020-08-15T00:00:00Z"/><d v="2015-01-16T00:00:00Z"/><d v="2021-06-28T00:00:00Z"/><d v="2019-04-08T00:00:00Z"/><d v="2008-09-08T00:00:00Z"/><d v="2009-05-08T00:00:00Z"/><d v="2009-03-18T00:00:00Z"/><d v="2007-03-12T00:00:00Z"/><d v="2011-04-01T00:00:00Z"/><d v="2004-04-05T00:00:00Z"/><d v="2019-07-03T00:00:00Z"/><d v="2008-11-25T00:00:00Z"/><d v="2018-01-18T00:00:00Z"/><d v="2005-07-01T00:00:00Z"/><d v="2018-03-23T00:00:00Z"/><d v="2019-12-31T00:00:00Z"/><d v="2019-03-07T00:00:00Z"/><d v="2018-06-01T00:00:00Z"/><d v="2019-04-22T00:00:00Z"/><d v="2017-03-13T00:00:00Z"/><d v="2017-03-17T00:00:00Z"/><d v="2018-10-25T00:00:00Z"/><d v="2008-06-01T00:00:00Z"/><d v="2020-08-13T00:00:00Z"/><d v="2011-10-01T00:00:00Z"/><d v="2015-08-10T00:00:00Z"/><d v="2020-01-06T00:00:00Z"/><d v="2020-06-23T00:00:00Z"/><d v="2023-02-13T00:00:00Z"/><d v="2023-02-02T00:00:00Z"/><d v="2023-02-01T00:00:00Z"/><d v="2023-01-10T00:00:00Z"/><d v="2023-01-05T00:00:00Z"/><d v="2022-12-26T00:00:00Z"/><d v="2022-12-21T00:00:00Z"/><d v="2022-12-08T00:00:00Z"/><d v="2022-12-07T00:00:00Z"/><d v="2022-11-23T00:00:00Z"/><d v="2022-11-16T00:00:00Z"/><d v="2022-11-10T00:00:00Z"/><d v="2022-11-09T00:00:00Z"/><d v="2022-11-07T00:00:00Z"/><d v="2022-11-01T00:00:00Z"/><d v="2022-10-26T00:00:00Z"/><d v="2022-10-24T00:00:00Z"/><d v="2022-10-19T00:00:00Z"/><d v="2022-10-12T00:00:00Z"/><d v="2022-10-10T00:00:00Z"/><d v="2022-10-06T00:00:00Z"/><d v="2022-09-23T00:00:00Z"/><d v="2022-09-08T00:00:00Z"/><d v="2022-01-20T00:00:00Z"/><d v="2015-07-01T00:00:00Z"/><d v="2021-07-30T00:00:00Z"/><d v="2020-05-04T00:00:00Z"/><d v="2018-11-07T00:00:00Z"/><d v="2021-03-04T00:00:00Z"/><d v="2020-06-15T00:00:00Z"/><d v="2016-12-19T00:00:00Z"/><d v="2015-08-20T00:00:00Z"/><d v="2021-05-19T00:00:00Z"/><d v="2020-04-14T00:00:00Z"/><d v="2013-08-01T00:00:00Z"/><d v="2021-03-29T00:00:00Z"/><d v="2021-07-26T00:00:00Z"/><d v="2012-05-16T00:00:00Z"/><d v="2023-09-11T00:00:00Z"/><d v="2023-06-14T00:00:00Z"/><d v="2023-06-12T00:00:00Z"/><d v="2023-06-05T00:00:00Z"/><d v="2023-05-26T00:00:00Z"/><d v="2023-05-22T00:00:00Z"/><d v="2023-05-18T00:00:00Z"/><d v="2023-04-19T00:00:00Z"/><d v="2023-04-12T00:00:00Z"/><d v="2023-04-10T00:00:00Z"/><d v="2023-03-27T00:00:00Z"/><d v="2023-03-17T00:00:00Z"/><d v="2023-03-10T00:00:00Z"/><d v="2023-03-08T00:00:00Z"/><d v="2023-03-01T00:00:00Z"/><d v="2022-04-15T00:00:00Z"/><d v="2022-03-14T00:00:00Z"/><d v="2021-12-09T00:00:00Z"/><d v="2021-08-18T00:00:00Z"/><d v="2020-12-02T00:00:00Z"/><d v="2020-01-10T00:00:00Z"/><d v="2018-10-05T00:00:00Z"/><d v="2018-11-12T00:00:00Z"/><d v="2018-01-10T00:00:00Z"/><d v="2023-03-02T00:00:00Z"/><d v="2018-09-20T00:00:00Z"/><d v="2013-09-01T00:00:00Z"/><d v="2010-06-07T00:00:00Z"/><d v="2018-10-15T00:00:00Z"/><d v="2013-06-17T00:00:00Z"/><d v="2018-03-15T00:00:00Z"/><d v="2007-01-15T00:00:00Z"/><d v="2015-12-01T00:00:00Z"/><d v="2020-06-08T00:00:00Z"/><d v="2020-08-05T00:00:00Z"/><d v="2008-05-15T00:00:00Z"/><d v="2021-01-13T00:00:00Z"/><d v="2011-11-01T00:00:00Z"/><d v="2020-12-29T00:00:00Z"/><d v="2021-04-05T00:00:00Z"/><d v="2020-08-03T00:00:00Z"/><d v="2021-02-25T00:00:00Z"/><d v="2017-10-02T00:00:00Z"/><d v="2018-04-23T00:00:00Z"/><d v="2016-03-21T00:00:00Z"/><d v="2014-05-16T00:00:00Z"/><d v="2018-06-20T00:00:00Z"/><d v="2020-07-09T00:00:00Z"/><d v="2012-03-01T00:00:00Z"/><d v="2007-04-01T00:00:00Z"/><d v="2009-05-19T00:00:00Z"/><d v="2020-11-12T00:00:00Z"/><d v="2011-07-04T00:00:00Z"/><d v="2021-02-04T00:00:00Z"/><d v="2015-12-16T00:00:00Z"/><d v="2021-02-22T00:00:00Z"/><d v="2023-09-20T00:00:00Z"/><d v="2023-07-11T00:00:00Z"/><d v="2023-06-26T00:00:00Z"/><d v="2022-04-25T00:00:00Z"/><d v="2022-04-04T00:00:00Z"/><d v="2022-03-21T00:00:00Z"/><d v="2021-12-30T00:00:00Z"/><d v="2018-01-26T00:00:00Z"/><d v="2008-01-01T00:00:00Z"/><d v="2019-10-16T00:00:00Z"/><d v="2016-09-23T00:00:00Z"/><d v="2017-05-15T00:00:00Z"/><d v="2018-02-21T00:00:00Z"/><d v="2004-09-06T00:00:00Z"/><d v="2021-05-06T00:00:00Z"/><d v="2009-10-06T00:00:00Z"/><d v="2018-10-10T00:00:00Z"/><d v="2020-11-24T00:00:00Z"/><d v="2012-05-22T00:00:00Z"/><d v="2020-02-10T00:00:00Z"/><d v="2023-05-15T00:00:00Z"/><d v="2022-12-22T00:00:00Z"/><d v="2022-10-05T00:00:00Z"/><d v="2022-09-21T00:00:00Z"/><d v="2022-08-18T00:00:00Z"/><d v="2022-06-23T00:00:00Z"/><d v="2022-05-16T00:00:00Z"/><d v="2021-12-06T00:00:00Z"/><d v="2021-11-25T00:00:00Z"/><d v="2016-08-01T00:00:00Z"/><d v="2016-05-26T00:00:00Z"/><d v="2019-02-11T00:00:00Z"/><d v="2021-03-01T00:00:00Z"/><d v="2009-04-06T00:00:00Z"/><d v="2012-05-02T00:00:00Z"/><d v="2019-05-23T00:00:00Z"/><d v="2009-12-01T00:00:00Z"/><d v="2021-01-11T00:00:00Z"/><d v="2011-04-19T00:00:00Z"/><d v="2021-05-17T00:00:00Z"/><d v="2019-10-04T00:00:00Z"/><d v="2009-05-01T00:00:00Z"/><d v="2019-08-21T00:00:00Z"/><d v="2004-12-17T00:00:00Z"/><d v="2011-05-01T00:00:00Z"/><d v="2008-12-08T00:00:00Z"/><d v="2009-02-08T00:00:00Z"/><d v="2018-04-13T00:00:00Z"/><d v="2015-05-07T00:00:00Z"/><d v="2018-08-17T00:00:00Z"/><d v="2009-04-01T00:00:00Z"/><d v="2010-04-01T00:00:00Z"/><d v="2019-06-10T00:00:00Z"/><d v="2016-04-23T00:00:00Z"/><d v="2015-09-14T00:00:00Z"/><d v="2016-12-14T00:00:00Z"/><d v="2017-10-16T00:00:00Z"/><d v="2015-07-06T00:00:00Z"/><d v="2021-06-15T00:00:00Z"/><d v="2020-10-26T00:00:00Z"/><d v="2020-02-13T00:00:00Z"/><d v="2010-03-08T00:00:00Z"/><d v="2004-03-01T00:00:00Z"/><d v="2024-02-21T00:00:00Z"/><d v="2023-11-24T00:00:00Z"/><d v="2024-02-23T00:00:00Z"/><d v="2024-02-20T00:00:00Z"/><d v="2016-12-26T00:00:00Z"/><d v="2020-03-27T00:00:00Z"/><d v="2023-11-06T00:00:00Z"/><d v="2024-02-01T00:00:00Z"/><d v="1994-12-25T00:00:00Z"/><d v="2023-12-04T00:00:00Z"/><d v="2010-10-01T00:00:00Z"/><d v="2012-04-03T00:00:00Z"/><d v="2020-04-01T00:00:00Z"/><d v="2022-03-24T00:00:00Z"/><d v="2022-11-17T00:00:00Z"/><d v="2012-05-17T00:00:00Z"/><d v="2019-09-25T00:00:00Z"/><d v="2022-02-07T00:00:00Z"/><d v="2022-06-15T00:00:00Z"/><d v="2020-10-03T00:00:00Z"/><d v="2017-09-05T00:00:00Z"/><d v="2022-04-27T00:00:00Z"/><d v="2023-12-05T00:00:00Z"/><d v="2006-09-18T00:00:00Z"/><d v="2017-04-27T00:00:00Z"/><d v="2023-06-20T00:00:00Z"/><d v="2012-07-01T00:00:00Z"/><d v="2024-01-22T00:00:00Z"/><d v="2024-01-08T00:00:00Z"/><d v="2023-06-16T00:00:00Z"/><d v="2020-10-19T00:00:00Z"/><d v="2020-06-09T00:00:00Z"/><d v="2018-02-22T00:00:00Z"/><d v="2017-05-08T00:00:00Z"/><d v="2022-06-27T00:00:00Z"/><d v="2011-03-08T00:00:00Z"/><d v="2024-01-15T00:00:00Z"/><d v="2017-01-03T00:00:00Z"/><d v="2010-01-04T00:00:00Z"/><d v="2023-12-18T00:00:00Z"/><d v="2018-08-20T00:00:00Z"/><d v="2022-06-02T00:00:00Z"/><d v="2020-06-10T00:00:00Z"/><d v="2011-02-14T00:00:00Z"/><d v="2020-07-10T00:00:00Z"/><d v="2017-10-04T00:00:00Z"/><d v="2023-12-06T00:00:00Z"/><d v="2008-04-01T00:00:00Z"/><d v="2022-09-20T00:00:00Z"/><d v="2020-11-05T00:00:00Z"/><d v="2019-12-04T00:00:00Z"/><d v="2019-12-28T00:00:00Z"/><d v="2011-10-15T00:00:00Z"/><d v="2010-09-20T00:00:00Z"/><d v="2012-07-02T00:00:00Z"/><d v="2011-10-04T00:00:00Z"/><d v="2017-11-04T00:00:00Z"/><d v="2022-07-19T00:00:00Z"/><d v="2018-07-21T00:00:00Z"/><d v="2019-07-08T00:00:00Z"/><d v="2018-05-11T00:00:00Z"/><d v="2023-09-27T00:00:00Z"/><d v="2008-04-15T00:00:00Z"/><d v="2023-04-14T00:00:00Z"/><d v="2022-09-07T00:00:00Z"/><d v="2022-11-18T00:00:00Z"/><d v="2022-08-03T00:00:00Z"/><d v="2022-05-17T00:00:00Z"/><d v="2022-03-11T00:00:00Z"/><d v="2018-09-04T00:00:00Z"/><d v="2022-05-21T00:00:00Z"/><d v="2020-10-16T00:00:00Z"/><d v="2014-07-01T00:00:00Z"/><d v="2015-09-01T00:00:00Z"/><d v="2020-08-19T00:00:00Z"/><d v="2019-04-12T00:00:00Z"/><d v="2018-08-06T00:00:00Z"/><d v="2019-07-12T00:00:00Z"/><d v="2017-06-12T00:00:00Z"/><d v="2018-07-18T00:00:00Z"/><d v="2019-11-28T00:00:00Z"/><d v="2010-04-19T00:00:00Z"/><d v="2021-01-04T00:00:00Z"/><d v="2017-08-15T00:00:00Z"/><d v="2020-11-07T00:00:00Z"/><d v="2011-10-25T00:00:00Z"/><d v="2017-12-14T00:00:00Z"/><d v="2019-03-13T00:00:00Z"/><d v="2007-08-05T00:00:00Z"/><d v="2020-07-17T00:00:00Z"/><d v="2015-06-15T00:00:00Z"/><d v="2017-12-08T00:00:00Z"/><d v="2017-05-03T00:00:00Z"/><d v="2019-07-26T00:00:00Z"/><d v="2019-11-19T00:00:00Z"/><d v="2018-07-13T00:00:00Z"/><d v="2015-10-12T00:00:00Z"/><d v="2007-04-23T00:00:00Z"/><d v="2013-08-12T00:00:00Z"/><d v="2018-03-24T00:00:00Z"/><d v="2017-08-21T00:00:00Z"/><d v="2018-07-30T00:00:00Z"/><d v="2023-04-26T00:00:00Z"/><d v="2019-08-05T00:00:00Z"/><d v="2018-08-15T00:00:00Z"/><d v="2009-03-15T00:00:00Z"/><d v="2018-03-27T00:00:00Z"/><d v="2019-07-02T00:00:00Z"/><d v="2008-08-03T00:00:00Z"/><d v="2020-03-24T00:00:00Z"/><d v="2018-01-08T00:00:00Z"/><d v="2022-08-06T00:00:00Z"/><d v="2021-12-02T00:00:00Z"/><d v="2023-08-03T00:00:00Z"/><d v="2018-04-04T00:00:00Z"/><d v="2022-07-30T00:00:00Z"/><d v="2018-07-17T00:00:00Z"/><d v="2018-04-26T00:00:00Z"/><d v="2022-07-02T00:00:00Z"/><d v="2023-09-15T00:00:00Z"/><d v="2016-03-16T00:00:00Z"/><d v="2019-10-08T00:00:00Z"/><d v="2019-10-07T00:00:00Z"/><d v="2023-07-13T00:00:00Z"/><d v="2022-11-24T00:00:00Z"/><d v="2022-06-13T00:00:00Z"/><d v="2022-04-01T00:00:00Z"/><d v="2019-03-12T00:00:00Z"/><d v="2019-11-26T00:00:00Z"/><d v="2016-12-21T00:00:00Z"/><d v="2019-11-29T00:00:00Z"/><d v="2017-11-27T00:00:00Z"/><d v="2019-11-11T00:00:00Z"/><d v="2021-04-01T00:00:00Z"/><d v="2011-11-21T00:00:00Z"/><d v="2019-10-17T00:00:00Z"/><d v="2020-05-21T00:00:00Z"/><d v="2020-04-15T00:00:00Z"/><d v="2020-10-22T00:00:00Z"/><d v="2017-11-28T00:00:00Z"/><d v="2013-06-15T00:00:00Z"/><d v="2015-03-09T00:00:00Z"/><d v="2022-12-28T00:00:00Z"/><d v="2006-08-01T00:00:00Z"/><d v="2019-10-19T00:00:00Z"/><d v="2018-04-24T00:00:00Z"/><d v="2014-10-22T00:00:00Z"/><d v="2007-05-01T00:00:00Z"/><d v="2016-05-19T00:00:00Z"/><d v="2014-06-16T00:00:00Z"/><d v="2005-11-01T00:00:00Z"/><d v="2019-07-30T00:00:00Z"/><d v="2011-04-13T00:00:00Z"/><d v="2020-08-21T00:00:00Z"/><d v="2010-08-16T00:00:00Z"/><d v="2023-09-18T00:00:00Z"/><d v="2023-07-07T00:00:00Z"/><d v="2023-07-03T00:00:00Z"/><d v="2023-05-09T00:00:00Z"/><d v="2022-01-01T00:00:00Z"/><d v="2012-07-19T00:00:00Z"/><d v="2022-05-09T00:00:00Z"/><d v="2020-04-03T00:00:00Z"/><d v="2017-09-26T00:00:00Z"/><d v="2018-07-03T00:00:00Z"/><d v="2020-03-14T00:00:00Z"/><d v="2022-12-15T00:00:00Z"/><d v="2022-09-27T00:00:00Z"/><d v="2022-03-22T00:00:00Z"/><d v="2019-12-11T00:00:00Z"/><d v="2012-03-16T00:00:00Z"/><d v="2010-03-15T00:00:00Z"/><d v="2020-02-19T00:00:00Z"/><d v="2021-04-08T00:00:00Z"/><d v="2010-12-03T00:00:00Z"/><d v="2017-04-20T00:00:00Z"/><d v="2011-08-01T00:00:00Z"/><d v="2016-06-06T00:00:00Z"/><d v="2018-05-09T00:00:00Z"/><d v="2011-09-01T00:00:00Z"/><d v="2017-07-13T00:00:00Z"/><d v="2018-06-11T00:00:00Z"/><d v="2007-03-01T00:00:00Z"/><d v="2015-04-10T00:00:00Z"/><d v="2020-03-12T00:00:00Z"/><d v="2022-07-08T00:00:00Z"/><d v="2023-10-20T00:00:00Z"/><d v="2017-02-21T00:00:00Z"/><d v="2015-12-23T00:00:00Z"/><d v="2022-10-07T00:00:00Z"/><d v="2015-06-04T00:00:00Z"/><d v="2008-07-01T00:00:00Z"/><d v="2023-04-27T00:00:00Z"/><d v="2018-05-03T00:00:00Z"/><d v="2005-06-15T00:00:00Z"/><d v="2017-12-21T00:00:00Z"/><d v="2013-09-16T00:00:00Z"/><d v="2014-04-01T00:00:00Z"/><d v="2006-01-01T00:00:00Z"/><d v="2007-05-10T00:00:00Z"/><d v="2007-09-05T00:00:00Z"/><d v="2020-02-28T00:00:00Z"/><d v="2022-09-13T00:00:00Z"/><d v="2022-05-13T00:00:00Z"/><d v="2022-04-05T00:00:00Z"/><d v="2021-11-10T00:00:00Z"/><d v="2021-10-15T00:00:00Z"/><d v="2021-10-06T00:00:00Z"/><d v="2018-05-07T00:00:00Z"/><d v="2006-06-01T00:00:00Z"/><d v="2021-06-08T00:00:00Z"/><d v="2021-07-06T00:00:00Z"/><d v="2021-12-22T00:00:00Z"/><d v="2023-05-24T00:00:00Z"/><d v="2009-12-02T00:00:00Z"/><d v="2021-01-15T00:00:00Z"/><d v="2018-08-01T00:00:00Z"/><d v="2020-12-17T00:00:00Z"/><d v="2018-02-23T00:00:00Z"/><d v="2010-09-01T00:00:00Z"/><d v="2004-04-01T00:00:00Z"/><d v="2011-06-20T00:00:00Z"/><d v="2018-02-10T00:00:00Z"/><d v="2006-09-15T00:00:00Z"/><d v="2017-02-08T00:00:00Z"/><d v="2009-01-15T00:00:00Z"/><d v="2010-07-15T00:00:00Z"/><d v="2016-03-04T00:00:00Z"/><d v="2013-12-02T00:00:00Z"/><d v="2015-03-11T00:00:00Z"/><d v="2018-01-12T00:00:00Z"/><d v="2019-12-18T00:00:00Z"/><d v="2012-06-16T00:00:00Z"/><d v="2017-10-24T00:00:00Z"/><d v="2022-11-15T00:00:00Z"/><d v="2021-12-21T00:00:00Z"/><d v="2009-09-01T00:00:00Z"/><d v="2003-09-01T00:00:00Z"/><d v="2023-07-28T00:00:00Z"/><d v="2006-07-01T00:00:00Z"/><d v="2019-05-27T00:00:00Z"/><d v="2019-02-12T00:00:00Z"/><d v="2018-12-10T00:00:00Z"/><d v="2018-08-09T00:00:00Z"/><d v="2020-11-09T00:00:00Z"/><d v="2018-05-16T00:00:00Z"/><d v="1998-08-01T00:00:00Z"/><d v="2005-05-20T00:00:00Z"/><d v="2005-01-01T00:00:00Z"/><d v="2018-09-05T00:00:00Z"/><d v="2021-07-27T00:00:00Z"/><d v="2011-05-18T00:00:00Z"/><d v="2010-05-26T00:00:00Z"/><d v="2003-07-15T00:00:00Z"/><d v="2010-08-23T00:00:00Z"/><d v="2021-07-16T00:00:00Z"/><d v="2023-01-17T00:00:00Z"/><d v="2022-07-20T00:00:00Z"/><d v="2021-11-30T00:00:00Z"/><d v="2021-07-20T00:00:00Z"/><d v="2005-04-15T00:00:00Z"/><d v="1997-01-01T00:00:00Z"/><d v="2001-05-01T00:00:00Z"/><d v="2012-09-01T00:00:00Z"/><d v="2020-09-08T00:00:00Z"/><d v="2022-03-16T00:00:00Z"/><d v="2017-07-12T00:00:00Z"/><d v="2018-10-09T00:00:00Z"/><d v="2019-08-30T00:00:00Z"/><d v="2016-05-04T00:00:00Z"/><d v="2021-09-28T00:00:00Z"/><d v="2020-09-16T00:00:00Z"/><d v="2021-03-25T00:00:00Z"/><d v="2021-06-07T00:00:00Z"/><d v="2022-08-04T00:00:00Z"/><d v="2022-03-10T00:00:00Z"/><d v="2022-03-07T00:00:00Z"/><d v="2022-03-01T00:00:00Z"/><d v="2022-05-25T00:00:00Z"/><d v="2022-07-06T00:00:00Z"/><d v="2022-02-15T00:00:00Z"/><d v="2017-03-09T00:00:00Z"/><d v="2021-01-27T00:00:00Z"/><d v="2022-01-06T00:00:00Z"/><d v="2018-06-25T00:00:00Z"/><d v="2016-05-16T00:00:00Z"/><d v="2020-07-06T00:00:00Z"/><d v="2021-10-11T00:00:00Z"/><d v="2021-10-09T00:00:00Z"/><d v="2021-10-08T00:00:00Z"/><d v="2021-10-04T00:00:00Z"/><d v="2006-01-21T00:00:00Z"/><d v="2021-06-04T00:00:00Z"/></sharedItems></cacheField><cacheField name="Ngày chính thức" numFmtId="0"><sharedItems containsDate="1" containsString="0" containsBlank="1"><m/><d v="2022-06-18T00:00:00Z"/><d v="2021-08-19T00:00:00Z"/><d v="2022-08-20T00:00:00Z"/><d v="2019-11-13T00:00:00Z"/><d v="2021-07-28T00:00:00Z"/><d v="2022-10-11T00:00:00Z"/><d v="2021-10-23T00:00:00Z"/><d v="2018-07-21T00:00:00Z"/><d v="2019-07-20T00:00:00Z"/><d v="2022-11-15T00:00:00Z"/><d v="2021-01-01T00:00:00Z"/><d v="2023-02-01T00:00:00Z"/><d v="2011-02-01T00:00:00Z"/><d v="2022-10-25T00:00:00Z"/><d v="2022-07-31T00:00:00Z"/><d v="2022-02-13T00:00:00Z"/><d v="2020-02-10T00:00:00Z"/><d v="2019-12-24T00:00:00Z"/><d v="2019-08-01T00:00:00Z"/><d v="2023-10-15T00:00:00Z"/><d v="2023-10-01T00:00:00Z"/><d v="2023-06-22T00:00:00Z"/><d v="2023-05-28T00:00:00Z"/><d v="2023-02-19T00:00:00Z"/><d v="2022-12-14T00:00:00Z"/><d v="2022-07-04T00:00:00Z"/><d v="2022-06-08T00:00:00Z"/><d v="2022-05-12T00:00:00Z"/><d v="2019-06-02T00:00:00Z"/><d v="2020-11-22T00:00:00Z"/><d v="2019-03-02T00:00:00Z"/><d v="2016-12-18T00:00:00Z"/><d v="2017-12-09T00:00:00Z"/><d v="2018-06-12T00:00:00Z"/><d v="2014-06-16T00:00:00Z"/><d v="2020-05-25T00:00:00Z"/><d v="2023-11-04T00:00:00Z"/><d v="2023-09-23T00:00:00Z"/><d v="2023-09-08T00:00:00Z"/><d v="2023-08-18T00:00:00Z"/><d v="2023-08-01T00:00:00Z"/><d v="2023-04-21T00:00:00Z"/><d v="2022-09-29T00:00:00Z"/><d v="2020-01-08T00:00:00Z"/><d v="2021-06-06T00:00:00Z"/><d v="2021-05-19T00:00:00Z"/><d v="2019-11-30T00:00:00Z"/><d v="2023-05-09T00:00:00Z"/><d v="2023-04-23T00:00:00Z"/><d v="2019-07-25T00:00:00Z"/><d v="2019-08-24T00:00:00Z"/><d v="2021-06-12T00:00:00Z"/><d v="2021-04-18T00:00:00Z"/><d v="2018-02-12T00:00:00Z"/><d v="2020-12-27T00:00:00Z"/><d v="2017-10-14T00:00:00Z"/><d v="2023-03-16T00:00:00Z"/><d v="2022-09-12T00:00:00Z"/><d v="2022-08-22T00:00:00Z"/><d v="2022-07-18T00:00:00Z"/><d v="2022-08-01T00:00:00Z"/><d v="2022-05-09T00:00:00Z"/><d v="2022-03-11T00:00:00Z"/><d v="2021-09-01T00:00:00Z"/><d v="2020-05-02T00:00:00Z"/><d v="2021-01-14T00:00:00Z"/><d v="2019-03-11T00:00:00Z"/><d v="2017-05-02T00:00:00Z"/><d v="2019-06-25T00:00:00Z"/><d v="2021-02-01T00:00:00Z"/><d v="2019-08-28T00:00:00Z"/><d v="2021-03-21T00:00:00Z"/><d v="2020-10-01T00:00:00Z"/><d v="2018-08-05T00:00:00Z"/><d v="2023-07-19T00:00:00Z"/><d v="2023-06-03T00:00:00Z"/><d v="2023-05-06T00:00:00Z"/><d v="2023-05-03T00:00:00Z"/><d v="2023-04-27T00:00:00Z"/><d v="2023-04-17T00:00:00Z"/><d v="2023-02-02T00:00:00Z"/><d v="2023-01-21T00:00:00Z"/><d v="2022-12-28T00:00:00Z"/><d v="2022-04-24T00:00:00Z"/><d v="2022-02-01T00:00:00Z"/><d v="2022-04-08T00:00:00Z"/><d v="2022-04-10T00:00:00Z"/><d v="2021-05-05T00:00:00Z"/><d v="2020-12-31T00:00:00Z"/><d v="2021-02-23T00:00:00Z"/><d v="2021-01-16T00:00:00Z"/><d v="2021-06-23T00:00:00Z"/><d v="2023-03-30T00:00:00Z"/><d v="2023-03-03T00:00:00Z"/><d v="2023-03-01T00:00:00Z"/><d v="2022-11-22T00:00:00Z"/><d v="2022-09-01T00:00:00Z"/><d v="2022-10-01T00:00:00Z"/><d v="2022-07-27T00:00:00Z"/><d v="2022-07-08T00:00:00Z"/><d v="2020-08-01T00:00:00Z"/><d v="2019-07-03T00:00:00Z"/><d v="2015-10-03T00:00:00Z"/><d v="2018-10-27T00:00:00Z"/><d v="2021-09-21T00:00:00Z"/><d v="2017-04-06T00:00:00Z"/><d v="2011-10-01T00:00:00Z"/><d v="2019-09-09T00:00:00Z"/><d v="2020-08-11T00:00:00Z"/><d v="2023-07-17T00:00:00Z"/><d v="2023-06-01T00:00:00Z"/><d v="2023-01-28T00:00:00Z"/><d v="2022-12-17T00:00:00Z"/><d v="2022-10-13T00:00:00Z"/><d v="2022-06-13T00:00:00Z"/><d v="2019-11-27T00:00:00Z"/><d v="2011-07-16T00:00:00Z"/><d v="2023-12-03T00:00:00Z"/><d v="2021-08-01T00:00:00Z"/><d v="2017-05-07T00:00:00Z"/><d v="2017-10-29T00:00:00Z"/><d v="2013-07-16T00:00:00Z"/><d v="2015-07-26T00:00:00Z"/><d v="2020-02-09T00:00:00Z"/><d v="2021-10-01T00:00:00Z"/><d v="2017-07-18T00:00:00Z"/><d v="2018-11-27T00:00:00Z"/><d v="2020-11-21T00:00:00Z"/><d v="2004-01-01T00:00:00Z"/><d v="2019-07-14T00:00:00Z"/><d v="2009-05-15T00:00:00Z"/><d v="2016-12-19T00:00:00Z"/><d v="2019-05-09T00:00:00Z"/><d v="2018-03-09T00:00:00Z"/><d v="2011-03-01T00:00:00Z"/><d v="2016-11-01T00:00:00Z"/><d v="2017-07-04T00:00:00Z"/><d v="2021-05-11T00:00:00Z"/><d v="2020-02-17T00:00:00Z"/><d v="2010-03-01T00:00:00Z"/><d v="2018-06-18T00:00:00Z"/><d v="2020-10-10T00:00:00Z"/><d v="2022-08-06T00:00:00Z"/><d v="2011-05-01T00:00:00Z"/><d v="2022-10-23T00:00:00Z"/><d v="2016-11-12T00:00:00Z"/><d v="2019-09-22T00:00:00Z"/><d v="2014-08-01T00:00:00Z"/><d v="2020-09-30T00:00:00Z"/><d v="2010-07-01T00:00:00Z"/><d v="2020-12-01T00:00:00Z"/><d v="2023-07-05T00:00:00Z"/><d v="2021-09-13T00:00:00Z"/><d v="2017-05-03T00:00:00Z"/><d v="2011-10-16T00:00:00Z"/><d v="2014-02-01T00:00:00Z"/><d v="2019-08-11T00:00:00Z"/><d v="2006-09-05T00:00:00Z"/><d v="2019-10-07T00:00:00Z"/><d v="2016-09-12T00:00:00Z"/><d v="2018-07-22T00:00:00Z"/><d v="2020-05-17T00:00:00Z"/><d v="2016-07-24T00:00:00Z"/><d v="2017-06-03T00:00:00Z"/><d v="2020-05-10T00:00:00Z"/><d v="2023-04-06T00:00:00Z"/><d v="2023-10-16T00:00:00Z"/><d v="2023-04-20T00:00:00Z"/><d v="2018-01-01T00:00:00Z"/><d v="2014-07-01T00:00:00Z"/><d v="2022-12-03T00:00:00Z"/><d v="2023-01-29T00:00:00Z"/><d v="2022-11-19T00:00:00Z"/><d v="2022-04-28T00:00:00Z"/><d v="2017-07-05T00:00:00Z"/><d v="2021-01-02T00:00:00Z"/><d v="2021-05-13T00:00:00Z"/><d v="2011-02-15T00:00:00Z"/><d v="2006-01-01T00:00:00Z"/><d v="2021-08-23T00:00:00Z"/><d v="2019-10-17T00:00:00Z"/><d v="2014-02-20T00:00:00Z"/><d v="2017-11-18T00:00:00Z"/><d v="2019-06-01T00:00:00Z"/><d v="2016-07-09T00:00:00Z"/><d v="2023-09-30T00:00:00Z"/><d v="2020-08-02T00:00:00Z"/><d v="2019-08-13T00:00:00Z"/><d v="2020-01-01T00:00:00Z"/><d v="2020-08-16T00:00:00Z"/><d v="2020-01-27T00:00:00Z"/><d v="2019-07-24T00:00:00Z"/><d v="2020-02-21T00:00:00Z"/><d v="2016-12-26T00:00:00Z"/><d v="2020-07-14T00:00:00Z"/><d v="2020-12-15T00:00:00Z"/><d v="2023-07-31T00:00:00Z"/><d v="2023-04-25T00:00:00Z"/><d v="2023-01-14T00:00:00Z"/><d v="2020-05-04T00:00:00Z"/><d v="2021-08-25T00:00:00Z"/><d v="2020-01-13T00:00:00Z"/><d v="2021-05-31T00:00:00Z"/><d v="2011-06-18T00:00:00Z"/><d v="2018-07-02T00:00:00Z"/><d v="2020-07-22T00:00:00Z"/><d v="2019-09-15T00:00:00Z"/><d v="2019-04-14T00:00:00Z"/><d v="2020-04-17T00:00:00Z"/><d v="2022-11-12T00:00:00Z"/><d v="2022-06-26T00:00:00Z"/><d v="2022-03-10T00:00:00Z"/><d v="2021-01-23T00:00:00Z"/><d v="2021-04-01T00:00:00Z"/><d v="2020-11-29T00:00:00Z"/><d v="2018-01-30T00:00:00Z"/><d v="2019-02-01T00:00:00Z"/><d v="2020-06-20T00:00:00Z"/><d v="2016-06-11T00:00:00Z"/><d v="2019-07-21T00:00:00Z"/><d v="2015-12-12T00:00:00Z"/><d v="2022-11-28T00:00:00Z"/><d v="2022-09-11T00:00:00Z"/><d v="2022-08-30T00:00:00Z"/><d v="2020-12-12T00:00:00Z"/><d v="2018-09-09T00:00:00Z"/><d v="2019-10-31T00:00:00Z"/><d v="2016-11-19T00:00:00Z"/><d v="2017-08-28T00:00:00Z"/><d v="2021-05-30T00:00:00Z"/><d v="2021-05-15T00:00:00Z"/><d v="2020-01-21T00:00:00Z"/><d v="2019-09-01T00:00:00Z"/><d v="2023-05-20T00:00:00Z"/><d v="2022-10-12T00:00:00Z"/><d v="2022-10-09T00:00:00Z"/><d v="2022-09-25T00:00:00Z"/><d v="2022-05-31T00:00:00Z"/><d v="2022-01-01T00:00:00Z"/><d v="2023-04-14T00:00:00Z"/><d v="2021-01-13T00:00:00Z"/><d v="2015-11-24T00:00:00Z"/><d v="2020-09-01T00:00:00Z"/><d v="2018-12-08T00:00:00Z"/><d v="2016-06-26T00:00:00Z"/><d v="2021-04-17T00:00:00Z"/><d v="2020-12-23T00:00:00Z"/><d v="2023-10-20T00:00:00Z"/><d v="2023-08-05T00:00:00Z"/><d v="2023-04-08T00:00:00Z"/><d v="2022-10-24T00:00:00Z"/><d v="2022-08-08T00:00:00Z"/><d v="2022-02-20T00:00:00Z"/><d v="2020-08-22T00:00:00Z"/><d v="2018-11-24T00:00:00Z"/><d v="2019-08-05T00:00:00Z"/><d v="2019-07-07T00:00:00Z"/><d v="2021-02-05T00:00:00Z"/><d v="2023-06-11T00:00:00Z"/><d v="2023-02-05T00:00:00Z"/><d v="2022-10-30T00:00:00Z"/><d v="2020-07-06T00:00:00Z"/><d v="2019-11-19T00:00:00Z"/><d v="2021-09-05T00:00:00Z"/><d v="2009-12-05T00:00:00Z"/><d v="2021-05-23T00:00:00Z"/><d v="2021-06-19T00:00:00Z"/><d v="2017-09-17T00:00:00Z"/><d v="2016-11-05T00:00:00Z"/><d v="2022-03-01T00:00:00Z"/><d v="2022-03-28T00:00:00Z"/><d v="2017-06-13T00:00:00Z"/><d v="2015-06-13T00:00:00Z"/><d v="2017-09-03T00:00:00Z"/><d v="2019-07-02T00:00:00Z"/><d v="2021-03-26T00:00:00Z"/><d v="2020-10-29T00:00:00Z"/><d v="2017-05-27T00:00:00Z"/><d v="2023-01-25T00:00:00Z"/><d v="2021-09-15T00:00:00Z"/><d v="2020-12-05T00:00:00Z"/><d v="2023-06-24T00:00:00Z"/><d v="2022-05-18T00:00:00Z"/><d v="2018-12-01T00:00:00Z"/><d v="2020-10-23T00:00:00Z"/><d v="2020-09-07T00:00:00Z"/><d v="2019-02-07T00:00:00Z"/><d v="2019-09-04T00:00:00Z"/><d v="2019-02-06T00:00:00Z"/><d v="2023-04-22T00:00:00Z"/><d v="2023-10-10T00:00:00Z"/><d v="2023-07-04T00:00:00Z"/><d v="2022-10-19T00:00:00Z"/><d v="2022-02-11T00:00:00Z"/><d v="2019-09-19T00:00:00Z"/><d v="2019-08-17T00:00:00Z"/><d v="2018-01-09T00:00:00Z"/><d v="2014-11-03T00:00:00Z"/><d v="2017-06-18T00:00:00Z"/><d v="2023-08-20T00:00:00Z"/><d v="2023-07-26T00:00:00Z"/><d v="2023-01-19T00:00:00Z"/><d v="2022-06-21T00:00:00Z"/><d v="2019-08-29T00:00:00Z"/><d v="2010-08-01T00:00:00Z"/><d v="2017-04-03T00:00:00Z"/><d v="2020-12-29T00:00:00Z"/><d v="2020-09-03T00:00:00Z"/><d v="2022-09-13T00:00:00Z"/><d v="2022-09-04T00:00:00Z"/><d v="2018-09-14T00:00:00Z"/><d v="2020-04-24T00:00:00Z"/><d v="2021-07-18T00:00:00Z"/><d v="2017-07-26T00:00:00Z"/><d v="2023-12-31T00:00:00Z"/><d v="2022-09-14T00:00:00Z"/><d v="2022-04-18T00:00:00Z"/><d v="2021-05-03T00:00:00Z"/><d v="2024-01-09T00:00:00Z"/><d v="2023-08-02T00:00:00Z"/><d v="2012-12-11T00:00:00Z"/><d v="2012-06-01T00:00:00Z"/><d v="2020-06-28T00:00:00Z"/><d v="2016-11-26T00:00:00Z"/><d v="2017-03-16T00:00:00Z"/><d v="2017-08-23T00:00:00Z"/><d v="2024-01-14T00:00:00Z"/><d v="2018-09-27T00:00:00Z"/><d v="2016-10-16T00:00:00Z"/><d v="2019-09-25T00:00:00Z"/><d v="2018-06-02T00:00:00Z"/><d v="2020-04-26T00:00:00Z"/><d v="2016-08-20T00:00:00Z"/><d v="2024-04-19T00:00:00Z"/><d v="2021-07-04T00:00:00Z"/><d v="2018-06-06T00:00:00Z"/><d v="2020-03-30T00:00:00Z"/><d v="2019-06-03T00:00:00Z"/><d v="2022-07-01T00:00:00Z"/><d v="2018-08-15T00:00:00Z"/><d v="2019-12-13T00:00:00Z"/><d v="2022-03-04T00:00:00Z"/><d v="2017-10-01T00:00:00Z"/><d v="2022-05-02T00:00:00Z"/><d v="2021-11-08T00:00:00Z"/><d v="2018-07-18T00:00:00Z"/><d v="2024-05-03T00:00:00Z"/><d v="2010-07-04T00:00:00Z"/><d v="2019-09-18T00:00:00Z"/><d v="2024-04-26T00:00:00Z"/><d v="2024-04-30T00:00:00Z"/><d v="2021-03-07T00:00:00Z"/><d v="2009-10-28T00:00:00Z"/><d v="2017-09-18T00:00:00Z"/><d v="2022-09-18T00:00:00Z"/><d v="2020-05-30T00:00:00Z"/><d v="2011-03-21T00:00:00Z"/><d v="2021-06-22T00:00:00Z"/><d v="2019-05-01T00:00:00Z"/><d v="2021-06-07T00:00:00Z"/><d v="2020-04-20T00:00:00Z"/><d v="2018-10-13T00:00:00Z"/><d v="2022-11-05T00:00:00Z"/><d v="2017-01-02T00:00:00Z"/><d v="2018-03-12T00:00:00Z"/><d v="2020-09-23T00:00:00Z"/><d v="2021-07-11T00:00:00Z"/><d v="2021-12-01T00:00:00Z"/><d v="2022-05-28T00:00:00Z"/><d v="2022-10-29T00:00:00Z"/><d v="2022-12-04T00:00:00Z"/><d v="2023-05-13T00:00:00Z"/><d v="2020-03-14T00:00:00Z"/><d v="2019-05-25T00:00:00Z"/><d v="2015-01-03T00:00:00Z"/><d v="2024-04-15T00:00:00Z"/><d v="2021-07-10T00:00:00Z"/><d v="2021-12-21T00:00:00Z"/><d v="2007-10-01T00:00:00Z"/><d v="2016-11-16T00:00:00Z"/><d v="2019-05-18T00:00:00Z"/><d v="2022-09-22T00:00:00Z"/><d v="2017-04-07T00:00:00Z"/><d v="2015-06-16T00:00:00Z"/><d v="2016-10-26T00:00:00Z"/><d v="2022-10-08T00:00:00Z"/><d v="2024-04-14T00:00:00Z"/><d v="2017-02-01T00:00:00Z"/><d v="2019-10-01T00:00:00Z"/><d v="2021-05-22T00:00:00Z"/><d v="2020-02-16T00:00:00Z"/><d v="2023-10-03T00:00:00Z"/><d v="2023-12-04T00:00:00Z"/><d v="2020-08-06T00:00:00Z"/><d v="2015-12-24T00:00:00Z"/><d v="2011-08-01T00:00:00Z"/><d v="2021-02-04T00:00:00Z"/><d v="2019-06-10T00:00:00Z"/><d v="2021-02-15T00:00:00Z"/><d v="2017-11-28T00:00:00Z"/><d v="2021-02-18T00:00:00Z"/><d v="2019-10-09T00:00:00Z"/><d v="2017-05-04T00:00:00Z"/><d v="2015-12-15T00:00:00Z"/><d v="2020-11-24T00:00:00Z"/><d v="2021-08-17T00:00:00Z"/><d v="2024-03-04T00:00:00Z"/><d v="2015-08-03T00:00:00Z"/><d v="2019-06-15T00:00:00Z"/><d v="2018-03-19T00:00:00Z"/><d v="2023-02-12T00:00:00Z"/><d v="2017-07-17T00:00:00Z"/><d v="2023-05-27T00:00:00Z"/><d v="2021-01-17T00:00:00Z"/><d v="2021-04-26T00:00:00Z"/><d v="2020-09-08T00:00:00Z"/><d v="2021-09-08T00:00:00Z"/><d v="2021-08-21T00:00:00Z"/><d v="2022-08-28T00:00:00Z"/><d v="2022-10-26T00:00:00Z"/><d v="2012-08-01T00:00:00Z"/><d v="2011-06-15T00:00:00Z"/><d v="2014-07-26T00:00:00Z"/><d v="2011-06-16T00:00:00Z"/><d v="2014-07-16T00:00:00Z"/><d v="2008-11-01T00:00:00Z"/><d v="2022-05-15T00:00:00Z"/><d v="2016-06-04T00:00:00Z"/><d v="2018-04-02T00:00:00Z"/><d v="2022-09-28T00:00:00Z"/><d v="2022-09-07T00:00:00Z"/><d v="2022-08-16T00:00:00Z"/><d v="2022-07-06T00:00:00Z"/><d v="2022-05-23T00:00:00Z"/><d v="2023-09-03T00:00:00Z"/><d v="2023-05-15T00:00:00Z"/><d v="2023-04-09T00:00:00Z"/><d v="2023-02-23T00:00:00Z"/><d v="2023-10-17T00:00:00Z"/><d v="2011-11-01T00:00:00Z"/><d v="2017-09-08T00:00:00Z"/><d v="2018-12-22T00:00:00Z"/><d v="2019-08-12T00:00:00Z"/><d v="2016-11-13T00:00:00Z"/><d v="2022-05-17T00:00:00Z"/><d v="2022-11-26T00:00:00Z"/><d v="2022-11-11T00:00:00Z"/><d v="2022-08-17T00:00:00Z"/><d v="2023-09-02T00:00:00Z"/><d v="2023-08-28T00:00:00Z"/><d v="2023-08-26T00:00:00Z"/><d v="2023-08-21T00:00:00Z"/><d v="2023-08-12T00:00:00Z"/><d v="2023-07-23T00:00:00Z"/><d v="2023-11-24T00:00:00Z"/><d v="2023-09-24T00:00:00Z"/><d v="2023-09-15T00:00:00Z"/><d v="2017-10-23T00:00:00Z"/><d v="2020-04-07T00:00:00Z"/><d v="2023-11-05T00:00:00Z"/><d v="2012-07-02T00:00:00Z"/><d v="2021-03-22T00:00:00Z"/><d v="2018-06-03T00:00:00Z"/><d v="2022-02-08T00:00:00Z"/><d v="2016-06-01T00:00:00Z"/><d v="2017-06-04T00:00:00Z"/><d v="2012-07-01T00:00:00Z"/><d v="2024-02-06T00:00:00Z"/><d v="2024-01-13T00:00:00Z"/><d v="2024-01-01T00:00:00Z"/><d v="2023-12-18T00:00:00Z"/><d v="2023-10-06T00:00:00Z"/><d v="2022-09-26T00:00:00Z"/><d v="2020-09-14T00:00:00Z"/><d v="2020-06-24T00:00:00Z"/><d v="2019-11-06T00:00:00Z"/><d v="2024-03-24T00:00:00Z"/><d v="2024-03-18T00:00:00Z"/><d v="2024-03-11T00:00:00Z"/><d v="2024-03-02T00:00:00Z"/><d v="2023-12-09T00:00:00Z"/><d v="2023-08-07T00:00:00Z"/><d v="2019-06-09T00:00:00Z"/><d v="2018-07-28T00:00:00Z"/><d v="2024-02-17T00:00:00Z"/><d v="2024-02-09T00:00:00Z"/><d v="2024-01-30T00:00:00Z"/><d v="2023-06-17T00:00:00Z"/><d v="2024-04-16T00:00:00Z"/><d v="2020-03-02T00:00:00Z"/><d v="2024-05-01T00:00:00Z"/><d v="2018-06-10T00:00:00Z"/><d v="2019-12-14T00:00:00Z"/><d v="2023-10-13T00:00:00Z"/><d v="2021-12-18T00:00:00Z"/><d v="2020-11-04T00:00:00Z"/><d v="2018-11-25T00:00:00Z"/><d v="2015-06-15T00:00:00Z"/><d v="2023-12-01T00:00:00Z"/><d v="2023-11-21T00:00:00Z"/><d v="2019-05-14T00:00:00Z"/><d v="2023-09-18T00:00:00Z"/><d v="2023-09-22T00:00:00Z"/><d v="2014-07-05T00:00:00Z"/><d v="2017-09-14T00:00:00Z"/><d v="2019-12-28T00:00:00Z"/><d v="2020-11-18T00:00:00Z"/><d v="2020-12-21T00:00:00Z"/><d v="2018-10-03T00:00:00Z"/><d v="2022-12-01T00:00:00Z"/><d v="2022-08-07T00:00:00Z"/><d v="2017-01-01T00:00:00Z"/><d v="2016-06-14T00:00:00Z"/><d v="2024-05-04T00:00:00Z"/><d v="2021-06-20T00:00:00Z"/><d v="2023-04-01T00:00:00Z"/><d v="2017-04-27T00:00:00Z"/><d v="2022-06-06T00:00:00Z"/><d v="2016-11-21T00:00:00Z"/><d v="2020-02-20T00:00:00Z"/><d v="2018-02-20T00:00:00Z"/><d v="2004-05-01T00:00:00Z"/><d v="2016-06-05T00:00:00Z"/><d v="2010-10-01T00:00:00Z"/><d v="2017-06-24T00:00:00Z"/><d v="2022-06-14T00:00:00Z"/><d v="2019-07-17T00:00:00Z"/><d v="2018-07-30T00:00:00Z"/><d v="2017-06-10T00:00:00Z"/><d v="2023-08-03T00:00:00Z"/><d v="2011-03-17T00:00:00Z"/><d v="2018-09-10T00:00:00Z"/><d v="2023-12-10T00:00:00Z"/><d v="2023-06-05T00:00:00Z"/><d v="2008-10-20T00:00:00Z"/><d v="2018-04-17T00:00:00Z"/><d v="2018-08-04T00:00:00Z"/><d v="2019-07-09T00:00:00Z"/><d v="2022-07-10T00:00:00Z"/><d v="2022-01-04T00:00:00Z"/><d v="2021-11-13T00:00:00Z"/><d v="2021-11-06T00:00:00Z"/><d v="2021-10-25T00:00:00Z"/><d v="2021-10-16T00:00:00Z"/><d v="2017-04-02T00:00:00Z"/><d v="2012-02-16T00:00:00Z"/><d v="2019-07-06T00:00:00Z"/><d v="2017-06-01T00:00:00Z"/><d v="2020-01-04T00:00:00Z"/><d v="2018-06-26T00:00:00Z"/><d v="2019-11-10T00:00:00Z"/><d v="2020-10-17T00:00:00Z"/><d v="2009-10-06T00:00:00Z"/><d v="2020-08-04T00:00:00Z"/><d v="2020-10-28T00:00:00Z"/><d v="2020-07-11T00:00:00Z"/><d v="2011-09-01T00:00:00Z"/><d v="2020-01-18T00:00:00Z"/><d v="2016-01-02T00:00:00Z"/><d v="2019-04-18T00:00:00Z"/><d v="2009-09-01T00:00:00Z"/><d v="2018-09-24T00:00:00Z"/><d v="2010-09-01T00:00:00Z"/><d v="2021-09-12T00:00:00Z"/><d v="2015-08-24T00:00:00Z"/><d v="2016-04-16T00:00:00Z"/><d v="2021-08-24T00:00:00Z"/><d v="2018-07-23T00:00:00Z"/><d v="2016-01-16T00:00:00Z"/><d v="2012-04-01T00:00:00Z"/><d v="2020-09-24T00:00:00Z"/><d v="2021-07-24T00:00:00Z"/><d v="2021-10-03T00:00:00Z"/><d v="2019-01-26T00:00:00Z"/><d v="2021-10-02T00:00:00Z"/><d v="2015-08-16T00:00:00Z"/><d v="2020-05-09T00:00:00Z"/><d v="2020-11-03T00:00:00Z"/><d v="2020-07-15T00:00:00Z"/><d v="2020-04-03T00:00:00Z"/><d v="2020-05-16T00:00:00Z"/><d v="2019-09-11T00:00:00Z"/><d v="2021-09-19T00:00:00Z"/><d v="2021-10-09T00:00:00Z"/><d v="2018-03-02T00:00:00Z"/><d v="2020-02-23T00:00:00Z"/><d v="2004-03-10T00:00:00Z"/><d v="2018-01-13T00:00:00Z"/><d v="2013-06-01T00:00:00Z"/><d v="2015-10-01T00:00:00Z"/><d v="2015-12-16T00:00:00Z"/><d v="2019-03-07T00:00:00Z"/><d v="2016-05-01T00:00:00Z"/><d v="2019-08-06T00:00:00Z"/><d v="2021-07-14T00:00:00Z"/><d v="2019-03-22T00:00:00Z"/><d v="2020-10-15T00:00:00Z"/><d v="2015-03-15T00:00:00Z"/><d v="2021-08-28T00:00:00Z"/><d v="2019-06-08T00:00:00Z"/><d v="2008-11-08T00:00:00Z"/><d v="2009-07-08T00:00:00Z"/><d v="2009-06-18T00:00:00Z"/><d v="2007-04-15T00:00:00Z"/><d v="2011-06-01T00:00:00Z"/><d v="2004-04-05T00:00:00Z"/><d v="2019-09-03T00:00:00Z"/><d v="2009-01-25T00:00:00Z"/><d v="2018-03-18T00:00:00Z"/><d v="2005-07-01T00:00:00Z"/><d v="2018-05-23T00:00:00Z"/><d v="2020-03-01T00:00:00Z"/><d v="2011-09-16T00:00:00Z"/><d v="2019-05-07T00:00:00Z"/><d v="2018-08-01T00:00:00Z"/><d v="2019-06-22T00:00:00Z"/><d v="2017-05-13T00:00:00Z"/><d v="2017-05-17T00:00:00Z"/><d v="2018-12-25T00:00:00Z"/><d v="2008-08-01T00:00:00Z"/><d v="2009-05-18T00:00:00Z"/><d v="2020-10-13T00:00:00Z"/><d v="2011-12-01T00:00:00Z"/><d v="2015-10-10T00:00:00Z"/><d v="2020-03-06T00:00:00Z"/><d v="2020-08-23T00:00:00Z"/><d v="2023-04-13T00:00:00Z"/><d v="2023-04-03T00:00:00Z"/><d v="2023-04-02T00:00:00Z"/><d v="2023-03-10T00:00:00Z"/><d v="2023-03-05T00:00:00Z"/><d v="2023-02-26T00:00:00Z"/><d v="2023-02-21T00:00:00Z"/><d v="2023-02-08T00:00:00Z"/><d v="2023-02-07T00:00:00Z"/><d v="2023-01-23T00:00:00Z"/><d v="2023-01-16T00:00:00Z"/><d v="2023-01-10T00:00:00Z"/><d v="2023-01-09T00:00:00Z"/><d v="2023-01-07T00:00:00Z"/><d v="2023-01-01T00:00:00Z"/><d v="2022-12-26T00:00:00Z"/><d v="2022-12-24T00:00:00Z"/><d v="2022-12-19T00:00:00Z"/><d v="2022-12-12T00:00:00Z"/><d v="2022-12-10T00:00:00Z"/><d v="2022-12-06T00:00:00Z"/><d v="2022-11-23T00:00:00Z"/><d v="2022-11-08T00:00:00Z"/><d v="2022-03-20T00:00:00Z"/><d v="2015-09-01T00:00:00Z"/><d v="2021-09-30T00:00:00Z"/><d v="2020-07-04T00:00:00Z"/><d v="2019-01-07T00:00:00Z"/><d v="2021-05-04T00:00:00Z"/><d v="2020-08-15T00:00:00Z"/><d v="2017-02-19T00:00:00Z"/><d v="2015-10-20T00:00:00Z"/><d v="2021-07-19T00:00:00Z"/><d v="2020-06-14T00:00:00Z"/><d v="2013-10-01T00:00:00Z"/><d v="2021-02-22T00:00:00Z"/><d v="2021-05-29T00:00:00Z"/><d v="2021-09-26T00:00:00Z"/><d v="2012-07-16T00:00:00Z"/><d v="2023-11-10T00:00:00Z"/><d v="2023-08-13T00:00:00Z"/><d v="2023-08-11T00:00:00Z"/><d v="2023-08-04T00:00:00Z"/><d v="2023-07-22T00:00:00Z"/><d v="2023-07-18T00:00:00Z"/><d v="2023-06-19T00:00:00Z"/><d v="2023-06-12T00:00:00Z"/><d v="2023-06-10T00:00:00Z"/><d v="2023-05-17T00:00:00Z"/><d v="2023-05-10T00:00:00Z"/><d v="2023-05-08T00:00:00Z"/><d v="2023-05-01T00:00:00Z"/><d v="2022-06-15T00:00:00Z"/><d v="2022-05-14T00:00:00Z"/><d v="2022-02-09T00:00:00Z"/><d v="2021-10-18T00:00:00Z"/><d v="2021-02-02T00:00:00Z"/><d v="2020-03-10T00:00:00Z"/><d v="2018-10-05T00:00:00Z"/><d v="2019-01-12T00:00:00Z"/><d v="2018-03-10T00:00:00Z"/><d v="2023-05-02T00:00:00Z"/><d v="2018-11-20T00:00:00Z"/><d v="2019-10-21T00:00:00Z"/><d v="2013-11-01T00:00:00Z"/><d v="2010-08-07T00:00:00Z"/><d v="2018-10-15T00:00:00Z"/><d v="2013-08-16T00:00:00Z"/><d v="2018-05-15T00:00:00Z"/><d v="2016-02-01T00:00:00Z"/><d v="2020-08-08T00:00:00Z"/><d v="2020-10-05T00:00:00Z"/><d v="2008-07-16T00:00:00Z"/><d v="2021-03-13T00:00:00Z"/><d v="2012-01-01T00:00:00Z"/><d v="2021-03-01T00:00:00Z"/><d v="2021-06-05T00:00:00Z"/><d v="2020-10-03T00:00:00Z"/><d v="2021-04-25T00:00:00Z"/><d v="2017-12-03T00:00:00Z"/><d v="2018-06-23T00:00:00Z"/><d v="2016-05-21T00:00:00Z"/><d v="2018-08-20T00:00:00Z"/><d v="2020-09-09T00:00:00Z"/><d v="2018-11-10T00:00:00Z"/><d v="2012-05-01T00:00:00Z"/><d v="2007-07-01T00:00:00Z"/><d v="2009-07-19T00:00:00Z"/><d v="2021-01-12T00:00:00Z"/><d v="2016-03-01T00:00:00Z"/><d v="2021-04-04T00:00:00Z"/><d v="2016-02-16T00:00:00Z"/><d v="2021-04-22T00:00:00Z"/><d v="2023-11-19T00:00:00Z"/><d v="2023-09-09T00:00:00Z"/><d v="2023-08-25T00:00:00Z"/><d v="2022-06-25T00:00:00Z"/><d v="2022-06-04T00:00:00Z"/><d v="2022-05-21T00:00:00Z"/><d v="2018-03-26T00:00:00Z"/><d v="2008-04-01T00:00:00Z"/><d v="2019-12-16T00:00:00Z"/><d v="2016-11-23T00:00:00Z"/><d v="2017-07-15T00:00:00Z"/><d v="2018-04-21T00:00:00Z"/><d v="2013-07-01T00:00:00Z"/><d v="2004-09-06T00:00:00Z"/><d v="2014-08-26T00:00:00Z"/><d v="2021-07-06T00:00:00Z"/><d v="2018-10-10T00:00:00Z"/><d v="2019-08-22T00:00:00Z"/><d v="2021-01-24T00:00:00Z"/><d v="2020-04-10T00:00:00Z"/><d v="2023-07-15T00:00:00Z"/><d v="2022-12-05T00:00:00Z"/><d v="2022-11-21T00:00:00Z"/><d v="2022-10-18T00:00:00Z"/><d v="2022-08-23T00:00:00Z"/><d v="2022-07-16T00:00:00Z"/><d v="2022-02-06T00:00:00Z"/><d v="2022-01-25T00:00:00Z"/><d v="2021-11-16T00:00:00Z"/><d v="2016-10-01T00:00:00Z"/><d v="2016-07-26T00:00:00Z"/><d v="2019-05-26T00:00:00Z"/><d v="2019-12-22T00:00:00Z"/><d v="2019-04-11T00:00:00Z"/><d v="2021-05-01T00:00:00Z"/><d v="2009-06-06T00:00:00Z"/><d v="2019-07-23T00:00:00Z"/><d v="2010-02-01T00:00:00Z"/><d v="2021-03-11T00:00:00Z"/><d v="2011-06-19T00:00:00Z"/><d v="2021-07-17T00:00:00Z"/><d v="2019-12-04T00:00:00Z"/><d v="2009-07-01T00:00:00Z"/><d v="2004-12-17T00:00:00Z"/><d v="2011-07-01T00:00:00Z"/><d v="2015-08-18T00:00:00Z"/><d v="2009-02-08T00:00:00Z"/><d v="2022-05-30T00:00:00Z"/><d v="2020-05-11T00:00:00Z"/><d v="2015-07-07T00:00:00Z"/><d v="2018-10-17T00:00:00Z"/><d v="2009-06-01T00:00:00Z"/><d v="2010-06-01T00:00:00Z"/><d v="2021-06-26T00:00:00Z"/><d v="2019-08-10T00:00:00Z"/><d v="2016-06-23T00:00:00Z"/><d v="2015-11-14T00:00:00Z"/><d v="2017-02-14T00:00:00Z"/><d v="2017-12-16T00:00:00Z"/><d v="2015-09-06T00:00:00Z"/><d v="2021-08-15T00:00:00Z"/><d v="2020-12-26T00:00:00Z"/><d v="2020-04-13T00:00:00Z"/><d v="2010-04-01T00:00:00Z"/><d v="2024-04-21T00:00:00Z"/><d v="2024-01-23T00:00:00Z"/><d v="2024-04-23T00:00:00Z"/><d v="2024-04-20T00:00:00Z"/><d v="2017-02-26T00:00:00Z"/><d v="2017-06-05T00:00:00Z"/><d v="2020-05-27T00:00:00Z"/><d v="2024-01-06T00:00:00Z"/><d v="2024-04-01T00:00:00Z"/><d v="1994-12-25T00:00:00Z"/><d v="2024-02-02T00:00:00Z"/><d v="2010-12-01T00:00:00Z"/><d v="2012-06-03T00:00:00Z"/><d v="2020-06-01T00:00:00Z"/><d v="2022-05-24T00:00:00Z"/><d v="2023-01-17T00:00:00Z"/><d v="2019-11-25T00:00:00Z"/><d v="2022-04-07T00:00:00Z"/><d v="2020-12-03T00:00:00Z"/><d v="2017-11-05T00:00:00Z"/><d v="2022-06-27T00:00:00Z"/><d v="2024-02-03T00:00:00Z"/><d v="2006-12-18T00:00:00Z"/><d v="2021-08-16T00:00:00Z"/><d v="2017-06-27T00:00:00Z"/><d v="2023-08-19T00:00:00Z"/><d v="2024-03-22T00:00:00Z"/><d v="2024-03-08T00:00:00Z"/><d v="2023-08-15T00:00:00Z"/><d v="2020-12-19T00:00:00Z"/><d v="2020-08-09T00:00:00Z"/><d v="2023-07-25T00:00:00Z"/><d v="2018-04-22T00:00:00Z"/><d v="2017-07-08T00:00:00Z"/><d v="2022-08-27T00:00:00Z"/><d v="2011-05-08T00:00:00Z"/><d v="2024-03-15T00:00:00Z"/><d v="2017-03-01T00:00:00Z"/><d v="2010-03-05T00:00:00Z"/><d v="2024-02-16T00:00:00Z"/><d v="2018-10-20T00:00:00Z"/><d v="2022-08-05T00:00:00Z"/><d v="2020-08-10T00:00:00Z"/><d v="2011-04-14T00:00:00Z"/><d v="2020-09-10T00:00:00Z"/><d v="2017-12-04T00:00:00Z"/><d v="2024-02-04T00:00:00Z"/><d v="2008-06-01T00:00:00Z"/><d v="2022-11-20T00:00:00Z"/><d v="2021-01-04T00:00:00Z"/><d v="2020-02-04T00:00:00Z"/><d v="2020-02-28T00:00:00Z"/><d v="2011-11-15T00:00:00Z"/><d v="2012-09-01T00:00:00Z"/><d v="2011-11-04T00:00:00Z"/><d v="2018-01-04T00:00:00Z"/><d v="2022-09-19T00:00:00Z"/><d v="2018-09-21T00:00:00Z"/><d v="2018-07-11T00:00:00Z"/><d v="2023-11-26T00:00:00Z"/><d v="2008-07-01T00:00:00Z"/><d v="2023-06-14T00:00:00Z"/><d v="2022-11-07T00:00:00Z"/><d v="2023-01-18T00:00:00Z"/><d v="2022-10-03T00:00:00Z"/><d v="2022-08-02T00:00:00Z"/><d v="2022-07-17T00:00:00Z"/><d v="2022-07-23T00:00:00Z"/><d v="2022-05-11T00:00:00Z"/><d v="2022-04-04T00:00:00Z"/><d v="2018-11-04T00:00:00Z"/><d v="2022-07-21T00:00:00Z"/><d v="2014-09-03T00:00:00Z"/><d v="2015-11-01T00:00:00Z"/><d v="2020-10-19T00:00:00Z"/><d v="2019-06-12T00:00:00Z"/><d v="2018-10-06T00:00:00Z"/><d v="2019-09-12T00:00:00Z"/><d v="2017-08-12T00:00:00Z"/><d v="2018-09-19T00:00:00Z"/><d v="2020-01-28T00:00:00Z"/><d v="2010-06-19T00:00:00Z"/><d v="2021-03-04T00:00:00Z"/><d v="2017-10-15T00:00:00Z"/><d v="2014-09-01T00:00:00Z"/><d v="2021-01-07T00:00:00Z"/><d v="2011-12-25T00:00:00Z"/><d v="2018-02-14T00:00:00Z"/><d v="2018-09-23T00:00:00Z"/><d v="2019-05-13T00:00:00Z"/><d v="2007-09-05T00:00:00Z"/><d v="2020-09-17T00:00:00Z"/><d v="2018-02-08T00:00:00Z"/><d v="2017-07-01T00:00:00Z"/><d v="2019-09-26T00:00:00Z"/><d v="2007-01-15T00:00:00Z"/><d v="2020-01-19T00:00:00Z"/><d v="2018-09-12T00:00:00Z"/><d v="2007-06-01T00:00:00Z"/><d v="2018-05-24T00:00:00Z"/><d v="2017-10-21T00:00:00Z"/><d v="2018-09-30T00:00:00Z"/><d v="2023-06-26T00:00:00Z"/><d v="2022-03-18T00:00:00Z"/><d v="2019-10-06T00:00:00Z"/><d v="2009-11-15T00:00:00Z"/><d v="2018-05-27T00:00:00Z"/><d v="2009-08-01T00:00:00Z"/><d v="2007-03-12T00:00:00Z"/><d v="2008-10-02T00:00:00Z"/><d v="2018-03-08T00:00:00Z"/><d v="2022-09-06T00:00:00Z"/><d v="2023-10-02T00:00:00Z"/><d v="2023-07-21T00:00:00Z"/><d v="2018-06-04T00:00:00Z"/><d v="2022-09-30T00:00:00Z"/><d v="2018-09-17T00:00:00Z"/><d v="2022-09-02T00:00:00Z"/><d v="2023-11-14T00:00:00Z"/><d v="2019-12-08T00:00:00Z"/><d v="2019-12-07T00:00:00Z"/><d v="2023-09-11T00:00:00Z"/><d v="2023-01-24T00:00:00Z"/><d v="2022-08-13T00:00:00Z"/><d v="2022-06-01T00:00:00Z"/><d v="2017-02-20T00:00:00Z"/><d v="2020-01-29T00:00:00Z"/><d v="2018-01-27T00:00:00Z"/><d v="2020-01-11T00:00:00Z"/><d v="2021-06-01T00:00:00Z"/><d v="2019-12-17T00:00:00Z"/><d v="2020-07-21T00:00:00Z"/><d v="2020-06-16T00:00:00Z"/><d v="2020-12-22T00:00:00Z"/><d v="2018-01-29T00:00:00Z"/><d v="2023-09-17T00:00:00Z"/><d v="2015-05-12T00:00:00Z"/><d v="2023-02-28T00:00:00Z"/><d v="2006-11-01T00:00:00Z"/><d v="2019-12-19T00:00:00Z"/><d v="2018-06-24T00:00:00Z"/><d v="2014-12-22T00:00:00Z"/><d v="2007-08-01T00:00:00Z"/><d v="2016-07-19T00:00:00Z"/><d v="2014-08-16T00:00:00Z"/><d v="2019-09-30T00:00:00Z"/><d v="2011-06-13T00:00:00Z"/><d v="2020-10-21T00:00:00Z"/><d v="2010-10-16T00:00:00Z"/><d v="2023-11-17T00:00:00Z"/><d v="2023-09-05T00:00:00Z"/><d v="2023-09-01T00:00:00Z"/><d v="2023-07-08T00:00:00Z"/><d v="2012-11-01T00:00:00Z"/><d v="2022-07-09T00:00:00Z"/><d v="2020-06-03T00:00:00Z"/><d v="2017-11-26T00:00:00Z"/><d v="2018-09-03T00:00:00Z"/><d v="2020-05-14T00:00:00Z"/><d v="2023-07-01T00:00:00Z"/><d v="2023-02-15T00:00:00Z"/><d v="2022-11-27T00:00:00Z"/><d v="2022-10-28T00:00:00Z"/><d v="2022-05-22T00:00:00Z"/><d v="2022-05-01T00:00:00Z"/><d v="2020-02-12T00:00:00Z"/><d v="2012-05-16T00:00:00Z"/><d v="2021-06-08T00:00:00Z"/><d v="2011-02-03T00:00:00Z"/><d v="2017-06-21T00:00:00Z"/><d v="2019-10-08T00:00:00Z"/><d v="2016-08-09T00:00:00Z"/><d v="2018-07-09T00:00:00Z"/><d v="2021-05-28T00:00:00Z"/><d v="2018-08-12T00:00:00Z"/><d v="2007-05-01T00:00:00Z"/><d v="2015-06-10T00:00:00Z"/><d v="2020-05-12T00:00:00Z"/><d v="2022-09-08T00:00:00Z"/><d v="2023-12-19T00:00:00Z"/><d v="2017-04-21T00:00:00Z"/><d v="2015-12-23T00:00:00Z"/><d v="2022-12-07T00:00:00Z"/><d v="2015-08-04T00:00:00Z"/><d v="2008-09-01T00:00:00Z"/><d v="2023-06-27T00:00:00Z"/><d v="2018-07-03T00:00:00Z"/><d v="2005-06-15T00:00:00Z"/><d v="2018-02-22T00:00:00Z"/><d v="2013-11-16T00:00:00Z"/><d v="2010-05-01T00:00:00Z"/><d v="2014-06-01T00:00:00Z"/><d v="2006-01-03T00:00:00Z"/><d v="2007-06-15T00:00:00Z"/><d v="2021-06-21T00:00:00Z"/><d v="2008-01-01T00:00:00Z"/><d v="2020-04-28T00:00:00Z"/><d v="2009-10-01T00:00:00Z"/><d v="2022-11-13T00:00:00Z"/><d v="2022-07-13T00:00:00Z"/><d v="2022-06-05T00:00:00Z"/><d v="2022-01-10T00:00:00Z"/><d v="2021-12-15T00:00:00Z"/><d v="2021-12-06T00:00:00Z"/><d v="2018-07-07T00:00:00Z"/><d v="2006-08-01T00:00:00Z"/><d v="2021-08-08T00:00:00Z"/><d v="2021-09-06T00:00:00Z"/><d v="2022-03-22T00:00:00Z"/><d v="2010-02-02T00:00:00Z"/><d v="2021-03-16T00:00:00Z"/><d v="2018-10-01T00:00:00Z"/><d v="2021-02-17T00:00:00Z"/><d v="2020-02-29T00:00:00Z"/><d v="2018-04-23T00:00:00Z"/><d v="2010-11-01T00:00:00Z"/><d v="2016-05-16T00:00:00Z"/><d v="2011-08-05T00:00:00Z"/><d v="2018-04-10T00:00:00Z"/><d v="2006-09-01T00:00:00Z"/><d v="2006-10-01T00:00:00Z"/><d v="2017-04-08T00:00:00Z"/><d v="2009-03-15T00:00:00Z"/><d v="2010-09-15T00:00:00Z"/><d v="2016-05-04T00:00:00Z"/><d v="2014-02-02T00:00:00Z"/><d v="2018-05-31T00:00:00Z"/><d v="2015-06-12T00:00:00Z"/><d v="2020-02-18T00:00:00Z"/><d v="2015-12-13T00:00:00Z"/><d v="2017-12-24T00:00:00Z"/><d v="2023-01-15T00:00:00Z"/><d v="2022-02-21T00:00:00Z"/><d v="2009-11-01T00:00:00Z"/><d v="2003-11-01T00:00:00Z"/><d v="2023-09-26T00:00:00Z"/><d v="2022-04-22T00:00:00Z"/><d v="2019-07-27T00:00:00Z"/><d v="2019-04-12T00:00:00Z"/><d v="2018-10-09T00:00:00Z"/><d v="2016-06-15T00:00:00Z"/><d v="2021-01-09T00:00:00Z"/><d v="2018-07-16T00:00:00Z"/><d v="1999-01-01T00:00:00Z"/><d v="2005-07-20T00:00:00Z"/><d v="2005-03-07T00:00:00Z"/><d v="2018-11-05T00:00:00Z"/><d v="2021-09-27T00:00:00Z"/><d v="2015-06-01T00:00:00Z"/><d v="2010-07-26T00:00:00Z"/><d v="2020-04-16T00:00:00Z"/><d v="2003-09-15T00:00:00Z"/><d v="2010-10-23T00:00:00Z"/><d v="2021-09-16T00:00:00Z"/><d v="2023-03-17T00:00:00Z"/><d v="2022-09-20T00:00:00Z"/><d v="2022-01-30T00:00:00Z"/><d v="2021-09-20T00:00:00Z"/><d v="2013-08-01T00:00:00Z"/><d v="2021-09-03T00:00:00Z"/><d v="1997-01-01T00:00:00Z"/><d v="2001-05-01T00:00:00Z"/><d v="2020-11-08T00:00:00Z"/><d v="2022-05-16T00:00:00Z"/><d v="2016-08-01T00:00:00Z"/><d v="2016-10-29T00:00:00Z"/><d v="2018-12-09T00:00:00Z"/><d v="2019-10-30T00:00:00Z"/><d v="2016-07-04T00:00:00Z"/><d v="2021-11-28T00:00:00Z"/><d v="2020-11-16T00:00:00Z"/><d v="2021-05-25T00:00:00Z"/><d v="2021-08-07T00:00:00Z"/><d v="2022-10-04T00:00:00Z"/><d v="2022-05-10T00:00:00Z"/><d v="2022-05-07T00:00:00Z"/><d v="2022-05-03T00:00:00Z"/><d v="2022-07-25T00:00:00Z"/><d v="2022-04-15T00:00:00Z"/><d v="2017-05-09T00:00:00Z"/><d v="2021-03-27T00:00:00Z"/><d v="2022-03-06T00:00:00Z"/><d v="2018-08-25T00:00:00Z"/><d v="2016-07-16T00:00:00Z"/><d v="2020-09-06T00:00:00Z"/><d v="2021-12-11T00:00:00Z"/><d v="2021-12-09T00:00:00Z"/><d v="2021-12-08T00:00:00Z"/><d v="2021-12-04T00:00:00Z"/><d v="2006-03-21T00:00:00Z"/><d v="2021-08-04T00:00:00Z"/></sharedItems></cacheField><cacheField name="Đơn vị công tác cấp 1" numFmtId="0"><sharedItems><s v="Văn phòng MISA Tp Hồ Chí Minh"/><s v="Văn phòng Tổng công ty"/><s v="Văn phòng MISA Cần Thơ"/><s v="Văn phòng MISA Hà Nội"/><s v="Khối sản xuất"/><s v="Trung tâm Tư vấn &amp; Hỗ trợ khách hàng"/><s v="Văn phòng MISA Buôn Ma Thuột"/><s v="Văn phòng MISA Đà Nẵng"/><s v="Công ty CP JETPAY"/><s v="Viện Đổi mới doanh nghiệp"/></sharedItems></cacheField><cacheField name="Đơn vị công tác cấp 2" numFmtId="0"><sharedItems><s v="Trung tâm KD bán thêm"/><s v="Trung tâm KD Giải pháp DN vừa"/><s v="Ban nhân sự"/><s v="Trung tâm Kinh doanh Hành chính sự nghiệp"/><s v="Phòng KD bán thêm"/><s v="Trung tâm KD Online"/><s v="Phòng Quản trị nguồn nhân lực"/><s v="Trung tâm KD Giải pháp bán lẻ"/><s v="Trung tâm KD giải pháp KTDN"/><s v="Khối sản phẩm Doanh nghiệp"/><s v="Khối Nền tảng Giáo dục"/><s v="Khối sản phẩm Hộ cá thể"/><s v="Phòng Tư vấn MISA 03"/><s v="Ban An ninh thông tin"/><s v="Phòng Quan hệ cộng đồng"/><s v="Khối sản phẩm Hành chính sự nghiệp"/><s v="Phòng Hỗ trợ kỹ thuật"/><s v="Viện Công nghệ"/><s v="Phòng chuyển giao"/><s v="Phòng kinh doanh mạng lưới"/><s v="Ban phát triển kinh doanh"/><s v="Phòng Hành chính tổng hợp"/><s v="Phòng Kế toán"/><s v="Văn phòng Sản xuất"/><s v="Phòng KD Giải pháp bán lẻ"/><s v="Phòng KD Giải pháp KTDN"/><s v="Nhóm chuyển giao"/><s v="Nhóm KD Mạng lưới"/><s v="Phòng Kinh doanh Hành chính sự nghiệp"/><s v="Nhóm KD GPDN vừa"/><s v="Phòng Tư vấn MISA 02"/><s v="Khối Nền tảng Thị trường nước ngoài"/><s v="Ban Nghiên cứu thị trường &amp; Sản phẩm"/><s v="Phòng HCTH"/><s v="Phòng CS 01"/><s v="Nền tảng QLGD MISA EMIS"/><s v="Ban phát triển MISA ASP"/><s v="Phòng Phát triển sản phẩm"/><s v="Phòng kinh doanh &amp; marketing"/><s v="Phòng Tư vấn MISA 01"/><s v="Phòng CS 03"/><s v="Phòng CS 02"/><s v="Ban Công nghệ thông tin"/><s v="Phòng Tư vấn MISA 04"/><s v="Trung tâm KD GP DN lớn"/><s v="Khối Nền tảng Kế toán dịch vụ"/><s v="Phòng Phát triển thị trường nước ngoài"/><s v="Ban đảm bảo chất lượng"/><s v="Nhóm bài viết"/><s v="Phòng Đảm bảo chất lượng"/><s v="Phòng Quản trị hệ thống"/><s v="Ban Giám đốc Khối sản xuất"/><s v="Khối sản phẩm Cá nhân"/><s v="Ban Phát triển đối tác"/><s v="Trung tâm chuyển giao"/><s v="Hội đồng Quản trị"/><s v="Ban Quản lý chứng thư số"/><s v="Ban Giám đốc Văn phòng"/><s v="Ban điều hành"/><s v="Phòng Giám sát vận hành"/><s v="Ban giám đốc VP"/><s v="Nhóm kỹ thuật và hỗ trợ"/><s v="Ban Quản lý kinh doanh"/><s v="Nhóm HCTH"/><s v="Khối KD khách hàng cá nhân"/><s v="Phòng Kế hoạch đầu tư"/><s v="Ban Pháp chế"/><s v="Ban Giám đốc"/><s v="Ban Giám đốc TT TV&amp;HTKH"/></sharedItems></cacheField><cacheField name="Đơn vị công tác cấp 3" numFmtId="0"><sharedItems containsBlank="1"><s v="Phòng Bán thêm GP Ký điện tử"/><s v="Phòng KD MISA AMIS kế toán 2"/><s v="Phòng KD MISA AMIS kế toán 1"/><s v="Phòng KD MISA AMIS bán hàng 1"/><m/><s v="Phòng KD HCSN 03"/><s v="Nhóm KD bán thêm GP hóa đơn điện tử"/><s v="Khối MKT"/><s v="Phòng bán thêm GP HĐĐT"/><s v="Khối KD eShop"/><s v="Phòng KD MISA AMIS điều hành"/><s v="Phòng KD bán mới KTDN 3"/><s v="Phòng KD bán mới KTDN 8"/><s v="Phòng KD bán mới KTDN 4"/><s v="Phòng bán thêm GP KTDN"/><s v="Phòng KD MISA AMIS nhân sự"/><s v="Sản phẩm MISA meInvoice - Xăng dầu"/><s v="Sản phẩm AMIS Platform Core"/><s v="Phòng chuyển giao"/><s v="Sản phẩm MISA EMIS"/><s v="Sản phẩm eShop (TTVN)"/><s v="Nhóm Tư vấn MISA 09"/><s v="Ban giám đốc truyền thông"/><s v="Sản phẩm MISA SalaGov"/><s v="Phòng nghiên cứu công nghệ"/><s v="Nhóm chuyển giao giải pháp KTDN"/><s v="Nhóm chuyển giao giải pháp hóa đơn điện tử"/><s v="Phòng KD MEI Dự án"/><s v="Phòng KD chuyển đổi GP KTDN"/><s v="Phòng KD GPKT HKD 01"/><s v="Khối KD CUKCUK"/><s v="Phòng KD bán thêm 02"/><s v="Nhóm chuyển giao"/><s v="Phòng KD bán thêm 03"/><s v="Phòng KD bán thêm 01"/><s v="Phòng KD bán mới KTDN 5"/><s v="Phòng KD bán mới KTDN 7"/><s v="Phòng Triển khai &amp; CSKH 02"/><s v="Phòng KD bán mới KTDN 1"/><s v="Phòng Triển khai &amp; CSKH 01"/><s v="Phòng KD HCSN 02"/><s v="Phòng KD HCSN 04"/><s v="Phòng KD HCSN 01"/><s v="Ban giám đốc TTKD GP Bán lẻ"/><s v="Nhóm chuyển giao GP KTDN"/><s v="Nhóm chuyển giao GP Hóa đơn điện tử"/><s v="Phòng KD Meinvoice Dự án"/><s v="Khối KD GP HDDT"/><s v="Phòng KD bán thêm 2"/><s v="Phòng KD bán thêm 1"/><s v="Phòng KD MISA AMIS kế toán 3"/><s v="Phòng KD bán mới KTDN 6"/><s v="Phòng KD bán mới KTDN 2"/><s v="Phòng Triển khai &amp; CSKH"/><s v="Khối KD GPKT DN"/><s v="Khối KD GPKT HKD"/><s v="Khối KD Ký điện tử"/><s v="Phòng KD HDDT, HKD, KDT"/><s v="Ban giám đốc TTKD Bán thêm"/><s v="Sản phẩm AMIS weSign"/><s v="Sản phẩm AMIS Operation"/><s v="Sản phẩm iVAN"/><s v="Sản phẩm Quản lý ngân sách (BUMAS)"/><s v="Phòng Quản trị nguồn nhân lực"/><s v="Nhóm KD bán thêm GP KTDN"/><s v="Nhóm GPKT HKD"/><s v="Phòng KD Giải pháp KTDN 01"/><s v="Nhóm triển khai và CSKH"/><s v="Nhóm Tư vấn MISA 05"/><s v="Sản phẩm CukCuk (TT Philippines)"/><s v="Nhóm Tư vấn MISA 12"/><s v="Phòng KD Giải pháp KTDN 02"/><s v="Dự án MISA Core Project"/><s v="Sản phẩm CukCuk (TTVN)"/><s v="Sản phẩm AMIS CRM (KH)"/><s v="Nhóm KD CUKCUK &amp; ESHOP"/><s v="Nhóm CS 01"/><s v="Nhóm Tư vấn MISA 10"/><s v="Sản phẩm MISA QLCB"/><s v="Sản phẩm AMIS HRM MISA"/><s v="Sản phẩm AMIS.VN Mobile"/><s v="Nhóm kinh doanh HCSN"/><s v="Sản phẩm MISA Lending"/><s v="Sản phẩm JETPAY"/><s v="Nhóm KD sản phẩm Lending"/><s v="Dự án Automation Test"/><s v="Sản phẩm AMIS Kế toán"/><s v="Sản phẩm AMIS C&amp;B"/><s v="Nhóm Tư vấn MISA 01"/><s v="Sản phẩm QLTS.VN"/><s v="Nhóm CS 06"/><s v="Nhóm CS 04"/><s v="Nhóm Tư vấn MISA 11"/><s v="Nhóm Tư vấn MISA 07"/><s v="Sản phẩm Customize"/><s v="Sản phẩm Automation Support"/><s v="Nhóm Tư vấn MISA 14"/><s v="Nhóm CS 03"/><s v="Dự án giám sát"/><s v="Sản phẩm CukCuk (TTNN)"/><s v="Sản phẩm QTKD Mobile"/><s v="Nhóm Xúc tiến"/><s v="Nhóm CS 02"/><s v="Sản phẩm AMIS Đánh giá"/><s v="Nhóm KD bán thêm chuyển đổi giải pháp KTDN"/><s v="Phòng KD GP DN lớn"/><s v="Nhóm Tư vấn MISA 03"/><s v="Sản phẩm MISA ASP"/><s v="Sản phẩm MISA Bamboo Online"/><s v="Sản phẩm MISA MIMOSA Online"/><s v="Sản phẩm Data Analytics"/><s v="Sản phẩm Automation Marketing"/><s v="Sản phẩm AMIS CRM (MISA)"/><s v="Sản phẩm CukCuk (TT Mỹ)"/><s v="Nhóm Tư vấn MISA 06"/><s v="Ban Giám đốc Khối SP Doanh nghiệp"/><s v="Nhóm Tư vấn MISA 13"/><s v="Sản phẩm Automation Sales"/><s v="Sản phẩm MISA eSign"/><s v="Sản phẩm MISA meInvoice"/><s v="Sản phẩm MISA CeGov"/><s v="Nhóm chuyên gia Khối SP Doanh nghiệp"/><s v="Sản phẩm Tổng hợp báo cáo tài chính HCSN (LEKIMA)"/><s v="Ban Giám đốc Khối SP HCSN"/><s v="Sản phẩm Mimosa.NET"/><s v="Nhóm chuyên gia Ban CNTT"/><s v="Sản phẩm AMIS TMS"/><s v="Phòng Hành chính tổng hợp"/><s v="Nhóm chuyên gia Khối Nền tảng GD"/><s v="Nhóm chuyên gia Khối SP HCSN"/><s v="Sản phẩm AMIS Quản lý Tài sản"/><s v="Sản phẩm AMIS Mua hàng"/><s v="Sản phẩm MISA TaskGo"/><s v="Sản phẩm MISA MoneyKeeper"/><s v="Phòng Quan hệ cộng đồng"/><s v="Ban Giám đốc - Ban CNTT"/><s v="Sản phẩm AMIS Kế toán (HKD)"/><s v="Nhóm chuyên gia Khối SP Hộ cá thể"/><s v="Ban Giám đốc Văn phòng SX"/><s v="Sản phẩm MISA Panda Online"/><s v="Ban giám đốc Viện công nghệ"/><s v="Ban giám đốc"/><s v="Ban Tổng giám đốc"/><s v="Nhóm Tư vấn MISA 02"/><s v="Nhóm KD HCSN"/><s v="Nhóm Tư vấn MISA 04"/><s v="Nhóm CS 05"/><s v="Nhóm triển khai và chăm sóc khách hàng"/><s v="Nhóm KD sản phẩm Bankhub"/><s v="Ban giám đốc TT Kinh doanh Hành chính sự nghiệp"/><s v="Nhóm chuyển giao GP bán lẻ"/><s v="Nhóm KD bán thêm chuyển đổi KTDN"/><s v="Ban Giám đốc Trung tâm HCSN"/><s v="Nhóm KD bán thêm chuyển đổi GP KTDN"/><s v="Ban GĐ TTKD Online"/><s v="Ban giám đốc TTKD GP KTDN"/><s v="Ban Giám đốc TTKD DN Lớn"/><s v="Ban giám đốc Khối DA Hộ cá thể"/></sharedItems></cacheField><cacheField name="Mã đơn vị công tác" numFmtId="0"><sharedItems><s v="L05.33.07"/><s v="L05.30.02"/><s v="L05.30.01"/><s v="L05.30.05"/><s v="L03.25"/><s v="L05.03.14.02"/><s v="L08.18.03"/><s v="L03.34.07.03"/><s v="L04.15"/><s v="L04.33.03.01"/><s v="L04.32.02.01"/><s v="L04.30.03"/><s v="L04.29.04"/><s v="L04.29.09"/><s v="L04.29.05"/><s v="L04.33.07"/><s v="L04.30.02"/><s v="L04.33.02.02"/><s v="L04.30.04"/><s v="L01.28..25.02"/><s v="L01.28..25.01"/><s v="L01.28.24.01"/><s v="L01.28.24.02"/><s v="L04.30.06"/><s v="L04.30.01"/><s v="L04.33.02.01"/><s v="L04.33.03.03"/><s v="L04.33.03.02"/><s v="L01.33.02.03"/><s v="L01.30.03.03"/><s v="L02.13.03"/><s v="L01.18"/><s v="L03.05.01"/><s v="L01.29.12.01"/><s v="L01.33.02.05"/><s v="L01.24"/><s v="L01.35.02.02"/><s v="L04.35.01"/><s v="L04.35.02"/><s v="L04.33.08"/><s v="L04.33.05.02"/><s v="L04.32.04"/><s v="L04.32.01.01"/><s v="L04.32.01.03"/><s v="L04.30.11.01"/><s v="L04.30.11.04"/><s v="L04.32.05"/><s v="L04.32.02.02"/><s v="L04.30.11.03"/><s v="L04.30.12"/><s v="L04.30.05"/><s v="L04.30.10.03"/><s v="L04.30.10.01"/><s v="L04.30.10.04"/><s v="L04.30.10.05"/><s v="L04.29.06"/><s v="L04.29.08"/><s v="L04.27"/><s v="L04.03.21.02"/><s v="L04.29.02"/><s v="L04.03.21"/><s v="L04.03.21.01"/><s v="L04.03.20.02"/><s v="L04.03.20.01"/><s v="L04.03.17.01"/><s v="L04.03.19.03"/><s v="L04.03.18.02"/><s v="L04.03.17.02"/><s v="L04.03.19.02"/><s v="L04.03.18.01"/><s v="L04.03.19"/><s v="L04.03.20"/><s v="L04.03.19.01"/><s v="L04.03.16.03"/><s v="L04.03.16.02"/><s v="L04.32.00"/><s v="L05.35.01"/><s v="L05.35.02"/><s v="L05.35"/><s v="L05.33.08"/><s v="L05.33.05.02"/><s v="L05.33.03.03"/><s v="L05.33.03.02"/><s v="L05.33.03.01"/><s v="L05.32.10"/><s v="L05.33.02.01"/><s v="L05.33.02.02"/><s v="L05.32.02.01"/><s v="L05.32.01.03"/><s v="L05.32.09"/><s v="L03.34.04.01"/><s v="L05.30.11.01"/><s v="L05.32.01.02"/><s v="L05.32.01.01"/><s v="L05.30.11.04"/><s v="L05.30.10.04"/><s v="L05.30.11.02"/><s v="L05.30.11.03"/><s v="L05.30.11.05"/><s v="L05.30.10.01"/><s v="L05.30.06"/><s v="L05.30.07"/><s v="L05.30.10.03"/><s v="L05.30.04"/><s v="L05.30.03"/><s v="L05.29.08"/><s v="L05.29.05"/><s v="L05.29.07"/><s v="L05.29.06"/><s v="L05.29.02"/><s v="L05.29.03"/><s v="L05.29.04"/><s v="L05.27"/><s v="L05.03.15.03"/><s v="L05.03.15.02"/><s v="L05.03.15.04"/><s v="L05.03.15.01"/><s v="L05.03.14.01"/><s v="L05.03.14.03"/><s v="L05.15"/><s v="L05.17"/><s v="L05.03.12.01"/><s v="L05.14"/><s v="L05.02"/><s v="L05.12"/><s v="L03.34.02.02"/><s v="L03.34.03.01"/><s v="L03.34.07.01"/><s v="L03.34.02.01"/><s v="L03.34.05.01"/><s v="L03.34.08"/><s v="L01.30.03.01"/><s v="L04.33.01"/><s v="L01.28.17.01"/><s v="L01.28.05.01"/><s v="L01.28.08.01"/><s v="L01.29.06.01"/><s v="L03.34"/><s v="L01.01.05"/><s v="L07.18.03"/><s v="L07.18.02"/><s v="L08.18.02"/><s v="L08.17.03"/><s v="L08.16.01"/><s v="L08.19"/><s v="L08.19.03"/><s v="L08.19.02"/><s v="L08.22"/><s v="L07.03.01"/><s v="L06.23"/><s v="L02.12.04"/><s v="L01.32.05.01"/><s v="L01.37"/><s v="L02.12.06"/><s v="L07.16.02"/><s v="L03.02"/><s v="L01.35.03"/><s v="L01.30.02.03"/><s v="L01.30.02.01"/><s v="L01.28.15.01"/><s v="L06.17.01"/><s v="L10.04"/><s v="L02.15.01"/><s v="L07.23"/><s v="L03.37"/><s v="L03.27"/><s v="L01.33.02.06"/><s v="L03.05"/><s v="L02.13.04"/><s v="L01.29.08.02"/><s v="L01.28.04.02"/><s v="L01.28.07.01"/><s v="L01.33.02.01"/><s v="L06.03.06"/><s v="L06.16.02"/><s v="L06.16.01"/><s v="L10.02.02.01"/><s v="L10.02"/><s v="L10.02.01.01"/><s v="L10.03.03"/><s v="L10.02.02.02"/><s v="L01.28.20"/><s v="L01.28.09.02"/><s v="L01.28.02.02"/><s v="L04.30.12.03"/><s v="L02.11.01"/><s v="L01.29.11.01"/><s v="L02.17.02"/><s v="L01.35.02"/><s v="L04.17"/><s v="L01.33.02.04"/><s v="L02.16.01"/><s v="L02.13.05"/><s v="L02.13.01"/><s v="L03.34.02.03"/><s v="L06.18.02"/><s v="L08.17"/><s v="L01.28.19.01"/><s v="L01.29.11.02"/><s v="L01.36.02.05"/><s v="L08.17.01"/><s v="L01.28.09.01"/><s v="L01.29.12.02"/><s v="L02.14.02"/><s v="L02.16"/><s v="L02.16.02"/><s v="L01.35.05"/><s v="L01.32.02.01"/><s v="L01.28.18"/><s v="L08.03.02"/><s v="L02.15.02"/><s v="L01.28.03.01"/><s v="L04.30.11.02"/><s v="L01.36.02.06"/><s v="L08.18.05"/><s v="L06.02"/><s v="L04.03.16"/><s v="L04.03.17"/><s v="L04.30.12.05"/><s v="L03.29.02"/><s v="L04.30.12.04"/><s v="L04.30.12.02"/><s v="L04.03.18"/><s v="L04.30.10"/><s v="L04.30.10.02"/><s v="L04.30.11.05"/><s v="L04.35"/><s v="L04.30.11"/><s v="L04.30.12.01"/><s v="L02.12.02"/><s v="L01.34.02.02"/><s v="L01.29.05.01"/><s v="L03.03"/><s v="L03.04"/><s v="L01.29.03.01"/><s v="L01.28.19.02"/><s v="L01.29.06.02"/><s v="L01.30.02.02"/><s v="L01.33.02.02"/><s v="L01.36.04.04"/><s v="L01.36.06"/><s v="L07.02"/><s v="L06.18.03"/><s v="L06.22"/><s v="L01.28.22.01"/><s v="L01.32.03.02"/><s v="L02.12.05"/><s v="L01.28.01"/><s v="L04.02"/><s v="L01.29.08"/><s v="L03.34.06.01"/><s v="L02.14.01"/><s v="L09.09"/><s v="L01.36.03.04"/><s v="L01.28.16"/><s v="L03.34.04.02"/><s v="L01.28.12.06"/><s v="L01.36.03.03"/><s v="L01.29.10.01"/><s v="L01.36.04.02"/><s v="L01.36.02.04"/><s v="L01.39"/><s v="L01.28.12.04"/><s v="L01.28.21"/><s v="L01.29.07.01"/><s v="L01.28.15.02"/><s v="L01.38"/><s v="L01.34.02.01"/><s v="L01.28.02.01"/><s v="L01.29.01"/><s v="L01.29.04.01"/><s v="L01.28.08"/><s v="L01.36.05"/><s v="L01.32.03.01"/><s v="L01.28.06.01"/><s v="L01.28.12.05"/><s v="L01.28.12.02"/><s v="L01.36.02.03"/><s v="L01.01.03"/><s v="L01.28.05.02"/><s v="L01.33.02"/><s v="L01.33.03"/><s v="L01.29.13"/><s v="L01.28.23.02"/><s v="L01.36.06.01"/><s v="L01.28.05"/><s v="L01.27"/><s v="L01.32.02.02"/><s v="L01.28.12"/><s v="L01.29.05"/><s v="L01.28.08.02"/><s v="L01.29.08.01"/><s v="L01.28.16.01"/><s v="L01.28.10.02"/><s v="L01.28.06.02"/><s v="L01.29.05.02"/><s v="L01.29.09.01"/><s v="L01.28.16.03"/><s v="L01.34.02"/><s v="L01.28.16.02"/><s v="L01.28.04.01"/><s v="L01.28.17.03"/><s v="L01.31.03.01"/><s v="L01.29.09.02"/><s v="L01.01.07"/><s v="L01.16"/><s v="L01.29.03.02"/><s v="L01.36.01"/><s v="L01.30.04.01"/><s v="L01.30.04.02"/><s v="L01.30.04"/><s v="L01.30.05"/><s v="L01.28.22.02"/><s v="L01.01.01"/><s v="L01.28.23.01"/><s v="L01.29.14.02"/><s v="L01.35.01"/><s v="L03.40"/><s v="L05.03.12.03"/><s v="L03.18"/><s v="L05.30.00"/><s v="L05.33.01"/><s v="L05.32.00"/><s v="L06.19.02"/><s v="L03.26"/><s v="L08.01"/><s v="L04.30.00"/><s v="L08.03.01"/><s v="L02.02"/><s v="L03.36.01"/><s v="L02.11.02"/><s v="L08.18"/><s v="L07.03.02"/><s v="L07.17.03"/><s v="L05.30.10"/><s v="L02.12.03"/><s v="L10.05"/><s v="L02.17.01"/><s v="L06.03.01"/><s v="L04.01"/><s v="L08.02"/><s v="L04.14"/><s v="L06.19.03"/><s v="L05.01"/><s v="L07.17.01"/><s v="L08.23"/><s v="L05.29.01"/><s v="L06.17.03"/><s v="L03.34.07.02"/><s v="L07.19.02"/><s v="L02.13"/><s v="L02.11"/><s v="L02.17"/><s v="L02.14"/><s v="L02.12"/><s v="L10.03.02"/><s v="L04.03.01"/><s v="L04.12"/><s v="L05.03.12"/><s v="L05.03.12.02"/><s v="L09.05"/><s v="L07.19.04"/><s v="L06.19.04"/><s v="L03.34.06.03"/><s v="L06.18"/><s v="L06.18.05"/><s v="L06.17"/><s v="L05.03.01"/><s v="L05.03.15"/><s v="L05.03.14"/><s v="L05.30.10.05"/><s v="L05.30.10.02"/><s v="L05.30.11"/><s v="L07.19.03"/><s v="L07.18"/><s v="L07.18.05"/><s v="L07.17"/><s v="L07.22"/><s v="L07.19"/><s v="L06.03"/><s v="L03.34.07.05"/><s v="L03.08"/><s v="L03.34.07.07"/><s v="L03.34.07.04"/><s v="L03.34.01"/><s v="L03.34.05.02"/><s v="L09.07"/><s v="L01.35.02.03"/><s v="L03.38"/><s v="L06.01"/><s v="L08.03"/><s v="L04.29.01"/><s v="L03.07"/><s v="L03.01"/><s v="L03.30"/><s v="L02.15"/><s v="L03.29.01"/><s v="L10.01"/><s v="L03.36"/><s v="L07.01"/><s v="L03.12"/><s v="L02.01"/><s v="L01.29.04.02"/><s v="L01.30.03.02"/><s v="L01.28.03.02"/><s v="L01.30.01"/><s v="L01.29.11"/></sharedItems></cacheField><cacheField name="Mã vị trí công việc" numFmtId="0"><sharedItems><s v="KD_BANTHEM_BT-WSES_AE"/><s v="MB_NS_AE_ACT"/><s v="MB_NS_AE_CRM"/><s v="BO_HR_CBA"/><s v="GOVT_AM"/><s v="SB_CS_AE_MEI"/><s v="BO_MKT_DGT"/><s v="BO_HR_TA"/><s v="SB_NS_AE_ESHOP"/><s v="MB_NS_AE_OPS"/><s v="SB_NS_AE_ACT"/><s v="SB_CS_AE_ACT"/><s v="MB_NS_AE_HRM"/><s v="SDC_BA"/><s v="SDC_EM"/><s v="SDC_SWE_WEB"/><s v="SDC_SWEL"/><s v="MB_ONB"/><s v="SDC_QC"/><s v="SDC_PM"/><s v="BO_CCS_NV"/><s v="SDC_IS"/><s v="BOM_PR_CCO"/><s v="SDC_PD"/><s v="SDC_TSP"/><s v="SDC_RD"/><s v="SB_ONB_ACT"/><s v="SB_ONB_MEI"/><s v="KD_BANTHEM_HDDT_MEI.DA_AE"/><s v="SB_ONBL"/><s v="SB_CS_AE_COV"/><s v="SB_CS_SM_ACT"/><s v="SB_CS_SM_MEI"/><s v="KD_HKD_BM_AE"/><s v="SB_NS_AE_POS"/><s v="MB_CS_AM"/><s v="MB_CS_AE_HRM"/><s v="SB_ONB_POS"/><s v="SB_NS_SM_ESHOP"/><s v="MB_CS_AE_CRM"/><s v="KD_HKD_BM_SM"/><s v="MB_CS_AMM"/><s v="MB_CS_AE_AIM"/><s v="MB_CS_AE_OPS"/><s v="SB_NS_SM_ACT"/><s v="SB_NWS_AE"/><s v="GOVT_ONB&amp;CSM"/><s v="SB_NWS_ONB"/><s v="GOVT_ONB&amp;CSMM"/><s v="GOVT_ONB&amp;CSML"/><s v="GOVT_AM_CEN"/><s v="GOVT_AMM"/><s v="GOVT_AML"/><s v="SB_NS_A.SD_POS"/><s v="SB_NS_A.VSD_POS"/><s v="SB_ONBL_MEI"/><s v="SB_ONBL_ACT"/><s v="SB_ONBM"/><s v="KD_BANTHEM_HDDT_MEI.DA_SM"/><s v="SB_CS_SM_COV"/><s v="SB_ONBL_POS"/><s v="KD_ONL_HDDT_AE"/><s v="MB_CS_AE_ACT"/><s v="MB_ONB_ACT"/><s v="MB_ONB_CRM"/><s v="MB_NS_A.SM_HRM"/><s v="MB_NS_SM_OPS"/><s v="MB_ONBM"/><s v="MB_NS_SM_ACT"/><s v="SB_NWS_SM"/><s v="BO_HR_HRBP"/><s v="BO_BD"/><s v="BO_PR"/><s v="BO_AD_SAD"/><s v="BO_FIN_GACT"/><s v="BO_FIN_SACT"/><s v="KD_ONL_ACT_AE"/><s v="KD_ONL_HKD_AE"/><s v="BO_MKT_MDR"/><s v="SB_NS_A.SM_ACT"/><s v="KD_ONL_KDT_AE"/><s v="SB_NS_SM_MEI"/><s v="KD_ONL_ACT_SM"/><s v="SB_CS_SD"/><s v="BO_MKT_SEOL"/><s v="BO_HR"/><s v="BO_RD"/><s v="BO_AD_DRV"/><s v="BO_HR_TAA"/><s v="JETPAY_HTKH"/><s v="BO_CCS_CSM"/><s v="MB_AE"/><s v="PF_PDR_EMIS"/><s v="SB_PDR_ASP"/><s v="BO_PR_BRD"/><s v="SB_CS_A.SM_MEI"/><s v="BO_CCS_LEAD"/><s v="SDC_SWE_ADR"/><s v="JETPAY_SWE"/><s v="JETPAY_PUDs"/><s v="JETPAY_BA"/><s v="JETPAY_DOL"/><s v="JETPAY_MKT"/><s v="JETPAY_PQC"/><s v="JETPAY_EM"/><s v="JETPAY_PO"/><s v="SDC_QCAU"/><s v="GOVT_A.AML_CEN"/><s v="SDC_SWE_IOS"/><s v="SDC_TW"/><s v="BO_CCS_OTRN"/><s v="BO_BD_MGR"/><s v="BO_HR_TRN_INTERN"/><s v="SB_CSM_ASP"/><s v="SDC_PO"/><s v="BO_CCS_CSMM"/><s v="BO_CCS_A.CSML"/><s v="SDC_SysOps"/><s v="BO_HR_TA_INTERN"/><s v="SB_ONB_ASP"/><s v="SB_NS_A.SM_ESHOP"/><s v="JETPAY_QC"/><s v="BO_AD_ADS"/><s v="BO_BD_PDR"/><s v="SB_NS_SM_POS"/><s v="ENT_NS_AE"/><s v="MB_NS_SM_CRM"/><s v="MB_NS_SM_HRM"/><s v="KD_BANTHEM_BT-WSES_SM"/><s v="SB_FSALE_MKT"/><s v="BO_QA"/><s v="PF_ONB_EMIS"/><s v="SB_FSALE_AE"/><s v="SDC_A.PUD_1"/><s v="KD_ONL_TK_GPKT_ONB"/><s v="BO_MIBI_CONT"/><s v="SDC_SA"/><s v="SB_NS_A.SM_POS"/><s v="BO_MKT_CONT"/><s v="SDC_QCL"/><s v="SDC_DevOps"/><s v="BO_SAD"/><s v="SDC_VPUD_1"/><s v="SDC_SWE_DES"/><s v="SDC_DOL"/><s v="SDC_PDL"/><s v="SDC_TSP_LEAD"/><s v="SDC_TWL"/><s v="SDC_PA"/><s v="SDC_PUDs"/><s v="BO_FIN_IC"/><s v="BO_SAD_DEP"/><s v="SDC_A.CUD"/><s v="BO_QA.DEP"/><s v="BO_PR_MGR"/><s v="SDC_A.CENO"/><s v="SDC_PQC"/><s v="SDC_PNR_MGR"/><s v="BO_HR_MGR"/><s v="SDC_IT_DEP"/><s v="SDC_BAL"/><s v="BO_HR_TRN"/><s v="SDC_PDBO"/><s v="SDC_DA"/><s v="BOM_COO"/><s v="BO_AD_ASS"/><s v="SDC_DPM"/><s v="BO_AD_MGR"/><s v="SDC_PEM"/><s v="BO_SAD_MGR"/><s v="SDC_CSO"/><s v="SDC_RDL"/><s v="SDC_DTR_1"/><s v="SDC_GPM"/><s v="SDC_IT_MGR"/><s v="SB_A.ONBD"/><s v="BO_MIBI_CONTCOOR"/><s v="BO_HR_ERA"/><s v="BO_HR_DEP"/><s v="ENT_NS_A.SM"/><s v="BOD_COB"/><s v="MB_SD"/><s v="MB_VSD"/><s v="BO_ESIGN"/><s v="BOM_RSD"/><s v="MB_A.VSD"/><s v="KDDN_NS_AE_EDU"/><s v="BO_PR_MULT"/><s v="BOD_VP_PRODUCT"/><s v="BO_CCS_COM"/><s v="SB_CS_SM"/><s v="JETPAY_GSVH"/><s v="BO_HR_TRND"/><s v="BOM_VRSD"/><s v="JETPAY_SS"/><s v="JETPAY_PP"/><s v="JETPAY_BO_RD"/><s v="SB_NS_SD_ACT"/><s v="JETPAY_BO_HR"/><s v="SB_CS_VSD"/><s v="BO_FIN_AL"/><s v="BO_CCS_LEAD_OTRN"/><s v="BO_CCS_LEAD_COM"/><s v="BO_CCS_CSML"/><s v="BO_CCS_MGR"/><s v="BO_CCS_MGR_ACTIV"/><s v="JETPAY_AE"/><s v="JETPAY_PM"/><s v="GOVT_PRD"/><s v="BO_FIN"/><s v="BO_FIN_MGR"/><s v="ENT_NS_ONB"/><s v="MB_ONB_OPS"/><s v="BO_AD_REC"/><s v="BO_MIBI_CAM"/><s v="KD_ONL_TK_HDDT_ONB"/><s v="SB_CS_A.SM"/><s v="KD_ONL_TK_ONB_TN"/><s v="GOVT_SD"/><s v="GOVT_DONB&amp;CSMM"/><s v="SB_A.ONBL"/><s v="BO_HR_TRNA"/><s v="ENT_NS_ADR"/><s v="BO_HR_A. HRBPD"/><s v="BO_BD_DDT"/><s v="SB_A.SD_EMIS"/><s v="BO_AD_QA"/><s v="BO_AD_SEC"/><s v="BO_MKT_SEO"/><s v="BO_MM_AVP"/><s v="BO_MKT_MAT"/><s v="BO_MKT_PMM"/><s v="BO_MKT_DGTL"/><s v="BO_MKT_SOC"/><s v="BO_MKT_VMO"/><s v="BO_MKT_MDRL"/><s v="BO_MKT_EVENT"/><s v="BO_MKT_VMO1"/><s v="BO_MKT_EMAIL"/><s v="BO_MKT_A.CMO"/><s v="PCB_A.VPUD"/><s v="BOD_VP_SALES"/><s v="BOD_VP_HR"/><s v="BOM_A.VRSD"/><s v="BO_HR_CB"/><s v="BO_FIN_AP"/><s v="BO_PR_DEP"/><s v="BO_HR_ER"/><s v="GOVT_VSD"/><s v="HCM_GIA HẠN"/><s v="HAN_GIA HẠN"/><s v="JETPAY_PD"/><s v="PF_A.PDRM_ASP"/><s v="BO_INVE_FC"/><s v="BO_QA_HEAD"/><s v="BO_CX"/><s v="BO_PR_DSN"/><s v="BO_PR_INT"/><s v="BOM_COS"/><s v="BO_LD"/><s v="SB_FSALE_SM"/><s v="ENT_NS_A.SD"/><s v="BO_HR_HCB"/><s v="JETPAY_SWEL"/><s v="BOM_VD_BO"/><s v="JETPAY_PA"/><s v="SB_FSALE_ONB"/><s v="JETPAY_VD"/><s v="BO_HCTH_HR"/><s v="BOD_CEO"/><s v="BOD_CFO"/><s v="BO_INVE_ASS"/><s v="BO_INVE_MGR"/><s v="BO_FIN_CACT"/><s v="BO_AD_SECR"/><s v="BO_MM_MRA"/><s v="SB_MKT_ASP"/><s v="PF_A.PSMM_ASP"/><s v="SB_SD_ASP"/><s v="BO_LD_MGR"/><s v="BOM_CCD"/><s v="BOD_VCOB"/><s v="SDC_TSP_MGR"/><s v="SDC_QCAUL"/><s v="SDC_IS_MGR"/><s v="BO_AD_DEP"/></sharedItems></cacheField><cacheField name="Email cơ quan" numFmtId="0"><sharedItems containsBlank="1"><s v="nthly@hcm.misa.com.vn"/><s v="tmhanh2@hcm.misa.com.vn"/><s v="lttan1@hcm.misa.com.vn"/><s v="bntnhung@hcm.misa.com.vn"/><s v="ltnga3@hcm.misa.com.vn"/><s v="ttnanh@misa.com.vn"/><s v="npuyen2@hcm.misa.com.vn"/><s v="pkvy@cth.misa.com.vn"/><s v="nthuyen15@misa.com.vn"/><s v="vtgvan@han.misa.com.vn"/><s v="vtbduyen@han.misa.com.vn"/><s v="ttnanh2@han.misa.com.vn"/><s v="ntthoan@han.misa.com.vn"/><s v="dtchin@han.misa.com.vn"/><s v="dvtngan@han.misa.com.vn"/><s v="tbnhung@han.misa.com.vn"/><s v="tklinh2@han.misa.com.vn"/><s v="ntnhuyen@han.misa.com.vn"/><s v="dttien@han.misa.com.vn"/><s v="dtthu3@han.misa.com.vn"/><s v="ltttrang@han.misa.com.vn"/><s v="dtlien@han.misa.com.vn"/><s v="pnphuong2@han.misa.com.vn"/><s v="ntquynh8@han.misa.com.vn"/><s v="npanh2@han.misa.com.vn"/><s v="nthoai4@han.misa.com.vn"/><s v="dtngoan@software.misa.com.vn"/><s v="ndanh1@software.misa.com.vn"/><s v="pnthuan@software.misa.com.vn"/><s v="dtthuy3@software.misa.com.vn"/><s v="dvhai@software.misa.com.vn"/><s v="ndquang@software.misa.com.vn"/><s v="dvnam1@software.misa.com.vn"/><s v="ntchi@han.misa.com.vn"/><s v="dtvy3@han.misa.com.vn"/><s v="pmtrang1@han.misa.com.vn"/><s v="lxbach1@han.misa.com.vn"/><s v="phmy1@han.misa.com.vn"/><s v="ntndiep@han.misa.com.vn"/><s v="dttthao1@han.misa.com.vn"/><s v="nthang9@han.misa.com.vn"/><s v="ntlien4@software.misa.com.vn"/><s v="nnmhang@software.misa.com.vn"/><s v="dtthuy2@support.misa.com.vn"/><s v="nhtson@software.misa.com.vn"/><s v="dban@software.misa.com.vn"/><s v="nthuyen@misa.com.vn"/><s v="nthiep@software.misa.com.vn"/><s v="dpthuy2@software.misa.com.vn"/><s v="nhhien@software.misa.com.vn"/><s v="lnbich@software.misa.com.vn"/><s v="ntnhung@rd.misa.com.vn"/><s v="ntnhuyen1@software.misa.com.vn"/><s v="hathu@han.misa.com.vn"/><s v="ptthuy7@han.misa.com.vn"/><s v="cmtrang@han.misa.com.vn"/><s v="ptthe@han.misa.com.vn"/><s v="ptquynh@han.misa.com.vn"/><s v="htgiang@han.misa.com.vn"/><s v="dbhanh@han.misa.com.vn"/><s v="nhyen4@han.misa.com.vn"/><s v="nlvi@han.misa.com.vn"/><s v="tqson@han.misa.com.vn"/><s v="ntngan2@han.misa.com.vn"/><s v="vhdiem@han.misa.com.vn"/><s v="dtngoc2@han.misa.com.vn"/><s v="nttuyet2@han.misa.com.vn"/><s v="nhthao@han.misa.com.vn"/><s v="ntha11@han.misa.com.vn"/><s v="ttoanh@han.misa.com.vn"/><s v="dtduyen2@han.misa.com.vn"/><s v="vtnhi@han.misa.com.vn"/><s v="vtthom@han.misa.com.vn"/><s v="lhdang@han.misa.com.vn"/><s v="ktlam@han.misa.com.vn"/><s v="ntnam@han.misa.com.vn"/><s v="ntlan3@han.misa.com.vn"/><s v="dnanh2@han.misa.com.vn"/><s v="dtmy@han.misa.com.vn"/><s v="bkoanh@han.misa.com.vn"/><s v="phtrang@han.misa.com.vn"/><s v="cvdung1@han.misa.com.vn"/><s v="nmcuong7@han.misa.com.vn"/><s v="phgiang1@han.misa.com.vn"/><s v="lttrang6@han.misa.com.vn"/><s v="hvanh2@han.misa.com.vn"/><s v="nkly@han.misa.com.vn"/><s v="nthang10@han.misa.com.vn"/><s v="nttrang20@han.misa.com.vn"/><s v="nktrang@han.misa.com.vn"/><s v="ntquynh7@han.misa.com.vn"/><s v="ntngoc3@han.misa.com.vn"/><s v="nqha@han.misa.com.vn"/><s v="pqanh3@han.misa.com.vn"/><s v="dkngan@han.misa.com.vn"/><s v="vttuoi1@han.misa.com.vn"/><s v="lthuyen1@han.misa.com.vn"/><s v="ndlinh3@han.misa.com.vn"/><s v="dtdung2@han.misa.com.vn"/><s v="ttphuong@han.misa.com.vn"/><s v="vhhanh@han.misa.com.vn"/><s v="nthao1@han.misa.com.vn"/><s v="pkanh@han.misa.com.vn"/><s v="nthuong17@han.misa.com.vn"/><s v="ctphuong@han.misa.com.vn"/><s v="dhtrang1@han.misa.com.vn"/><s v="nthuong9@han.misa.com.vn"/><s v="ncphuong@han.misa.com.vn"/><s v="pthuyen2@han.misa.com.vn"/><s v="dtduong6@han.misa.com.vn"/><s v="nttmy@han.misa.com.vn"/><s v="ltxuan2@han.misa.com.vn"/><s v="nthien14@han.misa.com.vn"/><s v="ntlinh16@han.misa.com.vn"/><s v="lhtrang1@han.misa.com.vn"/><s v="hkvi@han.misa.com.vn"/><s v="dtbien@han.misa.com.vn"/><s v="hthoai@han.misa.com.vn"/><s v="ntthu8@han.misa.com.vn"/><s v="pnvy@han.misa.com.vn"/><s v="dnlien@han.misa.com.vn"/><s v="phmanh@han.misa.com.vn"/><s v="dble@han.misa.com.vn"/><s v="dvhung2@han.misa.com.vn"/><s v="ndanh@han.misa.com.vn"/><s v="ndthien@han.misa.com.vn"/><s v="ntthuy10@han.misa.com.vn"/><s v="plchi@han.misa.com.vn"/><s v="dqdat@han.misa.com.vn"/><s v="vthuong@han.misa.com.vn"/><s v="pthuong3@han.misa.com.vn"/><s v="nvanh2@han.misa.com.vn"/><s v="dvtong@han.misa.com.vn"/><s v="pvtuan@han.misa.com.vn"/><s v="ntnam1@han.misa.com.vn"/><s v="mxdat@han.misa.com.vn"/><s v="nhvinh@han.misa.com.vn"/><s v="dpthao@han.misa.com.vn"/><s v="hhtrang3@han.misa.com.vn"/><s v="nkly6@han.misa.com.vn"/><s v="ndhuong@han.misa.com.vn"/><s v="nttuyet3@han.misa.com.vn"/><s v="tdthang6@han.misa.com.vn"/><s v="vnanh8@han.misa.com.vn"/><s v="ppthanh@han.misa.com.vn"/><s v="btngoc@han.misa.com.vn"/><s v="ttanh12@han.misa.com.vn"/><s v="nhhoa@han.misa.com.vn"/><s v="ntlinh12@han.misa.com.vn"/><s v="nndiem@han.misa.com.vn"/><s v="nhthu@han.misa.com.vn"/><s v="nbthoa@han.misa.com.vn"/><s v="ntngoc2@han.misa.com.vn"/><s v="ntlan4@han.misa.com.vn"/><s v="dmduc@han.misa.com.vn"/><s v="dtnga4@han.misa.com.vn"/><s v="tttrang5@han.misa.com.vn"/><s v="thxuan@han.misa.com.vn"/><s v="ntmai2@han.misa.com.vn"/><s v="thnhung@han.misa.com.vn"/><s v="pkhuyen2@han.misa.com.vn"/><s v="ntvan5@han.misa.com.vn"/><s v="bmlinh1@han.misa.com.vn"/><s v="pthang2@han.misa.com.vn"/><s v="pnanh2@han.misa.com.vn"/><s v="nthuong21@han.misa.com.vn"/><s v="pnphuong1@han.misa.com.vn"/><s v="ntlinh15@han.misa.com.vn"/><s v="dvhanh@han.misa.com.vn"/><s v="ddai@han.misa.com.vn"/><s v="ntnguyet1@han.misa.com.vn"/><s v="ltthuy2@han.misa.com.vn"/><s v="ptquyen@han.misa.com.vn"/><s v="vnanh2@han.misa.com.vn"/><s v="hthuyen1@han.misa.com.vn"/><s v="ttthoa1@han.misa.com.vn"/><s v="ltvui@han.misa.com.vn"/><s v="nplien@han.misa.com.vn"/><s v="vttuoi@han.misa.com.vn"/><s v="qhmi@han.misa.com.vn"/><s v="ndlong1@han.misa.com.vn"/><s v="nthuy@han.misa.com.vn"/><s v="hthuong2@han.misa.com.vn"/><s v="tntien@han.misa.com.vn"/><s v="tthanh3@han.misa.com.vn"/><s v="ttduyen@han.misa.com.vn"/><s v="nkhuyen2@han.misa.com.vn"/><s v="tadung@han.misa.com.vn"/><s v="pltrang@han.misa.com.vn"/><s v="dthon@han.misa.com.vn"/><s v="vttuyen@han.misa.com.vn"/><s v="dvthanh@han.misa.com.vn"/><s v="ltha6@han.misa.com.vn"/><s v="ntthu@han.misa.com.vn"/><s v="hthang1@han.misa.com.vn"/><s v="dtthu1@han.misa.com.vn"/><s v="ptthuy5@han.misa.com.vn"/><s v="dtphuong@han.misa.com.vn"/><s v="dthang2@han.misa.com.vn"/><s v="lthuong4@han.misa.com.vn"/><s v="mtthao@han.misa.com.vn"/><s v="tvthien@han.misa.com.vn"/><s v="dtphuong5@han.misa.com.vn"/><s v="nkhuyen@han.misa.com.vn"/><s v="vtha1@han.misa.com.vn"/><s v="nttrang8@han.misa.com.vn"/><s v="lnanh3@han.misa.com.vn"/><s v="ntthuyen12@han.misa.com.vn"/><s v="dtvan1@han.misa.com.vn"/><s v="dnlap@han.misa.com.vn"/><s v="dtthuy2@han.misa.com.vn"/><s v="ntnhung2@han.misa.com.vn"/><s v="pntung@han.misa.com.vn"/><s v="htnguyet@han.misa.com.vn"/><s v="dtquynh@han.misa.com.vn"/><s v="ntmen@han.misa.com.vn"/><s v="ttnguyet@han.misa.com.vn"/><s v="ntlien2@han.misa.com.vn"/><s v="dtnga1@han.misa.com.vn"/><s v="dnthong@han.misa.com.vn"/><s v="thtrang@han.misa.com.vn"/><s v="vthoan@han.misa.com.vn"/><s v="nvhung@han.misa.com.vn"/><s v="pthien2@han.misa.com.vn"/><s v="nhtrang8@han.misa.com.vn"/><s v="bhnam@han.misa.com.vn"/><s v="nvhuy@han.misa.com.vn"/><s v="ltnuong@han.misa.com.vn"/><s v="hmdang@han.misa.com.vn"/><s v="ntoanh2@han.misa.com.vn"/><s v="vdbminh@han.misa.com.vn"/><s v="nhlong1@han.misa.com.vn"/><s v="dtngoc@han.misa.com.vn"/><s v="hhmanh@han.misa.com.vn"/><s v="nnhuyen@han.misa.com.vn"/><s v="ttnhung@han.misa.com.vn"/><s v="nthieu3@han.misa.com.vn"/><s v="dvduc@han.misa.com.vn"/><s v="pttrang1@han.misa.com.vn"/><s v="ntdat2@han.misa.com.vn"/><s v="tvquang@han.misa.com.vn"/><s v="nkanh2@han.misa.com.vn"/><s v="dtthuy4@han.misa.com.vn"/><s v="tqha@han.misa.com.vn"/><s v="nkmy@han.misa.com.vn"/><s v="dthoe@han.misa.com.vn"/><s v="vtngoc@han.misa.com.vn"/><s v="dcthien@han.misa.com.vn"/><s v="btluong@han.misa.com.vn"/><s v="tttuan@han.misa.com.vn"/><s v="ddthang@han.misa.com.vn"/><s v="nttrang12@han.misa.com.vn"/><s v="ttlam1@han.misa.com.vn"/><s v="nmcuong1@han.misa.com.vn"/><s v="vtquyen@han.misa.com.vn"/><s v="pdtung@han.misa.com.vn"/><s v="btlan@han.misa.com.vn"/><s v="ntphuong4@han.misa.com.vn"/><s v="nthuong19@han.misa.com.vn"/><s v="vnanh1@han.misa.com.vn"/><s v="nvtuan2@han.misa.com.vn"/><s v="vtha2@han.misa.com.vn"/><s v="dttue@han.misa.com.vn"/><s v="lnthanh@han.misa.com.vn"/><s v="ddquynh@han.misa.com.vn"/><s v="ntvan@han.misa.com.vn"/><s v="tntai@han.misa.com.vn"/><s v="dtloan@han.misa.com.vn"/><s v="nvthuc@han.misa.com.vn"/><s v="lthao@han.misa.com.vn"/><s v="nhxiem@han.misa.com.vn"/><s v="nthuyen11@han.misa.com.vn"/><s v="tdthang@han.misa.com.vn"/><s v="ndtiep@han.misa.com.vn"/><s v="dtthuy3@han.misa.com.vn"/><s v="ntanh7@han.misa.com.vn"/><s v="hdhien@han.misa.com.vn"/><s v="ndtoan@software.misa.com.vn"/><s v="dvkhanh@software.misa.com.vn"/><s v="tvtai@software.misa.com.vn"/><s v="ndlong1@software.misa.com.vn"/><s v="bntien@software.misa.com.vn"/><s v="tttuan@software.misa.com.vn"/><s v="ldhanh@han.misa.com.vn"/><s v="vttrang1@han.misa.com.vn"/><s v="npthanh2@hcm.misa.com.vn"/><s v="hthang1@hcm.misa.com.vn"/><s v="lhtram@hcm.misa.com.vn"/><s v="lmthu1@hcm.misa.com.vn"/><s v="tnqduyen@hcm.misa.com.vn"/><s v="vttrang@hcm.misa.com.vn"/><s v="ttdien@hcm.misa.com.vn"/><s v="tcthuy@hcm.misa.com.vn"/><s v="dtthao3@hcm.misa.com.vn"/><s v="htmdung@hcm.misa.com.vn"/><s v="hkvang@hcm.misa.com.vn"/><s v="tttai1@hcm.misa.com.vn"/><s v="nthieu1@hcm.misa.com.vn"/><s v="dttrang1@hcm.misa.com.vn"/><s v="lhoanh@hcm.misa.com.vn"/><s v="tpuyen@hcm.misa.com.vn"/><s v="nmngoc1@hcm.misa.com.vn"/><s v="nlquynh@hcm.misa.com.vn"/><s v="nhnhai@hcm.misa.com.vn"/><s v="thgiang1@hcm.misa.com.vn"/><s v="mlhuong@hcm.misa.com.vn"/><s v="vdnhan@hcm.misa.com.vn"/><s v="ttthuy@hcm.misa.com.vn"/><s v="ntluu1@hcm.misa.com.vn"/><s v="nlquyen@hcm.misa.com.vn"/><s v="dhdang@hcm.misa.com.vn"/><s v="tnnguyet@hcm.misa.com.vn"/><s v="thtrang@hcm.misa.com.vn"/><s v="cpdphuong@hcm.misa.com.vn"/><s v="lhnhu1@hcm.misa.com.vn"/><s v="ttoanh@hcm.misa.com.vn"/><s v="thlinh1@hcm.misa.com.vn"/><s v="lvhung1@hcm.misa.com.vn"/><s v="hqphong@hcm.misa.com.vn"/><s v="ntphi@hcm.misa.com.vn"/><s v="ntphuong2@hcm.misa.com.vn"/><s v="dtvu@hcm.misa.com.vn"/><s v="nntrinh2@hcm.misa.com.vn"/><s v="lttrang2@hcm.misa.com.vn"/><s v="nhnhu@hcm.misa.com.vn"/><s v="dtvy1@hcm.misa.com.vn"/><s v="ntsuong@hcm.misa.com.vn"/><s v="nmlinh@hcm.misa.com.vn"/><s v="ntlinh6@hcm.misa.com.vn"/><s v="nmhuyen@hcm.misa.com.vn"/><s v="haphuong@hcm.misa.com.vn"/><s v="ntvan2@hcm.misa.com.vn"/><s v="ttcuc@hcm.misa.com.vn"/><s v="vntruyen@hcm.misa.com.vn"/><s v="chphuc@hcm.misa.com.vn"/><s v="cdthuy@hcm.misa.com.vn"/><s v="hmtrinh1@hcm.misa.com.vn"/><s v="tklinh@hcm.misa.com.vn"/><s v="nhnam@hcm.misa.com.vn"/><s v="tatu@hcm.misa.com.vn"/><s v="pvtai@hcm.misa.com.vn"/><s v="ltduong1@hcm.misa.com.vn"/><s v="pcvan@hcm.misa.com.vn"/><s v="pynhi1@hcm.misa.com.vn"/><s v="ttdiem2@hcm.misa.com.vn"/><s v="ttlin@hcm.misa.com.vn"/><s v="nbem@hcm.misa.com.vn"/><s v="tctin@hcm.misa.com.vn"/><s v="pxdao@hcm.misa.com.vn"/><s v="mhtram@hcm.misa.com.vn"/><s v="tvhuu@hcm.misa.com.vn"/><s v="nnquynh2@hcm.misa.com.vn"/><s v="lltruong@hcm.misa.com.vn"/><s v="ntdung1@hcm.misa.com.vn"/><s v="dxson@hcm.misa.com.vn"/><s v="ngan@hcm.misa.com.vn"/><s v="txloi@hcm.misa.com.vn"/><s v="ttvan@hcm.misa.com.vn"/><s v="btlinh@hcm.misa.com.vn"/><s v="nklinh@hcm.misa.com.vn"/><s v="ltthuy2@hcm.misa.com.vn"/><s v="vhnhi@hcm.misa.com.vn"/><s v="npthao3@hcm.misa.com.vn"/><s v="dbtram@hcm.misa.com.vn"/><s v="nphien@hcm.misa.com.vn"/><s v="hqvan@hcm.misa.com.vn"/><s v="nahoa@hcm.misa.com.vn"/><s v="nctoan@hcm.misa.com.vn"/><s v="dtlam1@hcm.misa.com.vn"/><s v="ntphuong3@hcm.misa.com.vn"/><s v="nthuyen2@hcm.misa.com.vn"/><s v="nthiep1@hcm.misa.com.vn"/><s v="ntvien1@hcm.misa.com.vn"/><s v="ptngan1@hcm.misa.com.vn"/><s v="tymuoi@hcm.misa.com.vn"/><s v="ptphuong@hcm.misa.com.vn"/><s v="tcphuong@hcm.misa.com.vn"/><s v="tlkhy@hcm.misa.com.vn"/><s v="tmkhoi@hcm.misa.com.vn"/><s v="pqkham@hcm.misa.com.vn"/><s v="apmai@hcm.misa.com.vn"/><s v="npkminh@hcm.misa.com.vn"/><s v="vxnhung@hcm.misa.com.vn"/><s v="kbphuong@hcm.misa.com.vn"/><s v="dmsam@hcm.misa.com.vn"/><s v="dmdung@hcm.misa.com.vn"/><s v="thhung@hcm.misa.com.vn"/><s v="phlinh1@hcm.misa.com.vn"/><s v="nnhai@hcm.misa.com.vn"/><s v="ltanh1@hcm.misa.com.vn"/><s v="ttnhi@hcm.misa.com.vn"/><s v="nkvy1@hcm.misa.com.vn"/><s v="ntphat@hcm.misa.com.vn"/><s v="ktdung@hcm.misa.com.vn"/><s v="ltsuong1@hcm.misa.com.vn"/><s v="pttrang3@hcm.misa.com.vn"/><s v="tkuyen@hcm.misa.com.vn"/><s v="ntkieu@hcm.misa.com.vn"/><s v="nthoa4@hcm.misa.com.vn"/><s v="nvman@hcm.misa.com.vn"/><s v="hakiet@hcm.misa.com.vn"/><s v="ntsang1@hcm.misa.com.vn"/><s v="hmthu1@hcm.misa.com.vn"/><s v="dctu@hcm.misa.com.vn"/><s v="pkduy@hcm.misa.com.vn"/><s v="ntvy@hcm.misa.com.vn"/><s v="nhlong@hcm.misa.com.vn"/><s v="clnphung@hcm.misa.com.vn"/><s v="pnquyen@hcm.misa.com.vn"/><s v="ttcuc1@hcm.misa.com.vn"/><s v="bbngan@hcm.misa.com.vn"/><s v="lhphuong@hcm.misa.com.vn"/><s v="hvhung1@hcm.misa.com.vn"/><s v="nhdiem2@hcm.misa.com.vn"/><s v="dmtruong@hcm.misa.com.vn"/><s v="dynhi@hcm.misa.com.vn"/><s v="ntly@hcm.misa.com.vn"/><s v="ntvi2@hcm.misa.com.vn"/><s v="lttrang1@hcm.misa.com.vn"/><s v="nthoan@hcm.misa.com.vn"/><s v="btnga1@hcm.misa.com.vn"/><s v="dthoang@hcm.misa.com.vn"/><s v="ncduyen@hcm.misa.com.vn"/><s v="tnhan@hcm.misa.com.vn"/><s v="ntthuy7@hcm.misa.com.vn"/><s v="hqtrang@hcm.misa.com.vn"/><s v="ltha2@hcm.misa.com.vn"/><s v="ntmy1@hcm.misa.com.vn"/><s v="nxhoa@hcm.misa.com.vn"/><s v="pngiau@hcm.misa.com.vn"/><s v="htphuoc@hcm.misa.com.vn"/><s v="nhgiang@hcm.misa.com.vn"/><s v="tmphung@hcm.misa.com.vn"/><s v="nmthanh@hcm.misa.com.vn"/><s v="pltram@hcm.misa.com.vn"/><s v="nttrieu@hcm.misa.com.vn"/><s v="dtchinh1@hcm.misa.com.vn"/><s v="vttam@hcm.misa.com.vn"/><s v="nnyen2@hcm.misa.com.vn"/><s v="nthoa3@hcm.misa.com.vn"/><s v="nhnhung1@hcm.misa.com.vn"/><s v="nttoan@hcm.misa.com.vn"/><s v="ptgiang2@hcm.misa.com.vn"/><s v="tdkhanh@hcm.misa.com.vn"/><s v="dntran@hcm.misa.com.vn"/><s v="ntyen@hcm.misa.com.vn"/><s v="ntquynh3@hcm.misa.com.vn"/><s v="ptthuy2@hcm.misa.com.vn"/><s v="cntu@hcm.misa.com.vn"/><s v="hynhung@hcm.misa.com.vn"/><s v="nnduy1@hcm.misa.com.vn"/><s v="nkquynh@hcm.misa.com.vn"/><s v="tkmy1@hcm.misa.com.vn"/><s v="tnkhoa@hcm.misa.com.vn"/><s v="dttrang3@hcm.misa.com.vn"/><s v="nvtung1@hcm.misa.com.vn"/><s v="ltthuy3@hcm.misa.com.vn"/><s v="nqanh1@hcm.misa.com.vn"/><s v="ltha1@hcm.misa.com.vn"/><s v="btnhu@hcm.misa.com.vn"/><s v="nshuong@hcm.misa.com.vn"/><s v="htdiem1@hcm.misa.com.vn"/><s v="lcbang@hcm.misa.com.vn"/><s v="vtluan@hcm.misa.com.vn"/><s v="lhthuong@hcm.misa.com.vn"/><s v="lmtri@hcm.misa.com.vn"/><s v="pxsang@hcm.misa.com.vn"/><s v="vdha@hcm.misa.com.vn"/><s v="bnhuyen@hcm.misa.com.vn"/><s v="dttam@hcm.misa.com.vn"/><s v="nnthi@hcm.misa.com.vn"/><s v="lkquoc@hcm.misa.com.vn"/><s v="tbtin@hcm.misa.com.vn"/><s v="than@hcm.misa.com.vn"/><s v="ddtrung@hcm.misa.com.vn"/><s v="ttthu@hcm.misa.com.vn"/><s v="nhnhung@hcm.misa.com.vn"/><s v="ldchung@hcm.misa.com.vn"/><s v="nbquynh@hcm.misa.com.vn"/><s v="dbngoc1@hcm.misa.com.vn"/><s v="hhyen@hcm.misa.com.vn"/><s v="vdtuan@hcm.misa.com.vn"/><s v="tttrang3@hcm.misa.com.vn"/><s v="lvkhanh@hcm.misa.com.vn"/><s v="lqnhi@hcm.misa.com.vn"/><s v="dxhuong@hcm.misa.com.vn"/><s v="pvnam@hcm.misa.com.vn"/><s v="dvtrieu@hcm.misa.com.vn"/><s v="vtthu@hcm.misa.com.vn"/><s v="nhthao@hcm.misa.com.vn"/><s v="nhxuyen@hcm.misa.com.vn"/><s v="pttrang2@hcm.misa.com.vn"/><s v="ndyen@hcm.misa.com.vn"/><s v="bltrang@hcm.misa.com.vn"/><s v="dkngan1@hcm.misa.com.vn"/><s v="ldtuyen@hcm.misa.com.vn"/><s v="nthoi1@hcm.misa.com.vn"/><s v="nttha@hcm.misa.com.vn"/><s v="dtbong@hcm.misa.com.vn"/><s v="dbngoc@hcm.misa.com.vn"/><s v="taquoc@hcm.misa.com.vn"/><s v="tvhoang1@hcm.misa.com.vn"/><s v="vddan@hcm.misa.com.vn"/><s v="tvson@misa.com.vn"/><s v="dqvy@misa.com.vn"/><s v="dtson@misa.com.vn"/><s v="bcchinh@misa.com.vn"/><s v="ntlinh1@misa.com.vn"/><s v="dllinh@misa.com.vn"/><s v="ldthuan@misa.com.vn"/><s v="hthuong@hcm.misa.com.vn"/><s v="lndung@misa.com.vn"/><s v="lvanh@misa.com.vn"/><s v="lkvang@misa.com.vn"/><s v="ttkhanh@misa.com.vn"/><s v="nbngoc2@misa.com.vn"/><s v="nhtrang3@misa.com.vn"/><s v="hmdung@misa.com.vn"/><s v="lkhoang@misa.com.vn"/><s v="ttnhung@misa.com.vn"/><s v="nnphat@misa.com.vn"/><s v="ntlieu@misa.com.vn"/><s v="lpvu@misa.com.vn"/><s v="ttthuy@misa.com.vn"/><s v="nhtmy@misa.com.vn"/><s v="hncam@misa.com.vn"/><s v="nhtrang2@misa.com.vn"/><s v="ttngoc@misa.com.vn"/><s v="dhdung@misa.com.vn"/><s v="vknga@misa.com.vn"/><s v="dhlinh@misa.com.vn"/><s v="ltthanh2@misa.com.vn"/><s v="ptanh@misa.com.vn"/><s v="nttam1@misa.com.vn"/><s v="tdtu@misa.com.vn"/><s v="hlanh@misa.com.vn"/><s v="hklien@misa.com.vn"/><s v="vmquan@misa.com.vn"/><s v="tthang@misa.com.vn"/><s v="ltlien@misa.com.vn"/><s v="bnthoa@misa.com.vn"/><s v="ttnhan1@software.misa.com.vn"/><s v="ntmnguyet@software.misa.com.vn"/><s v="vthuong1@software.misa.com.vn"/><s v="nkanh@han.misa.com.vn"/><s v="txbach@software.misa.com.vn"/><s v="vtlam1@software.misa.com.vn"/><s v="kvhai@software.misa.com.vn"/><s v="ntvu1@software.misa.com.vn"/><s v="dktuan@software.misa.com.vn"/><s v="ntlam2@software.misa.com.vn"/><s v="ttmtuoi@rd.misa.com.vn"/><s v="vtahoang@software.misa.com.vn"/><s v="nntruong2@misa.com.vn"/><s v="btquynh@software.misa.com.vn"/><s v="dttmai@han.misa.com.vn"/><s v="natuan3@han.misa.com.vn"/><s v="ldtho@bmt.misa.com.vn"/><s v="ntphuong@bmt.misa.com.vn"/><s v="ndmy1@cth.misa.com.vn"/><s v="vmthu@cth.misa.com.vn"/><s v="nktrang@cth.misa.com.vn"/><s v="nhnhien@cth.misa.com.vn"/><s v="pqthai@cth.misa.com.vn"/><s v="ctngan@cth.misa.com.vn"/><s v="pdqnhu@cth.misa.com.vn"/><s v="ttduy@cth.misa.com.vn"/><s v="vpuyen@cth.misa.com.vn"/><s v="nhtmuoi@cth.misa.com.vn"/><s v="thnhu@cth.misa.com.vn"/><s v="pthong@bmt.misa.com.vn"/><s v="dctoan@cth.misa.com.vn"/><s v="dtluyen1@hcm.misa.com.vn"/><s v="lmlinh1@dng.misa.com.vn"/><s v="nmthuy2@support.misa.com.vn"/><s v="ltanga@hcm.misa.com.vn"/><s v="nhnam4@hcm.misa.com.vn"/><s v="nthuong23@hcm.misa.com.vn"/><s v="nhphuong@software.misa.com.vn"/><s v="nttrang@misa.com.vn"/><s v="ntttra@support.misa.com.vn"/><s v="ltthuy2@support.misa.com.vn"/><s v="nthtrang1@bmt.misa.com.vn"/><s v="tnvhoang@han.misa.com.vn"/><s v="nqthuong@misa.com.vn"/><s v="tqhung@rd.misa.com.vn"/><s v="nvthuan@rd.misa.com.vn"/><s v="tvbau@software.misa.com.vn"/><s v="htlanh1@software.misa.com.vn"/><s v="tddo@software.misa.com.vn"/><s v="hnanh@software.misa.com.vn"/><s v="vntuan@software.misa.com.vn"/><s v="lthyen@dng.misa.com.vn"/><s v="ntlam1@misa.com.vn"/><s v="ltkien@jetpay.vn"/><s v="hnanh@support.misa.com.vn"/><s v="nttha1@hcm.misa.com.vn"/><s v="dnanh6@han.misa.com.vn"/><s v="ttlong1@han.misa.com.vn"/><s v="dmphuong2@han.misa.com.vn"/><s v="kbkhuyen@hcm.misa.com.vn"/><s v="vnpthao@hcm.misa.com.vn"/><s v="dkoanh@bmt.misa.com.vn"/><s v="dttduong@misa.com.vn"/><s v="nthung@misa.com.vn"/><s v="nhpthao@hcm.misa.com.vn"/><s v="ptthuy8@misa.com.vn"/><s v="nmquang4@software.misa.com.vn"/><s v="ttphuong1@software.misa.com.vn"/><s v="htduyet@hcm.misa.com.vn"/><s v="dvdong@bmt.misa.com.vn"/><s v="nklinh1@misa.com.vn"/><s v="vthuong2@han.misa.com.vn"/><s v="bnbich@support.misa.com.vn"/><s v="pnhang@software.misa.com.vn"/><s v="nvanh9@software.misa.com.vn"/><s v="ntchung1@mdc.misa.com.vn"/><s v="naquoc@software.misa.com.vn"/><s v="nthuyen14@hcm.misa.com.vn"/><s v="nnnuyen@hcm.misa.com.vn"/><s v="vtmmo@dng.misa.com.vn"/><s v="lthang4@dng.misa.com.vn"/><s v="ttanguyet@dng.misa.com.vn"/><s v="ntthinh1@software.misa.com.vn"/><s v="ntthu@software.misa.com.vn"/><s v="nhanh@software.misa.com.vn"/><s v="ntthanh@software.misa.com.vn"/><s v="hqanh@software.misa.com.vn"/><s v="dvanh@software.misa.com.vn"/><s v="dhanh@software.misa.com.vn"/><s v="ntbinh@software.misa.com.vn"/><s v="htdung1@software.misa.com.vn"/><s v="ddtruong@software.misa.com.vn"/><s v="dvquan1@software.misa.com.vn"/><s v="nlanh2@software.misa.com.vn"/><s v="hmtrang@software.misa.com.vn"/><s v="nxthanh@software.misa.com.vn"/><s v="ndduy@software.misa.com.vn"/><s v="ntba@software.misa.com.vn"/><s v="ltngoc1@software.misa.com.vn"/><s v="tvphuong1@software.misa.com.vn"/><s v="btdung1@software.misa.com.vn"/><s v="dvdung@han.misa.com.vn"/><s v="ltnghia@software.misa.com.vn"/><s v="vtnga@software.misa.com.vn"/><s v="nvan@software.misa.com.vn"/><s v="dkchi@hcm.misa.com.vn"/><s v="nvhung1@mdc.misa.com.vn"/><s v="btdung@software.misa.com.vn"/><s v="ttplinh@hcm.misa.com.vn"/><s v="thduc@software.misa.com.vn"/><s v="nlanh3@software.misa.com.vn"/><s v="nthang@han.misa.com.vn"/><s v="ntnam3@han.misa.com.vn"/><s v="nqtrang1@support.misa.com.vn"/><s v="mlanh@software.misa.com.vn"/><s v="dklinh1@hcm.misa.com.vn"/><s v="pvvan@support.misa.com.vn"/><s v="plpuyen@hcm.misa.com.vn"/><s v="nkngoc@software.misa.com.vn"/><s v="ntbinh@han.misa.com.vn"/><s v="nhtho1@misa.com.vn"/><s v="nnpha@hcm.misa.com.vn"/><s v="ptmle@hcm.misa.com.vn"/><s v="lhnnguyet@hcm.misa.com.vn"/><s v="dhnam@mdc.misa.com.vn"/><s v="htttrang@support.misa.com.vn"/><s v="ntphien@support.misa.com.vn"/><s v="ltkthoa@support.misa.com.vn"/><s v="ntbtram@support.misa.com.vn"/><s v="ttkdiem@support.misa.com.vn"/><s v="ltmai2@support.misa.com.vn"/><s v="bthha@support.misa.com.vn"/><s v="ntmhien@bmt.misa.com.vn"/><s v="ptgiang3@misa.com.vn"/><s v="tatu1@misa.com.vn"/><s v="nvhung@misa.com.vn"/><s v="tmduyen2@bmt.misa.com.vn"/><s v="btnhan@misa.com.vn"/><s v="lthuyen@dng.misa.com.vn"/><s v="dckhanh@cth.misa.com.vn"/><s v="dttrinh@cth.misa.com.vn"/><s v="htdung@misa.com.vn"/><s v="hntran@cth.misa.com.vn"/><s v="nmquang@software.misa.com.vn"/><s v="vthuong@software.misa.com.vn"/><s v="bhgiang@software.misa.com.vn"/><s v="nthuyen2@software.misa.com.vn"/><s v="ntgiang1@software.misa.com.vn"/><s v="ththu@software.misa.com.vn"/><s v="dttrang@misa.com.vn"/><s v="dkanh@cth.misa.com.vn"/><s v="vtbang@cth.misa.com.vn"/><s v="nvthang1@software.misa.com.vn"/><s v="qcthanh@software.misa.com.vn"/><s v="nvnguyen1@software.misa.com.vn"/><s v="laminh@support.misa.com.vn"/><s v="ltnu@support.misa.com.vn"/><s v="pqhuynh@support.misa.com.vn"/><s v="phhoa1@support.misa.com.vn"/><s v="lttrieu@support.misa.com.vn"/><s v="pvtrinh@support.misa.com.vn"/><s v="ctlinh@support.misa.com.vn"/><s v="lggia@support.misa.com.vn"/><s v="nhcuong@support.misa.com.vn"/><s v="thlien@support.misa.com.vn"/><s v="ptxuan@support.misa.com.vn"/><s v="nndiem@support.misa.com.vn"/><s v="nmnuong@support.misa.com.vn"/><s v="htan@support.misa.com.vn"/><s v="thgiang@support.misa.com.vn"/><s v="nhtram1@support.misa.com.vn"/><s v="dqtuan@support.misa.com.vn"/><s v="tnyen@support.misa.com.vn"/><s v="tthanh3@support.misa.com.vn"/><s v="thlinh@support.misa.com.vn"/><s v="havi@support.misa.com.vn"/><s v="nlphuong1@support.misa.com.vn"/><s v="vmnguyet@support.misa.com.vn"/><s v="tttuan@support.misa.com.vn"/><s v="cktrinh@support.misa.com.vn"/><s v="ltbup@support.misa.com.vn"/><s v="ndthuy@support.misa.com.vn"/><s v="ntnnhi@support.misa.com.vn"/><s v="nvttram@suport.misa.com.vn"/><s v="htdai@support.misa.com.vn"/><s v="tmtrinh1@hcm.misa.com.vn"/><s v="tply@hcm.misa.com.vn"/><s v="lvkhang@software.misa.com.vn"/><s v="ntnha1@misa.com.vn"/><s v="dvtuan1@software.misa.com.vn"/><s v="ttloi@mdc.misa.com.vn"/><s v="ttduc@software.misa.com.vn"/><s v="lklong@misa.com.vn"/><s v="httrang@support.misa.com.vn"/><s v="mntram@cth.misa.com.vn"/><s v="nkthuy1@misa.com.vn"/><s v="ntthu2@support.misa.com.vn"/><s v="tnquyet@software.misa.com.vn"/><s v="ntkhiem@han.misa.com.vn"/><s v="vpbngoc@hcm.misa.com.vn"/><s v="ntanh1@software.misa.com.vn"/><s v="tttham@han.misa.com.vn"/><s v="dbhuan@jetpay.vn"/><s v="btthuc@jetpay.vn"/><s v="pthien4@han.misa.com.vn"/><s v="dyphil@cth.misa.com.vn"/><s v="bxnguyen@dng.misa.com.vn"/><s v="ncquyen@software.misa.com.vn"/><s v="ntyen5@support.misa.com.vn"/><s v="nhmy2@han.misa.com.vn"/><s v="bvquan@han.misa.com.vn"/><s v="pnhuy@han.misa.com.vn"/><s v="lthiep@han.misa.com.vn"/><s v="nhngoc@han.misa.com.vn"/><s v="ntphuc@han.misa.com.vn"/><s v="btnhung@han.misa.com.vn"/><s v="ntthu6@han.misa.com.vn"/><s v="vkdung@han.misa.com.vn"/><s v="nnkhanh@han.misa.com.vn"/><s v="ntnga1@han.misa.com.vn"/><s v="lvchinh@han.misa.com.vn"/><s v="tmdung@han.misa.com.vn"/><s v="dthtrang@han.misa.com.vn"/><s v="ntquynh6@han.misa.com.vn"/><s v="ntvui@han.misa.com.vn"/><s v="npthuy@han.misa.com.vn"/><s v="nkhiep@han.misa.com.vn"/><s v="bvlinh@han.misa.com.vn"/><s v="nvcuong5@han.misa.com.vn"/><s v="dpthuy1@han.misa.com.vn"/><s v="pqlinh1@han.misa.com.vn"/><s v="ltdung@han.misa.com.vn"/><s v="ntthuong3@han.misa.com.vn"/><s v="npthao1@han.misa.com.vn"/><s v="ntloan2@han.misa.com.vn"/><s v="bttrang2@han.misa.com.vn"/><s v="tthien4@han.misa.com.vn"/><s v="dnuyen@han.misa.com.vn"/><s v="pnuyen@han.misa.com.vn"/><s v="nmcuong6@han.misa.com.vn"/><s v="nvanh8@han.misa.com.vn"/><s v="ptna@han.misa.com.vn"/><s v="dnhan2@han.misa.com.vn"/><s v="htthuy3@han.misa.com.vn"/><s v="dtmai2@han.misa.com.vn"/><s v="nthuong25@han.misa.com.vn"/><s v="ntplinh@han.misa.com.vn"/><s v="ntmanh@han.misa.com.vn"/><s v="ctvan1@han.misa.com.vn"/><s v="vtmai@han.misa.com.vn"/><s v="nmlinh@han.misa.com.vn"/><s v="hmhai@han.misa.com.vn"/><s v="ptvui@han.misa.com.vn"/><s v="tttrang2@han.misa.com.vn"/><s v="ntngoc@han.misa.com.vn"/><s v="nthang7@han.misa.com.vn"/><s v="ntha8@han.misa.com.vn"/><s v="ptanh1@han.misa.com.vn"/><s v="lnhuyen@han.misa.com.vn"/><s v="ltha5@han.misa.com.vn"/><s v="tkoanh@han.misa.com.vn"/><s v="ntthao4@han.misa.com.vn"/><s v="catuyet@han.misa.com.vn"/><s v="dtmo@han.misa.com.vn"/><s v="dtlan1@han.misa.com.vn"/><s v="dhthu@han.misa.com.vn"/><s v="ttlinh3@han.misa.com.vn"/><s v="ntdung1@han.misa.com.vn"/><s v="bkhuyen@han.misa.com.vn"/><s v="dtgam@han.misa.com.vn"/><s v="npthoa@han.misa.com.vn"/><s v="ltthuong2@han.misa.com.vn"/><s v="bmdung@han.misa.com.vn"/><s v="nthang4@han.misa.com.vn"/><s v="dnmy@han.misa.com.vn"/><s v="pkkhanh@han.misa.com.vn"/><s v="lltrang@han.misa.com.vn"/><s v="phngoc1@han.misa.com.vn"/><s v="ptanh2@han.misa.com.vn"/><s v="nbhong1@han.misa.com.vn"/><s v="bttrang3@han.misa.com.vn"/><s v="dtduc@han.misa.com.vn"/><s v="nttrang17@han.misa.com.vn"/><s v="ntanh11@han.misa.com.vn"/><s v="ntchinh2@han.misa.com.vn"/><s v="phtrang5@han.misa.com.vn"/><s v="ntphuong6@han.misa.com.vn"/><s v="tttham2@han.misa.com.vn"/><s v="ntmai@han.misa.com.vn"/><s v="lynhi@han.misa.com.vn"/><s v="htvinh1@han.misa.com.vn"/><s v="vdthang2@han.misa.com.vn"/><s v="nttrang22@han.misa.com.vn"/><s v="ptlinh1@han.misa.com.vn"/><s v="nphai@han.misa.com.vn"/><s v="ntquynh4@han.misa.com.vn"/><s v="bhtrang@han.misa.com.vn"/><s v="nthong1@han.misa.com.vn"/><s v="vdthang@han.misa.com.vn"/><s v="lvduy@han.misa.com.vn"/><s v="dtthao@han.misa.com.vn"/><s v="nthoa4@han.misa.com.vn"/><s v="tcthanh@han.misa.com.vn"/><s v="tttrang3@han.misa.com.vn"/><s v="ntdung4@han.misa.com.vn"/><s v="dhyen2@han.misa.com.vn"/><s v="bplinh@han.misa.com.vn"/><s v="ntthuong@han.misa.com.vn"/><s v="pavan@han.misa.com.vn"/><s v="pvhung@han.misa.com.vn"/><s v="ltnga1@han.misa.com.vn"/><s v="mtxoan@han.misa.com.vn"/><s v="nvkhai@han.misa.com.vn"/><s v="btthuong@han.misa.com.vn"/><s v="hmduyen@han.misa.com.vn"/><s v="qttuoi@han.misa.com.vn"/><s v="nqbinh@han.misa.com.vn"/><s v="ntlinh@han.misa.com.vn"/><s v="hdtruong@han.misa.com.vn"/><s v="ntthao5@han.misa.com.vn"/><s v="lthang2@han.misa.com.vn"/><s v="nnbich@han.misa.com.vn"/><s v="ltthang1@han.misa.com.vn"/><s v="dtlhuong@han.misa.com.vn"/><s v="ntnha@han.misa.com.vn"/><s v="ntthoa1@han.misa.com.vn"/><s v="dtlanh@han.misa.com.vn"/><s v="ntmai6@han.misa.com.vn"/><s v="ttbinh@han.misa.com.vn"/><s v="ntminh1@han.misa.com.vn"/><s v="tthue2@han.misa.com.vn"/><s v="ptvan@han.misa.com.vn"/><s v="ddthien@han.misa.com.vn"/><s v="htly1@han.misa.com.vn"/><s v="vtlan@han.misa.com.vn"/><s v="htmung@han.misa.com.vn"/><s v="nqthuan@han.misa.com.vn"/><s v="ntduc@han.misa.com.vn"/><s v="dthuong2@han.misa.com.vn"/><s v="nthao@han.misa.com.vn"/><s v="hnxhuong@han.misa.com.vn"/><s v="vktoan@han.misa.com.vn"/><s v="ntnlan@han.misa.com.vn"/><s v="lttanh@han.misa.com.vn"/><s v="vklinh1@han.misa.com.vn"/><s v="lthtrang@han.misa.com.vn"/><s v="nvcuong4@han.misa.com.vn"/><s v="nhyen6@han.misa.com.vn"/><s v="vtngat@han.misa.com.vn"/><s v="ntnhung4@han.misa.com.vn"/><s v="otgam@han.misa.com.vn"/><s v="ntbich@han.misa.com.vn"/><s v="nvtoan@han.misa.com.vn"/><s v="ttlinh4@han.misa.com.vn"/><s v="dtha5@han.misa.com.vn"/><s v="thtnguyen@han.misa.com.vn"/><s v="dtquynh3@han.misa.com.vn"/><s v="kttvan@han.misa.com.vn"/><s v="ddhuy1@han.misa.com.vn"/><s v="ptlanh@han.misa.com.vn"/><s v="pthtrang@han.misa.com.vn"/><s v="htly@han.misa.com.vn"/><s v="lklien@han.misa.com.vn"/><s v="ttnhung2@han.misa.com.vn"/><s v="dtphuong4@han.misa.com.vn"/><s v="ltbinh1@han.misa.com.vn"/><s v="lnminh3@han.misa.com.vn"/><s v="ptquynh3@han.misa.com.vn"/><s v="dpdong@han.misa.com.vn"/><s v="ntquynh1@han.misa.com.vn"/><s v="nqtrang2@han.misa.com.vn"/><s v="nnle@han.misa.com.vn"/><s v="pthien3@han.misa.com.vn"/><s v="dtdong@han.misa.com.vn"/><s v="tptra@han.misa.com.vn"/><s v="nnanh6@han.misa.com.vn"/><s v="dnlanh@han.misa.com.vn"/><s v="dhvinh@han.misa.com.vn"/><s v="ntthuy19@han.misa.com.vn"/><s v="ctnhat@han.misa.com.vn"/><s v="tatuan1@han.misa.com.vn"/><s v="nxvu@han.misa.com.vn"/><s v="dttvan@han.misa.com.vn"/><s v="ntttrang1@han.misa.com.vn"/><s v="nthuyen13@han.misa.com.vn"/><s v="ltthieu@han.misa.com.vn"/><s v="pttbinh@han.misa.com.vn"/><s v="nththom@han.misa.com.vn"/><s v="hpquynh@han.misa.com.vn"/><s v="dtpanh@han.misa.com.vn"/><s v="thlinh2@han.misa.com.vn"/><s v="hmtrang2@support.misa.com.vn"/><s v="tkminh1@support.misa.com.vn"/><s v="lhuyen@hcm.misa.com.vn"/><s v="ltha4@han.misa.com.vn"/><s v="tpvi@han.misa.com.vn"/><s v="httam@han.misa.com.vn"/><s v="tthanh4@han.misa.com.vn"/><s v="dhnhan@han.misa.com.vn"/><s v="dhngoc1@han.misa.com.vn"/><s v="nttrang5@software.misa.com.vn"/><s v="ntha@han.misa.com.vn"/><s v="hnanh2@han.misa.com.vn"/><s v="nhanh@han.misa.com.vn"/><s v="nthoa1@han.misa.com.vn"/><s v="lhanh1@han.misa.com.vn"/><s v="ltchau@han.misa.com.vn"/><s v="ntquynh3@han.misa.com.vn"/><s v="ntphuong8@han.misa.com.vn"/><s v="hthoa1@han.misa.com.vn"/><s v="nthtrang@han.misa.com.vn"/><s v="lqdai@han.misa.com.vn"/><s v="nddung3@han.misa.com.vn"/><s v="dttham@software.misa.com.vn"/><s v="pvdat2@misa.com.vn"/><s v="ttthom1@misa.com.vn"/><s v="nthung1@hcm.misa.com.vn"/><s v="ltle@software.misa.com.vn"/><s v="ntquyen1@software.misa.com.vn"/><s v="tmnghia@software.misa.com.vn"/><s v="nqhuy1@software.misa.com.vn"/><s v="ntdung6@software.misa.com.vn"/><s v="kbnguyet@software.misa.com.vn"/><s v="vdlan@software.misa.com.vn"/><s v="ldkien@rd.misa.com.vn"/><s v="npthao5@software.misa.com.vn"/><s v="ddkhang@software.misa.com.vn"/><s v="dtnguyet@software.misa.com.vn"/><s v="nvlong@software.misa.com.vn"/><s v="ttanh6@software.misa.com.vn"/><s v="pqtrang@misa.com.vn"/><s v="lakiet@dng.misa.com.vn"/><s v="lctoan@mdc.misa.com.vn"/><s v="hnchau@dng.misa.com.vn"/><s v="tnbe@dng.misa.com.vn"/><s v="ptnhung3@software.misa.com.vn"/><s v="nthong@bmt.misa.com.vn"/><s v="btly@support.misa.com.vn"/><s v="nttgiang@support.misa.com.vn"/><s v="nvhung4@software.misa.com.vn"/><s v="hddung@software.misa.com.vn"/><s v="hhtoan@software.misa.com.vn"/><s v="nhnhung2@software.misa.com.vn"/><s v="nthien2@support.misa.com.vn"/><s v="dmhuong@software.misa.com.vn"/><s v="ntgiang4@han.misa.com.vn"/><s v="ndduong1@han.misa.com.vn"/><s v="dthquynh@han.misa.com.vn"/><s v="datu@software.misa.com.vn"/><s v="ntmtrang@misa.com.vn"/><s v="ptkdiem@hcm.misa.com.vn"/><s v="bmkhuong@misa.com.vn"/><s v="tqan@hcm.misa.com.vn"/><s v="ntvan@bmt.misa.com.vn"/><s v="ntthuy1@dng.misa.com.vn"/><s v="tbcam@dng.misa.com.vn"/><s v="nnninh@software.misa.com.vn"/><s v="tqcong@software.misa.com.vn"/><s v="pnanh1@support.misa.com.vn"/><s v="ttphat@hcm.misa.com.vn"/><s v="nnahoa@hcm.misa.com.vn"/><s v="ntdung10@misa.com.vn"/><s v="lhthuong2@hcm.misa.com.vn"/><s v="lvdloi@hcm.misa.com.vn"/><s v="plquynh@software.misa.com.vn"/><s v="ptthuy@hcm.misa.com.vn"/><s v="nnphong1@mdc.misa.com.vn"/><s v="tqminh@mdc.misa.com.vn"/><s v="ntbao1@mdc.misa.com.vn"/><s v="ntklinh@misa.com.vn"/><s v="htnhu1@hcm.misa.com.vn"/><s v="ptloan@han.misa.com.vn"/><s v="nthang2@software.misa.com.vn"/><s v="lhtrinh@support.misa.com.vn"/><s v="ptthao1@support.misa.com.vn"/><s v="lkhan@hcm.misa.com.vn"/><s v="dplinh@support.misa.com.vn"/><s v="nxhinh@software.misa.com.vn"/><s v="ntthuan2@support.misa.com.vn"/><s v="dmcham@support.misa.com.vn"/><s v="ttnhung1@software.misa.com.vn"/><s v="nthuyen1@software.misa.com.vn"/><s v="nttruc@hcm.misa.com.vn"/><s v="ndviet@rd.misa.com.vn"/><s v="nvkieu@software.misa.com.vn"/><s v="tvcuong@hcm.misa.com.vn"/><s v="ntluc@hcm.misa.com.vn"/><s v="vvdang@cth.misa.com.vn"/><s v="dgtue@hcm.misa.com.vn"/><s v="bmdung1@hcm.misa.com.vn"/><s v="dtgiang@han.misa.com.vn"/><s v="vplan@software.misa.com.vn"/><s v="ndanh3@software.misa.com.vn"/><s v="tbduy@cth.misa.com.vn"/><s v="ttkiet@cth.misa.com.vn"/><s v="nkanh3@han.misa.com.vn"/><s v="ltlinh@misa.com.vn"/><s v="nthuong5@support.misa.com.vn"/><s v="tttrang4@misa.com.vn"/><s v="tclinh@cth.misa.com.vn"/><s v="dthuyen3@software.misa.com.vn"/><s v="lhhanh@hcm.misa.com.vn"/><s v="npthu@hcm.misa.com.vn"/><s v="nthuyen1@han.misa.com.vn"/><s v="ncphuoc@software.misa.com.vn"/><s v="hthiep@software.misa.com.vn"/><s v="btuyen@software.misa.com.vn"/><s v="ptthuy1@hcm.misa.com.vn"/><s v="dnlinh@support.misa.com.vn"/><s v="ntphuong1@software.misa.com.vn"/><s v="nktrinh@hcm.misa.com.vn"/><s v="ltthuc@software.misa.com.vn"/><s v="ltkhoi@software.misa.com.vn"/><s v="lqtrang@software.misa.com.vn"/><s v="thhiep@cth.misa.com.vn"/><s v="bhtrang1@misa.com.vn"/><s v="pcminh@software.misa.com.vn"/><s v="lbthanh@software.misa.com.vn"/><s v="ndthien@software.misa.com.vn"/><s v="tvkhanh@software.misa.com.vn"/><s v="pthyen@support.misa.com.vn"/><s v="vnlong@mdc.jetpay.vn"/><s v="dvhung@bmt.misa.com.vn"/><s v="mtduong@software.misa.com.vn"/><s v="pvduong1@software.misa.com.vn"/><s v="ntkhanh@software.misa.com.vn"/><s v="ptngoc1@software.misa.com.vn"/><s v="pcquoc@software.misa.com.vn"/><s v="nvquyet@software.misa.com.vn"/><s v="tpnam@software.misa.com.vn"/><s v="ntloc@software.misa.com.vn"/><s v="ptduyen@software.misa.com.vn"/><s v="nvtoan2@software.misa.com.vn"/><s v="dhphi@software.misa.com.vn"/><s v="nvtoan1@software.misa.com.vn"/><s v="btanh2@software.misa.com.vn"/><s v="mvtien@software.misa.com.vn"/><s v="ttdung2@software.misa.com.vn"/><s v="pqhiep@software.misa.com.vn"/><s v="ttquyen@software.misa.com.vn"/><s v="tnduc@software.misa.com.vn"/><s v="nmtruong@software.misa.com.vn"/><s v="ppdang@software.misa.com.vn"/><s v="tvthang@software.misa.com.vn"/><s v="ptkhuyen@software.misa.com.vn"/><s v="npcuong@software.misa.com.vn"/><s v="cmsang@software.misa.com.vn"/><s v="ptthuy2@software.misa.com.vn"/><s v="hvduc@software.misa.com.vn"/><s v="ntson1@software.misa.com.vn"/><s v="pqdat@software.misa.com.vn"/><s v="hqduc@mdc.misa.com.vn"/><s v="nbhai@software.misa.com.vn"/><s v="ldlong@software.misa.com.vn"/><s v="vxquynh@software.misa.com.vn"/><s v="nthoa3@software.misa.com.vn"/><s v="dtkien@software.misa.com.vn"/><s v="llhuong@software.misa.com.vn"/><s v="ltdung@software.misa.com.vn"/><s v="ntda@software.misa.com.vn"/><s v="pnhue@mdc.misa.com.vn"/><s v="nban@software.misa.com.vn"/><s v="pvthuyet@software.misa.com.vn"/><s v="danguyet@software.misa.com.vn"/><s v="ntnga1@software.misa.com.vn"/><s v="dvtrung@software.misa.com.vn"/><s v="nqanh2@software.misa.com.vn"/><s v="pvduong@software.misa.com.vn"/><s v="ndnghia@software.misa.com.vn"/><s v="ntnga2@software.misa.com.vn"/><s v="qvluc@software.misa.com.vn"/><s v="dmanh@software.misa.com.vn"/><s v="bhquan@software.misa.com.vn"/><s v="tnanh1@software.misa.com.vn"/><s v="kttrang@software.misa.com.vn"/><s v="ntthinh@software.misa.com.vn"/><s v="phmanh@software.misa.com.vn"/><s v="nhdung@software.misa.com.vn"/><s v="ncquan@software.misa.com.vn"/><s v="nvson@software.misa.com.vn"/><s v="ntdung@software.misa.com.vn"/><s v="ntly1@software.misa.com.vn"/><s v="kqquan@software.misa.com.vn"/><s v="bxhieu@software.misa.com.vn"/><s v="npthao2@software.misa.com.vn"/><s v="vthiep@software.misa.com.vn"/><s v="nnlam@software.misa.com.vn"/><s v="ntquan@software.misa.com.vn"/><s v="dnquynh@software.misa.com.vn"/><s v="lthang@software.misa.com.vn"/><s v="vmha@software.misa.com.vn"/><s v="hhvan@software.misa.com.vn"/><s v="nhly1@software.misa.com.vn"/><s v="ttanh1@software.misa.com.vn"/><s v="ckly@software.misa.com.vn"/><s v="ptsuong@software.misa.com.vn"/><s v="lplien@software.misa.com.vn"/><s v="dtha@software.misa.com.vn"/><s v="npnam@software.misa.com.vn"/><s v="nvanh4@software.misa.com.vn"/><s v="nnphong@software.misa.com.vn"/><s v="ndmanh@software.misa.com.vn"/><s v="nmdai@software.misa.com.vn"/><s v="nvhung3@software.misa.com.vn"/><s v="nqminh@software.misa.com.vn"/><s v="hdnam@software.misa.com.vn"/><s v="htnga@software.misa.com.vn"/><s v="pdxuan@software.misa.com.vn"/><s v="kdlong@software.misa.com.vn"/><s v="nclong@software.misa.com.vn"/><s v="thsang@software.misa.com.vn"/><s v="dthieu@software.misa.com.vn"/><s v="pvchau@software.misa.com.vn"/><s v="nvhien@software.misa.com.vn"/><s v="bmlinh@osc.misa.com.vn"/><s v="ldhung@software.misa.com.vn"/><s v="vhtrang@software.misa.com.vn"/><s v="ntkien1@software.misa.com.vn"/><s v="pthieu@software.misa.com.vn"/><s v="ndlinh@software.misa.com.vn"/><s v="hnthang@software.misa.com.vn"/><s v="nthoai2@software.misa.com.vn"/><s v="nmduc@software.misa.com.vn"/><s v="vqhung@software.misa.com.vn"/><s v="nvcuong1@software.misa.com.vn"/><s v="lvdiep@software.misa.com.vn"/><s v="ndsuu@software.misa.com.vn"/><s v="nnnam@software.misa.com.vn"/><s v="lxtruong@software.misa.com.vn"/><s v="vbthuy@software.misa.com.vn"/><s v="dblong@software.misa.com.vn"/><s v="ptngan@software.misa.com.vn"/><s v="ptbinh@software.misa.com.vn"/><s v="nhquang@osc.misa.com.vn"/><s v="nthien4@software.misa.com.vn"/><s v="nhquy@software.misa.com.vn"/><s v="hthuyen@software.misa.com.vn"/><s v="btanh1@software.misa.com.vn"/><s v="lcvinh@software.misa.com.vn"/><s v="lhanh@software.misa.com.vn"/><s v="lxbien@software.misa.com.vn"/><s v="ltdat@software.misa.com.vn"/><s v="nthuong6@software.misa.com.vn"/><s v="nvtuan1@software.misa.com.vn"/><s v="dtthao@software.misa.com.vn"/><s v="dhhoang@software.misa.com.vn"/><s v="hdanh1@software.misa.com.vn"/><s v="pkhuyen@software.misa.com.vn"/><s v="nvcuong@software.misa.com.vn"/><s v="ddchien@osc.misa.com.vn"/><s v="tmlinh@software.misa.com.vn"/><s v="nlanh@software.misa.com.vn"/><s v="htle@software.misa.com.vn"/><s v="kdchien@software.misa.com.vn"/><s v="nnkiem@software.misa.com.vn"/><s v="dtvan@software.misa.com.vn"/><s v="nthoa@software.misa.com.vn"/><s v="tvphuong@software.misa.com.vn"/><s v="hthoa@software.misa.com.vn"/><s v="dthieu1@software.misa.com.vn"/><s v="nthung@software.misa.com.vn"/><s v="ntthuy@software.misa.com.vn"/><s v="vvkiet@software.misa.com.vn"/><s v="dqnam@software.misa.com.vn"/><s v="htkien@software.misa.com.vn"/><s v="lhyen@software.misa.com.vn"/><s v="nhhanh@software.misa.com.vn"/><s v="nhanh1@software.misa.com.vn"/><s v="dklinh@software.misa.com.vn"/><s v="dvviet@software.misa.com.vn"/><s v="dxphu@software.misa.com.vn"/><s v="nctai@mdc.misa.com.vn"/><s v="lvtruong@mdc.misa.com.vn"/><s v="nxchien@software.misa.com.vn"/><s v="vnmai@software.misa.com.vn"/><s v="ptdat@software.misa.com.vn"/><s v="vhtruong@software.misa.com.vn"/><s v="nttrang3@software.misa.com.vn"/><s v="lxphuoc@software.misa.com.vn"/><s v="nvhuy@software.misa.com.vn"/><s v="hvbinh@mdc.misa.com.vn"/><s v="nbhieu@software.misa.com.vn"/><s v="ptsy@software.misa.com.vn"/><s v="hqtuan@mdc.misa.com.vn"/><s v="ntliem@mdc.misa.com.vn"/><s v="ptha1@software.misa.com.vn"/><s v="nqkhanh@software.misa.com.vn"/><s v="ntlieu@software.misa.com.vn"/><s v="ltanh@software.misa.com.vn"/><s v="pdmanh@software.misa.com.vn"/><s v="pdtu@software.misa.com.vn"/><s v="nvanh@software.misa.com.vn"/><s v="nmquang1@software.misa.com.vn"/><s v="tvvinh@software.misa.com.vn"/><s v="lhthao@software.misa.com.vn"/><s v="nmdung@software.misa.com.vn"/><s v="nktrung@software.misa.com.vn"/><s v="nbloc@software.misa.com.vn"/><s v="qvcanh@software.misa.com.vn"/><s v="mdlong@software.misa.com.vn"/><s v="dtdao@software.misa.com.vn"/><s v="nqloi@software.misa.com.vn"/><s v="nvson3@software.misa.com.vn"/><s v="nqminh1@software.misa.com.vn"/><s v="phhanh@software.misa.com.vn"/><s v="ndhung1@software.misa.com.vn"/><s v="llhuong1@software.misa.com.vn"/><s v="lthieu1@software.misa.com.vn"/><s v="nvquang2@software.misa.com.vn"/><s v="nddat1@software.misa.com.vn"/><s v="thau@software.misa.com.vn"/><s v="nvthin@software.misa.com.vn"/><s v="nthoa4@software.misa.com.vn"/><s v="ntsan@software.misa.com.vn"/><s v="dvanh2@software.misa.com.vn"/><s v="bqdiep@software.misa.com.vn"/><s v="nhthai@software.misa.com.vn"/><s v="pvhieu@software.misa.com.vn"/><s v="ldvu@software.misa.com.vn"/><s v="tvloi1@software.misa.com.vn"/><s v="pvduong2@software.misa.com.vn"/><s v="ldhuy@software.misa.com.vn"/><s v="tnlam@software.misa.com.vn"/><s v="ntnhan2@software.misa.com.vn"/><s v="ttanh4@rd.misa.com.vn"/><s v="lthung@software.misa.com.vn"/><s v="pqvinh@software.misa.com.vn"/><s v="nptinh@software.misa.com.vn"/><s v="nthang4@software.misa.com.vn"/><s v="nnnam1@software.misa.com.vn"/><s v="ltanh2@software.misa.com.vn"/><s v="ntlong@software.misa.com.vn"/><s v="pvduc@software.misa.com.vn"/><s v="hnanh1@software.misa.com.vn"/><s v="tvkhang@software.misa.com.vn"/><s v="dvhung2@software.misa.com.vn"/><s v="tdmanh1@software.misa.com.vn"/><s v="nvquang1@software.misa.com.vn"/><s v="nnhuyen@software.misa.com.vn"/><s v="nvnam3@software.misa.com.vn"/><s v="ndhieu3@software.misa.com.vn"/><s v="ntthuy6@software.misa.com.vn"/><s v="ttsoan@software.misa.com.vn"/><s v="ntphuong3@software.misa.com.vn"/><s v="nvkhanh@software.misa.com.vn"/><s v="btduyen@software.misa.com.vn"/><s v="dtthuy4@software.misa.com.vn"/><s v="vdgiang@software.misa.com.vn"/><s v="vmcuong@software.misa.com.vn"/><s v="lvkien1@software.misa.com.vn"/><s v="nqhuong@software.misa.com.vn"/><s v="dvthuc@software.misa.com.vn"/><s v="pqkhanh@software.misa.com.vn"/><s v="bdanh@software.misa.com.vn"/><s v="lmhung@software.misa.com.vn"/><s v="vcdoan@software.misa.com.vn"/><s v="nddung2@software.misa.com.vn"/><s v="ncdinh@software.misa.com.vn"/><s v="pcphong@software.misa.com.vn"/><s v="lttuan1@software.misa.com.vn"/><s v="dhnam1@software.misa.com.vn"/><s v="nvquang@software.misa.com.vn"/><s v="vmduc@software.misa.com.vn"/><s v="dqvinh@software.misa.com.vn"/><s v="pmhieu@software.misa.com.vn"/><s v="nhthang@software.misa.com.vn"/><s v="hvthuyen@software.misa.com.vn"/><s v="ptanh1@software.misa.com.vn"/><s v="nvha1@software.misa.com.vn"/><s v="nthong2@software.misa.com.vn"/><s v="htlinh1@software.misa.com.vn"/><s v="ltphuong1@software.misa.com.vn"/><s v="phgiang@software.misa.com.vn"/><s v="ndvu@software.misa.com.vn"/><s v="hqminh1@software.misa.com.vn"/><s v="tkhoa@software.misa.com.vn"/><s v="nhyen2@software.misa.com.vn"/><s v="nhyen@software.misa.com.vn"/><s v="pthoan@mdc.misa.com.vn"/><s v="lthieu@software.misa.com.vn"/><s v="lntung@software.misa.com.vn"/><s v="ttrung@misa.com.vn"/><s v="ltnga1@software.misa.com.vn"/><s v="tdlam@software.misa.com.vn"/><s v="btquang@rd.misa.com.vn"/><s v="ltmai@software.misa.com.vn"/><s v="nadung@software.misa.com.vn"/><s v="nvhai@software.misa.com.vn"/><s v="nvhoa1@software.misa.com.vn"/><s v="bqduy@software.misa.com.vn"/><s v="nxduc@software.misa.com.vn"/><s v="nbchau@software.misa.com.vn"/><s v="dqdat1@software.misa.com.vn"/><s v="nvdoan@software.misa.com.vn"/><s v="tdcong@mdc.misa.com.vn"/><s v="dtquoc@software.misa.com.vn"/><s v="dtthuy6@software.misa.com.vn"/><s v="tktuyen@software.misa.com.vn"/><s v="pdlong@software.misa.com.vn"/><s v="tttrang@software.misa.com.vn"/><s v="dtthanh1@software.misa.com.vn"/><s v="dnanh2@software.misa.com.vn"/><s v="hlong@software.misa.com.vn"/><s v="dtlap@software.misa.com.vn"/><s v="lvhung@software.misa.com.vn"/><s v="txdao@software.misa.com.vn"/><s v="nvduc3@software.misa.com.vn"/><s v="ltviet@software.misa.com.vn"/><s v="nnduc@software.misa.com.vn"/><s v="ndchien1@software.misa.com.vn"/><s v="tvtam@software.misa.com.vn"/><s v="htthoa@software.misa.com.vn"/><s v="hvmanh@software.misa.com.vn"/><s v="vqanh@software.misa.com.vn"/><s v="pvbien@software.misa.com.vn"/><s v="ndcuong2@rd.misa.com.vn"/><s v="nbhong@software.misa.com.vn"/><s v="bdhai@mdc.misa.com.vn"/><s v="npthao4@software.misa.com.vn"/><s v="hanghiep@software.misa.com.vn"/><s v="nktiem@software.misa.com.vn"/><s v="nhnam3@software.misa.com.vn"/><s v="nhgiang4@software.misa.com.vn"/><s v="nmcuong@software.misa.com.vn"/><s v="ptngoc2@software.misa.com.vn"/><s v="ndquang1@software.misa.com.vn"/><s v="htngoc@software.misa.com.vn"/><s v="ndthe@software.misa.com.vn"/><s v="nccong@software.misa.com.vn"/><s v="nmthe@software.misa.com.vn"/><s v="dvhieu2@software.misa.com.vn"/><s v="dvhung3@software.misa.com.vn"/><s v="nskhoi@software.misa.com.vn"/><s v="bhnhung@software.misa.com.vn"/><s v="ntson5@software.misa.com.vn"/><s v="nvlinh1@software.misa.com.vn"/><s v="nkthi@software.misa.com.vn"/><s v="nttrang6@software.misa.com.vn"/><s v="phnam@rd.misa.com.vn"/><s v="lhhung@software.misa.com.vn"/><s v="nvduong@software.misa.com.vn"/><s v="nvngoc@software.misa.com.vn"/><s v="pthuong@software.misa.com.vn"/><s v="dlanh1@software.misa.com.vn"/><s v="nvquang3@software.misa.com.vn"/><s v="nntuan@software.misa.com.vn"/><s v="pthoan1@software.misa.com.vn"/><s v="pvngoc@software.misa.com.vn"/><s v="nvhoang@software.misa.com.vn"/><s v="nvthinh@software.misa.com.vn"/><s v="nhlong2@software.misa.com.vn"/><s v="pvdat@software.misa.com.vn"/><s v="dtthuy5@software.misa.com.vn"/><s v="hathu1@software.misa.com.vn"/><s v="vtlien@software.misa.com.vn"/><s v="tvtoan@software.misa.com.vn"/><s v="ntduong2@software.misa.com.vn"/><s v="ntquan1@software.misa.com.vn"/><s v="ddthinh@osc.misa.com.vn"/><s v="ntmy1@software.misa.com.vn"/><s v="lmhung@rd.misa.com.vn"/><s v="vhlien@software.misa.com.vn"/><s v="ndhoang@software.misa.com.vn"/><s v="nvdung1@software.misa.com.vn"/><s v="lhquy@software.misa.com.vn"/><s v="tdhieu@software.misa.com.vn"/><s v="vtlinh1@software.misa.com.vn"/><s v="vnha1@software.misa.com.vn"/><s v="phvan1@software.misa.com.vn"/><s v="ttdung4@software.misa.com.vn"/><s v="htlong@mdc.misa.com.vn"/><s v="thlong@software.misa.com.vn"/><s v="nhcuong@software.misa.com.vn"/><s v="pmquan1@software.misa.com.vn"/><s v="pntoan@software.misa.com.vn"/><s v="pqhieu@software.misa.com.vn"/><s v="ptngan1@software.misa.com.vn"/><s v="cchan@software.misa.com.vn"/><s v="nxphong@software.misa.com.vn"/><s v="vddung1@software.misa.com.vn"/><s v="mtngan@software.misa.com.vn"/><s v="ptlong@software.misa.com.vn"/><s v="tvdung@mdc.misa.com.vn"/><s v="vvhung@software.misa.com.vn"/><s v="ntbao@software.misa.com.vn"/><s v="chbac@software.misa.com.vn"/><s v="tddung@software.misa.com.vn"/><s v="nmtuan2@software.misa.com.vn"/><s v="pmngoc@software.misa.com.vn"/><s v="ndnghia1@software.misa.com.vn"/><s v="dvminh1@software.misa.com.vn"/><s v="ntchien@software.misa.com.vn"/><s v="lthai@software.misa.com.vn"/><s v="lqtuan@software.misa.com.vn"/><s v="nddung@software.misa.com.vn"/><s v="llly@software.misa.com.vn"/><s v="ntmanh@software.misa.com.vn"/><s v="dncuong@software.misa.com.vn"/><s v="tvhuan@software.misa.com.vn"/><s v="lmhuong@software.misa.com.vn"/><s v="vtnhung@software.misa.com.vn"/><s v="nthoa2@software.misa.com.vn"/><s v="htanh@software.misa.com.vn"/><s v="vvan@software.misa.com.vn"/><s v="hdhuy@software.misa.com.vn"/><s v="dvquang2@software.misa.com.vn"/><s v="pqmai1@misa.com.vn"/><s v="dnanh@software.misa.com.vn"/><s v="ltdao1@software.misa.com.vn"/><s v="lmhoa@software.misa.com.vn"/><s v="tdnghia@software.misa.com.vn"/><s v="nhly@software.misa.com.vn"/><s v="nvdong1@software.misa.com.vn"/><s v="ttson@software.misa.com.vn"/><s v="ntxuan@software.misa.com.vn"/><s v="lhhien@software.misa.com.vn"/><s v="nbduong@software.misa.com.vn"/><s v="pttrung@software.misa.com.vn"/><s v="pvduy@software.misa.com.vn"/><s v="vtlinh@software.misa.com.vn"/><s v="ldngoc@software.misa.com.vn"/><s v="ndlong@software.misa.com.vn"/><s v="vtminh@software.misa.com.vn"/><s v="tnson@software.misa.com.vn"/><s v="dtkien1@software.misa.com.vn"/><s v="npduy@software.misa.com.vn"/><s v="hhson@software.misa.com.vn"/><s v="nhgiang@software.misa.com.vn"/><s v="vbtam@software.misa.com.vn"/><s v="ltquan@software.misa.com.vn"/><s v="nmhung2@software.misa.com.vn"/><s v="nvminh@software.misa.com.vn"/><s v="thduong@software.misa.com.vn"/><s v="nvhuy1@software.misa.com.vn"/><s v="bttu@software.misa.com.vn"/><s v="nthuong@software.misa.com.vn"/><s v="nqkhanh1@mdc.misa.com.vn"/><s v="vkdien@software.misa.com.vn"/><s v="mnson@software.misa.com.vn"/><s v="dntu@software.misa.com.vn"/><s v="tvhieu@software.misa.com.vn"/><s v="nxcuong@software.misa.com.vn"/><s v="ddtrang@software.misa.com.vn"/><s v="tdmanh@software.misa.com.vn"/><s v="tttra@software.misa.com.vn"/><s v="hxmanh@software.misa.com.vn"/><s v="ptphuong@software.misa.com.vn"/><s v="dvthang@software.misa.com.vn"/><s v="hqnga@osc.misa.com.vn"/><s v="nvha@software.misa.com.vn"/><s v="nqtrang@software.misa.com.vn"/><s v="nvdinh@software.misa.com.vn"/><s v="ntkien@software.misa.com.vn"/><s v="bnduc@software.misa.com.vn"/><s v="lttrang@software.misa.com.vn"/><s v="ntha1@software.misa.com.vn"/><s v="btanh@software.misa.com.vn"/><s v="nttrung1@software.misa.com.vn"/><s v="tthoa@software.misa.com.vn"/><s v="lkkhoe@software.misa.com.vn"/><s v="vvvan@software.misa.com.vn"/><s v="nvnguyen@software.misa.com.vn"/><s v="nulinh@software.misa.com.vn"/><s v="lvanh@software.misa.com.vn"/><s v="nnan@software.misa.com.vn"/><s v="pdtai@software.misa.com.vn"/><s v="ddnhan@software.misa.com.vn"/><s v="pttha@rd.misa.com.vn"/><s v="ndhao@rd.misa.com.vn"/><s v="bxduong@software.misa.com.vn"/><s v="pdanh1@software.misa.com.vn"/><s v="bhtuyen@software.misa.com.vn"/><s v="nvthinh1@software.misa.com.vn"/><s v="hbviet@software.misa.com.vn"/><s v="nttue@software.misa.com.vn"/><s v="nlnhat1@software.misa.com.vn"/><s v="nttrung2@software.misa.com.vn"/><s v="ndthi@software.misa.com.vn"/><s v="naquan@software.misa.com.vn"/><s v="pvdat1@software.misa.com.vn"/><s v="hmduc2@software.misa.com.vn"/><s v="vdtien@software.misa.com.vn"/><s v="txphuc@software.misa.com.vn"/><s v="dgbao@software.misa.com.vn"/><s v="lmquang1@software.misa.com.vn"/><s v="ldtiep@software.misa.com.vn"/><s v="tmthuc@software.misa.com.vn"/><s v="nthoai3@software.misa.com.vn"/><s v="tmphuong@software.misa.com.vn"/><s v="nvhuy2@software.misa.com.vn"/><s v="ptnhat@rd.misa.com.vn"/><s v="thduc1@software.misa.com.vn"/><s v="vmhieu1@software.misa.com.vn"/><s v="nddai@software.misa.com.vn"/><s v="naxao@software.misa.com.vn"/><s v="nmduc2@software.misa.com.vn"/><s v="ttngan1@software.misa.com.vn"/><s v="tmhung@software.misa.com.vn"/><s v="ntan1@software.misa.com.vn"/><s v="lvtuoi@software.misa.com.vn"/><s v="ndchien@software.misa.com.vn"/><s v="dnanh1@software.misa.com.vn"/><s v="dnphuong@software.misa.com.vn"/><s v="lvhieu@software.misa.com.vn"/><s v="ntthuy5@software.misa.com.vn"/><s v="pmhai@software.misa.com.vn"/><s v="dtduong@software.misa.com.vn"/><s v="nvhoa3@software.misa.com.vn"/><s v="ndphu@software.misa.com.vn"/><s v="dhhanh1@software.misa.com.vn"/><s v="ltgiang1@software.misa.com.vn"/><s v="nnlinh@software.misa.com.vn"/><s v="ncchinh@mdc.misa.com.vn"/><s v="nlhuong@software.misa.com.vn"/><s v="npanh@software.misa.com.vn"/><s v="lmduc1@software.misa.com.vn"/><s v="dmngoc@software.misa.com.vn"/><s v="dmphuong1@software.misa.com.vn"/><s v="ntan@software.misa.com.vn"/><s v="ntyen@software.misa.com.vn"/><s v="ntanh2@misa.com.vn"/><s v="dthuyen@software.misa.com.vn"/><s v="pmgiang@software.misa.com.vn"/><s v="tmduong@misa.com.vn"/><s v="dvquang@rd.misa.com.vn"/><s v="txthinh@software.misa.com.vn"/><s v="nmsinh@software.misa.com.vn"/><s v="nxhoa@software.misa.com.vn"/><s v="ntngoc@software.misa.com.vn"/><s v="ndduoc@software.misa.com.vn"/><s v="mvkien@software.misa.com.vn"/><s v="nvtoan@software.misa.com.vn"/><s v="nmduong@software.misa.com.vn"/><s v="dtngat@software.misa.com.vn"/><s v="pnduy@software.misa.com.vn"/><s v="vmquang1@software.misa.com.vn"/><s v="dptra@software.misa.com.vn"/><s v="npthiet@software.misa.com.vn"/><s v="nhthang@misa.com.vn"/><s v="ntquyen@software.misa.com.vn"/><s v="nnhiep@misa.com.vn"/><s v="pdkien@software.misa.com.vn"/><s v="txan@software.misa.com.vn"/><s v="ttanh@software.misa.com.vn"/><s v="dtloan1@software.misa.com.vn"/><s v="nvbinh1@software.misa.com.vn"/><s v="dvthi@software.misa.com.vn"/><s v="nqcuong@software.misa.com.vn"/><s v="ntgiang3@software.misa.com.vn"/><s v="bndinh@software.misa.com.vn"/><s v="bhvan@software.misa.com.vn"/><s v="thnhung@software.misa.com.vn"/><s v="nqtruong@software.misa.com.vn"/><s v="ldduy@software.misa.com.vn"/><s v="hvdung1@software.misa.com.vn"/><s v="pddang@software.misa.com.vn"/><s v="dttrang2@software.misa.com.vn"/><s v="dvviet1@software.misa.com.vn"/><s v="hvchinh@software.misa.com.vn"/><s v="ntban@software.misa.com.vn"/><s v="vhyen1@software.misa.com.vn"/><s v="hvanh@software.misa.com.vn"/><s v="tqanh@software.misa.com.vn"/><s v="hvthang@software.misa.com.vn"/><s v="ltmai1@software.misa.com.vn"/><s v="pckhang@software.misa.com.vn"/><s v="npanh1@fresher.misa.com.vn"/><s v="tcvinh@software.misa.com.vn"/><s v="vhyen@software.misa.com.vn"/><s v="lqnga@software.misa.com.vn"/><s v="vtnuong@software.misa.com.vn"/><s v="bvanh2@rd.misa.com.vn"/><s v="vvtri@software.misa.com.vn"/><s v="tndanh@software.misa.com.vn"/><s v="nthieu1@software.misa.com.vn"/><s v="dtduc1@software.misa.com.vn"/><s v="pttam2@software.misa.com.vn"/><s v="ndhien@software.misa.com.vn"/><s v="dhtrung@software.misa.com.vn"/><s v="nvchinh@software.misa.com.vn"/><s v="dmviet@software.misa.com.vn"/><s v="nhhai3@software.misa.com.vn"/><s v="ltxuyen@software.misa.com.vn"/><s v="vpanh@software.misa.com.vn"/><s v="nhgiang2@software.misa.com.vn"/><s v="lctuong@software.misa.com.vn"/><s v="hmnam@software.misa.com.vn"/><s v="tmchien@rd.misa.com.vn"/><s v="thtrang2@software.misa.com.vn"/><s v="dpanh1@software.misa.com.vn"/><s v="dktrang@software.misa.com.vn"/><s v="lhyen1@software.misa.com.vn"/><s v="ltluat@software.misa.com.vn"/><s v="ltlong1@software.misa.com.vn"/><s v="ldhai@software.misa.com.vn"/><s v="vthoang@software.misa.com.vn"/><s v="ptsoi@software.misa.com.vn"/><s v="bbphuong@software.misa.com.vn"/><s v="vmhoang@software.misa.com.vn"/><s v="dploan@software.misa.com.vn"/><s v="vtxuyen@software.misa.com.vn"/><s v="kxviet@software.misa.com.vn"/><s v="nvhoa2@software.misa.com.vn"/><s v="ntanh3@software.misa.com.vn"/><s v="nntam@software.misa.com.vn"/><s v="ttsen@software.misa.com.vn"/><s v="nvanh7@software.misa.com.vn"/><s v="hdphu@software.misa.com.vn"/><s v="tmle@software.misa.com.vn"/><s v="dhthinh@software.misa.com.vn"/><s v="nqhiep@software.misa.com.vn"/><s v="ntngoc2@software.misa.com.vn"/><s v="vhson@software.misa.com.vn"/><s v="bkhuyen@software.misa.com.vn"/><s v="dpnam@software.misa.com.vn"/><s v="ptnhan@software.misa.com.vn"/><s v="ttkiet@software.misa.com.vn"/><s v="tmngoc@software.misa.com.vn"/><s v="nhlinh@software.misa.com.vn"/><s v="ddduc@software.misa.com.vn"/><s v="nvtien@mdc.misa.com.vn"/><s v="thtung@software.misa.com.vn"/><s v="hhngoc@software.misa.com.vn"/><s v="nnlong@misa.com.vn"/><s v="nbhoa1@software.misa.com.vn"/><s v="ltchinh@software.misa.com.vn"/><s v="dmphuong@software.misa.com.vn"/><s v="vpthao@software.misa.com.vn"/><s v="dtnga@software.misa.com.vn"/><s v="ndhieu1@software.misa.com.vn"/><s v="nndai@software.misa.com.vn"/><s v="pvthong@software.misa.com.vn"/><s v="tcphong@software.misa.com.vn"/><s v="dtduong@misa.com.vn"/><s v="nnanh@software.misa.com.vn"/><s v="nmtuan1@software.misa.com.vn"/><s v="ntha2@software.misa.com.vn"/><s v="nqhoang@software.misa.com.vn"/><s v="dtthanh@software.misa.com.vn"/><s v="ttthao@misa.com.vn"/><s v="dvbinh@software.misa.com.vn"/><s v="dthoa@software.misa.com.vn"/><s v="nttung@misa.com.vn"/><s v="tvhien@software.misa.com.vn"/><s v="pttuyet@software.misa.com.vn"/><s v="tkminh@software.misa.com.vn"/><s v="tqhai@software.misa.com.vn"/><s v="vthung@software.misa.com.vn"/><s v="ntvinh1@software.misa.com.vn"/><s v="lmnguyet@software.misa.com.vn"/><s v="nddat@software.misa.com.vn"/><s v="ptha@software.misa.com.vn"/><s v="dlanh@software.misa.com.vn"/><s v="ndhuy1@software.misa.com.vn"/><s v="ptngoc@software.misa.com.vn"/><s v="ptlien@software.misa.com.vn"/><s v="tvhung@software.misa.com.vn"/><s v="nttrang2@software.misa.com.vn"/><s v="ttthanh@software.misa.com.vn"/><s v="pdthien@software.misa.com.vn"/><s v="nthien@software.misa.com.vn"/><s v="pbac@software.misa.com.vn"/><s v="nnanh2@software.misa.com.vn"/><s v="vtchi@software.misa.com.vn"/><s v="nbngoc@software.misa.com.vn"/><s v="nthai@software.misa.com.vn"/><s v="nnanh4@software.misa.com.vn"/><s v="nlphuong@software.misa.com.vn"/><s v="tthuyen1@software.misa.com.vn"/><s v="tdhung@software.misa.com.vn"/><s v="nthieu@misa.com.vn"/><s v="ntquang@software.misa.com.vn"/><s v="tvloi@software.misa.com.vn"/><s v="dqthang@software.misa.com.vn"/><s v="dtnam@software.misa.com.vn"/><s v="nkyen@software.misa.com.vn"/><s v="pmhanh@software.misa.com.vn"/><s v="ttnhung@software.misa.com.vn"/><s v="ntluong@software.misa.com.vn"/><s v="ttngan@software.misa.com.vn"/><s v="ctduyen@software.misa.com.vn"/><s v="tvthang1@software.misa.com.vn"/><s v="ddvy@fresher.misa.com.vn"/><s v="dtnga1@software.misa.com.vn"/><s v="nvmanh@rd.misa.com.vn"/><s v="dntan@mdc.misa.com.vn"/><s v="cgtrang@software.misa.com.vn"/><s v="nthien1@software.misa.com.vn"/><s v="natuan1@software.misa.com.vn"/><s v="dvanh3@software.misa.com.vn"/><s v="nxhung@software.misa.com.vn"/><s v="btlien@software.misa.com.vn"/><s v="bvhau@software.misa.com.vn"/><s v="dcnhung@software.misa.com.vn"/><s v="thtrang@software.misa.com.vn"/><s v="nthien2@software.misa.com.vn"/><s v="nvlam@software.misa.com.vn"/><s v="nvtinh@bmt.misa.com.vn"/><s v="bhbphuong@support.misa.com.vn"/><s v="ntvan1@bmt.misa.com.vn"/><s v="ttvan@han.misa.com.vn"/><s v="nttuyen@misa.com.vn"/><s v="dtanh1@misa.com.vn"/><s v="lthien@han.misa.com.vn"/><s v="httnhan@hcm.misa.com.vn"/><s v="vtthuy@misa.com.vn"/><s v="phanh@han.misa.com.vn"/><s v="nnhan1@hcm.misa.com.vn"/><s v="ntktien@misa.com.vn"/><s v="tdkhoa@misa.com.vn"/><s v="qqtran@misa.com.vn"/><s v="thyen@support.misa.com.vn"/><s v="nthoa2@misa.com.vn"/><s v="nttrieu@han.misa.com.vn"/><s v="nttinh@cth.misa.com.vn"/><s v="lbngan@hcm.misa.com.vn"/><s v="ncviet@hcm.misa.com.vn"/><s v="nbanh@hcm.misa.com.vn"/><s v="ddkhanh@cth.misa.com.vn"/><s v="ntdiu@han.misa.com.vn"/><s v="ntbngan@support.misa.com.vn"/><s v="cpyen@hcm.misa.com.vn"/><s v="ltlong@misa.com.vn"/><s v="ntchung1@misa.com.vn"/><s v="nnle@hcm.misa.com.vn"/><s v="hvthanh@hcm.misa.com.vn"/><s v="thatuan@hcm.misa.com.vn"/><s v="tdtan1@hcm.misa.com.vn"/><s v="dtut@misa.com.vn"/><s v="tttrang@dng.misa.com.vn"/><s v="npdung@misa.com.vn"/><s v="ntyen1@misa.com.vn"/><s v="phmai@misa.com.vn"/><s v="nkchi3@hcm.misa.com.vn"/><s v="tthien@dng.misa.com.vn"/><s v="ttttuyen@dng.misa.com.vn"/><s v="hmtrang@cth.misa.com.vn"/><s v="nvtuan1@han.misa.com.vn"/><s v="ntphuong7@hcm.misa.com.vn"/><s v="htoanh@hcm.misa.com.vn"/><s v="cmluyen@hcm.misa.com.vn"/><s v="ttthao@cth.misa.com.vn"/><s v="nhvan@cth.misa.com.vn"/><s v="lhtthu@cth.misa.com.vn"/><s v="dmphuong1@support.misa.com.vn"/><s v="ntttrang@support.misa.com.vn"/><s v="vtloan@support.misa.com.vn"/><s v="thdang@software.misa.com.vn"/><s v="tkchung@misa.com.vn"/><s v="pdkhang@hcm.misa.com.vn"/><s v="nmhieu1@misa.com.vn"/><s v="ttchinh@support.misa.com.vn"/><s v="lmthuy@dng.misa.com.vn"/><s v="tmanh@misa.com.vn"/><s v="dnhuyen1@misa.com.vn"/><s v="ntvy2@hcm.misa.com.vn"/><s v="bmtuan@misa.com.vn"/><s v="ntngoc5@support.misa.com.vn"/><s v="nhgiang@misa.com.vn"/><s v="ntngan@support.misa.com.vn"/><s v="ltthuy1@support.misa.com.vn"/><s v="tsphuong@dng.misa.com.vn"/><s v="natuyet@bmt.misa.com.vn"/><s v="ttthoa@hcm.misa.com.vn"/><s v="btminh@software.misa.com.vn"/><s v="ltthao2@misa.com.vn"/><s v="dhanghia@hcm.misa.com.vn"/><s v="dtphong1@hcm.misa.com.vn"/><s v="nmaphuong@hcm.misa.com.vn"/><s v="ddsuong@hcm.misa.com.vn"/><s v="lctien@support.misa.com.vn"/><s v="nhchi@cth.misa.com.vn"/><s v="htmi@cth.misa.com.vn"/><s v="dtnhu@cth.misa.com.vn"/><s v="nhnhu1@cth.misa.com.vn"/><s v="dmtien@cth.misa.com.vn"/><s v="bmanh@cth.misa.com.vn"/><s v="thdang@cth.misa.com.vn"/><s v="dhlien@bmt.misa.com.vn"/><s v="ttuyen@bmt.misa.com.vn"/><s v="vpthang@hcm.misa.com.vn"/><s v="lnbtran@support.misa.com.vn"/><s v="dtduyen@misa.com.vn"/><s v="httngan@support.misa.com.vn"/><s v="vtlan@misa.com.vn"/><s v="nqgiao@hcm.misa.com.vn"/><s v="dalam@support.misa.com.vn"/><s v="pntnhi@hcm.misa.com.vn"/><s v="lpuyen@jetpay.vn"/><s v="plquyen@misa.com.vn"/><s v="pthuong@support.misa.com.vn"/><s v="dtngan@support.misa.com.vn"/><s v="nvhai@support.misa.com.vn"/><s v="dmhoa@support.misa.com.vn"/><s v="ndngoc@support.misa.com.vn"/><s v="npthao@bmt.misa.com.vn"/><s v="dtduong1@support.misa.com.vn"/><s v="tnmlam@hcm.misa.com.vn"/><s v="tntu@bmt.misa.com.vn"/><s v="nmvu@support.misa.com.vn"/><s v="ttnhung@support.misa.com.vn"/><s v="ntlinh5@hcm.misa.com.vn"/><s v="ntthuy2@dng.misa.com.vn"/><s v="ntvi3@hcm.misa.com.vn"/><s v="lmdang@hcm.misa.com.vn"/><s v="nkmen@hcm.misa.com.vn"/><s v="nhlinh@misa.com.vn"/><s v="npnghi@han.misa.com.vn"/><s v="clhmy@hcm.misa.com.vn"/><s v="tvbien1@han.misa.com.vn"/><s v="dtuyen@han.misa.com.vn"/><s v="hnmy@cth.misa.com.vn"/><s v="catuyet1@hcm.misa.com.vn"/><s v="navy@hcm.misa.com.vn"/><s v="lhtrang@misa.com.vn"/><s v="ntyen4@hcm.misa.com.vn"/><s v="tghuy@hcm.misa.com.vn"/><s v="plvinh@dng.misa.com.vn"/><s v="nqkhai@han.misa.com.vn"/><s v="httien@han.misa.com.vn"/><s v="dtha@dng.misa.com.vn"/><s v="lhnguyen@hcm.misa.com.vn"/><s v="tknghi@cth.misa.com.vn"/><s v="ntpthao@hcm.misa.com.vn"/><s v="nlanh@bmt.misa.com.vn"/><s v="lason@bmt.misa.com.vn"/><s v="dtthu@bmt.misa.com.vn"/><s v="tnanh@bmt.misa.com.vn"/><s v="ntlinh@bmt.misa.com.vn"/><s v="cntan@cth.misa.com.vn"/><s v="dntruc@cth.misa.com.vn"/><s v="ntquyen@cth.misa.com.vn"/><s v="navan@hcm.misa.com.vn"/><s v="nthuyen3@misa.com.vn"/><s v="tnhuynh@jetpay.vn"/><s v="nvthanh@jetpay.vn"/><s v="npkmy@misa.com.vn"/><s v="nvson@jetpay.vn"/><s v="ltvi@hcm.misa.com.vn"/><s v="ddquynh1@han.misa.com.vn"/><s v="nmthanh@misa.com.vn"/><s v="ctthuong@hcm.misa.com.vn"/><s v="thgiang@dng.misa.com.vn"/><s v="vttinh@misa.com.vn"/><s v="vqanh1@misa.com.vn"/><s v="tnmai@support.misa.com.vn"/><s v="nnhuong@misa.com.vn"/><s v="pqngan@dng.misa.com.vn"/><s v="lhthuong1@support.misa.com.vn"/><s v="vdtung@hcm.misa.com.vn"/><s v="htthao@misa.com.vn"/><s v="nntuyen1@bmt.misa.com.vn"/><s v="cmlinh@misa.com.vn"/><s v="dtthuong1@hcm.misa.com.vn"/><s v="nnly@hcm.misa.com.vn"/><s v="ntngoc2@support.misa.com.vn"/><s v="lvctuong@support.misa.com.vn"/><s v="ptnhung@support.misa.com.vn"/><s v="pqly@support.misa.com.vn"/><s v="pathu@support.misa.com.vn"/><s v="thduong@bmt.misa.com.vn"/><s v="lvhoang@hcm.misa.com.vn"/><s v="lpthao@support.misa.com.vn"/><s v="lhanh@support.misa.com.vn"/><s v="Gtlinh@support.misa.com.vn"/><s v="pnanh@support.misa.com.vn"/><s v="nhninh@support.misa.com.vn"/><s v="lnanh@support.misa.com.vn"/><s v="ptphuong@support.misa.com.vn"/><s v="lxanh@support.misa.com.vn"/><s v="pthai@support.misa.com.vn"/><s v="ntthao3@support.misa.com.vn"/><s v="nyvy@support.misa.com.vn"/><s v="nthoai@support.misa.com.vn"/><s v="nthuong3@support.misa.com.vn"/><s v="knmai@support.misa.com.vn"/><s v="nhtram@support.misa.com.vn"/><s v="nvhong@support.misa.com.vn"/><s v="nvlinh@support.misa.com.vn"/><s v="nhquyen@support.misa.com.vn"/><s v="npthao2@support.misa.com.vn"/><s v="dtan@support.misa.com.vn"/><s v="dtnhi@support.misa.com.vn"/><s v="tpanh@support.misa.com.vn"/><s v="pttrang@support.misa.com.vn"/><s v="htduyen@support.misa.com.vn"/><s v="dthanh@support.misa.com.vn"/><s v="ltdung1@support.misa.com.vn"/><s v="ptlinh@support.misa.com.vn"/><s v="ntthao2@support.misa.com.vn"/><s v="nktrinh@support.misa.com.vn"/><s v="lkoanh@support.misa.com.vn"/><s v="ntthuy4@support.misa.com.vn"/><s v="lthien1@support.misa.com.vn"/><s v="ndthang@support.misa.com.vn"/><s v="lthuong@support.misa.com.vn"/><s v="bmlinh@support.misa.com.vn"/><s v="nathu@support.misa.com.vn"/><s v="vtminh@support.misa.com.vn"/><s v="dttruc@support.misa.com.vn"/><s v="lthang1@support.misa.com.vn"/><s v="dmtai@support.misa.com.vn"/><s v="ttmanh@support.misa.com.vn"/><s v="htthao1@support.misa.com.vn"/><s v="cbkhanh@support.misa.com.vn"/><s v="bthoai@support.misa.com.vn"/><s v="lxdao@support.misa.com.vn"/><s v="vvanh@support.misa.com.vn"/><s v="nthuong4@support.misa.com.vn"/><s v="vhgiang@support.misa.com.vn"/><s v="lpuyen@support.misa.com.vn"/><s v="ntha@support.misa.com.vn"/><s v="htphuong1@support.misa.com.vn"/><s v="dpthuy@support.misa.com.vn"/><s v="tthoa2@support.misa.com.vn"/><s v="ntmai@support.misa.com.vn"/><s v="lttnhung@support.misa.com.vn"/><s v="ltthoa@support.misa.com.vn"/><s v="ntqui@support.misa.com.vn"/><s v="nnanh4@support.misa.com.vn"/><s v="dvdoan@support.misa.com.vn"/><s v="vvtien@support.misa.com.vn"/><s v="ctvan@support.misa.com.vn"/><s v="batuyet@support.misa.com.vn"/><s v="ntnga2@support.misa.com.vn"/><s v="dthang1@support.misa.com.vn"/><s v="nkoanh1@support.misa.com.vn"/><s v="pmlinh@support.misa.com.vn"/><s v="ckanh@support.misa.com.vn"/><s v="lbson@support.misa.com.vn"/><s v="ptthuong@support.misa.com.vn"/><s v="ntdung1@support.misa.com.vn"/><s v="tnanh1@support.misa.com.vn"/><s v="vpthao@support.misa.com.vn"/><s v="tttuoi@support.misa.com.vn"/><s v="ntlinh1@support.misa.com.vn"/><s v="lxcuong@support.misa.com.vn"/><s v="blphuong@support.misa.com.vn"/><s v="ltmy@support.misa.com.vn"/><s v="vlanh@support.misa.com.vn"/><s v="vthue@support.misa.com.vn"/><s v="npthien@support.misa.com.vn"/><s v="lkhoa@support.misa.com.vn"/><s v="tthoa1@support.misa.com.vn"/><s v="nthao@support.misa.com.vn"/><s v="ntnguyen@support.misa.com.vn"/><s v="nhmy@support.misa.com.vn"/><s v="ntthao4@support.misa.com.vn"/><s v="ntanh@support.misa.com.vn"/><s v="ntgiang@support.misa.com.vn"/><s v="pvphuong@support.misa.com.vn"/><s v="dtthuy1@support.misa.com.vn"/><s v="lvy@support.misa.com.vn"/><s v="hkhuyen@support.misa.com.vn"/><s v="lhthuong@support.misa.com.vn"/><s v="ttduong@support.misa.com.vn"/><s v="nthuong@support.misa.com.vn"/><s v="tntram@support.misa.com.vn"/><s v="nttiet@support.misa.com.vn"/><s v="dttrang2@support.misa.com.vn"/><s v="phyen@support.misa.com.vn"/><s v="pntoan@support.misa.com.vn"/><s v="ntngoc3@support.misa.com.vn"/><s v="tathanh@support.misa.com.vn"/><s v="nlhuyen@support.misa.com.vn"/><s v="ptyen@support.misa.com.vn"/><s v="ttgiang@support.misa.com.vn"/><s v="dthang@support.misa.com.vn"/><s v="npthao3@support.misa.com.vn"/><s v="dhphuong@support.misa.com.vn"/><s v="htdung@support.misa.com.vn"/><s v="ttha@support.misa.com.vn"/><s v="nthien3@support.misa.com.vn"/><s v="nnluong@support.misa.com.vn"/><s v="pkchung@support.misa.com.vn"/><s v="nbngoc@support.misa.com.vn"/><s v="tthuyen@support.misa.com.vn"/><s v="dttrang1@support.misa.com.vn"/><s v="nhnhung1@support.misa.com.vn"/><s v="nadieu@support.misa.com.vn"/><s v="nhnhung@support.misa.com.vn"/><s v="dxthang@support.misa.com.vn"/><s v="pthuong1@support.misa.com.vn"/><s v="nthang3@support.misa.com.vn"/><s v="lctu@support.misa.com.vn"/><s v="ntnhan1@support.misa.com.vn"/><s v="lnquyen@support.misa.com.vn"/><s v="dtthanh@support.misa.com.vn"/><s v="tqanh1@support.misa.com.vn"/><s v="nttuyen@support.misa.com.vn"/><s v="ptthan@support.misa.com.vn"/><s v="phyen1@support.misa.com.vn"/><s v="ntnhi@support.misa.com.vn"/><s v="nnhang@support.misa.com.vn"/><s v="thvuong@support.misa.com.vn"/><s v="tthanh1@support.misa.com.vn"/><s v="ltlan@support.misa.com.vn"/><s v="ntthuong@support.misa.com.vn"/><s v="ptngan@support.misa.com.vn"/><s v="nhphuong@support.misa.com.vn"/><s v="tychi@support.misa.com.vn"/><s v="ntnhien@support.misa.com.vn"/><s v="ptthu@support.misa.com.vn"/><s v="ntthao1@support.misa.com.vn"/><s v="nttrinh@support.misa.com.vn"/><s v="ptmai@support.misa.com.vn"/><s v="nhkhanh@support.misa.com.vn"/><s v="vxquynh@support.misa.com.vn"/><s v="nmly@support.misa.com.vn"/><s v="Bthuyen@support.misa.com.vn"/><s v="ntdai@support.misa.com.vn"/><s v="nnquynh1@hcm.misa.com.vn"/><s v="ldphan@hcm.misa.com.vn"/><s v="lcnhung@hcm.misa.com.vn"/><s v="dtphuong2@hcm.misa.com.vn"/><s v="nttrang7@hcm.misa.com.vn"/><s v="ltdung@dng.misa.com.vn"/><s v="ttnghia@dng.misa.com.vn"/><s v="bdthuong@hcm.misa.com.vn"/><s v="ttman@cth.misa.com.vn"/><s v="nctien@cth.misa.com.vn"/><s v="lhhanh@han.misa.com.vn"/><s v="vnai@misa.com.vn"/><s v="pvtruong@jetpay.vn"/><s v="nhtrung@jetpay.vn"/><s v="lahao@jetpay.vn"/><s v="ntha@software.jetpay.vn"/><s v="ntduyen@hcm.misa.com.vn"/><s v="ptpdung@hcm.misa.com.vn"/><s v="cqhoang@han.misa.com.vn"/><s v="vhchi@han.misa.com.vn"/><s v="bnha@han.misa.com.vn"/><s v="ltha@han.misa.com.vn"/><s v="hhtrang@han.misa.com.vn"/><s v="nthieu1@han.misa.com.vn"/><s v="dqanh1@han.misa.com.vn"/><s v="ptthuy@han.misa.com.vn"/><s v="bddung@han.misa.com.vn"/><s v="nndieu@han.misa.com.vn"/><s v="lthuyen@han.misa.com.vn"/><s v="ppvi@han.misa.com.vn"/><s v="btthu@han.misa.com.vn"/><s v="ptvu@han.misa.com.vn"/><s v="htcong@han.misa.com.vn"/><s v="ltngoan@han.misa.com.vn"/><s v="dnanh1@han.misa.com.vn"/><s v="ndkhanh@han.misa.com.vn"/><s v="dnthach@han.misa.com.vn"/><s v="nhtrang@han.misa.com.vn"/><s v="hmquang@hcm.misa.com.vn"/><s v="ttha2@hcm.misa.com.vn"/><s v="vhthanh@han.misa.com.vn"/><s v="dpvinh@cth.misa.com.vn"/><s v="ltdinh@cth.misa.com.vn"/><s v="nhnhu@cth.misa.com.vn"/><s v="dnnha@cth.misa.com.vn"/><s v="hnhu@cth.misa.com.vn"/><s v="ttuyen@cth.misa.com.vn"/><s v="tkhuong@cth.misa.com.vn"/><s v="nphao@hcm.misa.com.vn"/><s v="nhhue@hcm.misa.com.vn"/><s v="nttinh@hcm.misa.com.vn"/><s v="ndan1@hcm.misa.com.vn"/><s v="nnbinh@hcm.misa.com.vn"/><s v="pnphuong@hcm.misa.com.vn"/><s v="lathu@hcm.misa.com.vn"/><s v="tnanh@hcm.misa.com.vn"/><s v="ntdau@hcm.misa.com.vn"/><s v="ndquyen@hcm.misa.com.vn"/><s v="lmhanh@hcm.misa.com.vn"/><s v="dthang2@hcm.misa.com.vn"/><s v="lathuy@hcm.misa.com.vn"/><s v="dkthao@hcm.misa.com.vn"/><s v="htvan@hcm.misa.com.vn"/><s v="ntthuy4@hcm.misa.com.vn"/><s v="btnam1@hcm.misa.com.vn"/><s v="bhyen@hcm.misa.com.vn"/><s v="lntrang@hcm.misa.com.vn"/><s v="lttan@hcm.misa.com.vn"/><s v="hhhuong@hcm.misa.com.vn"/><s v="dkthoa@hcm.misa.com.vn"/><s v="ttan@misa.com.vn"/><s v="nkyen@hcm.misa.com.vn"/><s v="nhtram@bmt.misa.com.vn"/><s v="nnminh@bmt.misa.com.vn"/><s v="ntlong@bmt.misa.com.vn"/><s v="nkoanh1@hcm.misa.com.vn"/><s v="dqtien@bmt.misa.com.vn"/><s v="vkduyen@bmt.misa.com.vn"/><s v="cqvan@dng.misa.com.vn"/><s v="htvan1@dng.misa.com.vn"/><s v="ntthao@dng.misa.com.vn"/><s v="bmlinh@dng.misa.com.vn"/><s v="nmtien@dng.misa.com.vn"/><s v="dbhue@dng.misa.com.vn"/><s v="ndlinh1@misa.com.vn"/><s v="nhhanh@dng.misa.com.vn"/><s v="ptty@dng.misa.com.vn"/><s v="ttthuy@dng.misa.com.vn"/><s v="ltha@misa.com.vn"/><s v="lhvan@dng.misa.com.vn"/><s v="ltha@dng.misa.com.vn"/><s v="Nphang@dng.misa.com.vn"/><s v="ntloc@dng.misa.com.vn"/><s v="lthuong1@misa.com.vn"/><s v="pdthuy@dng.misa.com.vn"/><s v="nqtrang@misa.com.vn"/><s v="ldanh@dng.misa.com.vn"/><s v="phthinh@dng.misa.com.vn"/><s v="htthuy@dng.misa.com.vn"/><s v="tthuyen1@misa.com.vn"/><s v="httrang1@dng.misa.com.vn"/><s v="thlinh@dng.misa.com.vn"/><s v="ptthuy@dng.misa.com.vn"/><s v="ttphuong1@dng.misa.com.vn"/><s v="httien@dng.misa.com.vn"/><s v="tany@dng.misa.com.vn"/><s v="ntbinh@dng.misa.com.vn"/><s v="ntlinh@dng.misa.com.vn"/><s v="hyvy@dng.misa.com.vn"/><s v="ttsen@dng.misa.com.vn"/><s v="hqthong@hcm.misa.com.vn"/><s v="tvtrong@hcm.misa.com.vn"/><s v="dvanh1@hcm.misa.com.vn"/><s v="nkngan2@hcm.misa.com.vn"/><s v="hcminh@hcm.misa.com.vn"/><s v="nbhoa@hcm.misa.com.vn"/><s v="dnthuy@hcm.misa.com.vn"/><s v="ntqny@hcm.misa.com.vn"/><s v="nblinh@hcm.misa.com.vn"/><s v="bhnam@hcm.misa.com.vn"/><s v="lptrinh@hcm.misa.com.vn"/><s v="ntnhan1@hcm.misa.com.vn"/><s v="nkthanh@hcm.misa.com.vn"/><s v="tqdung@hcm.misa.com.vn"/><s v="pvphuong@hcm.misa.com.vn"/><s v="nttrang@hcm.misa.com.vn"/><s v="hdthanh@hcm.misa.com.vn"/><s v="cmchinh@han.misa.com.vn"/><s v="ntnga@hcm.misa.com.vn"/><s v="dhson@hcm.misa.com.vn"/><s v="ntliem@hcm.misa.com.vn"/><s v="ttxuan@hcm.misa.com.vn"/><s v="hxnuong@hcm.misa.com.vn"/><s v="httrieu@hcm.misa.com.vn"/><s v="dtloi@hcm.misa.com.vn"/><s v="nttanh@hcm.misa.com.vn"/><s v="nploan@hcm.misa.com.vn"/><s v="nhthanh@hcm.misa.com.vn"/><s v="ktphat@hcm.misa.com.vn"/><s v="dtthanh@hcm.misa.com.vn"/><s v="nvtoan@hcm.misa.com.vn"/><s v="pthuyen@hcm.misa.com.vn"/><s v="ndthien2@hcm.misa.com.vn"/><s v="dttloan@hcm.misa.com.vn"/><s v="tntruong@hcm.misa.com.vn"/><s v="ntthanh3@hcm.misa.com.vn"/><s v="phmy@hcm.misa.com.vn"/><s v="vynhi1@hcm.misa.com.vn"/><s v="hmthy@hcm.misa.com.vn"/><s v="tanhi@hcm.misa.com.vn"/><s v="vtly@hcm.misa.com.vn"/><s v="nmduyen3@hcm.misa.com.vn"/><s v="vhthanh@hcm.misa.com.vn"/><s v="nkngan3@hcm.misa.com.vn"/><s v="tkanh@hcm.misa.com.vn"/><s v="vdhuu@hcm.misa.com.vn"/><s v="nhnhu4@hcm.misa.com.vn"/><s v="nkquyen1@hcm.misa.com.vn"/><s v="ntphuc1@hcm.misa.com.vn"/><s v="nhnhu3@hcm.misa.com.vn"/><s v="tathu1@hcm.misa.com.vn"/><s v="hhau@hcm.misa.com.vn"/><s v="dcthuy@hcm.misa.com.vn"/><s v="ltthuy4@hcm.misa.com.vn"/><s v="pthuyen1@hcm.misa.com.vn"/><s v="tanguyet@hcm.misa.com.vn"/><s v="ltngan@hcm.misa.com.vn"/><s v="nnhan@hcm.misa.com.vn"/><s v="tdphu@hcm.misa.com.vn"/><s v="thquyet@hcm.misa.com.vn"/><s v="nhkim@hcm.misa.com.vn"/><s v="vbtram1@hcm.misa.com.vn"/><s v="nvtrinh1@hcm.misa.com.vn"/><s v="ttha1@hcm.misa.com.vn"/><s v="lntrang1@hcm.misa.com.vn"/><s v="mcvien@hcm.misa.com.vn"/><s v="ntnhung1@hcm.misa.com.vn"/><s v="nhtran2@hcm.misa.com.vn"/><s v="ntvi4@hcm.misa.com.vn"/><s v="pqhoa@hcm.misa.com.vn"/><s v="tplvy@hcm.misa.com.vn"/><s v="vtvan@hcm.misa.com.vn"/><s v="nnlinh1@hcm.misa.com.vn"/><s v="nbphuong@hcm.misa.com.vn"/><s v="bctu@hcm.misa.com.vn"/><s v="ptmy@hcm.misa.com.vn"/><s v="tmhanh@hcm.misa.com.vn"/><s v="bvcong@hcm.misa.com.vn"/><s v="nnxdung@hcm.misa.com.vn"/><s v="ntthuy6@hcm.misa.com.vn"/><s v="ftthao@hcm.misa.com.vn"/><s v="vmthuong@hcm.misa.com.vn"/><s v="dcquy@hcm.misa.com.vn"/><s v="vqanh1@hcm.misa.com.vn"/><s v="ntha1@hcm.misa.com.vn"/><s v="nnthi1@hcm.misa.com.vn"/><s v="mbhan@hcm.misa.com.vn"/><s v="ntlinh7@hcm.misa.com.vn"/><s v="tbloc@hcm.misa.com.vn"/><s v="ntphuong4@hcm.misa.com.vn"/><s v="ntthuy3@hcm.misa.com.vn"/><s v="npnhan@hcm.misa.com.vn"/><s v="npngan@hcm.misa.com.vn"/><s v="bdqviet@hcm.misa.com.vn"/><s v="nkyen1@hcm.misa.com.vn"/><s v="pmdiep@hcm.misa.com.vn"/><s v="ntthu@hcm.misa.com.vn"/><s v="nhphong@hcm.misa.com.vn"/><s v="lthung1@hcm.misa.com.vn"/><s v="nbyen@hcm.misa.com.vn"/><s v="ltdung2@hcm.misa.com.vn"/><s v="ndhai@hcm.misa.com.vn"/><s v="qxphuong@hcm.misa.com.vn"/><s v="nktuyen1@hcm.misa.com.vn"/><s v="tmtam@hcm.misa.com.vn"/><s v="nnphuong2@hcm.misa.com.vn"/><s v="ttphuong@hcm.misa.com.vn"/><s v="dtvi@bmt.misa.com.vn"/><s v="kqnhu@bmt.misa.com.vn"/><s v="htai@hcm.misa.com.vn"/><s v="danguyet@bmt.misa.com.vn"/><s v="nbngoc@bmt.misa.com.vn"/><s v="bxthanh@bmt.misa.com.vn"/><s v="htvy@bmt.misa.com.vn"/><s v="nkvy@hcm.misa.com.vn"/><s v="dblieu@hcm.misa.com.vn"/><s v="ntthao@bmt.misa.com.vn"/><s v="vtlinh@hcm.misa.com.vn"/><s v="dtphuong1@bmt.misa.com.vn"/><s v="mtoanh@bmt.misa.com.vn"/><s v="tbchau@bmt.misa.com.vn"/><s v="lvnam@bmt.misa.com.vn"/><s v="knphuong@bmt.misa.com.vn"/><s v="pthanh@bmt.misa.com.vn"/><s v="nachi@bmt.misa.com.vn"/><s v="ltngoc@bmt.misa.com.vn"/><s v="nthien@bmt.misa.com.vn"/><s v="nthe@bmt.misa.com.vn"/><s v="hmngan@bmt.misa.com.vn"/><s v="hdanh@bmt.misa.com.vn"/><s v="nnttien@bmt.misa.com.vn"/><s v="ltphung@bmt.misa.com.vn"/><s v="vthau@bmt.misa.com.vn"/><s v="tklien@bmt.misa.com.vn"/><s v="plam@bmt.misa.com.vn"/><s v="nhvu@bmt.misa.com.vn"/><s v="vthue@bmt.misa.com.vn"/><s v="ltvuong@bmt.misa.com.vn"/><s v="htnga@bmt.misa.com.vn"/><s v="tmduyen@bmt.misa.com.vn"/><s v="ntthuy@bmt.misa.com.vn"/><s v="mtvuong@bmt.misa.com.vn"/><s v="nkdung@hcm.misa.com.vn"/><s v="lhlinh@hcm.misa.com.vn"/><s v="ttlien@bmt.misa.com.vn"/><s v="dnlong@bmt.misa.com.vn"/><s v="vtgiang@bmt.misa.com.vn"/><s v="nlphuong@bmt.misa.com.vn"/><s v="hthong@bmt.misa.com.vn"/><s v="txchuc@misa.com.vn"/><s v="ltnghia@cth.misa.com.vn"/><s v="ntqanh@cth.misa.com.vn"/><s v="tnhien@cth.misa.com.vn"/><s v="vtlam@misa.com.vn"/><s v="ltmy@misa.com.vn"/><s v="ntathu@hcm.misa.com.vn"/><s v="ntngan@misa.com.vn"/><s v="tlhoang@dng.misa.com.vn"/><s v="nythuong@hcm.misa.com.vn"/><s v="nxcong@han.misa.com.vn"/><s v="cxthinh@han.misa.com.vn"/><s v="vhnam1@han.misa.com.vn"/><s v="ntthuy5@han.misa.com.vn"/><s v="nttrang@han.misa.com.vn"/><s v="tvbien@han.misa.com.vn"/><s v="hlatuan@dng.misa.com.vn"/><s v="nthien1@misa.com.vn"/><s v="nthai@misa.com.vn"/><s v="tttrang@han.misa.com.vn"/><s v="lthang3@han.misa.com.vn"/><s v="vtan@han.misa.com.vn"/><s v="pmvui@han.misa.com.vn"/><s v="nhquy@han.misa.com.vn"/><s v="ntlien@han.misa.com.vn"/><s v="ndthanh@han.misa.com.vn"/><s v="ptphuong6@han.misa.com.vn"/><s v="vtan1@han.misa.com.vn"/><s v="dlhai@han.misa.com.vn"/><s v="lhanh@han.misa.com.vn"/><s v="dqsang@han.misa.com.vn"/><s v="kttrang@han.misa.com.vn"/><s v="dthuyen@han.misa.com.vn"/><s v="tvbinh@han.misa.com.vn"/><s v="nqmai@han.misa.com.vn"/><s v="nvba@han.misa.com.vn"/><s v="nmhong@han.misa.com.vn"/><s v="ntthanh2@han.misa.com.vn"/><s v="nthuong@han.misa.com.vn"/><s v="dvhung1@han.misa.com.vn"/><s v="plan@han.misa.com.vn"/><s v="dhnam@han.misa.com.vn"/><s v="vsky@han.misa.com.vn"/><s v="ntdung3@han.misa.com.vn"/><s v="dvson@han.misa.com.vn"/><s v="cthieu@han.misa.com.vn"/><s v="dtthuy1@han.misa.com.vn"/><s v="vvtri@han.misa.com.vn"/><s v="bthai@han.misa.com.vn"/><s v="nthong@han.misa.com.vn"/><s v="pvkhanh@han.misa.com.vn"/><s v="tnlinh@misa.com.vn"/><s v="nhtrang4@misa.com.vn"/><s v="dmdung@misa.com.vn"/><s v="tmvan@misa.com.vn"/><s v="dbnguyen@misa.com.vn"/><s v="dkhuyen1@misa.com.vn"/><s v="ntminh@misa.com.vn"/><s v="vtkcuc@misa.com.vn"/><s v="hkhuyen@misa.com.vn"/><s v="tmphuong@misa.com.vn"/><s v="ntlam@misa.com.vn"/><s v="lhtrang1@misa.com.vn"/><s v="nthuyen1@misa.com.vn"/><s v="hdkhiem@misa.com.vn"/><s v="nvduc@misa.com.vn"/><s v="dmha@misa.com.vn"/><s v="nltien@misa.com.vn"/><s v="dnhuyen@misa.com.vn"/><s v="vtlinh@misa.com.vn"/><s v="nmnguyet@misa.com.vn"/><s v="nnha@misa.com.vn"/><s v="phanh@misa.com.vn"/><s v="dkluc@misa.com.vn"/><s v="ntcuong@misa.com.vn"/><s v="ltthuy@misa.com.vn"/><s v="tvdoan@misa.com.vn"/><s v="ttdieu@misa.com.vn"/><s v="npthanh@misa.com.vn"/><s v="lnanh1@misa.com.vn"/><s v="ntaphung@misa.com.vn"/><s v="pthuyen3@misa.com.vn"/><s v="dbngoc@misa.com.vn"/><s v="ltduc@misa.com.vn"/><s v="nbngoc1@misa.com.vn"/><s v="lnanh@misa.com.vn"/><s v="btnquynh@misa.com.vn"/><s v="dklien1@misa.com.vn"/><s v="tthuong@misa.com.vn"/><s v="lmanh@misa.com.vn"/><s v="hvthi@misa.com.vn"/><s v="ltthuong@misa.com.vn"/><s v="bynhi@rd.misa.com.vn"/><s v="tdthien@misa.com.vn"/><s v="tmhao@misa.com.vn"/><s v="ntcan@dng.misa.com.vn"/><s v="nhkvy@dng.misa.com.vn"/><s v="tnminh@dng.misa.com.vn"/><s v="thnha@dng.misa.com.vn"/><s v="tdhao@dng.misa.com.vn"/><s v="nhhanh1@dng.misa.com.vn"/><s v="nkthanh@dng.misa.com.vn"/><s v="nvanh@dng.misa.com.vn"/><s v="dcdoan@misa.com.vn"/><s v="pttuyen@han.misa.com.vn"/><s v="nhyen1@han.misa.com.vn"/><s v="lhquang@misa.com.vn"/><s v="nmtuan@hcm.misa.com.vn"/><s v="tbngoc@hcm.misa.com.vn"/><s v="lnni@dng.misa.com.vn"/><s v="tmhan@hcm.misa.com.vn"/><s v="tkhong@hcm.misa.com.vn"/><s v="nnanh1@hcm.misa.com.vn"/><s v="dvtruong@hcm.misa.com.vn"/><s v="kbroi@hcm.misa.com.vn"/><s v="nbnquan@hcm.misa.com.vn"/><s v="lvtu@hcm.misa.com.vn"/><s v="lctu@hcm.misa.com.vn"/><s v="vttien@hcm.misa.com.vn"/><s v="htduong@hcm.misa.com.vn"/><s v="ndkhoa3@hcm.misa.com.vn"/><s v="nblong@hcm.misa.com.vn"/><s v="dvgiap@hcm.misa.com.vn"/><s v="ntvy1@hcm.misa.com.vn"/><s v="nmthao@hcm.misa.com.vn"/><s v="hmphuong@hcm.misa.com.vn"/><s v="ntquyen1@hcm.misa.com.vn"/><s v="batien@hcm.misa.com.vn"/><s v="hbngoc@hcm.misa.com.vn"/><s v="ddhao@hcm.misa.com.vn"/><s v="dctai@dng.misa.com.vn"/><s v="ptngoc1@dng.misa.com.vn"/><s v="ntdung@dng.misa.com.vn"/><s v="hxdanh@dng.misa.com.vn"/><s v="hktho@cth.misa.com.vn"/><s v="pvtuan@cth.misa.com.vn"/><s v="ptnga@han.misa.com.vn"/><s v="dnha@han.misa.com.vn"/><s v="hqhoa@han.misa.com.vn"/><s v="nvhai1@han.misa.com.vn"/><s v="ndson@han.misa.com.vn"/><s v="ttthuong@han.misa.com.vn"/><s v="vhtrang@han.misa.com.vn"/><s v="pxcuong@han.misa.com.vn"/><s v="htvi@han.misa.com.vn"/><s v="hnbich@han.misa.com.vn"/><s v="giahan@hcm.misa.com.vn"/><s v="csm01@support.misa.com.vn"/><s v="nttuyen2@software.misa.com.vn"/><s v="hqthu@misa.com.vn"/><s v="nmcuong@misa.com.vn"/><s v="vdhuy@misa.com.vn"/><s v="ntnga@misa.com.vn"/><s v="latuan@misa.com.vn"/><s v="htlua@misa.com.vn"/><s v="dtanh@misa.com.vn"/><s v="tpanh@misa.com.vn"/><s v="pbmai@misa.com.vn"/><s v="pthai@misa.com.vn"/><s v="nhtoan@misa.com.vn"/><s v="lnphu@misa.com.vn"/><s v="lpanh@misa.com.vn"/><s v="nqthanh@misa.com.vn"/><s v="ntmy@misa.com.vn"/><s v="ntthuy1@misa.com.vn"/><s v="httham1@misa.com.vn"/><s v="dklien@misa.com.vn"/><s v="ltlinh1@misa.com.vn"/><s v="lhtrang@support.misa.com.vn"/><s v="datuan@hcm.misa.com.vn"/><s v="lqtruong@misa.com.vn"/><s v="nvhung@support.misa.com.vn"/><s v="dtdung1@misa.com.vn"/><s v="mthang@misa.com.vn"/><s v="ndkien@misa.com.vn"/><s v="ntthuy@misa.com.vn"/><s v="nlhuong@misa.com.vn"/><s v="dtnguyet@misa.com.vn"/><s v="ntphong@software.misa.com.vn"/><s v="nttuyen1@hcm.misa.com.vn"/><s v="npquyen@hcm.misa.com.vn"/><s v="tstung@jetpay.vn"/><s v="dttung@misa.com.vn"/><s v="vlthu@misa.com.vn"/><s v="pddao@software.jetpay.vn"/><s v="nnhieu@rd.misa.com.vn"/><s v="vhduong@jetpay.vn"/><s v="ptduong@software.jetpay.vn"/><s v="nthuyen@jetpay.vn"/><s v="ttanh2@software.misa.com.vn"/><s v="ndbinh@jetpay.vn"/><s v="ttmy@support.misa.com.vn"/><s v="dtthuy@misa.com.vn"/><s v="ntngoan@misa.com.vn"/><s v="vtthuc@bmt.misa.com.vn"/><s v="pdhuy@bmt.misa.com.vn"/><s v="dqanh@dng.misa.com.vn"/><s v="npthinh@misa.com.vn"/><s v="tkhuy@misa.com.vn"/><s v="nhtrang1@misa.com.vn"/><s v="tdnguyen@misa.com.vn"/><s v="hhquyet@misa.com.vn"/><s v="ndthuan@misa.com.vn"/><s v="dnanh@misa.com.vn"/><s v="ntngoc@misa.com.vn"/><s v="ttphuong1@misa.com.vn"/><s v="nthan@misa.com.vn"/><s v="ldhung@misa.com.vn"/><s v="hktuyen@misa.com.vn"/><s v="tqvinh@misa.com.vn"/><s v="nhyen@misa.com.vn"/><s v="pvanh@misa.com.vn"/><s v="dtphuong@misa.com.vn"/><s v="tmhieu@misa.com.vn"/><s v="ntthang@misa.com.vn"/><s v="ntngan1@misa.com.vn"/><s v="vtuyen@misa.com.vn"/><s v="pbngoc@misa.com.vn"/><s v="nhtrang@misa.com.vn"/><s v="ntcuong1@misa.com.vn"/><s v="ltthanh@misa.com.vn"/><s v="bttrang@misa.com.vn"/><s v="dvha@misa.com.vn"/><s v="txtung@hcm.misa.com.vn"/><s v="dqanh@support.misa.com.vn"/><s v="lhchuong@hcm.misa.com.vn"/><s v="nxhoang@misa.com.vn"/><s v="nthau@misa.com.vn"/><s v="tqcanh@support.misa.com.vn"/><s v="nthong@support.misa.com.vn"/><s v="nvlong@support.misa.com.vn"/><s v="htha@support.misa.com.vn"/><s v="htto@dng.misa.com.vn"/><s v="mpvien@dng.misa.com.vn"/><s v="dtvan@dng.misa.com.vn"/><s v="nathu@dng.misa.com.vn"/><s v="nhhai@dng.misa.com.vn"/><s v="dvhiep@dng.misa.com.vn"/><s v="dchau@dng.misa.com.vn"/><s v="vtvy@dng.misa.com.vn"/><m/><s v="ntnhan1@software.misa.com.vn"/><s v="tmnhung@software.misa.com.vn"/><s v="dvtrong@software.misa.com.vn"/><s v="dgson@software.misa.com.vn"/><s v="thtrang1@software.misa.com.vn"/><s v="nnthao@software.misa.com.vn"/><s v="nmthang2@software.misa.com.vn"/><s v="bqhung@software.misa.com.vn"/><s v="ttkien1@mdc.misa.com.vn"/><s v="hglong@mdc.misa.com.vn"/><s v="ntthao1@software.misa.com.vn"/><s v="tcphuong@software.misa.com.vn"/><s v="tdba@software.misa.com.vn"/><s v="nhhao@software.misa.com.vn"/><s v="hhdong@mdc.misa.com.vn"/><s v="ptcong@software.misa.com.vn"/><s v="nxquang@software.misa.com.vn"/><s v="dtthuy2@software.misa.com.vn"/><s v="phduong@software.misa.com.vn"/><s v="nvanh2@software.misa.com.vn"/><s v="hctu@software.misa.com.vn"/><s v="vnquan@software.misa.com.vn"/><s v="kqhoang@software.misa.com.vn"/><s v="ntuyen@software.misa.com.vn"/><s v="ptluyen@software.misa.com.vn"/><s v="vqphong@software.misa.com.vn"/><s v="pvlinh1@software.misa.com.vn"/><s v="pshai@software.misa.com.vn"/><s v="vddong@software.misa.com.vn"/><s v="pqbinh@software.misa.com.vn"/><s v="nhanh3@software.misa.com.vn"/><s v="ptchanh@software.misa.com.vn"/><s v="ntdat1@software.misa.com.vn"/><s v="ndmanh2@software.misa.com.vn"/><s v="dqduy@software.misa.com.vn"/><s v="nsduong@software.misa.com.vn"/><s v="lvhoang@software.misa.com.vn"/><s v="tlkhanh@software.misa.com.vn"/><s v="lhphong@software.misa.com.vn"/><s v="lvtho@software.misa.com.vn"/><s v="nvxuan@software.misa.com.vn"/><s v="dtthao1@software.misa.com.vn"/><s v="kadung@software.misa.com.vn"/><s v="ltnam@software.misa.com.vn"/><s v="ntthuy1@software.misa.com.vn"/><s v="ntkien2@software.misa.com.vn"/><s v="nvchung@software.misa.com.vn"/><s v="pnquynh@software.misa.com.vn"/><s v="lcnhung@software.misa.com.vn"/><s v="lnthao@software.misa.com.vn"/><s v="hkdung@software.misa.com.vn"/><s v="dnthang@software.misa.com.vn"/><s v="mtthiem@software.misa.com.vn"/><s v="nnmai@software.misa.com.vn"/><s v="hthieu@software.misa.com.vn"/><s v="ntlinh3@software.misa.com.vn"/><s v="ttanh3@software.misa.com.vn"/><s v="vtson@software.misa.com.vn"/><s v="pbngoc@software.misa.com.vn"/><s v="tvchien@software.misa.com.vn"/><s v="ntquy@software.misa.com.vn"/><s v="pvhai@software.misa.com.vn"/><s v="vkthu@software.misa.com.vn"/><s v="bmthang@software.misa.com.vn"/><s v="ntanh2@software.misa.com.vn"/><s v="vmhieu@software.misa.com.vn"/><s v="ntgiang2@software.misa.com.vn"/><s v="tvanh@software.misa.com.vn"/><s v="ttdien@software.misa.com.vn"/><s v="hmtri@software.misa.com.vn"/><s v="nhnam1@software.misa.com.vn"/><s v="ttdung3@software.misa.com.vn"/><s v="dmgiang@software.misa.com.vn"/><s v="ntthe@software.misa.com.vn"/><s v="cttrang@software.misa.com.vn"/><s v="lhngoc1@software.misa.com.vn"/><s v="nhtrang1@software.misa.com.vn"/><s v="dmha@software.misa.com.vn"/><s v="ltoanh@software.misa.com.vn"/><s v="cvmanh@mdc.misa.com.vn"/><s v="dtduc@software.misa.com.vn"/><s v="palinh@software.misa.com.vn"/><s v="nthuyen4@software.misa.com.vn"/><s v="nmquang3@software.misa.com.vn"/><s v="nvnam2@software.misa.com.vn"/><s v="ttkien@software.misa.com.vn"/><s v="hthang1@software.misa.com.vn"/><s v="pvthang@software.misa.com.vn"/><s v="nhson@software.misa.com.vn"/><s v="blhai@rd.misa.com.vn"/><s v="lttuan@software.misa.com.vn"/><s v="tthuyen@software.misa.com.vn"/><s v="thyen@software.misa.com.vn"/><s v="tqphuong@software.misa.com.vn"/><s v="npthao3@software.misa.com.vn"/><s v="bthang@software.misa.com.vn"/><s v="nttung1@software.misa.com.vn"/><s v="nbtin@software.misa.com.vn"/><s v="dxhoang@software.misa.com.vn"/><s v="bhviet@software.misa.com.vn"/><s v="nthuyen5@software.misa.com.vn"/><s v="dtthao3@software.misa.com.vn"/><s v="bdtruong@software.misa.com.vn"/><s v="nkngan1@software.misa.com.vn"/><s v="dttra@software.misa.com.vn"/><s v="dthue@software.misa.com.vn"/><s v="dlhuy@software.misa.com.vn"/><s v="vmhoang1@software.misa.com.vn"/><s v="dtnga3@software.misa.com.vn"/><s v="nhanh2@software.misa.com.vn"/><s v="nhhung@software.misa.com.vn"/><s v="ddhung@software.misa.com.vn"/><s v="vmquang@rd.misa.com.vn"/><s v="ncbao@software.misa.com.vn"/><s v="nthue@software.misa.com.vn"/><s v="nvlinh@software.misa.com.vn"/><s v="tvthai@software.misa.com.vn"/><s v="ntchuyen@software.misa.com.vn"/><s v="tcduong@software.misa.com.vn"/><s v="nqtrung1@software.misa.com.vn"/><s v="bnanh@software.misa.com.vn"/><s v="dtchang@software.misa.com.vn"/><s v="ttuyen@software.misa.com.vn"/><s v="nmanh1@software.misa.com.vn"/><s v="pvhoang@software.misa.com.vn"/><s v="ttsim@software.misa.com.vn"/><s v="ntcong@software.misa.com.vn"/><s v="nndiep@software.misa.com.vn"/><s v="cvcuong1@software.misa.com.vn"/><s v="nmthang1@software.misa.com.vn"/><s v="ntmay@software.misa.com.vn"/><s v="lvduy@software.misa.com.vn"/><s v="ntdung5@software.misa.com.vn"/><s v="tbngoc@software.misa.com.vn"/><s v="nmtuan4@software.misa.com.vn"/><s v="nhhoang1@software.misa.com.vn"/><s v="ntdiem@software.misa.com.vn"/><s v="ltdung1@software.misa.com.vn"/><s v="lqnhat@software.misa.com.vn"/><s v="ntha3@fresher.misa.com.vn"/><s v="bdhieu@software.misa.com.vn"/><s v="lcanh@software.misa.com.vn"/><s v="tknhung@software.misa.com.vn"/></sharedItems></cacheField><cacheField name="Giới tính" numFmtId="0"><sharedItems containsBlank="1"><s v="Nữ"/><s v="Nam"/><m/></sharedItems></cacheField><cacheField name="Cấp" numFmtId="0"><sharedItems containsString="0" containsBlank="1" containsNumber="1" containsInteger="1"><m/><n v="2.0"/><n v="1.0"/><n v="4.0"/><n v="3.0"/><n v="6.0"/><n v="5.0"/></sharedItems></cacheField><cacheField name="Bậc"><sharedItems containsBlank="1" containsMixedTypes="1" containsNumber="1" containsInteger="1"><n v="1.0"/><m/><n v="3.0"/><n v="2.0"/><n v="4.0"/><n v="6.0"/><n v="5.0"/><n v="8.0"/><n v="7.0"/><n v="10.0"/><n v="9.0"/><n v="11.0"/><s v="Level 0"/><n v="15.0"/><n v="0.0"/><n v="14.0"/><s v="Level"/></sharedItems></cacheField><cacheField name="Tính chất lao động" numFmtId="0"><sharedItems><s v="Thử việc"/><s v="Chính thức"/><s v="Nghỉ thai sản"/><s v="Thực tập sinh"/></sharedItems></cacheField><cacheField name="Ngày sinh" numFmtId="166"><sharedItems containsDate="1" containsString="0" containsBlank="1"><d v="2001-02-10T00:00:00Z"/><d v="2001-09-18T00:00:00Z"/><d v="2002-09-21T00:00:00Z"/><d v="2002-12-15T00:00:00Z"/><d v="1998-03-05T00:00:00Z"/><d v="1994-05-13T00:00:00Z"/><d v="1999-07-14T00:00:00Z"/><d v="2002-10-20T00:00:00Z"/><d v="1997-01-22T00:00:00Z"/><d v="1999-07-23T00:00:00Z"/><d v="2002-08-17T00:00:00Z"/><d v="1998-11-07T00:00:00Z"/><d v="1991-11-07T00:00:00Z"/><d v="1997-10-12T00:00:00Z"/><d v="2002-10-02T00:00:00Z"/><d v="2002-08-03T00:00:00Z"/><d v="1998-12-11T00:00:00Z"/><d v="2001-06-02T00:00:00Z"/><d v="2001-07-08T00:00:00Z"/><d v="2001-01-15T00:00:00Z"/><d v="2002-02-25T00:00:00Z"/><d v="2002-01-01T00:00:00Z"/><d v="2002-01-15T00:00:00Z"/><d v="2000-11-11T00:00:00Z"/><d v="2001-05-06T00:00:00Z"/><d v="1995-07-19T00:00:00Z"/><d v="1998-05-22T00:00:00Z"/><d v="1997-08-07T00:00:00Z"/><d v="2000-07-17T00:00:00Z"/><d v="1999-11-14T00:00:00Z"/><d v="2000-01-28T00:00:00Z"/><d v="1990-05-26T00:00:00Z"/><d v="1997-02-07T00:00:00Z"/><d v="2000-12-16T00:00:00Z"/><d v="2002-08-09T00:00:00Z"/><d v="2002-11-11T00:00:00Z"/><d v="2001-03-25T00:00:00Z"/><d v="2002-01-31T00:00:00Z"/><d v="2003-03-15T00:00:00Z"/><d v="1992-09-16T00:00:00Z"/><d v="2002-04-04T00:00:00Z"/><d v="2000-09-17T00:00:00Z"/><d v="1995-05-18T00:00:00Z"/><d v="1998-10-09T00:00:00Z"/><d v="2001-11-22T00:00:00Z"/><d v="2000-01-08T00:00:00Z"/><d v="1976-10-12T00:00:00Z"/><d v="2002-11-12T00:00:00Z"/><d v="2000-12-18T00:00:00Z"/><d v="1988-10-26T00:00:00Z"/><d v="2000-10-31T00:00:00Z"/><d v="1999-11-07T00:00:00Z"/><d v="1993-05-16T00:00:00Z"/><d v="2000-12-23T00:00:00Z"/><d v="2000-08-15T00:00:00Z"/><d v="1997-07-13T00:00:00Z"/><d v="1999-05-05T00:00:00Z"/><d v="1997-05-21T00:00:00Z"/><d v="1997-06-19T00:00:00Z"/><d v="1992-10-06T00:00:00Z"/><d v="2000-03-29T00:00:00Z"/><d v="2002-05-08T00:00:00Z"/><d v="2001-09-26T00:00:00Z"/><d v="2001-04-13T00:00:00Z"/><d v="2001-04-26T00:00:00Z"/><d v="2000-07-16T00:00:00Z"/><d v="2000-06-20T00:00:00Z"/><d v="2000-10-23T00:00:00Z"/><d v="2000-10-14T00:00:00Z"/><d v="2000-08-10T00:00:00Z"/><d v="2000-12-20T00:00:00Z"/><d v="2000-01-24T00:00:00Z"/><d v="2000-01-16T00:00:00Z"/><d v="1997-11-25T00:00:00Z"/><d v="1997-12-06T00:00:00Z"/><d v="1997-03-29T00:00:00Z"/><d v="1994-10-23T00:00:00Z"/><d v="1995-08-07T00:00:00Z"/><d v="1996-05-18T00:00:00Z"/><d v="1991-11-20T00:00:00Z"/><d v="1995-05-01T00:00:00Z"/><d v="2002-02-20T00:00:00Z"/><d v="2000-09-21T00:00:00Z"/><d v="1997-04-20T00:00:00Z"/><d v="2000-12-06T00:00:00Z"/><d v="2001-05-25T00:00:00Z"/><d v="2001-04-09T00:00:00Z"/><d v="2001-04-06T00:00:00Z"/><d v="2001-05-19T00:00:00Z"/><d v="2000-05-10T00:00:00Z"/><d v="1999-10-22T00:00:00Z"/><d v="1995-03-28T00:00:00Z"/><d v="1996-04-05T00:00:00Z"/><d v="1999-01-23T00:00:00Z"/><d v="1997-02-18T00:00:00Z"/><d v="1997-03-16T00:00:00Z"/><d v="1997-08-23T00:00:00Z"/><d v="1997-01-16T00:00:00Z"/><d v="1995-09-06T00:00:00Z"/><d v="1995-07-15T00:00:00Z"/><d v="1997-10-18T00:00:00Z"/><d v="1999-12-19T00:00:00Z"/><d v="1999-07-07T00:00:00Z"/><d v="1992-05-26T00:00:00Z"/><d v="1995-03-17T00:00:00Z"/><d v="1995-12-11T00:00:00Z"/><d v="2000-05-25T00:00:00Z"/><d v="2001-10-13T00:00:00Z"/><d v="2000-04-05T00:00:00Z"/><d v="2000-05-26T00:00:00Z"/><d v="1999-08-30T00:00:00Z"/><d v="1999-02-13T00:00:00Z"/><d v="2000-02-14T00:00:00Z"/><d v="2000-01-18T00:00:00Z"/><d v="2000-05-29T00:00:00Z"/><d v="1998-03-23T00:00:00Z"/><d v="1996-08-28T00:00:00Z"/><d v="1998-10-12T00:00:00Z"/><d v="1997-07-30T00:00:00Z"/><d v="1993-04-27T00:00:00Z"/><d v="1994-02-21T00:00:00Z"/><d v="1997-09-22T00:00:00Z"/><d v="1992-02-29T00:00:00Z"/><d v="1998-02-06T00:00:00Z"/><d v="1999-11-01T00:00:00Z"/><d v="1995-05-23T00:00:00Z"/><d v="1993-09-10T00:00:00Z"/><d v="1991-11-24T00:00:00Z"/><d v="1998-02-07T00:00:00Z"/><d v="2000-09-13T00:00:00Z"/><d v="2000-10-18T00:00:00Z"/><d v="2000-12-01T00:00:00Z"/><d v="1997-09-19T00:00:00Z"/><d v="2000-06-01T00:00:00Z"/><d v="1999-02-26T00:00:00Z"/><d v="2001-08-07T00:00:00Z"/><d v="2001-02-15T00:00:00Z"/><d v="1999-08-29T00:00:00Z"/><d v="2000-11-28T00:00:00Z"/><d v="2000-05-24T00:00:00Z"/><d v="1997-12-16T00:00:00Z"/><d v="2000-10-15T00:00:00Z"/><d v="1999-12-03T00:00:00Z"/><d v="2000-01-20T00:00:00Z"/><d v="1999-08-15T00:00:00Z"/><d v="2000-09-25T00:00:00Z"/><d v="1999-07-06T00:00:00Z"/><d v="1999-01-31T00:00:00Z"/><d v="1997-09-02T00:00:00Z"/><d v="1999-05-31T00:00:00Z"/><d v="1999-09-28T00:00:00Z"/><d v="1999-08-10T00:00:00Z"/><d v="1997-10-09T00:00:00Z"/><d v="1998-01-24T00:00:00Z"/><d v="2001-04-15T00:00:00Z"/><d v="2000-07-14T00:00:00Z"/><d v="1998-05-07T00:00:00Z"/><d v="2000-03-23T00:00:00Z"/><d v="2000-04-28T00:00:00Z"/><d v="2001-11-26T00:00:00Z"/><d v="2000-11-05T00:00:00Z"/><d v="1999-03-27T00:00:00Z"/><d v="2000-04-19T00:00:00Z"/><d v="1997-06-17T00:00:00Z"/><d v="1995-12-22T00:00:00Z"/><d v="1993-10-20T00:00:00Z"/><d v="1996-07-06T00:00:00Z"/><d v="1998-09-10T00:00:00Z"/><d v="1999-10-12T00:00:00Z"/><d v="1995-01-05T00:00:00Z"/><d v="1989-02-03T00:00:00Z"/><d v="1997-01-23T00:00:00Z"/><d v="1998-01-03T00:00:00Z"/><d v="2000-09-14T00:00:00Z"/><d v="1995-04-04T00:00:00Z"/><d v="2001-07-24T00:00:00Z"/><d v="2000-05-01T00:00:00Z"/><d v="2000-06-04T00:00:00Z"/><d v="2000-11-01T00:00:00Z"/><d v="2000-10-13T00:00:00Z"/><d v="2000-12-13T00:00:00Z"/><d v="1988-02-05T00:00:00Z"/><d v="1988-12-07T00:00:00Z"/><d v="1991-11-01T00:00:00Z"/><d v="1999-07-15T00:00:00Z"/><d v="1993-09-18T00:00:00Z"/><d v="1993-02-04T00:00:00Z"/><d v="1991-09-11T00:00:00Z"/><d v="1999-11-06T00:00:00Z"/><d v="1993-07-03T00:00:00Z"/><d v="1995-06-27T00:00:00Z"/><d v="1999-04-21T00:00:00Z"/><d v="1994-05-28T00:00:00Z"/><d v="1996-08-30T00:00:00Z"/><d v="1999-03-13T00:00:00Z"/><d v="1999-10-21T00:00:00Z"/><d v="1998-02-05T00:00:00Z"/><d v="1997-08-21T00:00:00Z"/><d v="1997-03-26T00:00:00Z"/><d v="2000-07-30T00:00:00Z"/><d v="1980-12-17T00:00:00Z"/><d v="1993-10-14T00:00:00Z"/><d v="1985-05-12T00:00:00Z"/><d v="1993-08-22T00:00:00Z"/><d v="1987-02-15T00:00:00Z"/><d v="1995-07-21T00:00:00Z"/><d v="1987-07-02T00:00:00Z"/><d v="1996-02-28T00:00:00Z"/><d v="1986-01-29T00:00:00Z"/><d v="1993-03-01T00:00:00Z"/><d v="1994-05-14T00:00:00Z"/><d v="1990-12-12T00:00:00Z"/><d v="1994-08-18T00:00:00Z"/><d v="1987-07-14T00:00:00Z"/><d v="1995-09-16T00:00:00Z"/><d v="1996-11-20T00:00:00Z"/><d v="1988-08-05T00:00:00Z"/><d v="1991-04-16T00:00:00Z"/><d v="1988-10-20T00:00:00Z"/><d v="1994-08-15T00:00:00Z"/><d v="1999-03-12T00:00:00Z"/><d v="1999-12-26T00:00:00Z"/><d v="2000-10-08T00:00:00Z"/><d v="2000-05-14T00:00:00Z"/><d v="2001-08-01T00:00:00Z"/><d v="2000-04-12T00:00:00Z"/><d v="1994-05-02T00:00:00Z"/><d v="1995-03-09T00:00:00Z"/><d v="1991-02-09T00:00:00Z"/><d v="1995-12-07T00:00:00Z"/><d v="1993-08-19T00:00:00Z"/><d v="1989-10-30T00:00:00Z"/><d v="1997-01-07T00:00:00Z"/><d v="1996-08-14T00:00:00Z"/><d v="1982-05-08T00:00:00Z"/><d v="1995-03-12T00:00:00Z"/><d v="1996-02-04T00:00:00Z"/><d v="1998-10-14T00:00:00Z"/><d v="1996-01-23T00:00:00Z"/><d v="1998-09-12T00:00:00Z"/><d v="1986-10-21T00:00:00Z"/><d v="1995-02-24T00:00:00Z"/><d v="1996-07-16T00:00:00Z"/><d v="1995-08-21T00:00:00Z"/><d v="1999-12-18T00:00:00Z"/><d v="1997-09-12T00:00:00Z"/><d v="1998-01-15T00:00:00Z"/><d v="2000-05-21T00:00:00Z"/><d v="1997-11-21T00:00:00Z"/><d v="1994-12-13T00:00:00Z"/><d v="1995-07-07T00:00:00Z"/><d v="1989-10-01T00:00:00Z"/><d v="1991-02-18T00:00:00Z"/><d v="1995-11-12T00:00:00Z"/><d v="1984-07-07T00:00:00Z"/><d v="1993-04-20T00:00:00Z"/><d v="1986-09-04T00:00:00Z"/><d v="1990-04-22T00:00:00Z"/><d v="1988-08-01T00:00:00Z"/><d v="1994-10-29T00:00:00Z"/><d v="1989-08-13T00:00:00Z"/><d v="1995-02-12T00:00:00Z"/><d v="1994-04-30T00:00:00Z"/><d v="1994-03-13T00:00:00Z"/><d v="1998-10-27T00:00:00Z"/><d v="2000-08-29T00:00:00Z"/><d v="2000-11-09T00:00:00Z"/><d v="2001-11-05T00:00:00Z"/><d v="1997-02-22T00:00:00Z"/><d v="2001-05-17T00:00:00Z"/><d v="2001-06-26T00:00:00Z"/><d v="1996-06-08T00:00:00Z"/><d v="1992-12-23T00:00:00Z"/><d v="2000-01-01T00:00:00Z"/><d v="2000-08-21T00:00:00Z"/><d v="1999-06-22T00:00:00Z"/><d v="2000-03-02T00:00:00Z"/><d v="1994-09-13T00:00:00Z"/><d v="1998-06-21T00:00:00Z"/><d v="1999-09-27T00:00:00Z"/><d v="1988-01-21T00:00:00Z"/><d v="1981-08-01T00:00:00Z"/><d v="1998-04-08T00:00:00Z"/><d v="1997-02-27T00:00:00Z"/><d v="1990-01-16T00:00:00Z"/><d v="1995-10-08T00:00:00Z"/><d v="1998-02-09T00:00:00Z"/><d v="1989-06-08T00:00:00Z"/><d v="1997-01-18T00:00:00Z"/><d v="1997-01-21T00:00:00Z"/><d v="2000-01-22T00:00:00Z"/><d v="1996-04-11T00:00:00Z"/><d v="1998-02-22T00:00:00Z"/><d v="1998-10-24T00:00:00Z"/><d v="1997-03-10T00:00:00Z"/><d v="1997-08-20T00:00:00Z"/><d v="1997-04-11T00:00:00Z"/><d v="1996-06-26T00:00:00Z"/><d v="1998-04-12T00:00:00Z"/><d v="1994-04-10T00:00:00Z"/><d v="1994-04-29T00:00:00Z"/><d v="1996-09-30T00:00:00Z"/><d v="2000-06-12T00:00:00Z"/><d v="2000-05-04T00:00:00Z"/><d v="2001-02-22T00:00:00Z"/><d v="1993-07-09T00:00:00Z"/><d v="1998-05-25T00:00:00Z"/><d v="1998-09-22T00:00:00Z"/><d v="1998-03-19T00:00:00Z"/><d v="1989-02-02T00:00:00Z"/><d v="1995-08-10T00:00:00Z"/><d v="1997-10-01T00:00:00Z"/><d v="1999-05-01T00:00:00Z"/><d v="1993-08-15T00:00:00Z"/><d v="1998-10-28T00:00:00Z"/><d v="1996-09-25T00:00:00Z"/><d v="1998-07-26T00:00:00Z"/><d v="1997-09-04T00:00:00Z"/><d v="1994-01-02T00:00:00Z"/><d v="1996-11-24T00:00:00Z"/><d v="1997-07-28T00:00:00Z"/><d v="1994-07-02T00:00:00Z"/><d v="1996-01-01T00:00:00Z"/><d v="1993-05-20T00:00:00Z"/><d v="1996-09-29T00:00:00Z"/><d v="1998-06-13T00:00:00Z"/><d v="1992-01-31T00:00:00Z"/><d v="1996-11-29T00:00:00Z"/><d v="1994-08-12T00:00:00Z"/><d v="1991-09-19T00:00:00Z"/><d v="2001-10-05T00:00:00Z"/><d v="2002-05-04T00:00:00Z"/><d v="2000-08-22T00:00:00Z"/><d v="2000-02-01T00:00:00Z"/><d v="1998-11-06T00:00:00Z"/><d v="1991-05-24T00:00:00Z"/><d v="1997-03-04T00:00:00Z"/><d v="1998-01-04T00:00:00Z"/><d v="1983-08-13T00:00:00Z"/><d v="1998-02-02T00:00:00Z"/><d v="1998-05-30T00:00:00Z"/><d v="1998-12-28T00:00:00Z"/><d v="1998-11-05T00:00:00Z"/><d v="1998-01-01T00:00:00Z"/><d v="1998-10-23T00:00:00Z"/><d v="1997-10-30T00:00:00Z"/><d v="1997-02-10T00:00:00Z"/><d v="1997-11-06T00:00:00Z"/><d v="1999-06-01T00:00:00Z"/><d v="1999-10-10T00:00:00Z"/><d v="2000-09-08T00:00:00Z"/><d v="2000-04-17T00:00:00Z"/><d v="1999-03-21T00:00:00Z"/><d v="2000-12-02T00:00:00Z"/><d v="2001-09-23T00:00:00Z"/><d v="2000-11-14T00:00:00Z"/><d v="1991-08-09T00:00:00Z"/><d v="1998-05-20T00:00:00Z"/><d v="1991-04-14T00:00:00Z"/><d v="1997-10-26T00:00:00Z"/><d v="1981-12-27T00:00:00Z"/><d v="1995-02-02T00:00:00Z"/><d v="1989-08-27T00:00:00Z"/><d v="1998-12-13T00:00:00Z"/><d v="1997-07-08T00:00:00Z"/><d v="2001-11-15T00:00:00Z"/><d v="2002-06-03T00:00:00Z"/><d v="2000-09-07T00:00:00Z"/><d v="2001-08-27T00:00:00Z"/><d v="2001-11-27T00:00:00Z"/><d v="2001-04-21T00:00:00Z"/><d v="2000-09-06T00:00:00Z"/><d v="2001-05-05T00:00:00Z"/><d v="2001-01-20T00:00:00Z"/><d v="1999-09-10T00:00:00Z"/><d v="2000-08-11T00:00:00Z"/><d v="2001-12-19T00:00:00Z"/><d v="1999-08-04T00:00:00Z"/><d v="2000-08-23T00:00:00Z"/><d v="1999-02-22T00:00:00Z"/><d v="1998-01-26T00:00:00Z"/><d v="1994-07-17T00:00:00Z"/><d v="1998-09-08T00:00:00Z"/><d v="2002-05-14T00:00:00Z"/><d v="2000-06-19T00:00:00Z"/><d v="1998-03-18T00:00:00Z"/><d v="2001-10-28T00:00:00Z"/><d v="2001-06-07T00:00:00Z"/><d v="1999-06-28T00:00:00Z"/><d v="1998-01-07T00:00:00Z"/><d v="1997-03-13T00:00:00Z"/><d v="1997-05-29T00:00:00Z"/><d v="1997-03-30T00:00:00Z"/><d v="1987-02-13T00:00:00Z"/><d v="2000-10-25T00:00:00Z"/><d v="1997-06-21T00:00:00Z"/><d v="1994-08-19T00:00:00Z"/><d v="1997-11-10T00:00:00Z"/><d v="1999-02-05T00:00:00Z"/><d v="1993-09-25T00:00:00Z"/><d v="2001-09-12T00:00:00Z"/><d v="2001-07-15T00:00:00Z"/><d v="2000-03-12T00:00:00Z"/><d v="2000-04-22T00:00:00Z"/><d v="2001-08-20T00:00:00Z"/><d v="1994-04-03T00:00:00Z"/><d v="1988-11-01T00:00:00Z"/><d v="1995-09-25T00:00:00Z"/><d v="1997-11-04T00:00:00Z"/><d v="1996-07-21T00:00:00Z"/><d v="1999-08-06T00:00:00Z"/><d v="1994-01-26T00:00:00Z"/><d v="1996-06-12T00:00:00Z"/><d v="1997-10-19T00:00:00Z"/><d v="1999-08-16T00:00:00Z"/><d v="1998-05-24T00:00:00Z"/><d v="2001-01-01T00:00:00Z"/><d v="1999-01-30T00:00:00Z"/><d v="1994-04-13T00:00:00Z"/><d v="1996-01-27T00:00:00Z"/><d v="1994-06-03T00:00:00Z"/><d v="1997-01-02T00:00:00Z"/><d v="1993-08-20T00:00:00Z"/><d v="1998-11-10T00:00:00Z"/><d v="2000-03-10T00:00:00Z"/><d v="1998-08-27T00:00:00Z"/><d v="1998-05-29T00:00:00Z"/><d v="1998-08-08T00:00:00Z"/><d v="1995-05-26T00:00:00Z"/><d v="1997-06-10T00:00:00Z"/><d v="2000-10-26T00:00:00Z"/><d v="2000-08-16T00:00:00Z"/><d v="2000-10-16T00:00:00Z"/><d v="2000-03-17T00:00:00Z"/><d v="2000-01-12T00:00:00Z"/><d v="1998-11-16T00:00:00Z"/><d v="1995-09-20T00:00:00Z"/><d v="1996-01-21T00:00:00Z"/><d v="1995-12-29T00:00:00Z"/><d v="1993-03-16T00:00:00Z"/><d v="1992-04-01T00:00:00Z"/><d v="1994-10-10T00:00:00Z"/><d v="2002-03-23T00:00:00Z"/><d v="2001-02-21T00:00:00Z"/><d v="2000-11-12T00:00:00Z"/><d v="2000-03-27T00:00:00Z"/><d v="1999-09-17T00:00:00Z"/><d v="1999-11-08T00:00:00Z"/><d v="1997-04-16T00:00:00Z"/><d v="1987-10-24T00:00:00Z"/><d v="1999-12-07T00:00:00Z"/><d v="1990-05-28T00:00:00Z"/><d v="1997-10-04T00:00:00Z"/><d v="1996-02-20T00:00:00Z"/><d v="1999-05-18T00:00:00Z"/><d v="2001-07-09T00:00:00Z"/><d v="1998-03-17T00:00:00Z"/><d v="1997-08-22T00:00:00Z"/><d v="1995-07-16T00:00:00Z"/><d v="1988-09-28T00:00:00Z"/><d v="1993-11-20T00:00:00Z"/><d v="1987-11-25T00:00:00Z"/><d v="2002-12-05T00:00:00Z"/><d v="2003-09-05T00:00:00Z"/><d v="2000-05-17T00:00:00Z"/><d v="2001-02-28T00:00:00Z"/><d v="1995-10-25T00:00:00Z"/><d v="2000-10-06T00:00:00Z"/><d v="1999-12-20T00:00:00Z"/><d v="1997-10-25T00:00:00Z"/><d v="1998-04-30T00:00:00Z"/><d v="1997-12-20T00:00:00Z"/><d v="1999-01-12T00:00:00Z"/><d v="2001-10-27T00:00:00Z"/><d v="2000-05-15T00:00:00Z"/><d v="2001-05-01T00:00:00Z"/><d v="1998-08-10T00:00:00Z"/><d v="1990-09-30T00:00:00Z"/><d v="1997-05-26T00:00:00Z"/><d v="1986-12-01T00:00:00Z"/><d v="1997-09-05T00:00:00Z"/><d v="1995-10-10T00:00:00Z"/><d v="1993-06-19T00:00:00Z"/><d v="1994-11-03T00:00:00Z"/><d v="1997-06-26T00:00:00Z"/><d v="1994-09-29T00:00:00Z"/><d v="1994-05-05T00:00:00Z"/><d v="1994-10-05T00:00:00Z"/><d v="2001-10-22T00:00:00Z"/><d v="2001-07-07T00:00:00Z"/><d v="1997-11-14T00:00:00Z"/><d v="1996-03-09T00:00:00Z"/><d v="1994-01-29T00:00:00Z"/><d v="1997-04-04T00:00:00Z"/><d v="1990-06-06T00:00:00Z"/><d v="1997-05-20T00:00:00Z"/><d v="1994-12-10T00:00:00Z"/><d v="2002-10-09T00:00:00Z"/><d v="1996-06-03T00:00:00Z"/><d v="1994-02-17T00:00:00Z"/><d v="2002-06-20T00:00:00Z"/><d v="2000-05-18T00:00:00Z"/><d v="2001-08-30T00:00:00Z"/><d v="2002-09-13T00:00:00Z"/><d v="2002-10-07T00:00:00Z"/><d v="2002-01-24T00:00:00Z"/><d v="1996-08-13T00:00:00Z"/><d v="2002-03-15T00:00:00Z"/><d v="1997-07-29T00:00:00Z"/><d v="1978-10-12T00:00:00Z"/><d v="2003-01-04T00:00:00Z"/><d v="1996-04-20T00:00:00Z"/><d v="1995-09-07T00:00:00Z"/><d v="2001-05-07T00:00:00Z"/><d v="2001-07-11T00:00:00Z"/><d v="1987-12-16T00:00:00Z"/><d v="2000-07-31T00:00:00Z"/><d v="1997-07-26T00:00:00Z"/><d v="1999-05-14T00:00:00Z"/><d v="1995-06-06T00:00:00Z"/><d v="1998-09-24T00:00:00Z"/><d v="1997-05-15T00:00:00Z"/><d v="1997-09-10T00:00:00Z"/><d v="1992-06-15T00:00:00Z"/><d v="2001-03-28T00:00:00Z"/><d v="2002-03-31T00:00:00Z"/><d v="2002-10-08T00:00:00Z"/><d v="1998-12-06T00:00:00Z"/><d v="1987-12-20T00:00:00Z"/><d v="2002-12-29T00:00:00Z"/><d v="1997-08-11T00:00:00Z"/><d v="1999-06-03T00:00:00Z"/><d v="1978-03-19T00:00:00Z"/><d v="2002-11-28T00:00:00Z"/><d v="1998-01-31T00:00:00Z"/><d v="2000-06-17T00:00:00Z"/><d v="2002-11-26T00:00:00Z"/><d v="1987-08-16T00:00:00Z"/><d v="2001-12-20T00:00:00Z"/><d v="2001-01-21T00:00:00Z"/><d v="1999-02-02T00:00:00Z"/><d v="1995-05-08T00:00:00Z"/><d v="1998-07-12T00:00:00Z"/><d v="1996-12-04T00:00:00Z"/><d v="2002-06-08T00:00:00Z"/><d v="2002-02-03T00:00:00Z"/><d v="2000-10-28T00:00:00Z"/><d v="2000-03-06T00:00:00Z"/><d v="2002-01-25T00:00:00Z"/><d v="1992-01-08T00:00:00Z"/><d v="1998-03-03T00:00:00Z"/><d v="2000-07-21T00:00:00Z"/><d v="2000-11-08T00:00:00Z"/><d v="1999-03-10T00:00:00Z"/><d v="1989-12-07T00:00:00Z"/><d v="1997-10-24T00:00:00Z"/><d v="1999-12-14T00:00:00Z"/><d v="1995-04-15T00:00:00Z"/><d v="2002-07-18T00:00:00Z"/><d v="2002-08-18T00:00:00Z"/><d v="2001-06-04T00:00:00Z"/><d v="2002-09-10T00:00:00Z"/><d v="1999-05-28T00:00:00Z"/><d v="1995-06-12T00:00:00Z"/><d v="2000-09-01T00:00:00Z"/><d v="1992-10-16T00:00:00Z"/><d v="1995-03-22T00:00:00Z"/><d v="1999-04-17T00:00:00Z"/><d v="2001-09-05T00:00:00Z"/><d v="1985-10-19T00:00:00Z"/><d v="1996-08-11T00:00:00Z"/><d v="1993-10-26T00:00:00Z"/><d v="2000-12-29T00:00:00Z"/><d v="1999-10-04T00:00:00Z"/><d v="2000-09-19T00:00:00Z"/><d v="1993-05-23T00:00:00Z"/><d v="2000-01-10T00:00:00Z"/><d v="2001-12-21T00:00:00Z"/><d v="2001-07-28T00:00:00Z"/><d v="1989-09-17T00:00:00Z"/><d v="1992-11-08T00:00:00Z"/><d v="1998-09-15T00:00:00Z"/><d v="2001-07-02T00:00:00Z"/><d v="1989-09-29T00:00:00Z"/><d v="1994-06-18T00:00:00Z"/><d v="2002-04-30T00:00:00Z"/><d v="1996-02-10T00:00:00Z"/><d v="1996-12-17T00:00:00Z"/><d v="1985-01-01T00:00:00Z"/><d v="1997-12-21T00:00:00Z"/><d v="1994-04-28T00:00:00Z"/><d v="1994-11-07T00:00:00Z"/><d v="2000-11-27T00:00:00Z"/><d v="2002-04-16T00:00:00Z"/><d v="1996-05-10T00:00:00Z"/><d v="1988-01-19T00:00:00Z"/><d v="2001-02-09T00:00:00Z"/><d v="1999-09-20T00:00:00Z"/><d v="1994-07-26T00:00:00Z"/><d v="2000-07-07T00:00:00Z"/><d v="2000-08-17T00:00:00Z"/><d v="2002-10-12T00:00:00Z"/><d v="2001-06-17T00:00:00Z"/><d v="2002-09-12T00:00:00Z"/><d v="2002-03-01T00:00:00Z"/><d v="1998-03-09T00:00:00Z"/><m/><d v="1995-08-29T00:00:00Z"/><d v="2001-10-20T00:00:00Z"/><d v="1992-02-08T00:00:00Z"/><d v="1991-12-03T00:00:00Z"/><d v="1999-04-16T00:00:00Z"/><d v="2001-11-08T00:00:00Z"/><d v="1998-05-01T00:00:00Z"/><d v="2002-07-07T00:00:00Z"/><d v="1994-11-02T00:00:00Z"/><d v="1992-07-02T00:00:00Z"/><d v="1993-10-21T00:00:00Z"/><d v="1991-10-15T00:00:00Z"/><d v="1998-02-15T00:00:00Z"/><d v="1996-05-05T00:00:00Z"/><d v="2001-01-17T00:00:00Z"/><d v="2002-08-11T00:00:00Z"/><d v="2001-08-12T00:00:00Z"/><d v="1991-05-14T00:00:00Z"/><d v="2001-05-08T00:00:00Z"/><d v="1995-10-15T00:00:00Z"/><d v="1998-06-01T00:00:00Z"/><d v="1996-12-09T00:00:00Z"/><d v="1986-09-16T00:00:00Z"/><d v="1989-07-19T00:00:00Z"/><d v="1993-03-26T00:00:00Z"/><d v="1990-05-21T00:00:00Z"/><d v="1998-08-15T00:00:00Z"/><d v="1994-04-26T00:00:00Z"/><d v="1997-06-29T00:00:00Z"/><d v="1994-03-04T00:00:00Z"/><d v="1995-03-10T00:00:00Z"/><d v="1999-10-03T00:00:00Z"/><d v="1995-02-23T00:00:00Z"/><d v="1996-08-02T00:00:00Z"/><d v="1992-04-27T00:00:00Z"/><d v="1995-08-08T00:00:00Z"/><d v="1998-09-29T00:00:00Z"/><d v="1998-11-14T00:00:00Z"/><d v="1999-04-05T00:00:00Z"/><d v="2001-04-20T00:00:00Z"/><d v="2001-03-20T00:00:00Z"/><d v="1992-07-25T00:00:00Z"/><d v="1993-06-20T00:00:00Z"/><d v="1998-12-18T00:00:00Z"/><d v="2002-05-19T00:00:00Z"/><d v="1998-08-14T00:00:00Z"/><d v="1996-07-24T00:00:00Z"/><d v="2000-12-10T00:00:00Z"/><d v="2004-04-11T00:00:00Z"/><d v="2000-04-15T00:00:00Z"/><d v="1999-06-12T00:00:00Z"/><d v="1998-12-15T00:00:00Z"/><d v="1996-08-15T00:00:00Z"/><d v="1984-01-01T00:00:00Z"/><d v="1995-10-28T00:00:00Z"/><d v="1998-11-23T00:00:00Z"/><d v="2002-09-09T00:00:00Z"/><d v="1999-03-19T00:00:00Z"/><d v="1999-10-15T00:00:00Z"/><d v="1991-04-11T00:00:00Z"/><d v="1985-12-09T00:00:00Z"/><d v="1988-12-15T00:00:00Z"/><d v="1996-01-13T00:00:00Z"/><d v="1992-11-05T00:00:00Z"/><d v="1990-09-18T00:00:00Z"/><d v="1995-08-11T00:00:00Z"/><d v="1990-07-26T00:00:00Z"/><d v="1994-06-15T00:00:00Z"/><d v="1990-07-12T00:00:00Z"/><d v="1983-08-05T00:00:00Z"/><d v="1985-12-26T00:00:00Z"/><d v="1997-03-07T00:00:00Z"/><d v="1992-09-14T00:00:00Z"/><d v="1994-11-29T00:00:00Z"/><d v="1994-02-09T00:00:00Z"/><d v="1996-08-18T00:00:00Z"/><d v="2000-09-22T00:00:00Z"/><d v="2000-10-11T00:00:00Z"/><d v="1994-08-03T00:00:00Z"/><d v="2000-09-29T00:00:00Z"/><d v="1997-09-24T00:00:00Z"/><d v="1998-04-01T00:00:00Z"/><d v="2000-07-19T00:00:00Z"/><d v="2002-12-10T00:00:00Z"/><d v="2001-09-01T00:00:00Z"/><d v="2001-07-22T00:00:00Z"/><d v="2001-08-28T00:00:00Z"/><d v="2001-01-28T00:00:00Z"/><d v="2001-04-04T00:00:00Z"/><d v="2001-12-22T00:00:00Z"/><d v="2001-01-09T00:00:00Z"/><d v="2001-11-09T00:00:00Z"/><d v="2000-05-28T00:00:00Z"/><d v="2001-05-21T00:00:00Z"/><d v="1992-08-27T00:00:00Z"/><d v="1995-09-24T00:00:00Z"/><d v="1989-04-03T00:00:00Z"/><d v="1994-09-06T00:00:00Z"/><d v="1992-06-24T00:00:00Z"/><d v="1996-12-30T00:00:00Z"/><d v="1999-05-19T00:00:00Z"/><d v="1999-03-09T00:00:00Z"/><d v="1998-09-04T00:00:00Z"/><d v="1995-04-30T00:00:00Z"/><d v="1997-12-23T00:00:00Z"/><d v="1996-07-23T00:00:00Z"/><d v="1997-02-23T00:00:00Z"/><d v="1993-08-01T00:00:00Z"/><d v="1999-09-13T00:00:00Z"/><d v="1989-06-09T00:00:00Z"/><d v="2000-06-15T00:00:00Z"/><d v="2000-07-05T00:00:00Z"/><d v="2000-03-20T00:00:00Z"/><d v="1999-02-23T00:00:00Z"/><d v="1995-01-08T00:00:00Z"/><d v="1997-06-03T00:00:00Z"/><d v="1996-07-03T00:00:00Z"/><d v="1997-11-16T00:00:00Z"/><d v="1998-10-08T00:00:00Z"/><d v="2000-01-05T00:00:00Z"/><d v="2000-05-27T00:00:00Z"/><d v="1997-10-02T00:00:00Z"/><d v="1999-11-29T00:00:00Z"/><d v="2001-11-01T00:00:00Z"/><d v="1996-08-21T00:00:00Z"/><d v="1999-11-17T00:00:00Z"/><d v="2000-12-14T00:00:00Z"/><d v="1999-06-06T00:00:00Z"/><d v="1995-08-27T00:00:00Z"/><d v="1997-06-07T00:00:00Z"/><d v="1986-09-28T00:00:00Z"/><d v="1989-07-20T00:00:00Z"/><d v="1984-05-30T00:00:00Z"/><d v="1999-07-27T00:00:00Z"/><d v="1996-11-11T00:00:00Z"/><d v="1995-06-19T00:00:00Z"/><d v="2000-01-13T00:00:00Z"/><d v="1996-09-03T00:00:00Z"/><d v="1994-09-02T00:00:00Z"/><d v="1988-08-10T00:00:00Z"/><d v="1999-11-10T00:00:00Z"/><d v="1988-12-31T00:00:00Z"/><d v="2001-06-29T00:00:00Z"/><d v="2001-01-27T00:00:00Z"/><d v="2000-01-25T00:00:00Z"/><d v="1990-07-10T00:00:00Z"/><d v="1989-09-13T00:00:00Z"/><d v="1993-10-23T00:00:00Z"/><d v="1996-02-17T00:00:00Z"/><d v="1998-04-28T00:00:00Z"/><d v="1993-06-25T00:00:00Z"/><d v="2002-03-02T00:00:00Z"/><d v="2001-02-16T00:00:00Z"/><d v="1997-10-10T00:00:00Z"/><d v="2001-12-01T00:00:00Z"/><d v="2000-01-17T00:00:00Z"/><d v="2000-06-22T00:00:00Z"/><d v="2001-08-26T00:00:00Z"/><d v="2001-01-11T00:00:00Z"/><d v="1997-08-05T00:00:00Z"/><d v="1997-10-05T00:00:00Z"/><d v="1998-01-17T00:00:00Z"/><d v="1998-03-02T00:00:00Z"/><d v="1997-04-23T00:00:00Z"/><d v="1996-09-10T00:00:00Z"/><d v="1994-03-01T00:00:00Z"/><d v="2002-02-18T00:00:00Z"/><d v="2001-09-02T00:00:00Z"/><d v="2002-11-02T00:00:00Z"/><d v="2002-09-27T00:00:00Z"/><d v="2002-03-12T00:00:00Z"/><d v="1998-03-10T00:00:00Z"/><d v="1999-12-04T00:00:00Z"/><d v="1998-06-08T00:00:00Z"/><d v="1997-08-03T00:00:00Z"/><d v="1991-04-01T00:00:00Z"/><d v="1999-07-25T00:00:00Z"/><d v="1998-01-19T00:00:00Z"/><d v="1999-07-30T00:00:00Z"/><d v="2001-05-03T00:00:00Z"/><d v="1998-10-16T00:00:00Z"/><d v="2002-05-02T00:00:00Z"/><d v="2001-03-16T00:00:00Z"/><d v="2001-10-02T00:00:00Z"/><d v="2001-10-03T00:00:00Z"/><d v="1996-10-16T00:00:00Z"/><d v="1989-04-19T00:00:00Z"/><d v="1998-10-30T00:00:00Z"/><d v="1999-11-24T00:00:00Z"/><d v="2002-10-11T00:00:00Z"/><d v="2002-01-22T00:00:00Z"/><d v="1991-05-09T00:00:00Z"/><d v="1997-05-18T00:00:00Z"/><d v="1995-07-20T00:00:00Z"/><d v="1998-09-21T00:00:00Z"/><d v="1996-03-01T00:00:00Z"/><d v="2002-03-22T00:00:00Z"/><d v="2002-10-22T00:00:00Z"/><d v="2002-06-22T00:00:00Z"/><d v="2003-04-15T00:00:00Z"/><d v="2001-11-17T00:00:00Z"/><d v="2001-10-11T00:00:00Z"/><d v="2002-07-01T00:00:00Z"/><d v="2001-12-25T00:00:00Z"/><d v="2000-05-11T00:00:00Z"/><d v="2002-12-20T00:00:00Z"/><d v="2000-06-27T00:00:00Z"/><d v="1997-11-05T00:00:00Z"/><d v="1999-10-14T00:00:00Z"/><d v="2002-06-01T00:00:00Z"/><d v="1995-11-02T00:00:00Z"/><d v="1996-08-16T00:00:00Z"/><d v="2001-07-29T00:00:00Z"/><d v="1999-12-31T00:00:00Z"/><d v="2000-07-23T00:00:00Z"/><d v="2001-08-10T00:00:00Z"/><d v="1997-12-02T00:00:00Z"/><d v="1993-05-10T00:00:00Z"/><d v="1989-08-30T00:00:00Z"/><d v="1998-06-20T00:00:00Z"/><d v="1997-08-12T00:00:00Z"/><d v="1990-12-23T00:00:00Z"/><d v="1994-10-25T00:00:00Z"/><d v="1999-06-17T00:00:00Z"/><d v="2001-12-23T00:00:00Z"/><d v="2000-03-19T00:00:00Z"/><d v="2001-11-06T00:00:00Z"/><d v="1999-06-05T00:00:00Z"/><d v="1997-09-17T00:00:00Z"/><d v="2001-02-04T00:00:00Z"/><d v="1994-04-12T00:00:00Z"/><d v="1997-03-02T00:00:00Z"/><d v="2000-11-26T00:00:00Z"/><d v="2001-09-15T00:00:00Z"/><d v="2002-03-17T00:00:00Z"/><d v="2001-08-04T00:00:00Z"/><d v="2001-08-21T00:00:00Z"/><d v="2000-08-26T00:00:00Z"/><d v="1999-04-30T00:00:00Z"/><d v="1996-01-17T00:00:00Z"/><d v="1998-12-20T00:00:00Z"/><d v="2001-06-18T00:00:00Z"/><d v="2002-06-09T00:00:00Z"/><d v="1992-01-10T00:00:00Z"/><d v="1999-02-07T00:00:00Z"/><d v="2002-10-10T00:00:00Z"/><d v="1991-04-21T00:00:00Z"/><d v="1994-04-16T00:00:00Z"/><d v="1998-11-01T00:00:00Z"/><d v="1998-12-30T00:00:00Z"/><d v="1993-10-04T00:00:00Z"/><d v="1998-11-30T00:00:00Z"/><d v="1997-08-18T00:00:00Z"/><d v="2000-04-20T00:00:00Z"/><d v="2002-12-21T00:00:00Z"/><d v="2001-08-06T00:00:00Z"/><d v="1992-08-16T00:00:00Z"/><d v="2002-09-04T00:00:00Z"/><d v="2002-12-14T00:00:00Z"/><d v="2002-07-13T00:00:00Z"/><d v="1995-09-05T00:00:00Z"/><d v="1989-06-30T00:00:00Z"/><d v="2000-11-10T00:00:00Z"/><d v="2001-01-03T00:00:00Z"/><d v="2000-10-05T00:00:00Z"/><d v="2002-09-11T00:00:00Z"/><d v="2002-04-13T00:00:00Z"/><d v="1998-07-03T00:00:00Z"/><d v="2003-04-06T00:00:00Z"/><d v="1991-04-02T00:00:00Z"/><d v="2000-01-15T00:00:00Z"/><d v="1994-11-21T00:00:00Z"/><d v="1999-02-04T00:00:00Z"/><d v="2002-07-28T00:00:00Z"/><d v="2001-07-26T00:00:00Z"/><d v="1994-07-10T00:00:00Z"/><d v="1997-02-25T00:00:00Z"/><d v="1999-12-13T00:00:00Z"/><d v="2002-11-29T00:00:00Z"/><d v="2001-04-18T00:00:00Z"/><d v="2002-01-28T00:00:00Z"/><d v="2001-01-10T00:00:00Z"/><d v="1995-06-10T00:00:00Z"/><d v="1994-03-18T00:00:00Z"/><d v="2001-10-24T00:00:00Z"/><d v="1989-12-27T00:00:00Z"/><d v="1982-01-02T00:00:00Z"/><d v="1979-10-18T00:00:00Z"/><d v="1999-09-15T00:00:00Z"/><d v="2002-12-24T00:00:00Z"/><d v="2001-07-31T00:00:00Z"/><d v="2002-10-06T00:00:00Z"/><d v="1988-07-24T00:00:00Z"/><d v="1992-08-28T00:00:00Z"/><d v="2002-11-03T00:00:00Z"/><d v="2001-04-10T00:00:00Z"/><d v="2002-05-29T00:00:00Z"/><d v="1996-01-07T00:00:00Z"/><d v="1995-07-13T00:00:00Z"/><d v="1996-09-04T00:00:00Z"/><d v="1997-12-09T00:00:00Z"/><d v="1999-11-22T00:00:00Z"/><d v="1995-08-19T00:00:00Z"/><d v="1996-01-06T00:00:00Z"/><d v="1995-10-23T00:00:00Z"/><d v="1991-07-18T00:00:00Z"/><d v="1999-05-10T00:00:00Z"/><d v="1993-05-01T00:00:00Z"/><d v="1999-07-02T00:00:00Z"/><d v="1996-09-23T00:00:00Z"/><d v="1998-06-27T00:00:00Z"/><d v="1992-01-25T00:00:00Z"/><d v="1994-10-26T00:00:00Z"/><d v="2000-12-21T00:00:00Z"/><d v="1987-09-09T00:00:00Z"/><d v="1988-12-18T00:00:00Z"/><d v="1995-05-13T00:00:00Z"/><d v="1996-10-25T00:00:00Z"/><d v="2002-07-25T00:00:00Z"/><d v="2001-11-12T00:00:00Z"/><d v="1981-03-30T00:00:00Z"/><d v="1989-01-15T00:00:00Z"/><d v="1992-10-28T00:00:00Z"/><d v="1997-02-28T00:00:00Z"/><d v="1986-09-08T00:00:00Z"/><d v="1997-03-09T00:00:00Z"/><d v="2001-10-08T00:00:00Z"/><d v="2000-08-06T00:00:00Z"/><d v="1997-04-17T00:00:00Z"/><d v="2000-07-11T00:00:00Z"/><d v="1995-06-07T00:00:00Z"/><d v="1999-12-09T00:00:00Z"/><d v="1999-10-28T00:00:00Z"/><d v="1997-05-06T00:00:00Z"/><d v="1995-11-30T00:00:00Z"/><d v="1995-01-07T00:00:00Z"/><d v="1994-12-29T00:00:00Z"/><d v="1979-01-26T00:00:00Z"/><d v="1987-05-10T00:00:00Z"/><d v="1990-10-08T00:00:00Z"/><d v="1994-08-14T00:00:00Z"/><d v="1998-08-25T00:00:00Z"/><d v="1999-08-17T00:00:00Z"/><d v="1986-11-16T00:00:00Z"/><d v="1990-11-11T00:00:00Z"/><d v="1991-12-29T00:00:00Z"/><d v="1997-02-16T00:00:00Z"/><d v="1997-07-15T00:00:00Z"/><d v="1998-04-14T00:00:00Z"/><d v="1997-02-04T00:00:00Z"/><d v="1997-08-15T00:00:00Z"/><d v="1989-04-18T00:00:00Z"/><d v="1993-04-26T00:00:00Z"/><d v="1987-06-19T00:00:00Z"/><d v="1986-09-23T00:00:00Z"/><d v="1996-02-02T00:00:00Z"/><d v="1988-09-26T00:00:00Z"/><d v="2000-01-21T00:00:00Z"/><d v="1995-01-31T00:00:00Z"/><d v="1990-01-21T00:00:00Z"/><d v="1996-11-27T00:00:00Z"/><d v="1999-09-23T00:00:00Z"/><d v="1999-02-09T00:00:00Z"/><d v="1997-04-28T00:00:00Z"/><d v="1996-01-25T00:00:00Z"/><d v="1994-07-18T00:00:00Z"/><d v="1992-11-16T00:00:00Z"/><d v="1996-05-29T00:00:00Z"/><d v="1994-12-06T00:00:00Z"/><d v="1996-01-02T00:00:00Z"/><d v="1996-04-22T00:00:00Z"/><d v="1989-09-07T00:00:00Z"/><d v="1991-07-22T00:00:00Z"/><d v="1989-03-09T00:00:00Z"/><d v="1996-09-13T00:00:00Z"/><d v="1996-11-13T00:00:00Z"/><d v="1997-09-20T00:00:00Z"/><d v="1998-01-12T00:00:00Z"/><d v="1999-06-24T00:00:00Z"/><d v="1994-12-28T00:00:00Z"/><d v="1992-01-19T00:00:00Z"/><d v="1994-04-20T00:00:00Z"/><d v="1992-03-06T00:00:00Z"/><d v="1998-10-13T00:00:00Z"/><d v="1999-01-01T00:00:00Z"/><d v="1997-04-30T00:00:00Z"/><d v="1997-10-11T00:00:00Z"/><d v="1992-04-12T00:00:00Z"/><d v="1994-08-06T00:00:00Z"/><d v="1990-09-28T00:00:00Z"/><d v="1999-08-09T00:00:00Z"/><d v="1994-07-06T00:00:00Z"/><d v="1992-08-31T00:00:00Z"/><d v="1990-11-15T00:00:00Z"/><d v="1988-09-29T00:00:00Z"/><d v="1998-07-11T00:00:00Z"/><d v="1992-04-02T00:00:00Z"/><d v="1989-01-18T00:00:00Z"/><d v="1991-06-27T00:00:00Z"/><d v="1993-06-04T00:00:00Z"/><d v="2000-08-04T00:00:00Z"/><d v="1979-01-05T00:00:00Z"/><d v="1984-05-20T00:00:00Z"/><d v="1996-03-03T00:00:00Z"/><d v="1994-07-27T00:00:00Z"/><d v="1992-11-18T00:00:00Z"/><d v="1988-11-14T00:00:00Z"/><d v="1990-06-12T00:00:00Z"/><d v="1993-09-21T00:00:00Z"/><d v="1992-02-11T00:00:00Z"/><d v="1990-09-02T00:00:00Z"/><d v="1997-02-11T00:00:00Z"/><d v="1998-08-19T00:00:00Z"/><d v="1998-05-28T00:00:00Z"/><d v="1996-11-15T00:00:00Z"/><d v="1997-07-21T00:00:00Z"/><d v="1996-07-27T00:00:00Z"/><d v="1996-07-04T00:00:00Z"/><d v="1982-10-21T00:00:00Z"/><d v="1990-09-05T00:00:00Z"/><d v="1995-12-26T00:00:00Z"/><d v="1998-08-22T00:00:00Z"/><d v="1986-08-13T00:00:00Z"/><d v="1984-03-26T00:00:00Z"/><d v="1996-12-13T00:00:00Z"/><d v="1996-03-08T00:00:00Z"/><d v="1991-12-11T00:00:00Z"/><d v="1997-04-14T00:00:00Z"/><d v="1996-02-27T00:00:00Z"/><d v="2000-10-10T00:00:00Z"/><d v="1997-06-01T00:00:00Z"/><d v="1992-07-04T00:00:00Z"/><d v="1973-10-09T00:00:00Z"/><d v="1997-05-28T00:00:00Z"/><d v="1984-09-20T00:00:00Z"/><d v="1988-03-20T00:00:00Z"/><d v="1985-02-25T00:00:00Z"/><d v="1998-10-18T00:00:00Z"/><d v="1987-10-20T00:00:00Z"/><d v="1978-05-12T00:00:00Z"/><d v="1998-03-14T00:00:00Z"/><d v="1986-10-15T00:00:00Z"/><d v="1998-09-26T00:00:00Z"/><d v="1994-03-30T00:00:00Z"/><d v="1983-03-23T00:00:00Z"/><d v="1997-04-02T00:00:00Z"/><d v="1999-02-01T00:00:00Z"/><d v="1996-08-23T00:00:00Z"/><d v="1998-10-06T00:00:00Z"/><d v="1987-12-18T00:00:00Z"/><d v="1996-04-30T00:00:00Z"/><d v="1995-01-22T00:00:00Z"/><d v="1995-04-23T00:00:00Z"/><d v="1998-07-20T00:00:00Z"/><d v="1997-09-01T00:00:00Z"/><d v="1994-09-09T00:00:00Z"/><d v="1995-10-12T00:00:00Z"/><d v="1992-10-17T00:00:00Z"/><d v="1995-09-12T00:00:00Z"/><d v="1995-01-12T00:00:00Z"/><d v="1997-10-06T00:00:00Z"/><d v="1990-12-04T00:00:00Z"/><d v="1997-01-13T00:00:00Z"/><d v="1992-10-26T00:00:00Z"/><d v="1992-11-20T00:00:00Z"/><d v="1987-12-31T00:00:00Z"/><d v="1985-09-05T00:00:00Z"/><d v="1986-08-14T00:00:00Z"/><d v="1985-06-26T00:00:00Z"/><d v="1989-04-16T00:00:00Z"/><d v="1999-01-02T00:00:00Z"/><d v="1996-10-01T00:00:00Z"/><d v="1993-12-09T00:00:00Z"/><d v="1997-09-18T00:00:00Z"/><d v="1999-03-08T00:00:00Z"/><d v="2001-09-19T00:00:00Z"/><d v="2001-02-19T00:00:00Z"/><d v="2001-09-30T00:00:00Z"/><d v="2001-06-19T00:00:00Z"/><d v="2001-04-29T00:00:00Z"/><d v="2000-10-20T00:00:00Z"/><d v="2000-02-26T00:00:00Z"/><d v="2000-02-05T00:00:00Z"/><d v="1997-06-11T00:00:00Z"/><d v="2001-04-24T00:00:00Z"/><d v="2001-07-04T00:00:00Z"/><d v="2000-10-22T00:00:00Z"/><d v="2000-10-03T00:00:00Z"/><d v="2000-08-09T00:00:00Z"/><d v="2001-09-29T00:00:00Z"/><d v="2001-06-20T00:00:00Z"/><d v="2001-10-15T00:00:00Z"/><d v="1995-01-20T00:00:00Z"/><d v="2001-11-03T00:00:00Z"/><d v="2000-08-08T00:00:00Z"/><d v="2001-03-31T00:00:00Z"/><d v="2000-10-27T00:00:00Z"/><d v="2000-08-13T00:00:00Z"/><d v="2000-08-30T00:00:00Z"/><d v="2001-11-04T00:00:00Z"/><d v="2000-03-14T00:00:00Z"/><d v="2000-03-07T00:00:00Z"/><d v="1997-09-14T00:00:00Z"/><d v="2001-04-14T00:00:00Z"/><d v="1999-07-28T00:00:00Z"/><d v="2000-07-04T00:00:00Z"/><d v="2001-11-11T00:00:00Z"/><d v="2001-04-30T00:00:00Z"/><d v="1989-03-19T00:00:00Z"/><d v="2001-08-18T00:00:00Z"/><d v="1996-12-21T00:00:00Z"/><d v="2001-02-03T00:00:00Z"/><d v="2000-10-09T00:00:00Z"/><d v="2001-02-11T00:00:00Z"/><d v="2001-09-06T00:00:00Z"/><d v="1999-06-18T00:00:00Z"/><d v="1999-11-23T00:00:00Z"/><d v="2000-10-29T00:00:00Z"/><d v="1997-09-23T00:00:00Z"/><d v="1992-03-16T00:00:00Z"/><d v="2000-08-07T00:00:00Z"/><d v="1991-06-25T00:00:00Z"/><d v="1996-10-12T00:00:00Z"/><d v="1994-05-23T00:00:00Z"/><d v="1995-09-14T00:00:00Z"/><d v="1998-02-24T00:00:00Z"/><d v="1991-07-16T00:00:00Z"/><d v="1990-01-20T00:00:00Z"/><d v="1990-07-22T00:00:00Z"/><d v="1992-03-02T00:00:00Z"/><d v="1992-07-10T00:00:00Z"/><d v="1993-01-05T00:00:00Z"/><d v="1997-06-15T00:00:00Z"/><d v="1997-12-12T00:00:00Z"/><d v="1997-04-15T00:00:00Z"/><d v="1995-10-02T00:00:00Z"/><d v="1995-10-16T00:00:00Z"/><d v="1999-11-12T00:00:00Z"/><d v="1995-12-25T00:00:00Z"/><d v="1999-07-11T00:00:00Z"/><d v="1999-04-07T00:00:00Z"/><d v="1989-07-05T00:00:00Z"/><d v="1997-07-12T00:00:00Z"/><d v="1992-03-18T00:00:00Z"/><d v="1995-04-19T00:00:00Z"/><d v="1990-08-20T00:00:00Z"/><d v="2000-04-06T00:00:00Z"/><d v="1999-10-08T00:00:00Z"/><d v="1997-02-05T00:00:00Z"/><d v="2001-02-02T00:00:00Z"/><d v="2001-06-03T00:00:00Z"/><d v="2001-03-19T00:00:00Z"/><d v="2001-05-04T00:00:00Z"/><d v="2001-10-10T00:00:00Z"/><d v="2001-06-10T00:00:00Z"/><d v="2001-04-02T00:00:00Z"/><d v="1991-04-20T00:00:00Z"/><d v="1999-12-23T00:00:00Z"/><d v="1996-09-15T00:00:00Z"/><d v="2000-11-20T00:00:00Z"/><d v="2001-10-07T00:00:00Z"/><d v="2001-03-23T00:00:00Z"/><d v="2001-01-08T00:00:00Z"/><d v="1998-08-30T00:00:00Z"/><d v="2000-04-01T00:00:00Z"/><d v="2002-02-22T00:00:00Z"/><d v="2001-01-07T00:00:00Z"/><d v="2001-05-27T00:00:00Z"/><d v="2001-07-27T00:00:00Z"/><d v="1998-12-09T00:00:00Z"/><d v="1990-06-23T00:00:00Z"/><d v="1995-09-13T00:00:00Z"/><d v="1992-02-23T00:00:00Z"/><d v="1994-07-31T00:00:00Z"/><d v="2001-07-06T00:00:00Z"/><d v="2001-12-14T00:00:00Z"/><d v="2000-06-07T00:00:00Z"/><d v="1999-04-08T00:00:00Z"/><d v="2000-09-20T00:00:00Z"/><d v="2001-04-07T00:00:00Z"/><d v="1994-11-05T00:00:00Z"/><d v="1999-08-23T00:00:00Z"/><d v="2001-10-18T00:00:00Z"/><d v="1998-12-31T00:00:00Z"/><d v="2000-12-27T00:00:00Z"/><d v="2001-08-23T00:00:00Z"/><d v="1992-10-23T00:00:00Z"/><d v="1994-11-01T00:00:00Z"/><d v="2001-05-24T00:00:00Z"/><d v="2001-01-16T00:00:00Z"/><d v="1989-12-28T00:00:00Z"/><d v="2001-04-08T00:00:00Z"/><d v="2001-01-12T00:00:00Z"/><d v="2001-12-15T00:00:00Z"/><d v="1998-12-08T00:00:00Z"/><d v="1992-12-04T00:00:00Z"/><d v="2000-03-13T00:00:00Z"/><d v="2000-12-31T00:00:00Z"/><d v="2000-12-11T00:00:00Z"/><d v="1996-05-06T00:00:00Z"/><d v="1997-10-22T00:00:00Z"/><d v="1997-02-09T00:00:00Z"/><d v="1999-11-26T00:00:00Z"/><d v="1994-06-14T00:00:00Z"/><d v="1995-01-23T00:00:00Z"/><d v="1989-07-28T00:00:00Z"/><d v="1994-10-04T00:00:00Z"/><d v="1997-02-02T00:00:00Z"/><d v="2000-08-28T00:00:00Z"/><d v="1999-05-07T00:00:00Z"/><d v="1997-08-19T00:00:00Z"/><d v="1989-10-10T00:00:00Z"/><d v="1998-09-27T00:00:00Z"/><d v="1991-12-24T00:00:00Z"/><d v="1991-03-16T00:00:00Z"/><d v="1994-02-05T00:00:00Z"/><d v="1999-10-26T00:00:00Z"/><d v="1995-07-28T00:00:00Z"/><d v="1988-10-06T00:00:00Z"/><d v="1987-04-29T00:00:00Z"/><d v="1988-07-30T00:00:00Z"/><d v="1993-11-29T00:00:00Z"/><d v="1996-03-02T00:00:00Z"/><d v="1998-03-26T00:00:00Z"/><d v="1989-09-30T00:00:00Z"/><d v="1994-08-07T00:00:00Z"/><d v="1985-02-06T00:00:00Z"/><d v="1992-12-20T00:00:00Z"/><d v="1999-07-18T00:00:00Z"/><d v="1998-06-06T00:00:00Z"/><d v="1994-01-01T00:00:00Z"/><d v="1998-09-20T00:00:00Z"/><d v="1998-02-28T00:00:00Z"/><d v="1998-01-20T00:00:00Z"/><d v="1992-04-24T00:00:00Z"/><d v="1997-08-13T00:00:00Z"/><d v="1999-04-03T00:00:00Z"/><d v="1985-09-07T00:00:00Z"/><d v="1999-01-03T00:00:00Z"/><d v="1989-11-09T00:00:00Z"/><d v="1990-09-10T00:00:00Z"/><d v="1999-10-25T00:00:00Z"/><d v="1999-10-11T00:00:00Z"/><d v="1996-02-21T00:00:00Z"/><d v="1999-01-28T00:00:00Z"/><d v="1998-06-30T00:00:00Z"/><d v="1994-01-21T00:00:00Z"/><d v="1996-08-25T00:00:00Z"/><d v="1993-09-01T00:00:00Z"/><d v="1993-03-29T00:00:00Z"/><d v="1994-09-18T00:00:00Z"/><d v="1994-11-16T00:00:00Z"/><d v="1994-04-18T00:00:00Z"/><d v="1998-05-12T00:00:00Z"/><d v="1989-12-12T00:00:00Z"/><d v="1989-12-14T00:00:00Z"/><d v="1991-05-06T00:00:00Z"/><d v="1988-06-23T00:00:00Z"/><d v="1992-04-09T00:00:00Z"/><d v="1984-03-20T00:00:00Z"/><d v="1983-12-22T00:00:00Z"/><d v="1993-06-14T00:00:00Z"/><d v="1982-04-22T00:00:00Z"/><d v="1999-02-24T00:00:00Z"/><d v="1989-04-15T00:00:00Z"/><d v="1999-12-25T00:00:00Z"/><d v="1998-05-26T00:00:00Z"/><d v="1990-06-28T00:00:00Z"/><d v="1981-09-15T00:00:00Z"/><d v="1981-10-21T00:00:00Z"/><d v="1992-04-30T00:00:00Z"/><d v="2001-09-09T00:00:00Z"/><d v="2002-09-26T00:00:00Z"/><d v="1998-07-08T00:00:00Z"/><d v="2001-04-05T00:00:00Z"/><d v="2001-02-26T00:00:00Z"/><d v="2002-04-01T00:00:00Z"/><d v="2002-06-06T00:00:00Z"/><d v="2001-08-17T00:00:00Z"/><d v="1997-10-15T00:00:00Z"/><d v="2001-03-15T00:00:00Z"/><d v="2001-03-01T00:00:00Z"/><d v="2001-10-31T00:00:00Z"/><d v="1995-07-27T00:00:00Z"/><d v="2001-09-20T00:00:00Z"/><d v="1997-03-12T00:00:00Z"/><d v="2000-12-24T00:00:00Z"/><d v="1992-07-06T00:00:00Z"/><d v="2001-12-30T00:00:00Z"/><d v="2000-08-20T00:00:00Z"/><d v="1999-01-20T00:00:00Z"/><d v="2000-12-22T00:00:00Z"/><d v="2001-09-28T00:00:00Z"/><d v="1994-12-17T00:00:00Z"/><d v="1996-10-21T00:00:00Z"/><d v="1994-05-16T00:00:00Z"/><d v="1989-08-15T00:00:00Z"/><d v="1985-10-30T00:00:00Z"/><d v="1992-10-09T00:00:00Z"/><d v="1997-03-11T00:00:00Z"/><d v="1990-03-24T00:00:00Z"/><d v="1990-06-18T00:00:00Z"/><d v="1991-03-17T00:00:00Z"/><d v="1989-11-24T00:00:00Z"/><d v="1992-01-05T00:00:00Z"/><d v="1977-04-13T00:00:00Z"/><d v="1992-11-22T00:00:00Z"/><d v="1997-03-20T00:00:00Z"/><d v="1998-12-19T00:00:00Z"/><d v="1995-10-26T00:00:00Z"/><d v="1996-10-10T00:00:00Z"/><d v="1998-12-14T00:00:00Z"/><d v="1987-10-11T00:00:00Z"/><d v="1996-07-28T00:00:00Z"/><d v="1988-02-27T00:00:00Z"/><d v="1999-08-08T00:00:00Z"/><d v="1996-05-03T00:00:00Z"/><d v="1985-07-25T00:00:00Z"/><d v="1994-10-22T00:00:00Z"/><d v="1993-04-08T00:00:00Z"/><d v="1984-06-13T00:00:00Z"/><d v="1997-07-25T00:00:00Z"/><d v="1999-01-15T00:00:00Z"/><d v="2001-06-16T00:00:00Z"/><d v="2001-09-03T00:00:00Z"/><d v="1989-08-07T00:00:00Z"/><d v="2001-03-17T00:00:00Z"/><d v="2001-03-08T00:00:00Z"/><d v="1999-08-18T00:00:00Z"/><d v="1993-08-24T00:00:00Z"/><d v="2001-02-08T00:00:00Z"/><d v="1993-09-23T00:00:00Z"/><d v="2000-09-15T00:00:00Z"/><d v="2001-03-24T00:00:00Z"/><d v="2001-12-18T00:00:00Z"/><d v="2000-06-06T00:00:00Z"/><d v="1997-09-29T00:00:00Z"/><d v="2001-06-15T00:00:00Z"/><d v="2001-09-14T00:00:00Z"/><d v="1996-10-22T00:00:00Z"/><d v="1989-06-19T00:00:00Z"/><d v="2001-09-10T00:00:00Z"/><d v="1999-09-25T00:00:00Z"/><d v="2000-05-19T00:00:00Z"/><d v="1999-11-03T00:00:00Z"/><d v="1998-02-17T00:00:00Z"/><d v="1993-06-15T00:00:00Z"/><d v="1999-07-22T00:00:00Z"/><d v="1999-03-14T00:00:00Z"/><d v="2000-11-30T00:00:00Z"/><d v="1994-04-04T00:00:00Z"/><d v="1998-04-22T00:00:00Z"/><d v="1993-12-01T00:00:00Z"/><d v="1997-11-02T00:00:00Z"/><d v="1988-02-02T00:00:00Z"/><d v="1982-12-05T00:00:00Z"/><d v="1987-04-20T00:00:00Z"/><d v="1996-07-10T00:00:00Z"/><d v="1997-09-07T00:00:00Z"/><d v="1994-07-16T00:00:00Z"/><d v="1999-11-11T00:00:00Z"/><d v="1997-08-10T00:00:00Z"/><d v="1988-05-01T00:00:00Z"/><d v="1999-03-11T00:00:00Z"/><d v="1996-11-17T00:00:00Z"/><d v="1983-05-25T00:00:00Z"/><d v="1997-04-10T00:00:00Z"/><d v="1987-05-25T00:00:00Z"/><d v="1996-08-10T00:00:00Z"/><d v="1996-04-10T00:00:00Z"/><d v="2000-11-22T00:00:00Z"/><d v="1986-05-20T00:00:00Z"/><d v="1985-11-13T00:00:00Z"/><d v="1994-01-17T00:00:00Z"/><d v="1991-11-12T00:00:00Z"/><d v="1985-02-10T00:00:00Z"/><d v="1997-12-18T00:00:00Z"/><d v="1998-05-19T00:00:00Z"/><d v="1996-12-02T00:00:00Z"/><d v="1982-01-03T00:00:00Z"/><d v="1987-03-08T00:00:00Z"/><d v="1997-11-19T00:00:00Z"/><d v="1997-12-30T00:00:00Z"/><d v="1982-09-16T00:00:00Z"/><d v="1989-11-28T00:00:00Z"/><d v="1995-04-09T00:00:00Z"/><d v="1993-07-26T00:00:00Z"/><d v="1985-05-18T00:00:00Z"/><d v="1999-06-20T00:00:00Z"/><d v="1994-09-30T00:00:00Z"/><d v="1997-02-14T00:00:00Z"/><d v="1984-05-21T00:00:00Z"/><d v="1996-06-13T00:00:00Z"/><d v="1996-01-10T00:00:00Z"/><d v="1990-12-01T00:00:00Z"/><d v="1998-10-17T00:00:00Z"/><d v="1995-10-20T00:00:00Z"/><d v="1988-08-16T00:00:00Z"/><d v="1997-02-08T00:00:00Z"/><d v="1992-08-10T00:00:00Z"/><d v="1999-07-19T00:00:00Z"/><d v="1986-11-12T00:00:00Z"/><d v="2000-04-30T00:00:00Z"/><d v="1997-06-12T00:00:00Z"/><d v="1990-06-29T00:00:00Z"/><d v="1984-02-01T00:00:00Z"/><d v="1988-11-16T00:00:00Z"/><d v="1997-06-08T00:00:00Z"/><d v="1996-11-03T00:00:00Z"/><d v="1996-10-11T00:00:00Z"/><d v="1989-06-01T00:00:00Z"/><d v="1990-08-19T00:00:00Z"/><d v="1997-11-26T00:00:00Z"/><d v="1997-05-10T00:00:00Z"/><d v="1986-11-05T00:00:00Z"/><d v="1995-02-19T00:00:00Z"/><d v="1993-12-15T00:00:00Z"/><d v="1994-03-06T00:00:00Z"/><d v="1994-09-11T00:00:00Z"/><d v="1996-05-19T00:00:00Z"/><d v="1996-12-22T00:00:00Z"/><d v="1961-04-06T00:00:00Z"/><d v="1993-08-09T00:00:00Z"/><d v="1989-08-23T00:00:00Z"/><d v="1993-10-29T00:00:00Z"/><d v="1997-06-09T00:00:00Z"/><d v="1986-09-07T00:00:00Z"/><d v="1987-03-14T00:00:00Z"/><d v="1995-12-27T00:00:00Z"/><d v="1999-03-24T00:00:00Z"/><d v="1989-04-23T00:00:00Z"/><d v="1994-04-14T00:00:00Z"/><d v="1998-08-04T00:00:00Z"/><d v="1991-01-12T00:00:00Z"/><d v="1998-07-22T00:00:00Z"/><d v="1998-01-23T00:00:00Z"/><d v="1985-09-26T00:00:00Z"/><d v="2001-04-12T00:00:00Z"/><d v="1990-08-14T00:00:00Z"/><d v="1976-05-09T00:00:00Z"/><d v="2001-03-22T00:00:00Z"/><d v="1995-09-11T00:00:00Z"/><d v="1994-03-23T00:00:00Z"/><d v="1997-10-21T00:00:00Z"/><d v="1999-04-22T00:00:00Z"/><d v="2000-04-10T00:00:00Z"/><d v="2000-05-23T00:00:00Z"/><d v="1991-03-03T00:00:00Z"/><d v="1996-04-06T00:00:00Z"/><d v="1993-07-04T00:00:00Z"/><d v="1997-01-05T00:00:00Z"/><d v="2001-11-19T00:00:00Z"/><d v="1987-03-28T00:00:00Z"/><d v="2003-10-31T00:00:00Z"/><d v="2001-11-18T00:00:00Z"/><d v="1972-07-19T00:00:00Z"/><d v="1985-05-14T00:00:00Z"/><d v="1983-01-22T00:00:00Z"/><d v="1988-01-01T00:00:00Z"/><d v="1989-08-26T00:00:00Z"/><d v="1997-11-17T00:00:00Z"/><d v="1997-01-17T00:00:00Z"/><d v="1996-01-20T00:00:00Z"/><d v="1995-03-08T00:00:00Z"/><d v="1993-06-05T00:00:00Z"/><d v="1999-09-26T00:00:00Z"/><d v="1988-02-20T00:00:00Z"/><d v="1995-06-26T00:00:00Z"/><d v="1998-02-08T00:00:00Z"/><d v="1997-07-02T00:00:00Z"/><d v="1998-11-22T00:00:00Z"/><d v="2000-06-03T00:00:00Z"/><d v="1999-03-29T00:00:00Z"/><d v="1996-06-15T00:00:00Z"/><d v="1996-02-09T00:00:00Z"/><d v="1994-01-19T00:00:00Z"/><d v="1994-02-14T00:00:00Z"/><d v="1998-10-20T00:00:00Z"/><d v="1985-01-18T00:00:00Z"/><d v="1999-11-27T00:00:00Z"/><d v="1988-07-21T00:00:00Z"/><d v="1998-10-03T00:00:00Z"/><d v="1989-01-26T00:00:00Z"/><d v="1996-06-02T00:00:00Z"/><d v="1994-09-01T00:00:00Z"/><d v="1995-02-17T00:00:00Z"/><d v="2002-04-28T00:00:00Z"/><d v="1999-12-10T00:00:00Z"/><d v="2001-02-05T00:00:00Z"/><d v="1995-03-21T00:00:00Z"/><d v="1998-10-05T00:00:00Z"/><d v="2001-09-27T00:00:00Z"/><d v="2000-10-21T00:00:00Z"/><d v="2000-06-28T00:00:00Z"/><d v="1999-03-07T00:00:00Z"/><d v="1994-10-20T00:00:00Z"/><d v="1997-04-01T00:00:00Z"/><d v="2001-10-16T00:00:00Z"/><d v="2000-02-25T00:00:00Z"/><d v="1996-08-01T00:00:00Z"/><d v="1995-08-13T00:00:00Z"/><d v="1985-01-10T00:00:00Z"/><d v="1994-01-06T00:00:00Z"/><d v="2001-01-19T00:00:00Z"/><d v="1994-12-08T00:00:00Z"/><d v="1995-09-29T00:00:00Z"/><d v="1994-04-19T00:00:00Z"/><d v="1994-11-11T00:00:00Z"/><d v="2001-05-09T00:00:00Z"/><d v="1994-09-07T00:00:00Z"/><d v="1993-06-26T00:00:00Z"/><d v="1996-08-12T00:00:00Z"/><d v="1995-05-03T00:00:00Z"/><d v="1998-02-10T00:00:00Z"/><d v="1987-04-16T00:00:00Z"/><d v="2002-11-01T00:00:00Z"/><d v="1994-06-25T00:00:00Z"/><d v="1997-02-24T00:00:00Z"/><d v="1989-05-26T00:00:00Z"/><d v="2001-09-04T00:00:00Z"/><d v="1996-01-19T00:00:00Z"/><d v="2001-06-01T00:00:00Z"/><d v="1997-05-09T00:00:00Z"/><d v="1985-02-12T00:00:00Z"/><d v="2000-03-30T00:00:00Z"/><d v="1998-08-23T00:00:00Z"/><d v="1981-07-12T00:00:00Z"/><d v="1996-11-21T00:00:00Z"/><d v="1994-07-01T00:00:00Z"/><d v="1985-04-22T00:00:00Z"/><d v="1997-02-12T00:00:00Z"/><d v="1996-08-08T00:00:00Z"/><d v="1989-02-20T00:00:00Z"/><d v="1995-06-04T00:00:00Z"/><d v="1996-10-24T00:00:00Z"/><d v="1989-05-17T00:00:00Z"/><d v="1990-05-19T00:00:00Z"/><d v="1997-09-13T00:00:00Z"/><d v="1998-03-20T00:00:00Z"/><d v="1994-02-10T00:00:00Z"/><d v="1994-08-30T00:00:00Z"/><d v="1995-01-28T00:00:00Z"/><d v="1997-01-28T00:00:00Z"/><d v="1993-07-01T00:00:00Z"/><d v="1996-01-12T00:00:00Z"/><d v="1997-05-07T00:00:00Z"/><d v="1994-04-01T00:00:00Z"/><d v="1992-06-05T00:00:00Z"/><d v="1981-10-08T00:00:00Z"/><d v="1987-07-26T00:00:00Z"/><d v="1995-01-04T00:00:00Z"/><d v="2000-07-03T00:00:00Z"/><d v="2001-12-29T00:00:00Z"/><d v="2000-03-25T00:00:00Z"/><d v="2000-07-27T00:00:00Z"/><d v="2000-11-16T00:00:00Z"/><d v="2000-12-07T00:00:00Z"/><d v="2000-06-24T00:00:00Z"/><d v="1994-05-19T00:00:00Z"/><d v="1999-01-25T00:00:00Z"/><d v="1999-08-03T00:00:00Z"/><d v="2000-07-26T00:00:00Z"/><d v="1999-08-11T00:00:00Z"/><d v="1999-09-05T00:00:00Z"/><d v="1999-04-04T00:00:00Z"/><d v="2000-04-26T00:00:00Z"/><d v="2000-02-13T00:00:00Z"/><d v="1999-02-20T00:00:00Z"/><d v="2000-11-25T00:00:00Z"/><d v="1999-03-17T00:00:00Z"/><d v="1999-09-02T00:00:00Z"/><d v="1999-09-30T00:00:00Z"/><d v="1999-05-24T00:00:00Z"/><d v="2000-08-12T00:00:00Z"/><d v="2000-12-26T00:00:00Z"/><d v="1999-01-08T00:00:00Z"/><d v="1999-05-09T00:00:00Z"/><d v="1999-01-19T00:00:00Z"/><d v="1999-07-08T00:00:00Z"/><d v="2000-01-03T00:00:00Z"/><d v="1999-06-10T00:00:00Z"/><d v="2000-01-06T00:00:00Z"/><d v="1998-05-03T00:00:00Z"/><d v="2000-04-11T00:00:00Z"/><d v="2000-11-06T00:00:00Z"/><d v="1993-10-03T00:00:00Z"/><d v="1991-05-03T00:00:00Z"/><d v="1993-08-12T00:00:00Z"/><d v="1993-03-06T00:00:00Z"/><d v="1997-04-25T00:00:00Z"/><d v="1994-09-04T00:00:00Z"/><d v="1997-11-20T00:00:00Z"/><d v="1994-05-01T00:00:00Z"/><d v="1993-01-04T00:00:00Z"/><d v="1995-09-26T00:00:00Z"/><d v="1994-10-15T00:00:00Z"/><d v="1995-05-28T00:00:00Z"/><d v="1990-12-29T00:00:00Z"/><d v="1995-05-29T00:00:00Z"/><d v="1999-07-09T00:00:00Z"/><d v="1997-11-18T00:00:00Z"/><d v="1991-10-16T00:00:00Z"/><d v="1997-03-27T00:00:00Z"/><d v="1997-07-11T00:00:00Z"/><d v="1995-09-02T00:00:00Z"/><d v="1996-04-13T00:00:00Z"/><d v="1994-03-29T00:00:00Z"/><d v="1987-09-01T00:00:00Z"/><d v="1997-12-11T00:00:00Z"/><d v="1998-01-28T00:00:00Z"/><d v="1988-06-04T00:00:00Z"/><d v="1998-02-25T00:00:00Z"/><d v="1993-11-06T00:00:00Z"/><d v="1987-04-04T00:00:00Z"/><d v="1997-12-04T00:00:00Z"/><d v="1989-12-01T00:00:00Z"/><d v="1997-08-31T00:00:00Z"/><d v="1990-12-26T00:00:00Z"/><d v="1996-02-12T00:00:00Z"/><d v="1995-08-23T00:00:00Z"/><d v="1992-02-19T00:00:00Z"/><d v="1991-09-17T00:00:00Z"/><d v="1997-03-28T00:00:00Z"/><d v="1996-01-04T00:00:00Z"/><d v="1997-10-16T00:00:00Z"/><d v="1992-01-01T00:00:00Z"/><d v="1997-10-13T00:00:00Z"/><d v="1997-08-02T00:00:00Z"/><d v="1990-05-15T00:00:00Z"/><d v="1981-04-23T00:00:00Z"/><d v="1998-04-20T00:00:00Z"/><d v="1989-11-26T00:00:00Z"/><d v="1997-12-22T00:00:00Z"/><d v="1992-12-08T00:00:00Z"/><d v="1995-03-03T00:00:00Z"/><d v="1997-06-04T00:00:00Z"/><d v="1982-07-16T00:00:00Z"/><d v="1992-10-31T00:00:00Z"/><d v="1997-04-29T00:00:00Z"/><d v="1997-04-19T00:00:00Z"/><d v="1998-11-02T00:00:00Z"/><d v="1994-09-23T00:00:00Z"/><d v="1998-03-29T00:00:00Z"/><d v="1992-04-20T00:00:00Z"/><d v="1994-02-22T00:00:00Z"/><d v="1993-09-15T00:00:00Z"/><d v="1994-03-14T00:00:00Z"/><d v="1983-11-10T00:00:00Z"/><d v="1989-01-29T00:00:00Z"/><d v="1991-06-17T00:00:00Z"/><d v="1996-12-10T00:00:00Z"/><d v="1993-11-03T00:00:00Z"/><d v="1989-05-15T00:00:00Z"/><d v="1996-07-25T00:00:00Z"/><d v="1988-01-30T00:00:00Z"/><d v="1985-09-22T00:00:00Z"/><d v="1992-06-08T00:00:00Z"/><d v="1996-05-17T00:00:00Z"/><d v="1988-07-25T00:00:00Z"/><d v="1992-02-28T00:00:00Z"/><d v="1998-10-10T00:00:00Z"/><d v="1996-10-08T00:00:00Z"/><d v="1993-07-20T00:00:00Z"/><d v="1989-05-25T00:00:00Z"/><d v="1996-11-26T00:00:00Z"/><d v="1993-07-14T00:00:00Z"/><d v="1995-02-22T00:00:00Z"/><d v="1995-05-20T00:00:00Z"/><d v="1997-12-15T00:00:00Z"/><d v="1999-07-01T00:00:00Z"/><d v="1992-02-14T00:00:00Z"/><d v="1998-05-16T00:00:00Z"/><d v="2001-11-24T00:00:00Z"/><d v="1999-11-15T00:00:00Z"/><d v="1987-08-17T00:00:00Z"/><d v="1988-10-28T00:00:00Z"/><d v="1974-02-01T00:00:00Z"/><d v="1983-02-24T00:00:00Z"/><d v="1996-03-24T00:00:00Z"/><d v="1987-11-14T00:00:00Z"/><d v="1980-08-22T00:00:00Z"/><d v="1984-08-06T00:00:00Z"/><d v="1994-12-23T00:00:00Z"/><d v="1992-04-03T00:00:00Z"/><d v="1986-02-03T00:00:00Z"/><d v="1993-11-15T00:00:00Z"/><d v="1987-10-04T00:00:00Z"/><d v="1986-03-27T00:00:00Z"/><d v="1985-11-30T00:00:00Z"/><d v="1987-05-15T00:00:00Z"/><d v="1993-01-19T00:00:00Z"/><d v="1993-02-10T00:00:00Z"/><d v="1999-10-24T00:00:00Z"/><d v="1996-04-28T00:00:00Z"/><d v="2002-11-05T00:00:00Z"/><d v="2001-01-24T00:00:00Z"/><d v="1996-06-10T00:00:00Z"/><d v="1996-08-05T00:00:00Z"/><d v="1996-12-25T00:00:00Z"/><d v="1994-08-25T00:00:00Z"/><d v="2001-12-26T00:00:00Z"/><d v="1999-03-28T00:00:00Z"/><d v="1988-03-04T00:00:00Z"/><d v="1996-10-17T00:00:00Z"/><d v="1988-12-27T00:00:00Z"/><d v="1998-03-11T00:00:00Z"/><d v="2000-09-10T00:00:00Z"/><d v="1998-06-25T00:00:00Z"/><d v="1993-03-10T00:00:00Z"/><d v="1999-07-13T00:00:00Z"/><d v="1998-11-11T00:00:00Z"/><d v="1995-06-17T00:00:00Z"/><d v="1998-05-10T00:00:00Z"/><d v="1996-09-12T00:00:00Z"/><d v="1996-03-31T00:00:00Z"/><d v="1988-11-19T00:00:00Z"/><d v="1995-04-13T00:00:00Z"/><d v="1997-10-07T00:00:00Z"/><d v="1998-01-29T00:00:00Z"/><d v="1989-06-24T00:00:00Z"/><d v="1995-08-16T00:00:00Z"/><d v="1993-12-12T00:00:00Z"/><d v="1994-12-12T00:00:00Z"/><d v="1996-11-06T00:00:00Z"/><d v="1991-11-04T00:00:00Z"/><d v="1991-02-06T00:00:00Z"/><d v="1996-03-10T00:00:00Z"/><d v="1993-05-14T00:00:00Z"/><d v="2000-03-16T00:00:00Z"/><d v="1996-10-23T00:00:00Z"/><d v="2000-06-05T00:00:00Z"/><d v="1999-07-04T00:00:00Z"/><d v="1993-10-05T00:00:00Z"/><d v="1993-03-25T00:00:00Z"/><d v="1980-02-14T00:00:00Z"/><d v="1989-10-16T00:00:00Z"/><d v="1992-02-20T00:00:00Z"/><d v="1998-09-11T00:00:00Z"/><d v="1988-10-02T00:00:00Z"/><d v="1983-02-20T00:00:00Z"/><d v="1988-12-08T00:00:00Z"/><d v="1991-09-21T00:00:00Z"/><d v="1983-10-18T00:00:00Z"/><d v="1993-01-14T00:00:00Z"/><d v="1989-02-14T00:00:00Z"/><d v="1995-07-10T00:00:00Z"/><d v="1993-07-08T00:00:00Z"/><d v="1985-04-17T00:00:00Z"/><d v="2000-06-16T00:00:00Z"/><d v="2000-10-19T00:00:00Z"/><d v="2002-02-08T00:00:00Z"/><d v="2002-09-24T00:00:00Z"/><d v="1999-02-12T00:00:00Z"/><d v="2002-07-08T00:00:00Z"/><d v="2000-05-31T00:00:00Z"/><d v="2002-03-14T00:00:00Z"/><d v="2002-04-12T00:00:00Z"/><d v="2000-11-29T00:00:00Z"/><d v="2000-04-07T00:00:00Z"/><d v="2001-07-13T00:00:00Z"/><d v="1998-04-06T00:00:00Z"/><d v="2001-06-11T00:00:00Z"/><d v="2000-12-28T00:00:00Z"/><d v="2000-02-22T00:00:00Z"/><d v="2001-02-25T00:00:00Z"/><d v="2001-02-06T00:00:00Z"/><d v="2000-12-03T00:00:00Z"/><d v="2000-07-06T00:00:00Z"/><d v="1989-10-26T00:00:00Z"/><d v="1992-02-06T00:00:00Z"/><d v="1994-10-11T00:00:00Z"/><d v="1999-08-07T00:00:00Z"/><d v="1999-12-12T00:00:00Z"/><d v="1998-02-12T00:00:00Z"/><d v="1999-10-20T00:00:00Z"/><d v="1995-11-27T00:00:00Z"/><d v="1999-07-29T00:00:00Z"/><d v="1996-06-21T00:00:00Z"/><d v="1996-11-14T00:00:00Z"/><d v="1998-02-16T00:00:00Z"/><d v="1988-11-17T00:00:00Z"/><d v="1993-03-28T00:00:00Z"/><d v="1998-06-04T00:00:00Z"/><d v="1993-10-09T00:00:00Z"/><d v="1998-09-13T00:00:00Z"/><d v="2002-05-28T00:00:00Z"/><d v="2001-06-27T00:00:00Z"/><d v="2000-06-26T00:00:00Z"/><d v="1995-05-27T00:00:00Z"/><d v="1998-07-14T00:00:00Z"/><d v="2000-08-24T00:00:00Z"/><d v="1997-03-03T00:00:00Z"/><d v="1996-12-16T00:00:00Z"/><d v="1999-05-15T00:00:00Z"/><d v="1990-09-20T00:00:00Z"/><d v="1999-10-23T00:00:00Z"/><d v="1988-08-28T00:00:00Z"/><d v="1987-01-11T00:00:00Z"/><d v="1979-08-26T00:00:00Z"/><d v="1989-06-28T00:00:00Z"/><d v="1994-12-03T00:00:00Z"/><d v="1990-07-24T00:00:00Z"/><d v="1997-08-25T00:00:00Z"/><d v="1990-06-01T00:00:00Z"/><d v="1987-02-05T00:00:00Z"/><d v="1990-07-07T00:00:00Z"/><d v="1988-07-17T00:00:00Z"/><d v="1996-12-24T00:00:00Z"/><d v="1988-02-23T00:00:00Z"/><d v="1996-07-09T00:00:00Z"/><d v="1993-04-03T00:00:00Z"/><d v="1993-10-25T00:00:00Z"/><d v="1999-09-24T00:00:00Z"/><d v="1991-06-29T00:00:00Z"/><d v="1984-08-20T00:00:00Z"/><d v="1992-07-09T00:00:00Z"/><d v="1994-11-06T00:00:00Z"/><d v="1996-02-06T00:00:00Z"/><d v="1988-01-02T00:00:00Z"/><d v="1997-11-08T00:00:00Z"/><d v="2001-01-26T00:00:00Z"/><d v="1986-04-26T00:00:00Z"/><d v="1991-05-19T00:00:00Z"/><d v="2001-11-29T00:00:00Z"/><d v="1990-10-06T00:00:00Z"/><d v="1989-10-20T00:00:00Z"/><d v="1992-08-15T00:00:00Z"/><d v="1995-03-13T00:00:00Z"/><d v="1996-05-25T00:00:00Z"/><d v="1991-05-18T00:00:00Z"/><d v="1985-09-16T00:00:00Z"/><d v="1976-06-06T00:00:00Z"/><d v="1986-11-18T00:00:00Z"/><d v="1998-12-27T00:00:00Z"/><d v="1995-07-22T00:00:00Z"/><d v="1988-11-13T00:00:00Z"/><d v="1991-03-18T00:00:00Z"/><d v="1994-12-30T00:00:00Z"/><d v="1997-10-27T00:00:00Z"/><d v="1997-12-19T00:00:00Z"/><d v="1992-05-22T00:00:00Z"/><d v="1988-11-06T00:00:00Z"/><d v="1984-04-14T00:00:00Z"/><d v="1982-06-25T00:00:00Z"/><d v="1985-12-31T00:00:00Z"/><d v="1964-07-15T00:00:00Z"/><d v="1984-03-28T00:00:00Z"/><d v="1991-04-25T00:00:00Z"/><d v="1978-03-16T00:00:00Z"/><d v="1995-04-14T00:00:00Z"/><d v="1984-10-01T00:00:00Z"/><d v="1985-07-02T00:00:00Z"/><d v="1976-06-22T00:00:00Z"/><d v="1990-04-19T00:00:00Z"/><d v="1987-07-05T00:00:00Z"/><d v="1978-08-24T00:00:00Z"/><d v="1992-09-10T00:00:00Z"/><d v="1995-10-06T00:00:00Z"/><d v="1992-08-01T00:00:00Z"/><d v="1986-11-10T00:00:00Z"/><d v="1995-05-30T00:00:00Z"/><d v="1994-07-22T00:00:00Z"/><d v="1999-11-04T00:00:00Z"/><d v="1993-03-13T00:00:00Z"/><d v="1995-11-10T00:00:00Z"/><d v="1994-06-06T00:00:00Z"/><d v="1996-12-29T00:00:00Z"/><d v="1999-01-13T00:00:00Z"/><d v="1996-12-19T00:00:00Z"/><d v="1997-01-10T00:00:00Z"/><d v="1993-09-20T00:00:00Z"/><d v="1984-10-21T00:00:00Z"/><d v="1997-09-09T00:00:00Z"/><d v="1989-12-13T00:00:00Z"/><d v="1991-03-15T00:00:00Z"/><d v="1997-04-06T00:00:00Z"/><d v="1993-10-30T00:00:00Z"/><d v="1996-12-26T00:00:00Z"/><d v="1990-11-30T00:00:00Z"/><d v="1990-07-18T00:00:00Z"/><d v="1998-11-21T00:00:00Z"/><d v="1996-03-15T00:00:00Z"/><d v="1997-06-22T00:00:00Z"/><d v="1986-04-10T00:00:00Z"/><d v="1984-10-30T00:00:00Z"/><d v="1983-05-23T00:00:00Z"/><d v="1992-01-29T00:00:00Z"/><d v="1991-02-08T00:00:00Z"/><d v="1993-09-16T00:00:00Z"/><d v="1992-04-19T00:00:00Z"/><d v="1988-10-10T00:00:00Z"/><d v="1981-10-17T00:00:00Z"/><d v="1981-08-06T00:00:00Z"/><d v="1987-04-17T00:00:00Z"/><d v="1989-03-20T00:00:00Z"/><d v="1990-01-12T00:00:00Z"/><d v="1994-01-27T00:00:00Z"/><d v="1972-10-06T00:00:00Z"/><d v="1994-05-10T00:00:00Z"/><d v="1980-10-27T00:00:00Z"/><d v="1983-12-01T00:00:00Z"/><d v="1980-02-27T00:00:00Z"/><d v="2000-12-04T00:00:00Z"/><d v="1994-06-24T00:00:00Z"/><d v="1998-07-25T00:00:00Z"/><d v="1992-06-21T00:00:00Z"/><d v="1985-11-03T00:00:00Z"/><d v="1997-03-24T00:00:00Z"/><d v="1987-12-10T00:00:00Z"/><d v="1992-11-25T00:00:00Z"/><d v="1986-04-02T00:00:00Z"/><d v="1997-05-03T00:00:00Z"/><d v="1987-10-06T00:00:00Z"/><d v="1985-10-31T00:00:00Z"/><d v="1991-01-24T00:00:00Z"/><d v="1993-05-27T00:00:00Z"/><d v="1995-10-05T00:00:00Z"/><d v="1993-05-07T00:00:00Z"/><d v="1996-06-28T00:00:00Z"/><d v="1995-05-31T00:00:00Z"/><d v="1985-06-05T00:00:00Z"/><d v="1984-09-27T00:00:00Z"/><d v="1998-08-02T00:00:00Z"/><d v="1997-01-24T00:00:00Z"/><d v="1991-09-04T00:00:00Z"/><d v="1987-09-04T00:00:00Z"/><d v="1980-03-21T00:00:00Z"/><d v="1984-10-23T00:00:00Z"/><d v="1990-10-28T00:00:00Z"/><d v="1990-02-07T00:00:00Z"/><d v="1990-08-02T00:00:00Z"/><d v="1988-02-14T00:00:00Z"/><d v="2000-01-09T00:00:00Z"/><d v="1988-05-21T00:00:00Z"/><d v="1981-12-18T00:00:00Z"/><d v="1999-08-20T00:00:00Z"/><d v="1991-06-16T00:00:00Z"/><d v="1990-07-28T00:00:00Z"/><d v="1996-07-01T00:00:00Z"/><d v="1984-05-13T00:00:00Z"/><d v="1994-07-07T00:00:00Z"/><d v="1985-06-08T00:00:00Z"/><d v="1986-02-11T00:00:00Z"/><d v="1995-08-28T00:00:00Z"/><d v="1996-07-07T00:00:00Z"/><d v="1986-02-22T00:00:00Z"/><d v="1990-01-13T00:00:00Z"/><d v="2000-01-31T00:00:00Z"/><d v="1999-02-08T00:00:00Z"/><d v="1992-03-13T00:00:00Z"/><d v="1997-12-14T00:00:00Z"/><d v="1999-06-21T00:00:00Z"/><d v="1992-10-08T00:00:00Z"/><d v="1976-02-17T00:00:00Z"/><d v="1979-10-04T00:00:00Z"/><d v="1974-10-11T00:00:00Z"/><d v="1987-10-01T00:00:00Z"/><d v="1992-12-17T00:00:00Z"/><d v="1992-02-13T00:00:00Z"/><d v="1986-07-04T00:00:00Z"/><d v="1997-05-22T00:00:00Z"/><d v="1988-06-19T00:00:00Z"/><d v="1984-02-27T00:00:00Z"/><d v="1987-12-08T00:00:00Z"/><d v="1998-08-07T00:00:00Z"/><d v="1987-02-17T00:00:00Z"/><d v="1982-05-16T00:00:00Z"/><d v="1990-11-19T00:00:00Z"/><d v="1987-12-25T00:00:00Z"/><d v="1993-08-18T00:00:00Z"/><d v="2000-09-05T00:00:00Z"/><d v="1998-07-17T00:00:00Z"/><d v="1999-09-29T00:00:00Z"/><d v="1997-04-24T00:00:00Z"/><d v="1997-07-05T00:00:00Z"/><d v="1991-07-27T00:00:00Z"/><d v="1993-12-05T00:00:00Z"/><d v="1981-11-12T00:00:00Z"/><d v="1963-05-07T00:00:00Z"/><d v="1974-05-05T00:00:00Z"/><d v="1999-03-31T00:00:00Z"/><d v="1980-12-11T00:00:00Z"/><d v="1990-02-20T00:00:00Z"/><d v="1992-07-31T00:00:00Z"/><d v="1984-05-31T00:00:00Z"/><d v="1983-04-20T00:00:00Z"/><d v="1985-04-19T00:00:00Z"/><d v="1996-11-30T00:00:00Z"/><d v="1990-10-18T00:00:00Z"/><d v="1982-06-10T00:00:00Z"/><d v="1983-07-02T00:00:00Z"/><d v="1973-03-30T00:00:00Z"/><d v="1987-12-22T00:00:00Z"/><d v="1987-05-04T00:00:00Z"/><d v="1998-01-05T00:00:00Z"/><d v="1989-10-15T00:00:00Z"/><d v="1996-04-07T00:00:00Z"/><d v="1995-11-11T00:00:00Z"/><d v="1987-11-09T00:00:00Z"/><d v="2001-02-23T00:00:00Z"/><d v="1999-05-02T00:00:00Z"/><d v="1994-04-23T00:00:00Z"/><d v="2000-09-28T00:00:00Z"/><d v="1998-11-03T00:00:00Z"/><d v="1998-01-18T00:00:00Z"/><d v="2000-09-04T00:00:00Z"/><d v="1995-05-06T00:00:00Z"/><d v="2001-01-30T00:00:00Z"/><d v="2001-05-11T00:00:00Z"/><d v="1999-11-20T00:00:00Z"/><d v="1998-04-21T00:00:00Z"/><d v="1991-12-04T00:00:00Z"/><d v="1999-09-16T00:00:00Z"/><d v="2000-03-04T00:00:00Z"/><d v="2000-09-02T00:00:00Z"/><d v="1999-05-22T00:00:00Z"/><d v="1991-02-04T00:00:00Z"/><d v="1998-02-19T00:00:00Z"/><d v="1984-04-30T00:00:00Z"/><d v="1991-10-28T00:00:00Z"/><d v="1987-05-29T00:00:00Z"/><d v="1983-05-05T00:00:00Z"/><d v="1985-06-16T00:00:00Z"/><d v="1997-11-30T00:00:00Z"/><d v="1991-08-12T00:00:00Z"/><d v="2001-04-11T00:00:00Z"/><d v="1991-10-17T00:00:00Z"/><d v="1999-04-27T00:00:00Z"/><d v="1999-12-15T00:00:00Z"/><d v="1999-12-01T00:00:00Z"/><d v="2000-03-21T00:00:00Z"/><d v="1994-11-08T00:00:00Z"/><d v="1999-04-12T00:00:00Z"/><d v="1990-06-05T00:00:00Z"/><d v="1995-02-15T00:00:00Z"/><d v="1991-10-03T00:00:00Z"/><d v="2000-07-01T00:00:00Z"/><d v="1991-04-24T00:00:00Z"/><d v="1999-03-22T00:00:00Z"/><d v="1998-10-04T00:00:00Z"/><d v="1998-03-08T00:00:00Z"/><d v="1983-10-16T00:00:00Z"/><d v="1994-10-08T00:00:00Z"/><d v="1994-08-13T00:00:00Z"/><d v="1990-10-16T00:00:00Z"/><d v="2000-07-08T00:00:00Z"/><d v="1999-08-14T00:00:00Z"/><d v="1992-08-04T00:00:00Z"/><d v="1998-02-04T00:00:00Z"/><d v="1999-01-11T00:00:00Z"/><d v="1987-08-18T00:00:00Z"/><d v="1989-09-28T00:00:00Z"/><d v="1992-11-24T00:00:00Z"/><d v="1998-01-27T00:00:00Z"/><d v="1999-11-19T00:00:00Z"/><d v="1999-10-17T00:00:00Z"/><d v="2000-11-04T00:00:00Z"/><d v="1998-07-01T00:00:00Z"/><d v="1999-10-02T00:00:00Z"/><d v="2000-09-03T00:00:00Z"/><d v="2000-01-11T00:00:00Z"/><d v="2001-09-17T00:00:00Z"/><d v="1992-12-09T00:00:00Z"/><d v="1999-02-28T00:00:00Z"/><d v="1999-11-05T00:00:00Z"/><d v="1999-09-06T00:00:00Z"/><d v="1995-06-14T00:00:00Z"/><d v="1999-12-17T00:00:00Z"/><d v="1996-07-30T00:00:00Z"/><d v="1999-12-06T00:00:00Z"/><d v="1987-04-01T00:00:00Z"/><d v="1998-12-24T00:00:00Z"/><d v="2000-09-27T00:00:00Z"/><d v="2000-07-24T00:00:00Z"/><d v="2000-10-01T00:00:00Z"/><d v="2000-07-09T00:00:00Z"/><d v="1979-04-16T00:00:00Z"/><d v="1986-10-13T00:00:00Z"/><d v="1999-03-20T00:00:00Z"/><d v="1992-12-02T00:00:00Z"/></sharedItems></cacheField><cacheField name="Chuyên ngành" numFmtId="0"><sharedItems containsBlank="1"><s v="Kế Toán - Kiểm Toán"/><s v="Marketing."/><s v="Quản Trị Kinh Doanh"/><s v="Marketing Gpa: 3.45/4.0"/><s v="Luật Kinh tế"/><s v="truyền thông marketing"/><s v="Quản Trị Nhân Lực"/><s v="hải quan và nghiệp vụ ngoại thương"/><s v="Ngôn Ngữ Anh"/><s v="quản trị kinh doanh thương mại"/><s v="Tài Chinh - Ngân Hàng"/><s v="Quản Trị Marketing"/><s v=": Tài Chính Ngân Hàng"/><s v="ngành luật kinh tế"/><s v="Quản Trị Dịch Vụ Di Lịch - Lữ"/><s v="Quản Lý Kinh Tế"/><s v="ngành kinh doanh quốc tế"/><s v="Marketing &amp;Sales"/><s v="Kinh tế luật"/><s v="Quản trị lữ hành"/><s v="Kiểm toán"/><s v="Công nghệ Phần mềm"/><s v="Mạng máy tính"/><s v="Kinh tế và kinh doanh quốc tế"/><s v="Khoa học Máy tính"/><s v="Điện tử - Viễn thông"/><s v="Hệ thống Thông tin"/><s v="Kinh tế quốc tế"/><s v="Hệ thống thông tin quản lý"/><s v="Kế Toán."/><s v="Marketing"/><s v="Kế toán"/><s v="Quản trị kinh doanh quốc tế"/><s v="Kinh tế và quản lý nguồn lực tài chính"/><s v="Công nghệ thông tin"/><s v="Tài chính - ngân hàng"/><s v="An toàn thông tin"/><s v="ứng dụng phần mềm"/><m/><s v="Kế toán doanh nghiệp"/><s v="Kinh tế"/><s v="Kế Toán Doanh Nghiêp"/><s v="Quản trị doanh nghiệp"/><s v="Tài chính ngân hàng"/><s v="quản lý kinh tế 09"/><s v="Quản lý kinh doanh - Tài chính ngân hàng"/><s v="Tài chính doanh nghiệp"/><s v="Thuế"/><s v="Tin học tài chính kế toán"/><s v="Kế toán công"/><s v="Kỹ thuật điện tử truyền thông"/><s v="Đầu tư tài chính"/><s v="Kinh tế nguồn lực tài chính"/><s v="Công nghệ Chế tạo máy"/><s v="Quản lý tài chính công"/><s v="Quản lý nhà nước"/><s v="Công nghệ truyền thông"/><s v="Tài chính - Ngân hàng"/><s v="Công Nghệ Kỹ thuật Môi trường"/><s v="Kinh tế nông nghiệp"/><s v="Kinh tế kế hoạch"/><s v="Tài chính"/><s v="Tài chính công"/><s v="Quản trị dịch vụ du lịch lữ hành"/><s v="Quản Trị Dịch Vụ Du Lịch Và Lữ Hành"/><s v="Kế toán"/><s v="Quản trị kinh doanh tổng hợp"/><s v="Tiếng Anh TCKT"/><s v="Marketing thương mại"/><s v="Quản lý doanh nghiệp"/><s v="Công nghệ kỹ thuật điều khiển và tự độCông nghệ kỹ thuật điều khiển và tự động hóang hóa"/><s v="Kinh tế nông nghiệp và phát triển nông thôn"/><s v="Kinh doanh quốc tế"/><s v="International Trade Law"/><s v="Quản trị kinh doanh"/><s v="hệ thống thông tin quản lý - chuyên ngành tin học tài chính kế toán"/><s v="Kinh tế phát triển"/><s v="Ngân hàng"/><s v="Kinh tế vận tải thủy"/><s v="Quản trị bán hàng"/><s v="tài chính- ngân hàng"/><s v="Kinh tế Đầu tư"/><s v="Kinh tế"/><s v="Kinh tế Thương mại"/><s v="Kế toán tổng hợp"/><s v="Tài chính kế toán"/><s v="Xây dựng dân dụng"/><s v="Tin học"/><s v="Quản trị kinh doanh &amp; kế toán"/><s v="Tiếng Anh Tài chính - Kế toán"/><s v="Luật học"/><s v="luật - đại học quốc gia hà nội"/><s v="Tài chính nhà nước"/><s v="Việt Nam học"/><s v="Lập trình viên"/><s v="Tài chính - Tiền tệ - Tín dụng"/><s v="Thương mại quốc tế"/><s v="-quản trị kinh doanh"/><s v="kinh tế công nghiệp"/><s v="Ngân hàng - Bảo hiểm"/><s v="Quản lý tài nguyên rừng"/><s v="Kế toán- Kiểm toán"/><s v="Quản trị Thương hiệu"/><s v="Tự động hóa"/><s v="Kinh doanh thương mại quốc tế"/><s v="Kỹ thuật phần mềm"/><s v="Kế toán - Tài chính"/><s v="Hệ thống thông tin quản lý"/><s v="Bảo quản và chế biến"/><s v="Quản Lý Tài Nguyên Nước"/><s v="Quản lý đất đai"/><s v="Quản trị kinh doanh"/><s v="Bảo quản và chế biến nông sản"/><s v="Tiếng anh thương mại"/><s v="Báo chí và truyền thông"/><s v="Quản trị khách sạn"/><s v="Luật tài chính ngân hàng"/><s v="Bảo quản"/><s v="Thương mại điện tử"/><s v="Công nghệ Vật liệu Polyme - Compozit"/><s v="Điện công nghiệp"/><s v="Quản Trị Kinh doanh"/><s v="Công nghệ Thực phẩm"/><s v="Kinh doanh thương mại"/><s v="Kinh doanh nông nghiệp"/><s v="Vận tải hàng không"/><s v="Kinh Doanh Xuất Nhâp Khẩu"/><s v="Sư phạm Toán học"/><s v="Quản trị Nhà hàng - Khách sạn"/><s v="Quản trị doanh nghiệp thương mại"/><s v="Thuế trong kinh doanh"/><s v="Kinh doanh xuất nhập khẩu"/><s v="Quản trị Tài chính - Kế toán"/><s v="Báo chí"/><s v="Quan hệ công chúng"/><s v="Điện tử viễn thông"/><s v="Phần cứng - quản trị mạng"/><s v="Thị trường chứng khoán"/><s v="Tài Chính - Ngân Hàng."/><s v="thuế - hải quan đang chờ bằng"/><s v="Quản trị kinh doanh tổng quát"/><s v="Tài trợ thương mại"/><s v="Thẩm định giá &amp; Kinh doanh Bấtđộng sản"/><s v="Công tác xã hội"/><s v="Kỹ thuật máy tính"/><s v="kinh tế học"/><s v="Quản trị du lịch dịch vụ và lữ hành"/><s v="Kinh Tế Tài Nguyên"/><s v="Kinh Doanh Quốc Tế Gpa: 8.2/10"/><s v="Kỹ thuật máy tính-IT2"/><s v="Phát triển ứng dụng Đa phương tiện"/><s v="quản trị kinh doanh - chất lượng cao"/><s v="truyền thông đa phương tiện -"/><s v="Tài chính quốc tế"/><s v="- tài chính- ngân hàng"/><s v="Kinh tế Tài chính"/><s v="Kinh tế dầu tư"/><s v="Công nghệ đa phương tiện"/><s v="Quản Trị Nhân Sự"/><s v="Quản lý hệ thống thông tin quản lý"/><s v="Quan hệ quốc tế"/><s v="Kinh tế đối ngoại"/><s v="Khoa Tài Chính- Ngân Hàng"/><s v="Quản trị kinh doanh nhà hàng khách sạn"/><s v="Kỹ sư viễn thông"/><s v="Công nghệ dữ liệu"/><s v="hệ thống thông tin kế toán"/><s v="Khoa Tài chính - Ngân hàng"/><s v="Quản trị kinh doanh (Quản trị kinh doanh tổng hợp)"/><s v="Quản Trị Doanh Nghiệp Vừa Và Nhỏ"/><s v="Kế toán ."/><s v="Chuyên ngành Quản trị bán hàng"/><s v="Kinh tế và quản lý nguồn nhân lực"/><s v="Công nghệ thông tin"/><s v="Quản lý nhà hàng - khách sạn"/><s v="Thẩm định giá"/><s v="ngành marketing"/><s v="Quản trị hệ thống"/><s v="Truyền thông đa phương tiện"/><s v="Quản trị quảng cáo"/><s v="Thông tin và truyền thông"/><s v="quản trị kinh doanh chất lượng cao"/><s v="CNTT"/><s v="Công Nghệ Hóa Học"/><s v="Cơ khí chế tạo máy"/><s v="Công nghệ Sinh học"/><s v="Hải dương học"/><s v="khoa quản trị kinh doanh"/><s v="Quản trị văn phòng"/><s v="Ngân hàng Tài chính"/><s v="Hệ thống thông tin quản lí"/><s v="Du lịch"/><s v="Quản trị du lịch lữ hành"/><s v="Kinh tế bảo hiểm"/><s v="Tiếng Anh"/><s v="Quản trị kinh doanh du lịch và khách sạn"/><s v="Khoa Bất động sản &amp; Kinh tế tài nguyên"/><s v="Quản trị nhà hàng khách sạn"/><s v="Quản trị kinh doanh."/><s v="kế toán doanh nghiệp chất lượng cao"/><s v="Quản trị Mạng"/><s v="Hải quan - Xuất nhập khẩu"/><s v="Tài Chính Công – Thuộc Viện Ngân Hàng – Tài Chính"/><s v="- tài chính ngân hàng &amp; Kế toán"/><s v="Hướng dân viên du lịch."/><s v="quản trị kinh doanh chất"/><s v="Quan trị kinh doanh thương mại"/><s v="Hệ thống thông tin kinh tế và Thương mại điện tử"/><s v="Quản trị doanh nghiệp vận tải"/><s v="nông nghiệp"/><s v="Quản trị kinh doanh nhà hàng-khách sạn"/><s v="Quản trị kinh doanh -"/><s v="Tiếng Pháp Thương Mại"/><s v="Quản Trị Đất Đai"/><s v="Sư phạm sinh học"/><s v="Kinh tế xây dựng"/><s v="khoa kế toán doanh nghiệp"/><s v="marketing 8"/><s v="Kế toán-Kế toán"/><s v="Kinh Tế Bưu Chính Viễn Thông"/><s v="quản trị thương mại điện tử"/><s v="Digital Marketing"/><s v="CN Hóa dược và Hoá chất BV thực vật"/><s v="Kĩ thuật phần mềm"/><s v="Công nghệ kỹ thuật Cơ điện tử"/><s v="Quản lý Tài nguyên và Môi trường"/><s v="Kỹ sư phần mềm"/><s v="MSc Entrepreneurship, Innovation and Enterprise Development (Doanh nhân, Đổi mới và Phát triển doanh nghiệp)"/><s v="Kế Toán Doanh Nghiệp."/><s v="Luật Dân sự"/><s v="Kế Toán Nhà nước"/><s v="Logistic"/><s v="Ngành Quản trị kinh doanh"/><s v="Toán - Tin ứng dụng"/><s v="Lái xe"/><s v="Kế toán tài chính doanh nghiệp"/><s v="Kĩ thuật máy tính"/><s v="Cơ học kỹ thuật"/><s v="Hệ thống thông tin kinh tế"/><s v="Tin học kinh tế"/><s v="Đo lường và tin học công nghệ"/><s v="Thiết kế đồ họa"/><s v="Toán tin ứng dụng"/><s v="Truyền thông và Mạng máy tính"/><s v="Toán - Thống kê - Tin học"/><s v="Thiết kế đồ họa đa truyền thông"/><s v="Tin học ứng dụng"/><s v="Phát triển ứng dụng"/><s v="Sư phạm tin học"/><s v="Kỹ thuật Cơ điện tử"/><s v="Thiết kế đa phương tiện"/><s v="Kinh tế và phát triển quốc tế"/><s v="information technology"/><s v="Kỹ thuật hệ thống thông tin"/><s v="Khoa CNTT"/><s v="Mạng Máy Tính &amp; Truyền Thông"/><s v="Quản trị chất lượng"/><s v="Sư phạm mỹ thuật"/><s v="Báo mạng điện tử"/><s v="Quản trị khởi sự doanh nghiệp"/><s v="Kỹ thuật Điện tử - Viễn thông"/><s v="Global IT"/><s v="Máy xây dựng"/><s v="Công nghệ Nano"/><s v="Master of Business Administration (M.B.A.)"/><s v="Toán tin"/><s v="Công nghệ cơ điện tử"/><s v="Hệ thông tin địa lý"/><s v="Bưu chính viễn thông"/><s v="Máy tính và khoa học thông tin"/><s v="Biên - Phiên dịch"/><s v="Tin quản lý"/><s v="Toán - Tin"/><s v="Công nghệ thông tin."/><s v="Công nghệ kỹ thuật Điện - Điện tử"/><s v="Trí tuệ Nhân tạo"/><s v="Kỹ thuật mật mã"/><s v="Kế toán CLC"/><s v="kĩ sư phần mềm"/><s v="Đồ họa"/><s v="Thiết kế web"/><s v="Kỹ sư cầu nối Nhật Bản"/><s v="Thống kê kinh tế xã hội"/><s v="Khoa học quản lý"/><s v="Mạng Hệ thống"/><s v="Quản trị dự án và quản trị nhân sự"/><s v="Công nghệ và máy tính"/><s v="Lịch sử"/><s v="Bảo hiểm"/><s v="Kiểm thử phần mềm"/><s v="Kinh tế tài nguyên môi trường"/><s v="Quản trị nguồn nhân lực"/><s v="Quản trị kinh doanh - Tài chính"/><s v="Đảm bảo toán học cho máy tính và các hệ thống tính toán"/><s v="Cơ khí"/><s v="Logistics Quốc Tế"/><s v="Quản trị kinh doanh du lịch"/><s v="Engineer In Control And Automation Engineering"/><s v="kinh tế vận tải và du lịch"/><s v="Quản lý Công nghiệp"/><s v="kinh tế quản lý"/><s v="Quản lý công"/><s v="Du lịch - Kinh tế"/><s v="CN Pháp văn"/><s v="Kinh doanh quốc tế"/><s v="Quản trị kinh doanh công nghiệp và xây dựng cơ bản"/><s v="Quản trị nhân lực doanh nghiệp"/><s v="Kế toán/ kiểm toán"/><s v="kế hoạch phát triển"/><s v="kế toán kiểm toán"/><s v="kiểm toán - kế toán"/><s v="Định giá tài sản và kinh doanh bất động sản"/><s v="Kế toán tài chính ngân hàng"/><s v="Vật Lý Kỹ Thuật"/><s v="Kế toán - tiếng anh"/><s v="Quan hệ công chúng (PR)"/><s v="Quản trị kinh doanh marketing"/><s v="Tài chính bảo hiểm"/><s v="Quản trị kinh doanh vận tải"/><s v="Toán ứng dụng"/><s v="Tài chính - Kế toán"/><s v="Thương mại"/><s v="Quản trị nhà hàng &amp; dịch vụ ăn uống"/><s v="Quản trị kinh doanh tổng hợp"/><s v="- tài chính ngân hàng"/><s v="Sư phạm"/><s v="Quản trị Kinh doanh (du lịch)"/><s v="Ngân hàng thương mại"/><s v="Văn thư- Lưu trữ"/><s v="Hành chính Văn phòng"/><s v="Không"/><s v="Sửa chữa ô tô xe máy"/><s v="Ngữ văn"/><s v="Báo mạng điện tử"/><s v="Tin học Kế toán"/><s v="Marketing và Thương mại điện tử"/><s v="Master of Marketing, Sales &amp; Service"/><s v="Phát hành xuất bản phẩm"/><s v="Public Relations"/><s v="Kế toán - Kiểm toán và Phân tích tài chính"/><s v="Hành chính công"/><s v="Quản trị du lịch"/><s v="Quản trị kinh doanh lữ hành"/><s v="Điện - Điện tử"/><s v="THPT"/><s v="Luật hành chính"/><s v="tổ chức và quản lý nhân sự"/><s v="Báo Phát thanh"/><s v="Thiết kế mỹ thuật đa phương tiện"/><s v="Báo truyền hình"/><s v="E-Commerce"/><s v="Kỹ thuật hình ảnh"/><s v="Thư ký văn phòng"/><s v="Quản trị Tài chính doanh nghiệp"/><s v="Chính trị học"/><s v="Luật"/><s v="Gia công căt gọt kim loại"/><s v="Hóa sinh"/><s v="Ngân hàng &amp; Tài chính quốc tế"/><s v="Quản lý hoạt động văn hóa tư tưởng"/><s v="Mạng máy tính và truyền thông dữ liệu"/><s v="Quản lý thuế"/><s v="Lập trình máy tính"/><s v="IS"/><s v="Văn hóa quần chúng"/></sharedItems></cacheField><cacheField name="Nơi đào tạo" numFmtId="0"><sharedItems containsBlank="1"><s v="Đại Học Quốc Gia Hà Nội"/><s v="Đại Học Hoa Sen"/><s v="Đại Học Công Thương TPHCM"/><s v="Đại Học Tài Chính - Marketing"/><s v="Đại Học Công Nghiệp TPHCM"/><s v="Đại học Luật Hà Nội"/><s v="ĐH Ngân Hàng TP. HCM"/><s v="Đại Học Cần Thơ"/><s v="Đại Học Kinh Tế Quốc Dân"/><s v="Đại Học Lao Động - Xã Hội"/><s v="Học Viện Tài Chính"/><s v="Đại Học Thăng Long"/><s v="Đại Học Thương Mại"/><s v="Đại Học Kinh Tế - Kỹ Thuật Công Nghiệp"/><s v="Đại Học Phương Đông"/><s v="Học Viện Ngân Hàng"/><s v="Cao Đẳng Công Nghệ Bách Khoa Hà Nội"/><s v="Đại Học Ngoại Thương"/><s v="Cao Đẳng FPT Polytechnic"/><s v="Học Viện Công Nghệ Bưu Chính Viễn Thông"/><s v="Đại học Công Nghệ - Đại học Quốc gia Hà Nội"/><s v="Đại học Giao thông vận tải"/><s v="Đại học Bách Khoa Hà Nội"/><s v="Đại học Công Nghiệp Hà Nội"/><s v="ĐH Ngoại Thương – Cơ sở 1 - Hà Nội"/><s v="Học viện Ngân Hàng, Hà Nội"/><s v="Đại Học Kinh Tế Kỹ Thuật Công Nghiệp Hà Nội"/><s v="Đại Học Thủy Lợi"/><s v="Đại Học Hà Nội"/><s v="Cao Đẳng Cộng Đồng Hà Nội"/><s v="Đại Học Tài Nguyên Và Môi Trường Hà Nội"/><s v="Đại học Công nghệ Giao thông vận tải"/><s v="Học viện Bưu Chính Viễn Thông"/><s v="Đại học FPT Hà Nội"/><s v="Trường Đại học Nam Columbia"/><s v="Trường Cao đẳng FPT Polytechnic"/><s v="Trường Đại học Kinh tế Quốc Dân"/><m/><s v="ĐH Mỏ Địa Chất - Hà Nội"/><s v="Đại Học Kinh Tế Kỹ Thuật Công Nghiệp"/><s v="Đại học Công Đoàn"/><s v="Đại học Mỏ Địa Chất"/><s v="ĐH Kinh tế quốc dân"/><s v="Đại học Kinh doanh và Công nghệ Hà Nội"/><s v="trường đại học thương mại"/><s v="Học viện Tài chính (chờ bằng)"/><s v="ĐH Công Nghiệp Hà Nội"/><s v="HV Tài Chính"/><s v="ĐH Điện Lực"/><s v="Đại học Điện Lực"/><s v="Đại học Giao Thông Vận Tải - Cơ Sở 1"/><s v="Trường: Đại học Thương Mại"/><s v="Trường Đại Học Lạc Hồng"/><s v="ĐH Tài chính - Ngân hàng Hà Nội"/><s v="Học Viện Tài Chính |"/><s v="Đại học Tài chính - Quản trị kinh doanh"/><s v="Đại học Nội vụ"/><s v="Đại học Công nghệ thông tin và Truyền thông Thái Nguyên"/><s v="Đại học Khoa học Tự nhiên - Đại học Quốc gia Hà Nội"/><s v="Học viện Nông Nghiệp Việt Nam"/><s v="Học viện Chính sách và Phát triển"/><s v="Đại học Hà Tĩnh"/><s v="Đại Học Đại Học Thương Mại"/><s v="Trường đại học điện lực"/><s v="Đại Học Thủ Đô Hà Nội"/><s v="Đại học văn hóa Hà Nội"/><s v="Đại học Lao Động Xã Hội"/><s v="Học viện Công nghệ Bưu chính Viễn thông"/><s v="Đại học Công nghiệp Việt Hung"/><s v="Học Viện Hậu Cần"/><s v="Trường Đại học Ngoại Thương"/><s v="Cao đẳng Thương mại và Du lịch Hà Nội"/><s v="Đại học Kinh Tế - Đại học Quốc gia Hà Nội"/><s v="ĐH Tài nguyên môi trường"/><s v="ĐH Thương Mại"/><s v="Đại Học Ngoại Thương , Chuyên Ngành : Quản Trị"/><s v="ĐH Hàng Hải Việt Nam"/><s v="Foreign Trade University"/><s v="Đại Học Kinh Doanh Và Công Nghệ Hà Nội Khoa Kế Toán"/><s v="Đại Học Tài chính- Ngân hàng Hà Nội"/><s v="Đại học Nông Nghiệp Hà Nội"/><s v="Đại học Hàng Hải Việt Nam"/><s v="Trường đại học Công nghiệp Hà Nội"/><s v="Học Viện Tài Chính Hà Nội"/><s v="Đh Kinh Tế - ĐH Quốc Gia Hà Nội"/><s v="Đại học Mở Hà Nội"/><s v="Học Viện Chính Sách Phát Triển"/><s v="học viện Nông nghiệp Việt Nam"/><s v="Trường Học Viện Tài Chính"/><s v="Bachelors- Đại Học Kinh Tế Quốc Dân"/><s v="ĐH Lao động xã hội"/><s v="Đại Học K Inh Tế Đại Học Quốc Gia Hà Nội"/><s v="Đại học Công nghiệp Thái Nguyên"/><s v="Đại học Sư phạm Hà Nội 2"/><s v="Khoa Luật- Đại Học Quốc Gia Hà Nội"/><s v="Đại học lâm Nghiệp"/><s v="ĐH Kinh doanh và Công nghệ Hà Nội"/><s v="Cao đẳng Tài chính - Quản trị Kinh doanh"/><s v="Học viện Công nghệ Bưu chính Viễn thông (cơ sở phía Bắc)"/><s v="ĐH Nông Lâm TP. HCM"/><s v="Đại học Kinh tế Quốc dân - NEU"/><s v="Trường Đại học Giao Thông Vận Tỉa Hà Nội"/><s v="Đại Học Học Viện Tài Chính Khoa Kinh Tế"/><s v="ĐẠI HỌC HỌC VIỆN TÀI CHÍNH"/><s v="ĐH Khoa học xã hội và Nhân văn - ĐH QGHN"/><s v="Học Viện Cntt Bách Khoa Aptech"/><s v="Trường Đại học Lao động - Xã hội"/><s v="Đại học Tài chính - Ngân hàng Hà Nội"/><s v="Đại Học Tài Chính Quản Trị Kinh Doanh"/><s v="ĐH Kinh tế TP. HCM"/><s v="Cao đẳng Công Thương"/><s v="Trường Đại Học Fpt Hà Nội"/><s v="Đại Học Công Nghiệp Hà Nội | Quản Trị"/><s v="Trường Đại Học Thái Bình"/><s v="* Đại Học Bách Khoa Hà Nội"/><s v="Học Viện Tài Chính | Chuyên Ngành :"/><s v="Đại học Sư phạm Kỹ thuật Hưng Yên"/><s v="Cao đẳng Xây dựng Số 1"/><s v="Cao đẳng Kinh tế Kỹ thuật Vinatex"/><s v="Đại học Sư phạm Kỹ thuật Nam Định"/><s v="Đại Học Đại Học Công Nghiệp Hà Nội"/><s v="Đại học Mỏ địa chất Hà Nội"/><s v="ĐH Công nghiệp TP HCM"/><s v="ĐH Công Nghệ TP.HCM"/><s v="ĐH Công nghiệp Tp. HCM"/><s v="ĐH Lao Động - Xã Hội (CSII)"/><s v="CĐ Tài chính - Hải quan"/><s v="ĐH Công Nghiệp Thực Phẩm TP. HCM"/><s v="ĐH Công Nghệ TP. HCM"/><s v="ĐH Dân lập Lạc Hồng"/><s v="ĐH Kỹ Thuật Công Nghệ TP. HCM"/><s v="CĐ Kinh tế đối ngoại"/><s v="ĐH Tài Chính - Marketing"/><s v="CĐ Công Thương TP. HCM"/><s v="ĐH Tài Chính Marketing"/><s v="ĐH Nông Lâm Hồ Chí Minh"/><s v="ĐH Tài Nguyên và Môi Trường TP. HCM"/><s v="ĐH Quy Nhơn"/><s v="ĐH Tài chính kế toán"/><s v="ĐH Sài Gòn"/><s v="CĐ Đại Việt Sài Gòn"/><s v="CĐ Kinh tế Kỹ thuật Vinatex TP. HCM"/><s v="ĐH Văn Hiến"/><s v="ĐH Nguyễn Tất Thành"/><s v="ĐH Mở TP.HCM"/><s v="ĐH Hùng Vương"/><s v="CĐ Phát thanh truyền hình 2"/><s v="ĐH Văn Lang"/><s v="ĐH Kinh tế luật TP. HCM"/><s v="CĐ Kinh Tế - Công Nghệ TP. HCM"/><s v="CĐ Cần Thơ"/><s v="Đại học FPT"/><s v="Cao đẳng Đại Việt"/><s v="ĐH Kinh tế - Luật"/><s v="ĐH Tôn Đức Thắng"/><s v="CĐ Kỹ Thuật Công Nghệ Vạn Xuân"/><s v="ĐH Cần Thơ"/><s v="CĐ Quốc Tế Kent"/><s v="Trường Cao Đẳng Sài Gòn"/><s v="CĐ Bách Việt"/><s v="ĐH Khoa học xã hội và nhân văn - ĐH quốc gia HCM"/><s v="ĐH Nông Lâm TP.HCM"/><s v="CĐ Công Nghệ Thủ Đức"/><s v="ĐH Công nghệ Sài Gòn"/><s v="CĐ Viễn Đông"/><s v="ĐH Công Nghiệp Thực Phẩm TP.HCM"/><s v="CĐ Kinh Tế TP. HCM"/><s v="ĐH Kinh Tế Huế"/><s v="HV Hàng Không Việt Nam"/><s v="ĐH Kinh tế tài chính TP. HCM"/><s v="CĐ Kinh Tế TP.HCM"/><s v="Trường Đại Học Công Nghiệp Tp Hồ Chí Minh"/><s v="ĐH Sư Phạm Kỹ Thuật TP. HCM"/><s v="Cao Đẳng Kinh Tế Đối Ngoại"/><s v="ĐH Duy Tân"/><s v="ĐH Ngoại Ngữ Tin Học TP. HCM"/><s v="ĐH Nha Trang"/><s v="CĐ Nghề TP. HCM"/><s v="ĐH Hoa Sen"/><s v="CĐ thực hành FPT Polytechnic"/><s v="ĐH Văn Lang TP.HCM"/><s v="ĐH Ngân Hàng TP.HCM"/><s v="ĐH Bình Dương"/><s v="Đại học Công nghiệp TP HCM"/><s v="ĐH Khoa học xã hội &amp; Nhân văn TP. HCM"/><s v="Trung Tâm Kỹ Thuật Điện Toán"/><s v="Đại Học Kinh Tế - Tài Chính TPHCM"/><s v="Đại Học Sunderland"/><s v="Đại Học Ngân Hàng TPHCM"/><s v="Cao Đẳng Sài Gòn"/><s v="Lao Động-Xã Hội"/><s v="ĐH Kinh tế - Luật - ĐH Quốc Gia TP HCM"/><s v="Đại Học Kinh Tế - ĐHQG HN"/><s v="Học Viện Tài Chính , Tài Chính"/><s v="Học viện Thanh thiếu niên Việt Nam"/><s v="Đại học Bách khoa HN"/><s v="Đại học Công nghệ - ĐHQGHN"/><s v="ĐH Bách Khoa Hà Nội"/><s v="Đại Học Mỏ - Địa Chất"/><s v="Đại học Tây Nguyên"/><s v="Trường Đại học Cần Thơ"/><s v="ĐH Tây Đô"/><s v="Đại học Kiến trúc Đà Nẵng"/><s v="Cao Đẳng Kinh Tế Đối Ngoại TPHCM"/><s v="Cao đẳng Công nghiệp Quốc Phòng"/><s v="Đại Học Kinh Tế TPHCM"/><s v="ĐH Kinh Tế TP.HCM"/><s v="Đại học Lao động Xã hội"/><s v="Đại học Thăng Long"/><s v="Trường cơ khí nông nghiệp 1 Vĩnh Phúc"/><s v="Học Viện Kĩ Thuật Mật Mã"/><s v="Đại học Duy Tân"/><s v="Đại Học Kinh Tế Quốc Dân Quản Trị Nhân Lực"/><s v="Học Viện Phụ Nữ Việt Nam, Quản trị Kinh Doanh"/><s v="Đại học kinh tế - Đại học Đà nẵng"/><s v="Đại học mở Thành phố HCM"/><s v="Huflit University"/><s v="Đại Học Quy Nhơn"/><s v="Đại Học Công Nghệ TPHCM"/><s v="Đại Học Kinh Tế - Luật TPHCM"/><s v="Thủ Khoa Đầu Ra Học Viện Báo Chí Và Tuyên Truyền"/><s v="Đại học Hải Phòng"/><s v="Học Viện Hàng Không Việt Nam"/><s v="Đại Học Tài Chính - Marketing TPHCM"/><s v="Đại Học Đông Á"/><s v="Trường Đại học Kinh tế TP.HCM"/><s v="Học viện Kỹ thuật Mật mã"/><s v="Học viện Báo chí và Tuyên truyền"/><s v="Học viện Công nghệ Bưu chính viễn thông TP.HCM"/><s v="Học viện quốc tế NIIT"/><s v="ĐH Bách Khoa HN"/><s v="Đại Học Thủy Lợi Hà Nội"/><s v="Đại học Ngoại Thương - Hà Nội"/><s v="Đại Học Giao Thông Vận Tải Hà Nội"/><s v="Đại học Sư Phạm Hà Nội"/><s v="Đại Học Khoa Học Tự Nhiên Hà Nội"/><s v="Đại học Công nghiệp Tp.Hồ Chí Minh"/><s v="Học viện Kỹ Thuật Quân Sự - Hệ Dân Sự - Phía Bắc"/><s v="Học viện Design Global"/><s v="CĐ Kinh Tế Công Nghiệp Hà Nội"/><s v="Cao đẳng Du lịch Hà Nội"/><s v="ĐH Mở TP. HCM"/><s v="Cao Đẳng Công Thương TPHCM"/><s v="Học viện Công Nghệ Bưu Chính Viễn Thông Hà Nội"/><s v="CĐ Sài Gòn"/><s v="Đại Học Kinh Tế - ĐH Đà Nẵng"/><s v="Đại Học Sư Phạm Kỹ Thuật TPHCM"/><s v="DH Kỹ thuật công nghệ TP.HCM"/><s v="Đại Học Tài Chính Marketing"/><s v="Đại Học Kinh Tế Quốc Dân , Chuyên Ngành Kinh Tế"/><s v="Aprotrain Aptech"/><s v="* Đại học Công Nghiệp Hà Nội"/><s v="ĐH Lương Thế Vinh"/><s v="CĐ Việt Mỹ"/><s v="Cao Kinh Tế TP.HCM"/><s v="ĐH Kinh Tế - ĐH Huế"/><s v="Đại học Công nghiệp Tp. HCM"/><s v="Đại Học Lao Động Xã Hội Csii"/><s v="CĐ kỹ thuật Cao Thắng"/><s v="Cao Đẳng Kinh Tế TPHCM"/><s v="Học viện quốc tế FPT - Jetking"/><s v="Đại học Đại Nam"/><s v="ĐH Lao Động Xã Hội - Cơ sở 1 - Hà Nội"/><s v="Đại Học Mở TPHCM"/><s v="Cao Đẳng Cần Thơ"/><s v="Trường Đại học Sư phạm Đà Nẵng"/><s v="Đại Học Kinh Tế Quốc Dân Thống Kê Kinh Tế Xã Hội"/><s v="Đại Học Công Nghiệp Việt Trì"/><s v="05 2020 Đại Học Kinh Tế Quốc Dân"/><s v="01 2023 Đại Học Công Nghiệp Hà Nội"/><s v="Trường Đại Học Giao Thông Vận Tải"/><s v="Bưu chính viễn thông"/><s v="Đại Học Hùng Vương"/><s v="Đại Học Trường Đại Học Tài Nguyên Và Môi Trường Hà Nội"/><s v="Cao đẳng Thương mại và Du lịch"/><s v="viện đại học mở hà nội"/><s v="đại học Nội vụ Hà Nội"/><s v="Đại Học Tài Chính Ngân Hàng Hà Nội Chuyên Ngành Tài Chính Ngân Hàng"/><s v="đại học kinh tế kỹ thuật bình dương"/><s v="Trường Đh Kinh Tế Quốc Dân"/><s v="Trường Học viện Ngân Hàng"/><s v="Trường Đại Học Kinh Tế Kỹ Thuật Công Nghiệp"/><s v="Trường Quốc tế - Đại học Quốc"/><s v="Cử Nhân- Đại Học Thương Mại"/><s v="ĐH Mở Hà Nội"/><s v="Đại học công nghệ Đông Á"/><s v="Cao đẳng sư phạm Trung Ương"/><s v="ĐH Tài Chính Ngân Hàng Hà Nội"/><s v="Học Viện Chính Sách Và Phát Triển Khoa Kế Toán Kiểm Toán"/><s v="Đại học Lao động – Xã hội"/><s v="Trường Đại Học Kinh Tế Đại Học Quốc Gia Hà Nội"/><s v="Đại Học Kinh Tế Đại Học Quốc Gia"/><s v="Trường đại học Ngoại Thương Hà Nội &amp; Bedfordshire UK"/><s v="Cao Đẳng Kinh Tế Công Nghiệp Hà Nội"/><s v="ĐH Công nghệ Đông Á"/><s v="ĐH Sư phạm Kỹ Thuật Hưng Yên"/><s v="Học Viện Nông Nghiệp Việt Nam ,"/><s v="Học viện Phụ nữ Việt Nam"/><s v="Trường Đại học Kinh tế và Quản trị Kinh doanh Thái Nguyên"/><s v="Đại học Quốc tế Hồng Bàng"/><s v="ĐH công nghệ giao thông vận tải Hà Nội"/><s v="Đại Học Tài Nguyên Và Môi Hà Nội"/><s v="ĐH Kinh Tế - ĐHQGHN"/><s v="THƯỜNG ĐẠI HỌC CÔNG NGHIỆP HÀ NỘI"/><s v="Trường Đại Học Thương Mại Hà Nội"/><s v="Trường Đại Học Kinh Tế Quốc Dân Quản Trị Kinh Doanh Quốc Tế"/><s v="Tốt Nghiệp Đại Học Thương Mại"/><s v="CĐ FPT POLYTECHNIC"/><s v="Đại học Công nghiệp"/><s v="Trường Đại Học Fpt"/><s v="ĐH Công nghệ - ĐH Quốc gia HN"/><s v="Đại Học Kinh Tế - ĐHQG Hà Nội"/><s v="Trường CNTI-TT Đại học Bách Khoa Hà Nội"/><s v="Đại học Công nghệ- ĐHQGHN"/><s v="Trường Đại Học Tài Chính - Kế Toán"/><s v="Đại Học Kinh Tế - ĐH Huế"/><s v="ĐH Công Nghiệp TP.HCM"/><s v="ĐH Kinh tế – ĐH Quốc gia Hà Nội"/><s v="University of Westminster"/><s v="Đại Học Lazarski"/><s v="ĐH Công Thương TP. HCM"/><s v="Đại học Ngoại Thương"/><s v="Đại học Thành Đô"/><s v="ĐH Tài chính - Kế toán"/><s v="Đại học Lao Động Xã Hội CS2"/><s v="Đại Học RMIT"/><s v="Đại Học Tài Nguyên Và Môi Trường TPHCM"/><s v="CĐ giao thông vận tải"/><s v="Đh Mở TP HCM"/><s v="Trường Đại học Mỏ - Địa chất"/><s v="Đại học Kinh tế TP HCM"/><s v="Học Viện Tài Chính ..."/><s v="CĐ Tài Nguyên Và Môi Trường Hà Nội"/><s v="Đại Học Tây Đô"/><s v="Đại Học Duy Tân Đà Nẵng"/><s v="ĐH Ngoại Thương TP.HCM"/><s v="ĐH Sư phạm Hà Nội"/><s v="CĐ Công Thương TP.HCM"/><s v="Cao đẳng xây dựng 2"/><s v="Đại học Tổng hợp Rostov_Liên bang Nga"/><s v="Lập trình viên quốc tế HaUI - Aptech"/><s v="ĐH Bách Khoa TP.HCM"/><s v="Tư Thục Công Nghệ Hà Nội"/><s v="Trường Mỹ thuật đa phương tiện Hanoi Arena"/><s v="ĐH Kinh Tế Kỹ Thuật Công Nghiệp HN"/><s v="Đại học FPT Aptech"/><s v="ĐH Thăng Long"/><s v="ĐH Công Đoàn"/><s v="Viện ĐH Mở Hà Nội"/><s v="Đại học Mỹ thuật Công nghiệp"/><s v="CĐ Sư phạm Nghệ An"/><s v="Học viện Công Nghệ Thông Tin Quốc Tế NIIT- Thăng Long"/><s v="Viện công nghệ thông tin T3H"/><s v="ĐH Tài nguyên và Môi trường Hà Nội"/><s v="Cao đẳng Điện tử - Điện lạnh Hà Nội"/><s v="Cao đẳng Sư phạm kỹ thuật I"/><s v="CĐ Aptech"/><s v="Trường THPT Tây Hồ"/><s v="CĐ Tài chính - Quản trị Kinh doanh"/><s v="Học viện quốc tế FPT - Aptech"/><s v="ĐH giao thông vận tải Hà Nội"/><s v="Đại học Kỹ thuật và Công nghệ (UET), VN Đại học Quốc gia Hà Nội"/><s v="Hà Nội Aptech"/><s v="IMIC Technology"/><s v="Đại học công nghệ - ĐH Quốc gia Hà Nội"/><s v="Đại học Kinh tế - ĐHQGHN"/><s v="Học việc công nghệ Bưu chính Viễn thông"/><s v="Đại học Công Nghiệp Thực Phẩm TP.HCM"/><s v="HV Công nghệ Bưu chính viễn thông"/><s v="Cao đẳng thực hành FPT Polytechnich"/><s v="ĐH Thương mại Hà nội"/><s v="Đại học kinh tế- Kỹ thuật công nghiệp"/><s v="Đại học Thương Mại (sắp tốt nghiệp)"/><s v="Đại học Thương mại Hà Nội"/><s v="Vnu Hanoi University Engineering And Technology"/><s v="Học viện kĩ thuật quân sự"/><s v="Đại Học Bách Khoa Hà Nội Sinh Viên Năm"/><s v="ĐH Mỏ Địa Chất"/><s v="Đại học sư phạm nghệ thuật TW"/><s v="Đại học Thái Nguyên"/><s v="ĐH Lâm Nghiệp Việt Nam"/><s v="Học viên Bưu chính viễn thông"/><s v="University Of Huddersfield"/><s v="Trường Đại Học Sư Phạm Kỹ Thuật Hưng Yên"/><s v="FPT Arena"/><s v="Học viên Công nghệ Bưu chính Viễn Thông (PTIT)"/><s v="Trường Đại Học Mở Hà Nội"/><s v="Đại Học Mỏ - Địa Chất Hà Nội"/><s v="Học viện kỹ thuật quân sự"/><s v="Học Viện Ngân Hàng Hà Nội"/><s v="Đại học Xây Dựng"/><s v="Đại Học Công Nghiệp Hà Nội Ngành Kiểm Toán"/><s v="Đại học Bách Khoa"/><s v="Học viện Công nghệ Bưu chính và viễn thông"/><s v="Trường Học Viện Nông Nghiệp Việt Nam"/><s v="University of Tampa, University of South Florida"/><s v="Cao đẳng kinh tế kỹ thuật Trung ương"/><s v="ĐH Giao thông vận tải HN"/><s v="Đại Học Kinh Tế Và Quản Trị Kinh Doanh Đh Thái Nguyên"/><s v="James Cook University - Singapore"/><s v="trường an ninh mạng ISPACE"/><s v="Đại học Mỏ Địa Chất - Hà Nội"/><s v="Cao đẳng Bách nghệ Tây Hà"/><s v="Genetic - Bách khoa Hà Nội"/><s v="Đại học Ngoại Ngữ - Đại học Quốc gia Hà Nội"/><s v="University of Hartford"/><s v="trường đại học bách khoa hà nội"/><s v="Cao đẳng FPT"/><s v="Trường cao đẳng nghề Bách Khoa Hà Nội"/><s v="Trường Đại học Lâm Nghiệp Việt Nam"/><s v="ĐH Công nghiệp"/><s v="Cao đẳng Công Nghệ - Dệt May Thời Trang Hà Nội"/><s v="Cao đẳng nghề công nghệ cao Hà Nội"/><s v="Trường Đại Học Mỏ Địa Chất Hà Nội"/><s v="Trường Kinh Tế Quốc Dân Hà Nội"/><s v="Đại Học Công Nghiệp Vinh"/><s v="Đại học ngoại thương Hà Nội"/><s v="Đại học công nghệ thông tin và truyền thông"/><s v="Đại học Hồng Đức"/><s v="The University of Sunderland"/><s v="Đại học Công Nghệ Thông Tin – Đại học Quốc Gia TP.HCM"/><s v="Đại học Dân lập Hải Phòng"/><s v="Macquarie University, Sydney, Australia"/><s v="Đại học Toulon - Var"/><s v="Đại học Khoa học Tự nhiên - ĐH Quốc gia Hà Nội"/><s v="Đại học Kỹ thuật Hàng không"/><s v="Trường Đào tạo LTV quốc tế Hanoi - Aptech"/><s v="Học viện Quản Lý Giáo Dục"/><s v="Khoa Luật – Đại học Quốc gia Hà Nội"/><s v="Đại học Dân Lập Phương Đông - Hà Nội"/><s v="HV Ngân Hàng"/><s v="Đại học Khoa học Xã hội và Nhân văn – Đại học Quốc gia Hà Nội"/><s v="Đại học Vinh"/><s v="Đại học BWE"/><s v="ĐH FPT"/><s v="Đại Học Bách Khoa - ĐHQG TPHCM"/><s v="Đại Học Macquarie"/><s v="Đại học Kinh tế - Kỹ Thuật - Công Nghiệp"/><s v="Đại học Lao Động Xã Hội - Cơ sở 1 - Hà Nội"/><s v="Đại học ngoại ngữ Huế"/><s v="Đại học Kinh tế Đà Nẵng"/><s v="Trường Đại học Duy Tân"/><s v="Đại học Nam Cần Thơ"/><s v="Trường Đại Học Thương Mại Chuyên Ngành Quản Trị Nhân Lực"/><s v="CĐ Giao thông vận tải TP. HCM"/><s v="1, Đại Học Giao Thông Vận Tải"/><s v="ĐH Ngân hàng TP HCM"/><s v="CĐ Sư Phạm Đồng Nai"/><s v="Đại học kỹ thuật - Công nghệ Cần Thơ"/><s v="ĐH Kinh tế luật _ĐHQG TP.HCM"/><s v="ĐH Kinh tế Đà Nẵng"/><s v="Đại Học Picardie Jules Verne Pháp"/><s v="Cao Đẳng Công Thương Tp Hcm"/><s v="ĐH Huế"/><s v="Đại học Ngoại Ngữ Đà Nẵng"/><s v="đại học nguyễn tất thành"/><s v="ĐH Kinh Tế - ĐH Đà Nẵng"/><s v="ĐH Quốc tế Hồng Bàng"/><s v="ĐH FPT TP.HCM"/><s v="ĐH Khoa Học - ĐH Huế"/><s v="ĐH Dân lập Hải Phòng"/><s v="ĐH Luật TP. HCM"/><s v="ĐH Kinh Tế (Thuộc Đại học Đà Nẵng)"/><s v="DH Thăng Long"/><s v="Trường Cao Đẳng Sư Phạm ĐắkLắk"/><s v="ĐH Hùng Vương (TP.HCM)"/><s v="Đại học FPT - Greewich"/><s v="Đại Học Tài Nguyên &amp; Môi Trường"/><s v="Học Viện tài chính"/><s v="Tại Học Viện Tài Chính"/><s v="Đại học Công Nghệ TP Hồ Chí Minh"/><s v="Trường Đại Học Lao Động Và Xã Hội"/><s v="Tốt Nghiệp Học Viện Chính Sách Và Phát Triển"/><s v="Trường Đại Học Công Nghiệp Tphcm"/><s v="Trường Đại Học Lâm Nghiệp"/><s v="Sư Phạm Kỹ Thuật Hưng Yên"/><s v="Đại Học Phương Đông Cử Nhân Tiếng Anh"/><s v="Đại Học Điện Lực Hà Nội"/><s v="Trường Đại học Công nghiệp Thành phố Hồ Chí Minh"/><s v="Đại Học Sài Gòn"/><s v="Cử Nhân- Đại Học Nguyễn Tất Thành"/><s v="Trường Đại Học Thăng Long"/><s v="Trường Đại Học Công Nghiệp Thực Phẩm Hồ Chí Minh"/><s v="Đại học sư phạm Kỹ thuật TP HCM"/><s v="Trường Đại Học Công Nghiệp Thực Phẩm Tphcm"/><s v="Trường đại học Ngoại ngữ - Tin học TP.HCM"/><s v="Cao Đăng Kinh Tế Hồ Chí Minh"/><s v="Đại Học Tài Nguyên Môi Trường Hà Nội"/><s v="Đại Học Mở Thành Phố Hồ Chí Minh"/><s v="cao đẳng kinh tế đối ngoại tp hồ chí minh"/><s v="Trường Đại Học Công Nghiệp Tphcm Kế Toán"/><s v="Đại Học Công Đoàn Chuyên Ngành Kế Toán"/><s v="Đại Học Hòa Bình"/><s v="Đại học Công nghiệp TP.HCM"/><s v="đại học nguyễn trãi"/><s v="DH Công Nghiệp TP.HCM"/><s v="Đại học Thương Mai"/><s v="Học viện Phụ nữ"/><s v="CĐ Kinh Tế - Kỹ Thuật Cần Thơ"/><s v="CĐ Công nghệ và Quản trị Sonadezi"/><s v="ĐH Lao Động Xã Hội – Cơ sở 2 – TP.HCM"/><s v="Đại học Kinh Tế TP.HCM"/><s v="Cao Đẳng Nghề Bách Khoa HN"/><s v="Đại học Tài chính Kế toán"/><s v="ĐH Bà Rịa Vũng Tàu"/><s v="Cao đẳng Quản trị Kinh doanh"/><s v="Truường Đại Học Đồng Nai"/><s v="Trường Đại học Kinh tế TP. HCM"/><s v="Trường Cao đẳng Kinh tế Đối ngoại"/><s v="Khoa Kinh Tế Luật- ĐH quốc gia TP. HCM"/><s v="Học Viện Tài Chính"/><s v="CĐ nghề du lịch Sài Gòn"/><s v="ĐH Công Nghệ Giao Thông Vận Tải"/><s v="CĐ CNTT Hữu Nghị Viêt Hàn"/><s v="DH Dân Lập Duy Tân"/><s v="Đại học Khoa học Xã hội và Nhân văn- Đại học Quốc gia Hà Nội"/><s v="ĐH Ngoại Thương – Cơ sở 2 – TP.HCM"/><s v="Cao Đẳng Công Nghệ Thủ Đức"/><s v="Đại học Northumbria Newcastle"/><s v="Đại học Công Nghệ Thông tin - Đại học quốc gia TP. HCM"/><s v="ĐH Kinh doanh và Công nghệ"/><s v="CĐ Thực hành FPT Polytechnic Hà Nội"/><s v="ĐH Mở"/><s v="ĐH Kỹ Thuật Công Nghệ TP.HCM"/><s v="ĐH Tây Nguyên"/><s v="Trường Đại học Kinh tế Đại học Đà Nẵng"/><s v="Trường Đại học Công Nghiệp Thực Phẩm TP. HCM"/><s v="Cao đẳng Lương Thực Thực Phẩm"/><s v="Cao Đẳng Thương Mại"/><s v="CĐ nghề công nghiệp Thanh Hoá"/><s v="Cao đẳng kinh tế kế hoạch Đà Nẵng"/><s v="ĐH Kinh tế Nghệ An"/><s v="Cao đẳng cơ khí luyện kim Thái Nguyên"/><s v="ĐH Cửu Long"/><s v="ĐH An Giang"/><s v="ĐH Sư Phạm Kỹ Thuật TP.HCM"/><s v="ĐH Phan Thiết"/><s v="ĐH Giao Thông Vận Tải - Cơ Sở 2"/><s v="CĐ Nghề Đà Nẵng"/><s v="ĐH Kinh tế luật TP.HCM"/><s v="ĐH Lạc Hồng"/><s v="CĐ An Giang"/><s v="CĐ Sư phạm Thừa Thiên - Huế"/><s v="ĐH Giao Thông Vận Tải TP.HCM"/><s v="ĐH Văn hoá TP .HCM"/><s v="Đại Học Gia Định"/><s v="Đại Học Kinh Tế TP. Hồ Chí Minh"/><s v="ĐH Công Nghiệp TP Hồ Chí Minh"/><s v="Trường Đại Học Kinh Tế Đại Học Huế"/><s v="Trường Đại Học Tây Nguyên"/><s v="Học viện Hành Chính Quốc gia"/><s v="ĐH Mở TP.HCM"/><s v="CĐ Văn hoá Nghệ thuật và Du lịch Sài Gòn"/><s v="Trường THPT BC Lê Quý Đôn"/><s v="Đại Học Công Nghiệp Thực Phẩm TP. Hồ Chí Minh"/><s v="Cao Đẳng Viễn Đông"/><s v="Đại học DL Phú Xuân - Huế"/><s v="Cao Đẳng TCKT Quảng Ngãi"/><s v="Trường THPT Lê Hoàn"/><s v="Trường Đại học Công Nghệ TP HCM ( HUTECH )"/><s v="ĐH Trà Vinh"/><s v="Trường Đại Học Ngoại Thương Chuyên Ngành Kinh Tế Đối Ngoại"/><s v="Đại học Khoa học xã hội và Nhân văn Tp. HCM"/><s v="Học Viện Ngân Hàng | Tốt Nghiệp Chuyên Ngành :"/><s v="Trung cấp Thương mại và Du lịch"/><s v="ĐH Mỏ - Địa Chất"/><s v="Đại học Kinh tế và Quản trị kinh doanh – Đại học Thái Nguyên"/><s v="Cao đẳng Ngô Gia Tự - Bắc Giang"/><s v="Trung tâm dạy nghề lái xe"/><s v="Cao đẳng Công nghiệp Hà Nội"/><s v="Trung cấp Nghệ Thái Thịnh"/><s v="Đại học Tài chính Kế toán Hà Nội"/><s v="Cao đẳng nghề công nghiệp Thanh Hóa"/><s v="ĐH Dân lập YERSIN Đà Lạt"/><s v="Học Viện Ngân Hàng Quản Trị Marketing"/><s v="ĐH Sư phạm (Đại học Thái Nguyên)"/><s v="ĐH Công Nghệ - ĐH Quốc Gia HCM"/><s v="ĐH Vinh"/><s v="Đại học Truyền thông Trung Quốc"/><s v="University of Paris Sorbonne"/><s v="Đại học Tổng hợp hữu nghị các dân tộc Nga"/><s v="Cass Business School"/><s v="Đại học Nha Trang"/><s v="CĐ Lương thực Thực Phẩm"/><s v="Trường Kinh tế Kỹ thuật Hải Dương"/><s v="Đại học Kinh tế thành phố Hồ Chí Minh"/><s v="CĐ Công Nghệ Thông Tin TP. HCM"/><s v="CĐ Công nghiệp Thực phẩm TP. HCM"/><s v="ĐH Lao Động - Xã Hội (CS I)"/><s v="Trường THPT Thọ Xuân"/><s v="CĐ Kinh tế - Kế hoạch Đà Nẵng"/><s v="Đại học Bách khoa - ĐH Đà Nẵng"/><s v="CĐ Thực hành FPT"/><s v="Trường Đại Học DL QL&amp;KD Hà Nội"/><s v="Trung học Kỹ thuật may và thời trang I"/><s v="ĐH Mỹ Thuật Công Nghiệp - Hà Nội"/><s v="ĐH Dân Lập Văn Lang"/><s v="Trường Đại Học Luật Hà Nội | Ngành Luật Dân Sự Và"/><s v="ĐH Y Dược TP.HCM"/><s v="ĐH Kinh tế và Quản trị kinh doanh – ĐH Thái Nguyên"/><s v="ĐH Nội vụ Hà Nội"/><s v="ĐH Quốc Gia TP.HCM"/><s v="ĐH Kiến Trúc Hà Nội"/><s v="Đại học Kinh tế chính trị LSE (London - Anh Quốc)"/><s v="Trường đại học công nghệ Sài Gòn"/><s v="City University"/><s v="Đại học Monash, Úc"/><s v="ĐH RMIT TP.HCM"/><s v="Phổ thông trung học số 3 Quận Đống Đa"/><s v="Trường THPH Lê Hoàn"/><s v="Đại học UCAM"/><s v="Học Viện Tài Chính Ngân Hàng"/><s v="Trung cấp sư phạm kỹ thuật công nghiệp 1 Taskent"/><s v="CĐ Kinh tế - Kỹ thuật Thương Mại"/><s v="Trường ĐH Kinh tế Đà Nẵng"/><s v="CĐ Công nghệ thông tin Hữu nghị Việt Hàn"/><s v="Cao đẳng sư phạm Quảng Ninh"/><s v="Trường Đh Công Nghệ- Đại Học Quốc Gia Hà Nội"/><s v="Đại Học Công Nghệ Thông Tin Và Truyền Thông Đại Học Thái Nguyên Chuyên"/><s v="Trường Đại Học Tài Nguyên Và Môi Trường Hà Nội"/><s v="Học viện An ninh Nhân dân"/><s v="CĐ Nghề Bách khoa Hà Nội"/><s v="Cao đẳng kinh tế Hồ Chí Minh"/></sharedItems></cacheField><cacheField name="Địa điểm làm việc" numFmtId="0"><sharedItems containsBlank="1"><s v="Tòa nhà MISA, Lô 5, CVPM Quang Trung – Số 49, Tô Ký, Phường Tân Chánh Hiệp, Quận 12, TP. Hồ Chí Minh"/><s v="Tầng 9 tòa nhà Technosoft, ngõ 15 Duy Tân, Q.Cầu giấy, Hà Nội"/><s v="Số 41 Cách Mạng Tháng Tám, P. An Hòa, Q. Ninh Kiều, Tp. Cần Thơ"/><s v="Tầng 3 tòa nhà Technosoft, ngõ 15 Duy Tân, Q.Cầu giấy, Hà Nội"/><s v="Tòa nhà ngân hàng Công đoàn Việt Nam, số 6, ngõ 82, phố Dịch vọng Hậu, Q.Cầu Giấy, Hà Nội"/><s v="Tòa nhà N03T2, Khu Ngoại Giao Đoàn, Phường Xuân Tảo, Quận Bắc Từ Liêm, Hà Nội"/><s v="Tòa N03-T6, Khu Ngoại Giao đoàn, Phường Xuân Tảo, Quận Bắc Từ Liêm, Hà Nội (Tầng 3)"/><s v="Tòa N03-T1, Khu Ngoại Giao đoàn, Phường Xuân Tảo, Quận Bắc Từ Liêm, Hà Nội (Tầng lửng, 2, 4)"/><s v="Tầng 4, Tòa nhà ANNA, công viên phần mềm Quang Trung, Phường Tân Chánh Hiệp, Quận 12, Tp HCM"/><s v="Tầng 2, Tòa nhà Hanoi Group, 442 Phố Đội Cấn, Quận Ba Đình, Thành Phố Hà Nội"/><s v="Tòa nhà Technosoft, số 8, ngõ 15 Duy Tân, Dịch Vọng Hậu, Cầu Giấy, Hà Nội (Tầng 3, 8)"/><s v="Số 39 Trường Chinh, phường Tân Lợi, Tp. Buôn Ma Thuột, tỉnh Đắk Lắk"/><s v="Tầng 3, Tòa nhà Hanoi Group, 442 Phố Đội Cấn, Quận Ba Đình, Thành Phố Hà Nội"/><s v="Tầng 04, Tòa nhà Vạn Tường, 174 Lê Đình Lý, P. Hòa Thuận Tây, Q. Hải Châu, Tp. Đà Nẵng"/><m/></sharedItems></cacheField><cacheField name="Đơn vị công tác cấp 4" numFmtId="0"><sharedItems containsBlank="1"><m/><s v="Nhóm KD HCSN 06"/><s v="Nhóm MKT Bán lẻ"/><s v="Phòng bán thêm GP HĐĐT 01"/><s v="Phòng KD bán mới ESHOP 1"/><s v="Phòng bán thêm GP KTDN 02"/><s v="[meInvoice - Xăng dầu] Nhóm Phân tích &amp; Thiết kế"/><s v="Dự án MISA meInvoice - Xăng dầu"/><s v="Dự án AMIS Platform Core"/><s v="[AMIS Platform Core] Nhóm Phân tích &amp; Thiết kế"/><s v="Phòng bán thêm GP KTDN 01"/><s v="Phòng bán thêm GP HĐĐT 03"/><s v="Phòng bán thêm GP HĐĐT 02"/><s v="Dự án EMIS Mầm non"/><s v="[eShop TTVN] Nhóm Phân tích &amp; Thiết kế"/><s v="Dự án MISA SalaGov"/><s v="[EMIS Ngoài công lập] Nhóm Phân tích và Thiết kế"/><s v="Dự án AI"/><s v="Phòng KD chuyển đổi 02"/><s v="Phòng KD bán mới CUKCUK 1"/><s v="Phòng KD bán mới CUKCUK 3"/><s v="Nhóm Quản lý khách hàng 2"/><s v="Nhóm bán thêm AMIS Nhân sự 2"/><s v="Phòng KD bán mới ESHOP 2"/><s v="Nhóm bán thêm AMIS bán hàng 2"/><s v="Nhóm bán thêm AMIS bán hàng 1"/><s v="Nhóm Quản lý khách hàng 1"/><s v="Nhóm bán thêm AMIS nhân sự 1"/><s v="Nhóm bán thêm AMIS điều hành 1"/><s v="Nhóm Triển khai &amp; CSKH 04"/><s v="Nhóm Triển khai &amp; CSKH 03"/><s v="Nhóm Triển khai &amp; CSKH 02"/><s v="Nhóm Triển khai &amp; CSKH 01"/><s v="Nhóm KD HCSN 04"/><s v="Nhóm KD DA TW"/><s v="Nhóm KD HCSN 07"/><s v="Nhóm KD HCSN 05"/><s v="Nhóm KD HCSN 09"/><s v="Nhóm KD HCSN 08"/><s v="Nhóm KD HCSN 03"/><s v="Nhóm KD HCSN 02"/><s v="Phòng KD chuyển đổi 2"/><s v="Phòng bán thêm GP HĐĐT 3"/><s v="Phòng bán thêm GP HĐĐT 2"/><s v="Phòng bán thêm GP HĐĐT 1"/><s v="Phòng bán thêm GP KTDN 1"/><s v="Phòng bán thêm GP KTDN 2"/><s v="Phòng KD HDDT"/><s v="Nhóm Quản lý khách hàng"/><s v="Phòng KD bán mới CUKCUK 2"/><s v="Nhóm bán thêm AMIS nhân sự"/><s v="Nhóm bán thêm AMIS kế toán"/><s v="Nhóm bán thêm AMIS bán hàng"/><s v="Nhóm bán thêm AMIS điều hành"/><s v="Nhóm KD HCSN 01"/><s v="Phòng KD GPKT 02"/><s v="Phòng KD GPKT HKD"/><s v="Nhóm MDR"/><s v="Phòng KD GPKT 01"/><s v="Phòng KD Ký điện tử"/><s v="Dự án Quản lý cửa hàng thời trang (TTVN)"/><s v="Dự án AMIS weSign"/><s v="Dự án AMIS Operation"/><s v="Dự án iVAN"/><s v="Dự án Quản lý ngân sách nhà nước BUMAS Địa phương"/><s v="Dự án CukCuk W&amp;D (TT Philippines)"/><s v="[Cukcuk TTVN] Nhóm Phân tích &amp; Thiết kế"/><s v="Dự án Cukcuk W&amp;D (TTVN)"/><s v="Dự án AMIS CRM (KH)"/><s v="[EMIS Công lập] Nhóm Phân tích và Thiết kế"/><s v="[MISA QLCB] Nhóm Phân tích &amp; Thiết kế"/><s v="[AMIS HRM MISA] Nhóm Phân tích &amp; Thiết kế"/><s v="Dự án AMIS.VN Mobile"/><s v="Dự án EMIS Công lập"/><s v="Dự án MISA Lending Platform"/><s v="Dự án JETPAY"/><s v="[Lending] Nhóm phân tích thiết kế"/><s v="[AMIS Kế toán] Nhóm Phân tích &amp; Thiết kế"/><s v="[C&amp;B] Nhóm Phân tích &amp; Thiết kế"/><s v="Nhóm bán thêm AMIS nhân sự 3"/><s v="Dự án QLTS.VN"/><s v="Dự án EMIS Mobile"/><s v="Nhóm MKT Tài chính - kế toán"/><s v="Dự án chuyển đổi kế toán MISA"/><s v="[QLTS] Nhóm Phân tích &amp; Thiết kế"/><s v="[Automation Support] Nhóm Phân tích và Thiết kế"/><s v="Dự án AMIS Kế toán"/><s v="[SalaGov] Nhóm Phân tích &amp; Thiết kế"/><s v="Dự án Cukcuk W&amp;D (TTNN)"/><s v="Dự án AMIS Đánh giá"/><s v="Nhóm bán thêm AMIS kế toán 2"/><s v="Dự án MISA Automation Support"/><s v="Nhóm quản lý khách hàng 3"/><s v="Nhóm bán thêm AMIS điều hành 3"/><s v="Nhóm bán thêm AMIS bán hàng 3"/><s v="Nhóm bán thêm AMIS kế toán 1"/><s v="Nhóm bán thêm AMIS Điều hành 2"/><s v="Nhóm bán thêm AMIS kế toán 3"/><s v="[MISA ASP] Nhóm Phân tích &amp; Thiết kế"/><s v="Dự án MISA Bamboo Online"/><s v="Dự án MISA MIMOSA Online"/><s v="Dự án Customize KH DN lớn"/><s v="[BUMAS Địa phương] Nhóm Phân tích &amp; Thiết kế"/><s v="Dự án CukCuk Mobile TTVN"/><s v="Dự án EMIS Core Platform"/><s v="[Data Analytics] Nhóm Phân tích và Thiết kế"/><s v="Dự án AMIS CRM (MISA)"/><s v="Dự án CukCuk Mobile TT Mỹ"/><s v="Nhóm chuyển giao GPKT"/><s v="[Automation Sales] Nhóm Phân tích và Thiết kế"/><s v="Nhóm MKT HDDT, thuế TNCN"/><s v="Dự án MISA meInvoice"/><s v="Dự án MISA Automation Sales"/><s v="Dự án MISA CeGov"/><s v="Dự án MISA Customer Profile"/><s v="Dự án MISA SUMAN"/><s v="Dự án MISA invoiceBot"/><s v="Dự án Tổng hợp báo cáo tài chính HCSN (LEKIMA)"/><s v="[AMIS CRM KH] Nhóm Phân tích &amp; Thiết kế"/><s v="Dự án MISA ASP"/><s v="Dự án AMIS C&amp;B"/><s v="Dự án Mimosa.NET"/><s v="Dự án Cukcuk W&amp;D (TT Mỹ)"/><s v="Dự án AMIS TMS"/><s v="[MISA meInvoice] Nhóm Phân tích &amp; Thiết kế"/><s v="Dự án MISA meInvoice Desktop"/><s v="Dự án MISA Order"/><s v="[AMIS Operation] Nhóm Phân tích &amp; Thiết kế"/><s v="[AMIS QLTS] Nhóm Phân tích &amp; Thiết kế"/><s v="Dự án Websites"/><s v="[Cukcuk TTNN] Nhóm Phân tích &amp; Thiết kế"/><s v="[iVAN] Nhóm Phân tích &amp; Thiết kế"/><s v="Dự án MISA QLCB"/><s v="Dự án MISA eSign"/><s v="[AMIS Mua hàng] Nhóm Phân tích &amp; Thiết kế"/><s v="[AMIS TMS] Nhóm Phân tích &amp; Thiết kế"/><s v="[Bamboo Online] Nhóm Phân tích &amp; Thiết kế"/><s v="Dự án MISA TaskGo"/><s v="[MISA eSign] Nhóm Phân tích và Thiết kế"/><s v="Dự án MISA eSign Mobile"/><s v="Dự án AMIS HRM MISA"/><s v="[AMIS weSign] Nhóm Phân tích và Thiết kế"/><s v="Dự án MISA MoneyKeeper"/><s v="Dự án MISA TaskGo 2"/><s v="[MIMOSA Online] Nhóm Phân tích và Thiết kế"/><s v="Dự án AMIS Kế toán (HKD)"/><s v="[AMIS Kế toán HKD] Nhóm Phân tích &amp; Thiết kế"/><s v="[AMIS CRM MISA] Nhóm Phân tích &amp; Thiết kế"/><s v="Dự án AMIS Quản lý Tài sản"/><s v="[MISA Panda Online] Nhóm Phân tích &amp; Thiết kế"/><s v="Nhóm MKT Bán hàng"/><s v="Nhóm chuyển giao HDDT"/><s v="Nhóm MKT Điều hành"/><s v="Nhóm MKT Automation"/><s v="Nhóm MKT Quản trị nhân sự"/><s v="Nhóm MKT Giải pháp Ký điện tử"/><s v="[AI] Nhóm Phân tích và Thiết kế"/><s v="[MIMOSA] Nhóm Phân tích &amp; Thiết kế"/><s v="Dự án Quản lý cửa hàng Mobile (TTVN)"/><s v="[AMIS Đánh giá] Nhóm Phân tích &amp; Thiết kế"/></sharedItems></cacheField><cacheField name="Đơn vị công tác cấp 5" numFmtId="0"><sharedItems containsString="0" containsBlank="1"><m/></sharedItems></cacheField></cacheFields></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Cơ cấu mã" cacheId="0" dataCaption="" compact="0" compactData="0">
  <location ref="B39:N201" firstHeaderRow="0" firstDataRow="12" firstDataCol="0"/>
  <pivotFields>
    <pivotField name="Mã Khối" axis="axisRow" compact="0" outline="0" multipleItemSelectionAllowed="1" showAll="0" sortType="ascending" defaultSubtotal="0">
      <items>
        <item h="1" x="3"/>
        <item h="1" x="1"/>
        <item h="1" x="19"/>
        <item h="1" x="10"/>
        <item h="1" x="8"/>
        <item h="1" x="9"/>
        <item h="1" x="7"/>
        <item h="1" x="12"/>
        <item h="1" x="17"/>
        <item h="1" x="15"/>
        <item h="1" x="6"/>
        <item h="1" x="4"/>
        <item h="1" x="14"/>
        <item h="1" x="13"/>
        <item h="1" x="11"/>
        <item x="0"/>
        <item x="2"/>
        <item x="5"/>
        <item x="16"/>
        <item x="18"/>
      </items>
    </pivotField>
    <pivotField name="Tên Khối" axis="axisRow" compact="0" outline="0" multipleItemSelectionAllowed="1" showAll="0" sortType="ascending" defaultSubtotal="0">
      <items>
        <item x="1"/>
        <item x="5"/>
        <item x="0"/>
        <item x="4"/>
        <item x="3"/>
        <item x="2"/>
      </items>
    </pivotField>
    <pivotField name="Mã Thị trường" axis="axisRow" compact="0" outline="0" multipleItemSelectionAllowed="1" showAll="0" sortType="ascending" defaultSubtotal="0">
      <items>
        <item x="0"/>
        <item x="1"/>
        <item x="2"/>
        <item x="3"/>
        <item x="4"/>
        <item x="5"/>
        <item x="6"/>
      </items>
    </pivotField>
    <pivotField name="Tên thị trường" axis="axisRow" compact="0" outline="0" multipleItemSelectionAllowed="1" showAll="0" sortType="ascending" defaultSubtotal="0">
      <items>
        <item x="0"/>
        <item x="1"/>
        <item x="3"/>
        <item x="2"/>
        <item x="6"/>
        <item x="5"/>
        <item x="4"/>
      </items>
    </pivotField>
    <pivotField name="Mã Khối KD" axis="axisRow" compact="0" outline="0" multipleItemSelectionAllowed="1" showAll="0" sortType="ascending" defaultSubtotal="0">
      <items>
        <item x="0"/>
        <item x="1"/>
        <item x="2"/>
        <item x="3"/>
        <item x="4"/>
        <item x="5"/>
        <item x="6"/>
        <item x="7"/>
      </items>
    </pivotField>
    <pivotField name="Tên Khối KD" axis="axisRow" compact="0" outline="0" multipleItemSelectionAllowed="1" showAll="0" sortType="ascending" defaultSubtotal="0">
      <items>
        <item x="0"/>
        <item x="1"/>
        <item x="7"/>
        <item x="2"/>
        <item x="6"/>
        <item x="5"/>
        <item x="3"/>
        <item x="4"/>
      </items>
    </pivotField>
    <pivotField name="Mã cấp 1" axis="axisRow" compact="0" outline="0" multipleItemSelectionAllowed="1" showAll="0" sortType="ascending" defaultSubtotal="0">
      <items>
        <item x="0"/>
        <item x="17"/>
        <item x="18"/>
        <item x="19"/>
        <item x="16"/>
        <item x="1"/>
        <item x="2"/>
        <item x="3"/>
        <item x="4"/>
        <item x="5"/>
        <item x="6"/>
        <item x="7"/>
        <item x="8"/>
        <item x="9"/>
        <item x="10"/>
        <item x="11"/>
        <item x="12"/>
        <item x="13"/>
        <item x="14"/>
        <item x="15"/>
      </items>
    </pivotField>
    <pivotField name="Tên cấp 1" axis="axisRow" compact="0" outline="0" multipleItemSelectionAllowed="1" showAll="0" sortType="ascending" defaultSubtotal="0">
      <items>
        <item x="0"/>
        <item x="8"/>
        <item x="7"/>
        <item x="73"/>
        <item x="66"/>
        <item x="67"/>
        <item x="77"/>
        <item x="38"/>
        <item x="25"/>
        <item x="34"/>
        <item x="48"/>
        <item x="19"/>
        <item x="56"/>
        <item x="42"/>
        <item x="54"/>
        <item x="50"/>
        <item x="75"/>
        <item x="6"/>
        <item x="70"/>
        <item x="71"/>
        <item x="5"/>
        <item x="74"/>
        <item x="72"/>
        <item x="69"/>
        <item x="65"/>
        <item x="13"/>
        <item x="14"/>
        <item x="15"/>
        <item x="12"/>
        <item x="10"/>
        <item x="11"/>
        <item x="16"/>
        <item x="64"/>
        <item x="47"/>
        <item x="53"/>
        <item x="24"/>
        <item x="37"/>
        <item x="44"/>
        <item x="46"/>
        <item x="63"/>
        <item x="2"/>
        <item x="80"/>
        <item x="57"/>
        <item x="62"/>
        <item x="60"/>
        <item x="59"/>
        <item x="58"/>
        <item x="61"/>
        <item x="4"/>
        <item x="29"/>
        <item x="30"/>
        <item x="22"/>
        <item x="21"/>
        <item x="39"/>
        <item x="36"/>
        <item x="18"/>
        <item x="23"/>
        <item x="32"/>
        <item x="55"/>
        <item x="79"/>
        <item x="49"/>
        <item x="45"/>
        <item x="43"/>
        <item x="51"/>
        <item x="78"/>
        <item x="68"/>
        <item x="3"/>
        <item x="41"/>
        <item x="52"/>
        <item x="40"/>
        <item x="31"/>
        <item x="20"/>
        <item x="35"/>
        <item x="26"/>
        <item x="17"/>
        <item x="27"/>
        <item x="28"/>
        <item x="33"/>
        <item x="1"/>
        <item x="9"/>
        <item x="76"/>
      </items>
    </pivotField>
    <pivotField name="Mã cấp 2" axis="axisRow" compact="0" outline="0" multipleItemSelectionAllowed="1" showAll="0" sortType="ascending" defaultSubtotal="0">
      <items>
        <item x="0"/>
        <item x="5"/>
        <item x="1"/>
        <item x="2"/>
        <item x="3"/>
        <item x="4"/>
        <item x="6"/>
        <item x="7"/>
      </items>
    </pivotField>
    <pivotField name="Tên cấp 2" axis="axisRow" compact="0" outline="0" multipleItemSelectionAllowed="1" showAll="0" sortType="ascending" defaultSubtotal="0">
      <items>
        <item x="0"/>
        <item x="5"/>
        <item x="45"/>
        <item x="72"/>
        <item x="50"/>
        <item x="6"/>
        <item x="18"/>
        <item x="13"/>
        <item x="10"/>
        <item x="12"/>
        <item x="37"/>
        <item x="66"/>
        <item x="42"/>
        <item x="17"/>
        <item x="14"/>
        <item x="29"/>
        <item x="21"/>
        <item x="27"/>
        <item x="1"/>
        <item x="8"/>
        <item x="74"/>
        <item x="71"/>
        <item x="70"/>
        <item x="54"/>
        <item x="64"/>
        <item x="65"/>
        <item x="59"/>
        <item x="63"/>
        <item x="60"/>
        <item x="62"/>
        <item x="61"/>
        <item x="49"/>
        <item x="40"/>
        <item x="39"/>
        <item x="38"/>
        <item x="41"/>
        <item x="53"/>
        <item x="19"/>
        <item x="48"/>
        <item x="58"/>
        <item x="55"/>
        <item x="25"/>
        <item x="26"/>
        <item x="56"/>
        <item x="57"/>
        <item x="20"/>
        <item x="47"/>
        <item x="46"/>
        <item x="31"/>
        <item x="30"/>
        <item x="33"/>
        <item x="24"/>
        <item x="44"/>
        <item x="43"/>
        <item x="2"/>
        <item x="73"/>
        <item x="51"/>
        <item x="35"/>
        <item x="36"/>
        <item x="28"/>
        <item x="52"/>
        <item x="32"/>
        <item x="15"/>
        <item x="34"/>
        <item x="69"/>
        <item x="68"/>
        <item x="9"/>
        <item x="67"/>
        <item x="3"/>
        <item x="4"/>
        <item x="16"/>
        <item x="22"/>
        <item x="23"/>
        <item x="11"/>
        <item x="7"/>
      </items>
    </pivotField>
    <pivotField name="Mã cấp 3" axis="axisRow" compact="0" outline="0" multipleItemSelectionAllowed="1" showAll="0" sortType="ascending" defaultSubtotal="0">
      <items>
        <item x="0"/>
        <item x="1"/>
        <item x="2"/>
        <item x="3"/>
        <item x="4"/>
        <item x="5"/>
        <item x="6"/>
      </items>
    </pivotField>
    <pivotField name="Tên cấp 3" axis="axisRow" compact="0" outline="0" multipleItemSelectionAllowed="1" showAll="0" sortType="ascending">
      <items>
        <item x="0"/>
        <item x="1"/>
        <item x="3"/>
        <item x="2"/>
        <item x="14"/>
        <item x="15"/>
        <item x="18"/>
        <item x="16"/>
        <item x="19"/>
        <item x="17"/>
        <item x="28"/>
        <item x="27"/>
        <item x="25"/>
        <item x="26"/>
        <item x="24"/>
        <item x="5"/>
        <item x="4"/>
        <item x="12"/>
        <item x="13"/>
        <item x="10"/>
        <item x="11"/>
        <item x="20"/>
        <item x="21"/>
        <item x="22"/>
        <item x="23"/>
        <item x="6"/>
        <item x="7"/>
        <item x="8"/>
        <item x="9"/>
        <item t="default"/>
      </items>
    </pivotField>
    <pivotField name="Mã địa điểm" compact="0" outline="0" multipleItemSelectionAllowed="1" showAll="0">
      <items>
        <item x="0"/>
        <item x="1"/>
        <item x="2"/>
        <item x="3"/>
        <item x="4"/>
        <item x="5"/>
        <item x="6"/>
        <item x="7"/>
        <item x="8"/>
        <item x="9"/>
        <item t="default"/>
      </items>
    </pivotField>
    <pivotField name="Tên địa điểm" compact="0" outline="0" multipleItemSelectionAllowed="1" showAll="0">
      <items>
        <item x="0"/>
        <item x="1"/>
        <item x="2"/>
        <item x="3"/>
        <item x="4"/>
        <item x="5"/>
        <item x="6"/>
        <item x="7"/>
        <item x="8"/>
        <item x="9"/>
        <item t="default"/>
      </items>
    </pivotField>
    <pivotField name="Mã"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t="default"/>
      </items>
    </pivotField>
  </pivotFields>
  <rowFields>
    <field x="0"/>
    <field x="1"/>
    <field x="2"/>
    <field x="3"/>
    <field x="4"/>
    <field x="5"/>
    <field x="6"/>
    <field x="7"/>
    <field x="8"/>
    <field x="9"/>
    <field x="10"/>
    <field x="11"/>
  </rowFields>
</pivotTableDefinition>
</file>

<file path=xl/pivotTables/pivotTable2.xml><?xml version="1.0" encoding="utf-8"?>
<pivotTableDefinition xmlns="http://schemas.openxmlformats.org/spreadsheetml/2006/main" name="Cơ cấu mã 2" cacheId="0" dataCaption="" compact="0" compactData="0">
  <location ref="O39:Q40" firstHeaderRow="0" firstDataRow="2" firstDataCol="0" rowPageCount="1" colPageCount="1"/>
  <pivotFields>
    <pivotField name="Mã Khối"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t="default"/>
      </items>
    </pivotField>
    <pivotField name="Tên Khối" compact="0" outline="0" multipleItemSelectionAllowed="1" showAll="0">
      <items>
        <item x="0"/>
        <item x="1"/>
        <item x="2"/>
        <item x="3"/>
        <item x="4"/>
        <item x="5"/>
        <item t="default"/>
      </items>
    </pivotField>
    <pivotField name="Mã Thị trường" compact="0" outline="0" multipleItemSelectionAllowed="1" showAll="0">
      <items>
        <item x="0"/>
        <item x="1"/>
        <item x="2"/>
        <item x="3"/>
        <item x="4"/>
        <item x="5"/>
        <item x="6"/>
        <item t="default"/>
      </items>
    </pivotField>
    <pivotField name="Tên thị trường" compact="0" outline="0" multipleItemSelectionAllowed="1" showAll="0">
      <items>
        <item x="0"/>
        <item x="1"/>
        <item x="2"/>
        <item x="3"/>
        <item x="4"/>
        <item x="5"/>
        <item x="6"/>
        <item t="default"/>
      </items>
    </pivotField>
    <pivotField name="Mã Khối KD" compact="0" outline="0" multipleItemSelectionAllowed="1" showAll="0">
      <items>
        <item x="0"/>
        <item x="1"/>
        <item x="2"/>
        <item x="3"/>
        <item x="4"/>
        <item x="5"/>
        <item x="6"/>
        <item x="7"/>
        <item t="default"/>
      </items>
    </pivotField>
    <pivotField name="Tên Khối KD" compact="0" outline="0" multipleItemSelectionAllowed="1" showAll="0">
      <items>
        <item x="0"/>
        <item x="1"/>
        <item x="2"/>
        <item x="3"/>
        <item x="4"/>
        <item x="5"/>
        <item x="6"/>
        <item x="7"/>
        <item t="default"/>
      </items>
    </pivotField>
    <pivotField name="Mã cấp 1"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Tên cấp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t="default"/>
      </items>
    </pivotField>
    <pivotField name="Mã cấp 2" compact="0" outline="0" multipleItemSelectionAllowed="1" showAll="0">
      <items>
        <item x="0"/>
        <item x="1"/>
        <item x="2"/>
        <item x="3"/>
        <item x="4"/>
        <item x="5"/>
        <item x="6"/>
        <item x="7"/>
        <item t="default"/>
      </items>
    </pivotField>
    <pivotField name="Tên cấp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Mã cấp 3" compact="0" outline="0" multipleItemSelectionAllowed="1" showAll="0">
      <items>
        <item x="0"/>
        <item x="1"/>
        <item x="2"/>
        <item x="3"/>
        <item x="4"/>
        <item x="5"/>
        <item x="6"/>
        <item t="default"/>
      </items>
    </pivotField>
    <pivotField name="Tên cấp 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Mã địa điểm" axis="axisRow" compact="0" outline="0" multipleItemSelectionAllowed="1" showAll="0" sortType="ascending" defaultSubtotal="0">
      <items>
        <item x="0"/>
        <item x="2"/>
        <item x="3"/>
        <item x="4"/>
        <item x="5"/>
        <item x="6"/>
        <item x="7"/>
        <item x="1"/>
        <item x="8"/>
        <item x="9"/>
      </items>
    </pivotField>
    <pivotField name="Tên địa điểm" axis="axisRow" compact="0" outline="0" multipleItemSelectionAllowed="1" showAll="0" sortType="ascending">
      <items>
        <item x="0"/>
        <item x="1"/>
        <item x="9"/>
        <item x="8"/>
        <item x="5"/>
        <item x="6"/>
        <item x="4"/>
        <item x="2"/>
        <item x="3"/>
        <item x="7"/>
        <item t="default"/>
      </items>
    </pivotField>
    <pivotField name="Mã"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t="default"/>
      </items>
    </pivotField>
  </pivotFields>
  <rowFields>
    <field x="12"/>
    <field x="13"/>
  </rowFields>
  <pageFields>
    <pageField fld="0"/>
  </pageFields>
</pivotTableDefinition>
</file>

<file path=xl/pivotTables/pivotTable3.xml><?xml version="1.0" encoding="utf-8"?>
<pivotTableDefinition xmlns="http://schemas.openxmlformats.org/spreadsheetml/2006/main" name="Bảng tổng hợp 1" cacheId="1" dataCaption="" rowGrandTotals="0" compact="0" compactData="0">
  <location ref="B1:H408" firstHeaderRow="0" firstDataRow="6" firstDataCol="0"/>
  <pivotFields>
    <pivotField name="ST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t="default"/>
      </items>
    </pivotField>
    <pivotField name="Mã nhân viên"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t="default"/>
      </items>
    </pivotField>
    <pivotField name="Họ và tê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t="default"/>
      </items>
    </pivotField>
    <pivotField name="Vị trí công việ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t="default"/>
      </items>
    </pivotField>
    <pivotField name="Đơn vị công tá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t="default"/>
      </items>
    </pivotField>
    <pivotField name="Ngày thử việc"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t="default"/>
      </items>
    </pivotField>
    <pivotField name="Ngày chính thứ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t="default"/>
      </items>
    </pivotField>
    <pivotField name="Đơn vị công tác cấp 1" axis="axisRow" compact="0" outline="0" multipleItemSelectionAllowed="1" showAll="0" sortType="ascending" defaultSubtotal="0">
      <items>
        <item x="8"/>
        <item x="4"/>
        <item x="5"/>
        <item x="6"/>
        <item x="2"/>
        <item x="7"/>
        <item x="3"/>
        <item x="0"/>
        <item x="1"/>
        <item x="9"/>
      </items>
    </pivotField>
    <pivotField name="Đơn vị công tác cấp 2" axis="axisRow" compact="0" outline="0" multipleItemSelectionAllowed="1" showAll="0" sortType="ascending" defaultSubtotal="0">
      <items>
        <item x="13"/>
        <item x="42"/>
        <item x="47"/>
        <item x="58"/>
        <item x="67"/>
        <item x="51"/>
        <item x="68"/>
        <item x="57"/>
        <item x="60"/>
        <item x="32"/>
        <item x="2"/>
        <item x="66"/>
        <item x="53"/>
        <item x="20"/>
        <item x="36"/>
        <item x="56"/>
        <item x="62"/>
        <item x="55"/>
        <item x="64"/>
        <item x="10"/>
        <item x="45"/>
        <item x="31"/>
        <item x="52"/>
        <item x="9"/>
        <item x="15"/>
        <item x="11"/>
        <item x="35"/>
        <item x="48"/>
        <item x="26"/>
        <item x="63"/>
        <item x="29"/>
        <item x="27"/>
        <item x="61"/>
        <item x="18"/>
        <item x="34"/>
        <item x="41"/>
        <item x="40"/>
        <item x="49"/>
        <item x="59"/>
        <item x="21"/>
        <item x="33"/>
        <item x="16"/>
        <item x="4"/>
        <item x="24"/>
        <item x="25"/>
        <item x="65"/>
        <item x="22"/>
        <item x="38"/>
        <item x="28"/>
        <item x="19"/>
        <item x="37"/>
        <item x="46"/>
        <item x="14"/>
        <item x="50"/>
        <item x="6"/>
        <item x="39"/>
        <item x="30"/>
        <item x="12"/>
        <item x="43"/>
        <item x="54"/>
        <item x="0"/>
        <item x="7"/>
        <item x="1"/>
        <item x="8"/>
        <item x="44"/>
        <item x="5"/>
        <item x="3"/>
        <item x="23"/>
        <item x="17"/>
      </items>
    </pivotField>
    <pivotField name="Đơn vị công tác cấp 3" axis="axisRow" compact="0" outline="0" multipleItemSelectionAllowed="1" showAll="0" sortType="ascending" defaultSubtotal="0">
      <items>
        <item x="4"/>
        <item x="154"/>
        <item x="141"/>
        <item x="135"/>
        <item x="157"/>
        <item x="115"/>
        <item x="123"/>
        <item x="152"/>
        <item x="22"/>
        <item x="149"/>
        <item x="58"/>
        <item x="156"/>
        <item x="43"/>
        <item x="155"/>
        <item x="138"/>
        <item x="140"/>
        <item x="142"/>
        <item x="85"/>
        <item x="98"/>
        <item x="72"/>
        <item x="30"/>
        <item x="9"/>
        <item x="47"/>
        <item x="54"/>
        <item x="55"/>
        <item x="56"/>
        <item x="7"/>
        <item x="125"/>
        <item x="128"/>
        <item x="121"/>
        <item x="129"/>
        <item x="137"/>
        <item x="32"/>
        <item x="26"/>
        <item x="25"/>
        <item x="150"/>
        <item x="45"/>
        <item x="44"/>
        <item x="76"/>
        <item x="102"/>
        <item x="97"/>
        <item x="91"/>
        <item x="146"/>
        <item x="90"/>
        <item x="65"/>
        <item x="104"/>
        <item x="153"/>
        <item x="151"/>
        <item x="6"/>
        <item x="64"/>
        <item x="75"/>
        <item x="144"/>
        <item x="148"/>
        <item x="84"/>
        <item x="81"/>
        <item x="147"/>
        <item x="67"/>
        <item x="88"/>
        <item x="143"/>
        <item x="106"/>
        <item x="145"/>
        <item x="68"/>
        <item x="114"/>
        <item x="93"/>
        <item x="21"/>
        <item x="77"/>
        <item x="92"/>
        <item x="70"/>
        <item x="116"/>
        <item x="96"/>
        <item x="101"/>
        <item x="8"/>
        <item x="14"/>
        <item x="0"/>
        <item x="18"/>
        <item x="127"/>
        <item x="38"/>
        <item x="52"/>
        <item x="11"/>
        <item x="13"/>
        <item x="35"/>
        <item x="51"/>
        <item x="36"/>
        <item x="12"/>
        <item x="34"/>
        <item x="31"/>
        <item x="33"/>
        <item x="49"/>
        <item x="48"/>
        <item x="28"/>
        <item x="66"/>
        <item x="71"/>
        <item x="105"/>
        <item x="29"/>
        <item x="42"/>
        <item x="40"/>
        <item x="5"/>
        <item x="41"/>
        <item x="57"/>
        <item x="27"/>
        <item x="46"/>
        <item x="3"/>
        <item x="10"/>
        <item x="2"/>
        <item x="1"/>
        <item x="50"/>
        <item x="15"/>
        <item x="24"/>
        <item x="134"/>
        <item x="63"/>
        <item x="53"/>
        <item x="39"/>
        <item x="37"/>
        <item x="87"/>
        <item x="74"/>
        <item x="112"/>
        <item x="103"/>
        <item x="79"/>
        <item x="86"/>
        <item x="136"/>
        <item x="131"/>
        <item sd="0" x="60"/>
        <item x="17"/>
        <item x="130"/>
        <item sd="0" x="126"/>
        <item x="59"/>
        <item x="80"/>
        <item x="111"/>
        <item x="117"/>
        <item x="95"/>
        <item x="113"/>
        <item x="69"/>
        <item x="99"/>
        <item x="73"/>
        <item x="94"/>
        <item x="110"/>
        <item x="20"/>
        <item x="61"/>
        <item x="83"/>
        <item x="124"/>
        <item x="107"/>
        <item x="108"/>
        <item x="120"/>
        <item x="19"/>
        <item x="118"/>
        <item x="82"/>
        <item x="119"/>
        <item x="16"/>
        <item x="109"/>
        <item x="133"/>
        <item x="139"/>
        <item x="78"/>
        <item x="23"/>
        <item x="132"/>
        <item x="89"/>
        <item x="100"/>
        <item x="62"/>
        <item x="122"/>
      </items>
    </pivotField>
    <pivotField name="Mã đơn vị công tác" axis="axisRow" compact="0" outline="0" multipleItemSelectionAllowed="1" showAll="0" sortType="ascending" defaultSubtotal="0">
      <items>
        <item x="313"/>
        <item x="278"/>
        <item x="138"/>
        <item x="304"/>
        <item x="305"/>
        <item x="31"/>
        <item x="35"/>
        <item x="286"/>
        <item x="20"/>
        <item x="19"/>
        <item x="247"/>
        <item x="268"/>
        <item x="183"/>
        <item x="211"/>
        <item x="404"/>
        <item x="300"/>
        <item x="170"/>
        <item x="285"/>
        <item x="134"/>
        <item x="279"/>
        <item x="274"/>
        <item x="294"/>
        <item x="171"/>
        <item x="271"/>
        <item x="135"/>
        <item x="290"/>
        <item x="201"/>
        <item x="182"/>
        <item x="293"/>
        <item x="288"/>
        <item x="276"/>
        <item x="262"/>
        <item x="275"/>
        <item x="256"/>
        <item x="159"/>
        <item x="265"/>
        <item x="254"/>
        <item x="292"/>
        <item x="299"/>
        <item x="297"/>
        <item x="133"/>
        <item x="301"/>
        <item x="208"/>
        <item x="197"/>
        <item x="235"/>
        <item x="181"/>
        <item x="263"/>
        <item x="244"/>
        <item x="312"/>
        <item x="314"/>
        <item x="283"/>
        <item x="21"/>
        <item x="22"/>
        <item x="269"/>
        <item x="234"/>
        <item x="306"/>
        <item x="270"/>
        <item x="402"/>
        <item x="289"/>
        <item x="231"/>
        <item x="295"/>
        <item x="136"/>
        <item x="236"/>
        <item x="264"/>
        <item x="249"/>
        <item x="291"/>
        <item x="169"/>
        <item x="296"/>
        <item x="303"/>
        <item x="258"/>
        <item x="406"/>
        <item x="186"/>
        <item x="198"/>
        <item x="33"/>
        <item x="202"/>
        <item x="282"/>
        <item x="315"/>
        <item x="405"/>
        <item x="158"/>
        <item x="237"/>
        <item x="157"/>
        <item x="131"/>
        <item x="403"/>
        <item x="29"/>
        <item x="310"/>
        <item x="308"/>
        <item x="309"/>
        <item x="311"/>
        <item x="302"/>
        <item x="207"/>
        <item x="287"/>
        <item x="273"/>
        <item x="245"/>
        <item x="151"/>
        <item x="280"/>
        <item x="172"/>
        <item x="238"/>
        <item x="28"/>
        <item x="190"/>
        <item x="34"/>
        <item x="166"/>
        <item x="281"/>
        <item x="298"/>
        <item x="267"/>
        <item x="230"/>
        <item x="316"/>
        <item x="188"/>
        <item x="36"/>
        <item x="387"/>
        <item x="156"/>
        <item x="206"/>
        <item x="307"/>
        <item x="277"/>
        <item x="260"/>
        <item x="199"/>
        <item x="213"/>
        <item x="257"/>
        <item x="253"/>
        <item x="259"/>
        <item x="239"/>
        <item x="272"/>
        <item x="240"/>
        <item x="284"/>
        <item x="152"/>
        <item x="266"/>
        <item x="261"/>
        <item x="401"/>
        <item x="328"/>
        <item x="351"/>
        <item x="185"/>
        <item x="330"/>
        <item x="354"/>
        <item x="229"/>
        <item x="335"/>
        <item x="150"/>
        <item x="246"/>
        <item x="153"/>
        <item x="350"/>
        <item x="193"/>
        <item x="30"/>
        <item x="168"/>
        <item x="192"/>
        <item x="353"/>
        <item x="251"/>
        <item x="203"/>
        <item x="395"/>
        <item x="162"/>
        <item x="210"/>
        <item x="204"/>
        <item x="191"/>
        <item x="205"/>
        <item x="352"/>
        <item x="337"/>
        <item x="187"/>
        <item x="393"/>
        <item x="155"/>
        <item x="232"/>
        <item x="233"/>
        <item x="167"/>
        <item x="32"/>
        <item x="392"/>
        <item x="381"/>
        <item x="400"/>
        <item x="319"/>
        <item x="4"/>
        <item x="324"/>
        <item x="165"/>
        <item x="396"/>
        <item x="219"/>
        <item x="394"/>
        <item x="137"/>
        <item x="384"/>
        <item x="128"/>
        <item x="125"/>
        <item x="194"/>
        <item x="126"/>
        <item x="90"/>
        <item x="255"/>
        <item x="129"/>
        <item x="385"/>
        <item x="250"/>
        <item x="363"/>
        <item x="127"/>
        <item x="348"/>
        <item x="7"/>
        <item x="383"/>
        <item x="380"/>
        <item x="382"/>
        <item x="130"/>
        <item x="398"/>
        <item x="329"/>
        <item x="164"/>
        <item x="388"/>
        <item x="317"/>
        <item x="339"/>
        <item x="248"/>
        <item x="356"/>
        <item x="216"/>
        <item x="74"/>
        <item x="73"/>
        <item x="217"/>
        <item x="64"/>
        <item x="67"/>
        <item x="222"/>
        <item x="69"/>
        <item x="66"/>
        <item x="70"/>
        <item x="72"/>
        <item x="68"/>
        <item x="65"/>
        <item x="71"/>
        <item x="63"/>
        <item x="62"/>
        <item x="60"/>
        <item x="61"/>
        <item x="58"/>
        <item x="357"/>
        <item x="341"/>
        <item x="8"/>
        <item x="189"/>
        <item x="57"/>
        <item x="391"/>
        <item x="59"/>
        <item x="12"/>
        <item x="14"/>
        <item x="55"/>
        <item x="56"/>
        <item x="13"/>
        <item x="326"/>
        <item x="24"/>
        <item x="16"/>
        <item x="11"/>
        <item x="18"/>
        <item x="50"/>
        <item x="23"/>
        <item x="223"/>
        <item x="52"/>
        <item x="224"/>
        <item x="51"/>
        <item x="53"/>
        <item x="54"/>
        <item x="227"/>
        <item x="44"/>
        <item x="212"/>
        <item x="48"/>
        <item x="45"/>
        <item x="225"/>
        <item x="49"/>
        <item x="228"/>
        <item x="221"/>
        <item x="184"/>
        <item x="220"/>
        <item x="218"/>
        <item x="75"/>
        <item x="42"/>
        <item x="43"/>
        <item x="10"/>
        <item x="47"/>
        <item x="41"/>
        <item x="46"/>
        <item x="132"/>
        <item x="25"/>
        <item x="17"/>
        <item x="9"/>
        <item x="27"/>
        <item x="26"/>
        <item x="40"/>
        <item x="15"/>
        <item x="39"/>
        <item x="226"/>
        <item x="37"/>
        <item x="38"/>
        <item x="343"/>
        <item x="123"/>
        <item x="367"/>
        <item x="358"/>
        <item x="121"/>
        <item x="359"/>
        <item x="318"/>
        <item x="369"/>
        <item x="117"/>
        <item x="5"/>
        <item x="118"/>
        <item x="368"/>
        <item x="116"/>
        <item x="114"/>
        <item x="113"/>
        <item x="115"/>
        <item x="124"/>
        <item x="122"/>
        <item x="119"/>
        <item x="120"/>
        <item x="112"/>
        <item x="346"/>
        <item x="109"/>
        <item x="110"/>
        <item x="111"/>
        <item x="106"/>
        <item x="108"/>
        <item x="107"/>
        <item x="105"/>
        <item x="320"/>
        <item x="2"/>
        <item x="1"/>
        <item x="104"/>
        <item x="103"/>
        <item x="3"/>
        <item x="100"/>
        <item x="101"/>
        <item x="334"/>
        <item x="99"/>
        <item x="371"/>
        <item x="102"/>
        <item x="95"/>
        <item x="370"/>
        <item x="372"/>
        <item x="91"/>
        <item x="96"/>
        <item x="97"/>
        <item x="94"/>
        <item x="98"/>
        <item x="322"/>
        <item x="93"/>
        <item x="92"/>
        <item x="88"/>
        <item x="87"/>
        <item x="89"/>
        <item x="84"/>
        <item x="321"/>
        <item x="85"/>
        <item x="86"/>
        <item x="83"/>
        <item x="82"/>
        <item x="81"/>
        <item x="80"/>
        <item x="0"/>
        <item x="79"/>
        <item x="78"/>
        <item x="76"/>
        <item x="77"/>
        <item x="389"/>
        <item x="215"/>
        <item x="379"/>
        <item x="338"/>
        <item x="173"/>
        <item x="175"/>
        <item x="174"/>
        <item x="366"/>
        <item x="160"/>
        <item x="347"/>
        <item x="364"/>
        <item x="195"/>
        <item x="242"/>
        <item x="365"/>
        <item x="323"/>
        <item x="342"/>
        <item x="362"/>
        <item x="243"/>
        <item x="149"/>
        <item x="399"/>
        <item x="241"/>
        <item x="148"/>
        <item x="332"/>
        <item x="154"/>
        <item x="376"/>
        <item x="344"/>
        <item x="333"/>
        <item x="374"/>
        <item x="140"/>
        <item x="139"/>
        <item x="375"/>
        <item x="378"/>
        <item x="349"/>
        <item x="373"/>
        <item x="361"/>
        <item x="377"/>
        <item x="163"/>
        <item x="325"/>
        <item x="340"/>
        <item x="390"/>
        <item x="327"/>
        <item x="209"/>
        <item x="143"/>
        <item x="196"/>
        <item x="200"/>
        <item x="142"/>
        <item x="331"/>
        <item x="141"/>
        <item x="6"/>
        <item x="214"/>
        <item x="144"/>
        <item x="146"/>
        <item x="145"/>
        <item x="147"/>
        <item x="345"/>
        <item x="360"/>
        <item x="386"/>
        <item x="252"/>
        <item x="397"/>
        <item x="177"/>
        <item x="178"/>
        <item x="176"/>
        <item x="180"/>
        <item x="355"/>
        <item x="179"/>
        <item x="161"/>
        <item x="336"/>
      </items>
    </pivotField>
    <pivotField name="Mã vị trí công việ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t="default"/>
      </items>
    </pivotField>
    <pivotField name="Email cơ qua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t="default"/>
      </items>
    </pivotField>
    <pivotField name="Giới tính" compact="0" outline="0" multipleItemSelectionAllowed="1" showAll="0">
      <items>
        <item x="0"/>
        <item x="1"/>
        <item x="2"/>
        <item t="default"/>
      </items>
    </pivotField>
    <pivotField name="Cấp" compact="0" outline="0" multipleItemSelectionAllowed="1" showAll="0">
      <items>
        <item x="0"/>
        <item x="1"/>
        <item x="2"/>
        <item x="3"/>
        <item x="4"/>
        <item x="5"/>
        <item x="6"/>
        <item t="default"/>
      </items>
    </pivotField>
    <pivotField name="Bậc" compact="0" outline="0" multipleItemSelectionAllowed="1" showAll="0">
      <items>
        <item x="0"/>
        <item x="1"/>
        <item x="2"/>
        <item x="3"/>
        <item x="4"/>
        <item x="5"/>
        <item x="6"/>
        <item x="7"/>
        <item x="8"/>
        <item x="9"/>
        <item x="10"/>
        <item x="11"/>
        <item x="12"/>
        <item x="13"/>
        <item x="14"/>
        <item x="15"/>
        <item x="16"/>
        <item t="default"/>
      </items>
    </pivotField>
    <pivotField name="Tính chất lao động" compact="0" outline="0" multipleItemSelectionAllowed="1" showAll="0">
      <items>
        <item x="0"/>
        <item x="1"/>
        <item x="2"/>
        <item x="3"/>
        <item t="default"/>
      </items>
    </pivotField>
    <pivotField name="Ngày sinh"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t="default"/>
      </items>
    </pivotField>
    <pivotField name="Chuyên ngành"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name="Nơi đào tạ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t="default"/>
      </items>
    </pivotField>
    <pivotField name="Địa điểm làm việc" compact="0" outline="0" multipleItemSelectionAllowed="1" showAll="0">
      <items>
        <item x="0"/>
        <item x="1"/>
        <item x="2"/>
        <item x="3"/>
        <item x="4"/>
        <item x="5"/>
        <item x="6"/>
        <item x="7"/>
        <item x="8"/>
        <item x="9"/>
        <item x="10"/>
        <item x="11"/>
        <item x="12"/>
        <item x="13"/>
        <item x="14"/>
        <item t="default"/>
      </items>
    </pivotField>
    <pivotField name="Đơn vị công tác cấp 4" axis="axisRow" compact="0" outline="0" multipleItemSelectionAllowed="1" showAll="0" sortType="ascending" defaultSubtotal="0">
      <items>
        <item x="0"/>
        <item x="156"/>
        <item x="118"/>
        <item x="147"/>
        <item x="159"/>
        <item x="71"/>
        <item x="146"/>
        <item x="77"/>
        <item x="134"/>
        <item x="127"/>
        <item x="9"/>
        <item x="128"/>
        <item x="135"/>
        <item x="141"/>
        <item x="109"/>
        <item x="85"/>
        <item x="136"/>
        <item x="102"/>
        <item x="78"/>
        <item x="130"/>
        <item x="66"/>
        <item x="105"/>
        <item x="69"/>
        <item x="16"/>
        <item x="14"/>
        <item x="131"/>
        <item x="76"/>
        <item x="6"/>
        <item x="144"/>
        <item x="157"/>
        <item x="98"/>
        <item x="138"/>
        <item x="124"/>
        <item x="149"/>
        <item x="70"/>
        <item x="84"/>
        <item x="87"/>
        <item x="17"/>
        <item x="120"/>
        <item x="68"/>
        <item x="106"/>
        <item x="89"/>
        <item x="140"/>
        <item x="86"/>
        <item x="145"/>
        <item x="62"/>
        <item x="8"/>
        <item x="148"/>
        <item x="123"/>
        <item x="61"/>
        <item x="72"/>
        <item x="83"/>
        <item x="107"/>
        <item x="103"/>
        <item x="122"/>
        <item x="65"/>
        <item x="88"/>
        <item x="67"/>
        <item x="101"/>
        <item x="104"/>
        <item x="73"/>
        <item x="13"/>
        <item x="81"/>
        <item x="63"/>
        <item x="75"/>
        <item x="121"/>
        <item x="119"/>
        <item x="112"/>
        <item x="91"/>
        <item x="99"/>
        <item x="113"/>
        <item x="114"/>
        <item x="133"/>
        <item x="139"/>
        <item x="116"/>
        <item x="74"/>
        <item x="111"/>
        <item x="7"/>
        <item x="125"/>
        <item x="100"/>
        <item x="142"/>
        <item x="126"/>
        <item x="132"/>
        <item x="15"/>
        <item x="115"/>
        <item x="137"/>
        <item x="143"/>
        <item x="80"/>
        <item x="158"/>
        <item x="60"/>
        <item x="64"/>
        <item x="117"/>
        <item x="129"/>
        <item x="52"/>
        <item x="25"/>
        <item x="24"/>
        <item x="94"/>
        <item x="53"/>
        <item x="28"/>
        <item x="96"/>
        <item x="93"/>
        <item x="51"/>
        <item x="95"/>
        <item x="90"/>
        <item x="97"/>
        <item x="50"/>
        <item x="27"/>
        <item x="22"/>
        <item x="79"/>
        <item x="108"/>
        <item x="151"/>
        <item x="34"/>
        <item x="54"/>
        <item x="40"/>
        <item x="39"/>
        <item x="33"/>
        <item x="36"/>
        <item x="1"/>
        <item x="35"/>
        <item x="38"/>
        <item x="37"/>
        <item x="57"/>
        <item x="153"/>
        <item x="150"/>
        <item x="2"/>
        <item x="152"/>
        <item x="155"/>
        <item x="110"/>
        <item x="154"/>
        <item x="82"/>
        <item x="48"/>
        <item x="26"/>
        <item x="21"/>
        <item x="92"/>
        <item x="32"/>
        <item x="31"/>
        <item x="30"/>
        <item x="29"/>
        <item x="3"/>
        <item x="12"/>
        <item x="11"/>
        <item x="44"/>
        <item x="43"/>
        <item x="42"/>
        <item x="10"/>
        <item x="5"/>
        <item x="45"/>
        <item x="46"/>
        <item x="19"/>
        <item x="49"/>
        <item x="20"/>
        <item x="4"/>
        <item x="23"/>
        <item x="18"/>
        <item x="41"/>
        <item x="58"/>
        <item x="55"/>
        <item x="56"/>
        <item x="47"/>
        <item x="59"/>
      </items>
    </pivotField>
    <pivotField name="Đơn vị công tác cấp 5" axis="axisRow" compact="0" outline="0" multipleItemSelectionAllowed="1" showAll="0" sortType="ascending">
      <items>
        <item x="0"/>
        <item t="default"/>
      </items>
    </pivotField>
  </pivotFields>
  <rowFields>
    <field x="10"/>
    <field x="7"/>
    <field x="8"/>
    <field x="9"/>
    <field x="21"/>
    <field x="22"/>
  </rowFields>
  <dataFields>
    <dataField name="COUNTA of Mã nhân viên" fld="1"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ent_ns_a.sm" TargetMode="External"/><Relationship Id="rId2" Type="http://schemas.openxmlformats.org/officeDocument/2006/relationships/hyperlink" Target="http://sb_cs_a.sm" TargetMode="External"/><Relationship Id="rId3" Type="http://schemas.openxmlformats.org/officeDocument/2006/relationships/hyperlink" Target="http://ent_ns_a.sd"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ksx_hcsn_mimosa.net" TargetMode="External"/><Relationship Id="rId3" Type="http://schemas.openxmlformats.org/officeDocument/2006/relationships/hyperlink" Target="http://ksx_hcsn_qlts.vn" TargetMode="External"/><Relationship Id="rId4" Type="http://schemas.openxmlformats.org/officeDocument/2006/relationships/drawing" Target="../drawings/drawing4.xml"/><Relationship Id="rId5"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ksx_hcsn_mimosa.net" TargetMode="External"/><Relationship Id="rId3" Type="http://schemas.openxmlformats.org/officeDocument/2006/relationships/hyperlink" Target="http://ksx_hcsn_qlts.vn" TargetMode="External"/><Relationship Id="rId4" Type="http://schemas.openxmlformats.org/officeDocument/2006/relationships/drawing" Target="../drawings/drawing5.xml"/><Relationship Id="rId5"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ksx_hcsn_mimosa.net" TargetMode="External"/><Relationship Id="rId3" Type="http://schemas.openxmlformats.org/officeDocument/2006/relationships/hyperlink" Target="http://ksx_hcsn_qlts.vn" TargetMode="External"/><Relationship Id="rId4" Type="http://schemas.openxmlformats.org/officeDocument/2006/relationships/drawing" Target="../drawings/drawing6.xml"/><Relationship Id="rId5"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9.xml"/><Relationship Id="rId3"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0" Type="http://schemas.openxmlformats.org/officeDocument/2006/relationships/hyperlink" Target="http://sb_nws_a.sm/" TargetMode="External"/><Relationship Id="rId22" Type="http://schemas.openxmlformats.org/officeDocument/2006/relationships/hyperlink" Target="http://kd_onl_act_a.sm" TargetMode="External"/><Relationship Id="rId21" Type="http://schemas.openxmlformats.org/officeDocument/2006/relationships/hyperlink" Target="http://sb_nws_a.sm" TargetMode="External"/><Relationship Id="rId24" Type="http://schemas.openxmlformats.org/officeDocument/2006/relationships/hyperlink" Target="http://sb_fsale_a.sm" TargetMode="External"/><Relationship Id="rId23" Type="http://schemas.openxmlformats.org/officeDocument/2006/relationships/hyperlink" Target="http://sb_fsale_a.sm/" TargetMode="External"/><Relationship Id="rId1" Type="http://schemas.openxmlformats.org/officeDocument/2006/relationships/hyperlink" Target="http://ent_ns_a.sd" TargetMode="External"/><Relationship Id="rId2" Type="http://schemas.openxmlformats.org/officeDocument/2006/relationships/hyperlink" Target="http://ent_a.sd" TargetMode="External"/><Relationship Id="rId3" Type="http://schemas.openxmlformats.org/officeDocument/2006/relationships/hyperlink" Target="http://ent_ns_a.sm/" TargetMode="External"/><Relationship Id="rId4" Type="http://schemas.openxmlformats.org/officeDocument/2006/relationships/hyperlink" Target="http://govt_a.sd/" TargetMode="External"/><Relationship Id="rId9" Type="http://schemas.openxmlformats.org/officeDocument/2006/relationships/hyperlink" Target="http://kd_hkd_bm_a.sm/" TargetMode="External"/><Relationship Id="rId25" Type="http://schemas.openxmlformats.org/officeDocument/2006/relationships/drawing" Target="../drawings/drawing13.xml"/><Relationship Id="rId5" Type="http://schemas.openxmlformats.org/officeDocument/2006/relationships/hyperlink" Target="http://govt_a.sd" TargetMode="External"/><Relationship Id="rId6" Type="http://schemas.openxmlformats.org/officeDocument/2006/relationships/hyperlink" Target="http://gpbl_a.sd" TargetMode="External"/><Relationship Id="rId7" Type="http://schemas.openxmlformats.org/officeDocument/2006/relationships/hyperlink" Target="http://gpbl_ns_a.sm" TargetMode="External"/><Relationship Id="rId8" Type="http://schemas.openxmlformats.org/officeDocument/2006/relationships/hyperlink" Target="http://gpbl_cs_a.sm" TargetMode="External"/><Relationship Id="rId11" Type="http://schemas.openxmlformats.org/officeDocument/2006/relationships/hyperlink" Target="http://kd_onl_tk_onb_q.tn/" TargetMode="External"/><Relationship Id="rId10" Type="http://schemas.openxmlformats.org/officeDocument/2006/relationships/hyperlink" Target="http://kd_hkd_bm_a.sm" TargetMode="External"/><Relationship Id="rId13" Type="http://schemas.openxmlformats.org/officeDocument/2006/relationships/hyperlink" Target="http://mb_a.sd/" TargetMode="External"/><Relationship Id="rId12" Type="http://schemas.openxmlformats.org/officeDocument/2006/relationships/hyperlink" Target="http://kd_onl_tk_onb_q.tn" TargetMode="External"/><Relationship Id="rId15" Type="http://schemas.openxmlformats.org/officeDocument/2006/relationships/hyperlink" Target="http://sb_cs_a.sd/" TargetMode="External"/><Relationship Id="rId14" Type="http://schemas.openxmlformats.org/officeDocument/2006/relationships/hyperlink" Target="http://mb_a.sd" TargetMode="External"/><Relationship Id="rId17" Type="http://schemas.openxmlformats.org/officeDocument/2006/relationships/hyperlink" Target="http://sb_cs_a.sm/" TargetMode="External"/><Relationship Id="rId16" Type="http://schemas.openxmlformats.org/officeDocument/2006/relationships/hyperlink" Target="http://sb_cs_a.sd" TargetMode="External"/><Relationship Id="rId19" Type="http://schemas.openxmlformats.org/officeDocument/2006/relationships/hyperlink" Target="http://kd_banthem_hddt_mei.da_a.sm" TargetMode="External"/><Relationship Id="rId18" Type="http://schemas.openxmlformats.org/officeDocument/2006/relationships/hyperlink" Target="http://sb_cs_a.sm"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FF"/>
    <pageSetUpPr/>
  </sheetPr>
  <sheetViews>
    <sheetView showGridLines="0" workbookViewId="0"/>
  </sheetViews>
  <sheetFormatPr customHeight="1" defaultColWidth="11.22" defaultRowHeight="15.0"/>
  <cols>
    <col customWidth="1" min="1" max="1" width="3.78"/>
    <col customWidth="1" min="2" max="2" width="11.11"/>
    <col customWidth="1" min="3" max="3" width="18.78"/>
    <col customWidth="1" min="4" max="4" width="15.44"/>
    <col customWidth="1" min="5" max="5" width="15.67"/>
    <col customWidth="1" min="6" max="6" width="12.89"/>
    <col customWidth="1" min="7" max="7" width="14.22"/>
    <col customWidth="1" min="8" max="8" width="10.67"/>
    <col customWidth="1" min="9" max="9" width="37.44"/>
    <col customWidth="1" min="10" max="10" width="10.33"/>
    <col customWidth="1" min="11" max="11" width="33.22"/>
    <col customWidth="1" min="12" max="12" width="10.33"/>
    <col customWidth="1" min="13" max="13" width="39.33"/>
    <col customWidth="1" min="14" max="14" width="11.0"/>
    <col customWidth="1" min="15" max="15" width="13.22"/>
    <col customWidth="1" min="16" max="16" width="26.89"/>
    <col customWidth="1" min="17" max="24" width="38.22"/>
    <col customWidth="1" min="25" max="26" width="12.44"/>
  </cols>
  <sheetData>
    <row r="1" ht="15.75" customHeight="1">
      <c r="B1" s="1" t="s">
        <v>0</v>
      </c>
    </row>
    <row r="2" ht="15.75" customHeight="1">
      <c r="B2" s="1" t="s">
        <v>1</v>
      </c>
      <c r="N2" s="2" t="s">
        <v>2</v>
      </c>
    </row>
    <row r="3" ht="15.75" customHeight="1">
      <c r="B3" s="3"/>
      <c r="C3" s="4"/>
      <c r="D3" s="4"/>
      <c r="E3" s="4"/>
      <c r="F3" s="4"/>
      <c r="G3" s="4"/>
      <c r="H3" s="4"/>
      <c r="I3" s="4"/>
      <c r="J3" s="4"/>
      <c r="K3" s="4"/>
      <c r="L3" s="4"/>
      <c r="M3" s="4"/>
      <c r="N3" s="4"/>
      <c r="O3" s="4"/>
      <c r="P3" s="4"/>
      <c r="Q3" s="4"/>
      <c r="R3" s="4"/>
      <c r="S3" s="4"/>
      <c r="T3" s="4"/>
    </row>
    <row r="4" ht="15.75" customHeight="1">
      <c r="B4" s="1" t="s">
        <v>3</v>
      </c>
      <c r="C4" s="4"/>
      <c r="D4" s="4"/>
      <c r="E4" s="4"/>
      <c r="F4" s="4"/>
      <c r="G4" s="4"/>
      <c r="H4" s="4"/>
      <c r="I4" s="4"/>
      <c r="J4" s="4"/>
      <c r="K4" s="4"/>
      <c r="L4" s="4"/>
      <c r="M4" s="4"/>
      <c r="N4" s="4"/>
      <c r="O4" s="4"/>
      <c r="P4" s="4"/>
      <c r="Q4" s="4"/>
      <c r="R4" s="4"/>
      <c r="S4" s="4"/>
      <c r="T4" s="4"/>
    </row>
    <row r="5" ht="15.75" customHeight="1">
      <c r="B5" s="4"/>
      <c r="C5" s="4"/>
      <c r="D5" s="4"/>
      <c r="E5" s="5" t="s">
        <v>4</v>
      </c>
      <c r="F5" s="4"/>
      <c r="G5" s="4"/>
      <c r="H5" s="4"/>
      <c r="I5" s="4"/>
      <c r="J5" s="4"/>
      <c r="K5" s="4"/>
      <c r="L5" s="4"/>
      <c r="M5" s="4"/>
      <c r="N5" s="4"/>
      <c r="O5" s="4"/>
      <c r="P5" s="4"/>
      <c r="Q5" s="4"/>
      <c r="R5" s="4"/>
      <c r="S5" s="4"/>
      <c r="T5" s="4"/>
    </row>
    <row r="6" ht="15.75" customHeight="1">
      <c r="B6" s="4"/>
      <c r="C6" s="4"/>
      <c r="D6" s="4"/>
      <c r="E6" s="5" t="s">
        <v>4</v>
      </c>
      <c r="F6" s="4"/>
      <c r="G6" s="4"/>
      <c r="H6" s="4"/>
      <c r="I6" s="4"/>
      <c r="J6" s="4"/>
      <c r="K6" s="4"/>
      <c r="L6" s="4"/>
      <c r="M6" s="4"/>
      <c r="N6" s="4"/>
      <c r="O6" s="4"/>
      <c r="P6" s="4"/>
      <c r="Q6" s="4"/>
      <c r="R6" s="4"/>
      <c r="S6" s="4"/>
      <c r="T6" s="4"/>
    </row>
    <row r="7" ht="15.75" customHeight="1">
      <c r="B7" s="4"/>
      <c r="C7" s="4"/>
      <c r="D7" s="4"/>
      <c r="E7" s="5" t="s">
        <v>4</v>
      </c>
      <c r="F7" s="4"/>
      <c r="G7" s="4"/>
      <c r="H7" s="4"/>
      <c r="I7" s="4"/>
      <c r="J7" s="4"/>
      <c r="K7" s="4"/>
      <c r="L7" s="4"/>
      <c r="M7" s="4"/>
      <c r="N7" s="4"/>
      <c r="O7" s="4"/>
      <c r="P7" s="4"/>
      <c r="Q7" s="4"/>
      <c r="R7" s="4"/>
      <c r="S7" s="4"/>
      <c r="T7" s="4"/>
    </row>
    <row r="8" ht="15.75" customHeight="1">
      <c r="B8" s="4"/>
      <c r="C8" s="4"/>
      <c r="D8" s="4"/>
      <c r="E8" s="5" t="s">
        <v>4</v>
      </c>
      <c r="F8" s="4"/>
      <c r="G8" s="4"/>
      <c r="H8" s="4"/>
      <c r="I8" s="4"/>
      <c r="J8" s="4"/>
      <c r="K8" s="4"/>
      <c r="L8" s="4"/>
      <c r="M8" s="4"/>
      <c r="N8" s="4"/>
      <c r="O8" s="4"/>
      <c r="P8" s="4"/>
      <c r="Q8" s="4"/>
      <c r="R8" s="4"/>
      <c r="S8" s="4"/>
      <c r="T8" s="4"/>
    </row>
    <row r="9" ht="15.75" customHeight="1">
      <c r="B9" s="4"/>
      <c r="C9" s="4"/>
      <c r="D9" s="4"/>
      <c r="E9" s="5" t="s">
        <v>4</v>
      </c>
      <c r="F9" s="4"/>
      <c r="G9" s="4"/>
      <c r="H9" s="4"/>
      <c r="I9" s="4"/>
      <c r="J9" s="4"/>
      <c r="K9" s="4"/>
      <c r="L9" s="4"/>
      <c r="M9" s="4"/>
      <c r="N9" s="4"/>
      <c r="O9" s="4"/>
      <c r="P9" s="4"/>
      <c r="Q9" s="4"/>
      <c r="R9" s="4"/>
      <c r="S9" s="4"/>
      <c r="T9" s="4"/>
    </row>
    <row r="10" ht="15.75" customHeight="1">
      <c r="B10" s="4"/>
      <c r="C10" s="4"/>
      <c r="D10" s="4"/>
      <c r="E10" s="5" t="s">
        <v>4</v>
      </c>
      <c r="F10" s="4"/>
      <c r="G10" s="4"/>
      <c r="H10" s="4"/>
      <c r="I10" s="4"/>
      <c r="J10" s="4"/>
      <c r="K10" s="4"/>
      <c r="L10" s="4"/>
      <c r="M10" s="4"/>
      <c r="N10" s="4"/>
      <c r="O10" s="4"/>
      <c r="P10" s="4"/>
      <c r="Q10" s="4"/>
      <c r="R10" s="4"/>
      <c r="S10" s="4"/>
      <c r="T10" s="4"/>
    </row>
    <row r="11" ht="15.75" customHeight="1">
      <c r="B11" s="4"/>
      <c r="C11" s="4"/>
      <c r="D11" s="4"/>
      <c r="E11" s="5" t="s">
        <v>4</v>
      </c>
      <c r="F11" s="4"/>
      <c r="G11" s="4"/>
      <c r="H11" s="4"/>
      <c r="I11" s="4"/>
      <c r="J11" s="4"/>
      <c r="K11" s="4"/>
      <c r="L11" s="4"/>
      <c r="M11" s="4"/>
      <c r="N11" s="4"/>
      <c r="O11" s="4"/>
      <c r="P11" s="4"/>
      <c r="Q11" s="4"/>
      <c r="R11" s="4"/>
      <c r="S11" s="4"/>
      <c r="T11" s="4"/>
    </row>
    <row r="12" ht="15.75" customHeight="1">
      <c r="B12" s="5" t="s">
        <v>5</v>
      </c>
      <c r="C12" s="4"/>
      <c r="D12" s="4"/>
      <c r="E12" s="5" t="s">
        <v>4</v>
      </c>
      <c r="F12" s="4"/>
      <c r="G12" s="4"/>
      <c r="H12" s="4"/>
      <c r="I12" s="4"/>
      <c r="J12" s="4"/>
      <c r="K12" s="4"/>
      <c r="L12" s="4"/>
      <c r="M12" s="4"/>
      <c r="N12" s="4"/>
      <c r="O12" s="4"/>
      <c r="P12" s="4"/>
      <c r="Q12" s="4"/>
      <c r="R12" s="4"/>
      <c r="S12" s="4"/>
      <c r="T12" s="4"/>
    </row>
    <row r="13" ht="15.75" customHeight="1">
      <c r="B13" s="6"/>
      <c r="C13" s="4"/>
      <c r="D13" s="4"/>
      <c r="E13" s="5" t="s">
        <v>4</v>
      </c>
      <c r="F13" s="4"/>
      <c r="G13" s="4"/>
      <c r="H13" s="4"/>
      <c r="I13" s="4"/>
      <c r="J13" s="4"/>
      <c r="K13" s="4"/>
      <c r="L13" s="4"/>
      <c r="M13" s="4"/>
      <c r="N13" s="4"/>
      <c r="O13" s="4"/>
      <c r="P13" s="4"/>
      <c r="Q13" s="4"/>
      <c r="R13" s="4"/>
      <c r="S13" s="4"/>
      <c r="T13" s="4"/>
    </row>
    <row r="14" ht="15.75" customHeight="1">
      <c r="B14" s="4"/>
      <c r="C14" s="4"/>
      <c r="D14" s="4"/>
      <c r="E14" s="5" t="s">
        <v>4</v>
      </c>
      <c r="F14" s="4"/>
      <c r="G14" s="4"/>
      <c r="H14" s="4"/>
      <c r="I14" s="4"/>
      <c r="J14" s="4"/>
      <c r="K14" s="4"/>
      <c r="L14" s="4"/>
      <c r="M14" s="4"/>
      <c r="N14" s="4"/>
      <c r="O14" s="4"/>
      <c r="P14" s="4"/>
      <c r="Q14" s="4"/>
      <c r="R14" s="4"/>
      <c r="S14" s="4"/>
      <c r="T14" s="4"/>
    </row>
    <row r="15" ht="15.75" customHeight="1">
      <c r="B15" s="4"/>
      <c r="C15" s="4"/>
      <c r="D15" s="4"/>
      <c r="E15" s="5" t="s">
        <v>4</v>
      </c>
      <c r="F15" s="4"/>
      <c r="G15" s="4"/>
      <c r="H15" s="4"/>
      <c r="I15" s="4"/>
      <c r="J15" s="4"/>
      <c r="K15" s="4"/>
      <c r="L15" s="4"/>
      <c r="M15" s="4"/>
      <c r="N15" s="4"/>
      <c r="O15" s="4"/>
      <c r="P15" s="4"/>
      <c r="Q15" s="4"/>
      <c r="R15" s="4"/>
      <c r="S15" s="4"/>
      <c r="T15" s="4"/>
    </row>
    <row r="16" ht="15.75" customHeight="1">
      <c r="B16" s="7"/>
      <c r="C16" s="4"/>
      <c r="D16" s="4"/>
      <c r="E16" s="5" t="s">
        <v>4</v>
      </c>
      <c r="F16" s="4"/>
      <c r="G16" s="4"/>
      <c r="H16" s="4"/>
      <c r="I16" s="4"/>
      <c r="J16" s="4"/>
      <c r="K16" s="4"/>
      <c r="L16" s="4"/>
      <c r="M16" s="4"/>
      <c r="N16" s="4"/>
      <c r="O16" s="4"/>
      <c r="P16" s="4"/>
      <c r="Q16" s="4"/>
      <c r="R16" s="4"/>
      <c r="S16" s="4"/>
      <c r="T16" s="4"/>
    </row>
    <row r="17" ht="15.75" customHeight="1">
      <c r="B17" s="7"/>
      <c r="C17" s="4"/>
      <c r="D17" s="4"/>
      <c r="E17" s="5" t="s">
        <v>4</v>
      </c>
      <c r="F17" s="4"/>
      <c r="G17" s="4"/>
      <c r="H17" s="4"/>
      <c r="I17" s="4"/>
      <c r="J17" s="4"/>
      <c r="K17" s="4"/>
      <c r="L17" s="4"/>
      <c r="M17" s="4"/>
      <c r="N17" s="4"/>
      <c r="O17" s="4"/>
      <c r="P17" s="4"/>
      <c r="Q17" s="4"/>
      <c r="R17" s="4"/>
      <c r="S17" s="4"/>
      <c r="T17" s="4"/>
    </row>
    <row r="18" ht="15.75" customHeight="1">
      <c r="B18" s="7"/>
      <c r="C18" s="4"/>
      <c r="D18" s="4"/>
      <c r="E18" s="5" t="s">
        <v>4</v>
      </c>
      <c r="F18" s="4"/>
      <c r="G18" s="4"/>
      <c r="H18" s="4"/>
      <c r="I18" s="4"/>
      <c r="J18" s="4"/>
      <c r="K18" s="4"/>
      <c r="L18" s="4"/>
      <c r="M18" s="4"/>
      <c r="N18" s="4"/>
      <c r="O18" s="4"/>
      <c r="P18" s="4"/>
      <c r="Q18" s="4"/>
      <c r="R18" s="4"/>
      <c r="S18" s="4"/>
      <c r="T18" s="4"/>
    </row>
    <row r="19" ht="15.75" customHeight="1">
      <c r="B19" s="7"/>
      <c r="C19" s="4"/>
      <c r="D19" s="4"/>
      <c r="E19" s="5" t="s">
        <v>4</v>
      </c>
      <c r="F19" s="4"/>
      <c r="G19" s="4"/>
      <c r="H19" s="4"/>
      <c r="I19" s="4"/>
      <c r="J19" s="4"/>
      <c r="K19" s="4"/>
      <c r="L19" s="4"/>
      <c r="M19" s="4"/>
      <c r="N19" s="4"/>
      <c r="O19" s="4"/>
      <c r="P19" s="4"/>
      <c r="Q19" s="4"/>
      <c r="R19" s="4"/>
      <c r="S19" s="4"/>
      <c r="T19" s="4"/>
    </row>
    <row r="20" ht="15.75" customHeight="1">
      <c r="B20" s="7"/>
      <c r="C20" s="4"/>
      <c r="D20" s="4"/>
      <c r="E20" s="5" t="s">
        <v>4</v>
      </c>
      <c r="F20" s="4"/>
      <c r="G20" s="4"/>
      <c r="H20" s="4"/>
      <c r="I20" s="4"/>
      <c r="J20" s="4"/>
      <c r="K20" s="4"/>
      <c r="L20" s="4"/>
      <c r="M20" s="4"/>
      <c r="N20" s="4"/>
      <c r="O20" s="4"/>
      <c r="P20" s="4"/>
      <c r="Q20" s="4"/>
      <c r="R20" s="4"/>
      <c r="S20" s="4"/>
      <c r="T20" s="4"/>
    </row>
    <row r="21" ht="15.75" customHeight="1">
      <c r="B21" s="7"/>
      <c r="C21" s="4"/>
      <c r="D21" s="4"/>
      <c r="E21" s="5" t="s">
        <v>4</v>
      </c>
      <c r="F21" s="4"/>
      <c r="G21" s="4"/>
      <c r="H21" s="4"/>
      <c r="I21" s="4"/>
      <c r="J21" s="4"/>
      <c r="K21" s="4"/>
      <c r="L21" s="4"/>
      <c r="M21" s="4"/>
      <c r="N21" s="4"/>
      <c r="O21" s="4"/>
      <c r="P21" s="4"/>
      <c r="Q21" s="4"/>
      <c r="R21" s="4"/>
      <c r="S21" s="4"/>
      <c r="T21" s="4"/>
    </row>
    <row r="22" ht="15.75" customHeight="1">
      <c r="B22" s="4"/>
      <c r="C22" s="4"/>
      <c r="D22" s="4"/>
      <c r="E22" s="5" t="s">
        <v>4</v>
      </c>
      <c r="F22" s="4"/>
      <c r="G22" s="4"/>
      <c r="H22" s="4"/>
      <c r="I22" s="4"/>
      <c r="J22" s="4"/>
      <c r="K22" s="4"/>
      <c r="L22" s="4"/>
      <c r="M22" s="4"/>
      <c r="N22" s="4"/>
      <c r="O22" s="4"/>
      <c r="P22" s="4"/>
      <c r="Q22" s="4"/>
      <c r="R22" s="4"/>
      <c r="S22" s="4"/>
      <c r="T22" s="4"/>
    </row>
    <row r="23" ht="15.75" customHeight="1">
      <c r="B23" s="4"/>
      <c r="C23" s="4"/>
      <c r="D23" s="4"/>
      <c r="E23" s="5" t="s">
        <v>4</v>
      </c>
      <c r="F23" s="4"/>
      <c r="G23" s="4"/>
      <c r="H23" s="4"/>
      <c r="I23" s="4"/>
      <c r="J23" s="4"/>
      <c r="K23" s="4"/>
      <c r="L23" s="4"/>
      <c r="M23" s="4"/>
      <c r="N23" s="4"/>
      <c r="O23" s="4"/>
      <c r="P23" s="4"/>
      <c r="Q23" s="4"/>
      <c r="R23" s="4"/>
      <c r="S23" s="4"/>
      <c r="T23" s="4"/>
    </row>
    <row r="24" ht="15.75" customHeight="1">
      <c r="B24" s="4"/>
      <c r="C24" s="4"/>
      <c r="D24" s="4"/>
      <c r="E24" s="5" t="s">
        <v>4</v>
      </c>
      <c r="F24" s="4"/>
      <c r="G24" s="4"/>
      <c r="H24" s="4"/>
      <c r="I24" s="4"/>
      <c r="J24" s="4"/>
      <c r="K24" s="4"/>
      <c r="L24" s="4"/>
      <c r="M24" s="4"/>
      <c r="N24" s="4"/>
      <c r="O24" s="4"/>
      <c r="P24" s="4"/>
      <c r="Q24" s="4"/>
      <c r="R24" s="4"/>
      <c r="S24" s="4"/>
      <c r="T24" s="4"/>
    </row>
    <row r="25" ht="15.75" customHeight="1">
      <c r="B25" s="4"/>
      <c r="C25" s="4"/>
      <c r="D25" s="4"/>
      <c r="E25" s="5" t="s">
        <v>4</v>
      </c>
      <c r="F25" s="4"/>
      <c r="G25" s="4"/>
      <c r="H25" s="4"/>
      <c r="I25" s="4"/>
      <c r="J25" s="4"/>
      <c r="K25" s="4"/>
      <c r="L25" s="4"/>
      <c r="M25" s="4"/>
      <c r="N25" s="4"/>
      <c r="O25" s="4"/>
      <c r="P25" s="4"/>
      <c r="Q25" s="4"/>
      <c r="R25" s="4"/>
      <c r="S25" s="4"/>
      <c r="T25" s="4"/>
    </row>
    <row r="26" ht="15.75" customHeight="1">
      <c r="B26" s="4"/>
      <c r="C26" s="4"/>
      <c r="D26" s="4"/>
      <c r="E26" s="5" t="s">
        <v>4</v>
      </c>
      <c r="F26" s="4"/>
      <c r="G26" s="4"/>
      <c r="H26" s="4"/>
      <c r="I26" s="4"/>
      <c r="J26" s="4"/>
      <c r="K26" s="4"/>
      <c r="L26" s="4"/>
      <c r="M26" s="4"/>
      <c r="N26" s="4"/>
      <c r="O26" s="4"/>
      <c r="P26" s="4"/>
      <c r="Q26" s="4"/>
      <c r="R26" s="4"/>
      <c r="S26" s="4"/>
      <c r="T26" s="4"/>
    </row>
    <row r="27" ht="15.75" customHeight="1">
      <c r="B27" s="4"/>
      <c r="C27" s="4"/>
      <c r="D27" s="4"/>
      <c r="E27" s="5" t="s">
        <v>4</v>
      </c>
      <c r="F27" s="4"/>
      <c r="G27" s="4"/>
      <c r="H27" s="4"/>
      <c r="I27" s="4"/>
      <c r="J27" s="4"/>
      <c r="K27" s="4"/>
      <c r="L27" s="4"/>
      <c r="M27" s="4"/>
      <c r="N27" s="4"/>
      <c r="O27" s="4"/>
      <c r="P27" s="4"/>
      <c r="Q27" s="4"/>
      <c r="R27" s="4"/>
      <c r="S27" s="4"/>
      <c r="T27" s="4"/>
    </row>
    <row r="28" ht="15.75" customHeight="1">
      <c r="B28" s="4"/>
      <c r="C28" s="4"/>
      <c r="D28" s="4"/>
      <c r="E28" s="4"/>
      <c r="F28" s="4"/>
      <c r="G28" s="4"/>
      <c r="H28" s="4"/>
      <c r="I28" s="4"/>
      <c r="J28" s="4"/>
      <c r="K28" s="4"/>
      <c r="L28" s="4"/>
      <c r="M28" s="4"/>
      <c r="N28" s="4"/>
      <c r="O28" s="4"/>
      <c r="P28" s="4"/>
      <c r="Q28" s="4"/>
      <c r="R28" s="4"/>
      <c r="S28" s="4"/>
      <c r="T28" s="4"/>
    </row>
    <row r="29" ht="15.75" customHeight="1">
      <c r="J29" s="4"/>
      <c r="K29" s="4"/>
      <c r="L29" s="4"/>
      <c r="M29" s="4"/>
      <c r="N29" s="4"/>
      <c r="O29" s="4"/>
      <c r="P29" s="4"/>
      <c r="Q29" s="4"/>
      <c r="R29" s="4"/>
      <c r="S29" s="4"/>
      <c r="T29" s="4"/>
    </row>
    <row r="30" ht="15.75" customHeight="1">
      <c r="J30" s="4"/>
      <c r="K30" s="4"/>
      <c r="L30" s="4"/>
      <c r="M30" s="4"/>
      <c r="N30" s="4"/>
      <c r="O30" s="4"/>
      <c r="P30" s="4"/>
      <c r="Q30" s="4"/>
      <c r="R30" s="4"/>
      <c r="S30" s="4"/>
      <c r="T30" s="4"/>
    </row>
    <row r="31" ht="15.75" customHeight="1">
      <c r="J31" s="4"/>
      <c r="K31" s="4"/>
      <c r="L31" s="4"/>
      <c r="M31" s="4"/>
      <c r="N31" s="4"/>
      <c r="O31" s="4"/>
      <c r="P31" s="4"/>
      <c r="Q31" s="4"/>
      <c r="R31" s="4"/>
      <c r="S31" s="4"/>
      <c r="T31" s="4"/>
    </row>
    <row r="32" ht="15.75" customHeight="1">
      <c r="A32" s="8"/>
      <c r="J32" s="9"/>
      <c r="K32" s="9"/>
      <c r="L32" s="9"/>
      <c r="M32" s="9"/>
      <c r="N32" s="9"/>
      <c r="O32" s="10"/>
      <c r="P32" s="9"/>
      <c r="Q32" s="9"/>
      <c r="R32" s="9"/>
      <c r="S32" s="9"/>
      <c r="T32" s="9"/>
      <c r="U32" s="8"/>
      <c r="V32" s="11"/>
      <c r="W32" s="11"/>
      <c r="X32" s="11"/>
      <c r="Y32" s="8"/>
      <c r="Z32" s="8"/>
    </row>
    <row r="33" ht="15.75" customHeight="1">
      <c r="A33" s="8"/>
      <c r="B33" s="10"/>
      <c r="C33" s="9"/>
      <c r="D33" s="9"/>
      <c r="E33" s="9"/>
      <c r="F33" s="12">
        <v>90.0</v>
      </c>
      <c r="G33" s="9"/>
      <c r="H33" s="9"/>
      <c r="I33" s="9"/>
      <c r="J33" s="9"/>
      <c r="K33" s="9"/>
      <c r="L33" s="9"/>
      <c r="M33" s="9"/>
      <c r="N33" s="9"/>
      <c r="O33" s="10"/>
      <c r="P33" s="9"/>
      <c r="Q33" s="9"/>
      <c r="R33" s="9"/>
      <c r="S33" s="9"/>
      <c r="T33" s="9"/>
      <c r="U33" s="8"/>
      <c r="V33" s="11"/>
      <c r="W33" s="11"/>
      <c r="X33" s="11"/>
      <c r="Y33" s="8"/>
      <c r="Z33" s="8"/>
    </row>
    <row r="34" ht="15.75" customHeight="1">
      <c r="A34" s="8"/>
      <c r="B34" s="10"/>
      <c r="C34" s="9"/>
      <c r="D34" s="9"/>
      <c r="E34" s="9"/>
      <c r="F34" s="9"/>
      <c r="G34" s="9"/>
      <c r="H34" s="9"/>
      <c r="I34" s="9"/>
      <c r="J34" s="9"/>
      <c r="K34" s="9"/>
      <c r="L34" s="9"/>
      <c r="M34" s="9"/>
      <c r="N34" s="9"/>
      <c r="O34" s="10"/>
      <c r="P34" s="9"/>
      <c r="Q34" s="9"/>
      <c r="R34" s="9"/>
      <c r="S34" s="9"/>
      <c r="T34" s="9"/>
      <c r="U34" s="8"/>
      <c r="V34" s="11"/>
      <c r="W34" s="11"/>
      <c r="X34" s="11"/>
      <c r="Y34" s="8"/>
      <c r="Z34" s="8"/>
    </row>
    <row r="35" ht="15.75" customHeight="1">
      <c r="A35" s="8"/>
      <c r="B35" s="10"/>
      <c r="C35" s="9"/>
      <c r="D35" s="9"/>
      <c r="E35" s="9"/>
      <c r="F35" s="9"/>
      <c r="G35" s="9"/>
      <c r="H35" s="9"/>
      <c r="I35" s="9"/>
      <c r="J35" s="9"/>
      <c r="K35" s="9"/>
      <c r="L35" s="9"/>
      <c r="M35" s="9"/>
      <c r="N35" s="9"/>
      <c r="O35" s="10"/>
      <c r="P35" s="9"/>
      <c r="Q35" s="9"/>
      <c r="R35" s="9"/>
      <c r="S35" s="9"/>
      <c r="T35" s="9"/>
      <c r="U35" s="8"/>
      <c r="V35" s="11"/>
      <c r="W35" s="11"/>
      <c r="X35" s="11"/>
      <c r="Y35" s="8"/>
      <c r="Z35" s="8"/>
    </row>
    <row r="36" ht="15.75" customHeight="1">
      <c r="B36" s="13" t="s">
        <v>6</v>
      </c>
      <c r="C36" s="14"/>
      <c r="D36" s="14"/>
      <c r="E36" s="14"/>
      <c r="F36" s="14"/>
      <c r="G36" s="14"/>
      <c r="H36" s="14"/>
      <c r="I36" s="14"/>
      <c r="J36" s="14"/>
      <c r="K36" s="14"/>
      <c r="L36" s="14"/>
      <c r="M36" s="14"/>
      <c r="N36" s="4"/>
      <c r="O36" s="13" t="s">
        <v>7</v>
      </c>
      <c r="P36" s="14"/>
      <c r="Q36" s="4"/>
      <c r="R36" s="4"/>
      <c r="S36" s="4"/>
      <c r="T36" s="4"/>
      <c r="V36" s="15"/>
      <c r="W36" s="15"/>
      <c r="X36" s="15"/>
    </row>
    <row r="37" ht="15.75" customHeight="1">
      <c r="B37" s="4"/>
      <c r="C37" s="4"/>
      <c r="D37" s="4"/>
      <c r="E37" s="4"/>
      <c r="F37" s="4"/>
      <c r="G37" s="4"/>
      <c r="H37" s="4"/>
      <c r="I37" s="4"/>
      <c r="J37" s="4"/>
      <c r="K37" s="4"/>
      <c r="L37" s="4"/>
      <c r="M37" s="4"/>
      <c r="N37" s="4"/>
      <c r="O37" s="4"/>
      <c r="P37" s="4"/>
      <c r="Q37" s="4"/>
      <c r="R37" s="4"/>
      <c r="S37" s="4"/>
      <c r="T37" s="4"/>
    </row>
    <row r="38" ht="15.75" customHeight="1">
      <c r="B38" s="4"/>
      <c r="C38" s="4"/>
      <c r="D38" s="4"/>
      <c r="E38" s="4"/>
      <c r="F38" s="4"/>
      <c r="G38" s="4"/>
      <c r="H38" s="4"/>
      <c r="I38" s="4"/>
      <c r="J38" s="4"/>
      <c r="K38" s="4"/>
      <c r="L38" s="4"/>
      <c r="M38" s="4"/>
      <c r="N38" s="4"/>
      <c r="O38" s="4"/>
      <c r="P38" s="4"/>
      <c r="Q38" s="4"/>
      <c r="R38" s="4"/>
      <c r="S38" s="4"/>
      <c r="T38" s="4"/>
    </row>
    <row r="39" ht="15.75" customHeight="1">
      <c r="A39" s="16"/>
      <c r="R39" s="16"/>
      <c r="S39" s="16"/>
      <c r="T39" s="16"/>
      <c r="U39" s="16"/>
      <c r="V39" s="16"/>
      <c r="W39" s="16"/>
      <c r="X39" s="16"/>
      <c r="Y39" s="16"/>
      <c r="Z39" s="1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c r="O177" s="4"/>
      <c r="P177" s="4"/>
      <c r="Q177" s="4"/>
      <c r="R177" s="4"/>
      <c r="S177" s="4"/>
      <c r="T177" s="4"/>
    </row>
    <row r="178" ht="15.75" customHeight="1">
      <c r="O178" s="4"/>
      <c r="P178" s="4"/>
      <c r="Q178" s="4"/>
      <c r="R178" s="4"/>
      <c r="S178" s="4"/>
      <c r="T178" s="4"/>
    </row>
    <row r="179" ht="15.75" customHeight="1">
      <c r="O179" s="4"/>
      <c r="P179" s="4"/>
      <c r="Q179" s="4"/>
      <c r="R179" s="4"/>
      <c r="S179" s="4"/>
      <c r="T179" s="4"/>
    </row>
    <row r="180" ht="15.75" customHeight="1">
      <c r="O180" s="4"/>
      <c r="P180" s="4"/>
      <c r="Q180" s="4"/>
      <c r="R180" s="4"/>
      <c r="S180" s="4"/>
      <c r="T180" s="4"/>
    </row>
    <row r="181" ht="15.75" customHeight="1">
      <c r="O181" s="4"/>
      <c r="P181" s="4"/>
      <c r="Q181" s="4"/>
      <c r="R181" s="4"/>
      <c r="S181" s="4"/>
      <c r="T181" s="4"/>
    </row>
    <row r="182" ht="15.75" customHeight="1">
      <c r="O182" s="4"/>
      <c r="P182" s="4"/>
      <c r="Q182" s="4"/>
      <c r="R182" s="4"/>
      <c r="S182" s="4"/>
      <c r="T182" s="4"/>
    </row>
    <row r="183" ht="15.75" customHeight="1">
      <c r="O183" s="4"/>
      <c r="P183" s="4"/>
      <c r="Q183" s="4"/>
      <c r="R183" s="4"/>
      <c r="S183" s="4"/>
      <c r="T183" s="4"/>
    </row>
    <row r="184" ht="15.75" customHeight="1">
      <c r="O184" s="4"/>
      <c r="P184" s="4"/>
      <c r="Q184" s="4"/>
      <c r="R184" s="4"/>
      <c r="S184" s="4"/>
      <c r="T184" s="4"/>
    </row>
    <row r="185" ht="15.75" customHeight="1">
      <c r="O185" s="4"/>
      <c r="P185" s="4"/>
      <c r="Q185" s="4"/>
      <c r="R185" s="4"/>
      <c r="S185" s="4"/>
      <c r="T185" s="4"/>
    </row>
    <row r="186" ht="15.75" customHeight="1">
      <c r="O186" s="4"/>
      <c r="P186" s="4"/>
      <c r="Q186" s="4"/>
      <c r="R186" s="4"/>
      <c r="S186" s="4"/>
      <c r="T186" s="4"/>
    </row>
    <row r="187" ht="15.75" customHeight="1">
      <c r="O187" s="4"/>
      <c r="P187" s="4"/>
      <c r="Q187" s="4"/>
      <c r="R187" s="4"/>
      <c r="S187" s="4"/>
      <c r="T187" s="4"/>
    </row>
    <row r="188" ht="15.75" customHeight="1">
      <c r="O188" s="4"/>
      <c r="P188" s="4"/>
      <c r="Q188" s="4"/>
      <c r="R188" s="4"/>
      <c r="S188" s="4"/>
      <c r="T188" s="4"/>
    </row>
    <row r="189" ht="15.75" customHeight="1">
      <c r="O189" s="4"/>
      <c r="P189" s="4"/>
      <c r="Q189" s="4"/>
      <c r="R189" s="4"/>
      <c r="S189" s="4"/>
      <c r="T189" s="4"/>
    </row>
    <row r="190" ht="15.75" customHeight="1">
      <c r="O190" s="4"/>
      <c r="P190" s="4"/>
      <c r="Q190" s="4"/>
      <c r="R190" s="4"/>
      <c r="S190" s="4"/>
      <c r="T190" s="4"/>
    </row>
    <row r="191" ht="15.75" customHeight="1">
      <c r="O191" s="4"/>
      <c r="P191" s="4"/>
      <c r="Q191" s="4"/>
      <c r="R191" s="4"/>
      <c r="S191" s="4"/>
      <c r="T191" s="4"/>
    </row>
    <row r="192" ht="15.75" customHeight="1">
      <c r="O192" s="4"/>
      <c r="P192" s="4"/>
      <c r="Q192" s="4"/>
      <c r="R192" s="4"/>
      <c r="S192" s="4"/>
      <c r="T192" s="4"/>
    </row>
    <row r="193" ht="15.75" customHeight="1">
      <c r="O193" s="4"/>
      <c r="P193" s="4"/>
      <c r="Q193" s="4"/>
      <c r="R193" s="4"/>
      <c r="S193" s="4"/>
      <c r="T193" s="4"/>
    </row>
    <row r="194" ht="15.75" customHeight="1">
      <c r="O194" s="4"/>
      <c r="P194" s="4"/>
      <c r="Q194" s="4"/>
      <c r="R194" s="4"/>
      <c r="S194" s="4"/>
      <c r="T194" s="4"/>
    </row>
    <row r="195" ht="15.75" customHeight="1">
      <c r="O195" s="4"/>
      <c r="P195" s="4"/>
      <c r="Q195" s="4"/>
      <c r="R195" s="4"/>
      <c r="S195" s="4"/>
      <c r="T195" s="4"/>
    </row>
    <row r="196" ht="15.75" customHeight="1">
      <c r="O196" s="4"/>
      <c r="P196" s="4"/>
      <c r="Q196" s="4"/>
      <c r="R196" s="4"/>
      <c r="S196" s="4"/>
      <c r="T196" s="4"/>
    </row>
    <row r="197" ht="15.75" customHeight="1">
      <c r="O197" s="4"/>
      <c r="P197" s="4"/>
      <c r="Q197" s="4"/>
      <c r="R197" s="4"/>
      <c r="S197" s="4"/>
      <c r="T197" s="4"/>
    </row>
    <row r="198" ht="15.75" customHeight="1">
      <c r="O198" s="4"/>
      <c r="P198" s="4"/>
      <c r="Q198" s="4"/>
      <c r="R198" s="4"/>
      <c r="S198" s="4"/>
      <c r="T198" s="4"/>
    </row>
    <row r="199" ht="15.75" customHeight="1">
      <c r="O199" s="4"/>
      <c r="P199" s="4"/>
      <c r="Q199" s="4"/>
      <c r="R199" s="4"/>
      <c r="S199" s="4"/>
      <c r="T199" s="4"/>
    </row>
    <row r="200" ht="15.75" customHeight="1">
      <c r="O200" s="4"/>
      <c r="P200" s="4"/>
      <c r="Q200" s="4"/>
      <c r="R200" s="4"/>
      <c r="S200" s="4"/>
      <c r="T200" s="4"/>
    </row>
    <row r="201" ht="15.75" customHeight="1">
      <c r="O201" s="4"/>
      <c r="P201" s="4"/>
      <c r="Q201" s="4"/>
      <c r="R201" s="4"/>
      <c r="S201" s="4"/>
      <c r="T201" s="4"/>
    </row>
    <row r="202" ht="15.75" customHeight="1">
      <c r="B202" s="4"/>
      <c r="C202" s="4"/>
      <c r="D202" s="4"/>
      <c r="E202" s="4"/>
      <c r="F202" s="4"/>
      <c r="G202" s="4"/>
      <c r="H202" s="4"/>
      <c r="I202" s="4"/>
      <c r="J202" s="4"/>
      <c r="K202" s="4"/>
      <c r="L202" s="4"/>
      <c r="M202" s="4"/>
      <c r="N202" s="4"/>
      <c r="O202" s="4"/>
      <c r="P202" s="4"/>
      <c r="Q202" s="4"/>
      <c r="R202" s="4"/>
      <c r="S202" s="4"/>
      <c r="T202" s="4"/>
    </row>
    <row r="203" ht="15.75" customHeight="1">
      <c r="B203" s="4"/>
      <c r="C203" s="4"/>
      <c r="D203" s="4"/>
      <c r="E203" s="4"/>
      <c r="F203" s="4"/>
      <c r="G203" s="4"/>
      <c r="H203" s="4"/>
      <c r="I203" s="4"/>
      <c r="J203" s="4"/>
      <c r="K203" s="4"/>
      <c r="L203" s="4"/>
      <c r="M203" s="4"/>
      <c r="N203" s="4"/>
      <c r="O203" s="4"/>
      <c r="P203" s="4"/>
      <c r="Q203" s="4"/>
      <c r="R203" s="4"/>
      <c r="S203" s="4"/>
      <c r="T203" s="4"/>
    </row>
    <row r="204" ht="15.75" customHeight="1">
      <c r="B204" s="4"/>
      <c r="C204" s="4"/>
      <c r="D204" s="4"/>
      <c r="E204" s="4"/>
      <c r="F204" s="4"/>
      <c r="G204" s="4"/>
      <c r="H204" s="4"/>
      <c r="I204" s="4"/>
      <c r="J204" s="4"/>
      <c r="K204" s="4"/>
      <c r="L204" s="4"/>
      <c r="M204" s="4"/>
      <c r="N204" s="4"/>
      <c r="O204" s="4"/>
      <c r="P204" s="4"/>
      <c r="Q204" s="4"/>
      <c r="R204" s="4"/>
      <c r="S204" s="4"/>
      <c r="T204" s="4"/>
    </row>
    <row r="205" ht="15.75" customHeight="1">
      <c r="B205" s="4"/>
      <c r="C205" s="4"/>
      <c r="D205" s="4"/>
      <c r="E205" s="4"/>
      <c r="F205" s="4"/>
      <c r="G205" s="4"/>
      <c r="H205" s="4"/>
      <c r="I205" s="4"/>
      <c r="J205" s="4"/>
      <c r="K205" s="4"/>
      <c r="L205" s="4"/>
      <c r="M205" s="4"/>
      <c r="N205" s="4"/>
      <c r="O205" s="4"/>
      <c r="P205" s="4"/>
      <c r="Q205" s="4"/>
      <c r="R205" s="4"/>
      <c r="S205" s="4"/>
      <c r="T205" s="4"/>
    </row>
    <row r="206" ht="15.75" customHeight="1">
      <c r="B206" s="4"/>
      <c r="C206" s="4"/>
      <c r="D206" s="4"/>
      <c r="E206" s="4"/>
      <c r="F206" s="4"/>
      <c r="G206" s="4"/>
      <c r="H206" s="4"/>
      <c r="I206" s="4"/>
      <c r="J206" s="4"/>
      <c r="K206" s="4"/>
      <c r="L206" s="4"/>
      <c r="M206" s="4"/>
      <c r="N206" s="4"/>
      <c r="O206" s="4"/>
      <c r="P206" s="4"/>
      <c r="Q206" s="4"/>
      <c r="R206" s="4"/>
      <c r="S206" s="4"/>
      <c r="T206" s="4"/>
    </row>
    <row r="207" ht="15.75" customHeight="1">
      <c r="B207" s="4"/>
      <c r="C207" s="4"/>
      <c r="D207" s="4"/>
      <c r="E207" s="4"/>
      <c r="F207" s="4"/>
      <c r="G207" s="4"/>
      <c r="H207" s="4"/>
      <c r="I207" s="4"/>
      <c r="J207" s="4"/>
      <c r="K207" s="4"/>
      <c r="L207" s="4"/>
      <c r="M207" s="4"/>
      <c r="N207" s="4"/>
      <c r="O207" s="4"/>
      <c r="P207" s="4"/>
      <c r="Q207" s="4"/>
      <c r="R207" s="4"/>
      <c r="S207" s="4"/>
      <c r="T207" s="4"/>
    </row>
    <row r="208" ht="15.75" customHeight="1">
      <c r="B208" s="4"/>
      <c r="C208" s="4"/>
      <c r="D208" s="4"/>
      <c r="E208" s="4"/>
      <c r="F208" s="4"/>
      <c r="G208" s="4"/>
      <c r="H208" s="4"/>
      <c r="I208" s="4"/>
      <c r="J208" s="4"/>
      <c r="K208" s="4"/>
      <c r="L208" s="4"/>
      <c r="M208" s="4"/>
      <c r="N208" s="4"/>
      <c r="O208" s="4"/>
      <c r="P208" s="4"/>
      <c r="Q208" s="4"/>
      <c r="R208" s="4"/>
      <c r="S208" s="4"/>
      <c r="T208" s="4"/>
    </row>
    <row r="209" ht="15.75" customHeight="1">
      <c r="B209" s="4"/>
      <c r="C209" s="4"/>
      <c r="D209" s="4"/>
      <c r="E209" s="4"/>
      <c r="F209" s="4"/>
      <c r="G209" s="4"/>
      <c r="H209" s="4"/>
      <c r="I209" s="4"/>
      <c r="J209" s="4"/>
      <c r="K209" s="4"/>
      <c r="L209" s="4"/>
      <c r="M209" s="4"/>
      <c r="N209" s="4"/>
      <c r="O209" s="4"/>
      <c r="P209" s="4"/>
      <c r="Q209" s="4"/>
      <c r="R209" s="4"/>
      <c r="S209" s="4"/>
      <c r="T209" s="4"/>
    </row>
    <row r="210" ht="15.75" customHeight="1">
      <c r="B210" s="4"/>
      <c r="C210" s="4"/>
      <c r="D210" s="4"/>
      <c r="E210" s="4"/>
      <c r="F210" s="4"/>
      <c r="G210" s="4"/>
      <c r="H210" s="4"/>
      <c r="I210" s="4"/>
      <c r="J210" s="4"/>
      <c r="K210" s="4"/>
      <c r="L210" s="4"/>
      <c r="M210" s="4"/>
      <c r="N210" s="4"/>
      <c r="O210" s="4"/>
      <c r="P210" s="4"/>
      <c r="Q210" s="4"/>
      <c r="R210" s="4"/>
      <c r="S210" s="4"/>
      <c r="T210" s="4"/>
    </row>
    <row r="211" ht="15.75" customHeight="1">
      <c r="B211" s="4"/>
      <c r="C211" s="4"/>
      <c r="D211" s="4"/>
      <c r="E211" s="4"/>
      <c r="F211" s="4"/>
      <c r="G211" s="4"/>
      <c r="H211" s="4"/>
      <c r="I211" s="4"/>
      <c r="J211" s="4"/>
      <c r="K211" s="4"/>
      <c r="L211" s="4"/>
      <c r="M211" s="4"/>
      <c r="N211" s="4"/>
      <c r="O211" s="4"/>
      <c r="P211" s="4"/>
      <c r="Q211" s="4"/>
      <c r="R211" s="4"/>
      <c r="S211" s="4"/>
      <c r="T211" s="4"/>
    </row>
    <row r="212" ht="15.75" customHeight="1">
      <c r="B212" s="4"/>
      <c r="C212" s="4"/>
      <c r="D212" s="4"/>
      <c r="E212" s="4"/>
      <c r="F212" s="4"/>
      <c r="G212" s="4"/>
      <c r="H212" s="4"/>
      <c r="I212" s="4"/>
      <c r="J212" s="4"/>
      <c r="K212" s="4"/>
      <c r="L212" s="4"/>
      <c r="M212" s="4"/>
      <c r="N212" s="4"/>
      <c r="O212" s="4"/>
      <c r="P212" s="4"/>
      <c r="Q212" s="4"/>
      <c r="R212" s="4"/>
      <c r="S212" s="4"/>
      <c r="T212" s="4"/>
    </row>
    <row r="213" ht="15.75" customHeight="1">
      <c r="B213" s="4"/>
      <c r="C213" s="4"/>
      <c r="D213" s="4"/>
      <c r="E213" s="4"/>
      <c r="F213" s="4"/>
      <c r="G213" s="4"/>
      <c r="H213" s="4"/>
      <c r="I213" s="4"/>
      <c r="J213" s="4"/>
      <c r="K213" s="4"/>
      <c r="L213" s="4"/>
      <c r="M213" s="4"/>
      <c r="N213" s="4"/>
      <c r="O213" s="4"/>
      <c r="P213" s="4"/>
      <c r="Q213" s="4"/>
      <c r="R213" s="4"/>
      <c r="S213" s="4"/>
      <c r="T213" s="4"/>
    </row>
    <row r="214" ht="15.75" customHeight="1">
      <c r="B214" s="4"/>
      <c r="C214" s="4"/>
      <c r="D214" s="4"/>
      <c r="E214" s="4"/>
      <c r="F214" s="4"/>
      <c r="G214" s="4"/>
      <c r="H214" s="4"/>
      <c r="I214" s="4"/>
      <c r="J214" s="4"/>
      <c r="K214" s="4"/>
      <c r="L214" s="4"/>
      <c r="M214" s="4"/>
      <c r="N214" s="4"/>
      <c r="O214" s="4"/>
      <c r="P214" s="4"/>
      <c r="Q214" s="4"/>
      <c r="R214" s="4"/>
      <c r="S214" s="4"/>
      <c r="T214" s="4"/>
    </row>
    <row r="215" ht="15.75" customHeight="1">
      <c r="B215" s="4"/>
      <c r="C215" s="4"/>
      <c r="D215" s="4"/>
      <c r="E215" s="4"/>
      <c r="F215" s="4"/>
      <c r="G215" s="4"/>
      <c r="H215" s="4"/>
      <c r="I215" s="4"/>
      <c r="J215" s="4"/>
      <c r="K215" s="4"/>
      <c r="L215" s="4"/>
      <c r="M215" s="4"/>
      <c r="N215" s="4"/>
      <c r="O215" s="4"/>
      <c r="P215" s="4"/>
      <c r="Q215" s="4"/>
      <c r="R215" s="4"/>
      <c r="S215" s="4"/>
      <c r="T215" s="4"/>
    </row>
    <row r="216" ht="15.75" customHeight="1">
      <c r="B216" s="4"/>
      <c r="C216" s="4"/>
      <c r="D216" s="4"/>
      <c r="E216" s="4"/>
      <c r="F216" s="4"/>
      <c r="G216" s="4"/>
      <c r="H216" s="4"/>
      <c r="I216" s="4"/>
      <c r="J216" s="4"/>
      <c r="K216" s="4"/>
      <c r="L216" s="4"/>
      <c r="M216" s="4"/>
      <c r="N216" s="4"/>
      <c r="O216" s="4"/>
      <c r="P216" s="4"/>
      <c r="Q216" s="4"/>
      <c r="R216" s="4"/>
      <c r="S216" s="4"/>
      <c r="T216" s="4"/>
    </row>
    <row r="217" ht="15.75" customHeight="1">
      <c r="B217" s="4"/>
      <c r="C217" s="4"/>
      <c r="D217" s="4"/>
      <c r="E217" s="4"/>
      <c r="F217" s="4"/>
      <c r="G217" s="4"/>
      <c r="H217" s="4"/>
      <c r="I217" s="4"/>
      <c r="J217" s="4"/>
      <c r="K217" s="4"/>
      <c r="L217" s="4"/>
      <c r="M217" s="4"/>
      <c r="N217" s="4"/>
      <c r="O217" s="4"/>
      <c r="P217" s="4"/>
      <c r="Q217" s="4"/>
      <c r="R217" s="4"/>
      <c r="S217" s="4"/>
      <c r="T217" s="4"/>
    </row>
    <row r="218" ht="15.75" customHeight="1">
      <c r="B218" s="4"/>
      <c r="C218" s="4"/>
      <c r="D218" s="4"/>
      <c r="E218" s="4"/>
      <c r="F218" s="4"/>
      <c r="G218" s="4"/>
      <c r="H218" s="4"/>
      <c r="I218" s="4"/>
      <c r="J218" s="4"/>
      <c r="K218" s="4"/>
      <c r="L218" s="4"/>
      <c r="M218" s="4"/>
      <c r="N218" s="4"/>
      <c r="O218" s="4"/>
      <c r="P218" s="4"/>
      <c r="Q218" s="4"/>
      <c r="R218" s="4"/>
      <c r="S218" s="4"/>
      <c r="T218" s="4"/>
    </row>
    <row r="219" ht="15.75" customHeight="1">
      <c r="B219" s="4"/>
      <c r="C219" s="4"/>
      <c r="D219" s="4"/>
      <c r="E219" s="4"/>
      <c r="F219" s="4"/>
      <c r="G219" s="4"/>
      <c r="H219" s="4"/>
      <c r="I219" s="4"/>
      <c r="J219" s="4"/>
      <c r="K219" s="4"/>
      <c r="L219" s="4"/>
      <c r="M219" s="4"/>
      <c r="N219" s="4"/>
      <c r="O219" s="4"/>
      <c r="P219" s="4"/>
      <c r="Q219" s="4"/>
      <c r="R219" s="4"/>
      <c r="S219" s="4"/>
      <c r="T219" s="4"/>
    </row>
    <row r="220" ht="15.75" customHeight="1">
      <c r="B220" s="4"/>
      <c r="C220" s="4"/>
      <c r="D220" s="4"/>
      <c r="E220" s="4"/>
      <c r="F220" s="4"/>
      <c r="G220" s="4"/>
      <c r="H220" s="4"/>
      <c r="I220" s="4"/>
      <c r="J220" s="4"/>
      <c r="K220" s="4"/>
      <c r="L220" s="4"/>
      <c r="M220" s="4"/>
      <c r="N220" s="4"/>
      <c r="O220" s="4"/>
      <c r="P220" s="4"/>
      <c r="Q220" s="4"/>
      <c r="R220" s="4"/>
      <c r="S220" s="4"/>
      <c r="T220" s="4"/>
    </row>
    <row r="221" ht="15.75" customHeight="1">
      <c r="B221" s="4"/>
      <c r="C221" s="4"/>
      <c r="D221" s="4"/>
      <c r="E221" s="4"/>
      <c r="F221" s="4"/>
      <c r="G221" s="4"/>
      <c r="H221" s="4"/>
      <c r="I221" s="4"/>
      <c r="J221" s="4"/>
      <c r="K221" s="4"/>
      <c r="L221" s="4"/>
      <c r="M221" s="4"/>
      <c r="N221" s="4"/>
      <c r="O221" s="4"/>
      <c r="P221" s="4"/>
      <c r="Q221" s="4"/>
      <c r="R221" s="4"/>
      <c r="S221" s="4"/>
      <c r="T221" s="4"/>
    </row>
    <row r="222" ht="15.75" customHeight="1">
      <c r="B222" s="4"/>
      <c r="C222" s="4"/>
      <c r="D222" s="4"/>
      <c r="E222" s="4"/>
      <c r="F222" s="4"/>
      <c r="G222" s="4"/>
      <c r="H222" s="4"/>
      <c r="I222" s="4"/>
      <c r="J222" s="4"/>
      <c r="K222" s="4"/>
      <c r="L222" s="4"/>
      <c r="M222" s="4"/>
      <c r="N222" s="4"/>
      <c r="O222" s="4"/>
      <c r="P222" s="4"/>
      <c r="Q222" s="4"/>
      <c r="R222" s="4"/>
      <c r="S222" s="4"/>
      <c r="T222" s="4"/>
    </row>
    <row r="223" ht="15.75" customHeight="1">
      <c r="B223" s="4"/>
      <c r="C223" s="4"/>
      <c r="D223" s="4"/>
      <c r="E223" s="4"/>
      <c r="F223" s="4"/>
      <c r="G223" s="4"/>
      <c r="H223" s="4"/>
      <c r="I223" s="4"/>
      <c r="J223" s="4"/>
      <c r="K223" s="4"/>
      <c r="L223" s="4"/>
      <c r="M223" s="4"/>
      <c r="N223" s="4"/>
      <c r="O223" s="4"/>
      <c r="P223" s="4"/>
      <c r="Q223" s="4"/>
      <c r="R223" s="4"/>
      <c r="S223" s="4"/>
      <c r="T223" s="4"/>
    </row>
    <row r="224" ht="15.75" customHeight="1">
      <c r="B224" s="4"/>
      <c r="C224" s="4"/>
      <c r="D224" s="4"/>
      <c r="E224" s="4"/>
      <c r="F224" s="4"/>
      <c r="G224" s="4"/>
      <c r="H224" s="4"/>
      <c r="I224" s="4"/>
      <c r="J224" s="4"/>
      <c r="K224" s="4"/>
      <c r="L224" s="4"/>
      <c r="M224" s="4"/>
      <c r="N224" s="4"/>
      <c r="O224" s="4"/>
      <c r="P224" s="4"/>
      <c r="Q224" s="4"/>
      <c r="R224" s="4"/>
      <c r="S224" s="4"/>
      <c r="T224" s="4"/>
    </row>
    <row r="225" ht="15.75" customHeight="1">
      <c r="B225" s="4"/>
      <c r="C225" s="4"/>
      <c r="D225" s="4"/>
      <c r="E225" s="4"/>
      <c r="F225" s="4"/>
      <c r="G225" s="4"/>
      <c r="H225" s="4"/>
      <c r="I225" s="4"/>
      <c r="J225" s="4"/>
      <c r="K225" s="4"/>
      <c r="L225" s="4"/>
      <c r="M225" s="4"/>
      <c r="N225" s="4"/>
      <c r="O225" s="4"/>
      <c r="P225" s="4"/>
      <c r="Q225" s="4"/>
      <c r="R225" s="4"/>
      <c r="S225" s="4"/>
      <c r="T225" s="4"/>
    </row>
    <row r="226" ht="15.75" customHeight="1">
      <c r="B226" s="4"/>
      <c r="C226" s="4"/>
      <c r="D226" s="4"/>
      <c r="E226" s="4"/>
      <c r="F226" s="4"/>
      <c r="G226" s="4"/>
      <c r="H226" s="4"/>
      <c r="I226" s="4"/>
      <c r="J226" s="4"/>
      <c r="K226" s="4"/>
      <c r="L226" s="4"/>
      <c r="M226" s="4"/>
      <c r="N226" s="4"/>
      <c r="O226" s="4"/>
      <c r="P226" s="4"/>
      <c r="Q226" s="4"/>
      <c r="R226" s="4"/>
      <c r="S226" s="4"/>
      <c r="T226" s="4"/>
    </row>
    <row r="227" ht="15.75" customHeight="1">
      <c r="B227" s="4"/>
      <c r="C227" s="4"/>
      <c r="D227" s="4"/>
      <c r="E227" s="4"/>
      <c r="F227" s="4"/>
      <c r="G227" s="4"/>
      <c r="H227" s="4"/>
      <c r="I227" s="4"/>
      <c r="J227" s="4"/>
      <c r="K227" s="4"/>
      <c r="L227" s="4"/>
      <c r="M227" s="4"/>
      <c r="N227" s="4"/>
      <c r="O227" s="4"/>
      <c r="P227" s="4"/>
      <c r="Q227" s="4"/>
      <c r="R227" s="4"/>
      <c r="S227" s="4"/>
      <c r="T227" s="4"/>
    </row>
    <row r="228" ht="15.75" customHeight="1">
      <c r="B228" s="4"/>
      <c r="C228" s="4"/>
      <c r="D228" s="4"/>
      <c r="E228" s="4"/>
      <c r="F228" s="4"/>
      <c r="G228" s="4"/>
      <c r="H228" s="4"/>
      <c r="I228" s="4"/>
      <c r="J228" s="4"/>
      <c r="K228" s="4"/>
      <c r="L228" s="4"/>
      <c r="M228" s="4"/>
      <c r="N228" s="4"/>
      <c r="O228" s="4"/>
      <c r="P228" s="4"/>
      <c r="Q228" s="4"/>
      <c r="R228" s="4"/>
      <c r="S228" s="4"/>
      <c r="T228" s="4"/>
    </row>
    <row r="229" ht="15.75" customHeight="1">
      <c r="B229" s="4"/>
      <c r="C229" s="4"/>
      <c r="D229" s="4"/>
      <c r="E229" s="4"/>
      <c r="F229" s="4"/>
      <c r="G229" s="4"/>
      <c r="H229" s="4"/>
      <c r="I229" s="4"/>
      <c r="J229" s="4"/>
      <c r="K229" s="4"/>
      <c r="L229" s="4"/>
      <c r="M229" s="4"/>
      <c r="N229" s="4"/>
      <c r="O229" s="4"/>
      <c r="P229" s="4"/>
      <c r="Q229" s="4"/>
      <c r="R229" s="4"/>
      <c r="S229" s="4"/>
      <c r="T229" s="4"/>
    </row>
    <row r="230" ht="15.75" customHeight="1">
      <c r="B230" s="4"/>
      <c r="C230" s="4"/>
      <c r="D230" s="4"/>
      <c r="E230" s="4"/>
      <c r="F230" s="4"/>
      <c r="G230" s="4"/>
      <c r="H230" s="4"/>
      <c r="I230" s="4"/>
      <c r="J230" s="4"/>
      <c r="K230" s="4"/>
      <c r="L230" s="4"/>
      <c r="M230" s="4"/>
      <c r="N230" s="4"/>
      <c r="O230" s="4"/>
      <c r="P230" s="4"/>
      <c r="Q230" s="4"/>
      <c r="R230" s="4"/>
      <c r="S230" s="4"/>
      <c r="T230" s="4"/>
    </row>
    <row r="231" ht="15.75" customHeight="1">
      <c r="B231" s="4"/>
      <c r="C231" s="4"/>
      <c r="D231" s="4"/>
      <c r="E231" s="4"/>
      <c r="F231" s="4"/>
      <c r="G231" s="4"/>
      <c r="H231" s="4"/>
      <c r="I231" s="4"/>
      <c r="J231" s="4"/>
      <c r="K231" s="4"/>
      <c r="L231" s="4"/>
      <c r="M231" s="4"/>
      <c r="N231" s="4"/>
      <c r="O231" s="4"/>
      <c r="P231" s="4"/>
      <c r="Q231" s="4"/>
      <c r="R231" s="4"/>
      <c r="S231" s="4"/>
      <c r="T231" s="4"/>
    </row>
    <row r="232" ht="15.75" customHeight="1">
      <c r="B232" s="4"/>
      <c r="C232" s="4"/>
      <c r="D232" s="4"/>
      <c r="E232" s="4"/>
      <c r="F232" s="4"/>
      <c r="G232" s="4"/>
      <c r="H232" s="4"/>
      <c r="I232" s="4"/>
      <c r="J232" s="4"/>
      <c r="K232" s="4"/>
      <c r="L232" s="4"/>
      <c r="M232" s="4"/>
      <c r="N232" s="4"/>
      <c r="O232" s="4"/>
      <c r="P232" s="4"/>
      <c r="Q232" s="4"/>
      <c r="R232" s="4"/>
      <c r="S232" s="4"/>
      <c r="T232" s="4"/>
    </row>
    <row r="233" ht="15.75" customHeight="1">
      <c r="B233" s="4"/>
      <c r="C233" s="4"/>
      <c r="D233" s="4"/>
      <c r="E233" s="4"/>
      <c r="F233" s="4"/>
      <c r="G233" s="4"/>
      <c r="H233" s="4"/>
      <c r="I233" s="4"/>
      <c r="J233" s="4"/>
      <c r="K233" s="4"/>
      <c r="L233" s="4"/>
      <c r="M233" s="4"/>
      <c r="N233" s="4"/>
      <c r="O233" s="4"/>
      <c r="P233" s="4"/>
      <c r="Q233" s="4"/>
      <c r="R233" s="4"/>
      <c r="S233" s="4"/>
      <c r="T233" s="4"/>
    </row>
    <row r="234" ht="15.75" customHeight="1">
      <c r="B234" s="4"/>
      <c r="C234" s="4"/>
      <c r="D234" s="4"/>
      <c r="E234" s="4"/>
      <c r="F234" s="4"/>
      <c r="G234" s="4"/>
      <c r="H234" s="4"/>
      <c r="I234" s="4"/>
      <c r="J234" s="4"/>
      <c r="K234" s="4"/>
      <c r="L234" s="4"/>
      <c r="M234" s="4"/>
      <c r="N234" s="4"/>
      <c r="O234" s="4"/>
      <c r="P234" s="4"/>
      <c r="Q234" s="4"/>
      <c r="R234" s="4"/>
      <c r="S234" s="4"/>
      <c r="T234" s="4"/>
    </row>
    <row r="235" ht="15.75" customHeight="1">
      <c r="B235" s="4"/>
      <c r="C235" s="4"/>
      <c r="D235" s="4"/>
      <c r="E235" s="4"/>
      <c r="F235" s="4"/>
      <c r="G235" s="4"/>
      <c r="H235" s="4"/>
      <c r="I235" s="4"/>
      <c r="J235" s="4"/>
      <c r="K235" s="4"/>
      <c r="L235" s="4"/>
      <c r="M235" s="4"/>
      <c r="N235" s="4"/>
      <c r="O235" s="4"/>
      <c r="P235" s="4"/>
      <c r="Q235" s="4"/>
      <c r="R235" s="4"/>
      <c r="S235" s="4"/>
      <c r="T235" s="4"/>
    </row>
    <row r="236" ht="15.75" customHeight="1">
      <c r="B236" s="4"/>
      <c r="C236" s="4"/>
      <c r="D236" s="4"/>
      <c r="E236" s="4"/>
      <c r="F236" s="4"/>
      <c r="G236" s="4"/>
      <c r="H236" s="4"/>
      <c r="I236" s="4"/>
      <c r="J236" s="4"/>
      <c r="K236" s="4"/>
      <c r="L236" s="4"/>
      <c r="M236" s="4"/>
      <c r="N236" s="4"/>
      <c r="O236" s="4"/>
      <c r="P236" s="4"/>
      <c r="Q236" s="4"/>
      <c r="R236" s="4"/>
      <c r="S236" s="4"/>
      <c r="T236" s="4"/>
    </row>
    <row r="237" ht="15.75" customHeight="1">
      <c r="B237" s="4"/>
      <c r="C237" s="4"/>
      <c r="D237" s="4"/>
      <c r="E237" s="4"/>
      <c r="F237" s="4"/>
      <c r="G237" s="4"/>
      <c r="H237" s="4"/>
      <c r="I237" s="4"/>
      <c r="J237" s="4"/>
      <c r="K237" s="4"/>
      <c r="L237" s="4"/>
      <c r="M237" s="4"/>
      <c r="N237" s="4"/>
      <c r="O237" s="4"/>
      <c r="P237" s="4"/>
      <c r="Q237" s="4"/>
      <c r="R237" s="4"/>
      <c r="S237" s="4"/>
      <c r="T237" s="4"/>
    </row>
    <row r="238" ht="15.75" customHeight="1">
      <c r="B238" s="4"/>
      <c r="C238" s="4"/>
      <c r="D238" s="4"/>
      <c r="E238" s="4"/>
      <c r="F238" s="4"/>
      <c r="G238" s="4"/>
      <c r="H238" s="4"/>
      <c r="I238" s="4"/>
      <c r="J238" s="4"/>
      <c r="K238" s="4"/>
      <c r="L238" s="4"/>
      <c r="M238" s="4"/>
      <c r="N238" s="4"/>
      <c r="O238" s="4"/>
      <c r="P238" s="4"/>
      <c r="Q238" s="4"/>
      <c r="R238" s="4"/>
      <c r="S238" s="4"/>
      <c r="T238" s="4"/>
    </row>
    <row r="239" ht="15.75" customHeight="1">
      <c r="B239" s="4"/>
      <c r="C239" s="4"/>
      <c r="D239" s="4"/>
      <c r="E239" s="4"/>
      <c r="F239" s="4"/>
      <c r="G239" s="4"/>
      <c r="H239" s="4"/>
      <c r="I239" s="4"/>
      <c r="J239" s="4"/>
      <c r="K239" s="4"/>
      <c r="L239" s="4"/>
      <c r="M239" s="4"/>
      <c r="N239" s="4"/>
      <c r="O239" s="4"/>
      <c r="P239" s="4"/>
      <c r="Q239" s="4"/>
      <c r="R239" s="4"/>
      <c r="S239" s="4"/>
      <c r="T239" s="4"/>
    </row>
    <row r="240" ht="15.75" customHeight="1">
      <c r="B240" s="4"/>
      <c r="C240" s="4"/>
      <c r="D240" s="4"/>
      <c r="E240" s="4"/>
      <c r="F240" s="4"/>
      <c r="G240" s="4"/>
      <c r="H240" s="4"/>
      <c r="I240" s="4"/>
      <c r="J240" s="4"/>
      <c r="K240" s="4"/>
      <c r="L240" s="4"/>
      <c r="M240" s="4"/>
      <c r="N240" s="4"/>
      <c r="O240" s="4"/>
      <c r="P240" s="4"/>
      <c r="Q240" s="4"/>
      <c r="R240" s="4"/>
      <c r="S240" s="4"/>
      <c r="T240" s="4"/>
    </row>
    <row r="241" ht="15.75" customHeight="1">
      <c r="B241" s="4"/>
      <c r="C241" s="4"/>
      <c r="D241" s="4"/>
      <c r="E241" s="4"/>
      <c r="F241" s="4"/>
      <c r="G241" s="4"/>
      <c r="H241" s="4"/>
      <c r="I241" s="4"/>
      <c r="J241" s="4"/>
      <c r="K241" s="4"/>
      <c r="L241" s="4"/>
      <c r="M241" s="4"/>
      <c r="N241" s="4"/>
      <c r="O241" s="4"/>
      <c r="P241" s="4"/>
      <c r="Q241" s="4"/>
      <c r="R241" s="4"/>
      <c r="S241" s="4"/>
      <c r="T241" s="4"/>
    </row>
    <row r="242" ht="15.75" customHeight="1">
      <c r="B242" s="4"/>
      <c r="C242" s="4"/>
      <c r="D242" s="4"/>
      <c r="E242" s="4"/>
      <c r="F242" s="4"/>
      <c r="G242" s="4"/>
      <c r="H242" s="4"/>
      <c r="I242" s="4"/>
      <c r="J242" s="4"/>
      <c r="K242" s="4"/>
      <c r="L242" s="4"/>
      <c r="M242" s="4"/>
      <c r="N242" s="4"/>
      <c r="O242" s="4"/>
      <c r="P242" s="4"/>
      <c r="Q242" s="4"/>
      <c r="R242" s="4"/>
      <c r="S242" s="4"/>
      <c r="T242" s="4"/>
    </row>
    <row r="243" ht="15.75" customHeight="1">
      <c r="B243" s="4"/>
      <c r="C243" s="4"/>
      <c r="D243" s="4"/>
      <c r="E243" s="4"/>
      <c r="F243" s="4"/>
      <c r="G243" s="4"/>
      <c r="H243" s="4"/>
      <c r="I243" s="4"/>
      <c r="J243" s="4"/>
      <c r="K243" s="4"/>
      <c r="L243" s="4"/>
      <c r="M243" s="4"/>
      <c r="N243" s="4"/>
      <c r="O243" s="4"/>
      <c r="P243" s="4"/>
      <c r="Q243" s="4"/>
      <c r="R243" s="4"/>
      <c r="S243" s="4"/>
      <c r="T243" s="4"/>
    </row>
    <row r="244" ht="15.75" customHeight="1">
      <c r="B244" s="4"/>
      <c r="C244" s="4"/>
      <c r="D244" s="4"/>
      <c r="E244" s="4"/>
      <c r="F244" s="4"/>
      <c r="G244" s="4"/>
      <c r="H244" s="4"/>
      <c r="I244" s="4"/>
      <c r="J244" s="4"/>
      <c r="K244" s="4"/>
      <c r="L244" s="4"/>
      <c r="M244" s="4"/>
      <c r="N244" s="4"/>
      <c r="O244" s="4"/>
      <c r="P244" s="4"/>
      <c r="Q244" s="4"/>
      <c r="R244" s="4"/>
      <c r="S244" s="4"/>
      <c r="T244" s="4"/>
    </row>
    <row r="245" ht="15.75" customHeight="1">
      <c r="B245" s="4"/>
      <c r="C245" s="4"/>
      <c r="D245" s="4"/>
      <c r="E245" s="4"/>
      <c r="F245" s="4"/>
      <c r="G245" s="4"/>
      <c r="H245" s="4"/>
      <c r="I245" s="4"/>
      <c r="J245" s="4"/>
      <c r="K245" s="4"/>
      <c r="L245" s="4"/>
      <c r="M245" s="4"/>
      <c r="N245" s="4"/>
      <c r="O245" s="4"/>
      <c r="P245" s="4"/>
      <c r="Q245" s="4"/>
      <c r="R245" s="4"/>
      <c r="S245" s="4"/>
      <c r="T245" s="4"/>
    </row>
    <row r="246" ht="15.75" customHeight="1">
      <c r="B246" s="4"/>
      <c r="C246" s="4"/>
      <c r="D246" s="4"/>
      <c r="E246" s="4"/>
      <c r="F246" s="4"/>
      <c r="G246" s="4"/>
      <c r="H246" s="4"/>
      <c r="I246" s="4"/>
      <c r="J246" s="4"/>
      <c r="K246" s="4"/>
      <c r="L246" s="4"/>
      <c r="M246" s="4"/>
      <c r="N246" s="4"/>
      <c r="O246" s="4"/>
      <c r="P246" s="4"/>
      <c r="Q246" s="4"/>
      <c r="R246" s="4"/>
      <c r="S246" s="4"/>
      <c r="T246" s="4"/>
    </row>
    <row r="247" ht="15.75" customHeight="1">
      <c r="B247" s="4"/>
      <c r="C247" s="4"/>
      <c r="D247" s="4"/>
      <c r="E247" s="4"/>
      <c r="F247" s="4"/>
      <c r="G247" s="4"/>
      <c r="H247" s="4"/>
      <c r="I247" s="4"/>
      <c r="J247" s="4"/>
      <c r="K247" s="4"/>
      <c r="L247" s="4"/>
      <c r="M247" s="4"/>
      <c r="N247" s="4"/>
      <c r="O247" s="4"/>
      <c r="P247" s="4"/>
      <c r="Q247" s="4"/>
      <c r="R247" s="4"/>
      <c r="S247" s="4"/>
      <c r="T247" s="4"/>
    </row>
    <row r="248" ht="15.75" customHeight="1">
      <c r="B248" s="4"/>
      <c r="C248" s="4"/>
      <c r="D248" s="4"/>
      <c r="E248" s="4"/>
      <c r="F248" s="4"/>
      <c r="G248" s="4"/>
      <c r="H248" s="4"/>
      <c r="I248" s="4"/>
      <c r="J248" s="4"/>
      <c r="K248" s="4"/>
      <c r="L248" s="4"/>
      <c r="M248" s="4"/>
      <c r="N248" s="4"/>
      <c r="O248" s="4"/>
      <c r="P248" s="4"/>
      <c r="Q248" s="4"/>
      <c r="R248" s="4"/>
      <c r="S248" s="4"/>
      <c r="T248" s="4"/>
    </row>
    <row r="249" ht="15.75" customHeight="1">
      <c r="B249" s="4"/>
      <c r="C249" s="4"/>
      <c r="D249" s="4"/>
      <c r="E249" s="4"/>
      <c r="F249" s="4"/>
      <c r="G249" s="4"/>
      <c r="H249" s="4"/>
      <c r="I249" s="4"/>
      <c r="J249" s="4"/>
      <c r="K249" s="4"/>
      <c r="L249" s="4"/>
      <c r="M249" s="4"/>
      <c r="N249" s="4"/>
      <c r="O249" s="4"/>
      <c r="P249" s="4"/>
      <c r="Q249" s="4"/>
      <c r="R249" s="4"/>
      <c r="S249" s="4"/>
      <c r="T249" s="4"/>
    </row>
    <row r="250" ht="15.75" customHeight="1">
      <c r="B250" s="4"/>
      <c r="C250" s="4"/>
      <c r="D250" s="4"/>
      <c r="E250" s="4"/>
      <c r="F250" s="4"/>
      <c r="G250" s="4"/>
      <c r="H250" s="4"/>
      <c r="I250" s="4"/>
      <c r="J250" s="4"/>
      <c r="K250" s="4"/>
      <c r="L250" s="4"/>
      <c r="M250" s="4"/>
      <c r="N250" s="4"/>
      <c r="O250" s="4"/>
      <c r="P250" s="4"/>
      <c r="Q250" s="4"/>
      <c r="R250" s="4"/>
      <c r="S250" s="4"/>
      <c r="T250" s="4"/>
    </row>
    <row r="251" ht="15.75" customHeight="1">
      <c r="B251" s="4"/>
      <c r="C251" s="4"/>
      <c r="D251" s="4"/>
      <c r="E251" s="4"/>
      <c r="F251" s="4"/>
      <c r="G251" s="4"/>
      <c r="H251" s="4"/>
      <c r="I251" s="4"/>
      <c r="J251" s="4"/>
      <c r="K251" s="4"/>
      <c r="L251" s="4"/>
      <c r="M251" s="4"/>
      <c r="N251" s="4"/>
      <c r="O251" s="4"/>
      <c r="P251" s="4"/>
      <c r="Q251" s="4"/>
      <c r="R251" s="4"/>
      <c r="S251" s="4"/>
      <c r="T251" s="4"/>
    </row>
    <row r="252" ht="15.75" customHeight="1">
      <c r="B252" s="4"/>
      <c r="C252" s="4"/>
      <c r="D252" s="4"/>
      <c r="E252" s="4"/>
      <c r="F252" s="4"/>
      <c r="G252" s="4"/>
      <c r="H252" s="4"/>
      <c r="I252" s="4"/>
      <c r="J252" s="4"/>
      <c r="K252" s="4"/>
      <c r="L252" s="4"/>
      <c r="M252" s="4"/>
      <c r="N252" s="4"/>
      <c r="O252" s="4"/>
      <c r="P252" s="4"/>
      <c r="Q252" s="4"/>
      <c r="R252" s="4"/>
      <c r="S252" s="4"/>
      <c r="T252" s="4"/>
    </row>
    <row r="253" ht="15.75" customHeight="1">
      <c r="B253" s="4"/>
      <c r="C253" s="4"/>
      <c r="D253" s="4"/>
      <c r="E253" s="4"/>
      <c r="F253" s="4"/>
      <c r="G253" s="4"/>
      <c r="H253" s="4"/>
      <c r="I253" s="4"/>
      <c r="J253" s="4"/>
      <c r="K253" s="4"/>
      <c r="L253" s="4"/>
      <c r="M253" s="4"/>
      <c r="N253" s="4"/>
      <c r="O253" s="4"/>
      <c r="P253" s="4"/>
      <c r="Q253" s="4"/>
      <c r="R253" s="4"/>
      <c r="S253" s="4"/>
      <c r="T253" s="4"/>
    </row>
    <row r="254" ht="15.75" customHeight="1">
      <c r="B254" s="4"/>
      <c r="C254" s="4"/>
      <c r="D254" s="4"/>
      <c r="E254" s="4"/>
      <c r="F254" s="4"/>
      <c r="G254" s="4"/>
      <c r="H254" s="4"/>
      <c r="I254" s="4"/>
      <c r="J254" s="4"/>
      <c r="K254" s="4"/>
      <c r="L254" s="4"/>
      <c r="M254" s="4"/>
      <c r="N254" s="4"/>
      <c r="O254" s="4"/>
      <c r="P254" s="4"/>
      <c r="Q254" s="4"/>
      <c r="R254" s="4"/>
      <c r="S254" s="4"/>
      <c r="T254" s="4"/>
    </row>
    <row r="255" ht="15.75" customHeight="1">
      <c r="B255" s="4"/>
      <c r="C255" s="4"/>
      <c r="D255" s="4"/>
      <c r="E255" s="4"/>
      <c r="F255" s="4"/>
      <c r="G255" s="4"/>
      <c r="H255" s="4"/>
      <c r="I255" s="4"/>
      <c r="J255" s="4"/>
      <c r="K255" s="4"/>
      <c r="L255" s="4"/>
      <c r="M255" s="4"/>
      <c r="N255" s="4"/>
      <c r="O255" s="4"/>
      <c r="P255" s="4"/>
      <c r="Q255" s="4"/>
      <c r="R255" s="4"/>
      <c r="S255" s="4"/>
      <c r="T255" s="4"/>
    </row>
    <row r="256" ht="15.75" customHeight="1">
      <c r="B256" s="4"/>
      <c r="C256" s="4"/>
      <c r="D256" s="4"/>
      <c r="E256" s="4"/>
      <c r="F256" s="4"/>
      <c r="G256" s="4"/>
      <c r="H256" s="4"/>
      <c r="I256" s="4"/>
      <c r="J256" s="4"/>
      <c r="K256" s="4"/>
      <c r="L256" s="4"/>
      <c r="M256" s="4"/>
      <c r="N256" s="4"/>
      <c r="O256" s="4"/>
      <c r="P256" s="4"/>
      <c r="Q256" s="4"/>
      <c r="R256" s="4"/>
      <c r="S256" s="4"/>
      <c r="T256" s="4"/>
    </row>
    <row r="257" ht="15.75" customHeight="1">
      <c r="B257" s="4"/>
      <c r="C257" s="4"/>
      <c r="D257" s="4"/>
      <c r="E257" s="4"/>
      <c r="F257" s="4"/>
      <c r="G257" s="4"/>
      <c r="H257" s="4"/>
      <c r="I257" s="4"/>
      <c r="J257" s="4"/>
      <c r="K257" s="4"/>
      <c r="L257" s="4"/>
      <c r="M257" s="4"/>
      <c r="N257" s="4"/>
      <c r="O257" s="4"/>
      <c r="P257" s="4"/>
      <c r="Q257" s="4"/>
      <c r="R257" s="4"/>
      <c r="S257" s="4"/>
      <c r="T257" s="4"/>
    </row>
    <row r="258" ht="15.75" customHeight="1">
      <c r="B258" s="4"/>
      <c r="C258" s="4"/>
      <c r="D258" s="4"/>
      <c r="E258" s="4"/>
      <c r="F258" s="4"/>
      <c r="G258" s="4"/>
      <c r="H258" s="4"/>
      <c r="I258" s="4"/>
      <c r="J258" s="4"/>
      <c r="K258" s="4"/>
      <c r="L258" s="4"/>
      <c r="M258" s="4"/>
      <c r="N258" s="4"/>
      <c r="O258" s="4"/>
      <c r="P258" s="4"/>
      <c r="Q258" s="4"/>
      <c r="R258" s="4"/>
      <c r="S258" s="4"/>
      <c r="T258" s="4"/>
    </row>
    <row r="259" ht="15.75" customHeight="1">
      <c r="B259" s="4"/>
      <c r="C259" s="4"/>
      <c r="D259" s="4"/>
      <c r="E259" s="4"/>
      <c r="F259" s="4"/>
      <c r="G259" s="4"/>
      <c r="H259" s="4"/>
      <c r="I259" s="4"/>
      <c r="J259" s="4"/>
      <c r="K259" s="4"/>
      <c r="L259" s="4"/>
      <c r="M259" s="4"/>
      <c r="N259" s="4"/>
      <c r="O259" s="4"/>
      <c r="P259" s="4"/>
      <c r="Q259" s="4"/>
      <c r="R259" s="4"/>
      <c r="S259" s="4"/>
      <c r="T259" s="4"/>
    </row>
    <row r="260" ht="15.75" customHeight="1">
      <c r="B260" s="4"/>
      <c r="C260" s="4"/>
      <c r="D260" s="4"/>
      <c r="E260" s="4"/>
      <c r="F260" s="4"/>
      <c r="G260" s="4"/>
      <c r="H260" s="4"/>
      <c r="I260" s="4"/>
      <c r="J260" s="4"/>
      <c r="K260" s="4"/>
      <c r="L260" s="4"/>
      <c r="M260" s="4"/>
      <c r="N260" s="4"/>
      <c r="O260" s="4"/>
      <c r="P260" s="4"/>
      <c r="Q260" s="4"/>
      <c r="R260" s="4"/>
      <c r="S260" s="4"/>
      <c r="T260" s="4"/>
    </row>
    <row r="261" ht="15.75" customHeight="1">
      <c r="B261" s="4"/>
      <c r="C261" s="4"/>
      <c r="D261" s="4"/>
      <c r="E261" s="4"/>
      <c r="F261" s="4"/>
      <c r="G261" s="4"/>
      <c r="H261" s="4"/>
      <c r="I261" s="4"/>
      <c r="J261" s="4"/>
      <c r="K261" s="4"/>
      <c r="L261" s="4"/>
      <c r="M261" s="4"/>
      <c r="N261" s="4"/>
      <c r="O261" s="4"/>
      <c r="P261" s="4"/>
      <c r="Q261" s="4"/>
      <c r="R261" s="4"/>
      <c r="S261" s="4"/>
      <c r="T261" s="4"/>
    </row>
    <row r="262" ht="15.75" customHeight="1">
      <c r="B262" s="4"/>
      <c r="C262" s="4"/>
      <c r="D262" s="4"/>
      <c r="E262" s="4"/>
      <c r="F262" s="4"/>
      <c r="G262" s="4"/>
      <c r="H262" s="4"/>
      <c r="I262" s="4"/>
      <c r="J262" s="4"/>
      <c r="K262" s="4"/>
      <c r="L262" s="4"/>
      <c r="M262" s="4"/>
      <c r="N262" s="4"/>
      <c r="O262" s="4"/>
      <c r="P262" s="4"/>
      <c r="Q262" s="4"/>
      <c r="R262" s="4"/>
      <c r="S262" s="4"/>
      <c r="T262" s="4"/>
    </row>
    <row r="263" ht="15.75" customHeight="1">
      <c r="B263" s="4"/>
      <c r="C263" s="4"/>
      <c r="D263" s="4"/>
      <c r="E263" s="4"/>
      <c r="F263" s="4"/>
      <c r="G263" s="4"/>
      <c r="H263" s="4"/>
      <c r="I263" s="4"/>
      <c r="J263" s="4"/>
      <c r="K263" s="4"/>
      <c r="L263" s="4"/>
      <c r="M263" s="4"/>
      <c r="N263" s="4"/>
      <c r="O263" s="4"/>
      <c r="P263" s="4"/>
      <c r="Q263" s="4"/>
      <c r="R263" s="4"/>
      <c r="S263" s="4"/>
      <c r="T263" s="4"/>
    </row>
    <row r="264" ht="15.75" customHeight="1">
      <c r="B264" s="4"/>
      <c r="C264" s="4"/>
      <c r="D264" s="4"/>
      <c r="E264" s="4"/>
      <c r="F264" s="4"/>
      <c r="G264" s="4"/>
      <c r="H264" s="4"/>
      <c r="I264" s="4"/>
      <c r="J264" s="4"/>
      <c r="K264" s="4"/>
      <c r="L264" s="4"/>
      <c r="M264" s="4"/>
      <c r="N264" s="4"/>
      <c r="O264" s="4"/>
      <c r="P264" s="4"/>
      <c r="Q264" s="4"/>
      <c r="R264" s="4"/>
      <c r="S264" s="4"/>
      <c r="T264" s="4"/>
    </row>
    <row r="265" ht="15.75" customHeight="1">
      <c r="B265" s="4"/>
      <c r="C265" s="4"/>
      <c r="D265" s="4"/>
      <c r="E265" s="4"/>
      <c r="F265" s="4"/>
      <c r="G265" s="4"/>
      <c r="H265" s="4"/>
      <c r="I265" s="4"/>
      <c r="J265" s="4"/>
      <c r="K265" s="4"/>
      <c r="L265" s="4"/>
      <c r="M265" s="4"/>
      <c r="N265" s="4"/>
      <c r="O265" s="4"/>
      <c r="P265" s="4"/>
      <c r="Q265" s="4"/>
      <c r="R265" s="4"/>
      <c r="S265" s="4"/>
      <c r="T265" s="4"/>
    </row>
    <row r="266" ht="15.75" customHeight="1">
      <c r="B266" s="4"/>
      <c r="C266" s="4"/>
      <c r="D266" s="4"/>
      <c r="E266" s="4"/>
      <c r="F266" s="4"/>
      <c r="G266" s="4"/>
      <c r="H266" s="4"/>
      <c r="I266" s="4"/>
      <c r="J266" s="4"/>
      <c r="K266" s="4"/>
      <c r="L266" s="4"/>
      <c r="M266" s="4"/>
      <c r="N266" s="4"/>
      <c r="O266" s="4"/>
      <c r="P266" s="4"/>
      <c r="Q266" s="4"/>
      <c r="R266" s="4"/>
      <c r="S266" s="4"/>
      <c r="T266" s="4"/>
    </row>
    <row r="267" ht="15.75" customHeight="1">
      <c r="B267" s="4"/>
      <c r="C267" s="4"/>
      <c r="D267" s="4"/>
      <c r="E267" s="4"/>
      <c r="F267" s="4"/>
      <c r="G267" s="4"/>
      <c r="H267" s="4"/>
      <c r="I267" s="4"/>
      <c r="J267" s="4"/>
      <c r="K267" s="4"/>
      <c r="L267" s="4"/>
      <c r="M267" s="4"/>
      <c r="N267" s="4"/>
      <c r="O267" s="4"/>
      <c r="P267" s="4"/>
      <c r="Q267" s="4"/>
      <c r="R267" s="4"/>
      <c r="S267" s="4"/>
      <c r="T267" s="4"/>
    </row>
    <row r="268" ht="15.75" customHeight="1">
      <c r="B268" s="4"/>
      <c r="C268" s="4"/>
      <c r="D268" s="4"/>
      <c r="E268" s="4"/>
      <c r="F268" s="4"/>
      <c r="G268" s="4"/>
      <c r="H268" s="4"/>
      <c r="I268" s="4"/>
      <c r="J268" s="4"/>
      <c r="K268" s="4"/>
      <c r="L268" s="4"/>
      <c r="M268" s="4"/>
      <c r="N268" s="4"/>
      <c r="O268" s="4"/>
      <c r="P268" s="4"/>
      <c r="Q268" s="4"/>
      <c r="R268" s="4"/>
      <c r="S268" s="4"/>
      <c r="T268" s="4"/>
    </row>
    <row r="269" ht="15.75" customHeight="1">
      <c r="B269" s="4"/>
      <c r="C269" s="4"/>
      <c r="D269" s="4"/>
      <c r="E269" s="4"/>
      <c r="F269" s="4"/>
      <c r="G269" s="4"/>
      <c r="H269" s="4"/>
      <c r="I269" s="4"/>
      <c r="J269" s="4"/>
      <c r="K269" s="4"/>
      <c r="L269" s="4"/>
      <c r="M269" s="4"/>
      <c r="N269" s="4"/>
      <c r="O269" s="4"/>
      <c r="P269" s="4"/>
      <c r="Q269" s="4"/>
      <c r="R269" s="4"/>
      <c r="S269" s="4"/>
      <c r="T269" s="4"/>
    </row>
    <row r="270" ht="15.75" customHeight="1">
      <c r="B270" s="4"/>
      <c r="C270" s="4"/>
      <c r="D270" s="4"/>
      <c r="E270" s="4"/>
      <c r="F270" s="4"/>
      <c r="G270" s="4"/>
      <c r="H270" s="4"/>
      <c r="I270" s="4"/>
      <c r="J270" s="4"/>
      <c r="K270" s="4"/>
      <c r="L270" s="4"/>
      <c r="M270" s="4"/>
      <c r="N270" s="4"/>
      <c r="O270" s="4"/>
      <c r="P270" s="4"/>
      <c r="Q270" s="4"/>
      <c r="R270" s="4"/>
      <c r="S270" s="4"/>
      <c r="T270" s="4"/>
    </row>
    <row r="271" ht="15.75" customHeight="1">
      <c r="B271" s="4"/>
      <c r="C271" s="4"/>
      <c r="D271" s="4"/>
      <c r="E271" s="4"/>
      <c r="F271" s="4"/>
      <c r="G271" s="4"/>
      <c r="H271" s="4"/>
      <c r="I271" s="4"/>
      <c r="J271" s="4"/>
      <c r="K271" s="4"/>
      <c r="L271" s="4"/>
      <c r="M271" s="4"/>
      <c r="N271" s="4"/>
      <c r="O271" s="4"/>
      <c r="P271" s="4"/>
      <c r="Q271" s="4"/>
      <c r="R271" s="4"/>
      <c r="S271" s="4"/>
      <c r="T271" s="4"/>
    </row>
    <row r="272" ht="15.75" customHeight="1">
      <c r="B272" s="4"/>
      <c r="C272" s="4"/>
      <c r="D272" s="4"/>
      <c r="E272" s="4"/>
      <c r="F272" s="4"/>
      <c r="G272" s="4"/>
      <c r="H272" s="4"/>
      <c r="I272" s="4"/>
      <c r="J272" s="4"/>
      <c r="K272" s="4"/>
      <c r="L272" s="4"/>
      <c r="M272" s="4"/>
      <c r="N272" s="4"/>
      <c r="O272" s="4"/>
      <c r="P272" s="4"/>
      <c r="Q272" s="4"/>
      <c r="R272" s="4"/>
      <c r="S272" s="4"/>
      <c r="T272" s="4"/>
    </row>
    <row r="273" ht="15.75" customHeight="1">
      <c r="B273" s="4"/>
      <c r="C273" s="4"/>
      <c r="D273" s="4"/>
      <c r="E273" s="4"/>
      <c r="F273" s="4"/>
      <c r="G273" s="4"/>
      <c r="H273" s="4"/>
      <c r="I273" s="4"/>
      <c r="J273" s="4"/>
      <c r="K273" s="4"/>
      <c r="L273" s="4"/>
      <c r="M273" s="4"/>
      <c r="N273" s="4"/>
      <c r="O273" s="4"/>
      <c r="P273" s="4"/>
      <c r="Q273" s="4"/>
      <c r="R273" s="4"/>
      <c r="S273" s="4"/>
      <c r="T273" s="4"/>
    </row>
    <row r="274" ht="15.75" customHeight="1">
      <c r="B274" s="4"/>
      <c r="C274" s="4"/>
      <c r="D274" s="4"/>
      <c r="E274" s="4"/>
      <c r="F274" s="4"/>
      <c r="G274" s="4"/>
      <c r="H274" s="4"/>
      <c r="I274" s="4"/>
      <c r="J274" s="4"/>
      <c r="K274" s="4"/>
      <c r="L274" s="4"/>
      <c r="M274" s="4"/>
      <c r="N274" s="4"/>
      <c r="O274" s="4"/>
      <c r="P274" s="4"/>
      <c r="Q274" s="4"/>
      <c r="R274" s="4"/>
      <c r="S274" s="4"/>
      <c r="T274" s="4"/>
    </row>
    <row r="275" ht="15.75" customHeight="1">
      <c r="B275" s="4"/>
      <c r="C275" s="4"/>
      <c r="D275" s="4"/>
      <c r="E275" s="4"/>
      <c r="F275" s="4"/>
      <c r="G275" s="4"/>
      <c r="H275" s="4"/>
      <c r="I275" s="4"/>
      <c r="J275" s="4"/>
      <c r="K275" s="4"/>
      <c r="L275" s="4"/>
      <c r="M275" s="4"/>
      <c r="N275" s="4"/>
      <c r="O275" s="4"/>
      <c r="P275" s="4"/>
      <c r="Q275" s="4"/>
      <c r="R275" s="4"/>
      <c r="S275" s="4"/>
      <c r="T275" s="4"/>
    </row>
    <row r="276" ht="15.75" customHeight="1">
      <c r="B276" s="4"/>
      <c r="C276" s="4"/>
      <c r="D276" s="4"/>
      <c r="E276" s="4"/>
      <c r="F276" s="4"/>
      <c r="G276" s="4"/>
      <c r="H276" s="4"/>
      <c r="I276" s="4"/>
      <c r="J276" s="4"/>
      <c r="K276" s="4"/>
      <c r="L276" s="4"/>
      <c r="M276" s="4"/>
      <c r="N276" s="4"/>
      <c r="O276" s="4"/>
      <c r="P276" s="4"/>
      <c r="Q276" s="4"/>
      <c r="R276" s="4"/>
      <c r="S276" s="4"/>
      <c r="T276" s="4"/>
    </row>
    <row r="277" ht="15.75" customHeight="1">
      <c r="B277" s="4"/>
      <c r="C277" s="4"/>
      <c r="D277" s="4"/>
      <c r="E277" s="4"/>
      <c r="F277" s="4"/>
      <c r="G277" s="4"/>
      <c r="H277" s="4"/>
      <c r="I277" s="4"/>
      <c r="J277" s="4"/>
      <c r="K277" s="4"/>
      <c r="L277" s="4"/>
      <c r="M277" s="4"/>
      <c r="N277" s="4"/>
      <c r="O277" s="4"/>
      <c r="P277" s="4"/>
      <c r="Q277" s="4"/>
      <c r="R277" s="4"/>
      <c r="S277" s="4"/>
      <c r="T277" s="4"/>
    </row>
    <row r="278" ht="15.75" customHeight="1">
      <c r="B278" s="4"/>
      <c r="C278" s="4"/>
      <c r="D278" s="4"/>
      <c r="E278" s="4"/>
      <c r="F278" s="4"/>
      <c r="G278" s="4"/>
      <c r="H278" s="4"/>
      <c r="I278" s="4"/>
      <c r="J278" s="4"/>
      <c r="K278" s="4"/>
      <c r="L278" s="4"/>
      <c r="M278" s="4"/>
      <c r="N278" s="4"/>
      <c r="O278" s="4"/>
      <c r="P278" s="4"/>
      <c r="Q278" s="4"/>
      <c r="R278" s="4"/>
      <c r="S278" s="4"/>
      <c r="T278" s="4"/>
    </row>
    <row r="279" ht="15.75" customHeight="1">
      <c r="B279" s="4"/>
      <c r="C279" s="4"/>
      <c r="D279" s="4"/>
      <c r="E279" s="4"/>
      <c r="F279" s="4"/>
      <c r="G279" s="4"/>
      <c r="H279" s="4"/>
      <c r="I279" s="4"/>
      <c r="J279" s="4"/>
      <c r="K279" s="4"/>
      <c r="L279" s="4"/>
      <c r="M279" s="4"/>
      <c r="N279" s="4"/>
      <c r="O279" s="4"/>
      <c r="P279" s="4"/>
      <c r="Q279" s="4"/>
      <c r="R279" s="4"/>
      <c r="S279" s="4"/>
      <c r="T279" s="4"/>
    </row>
    <row r="280" ht="15.75" customHeight="1">
      <c r="B280" s="4"/>
      <c r="C280" s="4"/>
      <c r="D280" s="4"/>
      <c r="E280" s="4"/>
      <c r="F280" s="4"/>
      <c r="G280" s="4"/>
      <c r="H280" s="4"/>
      <c r="I280" s="4"/>
      <c r="J280" s="4"/>
      <c r="K280" s="4"/>
      <c r="L280" s="4"/>
      <c r="M280" s="4"/>
      <c r="N280" s="4"/>
      <c r="O280" s="4"/>
      <c r="P280" s="4"/>
      <c r="Q280" s="4"/>
      <c r="R280" s="4"/>
      <c r="S280" s="4"/>
      <c r="T280" s="4"/>
    </row>
    <row r="281" ht="15.75" customHeight="1">
      <c r="B281" s="4"/>
      <c r="C281" s="4"/>
      <c r="D281" s="4"/>
      <c r="E281" s="4"/>
      <c r="F281" s="4"/>
      <c r="G281" s="4"/>
      <c r="H281" s="4"/>
      <c r="I281" s="4"/>
      <c r="J281" s="4"/>
      <c r="K281" s="4"/>
      <c r="L281" s="4"/>
      <c r="M281" s="4"/>
      <c r="N281" s="4"/>
      <c r="O281" s="4"/>
      <c r="P281" s="4"/>
      <c r="Q281" s="4"/>
      <c r="R281" s="4"/>
      <c r="S281" s="4"/>
      <c r="T281" s="4"/>
    </row>
    <row r="282" ht="15.75" customHeight="1">
      <c r="B282" s="4"/>
      <c r="C282" s="4"/>
      <c r="D282" s="4"/>
      <c r="E282" s="4"/>
      <c r="F282" s="4"/>
      <c r="G282" s="4"/>
      <c r="H282" s="4"/>
      <c r="I282" s="4"/>
      <c r="J282" s="4"/>
      <c r="K282" s="4"/>
      <c r="L282" s="4"/>
      <c r="M282" s="4"/>
      <c r="N282" s="4"/>
      <c r="O282" s="4"/>
      <c r="P282" s="4"/>
      <c r="Q282" s="4"/>
      <c r="R282" s="4"/>
      <c r="S282" s="4"/>
      <c r="T282" s="4"/>
    </row>
    <row r="283" ht="15.75" customHeight="1">
      <c r="B283" s="4"/>
      <c r="C283" s="4"/>
      <c r="D283" s="4"/>
      <c r="E283" s="4"/>
      <c r="F283" s="4"/>
      <c r="G283" s="4"/>
      <c r="H283" s="4"/>
      <c r="I283" s="4"/>
      <c r="J283" s="4"/>
      <c r="K283" s="4"/>
      <c r="L283" s="4"/>
      <c r="M283" s="4"/>
      <c r="N283" s="4"/>
      <c r="O283" s="4"/>
      <c r="P283" s="4"/>
      <c r="Q283" s="4"/>
      <c r="R283" s="4"/>
      <c r="S283" s="4"/>
      <c r="T283" s="4"/>
    </row>
    <row r="284" ht="15.75" customHeight="1">
      <c r="B284" s="4"/>
      <c r="C284" s="4"/>
      <c r="D284" s="4"/>
      <c r="E284" s="4"/>
      <c r="F284" s="4"/>
      <c r="G284" s="4"/>
      <c r="H284" s="4"/>
      <c r="I284" s="4"/>
      <c r="J284" s="4"/>
      <c r="K284" s="4"/>
      <c r="L284" s="4"/>
      <c r="M284" s="4"/>
      <c r="N284" s="4"/>
      <c r="O284" s="4"/>
      <c r="P284" s="4"/>
      <c r="Q284" s="4"/>
      <c r="R284" s="4"/>
      <c r="S284" s="4"/>
      <c r="T284" s="4"/>
    </row>
    <row r="285" ht="15.75" customHeight="1">
      <c r="B285" s="4"/>
      <c r="C285" s="4"/>
      <c r="D285" s="4"/>
      <c r="E285" s="4"/>
      <c r="F285" s="4"/>
      <c r="G285" s="4"/>
      <c r="H285" s="4"/>
      <c r="I285" s="4"/>
      <c r="J285" s="4"/>
      <c r="K285" s="4"/>
      <c r="L285" s="4"/>
      <c r="M285" s="4"/>
      <c r="N285" s="4"/>
      <c r="O285" s="4"/>
      <c r="P285" s="4"/>
      <c r="Q285" s="4"/>
      <c r="R285" s="4"/>
      <c r="S285" s="4"/>
      <c r="T285" s="4"/>
    </row>
    <row r="286" ht="15.75" customHeight="1">
      <c r="B286" s="4"/>
      <c r="C286" s="4"/>
      <c r="D286" s="4"/>
      <c r="E286" s="4"/>
      <c r="F286" s="4"/>
      <c r="G286" s="4"/>
      <c r="H286" s="4"/>
      <c r="I286" s="4"/>
      <c r="J286" s="4"/>
      <c r="K286" s="4"/>
      <c r="L286" s="4"/>
      <c r="M286" s="4"/>
      <c r="N286" s="4"/>
      <c r="O286" s="4"/>
      <c r="P286" s="4"/>
      <c r="Q286" s="4"/>
      <c r="R286" s="4"/>
      <c r="S286" s="4"/>
      <c r="T286" s="4"/>
    </row>
    <row r="287" ht="15.75" customHeight="1">
      <c r="B287" s="4"/>
      <c r="C287" s="4"/>
      <c r="D287" s="4"/>
      <c r="E287" s="4"/>
      <c r="F287" s="4"/>
      <c r="G287" s="4"/>
      <c r="H287" s="4"/>
      <c r="I287" s="4"/>
      <c r="J287" s="4"/>
      <c r="K287" s="4"/>
      <c r="L287" s="4"/>
      <c r="M287" s="4"/>
      <c r="N287" s="4"/>
      <c r="O287" s="4"/>
      <c r="P287" s="4"/>
      <c r="Q287" s="4"/>
      <c r="R287" s="4"/>
      <c r="S287" s="4"/>
      <c r="T287" s="4"/>
    </row>
    <row r="288" ht="15.75" customHeight="1">
      <c r="B288" s="4"/>
      <c r="C288" s="4"/>
      <c r="D288" s="4"/>
      <c r="E288" s="4"/>
      <c r="F288" s="4"/>
      <c r="G288" s="4"/>
      <c r="H288" s="4"/>
      <c r="I288" s="4"/>
      <c r="J288" s="4"/>
      <c r="K288" s="4"/>
      <c r="L288" s="4"/>
      <c r="M288" s="4"/>
      <c r="N288" s="4"/>
      <c r="O288" s="4"/>
      <c r="P288" s="4"/>
      <c r="Q288" s="4"/>
      <c r="R288" s="4"/>
      <c r="S288" s="4"/>
      <c r="T288" s="4"/>
    </row>
    <row r="289" ht="15.75" customHeight="1">
      <c r="B289" s="4"/>
      <c r="C289" s="4"/>
      <c r="D289" s="4"/>
      <c r="E289" s="4"/>
      <c r="F289" s="4"/>
      <c r="G289" s="4"/>
      <c r="H289" s="4"/>
      <c r="I289" s="4"/>
      <c r="J289" s="4"/>
      <c r="K289" s="4"/>
      <c r="L289" s="4"/>
      <c r="M289" s="4"/>
      <c r="N289" s="4"/>
      <c r="O289" s="4"/>
      <c r="P289" s="4"/>
      <c r="Q289" s="4"/>
      <c r="R289" s="4"/>
      <c r="S289" s="4"/>
      <c r="T289" s="4"/>
    </row>
    <row r="290" ht="15.75" customHeight="1">
      <c r="B290" s="4"/>
      <c r="C290" s="4"/>
      <c r="D290" s="4"/>
      <c r="E290" s="4"/>
      <c r="F290" s="4"/>
      <c r="G290" s="4"/>
      <c r="H290" s="4"/>
      <c r="I290" s="4"/>
      <c r="J290" s="4"/>
      <c r="K290" s="4"/>
      <c r="L290" s="4"/>
      <c r="M290" s="4"/>
      <c r="N290" s="4"/>
      <c r="O290" s="4"/>
      <c r="P290" s="4"/>
      <c r="Q290" s="4"/>
      <c r="R290" s="4"/>
      <c r="S290" s="4"/>
      <c r="T290" s="4"/>
    </row>
    <row r="291" ht="15.75" customHeight="1">
      <c r="B291" s="4"/>
      <c r="C291" s="4"/>
      <c r="D291" s="4"/>
      <c r="E291" s="4"/>
      <c r="F291" s="4"/>
      <c r="G291" s="4"/>
      <c r="H291" s="4"/>
      <c r="I291" s="4"/>
      <c r="J291" s="4"/>
      <c r="K291" s="4"/>
      <c r="L291" s="4"/>
      <c r="M291" s="4"/>
      <c r="N291" s="4"/>
      <c r="O291" s="4"/>
      <c r="P291" s="4"/>
      <c r="Q291" s="4"/>
      <c r="R291" s="4"/>
      <c r="S291" s="4"/>
      <c r="T291" s="4"/>
    </row>
    <row r="292" ht="15.75" customHeight="1">
      <c r="B292" s="4"/>
      <c r="C292" s="4"/>
      <c r="D292" s="4"/>
      <c r="E292" s="4"/>
      <c r="F292" s="4"/>
      <c r="G292" s="4"/>
      <c r="H292" s="4"/>
      <c r="I292" s="4"/>
      <c r="J292" s="4"/>
      <c r="K292" s="4"/>
      <c r="L292" s="4"/>
      <c r="M292" s="4"/>
      <c r="N292" s="4"/>
      <c r="O292" s="4"/>
      <c r="P292" s="4"/>
      <c r="Q292" s="4"/>
      <c r="R292" s="4"/>
      <c r="S292" s="4"/>
      <c r="T292" s="4"/>
    </row>
    <row r="293" ht="15.75" customHeight="1">
      <c r="B293" s="4"/>
      <c r="C293" s="4"/>
      <c r="D293" s="4"/>
      <c r="E293" s="4"/>
      <c r="F293" s="4"/>
      <c r="G293" s="4"/>
      <c r="H293" s="4"/>
      <c r="I293" s="4"/>
      <c r="J293" s="4"/>
      <c r="K293" s="4"/>
      <c r="L293" s="4"/>
      <c r="M293" s="4"/>
      <c r="N293" s="4"/>
      <c r="O293" s="4"/>
      <c r="P293" s="4"/>
      <c r="Q293" s="4"/>
      <c r="R293" s="4"/>
      <c r="S293" s="4"/>
      <c r="T293" s="4"/>
    </row>
    <row r="294" ht="15.75" customHeight="1">
      <c r="B294" s="4"/>
      <c r="C294" s="4"/>
      <c r="D294" s="4"/>
      <c r="E294" s="4"/>
      <c r="F294" s="4"/>
      <c r="G294" s="4"/>
      <c r="H294" s="4"/>
      <c r="I294" s="4"/>
      <c r="J294" s="4"/>
      <c r="K294" s="4"/>
      <c r="L294" s="4"/>
      <c r="M294" s="4"/>
      <c r="N294" s="4"/>
      <c r="O294" s="4"/>
      <c r="P294" s="4"/>
      <c r="Q294" s="4"/>
      <c r="R294" s="4"/>
      <c r="S294" s="4"/>
      <c r="T294" s="4"/>
    </row>
    <row r="295" ht="15.75" customHeight="1">
      <c r="B295" s="4"/>
      <c r="C295" s="4"/>
      <c r="D295" s="4"/>
      <c r="E295" s="4"/>
      <c r="F295" s="4"/>
      <c r="G295" s="4"/>
      <c r="H295" s="4"/>
      <c r="I295" s="4"/>
      <c r="J295" s="4"/>
      <c r="K295" s="4"/>
      <c r="L295" s="4"/>
      <c r="M295" s="4"/>
      <c r="N295" s="4"/>
      <c r="O295" s="4"/>
      <c r="P295" s="4"/>
      <c r="Q295" s="4"/>
      <c r="R295" s="4"/>
      <c r="S295" s="4"/>
      <c r="T295" s="4"/>
    </row>
    <row r="296" ht="15.75" customHeight="1">
      <c r="B296" s="4"/>
      <c r="C296" s="4"/>
      <c r="D296" s="4"/>
      <c r="E296" s="4"/>
      <c r="F296" s="4"/>
      <c r="G296" s="4"/>
      <c r="H296" s="4"/>
      <c r="I296" s="4"/>
      <c r="J296" s="4"/>
      <c r="K296" s="4"/>
      <c r="L296" s="4"/>
      <c r="M296" s="4"/>
      <c r="N296" s="4"/>
      <c r="O296" s="4"/>
      <c r="P296" s="4"/>
      <c r="Q296" s="4"/>
      <c r="R296" s="4"/>
      <c r="S296" s="4"/>
      <c r="T296" s="4"/>
    </row>
    <row r="297" ht="15.75" customHeight="1">
      <c r="B297" s="4"/>
      <c r="C297" s="4"/>
      <c r="D297" s="4"/>
      <c r="E297" s="4"/>
      <c r="F297" s="4"/>
      <c r="G297" s="4"/>
      <c r="H297" s="4"/>
      <c r="I297" s="4"/>
      <c r="J297" s="4"/>
      <c r="K297" s="4"/>
      <c r="L297" s="4"/>
      <c r="M297" s="4"/>
      <c r="N297" s="4"/>
      <c r="O297" s="4"/>
      <c r="P297" s="4"/>
      <c r="Q297" s="4"/>
      <c r="R297" s="4"/>
      <c r="S297" s="4"/>
      <c r="T297" s="4"/>
    </row>
    <row r="298" ht="15.75" customHeight="1">
      <c r="B298" s="4"/>
      <c r="C298" s="4"/>
      <c r="D298" s="4"/>
      <c r="E298" s="4"/>
      <c r="F298" s="4"/>
      <c r="G298" s="4"/>
      <c r="H298" s="4"/>
      <c r="I298" s="4"/>
      <c r="J298" s="4"/>
      <c r="K298" s="4"/>
      <c r="L298" s="4"/>
      <c r="M298" s="4"/>
      <c r="N298" s="4"/>
      <c r="O298" s="4"/>
      <c r="P298" s="4"/>
      <c r="Q298" s="4"/>
      <c r="R298" s="4"/>
      <c r="S298" s="4"/>
      <c r="T298" s="4"/>
    </row>
    <row r="299" ht="15.75" customHeight="1">
      <c r="B299" s="4"/>
      <c r="C299" s="4"/>
      <c r="D299" s="4"/>
      <c r="E299" s="4"/>
      <c r="F299" s="4"/>
      <c r="G299" s="4"/>
      <c r="H299" s="4"/>
      <c r="I299" s="4"/>
      <c r="J299" s="4"/>
      <c r="K299" s="4"/>
      <c r="L299" s="4"/>
      <c r="M299" s="4"/>
      <c r="N299" s="4"/>
      <c r="O299" s="4"/>
      <c r="P299" s="4"/>
      <c r="Q299" s="4"/>
      <c r="R299" s="4"/>
      <c r="S299" s="4"/>
      <c r="T299" s="4"/>
    </row>
    <row r="300" ht="15.75" customHeight="1">
      <c r="B300" s="4"/>
      <c r="C300" s="4"/>
      <c r="D300" s="4"/>
      <c r="E300" s="4"/>
      <c r="F300" s="4"/>
      <c r="G300" s="4"/>
      <c r="H300" s="4"/>
      <c r="I300" s="4"/>
      <c r="J300" s="4"/>
      <c r="K300" s="4"/>
      <c r="L300" s="4"/>
      <c r="M300" s="4"/>
      <c r="N300" s="4"/>
      <c r="O300" s="4"/>
      <c r="P300" s="4"/>
      <c r="Q300" s="4"/>
      <c r="R300" s="4"/>
      <c r="S300" s="4"/>
      <c r="T300" s="4"/>
    </row>
    <row r="301" ht="15.75" customHeight="1">
      <c r="B301" s="4"/>
      <c r="C301" s="4"/>
      <c r="D301" s="4"/>
      <c r="E301" s="4"/>
      <c r="F301" s="4"/>
      <c r="G301" s="4"/>
      <c r="H301" s="4"/>
      <c r="I301" s="4"/>
      <c r="J301" s="4"/>
      <c r="K301" s="4"/>
      <c r="L301" s="4"/>
      <c r="M301" s="4"/>
      <c r="N301" s="4"/>
      <c r="O301" s="4"/>
      <c r="P301" s="4"/>
      <c r="Q301" s="4"/>
      <c r="R301" s="4"/>
      <c r="S301" s="4"/>
      <c r="T301" s="4"/>
    </row>
    <row r="302" ht="15.75" customHeight="1">
      <c r="B302" s="4"/>
      <c r="C302" s="4"/>
      <c r="D302" s="4"/>
      <c r="E302" s="4"/>
      <c r="F302" s="4"/>
      <c r="G302" s="4"/>
      <c r="H302" s="4"/>
      <c r="I302" s="4"/>
      <c r="J302" s="4"/>
      <c r="K302" s="4"/>
      <c r="L302" s="4"/>
      <c r="M302" s="4"/>
      <c r="N302" s="4"/>
      <c r="O302" s="4"/>
      <c r="P302" s="4"/>
      <c r="Q302" s="4"/>
      <c r="R302" s="4"/>
      <c r="S302" s="4"/>
      <c r="T302" s="4"/>
    </row>
    <row r="303" ht="15.75" customHeight="1">
      <c r="B303" s="4"/>
      <c r="C303" s="4"/>
      <c r="D303" s="4"/>
      <c r="E303" s="4"/>
      <c r="F303" s="4"/>
      <c r="G303" s="4"/>
      <c r="H303" s="4"/>
      <c r="I303" s="4"/>
      <c r="J303" s="4"/>
      <c r="K303" s="4"/>
      <c r="L303" s="4"/>
      <c r="M303" s="4"/>
      <c r="N303" s="4"/>
      <c r="O303" s="4"/>
      <c r="P303" s="4"/>
      <c r="Q303" s="4"/>
      <c r="R303" s="4"/>
      <c r="S303" s="4"/>
      <c r="T303" s="4"/>
    </row>
    <row r="304" ht="15.75" customHeight="1">
      <c r="B304" s="4"/>
      <c r="C304" s="4"/>
      <c r="D304" s="4"/>
      <c r="E304" s="4"/>
      <c r="F304" s="4"/>
      <c r="G304" s="4"/>
      <c r="H304" s="4"/>
      <c r="I304" s="4"/>
      <c r="J304" s="4"/>
      <c r="K304" s="4"/>
      <c r="L304" s="4"/>
      <c r="M304" s="4"/>
      <c r="N304" s="4"/>
      <c r="O304" s="4"/>
      <c r="P304" s="4"/>
      <c r="Q304" s="4"/>
      <c r="R304" s="4"/>
      <c r="S304" s="4"/>
      <c r="T304" s="4"/>
    </row>
    <row r="305" ht="15.75" customHeight="1">
      <c r="B305" s="4"/>
      <c r="C305" s="4"/>
      <c r="D305" s="4"/>
      <c r="E305" s="4"/>
      <c r="F305" s="4"/>
      <c r="G305" s="4"/>
      <c r="H305" s="4"/>
      <c r="I305" s="4"/>
      <c r="J305" s="4"/>
      <c r="K305" s="4"/>
      <c r="L305" s="4"/>
      <c r="M305" s="4"/>
      <c r="N305" s="4"/>
      <c r="O305" s="4"/>
      <c r="P305" s="4"/>
      <c r="Q305" s="4"/>
      <c r="R305" s="4"/>
      <c r="S305" s="4"/>
      <c r="T305" s="4"/>
    </row>
    <row r="306" ht="15.75" customHeight="1">
      <c r="B306" s="4"/>
      <c r="C306" s="4"/>
      <c r="D306" s="4"/>
      <c r="E306" s="4"/>
      <c r="F306" s="4"/>
      <c r="G306" s="4"/>
      <c r="H306" s="4"/>
      <c r="I306" s="4"/>
      <c r="J306" s="4"/>
      <c r="K306" s="4"/>
      <c r="L306" s="4"/>
      <c r="M306" s="4"/>
      <c r="N306" s="4"/>
      <c r="O306" s="4"/>
      <c r="P306" s="4"/>
      <c r="Q306" s="4"/>
      <c r="R306" s="4"/>
      <c r="S306" s="4"/>
      <c r="T306" s="4"/>
    </row>
    <row r="307" ht="15.75" customHeight="1">
      <c r="B307" s="4"/>
      <c r="C307" s="4"/>
      <c r="D307" s="4"/>
      <c r="E307" s="4"/>
      <c r="F307" s="4"/>
      <c r="G307" s="4"/>
      <c r="H307" s="4"/>
      <c r="I307" s="4"/>
      <c r="J307" s="4"/>
      <c r="K307" s="4"/>
      <c r="L307" s="4"/>
      <c r="M307" s="4"/>
      <c r="N307" s="4"/>
      <c r="O307" s="4"/>
      <c r="P307" s="4"/>
      <c r="Q307" s="4"/>
      <c r="R307" s="4"/>
      <c r="S307" s="4"/>
      <c r="T307" s="4"/>
    </row>
    <row r="308" ht="15.75" customHeight="1">
      <c r="B308" s="4"/>
      <c r="C308" s="4"/>
      <c r="D308" s="4"/>
      <c r="E308" s="4"/>
      <c r="F308" s="4"/>
      <c r="G308" s="4"/>
      <c r="H308" s="4"/>
      <c r="I308" s="4"/>
      <c r="J308" s="4"/>
      <c r="K308" s="4"/>
      <c r="L308" s="4"/>
      <c r="M308" s="4"/>
      <c r="N308" s="4"/>
      <c r="O308" s="4"/>
      <c r="P308" s="4"/>
      <c r="Q308" s="4"/>
      <c r="R308" s="4"/>
      <c r="S308" s="4"/>
      <c r="T308" s="4"/>
    </row>
    <row r="309" ht="15.75" customHeight="1">
      <c r="B309" s="4"/>
      <c r="C309" s="4"/>
      <c r="D309" s="4"/>
      <c r="E309" s="4"/>
      <c r="F309" s="4"/>
      <c r="G309" s="4"/>
      <c r="H309" s="4"/>
      <c r="I309" s="4"/>
      <c r="J309" s="4"/>
      <c r="K309" s="4"/>
      <c r="L309" s="4"/>
      <c r="M309" s="4"/>
      <c r="N309" s="4"/>
      <c r="O309" s="4"/>
      <c r="P309" s="4"/>
      <c r="Q309" s="4"/>
      <c r="R309" s="4"/>
      <c r="S309" s="4"/>
      <c r="T309" s="4"/>
    </row>
    <row r="310" ht="15.75" customHeight="1">
      <c r="B310" s="4"/>
      <c r="C310" s="4"/>
      <c r="D310" s="4"/>
      <c r="E310" s="4"/>
      <c r="F310" s="4"/>
      <c r="G310" s="4"/>
      <c r="H310" s="4"/>
      <c r="I310" s="4"/>
      <c r="J310" s="4"/>
      <c r="K310" s="4"/>
      <c r="L310" s="4"/>
      <c r="M310" s="4"/>
      <c r="N310" s="4"/>
      <c r="O310" s="4"/>
      <c r="P310" s="4"/>
      <c r="Q310" s="4"/>
      <c r="R310" s="4"/>
      <c r="S310" s="4"/>
      <c r="T310" s="4"/>
    </row>
    <row r="311" ht="15.75" customHeight="1">
      <c r="B311" s="4"/>
      <c r="C311" s="4"/>
      <c r="D311" s="4"/>
      <c r="E311" s="4"/>
      <c r="F311" s="4"/>
      <c r="G311" s="4"/>
      <c r="H311" s="4"/>
      <c r="I311" s="4"/>
      <c r="J311" s="4"/>
      <c r="K311" s="4"/>
      <c r="L311" s="4"/>
      <c r="M311" s="4"/>
      <c r="N311" s="4"/>
      <c r="O311" s="4"/>
      <c r="P311" s="4"/>
      <c r="Q311" s="4"/>
      <c r="R311" s="4"/>
      <c r="S311" s="4"/>
      <c r="T311" s="4"/>
    </row>
    <row r="312" ht="15.75" customHeight="1">
      <c r="B312" s="4"/>
      <c r="C312" s="4"/>
      <c r="D312" s="4"/>
      <c r="E312" s="4"/>
      <c r="F312" s="4"/>
      <c r="G312" s="4"/>
      <c r="H312" s="4"/>
      <c r="I312" s="4"/>
      <c r="J312" s="4"/>
      <c r="K312" s="4"/>
      <c r="L312" s="4"/>
      <c r="M312" s="4"/>
      <c r="N312" s="4"/>
      <c r="O312" s="4"/>
      <c r="P312" s="4"/>
      <c r="Q312" s="4"/>
      <c r="R312" s="4"/>
      <c r="S312" s="4"/>
      <c r="T312" s="4"/>
    </row>
    <row r="313" ht="15.75" customHeight="1">
      <c r="B313" s="4"/>
      <c r="C313" s="4"/>
      <c r="D313" s="4"/>
      <c r="E313" s="4"/>
      <c r="F313" s="4"/>
      <c r="G313" s="4"/>
      <c r="H313" s="4"/>
      <c r="I313" s="4"/>
      <c r="J313" s="4"/>
      <c r="K313" s="4"/>
      <c r="L313" s="4"/>
      <c r="M313" s="4"/>
      <c r="N313" s="4"/>
      <c r="O313" s="4"/>
      <c r="P313" s="4"/>
      <c r="Q313" s="4"/>
      <c r="R313" s="4"/>
      <c r="S313" s="4"/>
      <c r="T313" s="4"/>
    </row>
    <row r="314" ht="15.75" customHeight="1">
      <c r="B314" s="4"/>
      <c r="C314" s="4"/>
      <c r="D314" s="4"/>
      <c r="E314" s="4"/>
      <c r="F314" s="4"/>
      <c r="G314" s="4"/>
      <c r="H314" s="4"/>
      <c r="I314" s="4"/>
      <c r="J314" s="4"/>
      <c r="K314" s="4"/>
      <c r="L314" s="4"/>
      <c r="M314" s="4"/>
      <c r="N314" s="4"/>
      <c r="O314" s="4"/>
      <c r="P314" s="4"/>
      <c r="Q314" s="4"/>
      <c r="R314" s="4"/>
      <c r="S314" s="4"/>
      <c r="T314" s="4"/>
    </row>
    <row r="315" ht="15.75" customHeight="1">
      <c r="B315" s="4"/>
      <c r="C315" s="4"/>
      <c r="D315" s="4"/>
      <c r="E315" s="4"/>
      <c r="F315" s="4"/>
      <c r="G315" s="4"/>
      <c r="H315" s="4"/>
      <c r="I315" s="4"/>
      <c r="J315" s="4"/>
      <c r="K315" s="4"/>
      <c r="L315" s="4"/>
      <c r="M315" s="4"/>
      <c r="N315" s="4"/>
      <c r="O315" s="4"/>
      <c r="P315" s="4"/>
      <c r="Q315" s="4"/>
      <c r="R315" s="4"/>
      <c r="S315" s="4"/>
      <c r="T315" s="4"/>
    </row>
    <row r="316" ht="15.75" customHeight="1">
      <c r="B316" s="4"/>
      <c r="C316" s="4"/>
      <c r="D316" s="4"/>
      <c r="E316" s="4"/>
      <c r="F316" s="4"/>
      <c r="G316" s="4"/>
      <c r="H316" s="4"/>
      <c r="I316" s="4"/>
      <c r="J316" s="4"/>
      <c r="K316" s="4"/>
      <c r="L316" s="4"/>
      <c r="M316" s="4"/>
      <c r="N316" s="4"/>
      <c r="O316" s="4"/>
      <c r="P316" s="4"/>
      <c r="Q316" s="4"/>
      <c r="R316" s="4"/>
      <c r="S316" s="4"/>
      <c r="T316" s="4"/>
    </row>
    <row r="317" ht="15.75" customHeight="1">
      <c r="B317" s="4"/>
      <c r="C317" s="4"/>
      <c r="D317" s="4"/>
      <c r="E317" s="4"/>
      <c r="F317" s="4"/>
      <c r="G317" s="4"/>
      <c r="H317" s="4"/>
      <c r="I317" s="4"/>
      <c r="J317" s="4"/>
      <c r="K317" s="4"/>
      <c r="L317" s="4"/>
      <c r="M317" s="4"/>
      <c r="N317" s="4"/>
      <c r="O317" s="4"/>
      <c r="P317" s="4"/>
      <c r="Q317" s="4"/>
      <c r="R317" s="4"/>
      <c r="S317" s="4"/>
      <c r="T317" s="4"/>
    </row>
    <row r="318" ht="15.75" customHeight="1">
      <c r="B318" s="4"/>
      <c r="C318" s="4"/>
      <c r="D318" s="4"/>
      <c r="E318" s="4"/>
      <c r="F318" s="4"/>
      <c r="G318" s="4"/>
      <c r="H318" s="4"/>
      <c r="I318" s="4"/>
      <c r="J318" s="4"/>
      <c r="K318" s="4"/>
      <c r="L318" s="4"/>
      <c r="M318" s="4"/>
      <c r="N318" s="4"/>
      <c r="O318" s="4"/>
      <c r="P318" s="4"/>
      <c r="Q318" s="4"/>
      <c r="R318" s="4"/>
      <c r="S318" s="4"/>
      <c r="T318" s="4"/>
    </row>
    <row r="319" ht="15.75" customHeight="1">
      <c r="B319" s="4"/>
      <c r="C319" s="4"/>
      <c r="D319" s="4"/>
      <c r="E319" s="4"/>
      <c r="F319" s="4"/>
      <c r="G319" s="4"/>
      <c r="H319" s="4"/>
      <c r="I319" s="4"/>
      <c r="J319" s="4"/>
      <c r="K319" s="4"/>
      <c r="L319" s="4"/>
      <c r="M319" s="4"/>
      <c r="N319" s="4"/>
      <c r="O319" s="4"/>
      <c r="P319" s="4"/>
      <c r="Q319" s="4"/>
      <c r="R319" s="4"/>
      <c r="S319" s="4"/>
      <c r="T319" s="4"/>
    </row>
    <row r="320" ht="15.75" customHeight="1">
      <c r="B320" s="4"/>
      <c r="C320" s="4"/>
      <c r="D320" s="4"/>
      <c r="E320" s="4"/>
      <c r="F320" s="4"/>
      <c r="G320" s="4"/>
      <c r="H320" s="4"/>
      <c r="I320" s="4"/>
      <c r="J320" s="4"/>
      <c r="K320" s="4"/>
      <c r="L320" s="4"/>
      <c r="M320" s="4"/>
      <c r="N320" s="4"/>
      <c r="O320" s="4"/>
      <c r="P320" s="4"/>
      <c r="Q320" s="4"/>
      <c r="R320" s="4"/>
      <c r="S320" s="4"/>
      <c r="T320" s="4"/>
    </row>
    <row r="321" ht="15.75" customHeight="1">
      <c r="B321" s="4"/>
      <c r="C321" s="4"/>
      <c r="D321" s="4"/>
      <c r="E321" s="4"/>
      <c r="F321" s="4"/>
      <c r="G321" s="4"/>
      <c r="H321" s="4"/>
      <c r="I321" s="4"/>
      <c r="J321" s="4"/>
      <c r="K321" s="4"/>
      <c r="L321" s="4"/>
      <c r="M321" s="4"/>
      <c r="N321" s="4"/>
      <c r="O321" s="4"/>
      <c r="P321" s="4"/>
      <c r="Q321" s="4"/>
      <c r="R321" s="4"/>
      <c r="S321" s="4"/>
      <c r="T321" s="4"/>
    </row>
    <row r="322" ht="15.75" customHeight="1">
      <c r="B322" s="4"/>
      <c r="C322" s="4"/>
      <c r="D322" s="4"/>
      <c r="E322" s="4"/>
      <c r="F322" s="4"/>
      <c r="G322" s="4"/>
      <c r="H322" s="4"/>
      <c r="I322" s="4"/>
      <c r="J322" s="4"/>
      <c r="K322" s="4"/>
      <c r="L322" s="4"/>
      <c r="M322" s="4"/>
      <c r="N322" s="4"/>
      <c r="O322" s="4"/>
      <c r="P322" s="4"/>
      <c r="Q322" s="4"/>
      <c r="R322" s="4"/>
      <c r="S322" s="4"/>
      <c r="T322" s="4"/>
    </row>
    <row r="323" ht="15.75" customHeight="1">
      <c r="B323" s="4"/>
      <c r="C323" s="4"/>
      <c r="D323" s="4"/>
      <c r="E323" s="4"/>
      <c r="F323" s="4"/>
      <c r="G323" s="4"/>
      <c r="H323" s="4"/>
      <c r="I323" s="4"/>
      <c r="J323" s="4"/>
      <c r="K323" s="4"/>
      <c r="L323" s="4"/>
      <c r="M323" s="4"/>
      <c r="N323" s="4"/>
      <c r="O323" s="4"/>
      <c r="P323" s="4"/>
      <c r="Q323" s="4"/>
      <c r="R323" s="4"/>
      <c r="S323" s="4"/>
      <c r="T323" s="4"/>
    </row>
    <row r="324" ht="15.75" customHeight="1">
      <c r="B324" s="4"/>
      <c r="C324" s="4"/>
      <c r="D324" s="4"/>
      <c r="E324" s="4"/>
      <c r="F324" s="4"/>
      <c r="G324" s="4"/>
      <c r="H324" s="4"/>
      <c r="I324" s="4"/>
      <c r="J324" s="4"/>
      <c r="K324" s="4"/>
      <c r="L324" s="4"/>
      <c r="M324" s="4"/>
      <c r="N324" s="4"/>
      <c r="O324" s="4"/>
      <c r="P324" s="4"/>
      <c r="Q324" s="4"/>
      <c r="R324" s="4"/>
      <c r="S324" s="4"/>
      <c r="T324" s="4"/>
    </row>
    <row r="325" ht="15.75" customHeight="1">
      <c r="B325" s="4"/>
      <c r="C325" s="4"/>
      <c r="D325" s="4"/>
      <c r="E325" s="4"/>
      <c r="F325" s="4"/>
      <c r="G325" s="4"/>
      <c r="H325" s="4"/>
      <c r="I325" s="4"/>
      <c r="J325" s="4"/>
      <c r="K325" s="4"/>
      <c r="L325" s="4"/>
      <c r="M325" s="4"/>
      <c r="N325" s="4"/>
      <c r="O325" s="4"/>
      <c r="P325" s="4"/>
      <c r="Q325" s="4"/>
      <c r="R325" s="4"/>
      <c r="S325" s="4"/>
      <c r="T325" s="4"/>
    </row>
    <row r="326" ht="15.75" customHeight="1">
      <c r="B326" s="4"/>
      <c r="C326" s="4"/>
      <c r="D326" s="4"/>
      <c r="E326" s="4"/>
      <c r="F326" s="4"/>
      <c r="G326" s="4"/>
      <c r="H326" s="4"/>
      <c r="I326" s="4"/>
      <c r="J326" s="4"/>
      <c r="K326" s="4"/>
      <c r="L326" s="4"/>
      <c r="M326" s="4"/>
      <c r="N326" s="4"/>
      <c r="O326" s="4"/>
      <c r="P326" s="4"/>
      <c r="Q326" s="4"/>
      <c r="R326" s="4"/>
      <c r="S326" s="4"/>
      <c r="T326" s="4"/>
    </row>
    <row r="327" ht="15.75" customHeight="1">
      <c r="B327" s="4"/>
      <c r="C327" s="4"/>
      <c r="D327" s="4"/>
      <c r="E327" s="4"/>
      <c r="F327" s="4"/>
      <c r="G327" s="4"/>
      <c r="H327" s="4"/>
      <c r="I327" s="4"/>
      <c r="J327" s="4"/>
      <c r="K327" s="4"/>
      <c r="L327" s="4"/>
      <c r="M327" s="4"/>
      <c r="N327" s="4"/>
      <c r="O327" s="4"/>
      <c r="P327" s="4"/>
      <c r="Q327" s="4"/>
      <c r="R327" s="4"/>
      <c r="S327" s="4"/>
      <c r="T327" s="4"/>
    </row>
    <row r="328" ht="15.75" customHeight="1">
      <c r="B328" s="4"/>
      <c r="C328" s="4"/>
      <c r="D328" s="4"/>
      <c r="E328" s="4"/>
      <c r="F328" s="4"/>
      <c r="G328" s="4"/>
      <c r="H328" s="4"/>
      <c r="I328" s="4"/>
      <c r="J328" s="4"/>
      <c r="K328" s="4"/>
      <c r="L328" s="4"/>
      <c r="M328" s="4"/>
      <c r="N328" s="4"/>
      <c r="O328" s="4"/>
      <c r="P328" s="4"/>
      <c r="Q328" s="4"/>
      <c r="R328" s="4"/>
      <c r="S328" s="4"/>
      <c r="T328" s="4"/>
    </row>
    <row r="329" ht="15.75" customHeight="1">
      <c r="B329" s="4"/>
      <c r="C329" s="4"/>
      <c r="D329" s="4"/>
      <c r="E329" s="4"/>
      <c r="F329" s="4"/>
      <c r="G329" s="4"/>
      <c r="H329" s="4"/>
      <c r="I329" s="4"/>
      <c r="J329" s="4"/>
      <c r="K329" s="4"/>
      <c r="L329" s="4"/>
      <c r="M329" s="4"/>
      <c r="N329" s="4"/>
      <c r="O329" s="4"/>
      <c r="P329" s="4"/>
      <c r="Q329" s="4"/>
      <c r="R329" s="4"/>
      <c r="S329" s="4"/>
      <c r="T329" s="4"/>
    </row>
    <row r="330" ht="15.75" customHeight="1">
      <c r="B330" s="4"/>
      <c r="C330" s="4"/>
      <c r="D330" s="4"/>
      <c r="E330" s="4"/>
      <c r="F330" s="4"/>
      <c r="G330" s="4"/>
      <c r="H330" s="4"/>
      <c r="I330" s="4"/>
      <c r="J330" s="4"/>
      <c r="K330" s="4"/>
      <c r="L330" s="4"/>
      <c r="M330" s="4"/>
      <c r="N330" s="4"/>
      <c r="O330" s="4"/>
      <c r="P330" s="4"/>
      <c r="Q330" s="4"/>
      <c r="R330" s="4"/>
      <c r="S330" s="4"/>
      <c r="T330" s="4"/>
    </row>
    <row r="331" ht="15.75" customHeight="1">
      <c r="B331" s="4"/>
      <c r="C331" s="4"/>
      <c r="D331" s="4"/>
      <c r="E331" s="4"/>
      <c r="F331" s="4"/>
      <c r="G331" s="4"/>
      <c r="H331" s="4"/>
      <c r="I331" s="4"/>
      <c r="J331" s="4"/>
      <c r="K331" s="4"/>
      <c r="L331" s="4"/>
      <c r="M331" s="4"/>
      <c r="N331" s="4"/>
      <c r="O331" s="4"/>
      <c r="P331" s="4"/>
      <c r="Q331" s="4"/>
      <c r="R331" s="4"/>
      <c r="S331" s="4"/>
      <c r="T331" s="4"/>
    </row>
    <row r="332" ht="15.75" customHeight="1">
      <c r="B332" s="4"/>
      <c r="C332" s="4"/>
      <c r="D332" s="4"/>
      <c r="E332" s="4"/>
      <c r="F332" s="4"/>
      <c r="G332" s="4"/>
      <c r="H332" s="4"/>
      <c r="I332" s="4"/>
      <c r="J332" s="4"/>
      <c r="K332" s="4"/>
      <c r="L332" s="4"/>
      <c r="M332" s="4"/>
      <c r="N332" s="4"/>
      <c r="O332" s="4"/>
      <c r="P332" s="4"/>
      <c r="Q332" s="4"/>
      <c r="R332" s="4"/>
      <c r="S332" s="4"/>
      <c r="T332" s="4"/>
    </row>
    <row r="333" ht="15.75" customHeight="1">
      <c r="B333" s="4"/>
      <c r="C333" s="4"/>
      <c r="D333" s="4"/>
      <c r="E333" s="4"/>
      <c r="F333" s="4"/>
      <c r="G333" s="4"/>
      <c r="H333" s="4"/>
      <c r="I333" s="4"/>
      <c r="J333" s="4"/>
      <c r="K333" s="4"/>
      <c r="L333" s="4"/>
      <c r="M333" s="4"/>
      <c r="N333" s="4"/>
      <c r="O333" s="4"/>
      <c r="P333" s="4"/>
      <c r="Q333" s="4"/>
      <c r="R333" s="4"/>
      <c r="S333" s="4"/>
      <c r="T333" s="4"/>
    </row>
    <row r="334" ht="15.75" customHeight="1">
      <c r="B334" s="4"/>
      <c r="C334" s="4"/>
      <c r="D334" s="4"/>
      <c r="E334" s="4"/>
      <c r="F334" s="4"/>
      <c r="G334" s="4"/>
      <c r="H334" s="4"/>
      <c r="I334" s="4"/>
      <c r="J334" s="4"/>
      <c r="K334" s="4"/>
      <c r="L334" s="4"/>
      <c r="M334" s="4"/>
      <c r="N334" s="4"/>
      <c r="O334" s="4"/>
      <c r="P334" s="4"/>
      <c r="Q334" s="4"/>
      <c r="R334" s="4"/>
      <c r="S334" s="4"/>
      <c r="T334" s="4"/>
    </row>
    <row r="335" ht="15.75" customHeight="1">
      <c r="B335" s="4"/>
      <c r="C335" s="4"/>
      <c r="D335" s="4"/>
      <c r="E335" s="4"/>
      <c r="F335" s="4"/>
      <c r="G335" s="4"/>
      <c r="H335" s="4"/>
      <c r="I335" s="4"/>
      <c r="J335" s="4"/>
      <c r="K335" s="4"/>
      <c r="L335" s="4"/>
      <c r="M335" s="4"/>
      <c r="N335" s="4"/>
      <c r="O335" s="4"/>
      <c r="P335" s="4"/>
      <c r="Q335" s="4"/>
      <c r="R335" s="4"/>
      <c r="S335" s="4"/>
      <c r="T335" s="4"/>
    </row>
    <row r="336" ht="15.75" customHeight="1">
      <c r="B336" s="4"/>
      <c r="C336" s="4"/>
      <c r="D336" s="4"/>
      <c r="E336" s="4"/>
      <c r="F336" s="4"/>
      <c r="G336" s="4"/>
      <c r="H336" s="4"/>
      <c r="I336" s="4"/>
      <c r="J336" s="4"/>
      <c r="K336" s="4"/>
      <c r="L336" s="4"/>
      <c r="M336" s="4"/>
      <c r="N336" s="4"/>
      <c r="O336" s="4"/>
      <c r="P336" s="4"/>
      <c r="Q336" s="4"/>
      <c r="R336" s="4"/>
      <c r="S336" s="4"/>
      <c r="T336" s="4"/>
    </row>
    <row r="337" ht="15.75" customHeight="1">
      <c r="B337" s="4"/>
      <c r="C337" s="4"/>
      <c r="D337" s="4"/>
      <c r="E337" s="4"/>
      <c r="F337" s="4"/>
      <c r="G337" s="4"/>
      <c r="H337" s="4"/>
      <c r="I337" s="4"/>
      <c r="J337" s="4"/>
      <c r="K337" s="4"/>
      <c r="L337" s="4"/>
      <c r="M337" s="4"/>
      <c r="N337" s="4"/>
      <c r="O337" s="4"/>
      <c r="P337" s="4"/>
      <c r="Q337" s="4"/>
      <c r="R337" s="4"/>
      <c r="S337" s="4"/>
      <c r="T337" s="4"/>
    </row>
    <row r="338" ht="15.75" customHeight="1">
      <c r="B338" s="4"/>
      <c r="C338" s="4"/>
      <c r="D338" s="4"/>
      <c r="E338" s="4"/>
      <c r="F338" s="4"/>
      <c r="G338" s="4"/>
      <c r="H338" s="4"/>
      <c r="I338" s="4"/>
      <c r="J338" s="4"/>
      <c r="K338" s="4"/>
      <c r="L338" s="4"/>
      <c r="M338" s="4"/>
      <c r="N338" s="4"/>
      <c r="O338" s="4"/>
      <c r="P338" s="4"/>
      <c r="Q338" s="4"/>
      <c r="R338" s="4"/>
      <c r="S338" s="4"/>
      <c r="T338" s="4"/>
    </row>
    <row r="339" ht="15.75" customHeight="1">
      <c r="B339" s="4"/>
      <c r="C339" s="4"/>
      <c r="D339" s="4"/>
      <c r="E339" s="4"/>
      <c r="F339" s="4"/>
      <c r="G339" s="4"/>
      <c r="H339" s="4"/>
      <c r="I339" s="4"/>
      <c r="J339" s="4"/>
      <c r="K339" s="4"/>
      <c r="L339" s="4"/>
      <c r="M339" s="4"/>
      <c r="N339" s="4"/>
      <c r="O339" s="4"/>
      <c r="P339" s="4"/>
      <c r="Q339" s="4"/>
      <c r="R339" s="4"/>
      <c r="S339" s="4"/>
      <c r="T339" s="4"/>
    </row>
    <row r="340" ht="15.75" customHeight="1">
      <c r="B340" s="4"/>
      <c r="C340" s="4"/>
      <c r="D340" s="4"/>
      <c r="E340" s="4"/>
      <c r="F340" s="4"/>
      <c r="G340" s="4"/>
      <c r="H340" s="4"/>
      <c r="I340" s="4"/>
      <c r="J340" s="4"/>
      <c r="K340" s="4"/>
      <c r="L340" s="4"/>
      <c r="M340" s="4"/>
      <c r="N340" s="4"/>
      <c r="O340" s="4"/>
      <c r="P340" s="4"/>
      <c r="Q340" s="4"/>
      <c r="R340" s="4"/>
      <c r="S340" s="4"/>
      <c r="T340" s="4"/>
    </row>
    <row r="341" ht="15.75" customHeight="1">
      <c r="B341" s="4"/>
      <c r="C341" s="4"/>
      <c r="D341" s="4"/>
      <c r="E341" s="4"/>
      <c r="F341" s="4"/>
      <c r="G341" s="4"/>
      <c r="H341" s="4"/>
      <c r="I341" s="4"/>
      <c r="J341" s="4"/>
      <c r="K341" s="4"/>
      <c r="L341" s="4"/>
      <c r="M341" s="4"/>
      <c r="N341" s="4"/>
      <c r="O341" s="4"/>
      <c r="P341" s="4"/>
      <c r="Q341" s="4"/>
      <c r="R341" s="4"/>
      <c r="S341" s="4"/>
      <c r="T341" s="4"/>
    </row>
    <row r="342" ht="15.75" customHeight="1">
      <c r="B342" s="4"/>
      <c r="C342" s="4"/>
      <c r="D342" s="4"/>
      <c r="E342" s="4"/>
      <c r="F342" s="4"/>
      <c r="G342" s="4"/>
      <c r="H342" s="4"/>
      <c r="I342" s="4"/>
      <c r="J342" s="4"/>
      <c r="K342" s="4"/>
      <c r="L342" s="4"/>
      <c r="M342" s="4"/>
      <c r="N342" s="4"/>
      <c r="O342" s="4"/>
      <c r="P342" s="4"/>
      <c r="Q342" s="4"/>
      <c r="R342" s="4"/>
      <c r="S342" s="4"/>
      <c r="T342" s="4"/>
    </row>
    <row r="343" ht="15.75" customHeight="1">
      <c r="B343" s="4"/>
      <c r="C343" s="4"/>
      <c r="D343" s="4"/>
      <c r="E343" s="4"/>
      <c r="F343" s="4"/>
      <c r="G343" s="4"/>
      <c r="H343" s="4"/>
      <c r="I343" s="4"/>
      <c r="J343" s="4"/>
      <c r="K343" s="4"/>
      <c r="L343" s="4"/>
      <c r="M343" s="4"/>
      <c r="N343" s="4"/>
      <c r="O343" s="4"/>
      <c r="P343" s="4"/>
      <c r="Q343" s="4"/>
      <c r="R343" s="4"/>
      <c r="S343" s="4"/>
      <c r="T343" s="4"/>
    </row>
    <row r="344" ht="15.75" customHeight="1">
      <c r="B344" s="4"/>
      <c r="C344" s="4"/>
      <c r="D344" s="4"/>
      <c r="E344" s="4"/>
      <c r="F344" s="4"/>
      <c r="G344" s="4"/>
      <c r="H344" s="4"/>
      <c r="I344" s="4"/>
      <c r="J344" s="4"/>
      <c r="K344" s="4"/>
      <c r="L344" s="4"/>
      <c r="M344" s="4"/>
      <c r="N344" s="4"/>
      <c r="O344" s="4"/>
      <c r="P344" s="4"/>
      <c r="Q344" s="4"/>
      <c r="R344" s="4"/>
      <c r="S344" s="4"/>
      <c r="T344" s="4"/>
    </row>
    <row r="345" ht="15.75" customHeight="1">
      <c r="B345" s="4"/>
      <c r="C345" s="4"/>
      <c r="D345" s="4"/>
      <c r="E345" s="4"/>
      <c r="F345" s="4"/>
      <c r="G345" s="4"/>
      <c r="H345" s="4"/>
      <c r="I345" s="4"/>
      <c r="J345" s="4"/>
      <c r="K345" s="4"/>
      <c r="L345" s="4"/>
      <c r="M345" s="4"/>
      <c r="N345" s="4"/>
      <c r="O345" s="4"/>
      <c r="P345" s="4"/>
      <c r="Q345" s="4"/>
      <c r="R345" s="4"/>
      <c r="S345" s="4"/>
      <c r="T345" s="4"/>
    </row>
    <row r="346" ht="15.75" customHeight="1">
      <c r="B346" s="4"/>
      <c r="C346" s="4"/>
      <c r="D346" s="4"/>
      <c r="E346" s="4"/>
      <c r="F346" s="4"/>
      <c r="G346" s="4"/>
      <c r="H346" s="4"/>
      <c r="I346" s="4"/>
      <c r="J346" s="4"/>
      <c r="K346" s="4"/>
      <c r="L346" s="4"/>
      <c r="M346" s="4"/>
      <c r="N346" s="4"/>
      <c r="O346" s="4"/>
      <c r="P346" s="4"/>
      <c r="Q346" s="4"/>
      <c r="R346" s="4"/>
      <c r="S346" s="4"/>
      <c r="T346" s="4"/>
    </row>
    <row r="347" ht="15.75" customHeight="1">
      <c r="B347" s="4"/>
      <c r="C347" s="4"/>
      <c r="D347" s="4"/>
      <c r="E347" s="4"/>
      <c r="F347" s="4"/>
      <c r="G347" s="4"/>
      <c r="H347" s="4"/>
      <c r="I347" s="4"/>
      <c r="J347" s="4"/>
      <c r="K347" s="4"/>
      <c r="L347" s="4"/>
      <c r="M347" s="4"/>
      <c r="N347" s="4"/>
      <c r="O347" s="4"/>
      <c r="P347" s="4"/>
      <c r="Q347" s="4"/>
      <c r="R347" s="4"/>
      <c r="S347" s="4"/>
      <c r="T347" s="4"/>
    </row>
    <row r="348" ht="15.75" customHeight="1">
      <c r="B348" s="4"/>
      <c r="C348" s="4"/>
      <c r="D348" s="4"/>
      <c r="E348" s="4"/>
      <c r="F348" s="4"/>
      <c r="G348" s="4"/>
      <c r="H348" s="4"/>
      <c r="I348" s="4"/>
      <c r="J348" s="4"/>
      <c r="K348" s="4"/>
      <c r="L348" s="4"/>
      <c r="M348" s="4"/>
      <c r="N348" s="4"/>
      <c r="O348" s="4"/>
      <c r="P348" s="4"/>
      <c r="Q348" s="4"/>
      <c r="R348" s="4"/>
      <c r="S348" s="4"/>
      <c r="T348" s="4"/>
    </row>
    <row r="349" ht="15.75" customHeight="1">
      <c r="B349" s="4"/>
      <c r="C349" s="4"/>
      <c r="D349" s="4"/>
      <c r="E349" s="4"/>
      <c r="F349" s="4"/>
      <c r="G349" s="4"/>
      <c r="H349" s="4"/>
      <c r="I349" s="4"/>
      <c r="J349" s="4"/>
      <c r="K349" s="4"/>
      <c r="L349" s="4"/>
      <c r="M349" s="4"/>
      <c r="N349" s="4"/>
      <c r="O349" s="4"/>
      <c r="P349" s="4"/>
      <c r="Q349" s="4"/>
      <c r="R349" s="4"/>
      <c r="S349" s="4"/>
      <c r="T349" s="4"/>
    </row>
    <row r="350" ht="15.75" customHeight="1">
      <c r="B350" s="4"/>
      <c r="C350" s="4"/>
      <c r="D350" s="4"/>
      <c r="E350" s="4"/>
      <c r="F350" s="4"/>
      <c r="G350" s="4"/>
      <c r="H350" s="4"/>
      <c r="I350" s="4"/>
      <c r="J350" s="4"/>
      <c r="K350" s="4"/>
      <c r="L350" s="4"/>
      <c r="M350" s="4"/>
      <c r="N350" s="4"/>
      <c r="O350" s="4"/>
      <c r="P350" s="4"/>
      <c r="Q350" s="4"/>
      <c r="R350" s="4"/>
      <c r="S350" s="4"/>
      <c r="T350" s="4"/>
    </row>
    <row r="351" ht="15.75" customHeight="1">
      <c r="B351" s="4"/>
      <c r="C351" s="4"/>
      <c r="D351" s="4"/>
      <c r="E351" s="4"/>
      <c r="F351" s="4"/>
      <c r="G351" s="4"/>
      <c r="H351" s="4"/>
      <c r="I351" s="4"/>
      <c r="J351" s="4"/>
      <c r="K351" s="4"/>
      <c r="L351" s="4"/>
      <c r="M351" s="4"/>
      <c r="N351" s="4"/>
      <c r="O351" s="4"/>
      <c r="P351" s="4"/>
      <c r="Q351" s="4"/>
      <c r="R351" s="4"/>
      <c r="S351" s="4"/>
      <c r="T351" s="4"/>
    </row>
    <row r="352" ht="15.75" customHeight="1">
      <c r="B352" s="4"/>
      <c r="C352" s="4"/>
      <c r="D352" s="4"/>
      <c r="E352" s="4"/>
      <c r="F352" s="4"/>
      <c r="G352" s="4"/>
      <c r="H352" s="4"/>
      <c r="I352" s="4"/>
      <c r="J352" s="4"/>
      <c r="K352" s="4"/>
      <c r="L352" s="4"/>
      <c r="M352" s="4"/>
      <c r="N352" s="4"/>
      <c r="O352" s="4"/>
      <c r="P352" s="4"/>
      <c r="Q352" s="4"/>
      <c r="R352" s="4"/>
      <c r="S352" s="4"/>
      <c r="T352" s="4"/>
    </row>
    <row r="353" ht="15.75" customHeight="1">
      <c r="B353" s="4"/>
      <c r="C353" s="4"/>
      <c r="D353" s="4"/>
      <c r="E353" s="4"/>
      <c r="F353" s="4"/>
      <c r="G353" s="4"/>
      <c r="H353" s="4"/>
      <c r="I353" s="4"/>
      <c r="J353" s="4"/>
      <c r="K353" s="4"/>
      <c r="L353" s="4"/>
      <c r="M353" s="4"/>
      <c r="N353" s="4"/>
      <c r="O353" s="4"/>
      <c r="P353" s="4"/>
      <c r="Q353" s="4"/>
      <c r="R353" s="4"/>
      <c r="S353" s="4"/>
      <c r="T353" s="4"/>
    </row>
    <row r="354" ht="15.75" customHeight="1">
      <c r="B354" s="4"/>
      <c r="C354" s="4"/>
      <c r="D354" s="4"/>
      <c r="E354" s="4"/>
      <c r="F354" s="4"/>
      <c r="G354" s="4"/>
      <c r="H354" s="4"/>
      <c r="I354" s="4"/>
      <c r="J354" s="4"/>
      <c r="K354" s="4"/>
      <c r="L354" s="4"/>
      <c r="M354" s="4"/>
      <c r="N354" s="4"/>
      <c r="O354" s="4"/>
      <c r="P354" s="4"/>
      <c r="Q354" s="4"/>
      <c r="R354" s="4"/>
      <c r="S354" s="4"/>
      <c r="T354" s="4"/>
    </row>
    <row r="355" ht="15.75" customHeight="1">
      <c r="B355" s="4"/>
      <c r="C355" s="4"/>
      <c r="D355" s="4"/>
      <c r="E355" s="4"/>
      <c r="F355" s="4"/>
      <c r="G355" s="4"/>
      <c r="H355" s="4"/>
      <c r="I355" s="4"/>
      <c r="J355" s="4"/>
      <c r="K355" s="4"/>
      <c r="L355" s="4"/>
      <c r="M355" s="4"/>
      <c r="N355" s="4"/>
      <c r="O355" s="4"/>
      <c r="P355" s="4"/>
      <c r="Q355" s="4"/>
      <c r="R355" s="4"/>
      <c r="S355" s="4"/>
      <c r="T355" s="4"/>
    </row>
    <row r="356" ht="15.75" customHeight="1">
      <c r="B356" s="4"/>
      <c r="C356" s="4"/>
      <c r="D356" s="4"/>
      <c r="E356" s="4"/>
      <c r="F356" s="4"/>
      <c r="G356" s="4"/>
      <c r="H356" s="4"/>
      <c r="I356" s="4"/>
      <c r="J356" s="4"/>
      <c r="K356" s="4"/>
      <c r="L356" s="4"/>
      <c r="M356" s="4"/>
      <c r="N356" s="4"/>
      <c r="O356" s="4"/>
      <c r="P356" s="4"/>
      <c r="Q356" s="4"/>
      <c r="R356" s="4"/>
      <c r="S356" s="4"/>
      <c r="T356" s="4"/>
    </row>
    <row r="357" ht="15.75" customHeight="1">
      <c r="B357" s="4"/>
      <c r="C357" s="4"/>
      <c r="D357" s="4"/>
      <c r="E357" s="4"/>
      <c r="F357" s="4"/>
      <c r="G357" s="4"/>
      <c r="H357" s="4"/>
      <c r="I357" s="4"/>
      <c r="J357" s="4"/>
      <c r="K357" s="4"/>
      <c r="L357" s="4"/>
      <c r="M357" s="4"/>
      <c r="N357" s="4"/>
      <c r="O357" s="4"/>
      <c r="P357" s="4"/>
      <c r="Q357" s="4"/>
      <c r="R357" s="4"/>
      <c r="S357" s="4"/>
      <c r="T357" s="4"/>
    </row>
    <row r="358" ht="15.75" customHeight="1">
      <c r="B358" s="4"/>
      <c r="C358" s="4"/>
      <c r="D358" s="4"/>
      <c r="E358" s="4"/>
      <c r="F358" s="4"/>
      <c r="G358" s="4"/>
      <c r="H358" s="4"/>
      <c r="I358" s="4"/>
      <c r="J358" s="4"/>
      <c r="K358" s="4"/>
      <c r="L358" s="4"/>
      <c r="M358" s="4"/>
      <c r="N358" s="4"/>
      <c r="O358" s="4"/>
      <c r="P358" s="4"/>
      <c r="Q358" s="4"/>
      <c r="R358" s="4"/>
      <c r="S358" s="4"/>
      <c r="T358" s="4"/>
    </row>
    <row r="359" ht="15.75" customHeight="1">
      <c r="B359" s="4"/>
      <c r="C359" s="4"/>
      <c r="D359" s="4"/>
      <c r="E359" s="4"/>
      <c r="F359" s="4"/>
      <c r="G359" s="4"/>
      <c r="H359" s="4"/>
      <c r="I359" s="4"/>
      <c r="J359" s="4"/>
      <c r="K359" s="4"/>
      <c r="L359" s="4"/>
      <c r="M359" s="4"/>
      <c r="N359" s="4"/>
      <c r="O359" s="4"/>
      <c r="P359" s="4"/>
      <c r="Q359" s="4"/>
      <c r="R359" s="4"/>
      <c r="S359" s="4"/>
      <c r="T359" s="4"/>
    </row>
    <row r="360" ht="15.75" customHeight="1">
      <c r="B360" s="4"/>
      <c r="C360" s="4"/>
      <c r="D360" s="4"/>
      <c r="E360" s="4"/>
      <c r="F360" s="4"/>
      <c r="G360" s="4"/>
      <c r="H360" s="4"/>
      <c r="I360" s="4"/>
      <c r="J360" s="4"/>
      <c r="K360" s="4"/>
      <c r="L360" s="4"/>
      <c r="M360" s="4"/>
      <c r="N360" s="4"/>
      <c r="O360" s="4"/>
      <c r="P360" s="4"/>
      <c r="Q360" s="4"/>
      <c r="R360" s="4"/>
      <c r="S360" s="4"/>
      <c r="T360" s="4"/>
    </row>
    <row r="361" ht="15.75" customHeight="1">
      <c r="B361" s="4"/>
      <c r="C361" s="4"/>
      <c r="D361" s="4"/>
      <c r="E361" s="4"/>
      <c r="F361" s="4"/>
      <c r="G361" s="4"/>
      <c r="H361" s="4"/>
      <c r="I361" s="4"/>
      <c r="J361" s="4"/>
      <c r="K361" s="4"/>
      <c r="L361" s="4"/>
      <c r="M361" s="4"/>
      <c r="N361" s="4"/>
      <c r="O361" s="4"/>
      <c r="P361" s="4"/>
      <c r="Q361" s="4"/>
      <c r="R361" s="4"/>
      <c r="S361" s="4"/>
      <c r="T361" s="4"/>
    </row>
    <row r="362" ht="15.75" customHeight="1">
      <c r="B362" s="4"/>
      <c r="C362" s="4"/>
      <c r="D362" s="4"/>
      <c r="E362" s="4"/>
      <c r="F362" s="4"/>
      <c r="G362" s="4"/>
      <c r="H362" s="4"/>
      <c r="I362" s="4"/>
      <c r="J362" s="4"/>
      <c r="K362" s="4"/>
      <c r="L362" s="4"/>
      <c r="M362" s="4"/>
      <c r="N362" s="4"/>
      <c r="O362" s="4"/>
      <c r="P362" s="4"/>
      <c r="Q362" s="4"/>
      <c r="R362" s="4"/>
      <c r="S362" s="4"/>
      <c r="T362" s="4"/>
    </row>
    <row r="363" ht="15.75" customHeight="1">
      <c r="B363" s="4"/>
      <c r="C363" s="4"/>
      <c r="D363" s="4"/>
      <c r="E363" s="4"/>
      <c r="F363" s="4"/>
      <c r="G363" s="4"/>
      <c r="H363" s="4"/>
      <c r="I363" s="4"/>
      <c r="J363" s="4"/>
      <c r="K363" s="4"/>
      <c r="L363" s="4"/>
      <c r="M363" s="4"/>
      <c r="N363" s="4"/>
      <c r="O363" s="4"/>
      <c r="P363" s="4"/>
      <c r="Q363" s="4"/>
      <c r="R363" s="4"/>
      <c r="S363" s="4"/>
      <c r="T363" s="4"/>
    </row>
    <row r="364" ht="15.75" customHeight="1">
      <c r="B364" s="4"/>
      <c r="C364" s="4"/>
      <c r="D364" s="4"/>
      <c r="E364" s="4"/>
      <c r="F364" s="4"/>
      <c r="G364" s="4"/>
      <c r="H364" s="4"/>
      <c r="I364" s="4"/>
      <c r="J364" s="4"/>
      <c r="K364" s="4"/>
      <c r="L364" s="4"/>
      <c r="M364" s="4"/>
      <c r="N364" s="4"/>
      <c r="O364" s="4"/>
      <c r="P364" s="4"/>
      <c r="Q364" s="4"/>
      <c r="R364" s="4"/>
      <c r="S364" s="4"/>
      <c r="T364" s="4"/>
    </row>
    <row r="365" ht="15.75" customHeight="1">
      <c r="B365" s="4"/>
      <c r="C365" s="4"/>
      <c r="D365" s="4"/>
      <c r="E365" s="4"/>
      <c r="F365" s="4"/>
      <c r="G365" s="4"/>
      <c r="H365" s="4"/>
      <c r="I365" s="4"/>
      <c r="J365" s="4"/>
      <c r="K365" s="4"/>
      <c r="L365" s="4"/>
      <c r="M365" s="4"/>
      <c r="N365" s="4"/>
      <c r="O365" s="4"/>
      <c r="P365" s="4"/>
      <c r="Q365" s="4"/>
      <c r="R365" s="4"/>
      <c r="S365" s="4"/>
      <c r="T365" s="4"/>
    </row>
    <row r="366" ht="15.75" customHeight="1">
      <c r="B366" s="4"/>
      <c r="C366" s="4"/>
      <c r="D366" s="4"/>
      <c r="E366" s="4"/>
      <c r="F366" s="4"/>
      <c r="G366" s="4"/>
      <c r="H366" s="4"/>
      <c r="I366" s="4"/>
      <c r="J366" s="4"/>
      <c r="K366" s="4"/>
      <c r="L366" s="4"/>
      <c r="M366" s="4"/>
      <c r="N366" s="4"/>
      <c r="O366" s="4"/>
      <c r="P366" s="4"/>
      <c r="Q366" s="4"/>
      <c r="R366" s="4"/>
      <c r="S366" s="4"/>
      <c r="T366" s="4"/>
    </row>
    <row r="367" ht="15.75" customHeight="1">
      <c r="B367" s="4"/>
      <c r="C367" s="4"/>
      <c r="D367" s="4"/>
      <c r="E367" s="4"/>
      <c r="F367" s="4"/>
      <c r="G367" s="4"/>
      <c r="H367" s="4"/>
      <c r="I367" s="4"/>
      <c r="J367" s="4"/>
      <c r="K367" s="4"/>
      <c r="L367" s="4"/>
      <c r="M367" s="4"/>
      <c r="N367" s="4"/>
      <c r="O367" s="4"/>
      <c r="P367" s="4"/>
      <c r="Q367" s="4"/>
      <c r="R367" s="4"/>
      <c r="S367" s="4"/>
      <c r="T367" s="4"/>
    </row>
    <row r="368" ht="15.75" customHeight="1">
      <c r="B368" s="4"/>
      <c r="C368" s="4"/>
      <c r="D368" s="4"/>
      <c r="E368" s="4"/>
      <c r="F368" s="4"/>
      <c r="G368" s="4"/>
      <c r="H368" s="4"/>
      <c r="I368" s="4"/>
      <c r="J368" s="4"/>
      <c r="K368" s="4"/>
      <c r="L368" s="4"/>
      <c r="M368" s="4"/>
      <c r="N368" s="4"/>
      <c r="O368" s="4"/>
      <c r="P368" s="4"/>
      <c r="Q368" s="4"/>
      <c r="R368" s="4"/>
      <c r="S368" s="4"/>
      <c r="T368" s="4"/>
    </row>
    <row r="369" ht="15.75" customHeight="1">
      <c r="B369" s="4"/>
      <c r="C369" s="4"/>
      <c r="D369" s="4"/>
      <c r="E369" s="4"/>
      <c r="F369" s="4"/>
      <c r="G369" s="4"/>
      <c r="H369" s="4"/>
      <c r="I369" s="4"/>
      <c r="J369" s="4"/>
      <c r="K369" s="4"/>
      <c r="L369" s="4"/>
      <c r="M369" s="4"/>
      <c r="N369" s="4"/>
      <c r="O369" s="4"/>
      <c r="P369" s="4"/>
      <c r="Q369" s="4"/>
      <c r="R369" s="4"/>
      <c r="S369" s="4"/>
      <c r="T369" s="4"/>
    </row>
    <row r="370" ht="15.75" customHeight="1">
      <c r="B370" s="4"/>
      <c r="C370" s="4"/>
      <c r="D370" s="4"/>
      <c r="E370" s="4"/>
      <c r="F370" s="4"/>
      <c r="G370" s="4"/>
      <c r="H370" s="4"/>
      <c r="I370" s="4"/>
      <c r="J370" s="4"/>
      <c r="K370" s="4"/>
      <c r="L370" s="4"/>
      <c r="M370" s="4"/>
      <c r="N370" s="4"/>
      <c r="O370" s="4"/>
      <c r="P370" s="4"/>
      <c r="Q370" s="4"/>
      <c r="R370" s="4"/>
      <c r="S370" s="4"/>
      <c r="T370" s="4"/>
    </row>
    <row r="371" ht="15.75" customHeight="1">
      <c r="B371" s="4"/>
      <c r="C371" s="4"/>
      <c r="D371" s="4"/>
      <c r="E371" s="4"/>
      <c r="F371" s="4"/>
      <c r="G371" s="4"/>
      <c r="H371" s="4"/>
      <c r="I371" s="4"/>
      <c r="J371" s="4"/>
      <c r="K371" s="4"/>
      <c r="L371" s="4"/>
      <c r="M371" s="4"/>
      <c r="N371" s="4"/>
      <c r="O371" s="4"/>
      <c r="P371" s="4"/>
      <c r="Q371" s="4"/>
      <c r="R371" s="4"/>
      <c r="S371" s="4"/>
      <c r="T371" s="4"/>
    </row>
    <row r="372" ht="15.75" customHeight="1">
      <c r="B372" s="4"/>
      <c r="C372" s="4"/>
      <c r="D372" s="4"/>
      <c r="E372" s="4"/>
      <c r="F372" s="4"/>
      <c r="G372" s="4"/>
      <c r="H372" s="4"/>
      <c r="I372" s="4"/>
      <c r="J372" s="4"/>
      <c r="K372" s="4"/>
      <c r="L372" s="4"/>
      <c r="M372" s="4"/>
      <c r="N372" s="4"/>
      <c r="O372" s="4"/>
      <c r="P372" s="4"/>
      <c r="Q372" s="4"/>
      <c r="R372" s="4"/>
      <c r="S372" s="4"/>
      <c r="T372" s="4"/>
    </row>
    <row r="373" ht="15.75" customHeight="1">
      <c r="B373" s="4"/>
      <c r="C373" s="4"/>
      <c r="D373" s="4"/>
      <c r="E373" s="4"/>
      <c r="F373" s="4"/>
      <c r="G373" s="4"/>
      <c r="H373" s="4"/>
      <c r="I373" s="4"/>
      <c r="J373" s="4"/>
      <c r="K373" s="4"/>
      <c r="L373" s="4"/>
      <c r="M373" s="4"/>
      <c r="N373" s="4"/>
      <c r="O373" s="4"/>
      <c r="P373" s="4"/>
      <c r="Q373" s="4"/>
      <c r="R373" s="4"/>
      <c r="S373" s="4"/>
      <c r="T373" s="4"/>
    </row>
    <row r="374" ht="15.75" customHeight="1">
      <c r="B374" s="4"/>
      <c r="C374" s="4"/>
      <c r="D374" s="4"/>
      <c r="E374" s="4"/>
      <c r="F374" s="4"/>
      <c r="G374" s="4"/>
      <c r="H374" s="4"/>
      <c r="I374" s="4"/>
      <c r="J374" s="4"/>
      <c r="K374" s="4"/>
      <c r="L374" s="4"/>
      <c r="M374" s="4"/>
      <c r="N374" s="4"/>
      <c r="O374" s="4"/>
      <c r="P374" s="4"/>
      <c r="Q374" s="4"/>
      <c r="R374" s="4"/>
      <c r="S374" s="4"/>
      <c r="T374" s="4"/>
    </row>
    <row r="375" ht="15.75" customHeight="1">
      <c r="B375" s="4"/>
      <c r="C375" s="4"/>
      <c r="D375" s="4"/>
      <c r="E375" s="4"/>
      <c r="F375" s="4"/>
      <c r="G375" s="4"/>
      <c r="H375" s="4"/>
      <c r="I375" s="4"/>
      <c r="J375" s="4"/>
      <c r="K375" s="4"/>
      <c r="L375" s="4"/>
      <c r="M375" s="4"/>
      <c r="N375" s="4"/>
      <c r="O375" s="4"/>
      <c r="P375" s="4"/>
      <c r="Q375" s="4"/>
      <c r="R375" s="4"/>
      <c r="S375" s="4"/>
      <c r="T375" s="4"/>
    </row>
    <row r="376" ht="15.75" customHeight="1">
      <c r="B376" s="4"/>
      <c r="C376" s="4"/>
      <c r="D376" s="4"/>
      <c r="E376" s="4"/>
      <c r="F376" s="4"/>
      <c r="G376" s="4"/>
      <c r="H376" s="4"/>
      <c r="I376" s="4"/>
      <c r="J376" s="4"/>
      <c r="K376" s="4"/>
      <c r="L376" s="4"/>
      <c r="M376" s="4"/>
      <c r="N376" s="4"/>
      <c r="O376" s="4"/>
      <c r="P376" s="4"/>
      <c r="Q376" s="4"/>
      <c r="R376" s="4"/>
      <c r="S376" s="4"/>
      <c r="T376" s="4"/>
    </row>
    <row r="377" ht="15.75" customHeight="1">
      <c r="B377" s="4"/>
      <c r="C377" s="4"/>
      <c r="D377" s="4"/>
      <c r="E377" s="4"/>
      <c r="F377" s="4"/>
      <c r="G377" s="4"/>
      <c r="H377" s="4"/>
      <c r="I377" s="4"/>
      <c r="J377" s="4"/>
      <c r="K377" s="4"/>
      <c r="L377" s="4"/>
      <c r="M377" s="4"/>
      <c r="N377" s="4"/>
      <c r="O377" s="4"/>
      <c r="P377" s="4"/>
      <c r="Q377" s="4"/>
      <c r="R377" s="4"/>
      <c r="S377" s="4"/>
      <c r="T377" s="4"/>
    </row>
    <row r="378" ht="15.75" customHeight="1">
      <c r="B378" s="4"/>
      <c r="C378" s="4"/>
      <c r="D378" s="4"/>
      <c r="E378" s="4"/>
      <c r="F378" s="4"/>
      <c r="G378" s="4"/>
      <c r="H378" s="4"/>
      <c r="I378" s="4"/>
      <c r="J378" s="4"/>
      <c r="K378" s="4"/>
      <c r="L378" s="4"/>
      <c r="M378" s="4"/>
      <c r="N378" s="4"/>
      <c r="O378" s="4"/>
      <c r="P378" s="4"/>
      <c r="Q378" s="4"/>
      <c r="R378" s="4"/>
      <c r="S378" s="4"/>
      <c r="T378" s="4"/>
    </row>
    <row r="379" ht="15.75" customHeight="1">
      <c r="B379" s="4"/>
      <c r="C379" s="4"/>
      <c r="D379" s="4"/>
      <c r="E379" s="4"/>
      <c r="F379" s="4"/>
      <c r="G379" s="4"/>
      <c r="H379" s="4"/>
      <c r="I379" s="4"/>
      <c r="J379" s="4"/>
      <c r="K379" s="4"/>
      <c r="L379" s="4"/>
      <c r="M379" s="4"/>
      <c r="N379" s="4"/>
      <c r="O379" s="4"/>
      <c r="P379" s="4"/>
      <c r="Q379" s="4"/>
      <c r="R379" s="4"/>
      <c r="S379" s="4"/>
      <c r="T379" s="4"/>
    </row>
    <row r="380" ht="15.75" customHeight="1">
      <c r="B380" s="4"/>
      <c r="C380" s="4"/>
      <c r="D380" s="4"/>
      <c r="E380" s="4"/>
      <c r="F380" s="4"/>
      <c r="G380" s="4"/>
      <c r="H380" s="4"/>
      <c r="I380" s="4"/>
      <c r="J380" s="4"/>
      <c r="K380" s="4"/>
      <c r="L380" s="4"/>
      <c r="M380" s="4"/>
      <c r="N380" s="4"/>
      <c r="O380" s="4"/>
      <c r="P380" s="4"/>
      <c r="Q380" s="4"/>
      <c r="R380" s="4"/>
      <c r="S380" s="4"/>
      <c r="T380" s="4"/>
    </row>
    <row r="381" ht="15.75" customHeight="1">
      <c r="B381" s="4"/>
      <c r="C381" s="4"/>
      <c r="D381" s="4"/>
      <c r="E381" s="4"/>
      <c r="F381" s="4"/>
      <c r="G381" s="4"/>
      <c r="H381" s="4"/>
      <c r="I381" s="4"/>
      <c r="J381" s="4"/>
      <c r="K381" s="4"/>
      <c r="L381" s="4"/>
      <c r="M381" s="4"/>
      <c r="N381" s="4"/>
      <c r="O381" s="4"/>
      <c r="P381" s="4"/>
      <c r="Q381" s="4"/>
      <c r="R381" s="4"/>
      <c r="S381" s="4"/>
      <c r="T381" s="4"/>
    </row>
    <row r="382" ht="15.75" customHeight="1">
      <c r="B382" s="4"/>
      <c r="C382" s="4"/>
      <c r="D382" s="4"/>
      <c r="E382" s="4"/>
      <c r="F382" s="4"/>
      <c r="G382" s="4"/>
      <c r="H382" s="4"/>
      <c r="I382" s="4"/>
      <c r="J382" s="4"/>
      <c r="K382" s="4"/>
      <c r="L382" s="4"/>
      <c r="M382" s="4"/>
      <c r="N382" s="4"/>
      <c r="O382" s="4"/>
      <c r="P382" s="4"/>
      <c r="Q382" s="4"/>
      <c r="R382" s="4"/>
      <c r="S382" s="4"/>
      <c r="T382" s="4"/>
    </row>
    <row r="383" ht="15.75" customHeight="1">
      <c r="B383" s="4"/>
      <c r="C383" s="4"/>
      <c r="D383" s="4"/>
      <c r="E383" s="4"/>
      <c r="F383" s="4"/>
      <c r="G383" s="4"/>
      <c r="H383" s="4"/>
      <c r="I383" s="4"/>
      <c r="J383" s="4"/>
      <c r="K383" s="4"/>
      <c r="L383" s="4"/>
      <c r="M383" s="4"/>
      <c r="N383" s="4"/>
      <c r="O383" s="4"/>
      <c r="P383" s="4"/>
      <c r="Q383" s="4"/>
      <c r="R383" s="4"/>
      <c r="S383" s="4"/>
      <c r="T383" s="4"/>
    </row>
    <row r="384" ht="15.75" customHeight="1">
      <c r="B384" s="4"/>
      <c r="C384" s="4"/>
      <c r="D384" s="4"/>
      <c r="E384" s="4"/>
      <c r="F384" s="4"/>
      <c r="G384" s="4"/>
      <c r="H384" s="4"/>
      <c r="I384" s="4"/>
      <c r="J384" s="4"/>
      <c r="K384" s="4"/>
      <c r="L384" s="4"/>
      <c r="M384" s="4"/>
      <c r="N384" s="4"/>
      <c r="O384" s="4"/>
      <c r="P384" s="4"/>
      <c r="Q384" s="4"/>
      <c r="R384" s="4"/>
      <c r="S384" s="4"/>
      <c r="T384" s="4"/>
    </row>
    <row r="385" ht="15.75" customHeight="1">
      <c r="B385" s="4"/>
      <c r="C385" s="4"/>
      <c r="D385" s="4"/>
      <c r="E385" s="4"/>
      <c r="F385" s="4"/>
      <c r="G385" s="4"/>
      <c r="H385" s="4"/>
      <c r="I385" s="4"/>
      <c r="J385" s="4"/>
      <c r="K385" s="4"/>
      <c r="L385" s="4"/>
      <c r="M385" s="4"/>
      <c r="N385" s="4"/>
      <c r="O385" s="4"/>
      <c r="P385" s="4"/>
      <c r="Q385" s="4"/>
      <c r="R385" s="4"/>
      <c r="S385" s="4"/>
      <c r="T385" s="4"/>
    </row>
    <row r="386" ht="15.75" customHeight="1">
      <c r="B386" s="4"/>
      <c r="C386" s="4"/>
      <c r="D386" s="4"/>
      <c r="E386" s="4"/>
      <c r="F386" s="4"/>
      <c r="G386" s="4"/>
      <c r="H386" s="4"/>
      <c r="I386" s="4"/>
      <c r="J386" s="4"/>
      <c r="K386" s="4"/>
      <c r="L386" s="4"/>
      <c r="M386" s="4"/>
      <c r="N386" s="4"/>
      <c r="O386" s="4"/>
      <c r="P386" s="4"/>
      <c r="Q386" s="4"/>
      <c r="R386" s="4"/>
      <c r="S386" s="4"/>
      <c r="T386" s="4"/>
    </row>
    <row r="387" ht="15.75" customHeight="1">
      <c r="B387" s="4"/>
      <c r="C387" s="4"/>
      <c r="D387" s="4"/>
      <c r="E387" s="4"/>
      <c r="F387" s="4"/>
      <c r="G387" s="4"/>
      <c r="H387" s="4"/>
      <c r="I387" s="4"/>
      <c r="J387" s="4"/>
      <c r="K387" s="4"/>
      <c r="L387" s="4"/>
      <c r="M387" s="4"/>
      <c r="N387" s="4"/>
      <c r="O387" s="4"/>
      <c r="P387" s="4"/>
      <c r="Q387" s="4"/>
      <c r="R387" s="4"/>
      <c r="S387" s="4"/>
      <c r="T387" s="4"/>
    </row>
    <row r="388" ht="15.75" customHeight="1">
      <c r="B388" s="4"/>
      <c r="C388" s="4"/>
      <c r="D388" s="4"/>
      <c r="E388" s="4"/>
      <c r="F388" s="4"/>
      <c r="G388" s="4"/>
      <c r="H388" s="4"/>
      <c r="I388" s="4"/>
      <c r="J388" s="4"/>
      <c r="K388" s="4"/>
      <c r="L388" s="4"/>
      <c r="M388" s="4"/>
      <c r="N388" s="4"/>
      <c r="O388" s="4"/>
      <c r="P388" s="4"/>
      <c r="Q388" s="4"/>
      <c r="R388" s="4"/>
      <c r="S388" s="4"/>
      <c r="T388" s="4"/>
    </row>
    <row r="389" ht="15.75" customHeight="1">
      <c r="B389" s="4"/>
      <c r="C389" s="4"/>
      <c r="D389" s="4"/>
      <c r="E389" s="4"/>
      <c r="F389" s="4"/>
      <c r="G389" s="4"/>
      <c r="H389" s="4"/>
      <c r="I389" s="4"/>
      <c r="J389" s="4"/>
      <c r="K389" s="4"/>
      <c r="L389" s="4"/>
      <c r="M389" s="4"/>
      <c r="N389" s="4"/>
      <c r="O389" s="4"/>
      <c r="P389" s="4"/>
      <c r="Q389" s="4"/>
      <c r="R389" s="4"/>
      <c r="S389" s="4"/>
      <c r="T389" s="4"/>
    </row>
    <row r="390" ht="15.75" customHeight="1">
      <c r="B390" s="4"/>
      <c r="C390" s="4"/>
      <c r="D390" s="4"/>
      <c r="E390" s="4"/>
      <c r="F390" s="4"/>
      <c r="G390" s="4"/>
      <c r="H390" s="4"/>
      <c r="I390" s="4"/>
      <c r="J390" s="4"/>
      <c r="K390" s="4"/>
      <c r="L390" s="4"/>
      <c r="M390" s="4"/>
      <c r="N390" s="4"/>
      <c r="O390" s="4"/>
      <c r="P390" s="4"/>
      <c r="Q390" s="4"/>
      <c r="R390" s="4"/>
      <c r="S390" s="4"/>
      <c r="T390" s="4"/>
    </row>
    <row r="391" ht="15.75" customHeight="1">
      <c r="B391" s="4"/>
      <c r="C391" s="4"/>
      <c r="D391" s="4"/>
      <c r="E391" s="4"/>
      <c r="F391" s="4"/>
      <c r="G391" s="4"/>
      <c r="H391" s="4"/>
      <c r="I391" s="4"/>
      <c r="J391" s="4"/>
      <c r="K391" s="4"/>
      <c r="L391" s="4"/>
      <c r="M391" s="4"/>
      <c r="N391" s="4"/>
      <c r="O391" s="4"/>
      <c r="P391" s="4"/>
      <c r="Q391" s="4"/>
      <c r="R391" s="4"/>
      <c r="S391" s="4"/>
      <c r="T391" s="4"/>
    </row>
    <row r="392" ht="15.75" customHeight="1">
      <c r="B392" s="4"/>
      <c r="C392" s="4"/>
      <c r="D392" s="4"/>
      <c r="E392" s="4"/>
      <c r="F392" s="4"/>
      <c r="G392" s="4"/>
      <c r="H392" s="4"/>
      <c r="I392" s="4"/>
      <c r="J392" s="4"/>
      <c r="K392" s="4"/>
      <c r="L392" s="4"/>
      <c r="M392" s="4"/>
      <c r="N392" s="4"/>
      <c r="O392" s="4"/>
      <c r="P392" s="4"/>
      <c r="Q392" s="4"/>
      <c r="R392" s="4"/>
      <c r="S392" s="4"/>
      <c r="T392" s="4"/>
    </row>
    <row r="393" ht="15.75" customHeight="1">
      <c r="B393" s="4"/>
      <c r="C393" s="4"/>
      <c r="D393" s="4"/>
      <c r="E393" s="4"/>
      <c r="F393" s="4"/>
      <c r="G393" s="4"/>
      <c r="H393" s="4"/>
      <c r="I393" s="4"/>
      <c r="J393" s="4"/>
      <c r="K393" s="4"/>
      <c r="L393" s="4"/>
      <c r="M393" s="4"/>
      <c r="N393" s="4"/>
      <c r="O393" s="4"/>
      <c r="P393" s="4"/>
      <c r="Q393" s="4"/>
      <c r="R393" s="4"/>
      <c r="S393" s="4"/>
      <c r="T393" s="4"/>
    </row>
    <row r="394" ht="15.75" customHeight="1">
      <c r="B394" s="4"/>
      <c r="C394" s="4"/>
      <c r="D394" s="4"/>
      <c r="E394" s="4"/>
      <c r="F394" s="4"/>
      <c r="G394" s="4"/>
      <c r="H394" s="4"/>
      <c r="I394" s="4"/>
      <c r="J394" s="4"/>
      <c r="K394" s="4"/>
      <c r="L394" s="4"/>
      <c r="M394" s="4"/>
      <c r="N394" s="4"/>
      <c r="O394" s="4"/>
      <c r="P394" s="4"/>
      <c r="Q394" s="4"/>
      <c r="R394" s="4"/>
      <c r="S394" s="4"/>
      <c r="T394" s="4"/>
    </row>
    <row r="395" ht="15.75" customHeight="1">
      <c r="B395" s="4"/>
      <c r="C395" s="4"/>
      <c r="D395" s="4"/>
      <c r="E395" s="4"/>
      <c r="F395" s="4"/>
      <c r="G395" s="4"/>
      <c r="H395" s="4"/>
      <c r="I395" s="4"/>
      <c r="J395" s="4"/>
      <c r="K395" s="4"/>
      <c r="L395" s="4"/>
      <c r="M395" s="4"/>
      <c r="N395" s="4"/>
      <c r="O395" s="4"/>
      <c r="P395" s="4"/>
      <c r="Q395" s="4"/>
      <c r="R395" s="4"/>
      <c r="S395" s="4"/>
      <c r="T395" s="4"/>
    </row>
    <row r="396" ht="15.75" customHeight="1">
      <c r="B396" s="4"/>
      <c r="C396" s="4"/>
      <c r="D396" s="4"/>
      <c r="E396" s="4"/>
      <c r="F396" s="4"/>
      <c r="G396" s="4"/>
      <c r="H396" s="4"/>
      <c r="I396" s="4"/>
      <c r="J396" s="4"/>
      <c r="K396" s="4"/>
      <c r="L396" s="4"/>
      <c r="M396" s="4"/>
      <c r="N396" s="4"/>
      <c r="O396" s="4"/>
      <c r="P396" s="4"/>
      <c r="Q396" s="4"/>
      <c r="R396" s="4"/>
      <c r="S396" s="4"/>
      <c r="T396" s="4"/>
    </row>
    <row r="397" ht="15.75" customHeight="1">
      <c r="B397" s="4"/>
      <c r="C397" s="4"/>
      <c r="D397" s="4"/>
      <c r="E397" s="4"/>
      <c r="F397" s="4"/>
      <c r="G397" s="4"/>
      <c r="H397" s="4"/>
      <c r="I397" s="4"/>
      <c r="J397" s="4"/>
      <c r="K397" s="4"/>
      <c r="L397" s="4"/>
      <c r="M397" s="4"/>
      <c r="N397" s="4"/>
      <c r="O397" s="4"/>
      <c r="P397" s="4"/>
      <c r="Q397" s="4"/>
      <c r="R397" s="4"/>
      <c r="S397" s="4"/>
      <c r="T397" s="4"/>
    </row>
    <row r="398" ht="15.75" customHeight="1">
      <c r="B398" s="4"/>
      <c r="C398" s="4"/>
      <c r="D398" s="4"/>
      <c r="E398" s="4"/>
      <c r="F398" s="4"/>
      <c r="G398" s="4"/>
      <c r="H398" s="4"/>
      <c r="I398" s="4"/>
      <c r="J398" s="4"/>
      <c r="K398" s="4"/>
      <c r="L398" s="4"/>
      <c r="M398" s="4"/>
      <c r="N398" s="4"/>
      <c r="O398" s="4"/>
      <c r="P398" s="4"/>
      <c r="Q398" s="4"/>
      <c r="R398" s="4"/>
      <c r="S398" s="4"/>
      <c r="T398" s="4"/>
    </row>
    <row r="399" ht="15.75" customHeight="1">
      <c r="B399" s="4"/>
      <c r="C399" s="4"/>
      <c r="D399" s="4"/>
      <c r="E399" s="4"/>
      <c r="F399" s="4"/>
      <c r="G399" s="4"/>
      <c r="H399" s="4"/>
      <c r="I399" s="4"/>
      <c r="J399" s="4"/>
      <c r="K399" s="4"/>
      <c r="L399" s="4"/>
      <c r="M399" s="4"/>
      <c r="N399" s="4"/>
      <c r="O399" s="4"/>
      <c r="P399" s="4"/>
      <c r="Q399" s="4"/>
      <c r="R399" s="4"/>
      <c r="S399" s="4"/>
      <c r="T399" s="4"/>
    </row>
    <row r="400" ht="15.75" customHeight="1">
      <c r="B400" s="4"/>
      <c r="C400" s="4"/>
      <c r="D400" s="4"/>
      <c r="E400" s="4"/>
      <c r="F400" s="4"/>
      <c r="G400" s="4"/>
      <c r="H400" s="4"/>
      <c r="I400" s="4"/>
      <c r="J400" s="4"/>
      <c r="K400" s="4"/>
      <c r="L400" s="4"/>
      <c r="M400" s="4"/>
      <c r="N400" s="4"/>
      <c r="O400" s="4"/>
      <c r="P400" s="4"/>
      <c r="Q400" s="4"/>
      <c r="R400" s="4"/>
      <c r="S400" s="4"/>
      <c r="T400" s="4"/>
    </row>
    <row r="401" ht="15.75" customHeight="1">
      <c r="B401" s="4"/>
      <c r="C401" s="4"/>
      <c r="D401" s="4"/>
      <c r="E401" s="4"/>
      <c r="F401" s="4"/>
      <c r="G401" s="4"/>
      <c r="H401" s="4"/>
      <c r="I401" s="4"/>
      <c r="J401" s="4"/>
      <c r="K401" s="4"/>
      <c r="L401" s="4"/>
      <c r="M401" s="4"/>
      <c r="N401" s="4"/>
      <c r="O401" s="4"/>
      <c r="P401" s="4"/>
      <c r="Q401" s="4"/>
      <c r="R401" s="4"/>
      <c r="S401" s="4"/>
      <c r="T401" s="4"/>
    </row>
    <row r="402" ht="15.75" customHeight="1">
      <c r="B402" s="4"/>
      <c r="C402" s="4"/>
      <c r="D402" s="4"/>
      <c r="E402" s="4"/>
      <c r="F402" s="4"/>
      <c r="G402" s="4"/>
      <c r="H402" s="4"/>
      <c r="I402" s="4"/>
      <c r="J402" s="4"/>
      <c r="K402" s="4"/>
      <c r="L402" s="4"/>
      <c r="M402" s="4"/>
      <c r="N402" s="4"/>
      <c r="O402" s="4"/>
      <c r="P402" s="4"/>
      <c r="Q402" s="4"/>
      <c r="R402" s="4"/>
      <c r="S402" s="4"/>
      <c r="T402" s="4"/>
    </row>
    <row r="403" ht="15.75" customHeight="1">
      <c r="B403" s="4"/>
      <c r="C403" s="4"/>
      <c r="D403" s="4"/>
      <c r="E403" s="4"/>
      <c r="F403" s="4"/>
      <c r="G403" s="4"/>
      <c r="H403" s="4"/>
      <c r="I403" s="4"/>
      <c r="J403" s="4"/>
      <c r="K403" s="4"/>
      <c r="L403" s="4"/>
      <c r="M403" s="4"/>
      <c r="N403" s="4"/>
      <c r="O403" s="4"/>
      <c r="P403" s="4"/>
      <c r="Q403" s="4"/>
      <c r="R403" s="4"/>
      <c r="S403" s="4"/>
      <c r="T403" s="4"/>
    </row>
    <row r="404" ht="15.75" customHeight="1">
      <c r="B404" s="4"/>
      <c r="C404" s="4"/>
      <c r="D404" s="4"/>
      <c r="E404" s="4"/>
      <c r="F404" s="4"/>
      <c r="G404" s="4"/>
      <c r="H404" s="4"/>
      <c r="I404" s="4"/>
      <c r="J404" s="4"/>
      <c r="K404" s="4"/>
      <c r="L404" s="4"/>
      <c r="M404" s="4"/>
      <c r="N404" s="4"/>
      <c r="O404" s="4"/>
      <c r="P404" s="4"/>
      <c r="Q404" s="4"/>
      <c r="R404" s="4"/>
      <c r="S404" s="4"/>
      <c r="T404" s="4"/>
    </row>
    <row r="405" ht="15.75" customHeight="1">
      <c r="B405" s="4"/>
      <c r="C405" s="4"/>
      <c r="D405" s="4"/>
      <c r="E405" s="4"/>
      <c r="F405" s="4"/>
      <c r="G405" s="4"/>
      <c r="H405" s="4"/>
      <c r="I405" s="4"/>
      <c r="J405" s="4"/>
      <c r="K405" s="4"/>
      <c r="L405" s="4"/>
      <c r="M405" s="4"/>
      <c r="N405" s="4"/>
      <c r="O405" s="4"/>
      <c r="P405" s="4"/>
      <c r="Q405" s="4"/>
      <c r="R405" s="4"/>
      <c r="S405" s="4"/>
      <c r="T405" s="4"/>
    </row>
    <row r="406" ht="15.75" customHeight="1">
      <c r="B406" s="4"/>
      <c r="C406" s="4"/>
      <c r="D406" s="4"/>
      <c r="E406" s="4"/>
      <c r="F406" s="4"/>
      <c r="G406" s="4"/>
      <c r="H406" s="4"/>
      <c r="I406" s="4"/>
      <c r="J406" s="4"/>
      <c r="K406" s="4"/>
      <c r="L406" s="4"/>
      <c r="M406" s="4"/>
      <c r="N406" s="4"/>
      <c r="O406" s="4"/>
      <c r="P406" s="4"/>
      <c r="Q406" s="4"/>
      <c r="R406" s="4"/>
      <c r="S406" s="4"/>
      <c r="T406" s="4"/>
    </row>
    <row r="407" ht="15.75" customHeight="1">
      <c r="B407" s="4"/>
      <c r="C407" s="4"/>
      <c r="D407" s="4"/>
      <c r="E407" s="4"/>
      <c r="F407" s="4"/>
      <c r="G407" s="4"/>
      <c r="H407" s="4"/>
      <c r="I407" s="4"/>
      <c r="J407" s="4"/>
      <c r="K407" s="4"/>
      <c r="L407" s="4"/>
      <c r="M407" s="4"/>
      <c r="N407" s="4"/>
      <c r="O407" s="4"/>
      <c r="P407" s="4"/>
      <c r="Q407" s="4"/>
      <c r="R407" s="4"/>
      <c r="S407" s="4"/>
      <c r="T407" s="4"/>
    </row>
    <row r="408" ht="15.75" customHeight="1">
      <c r="B408" s="4"/>
      <c r="C408" s="4"/>
      <c r="D408" s="4"/>
      <c r="E408" s="4"/>
      <c r="F408" s="4"/>
      <c r="G408" s="4"/>
      <c r="H408" s="4"/>
      <c r="I408" s="4"/>
      <c r="J408" s="4"/>
      <c r="K408" s="4"/>
      <c r="L408" s="4"/>
      <c r="M408" s="4"/>
      <c r="N408" s="4"/>
      <c r="O408" s="4"/>
      <c r="P408" s="4"/>
      <c r="Q408" s="4"/>
      <c r="R408" s="4"/>
      <c r="S408" s="4"/>
      <c r="T408" s="4"/>
    </row>
    <row r="409" ht="15.75" customHeight="1">
      <c r="B409" s="4"/>
      <c r="C409" s="4"/>
      <c r="D409" s="4"/>
      <c r="E409" s="4"/>
      <c r="F409" s="4"/>
      <c r="G409" s="4"/>
      <c r="H409" s="4"/>
      <c r="I409" s="4"/>
      <c r="J409" s="4"/>
      <c r="K409" s="4"/>
      <c r="L409" s="4"/>
      <c r="M409" s="4"/>
      <c r="N409" s="4"/>
      <c r="O409" s="4"/>
      <c r="P409" s="4"/>
      <c r="Q409" s="4"/>
      <c r="R409" s="4"/>
      <c r="S409" s="4"/>
      <c r="T409" s="4"/>
    </row>
    <row r="410" ht="15.75" customHeight="1">
      <c r="B410" s="4"/>
      <c r="C410" s="4"/>
      <c r="D410" s="4"/>
      <c r="E410" s="4"/>
      <c r="F410" s="4"/>
      <c r="G410" s="4"/>
      <c r="H410" s="4"/>
      <c r="I410" s="4"/>
      <c r="J410" s="4"/>
      <c r="K410" s="4"/>
      <c r="L410" s="4"/>
      <c r="M410" s="4"/>
      <c r="N410" s="4"/>
      <c r="O410" s="4"/>
      <c r="P410" s="4"/>
      <c r="Q410" s="4"/>
      <c r="R410" s="4"/>
      <c r="S410" s="4"/>
      <c r="T410" s="4"/>
    </row>
    <row r="411" ht="15.75" customHeight="1">
      <c r="B411" s="4"/>
      <c r="C411" s="4"/>
      <c r="D411" s="4"/>
      <c r="E411" s="4"/>
      <c r="F411" s="4"/>
      <c r="G411" s="4"/>
      <c r="H411" s="4"/>
      <c r="I411" s="4"/>
      <c r="J411" s="4"/>
      <c r="K411" s="4"/>
      <c r="L411" s="4"/>
      <c r="M411" s="4"/>
      <c r="N411" s="4"/>
      <c r="O411" s="4"/>
      <c r="P411" s="4"/>
      <c r="Q411" s="4"/>
      <c r="R411" s="4"/>
      <c r="S411" s="4"/>
      <c r="T411" s="4"/>
    </row>
    <row r="412" ht="15.75" customHeight="1">
      <c r="B412" s="4"/>
      <c r="C412" s="4"/>
      <c r="D412" s="4"/>
      <c r="E412" s="4"/>
      <c r="F412" s="4"/>
      <c r="G412" s="4"/>
      <c r="H412" s="4"/>
      <c r="I412" s="4"/>
      <c r="J412" s="4"/>
      <c r="K412" s="4"/>
      <c r="L412" s="4"/>
      <c r="M412" s="4"/>
      <c r="N412" s="4"/>
      <c r="O412" s="4"/>
      <c r="P412" s="4"/>
      <c r="Q412" s="4"/>
      <c r="R412" s="4"/>
      <c r="S412" s="4"/>
      <c r="T412" s="4"/>
    </row>
    <row r="413" ht="15.75" customHeight="1">
      <c r="B413" s="4"/>
      <c r="C413" s="4"/>
      <c r="D413" s="4"/>
      <c r="E413" s="4"/>
      <c r="F413" s="4"/>
      <c r="G413" s="4"/>
      <c r="H413" s="4"/>
      <c r="I413" s="4"/>
      <c r="J413" s="4"/>
      <c r="K413" s="4"/>
      <c r="L413" s="4"/>
      <c r="M413" s="4"/>
      <c r="N413" s="4"/>
      <c r="O413" s="4"/>
      <c r="P413" s="4"/>
      <c r="Q413" s="4"/>
      <c r="R413" s="4"/>
      <c r="S413" s="4"/>
      <c r="T413" s="4"/>
    </row>
    <row r="414" ht="15.75" customHeight="1">
      <c r="B414" s="4"/>
      <c r="C414" s="4"/>
      <c r="D414" s="4"/>
      <c r="E414" s="4"/>
      <c r="F414" s="4"/>
      <c r="G414" s="4"/>
      <c r="H414" s="4"/>
      <c r="I414" s="4"/>
      <c r="J414" s="4"/>
      <c r="K414" s="4"/>
      <c r="L414" s="4"/>
      <c r="M414" s="4"/>
      <c r="N414" s="4"/>
      <c r="O414" s="4"/>
      <c r="P414" s="4"/>
      <c r="Q414" s="4"/>
      <c r="R414" s="4"/>
      <c r="S414" s="4"/>
      <c r="T414" s="4"/>
    </row>
    <row r="415" ht="15.75" customHeight="1">
      <c r="B415" s="4"/>
      <c r="C415" s="4"/>
      <c r="D415" s="4"/>
      <c r="E415" s="4"/>
      <c r="F415" s="4"/>
      <c r="G415" s="4"/>
      <c r="H415" s="4"/>
      <c r="I415" s="4"/>
      <c r="J415" s="4"/>
      <c r="K415" s="4"/>
      <c r="L415" s="4"/>
      <c r="M415" s="4"/>
      <c r="N415" s="4"/>
      <c r="O415" s="4"/>
      <c r="P415" s="4"/>
      <c r="Q415" s="4"/>
      <c r="R415" s="4"/>
      <c r="S415" s="4"/>
      <c r="T415" s="4"/>
    </row>
    <row r="416" ht="15.75" customHeight="1">
      <c r="B416" s="4"/>
      <c r="C416" s="4"/>
      <c r="D416" s="4"/>
      <c r="E416" s="4"/>
      <c r="F416" s="4"/>
      <c r="G416" s="4"/>
      <c r="H416" s="4"/>
      <c r="I416" s="4"/>
      <c r="J416" s="4"/>
      <c r="K416" s="4"/>
      <c r="L416" s="4"/>
      <c r="M416" s="4"/>
      <c r="N416" s="4"/>
      <c r="O416" s="4"/>
      <c r="P416" s="4"/>
      <c r="Q416" s="4"/>
      <c r="R416" s="4"/>
      <c r="S416" s="4"/>
      <c r="T416" s="4"/>
    </row>
    <row r="417" ht="15.75" customHeight="1">
      <c r="B417" s="4"/>
      <c r="C417" s="4"/>
      <c r="D417" s="4"/>
      <c r="E417" s="4"/>
      <c r="F417" s="4"/>
      <c r="G417" s="4"/>
      <c r="H417" s="4"/>
      <c r="I417" s="4"/>
      <c r="J417" s="4"/>
      <c r="K417" s="4"/>
      <c r="L417" s="4"/>
      <c r="M417" s="4"/>
      <c r="N417" s="4"/>
      <c r="O417" s="4"/>
      <c r="P417" s="4"/>
      <c r="Q417" s="4"/>
      <c r="R417" s="4"/>
      <c r="S417" s="4"/>
      <c r="T417" s="4"/>
    </row>
    <row r="418" ht="15.75" customHeight="1">
      <c r="B418" s="4"/>
      <c r="C418" s="4"/>
      <c r="D418" s="4"/>
      <c r="E418" s="4"/>
      <c r="F418" s="4"/>
      <c r="G418" s="4"/>
      <c r="H418" s="4"/>
      <c r="I418" s="4"/>
      <c r="J418" s="4"/>
      <c r="K418" s="4"/>
      <c r="L418" s="4"/>
      <c r="M418" s="4"/>
      <c r="N418" s="4"/>
      <c r="O418" s="4"/>
      <c r="P418" s="4"/>
      <c r="Q418" s="4"/>
      <c r="R418" s="4"/>
      <c r="S418" s="4"/>
      <c r="T418" s="4"/>
    </row>
    <row r="419" ht="15.75" customHeight="1">
      <c r="B419" s="4"/>
      <c r="C419" s="4"/>
      <c r="D419" s="4"/>
      <c r="E419" s="4"/>
      <c r="F419" s="4"/>
      <c r="G419" s="4"/>
      <c r="H419" s="4"/>
      <c r="I419" s="4"/>
      <c r="J419" s="4"/>
      <c r="K419" s="4"/>
      <c r="L419" s="4"/>
      <c r="M419" s="4"/>
      <c r="N419" s="4"/>
      <c r="O419" s="4"/>
      <c r="P419" s="4"/>
      <c r="Q419" s="4"/>
      <c r="R419" s="4"/>
      <c r="S419" s="4"/>
      <c r="T419" s="4"/>
    </row>
    <row r="420" ht="15.75" customHeight="1">
      <c r="B420" s="4"/>
      <c r="C420" s="4"/>
      <c r="D420" s="4"/>
      <c r="E420" s="4"/>
      <c r="F420" s="4"/>
      <c r="G420" s="4"/>
      <c r="H420" s="4"/>
      <c r="I420" s="4"/>
      <c r="J420" s="4"/>
      <c r="K420" s="4"/>
      <c r="L420" s="4"/>
      <c r="M420" s="4"/>
      <c r="N420" s="4"/>
      <c r="O420" s="4"/>
      <c r="P420" s="4"/>
      <c r="Q420" s="4"/>
      <c r="R420" s="4"/>
      <c r="S420" s="4"/>
      <c r="T420" s="4"/>
    </row>
    <row r="421" ht="15.75" customHeight="1">
      <c r="B421" s="4"/>
      <c r="C421" s="4"/>
      <c r="D421" s="4"/>
      <c r="E421" s="4"/>
      <c r="F421" s="4"/>
      <c r="G421" s="4"/>
      <c r="H421" s="4"/>
      <c r="I421" s="4"/>
      <c r="J421" s="4"/>
      <c r="K421" s="4"/>
      <c r="L421" s="4"/>
      <c r="M421" s="4"/>
      <c r="N421" s="4"/>
      <c r="O421" s="4"/>
      <c r="P421" s="4"/>
      <c r="Q421" s="4"/>
      <c r="R421" s="4"/>
      <c r="S421" s="4"/>
      <c r="T421" s="4"/>
    </row>
    <row r="422" ht="15.75" customHeight="1">
      <c r="B422" s="4"/>
      <c r="C422" s="4"/>
      <c r="D422" s="4"/>
      <c r="E422" s="4"/>
      <c r="F422" s="4"/>
      <c r="G422" s="4"/>
      <c r="H422" s="4"/>
      <c r="I422" s="4"/>
      <c r="J422" s="4"/>
      <c r="K422" s="4"/>
      <c r="L422" s="4"/>
      <c r="M422" s="4"/>
      <c r="N422" s="4"/>
      <c r="O422" s="4"/>
      <c r="P422" s="4"/>
      <c r="Q422" s="4"/>
      <c r="R422" s="4"/>
      <c r="S422" s="4"/>
      <c r="T422" s="4"/>
    </row>
    <row r="423" ht="15.75" customHeight="1">
      <c r="B423" s="4"/>
      <c r="C423" s="4"/>
      <c r="D423" s="4"/>
      <c r="E423" s="4"/>
      <c r="F423" s="4"/>
      <c r="G423" s="4"/>
      <c r="H423" s="4"/>
      <c r="I423" s="4"/>
      <c r="J423" s="4"/>
      <c r="K423" s="4"/>
      <c r="L423" s="4"/>
      <c r="M423" s="4"/>
      <c r="N423" s="4"/>
      <c r="O423" s="4"/>
      <c r="P423" s="4"/>
      <c r="Q423" s="4"/>
      <c r="R423" s="4"/>
      <c r="S423" s="4"/>
      <c r="T423" s="4"/>
    </row>
    <row r="424" ht="15.75" customHeight="1">
      <c r="B424" s="4"/>
      <c r="C424" s="4"/>
      <c r="D424" s="4"/>
      <c r="E424" s="4"/>
      <c r="F424" s="4"/>
      <c r="G424" s="4"/>
      <c r="H424" s="4"/>
      <c r="I424" s="4"/>
      <c r="J424" s="4"/>
      <c r="K424" s="4"/>
      <c r="L424" s="4"/>
      <c r="M424" s="4"/>
      <c r="N424" s="4"/>
      <c r="O424" s="4"/>
      <c r="P424" s="4"/>
      <c r="Q424" s="4"/>
      <c r="R424" s="4"/>
      <c r="S424" s="4"/>
      <c r="T424" s="4"/>
    </row>
    <row r="425" ht="15.75" customHeight="1">
      <c r="B425" s="4"/>
      <c r="C425" s="4"/>
      <c r="D425" s="4"/>
      <c r="E425" s="4"/>
      <c r="F425" s="4"/>
      <c r="G425" s="4"/>
      <c r="H425" s="4"/>
      <c r="I425" s="4"/>
      <c r="J425" s="4"/>
      <c r="K425" s="4"/>
      <c r="L425" s="4"/>
      <c r="M425" s="4"/>
      <c r="N425" s="4"/>
      <c r="O425" s="4"/>
      <c r="P425" s="4"/>
      <c r="Q425" s="4"/>
      <c r="R425" s="4"/>
      <c r="S425" s="4"/>
      <c r="T425" s="4"/>
    </row>
    <row r="426" ht="15.75" customHeight="1">
      <c r="B426" s="4"/>
      <c r="C426" s="4"/>
      <c r="D426" s="4"/>
      <c r="E426" s="4"/>
      <c r="F426" s="4"/>
      <c r="G426" s="4"/>
      <c r="H426" s="4"/>
      <c r="I426" s="4"/>
      <c r="J426" s="4"/>
      <c r="K426" s="4"/>
      <c r="L426" s="4"/>
      <c r="M426" s="4"/>
      <c r="N426" s="4"/>
      <c r="O426" s="4"/>
      <c r="P426" s="4"/>
      <c r="Q426" s="4"/>
      <c r="R426" s="4"/>
      <c r="S426" s="4"/>
      <c r="T426" s="4"/>
    </row>
    <row r="427" ht="15.75" customHeight="1">
      <c r="B427" s="4"/>
      <c r="C427" s="4"/>
      <c r="D427" s="4"/>
      <c r="E427" s="4"/>
      <c r="F427" s="4"/>
      <c r="G427" s="4"/>
      <c r="H427" s="4"/>
      <c r="I427" s="4"/>
      <c r="J427" s="4"/>
      <c r="K427" s="4"/>
      <c r="L427" s="4"/>
      <c r="M427" s="4"/>
      <c r="N427" s="4"/>
      <c r="O427" s="4"/>
      <c r="P427" s="4"/>
      <c r="Q427" s="4"/>
      <c r="R427" s="4"/>
      <c r="S427" s="4"/>
      <c r="T427" s="4"/>
    </row>
    <row r="428" ht="15.75" customHeight="1">
      <c r="B428" s="4"/>
      <c r="C428" s="4"/>
      <c r="D428" s="4"/>
      <c r="E428" s="4"/>
      <c r="F428" s="4"/>
      <c r="G428" s="4"/>
      <c r="H428" s="4"/>
      <c r="I428" s="4"/>
      <c r="J428" s="4"/>
      <c r="K428" s="4"/>
      <c r="L428" s="4"/>
      <c r="M428" s="4"/>
      <c r="N428" s="4"/>
      <c r="O428" s="4"/>
      <c r="P428" s="4"/>
      <c r="Q428" s="4"/>
      <c r="R428" s="4"/>
      <c r="S428" s="4"/>
      <c r="T428" s="4"/>
    </row>
    <row r="429" ht="15.75" customHeight="1">
      <c r="B429" s="4"/>
      <c r="C429" s="4"/>
      <c r="D429" s="4"/>
      <c r="E429" s="4"/>
      <c r="F429" s="4"/>
      <c r="G429" s="4"/>
      <c r="H429" s="4"/>
      <c r="I429" s="4"/>
      <c r="J429" s="4"/>
      <c r="K429" s="4"/>
      <c r="L429" s="4"/>
      <c r="M429" s="4"/>
      <c r="N429" s="4"/>
      <c r="O429" s="4"/>
      <c r="P429" s="4"/>
      <c r="Q429" s="4"/>
      <c r="R429" s="4"/>
      <c r="S429" s="4"/>
      <c r="T429" s="4"/>
    </row>
    <row r="430" ht="15.75" customHeight="1">
      <c r="B430" s="4"/>
      <c r="C430" s="4"/>
      <c r="D430" s="4"/>
      <c r="E430" s="4"/>
      <c r="F430" s="4"/>
      <c r="G430" s="4"/>
      <c r="H430" s="4"/>
      <c r="I430" s="4"/>
      <c r="J430" s="4"/>
      <c r="K430" s="4"/>
      <c r="L430" s="4"/>
      <c r="M430" s="4"/>
      <c r="N430" s="4"/>
      <c r="O430" s="4"/>
      <c r="P430" s="4"/>
      <c r="Q430" s="4"/>
      <c r="R430" s="4"/>
      <c r="S430" s="4"/>
      <c r="T430" s="4"/>
    </row>
    <row r="431" ht="15.75" customHeight="1">
      <c r="B431" s="4"/>
      <c r="C431" s="4"/>
      <c r="D431" s="4"/>
      <c r="E431" s="4"/>
      <c r="F431" s="4"/>
      <c r="G431" s="4"/>
      <c r="H431" s="4"/>
      <c r="I431" s="4"/>
      <c r="J431" s="4"/>
      <c r="K431" s="4"/>
      <c r="L431" s="4"/>
      <c r="M431" s="4"/>
      <c r="N431" s="4"/>
      <c r="O431" s="4"/>
      <c r="P431" s="4"/>
      <c r="Q431" s="4"/>
      <c r="R431" s="4"/>
      <c r="S431" s="4"/>
      <c r="T431" s="4"/>
    </row>
    <row r="432" ht="15.75" customHeight="1">
      <c r="B432" s="4"/>
      <c r="C432" s="4"/>
      <c r="D432" s="4"/>
      <c r="E432" s="4"/>
      <c r="F432" s="4"/>
      <c r="G432" s="4"/>
      <c r="H432" s="4"/>
      <c r="I432" s="4"/>
      <c r="J432" s="4"/>
      <c r="K432" s="4"/>
      <c r="L432" s="4"/>
      <c r="M432" s="4"/>
      <c r="N432" s="4"/>
      <c r="O432" s="4"/>
      <c r="P432" s="4"/>
      <c r="Q432" s="4"/>
      <c r="R432" s="4"/>
      <c r="S432" s="4"/>
      <c r="T432" s="4"/>
    </row>
    <row r="433" ht="15.75" customHeight="1">
      <c r="B433" s="4"/>
      <c r="C433" s="4"/>
      <c r="D433" s="4"/>
      <c r="E433" s="4"/>
      <c r="F433" s="4"/>
      <c r="G433" s="4"/>
      <c r="H433" s="4"/>
      <c r="I433" s="4"/>
      <c r="J433" s="4"/>
      <c r="K433" s="4"/>
      <c r="L433" s="4"/>
      <c r="M433" s="4"/>
      <c r="N433" s="4"/>
      <c r="O433" s="4"/>
      <c r="P433" s="4"/>
      <c r="Q433" s="4"/>
      <c r="R433" s="4"/>
      <c r="S433" s="4"/>
      <c r="T433" s="4"/>
    </row>
    <row r="434" ht="15.75" customHeight="1">
      <c r="B434" s="4"/>
      <c r="C434" s="4"/>
      <c r="D434" s="4"/>
      <c r="E434" s="4"/>
      <c r="F434" s="4"/>
      <c r="G434" s="4"/>
      <c r="H434" s="4"/>
      <c r="I434" s="4"/>
      <c r="J434" s="4"/>
      <c r="K434" s="4"/>
      <c r="L434" s="4"/>
      <c r="M434" s="4"/>
      <c r="N434" s="4"/>
      <c r="O434" s="4"/>
      <c r="P434" s="4"/>
      <c r="Q434" s="4"/>
      <c r="R434" s="4"/>
      <c r="S434" s="4"/>
      <c r="T434" s="4"/>
    </row>
    <row r="435" ht="15.75" customHeight="1">
      <c r="B435" s="4"/>
      <c r="C435" s="4"/>
      <c r="D435" s="4"/>
      <c r="E435" s="4"/>
      <c r="F435" s="4"/>
      <c r="G435" s="4"/>
      <c r="H435" s="4"/>
      <c r="I435" s="4"/>
      <c r="J435" s="4"/>
      <c r="K435" s="4"/>
      <c r="L435" s="4"/>
      <c r="M435" s="4"/>
      <c r="N435" s="4"/>
      <c r="O435" s="4"/>
      <c r="P435" s="4"/>
      <c r="Q435" s="4"/>
      <c r="R435" s="4"/>
      <c r="S435" s="4"/>
      <c r="T435" s="4"/>
    </row>
    <row r="436" ht="15.75" customHeight="1">
      <c r="B436" s="4"/>
      <c r="C436" s="4"/>
      <c r="D436" s="4"/>
      <c r="E436" s="4"/>
      <c r="F436" s="4"/>
      <c r="G436" s="4"/>
      <c r="H436" s="4"/>
      <c r="I436" s="4"/>
      <c r="J436" s="4"/>
      <c r="K436" s="4"/>
      <c r="L436" s="4"/>
      <c r="M436" s="4"/>
      <c r="N436" s="4"/>
      <c r="O436" s="4"/>
      <c r="P436" s="4"/>
      <c r="Q436" s="4"/>
      <c r="R436" s="4"/>
      <c r="S436" s="4"/>
      <c r="T436" s="4"/>
    </row>
    <row r="437" ht="15.75" customHeight="1">
      <c r="B437" s="4"/>
      <c r="C437" s="4"/>
      <c r="D437" s="4"/>
      <c r="E437" s="4"/>
      <c r="F437" s="4"/>
      <c r="G437" s="4"/>
      <c r="H437" s="4"/>
      <c r="I437" s="4"/>
      <c r="J437" s="4"/>
      <c r="K437" s="4"/>
      <c r="L437" s="4"/>
      <c r="M437" s="4"/>
      <c r="N437" s="4"/>
      <c r="O437" s="4"/>
      <c r="P437" s="4"/>
      <c r="Q437" s="4"/>
      <c r="R437" s="4"/>
      <c r="S437" s="4"/>
      <c r="T437" s="4"/>
    </row>
    <row r="438" ht="15.75" customHeight="1">
      <c r="B438" s="4"/>
      <c r="C438" s="4"/>
      <c r="D438" s="4"/>
      <c r="E438" s="4"/>
      <c r="F438" s="4"/>
      <c r="G438" s="4"/>
      <c r="H438" s="4"/>
      <c r="I438" s="4"/>
      <c r="J438" s="4"/>
      <c r="K438" s="4"/>
      <c r="L438" s="4"/>
      <c r="M438" s="4"/>
      <c r="N438" s="4"/>
      <c r="O438" s="4"/>
      <c r="P438" s="4"/>
      <c r="Q438" s="4"/>
      <c r="R438" s="4"/>
      <c r="S438" s="4"/>
      <c r="T438" s="4"/>
    </row>
    <row r="439" ht="15.75" customHeight="1">
      <c r="B439" s="4"/>
      <c r="C439" s="4"/>
      <c r="D439" s="4"/>
      <c r="E439" s="4"/>
      <c r="F439" s="4"/>
      <c r="G439" s="4"/>
      <c r="H439" s="4"/>
      <c r="I439" s="4"/>
      <c r="J439" s="4"/>
      <c r="K439" s="4"/>
      <c r="L439" s="4"/>
      <c r="M439" s="4"/>
      <c r="N439" s="4"/>
      <c r="O439" s="4"/>
      <c r="P439" s="4"/>
      <c r="Q439" s="4"/>
      <c r="R439" s="4"/>
      <c r="S439" s="4"/>
      <c r="T439" s="4"/>
    </row>
    <row r="440" ht="15.75" customHeight="1">
      <c r="B440" s="4"/>
      <c r="C440" s="4"/>
      <c r="D440" s="4"/>
      <c r="E440" s="4"/>
      <c r="F440" s="4"/>
      <c r="G440" s="4"/>
      <c r="H440" s="4"/>
      <c r="I440" s="4"/>
      <c r="J440" s="4"/>
      <c r="K440" s="4"/>
      <c r="L440" s="4"/>
      <c r="M440" s="4"/>
      <c r="N440" s="4"/>
      <c r="O440" s="4"/>
      <c r="P440" s="4"/>
      <c r="Q440" s="4"/>
      <c r="R440" s="4"/>
      <c r="S440" s="4"/>
      <c r="T440" s="4"/>
    </row>
    <row r="441" ht="15.75" customHeight="1">
      <c r="B441" s="4"/>
      <c r="C441" s="4"/>
      <c r="D441" s="4"/>
      <c r="E441" s="4"/>
      <c r="F441" s="4"/>
      <c r="G441" s="4"/>
      <c r="H441" s="4"/>
      <c r="I441" s="4"/>
      <c r="J441" s="4"/>
      <c r="K441" s="4"/>
      <c r="L441" s="4"/>
      <c r="M441" s="4"/>
      <c r="N441" s="4"/>
      <c r="O441" s="4"/>
      <c r="P441" s="4"/>
      <c r="Q441" s="4"/>
      <c r="R441" s="4"/>
      <c r="S441" s="4"/>
      <c r="T441" s="4"/>
    </row>
    <row r="442" ht="15.75" customHeight="1">
      <c r="B442" s="4"/>
      <c r="C442" s="4"/>
      <c r="D442" s="4"/>
      <c r="E442" s="4"/>
      <c r="F442" s="4"/>
      <c r="G442" s="4"/>
      <c r="H442" s="4"/>
      <c r="I442" s="4"/>
      <c r="J442" s="4"/>
      <c r="K442" s="4"/>
      <c r="L442" s="4"/>
      <c r="M442" s="4"/>
      <c r="N442" s="4"/>
      <c r="O442" s="4"/>
      <c r="P442" s="4"/>
      <c r="Q442" s="4"/>
      <c r="R442" s="4"/>
      <c r="S442" s="4"/>
      <c r="T442" s="4"/>
    </row>
    <row r="443" ht="15.75" customHeight="1">
      <c r="B443" s="4"/>
      <c r="C443" s="4"/>
      <c r="D443" s="4"/>
      <c r="E443" s="4"/>
      <c r="F443" s="4"/>
      <c r="G443" s="4"/>
      <c r="H443" s="4"/>
      <c r="I443" s="4"/>
      <c r="J443" s="4"/>
      <c r="K443" s="4"/>
      <c r="L443" s="4"/>
      <c r="M443" s="4"/>
      <c r="N443" s="4"/>
      <c r="O443" s="4"/>
      <c r="P443" s="4"/>
      <c r="Q443" s="4"/>
      <c r="R443" s="4"/>
      <c r="S443" s="4"/>
      <c r="T443" s="4"/>
    </row>
    <row r="444" ht="15.75" customHeight="1">
      <c r="B444" s="4"/>
      <c r="C444" s="4"/>
      <c r="D444" s="4"/>
      <c r="E444" s="4"/>
      <c r="F444" s="4"/>
      <c r="G444" s="4"/>
      <c r="H444" s="4"/>
      <c r="I444" s="4"/>
      <c r="J444" s="4"/>
      <c r="K444" s="4"/>
      <c r="L444" s="4"/>
      <c r="M444" s="4"/>
      <c r="N444" s="4"/>
      <c r="O444" s="4"/>
      <c r="P444" s="4"/>
      <c r="Q444" s="4"/>
      <c r="R444" s="4"/>
      <c r="S444" s="4"/>
      <c r="T444" s="4"/>
    </row>
    <row r="445" ht="15.75" customHeight="1">
      <c r="B445" s="4"/>
      <c r="C445" s="4"/>
      <c r="D445" s="4"/>
      <c r="E445" s="4"/>
      <c r="F445" s="4"/>
      <c r="G445" s="4"/>
      <c r="H445" s="4"/>
      <c r="I445" s="4"/>
      <c r="J445" s="4"/>
      <c r="K445" s="4"/>
      <c r="L445" s="4"/>
      <c r="M445" s="4"/>
      <c r="N445" s="4"/>
      <c r="O445" s="4"/>
      <c r="P445" s="4"/>
      <c r="Q445" s="4"/>
      <c r="R445" s="4"/>
      <c r="S445" s="4"/>
      <c r="T445" s="4"/>
    </row>
    <row r="446" ht="15.75" customHeight="1">
      <c r="B446" s="4"/>
      <c r="C446" s="4"/>
      <c r="D446" s="4"/>
      <c r="E446" s="4"/>
      <c r="F446" s="4"/>
      <c r="G446" s="4"/>
      <c r="H446" s="4"/>
      <c r="I446" s="4"/>
      <c r="J446" s="4"/>
      <c r="K446" s="4"/>
      <c r="L446" s="4"/>
      <c r="M446" s="4"/>
      <c r="N446" s="4"/>
      <c r="O446" s="4"/>
      <c r="P446" s="4"/>
      <c r="Q446" s="4"/>
      <c r="R446" s="4"/>
      <c r="S446" s="4"/>
      <c r="T446" s="4"/>
    </row>
    <row r="447" ht="15.75" customHeight="1">
      <c r="B447" s="4"/>
      <c r="C447" s="4"/>
      <c r="D447" s="4"/>
      <c r="E447" s="4"/>
      <c r="F447" s="4"/>
      <c r="G447" s="4"/>
      <c r="H447" s="4"/>
      <c r="I447" s="4"/>
      <c r="J447" s="4"/>
      <c r="K447" s="4"/>
      <c r="L447" s="4"/>
      <c r="M447" s="4"/>
      <c r="N447" s="4"/>
      <c r="O447" s="4"/>
      <c r="P447" s="4"/>
      <c r="Q447" s="4"/>
      <c r="R447" s="4"/>
      <c r="S447" s="4"/>
      <c r="T447" s="4"/>
    </row>
    <row r="448" ht="15.75" customHeight="1">
      <c r="B448" s="4"/>
      <c r="C448" s="4"/>
      <c r="D448" s="4"/>
      <c r="E448" s="4"/>
      <c r="F448" s="4"/>
      <c r="G448" s="4"/>
      <c r="H448" s="4"/>
      <c r="I448" s="4"/>
      <c r="J448" s="4"/>
      <c r="K448" s="4"/>
      <c r="L448" s="4"/>
      <c r="M448" s="4"/>
      <c r="N448" s="4"/>
      <c r="O448" s="4"/>
      <c r="P448" s="4"/>
      <c r="Q448" s="4"/>
      <c r="R448" s="4"/>
      <c r="S448" s="4"/>
      <c r="T448" s="4"/>
    </row>
    <row r="449" ht="15.75" customHeight="1">
      <c r="B449" s="4"/>
      <c r="C449" s="4"/>
      <c r="D449" s="4"/>
      <c r="E449" s="4"/>
      <c r="F449" s="4"/>
      <c r="G449" s="4"/>
      <c r="H449" s="4"/>
      <c r="I449" s="4"/>
      <c r="J449" s="4"/>
      <c r="K449" s="4"/>
      <c r="L449" s="4"/>
      <c r="M449" s="4"/>
      <c r="N449" s="4"/>
      <c r="O449" s="4"/>
      <c r="P449" s="4"/>
      <c r="Q449" s="4"/>
      <c r="R449" s="4"/>
      <c r="S449" s="4"/>
      <c r="T449" s="4"/>
    </row>
    <row r="450" ht="15.75" customHeight="1">
      <c r="B450" s="4"/>
      <c r="C450" s="4"/>
      <c r="D450" s="4"/>
      <c r="E450" s="4"/>
      <c r="F450" s="4"/>
      <c r="G450" s="4"/>
      <c r="H450" s="4"/>
      <c r="I450" s="4"/>
      <c r="J450" s="4"/>
      <c r="K450" s="4"/>
      <c r="L450" s="4"/>
      <c r="M450" s="4"/>
      <c r="N450" s="4"/>
      <c r="O450" s="4"/>
      <c r="P450" s="4"/>
      <c r="Q450" s="4"/>
      <c r="R450" s="4"/>
      <c r="S450" s="4"/>
      <c r="T450" s="4"/>
    </row>
    <row r="451" ht="15.75" customHeight="1">
      <c r="B451" s="4"/>
      <c r="C451" s="4"/>
      <c r="D451" s="4"/>
      <c r="E451" s="4"/>
      <c r="F451" s="4"/>
      <c r="G451" s="4"/>
      <c r="H451" s="4"/>
      <c r="I451" s="4"/>
      <c r="J451" s="4"/>
      <c r="K451" s="4"/>
      <c r="L451" s="4"/>
      <c r="M451" s="4"/>
      <c r="N451" s="4"/>
      <c r="O451" s="4"/>
      <c r="P451" s="4"/>
      <c r="Q451" s="4"/>
      <c r="R451" s="4"/>
      <c r="S451" s="4"/>
      <c r="T451" s="4"/>
    </row>
    <row r="452" ht="15.75" customHeight="1">
      <c r="B452" s="4"/>
      <c r="C452" s="4"/>
      <c r="D452" s="4"/>
      <c r="E452" s="4"/>
      <c r="F452" s="4"/>
      <c r="G452" s="4"/>
      <c r="H452" s="4"/>
      <c r="I452" s="4"/>
      <c r="J452" s="4"/>
      <c r="K452" s="4"/>
      <c r="L452" s="4"/>
      <c r="M452" s="4"/>
      <c r="N452" s="4"/>
      <c r="O452" s="4"/>
      <c r="P452" s="4"/>
      <c r="Q452" s="4"/>
      <c r="R452" s="4"/>
      <c r="S452" s="4"/>
      <c r="T452" s="4"/>
    </row>
    <row r="453" ht="15.75" customHeight="1">
      <c r="B453" s="4"/>
      <c r="C453" s="4"/>
      <c r="D453" s="4"/>
      <c r="E453" s="4"/>
      <c r="F453" s="4"/>
      <c r="G453" s="4"/>
      <c r="H453" s="4"/>
      <c r="I453" s="4"/>
      <c r="J453" s="4"/>
      <c r="K453" s="4"/>
      <c r="L453" s="4"/>
      <c r="M453" s="4"/>
      <c r="N453" s="4"/>
      <c r="O453" s="4"/>
      <c r="P453" s="4"/>
      <c r="Q453" s="4"/>
      <c r="R453" s="4"/>
      <c r="S453" s="4"/>
      <c r="T453" s="4"/>
    </row>
    <row r="454" ht="15.75" customHeight="1">
      <c r="B454" s="4"/>
      <c r="C454" s="4"/>
      <c r="D454" s="4"/>
      <c r="E454" s="4"/>
      <c r="F454" s="4"/>
      <c r="G454" s="4"/>
      <c r="H454" s="4"/>
      <c r="I454" s="4"/>
      <c r="J454" s="4"/>
      <c r="K454" s="4"/>
      <c r="L454" s="4"/>
      <c r="M454" s="4"/>
      <c r="N454" s="4"/>
      <c r="O454" s="4"/>
      <c r="P454" s="4"/>
      <c r="Q454" s="4"/>
      <c r="R454" s="4"/>
      <c r="S454" s="4"/>
      <c r="T454" s="4"/>
    </row>
    <row r="455" ht="15.75" customHeight="1">
      <c r="B455" s="4"/>
      <c r="C455" s="4"/>
      <c r="D455" s="4"/>
      <c r="E455" s="4"/>
      <c r="F455" s="4"/>
      <c r="G455" s="4"/>
      <c r="H455" s="4"/>
      <c r="I455" s="4"/>
      <c r="J455" s="4"/>
      <c r="K455" s="4"/>
      <c r="L455" s="4"/>
      <c r="M455" s="4"/>
      <c r="N455" s="4"/>
      <c r="O455" s="4"/>
      <c r="P455" s="4"/>
      <c r="Q455" s="4"/>
      <c r="R455" s="4"/>
      <c r="S455" s="4"/>
      <c r="T455" s="4"/>
    </row>
    <row r="456" ht="15.75" customHeight="1">
      <c r="B456" s="4"/>
      <c r="C456" s="4"/>
      <c r="D456" s="4"/>
      <c r="E456" s="4"/>
      <c r="F456" s="4"/>
      <c r="G456" s="4"/>
      <c r="H456" s="4"/>
      <c r="I456" s="4"/>
      <c r="J456" s="4"/>
      <c r="K456" s="4"/>
      <c r="L456" s="4"/>
      <c r="M456" s="4"/>
      <c r="N456" s="4"/>
      <c r="O456" s="4"/>
      <c r="P456" s="4"/>
      <c r="Q456" s="4"/>
      <c r="R456" s="4"/>
      <c r="S456" s="4"/>
      <c r="T456" s="4"/>
    </row>
    <row r="457" ht="15.75" customHeight="1">
      <c r="B457" s="4"/>
      <c r="C457" s="4"/>
      <c r="D457" s="4"/>
      <c r="E457" s="4"/>
      <c r="F457" s="4"/>
      <c r="G457" s="4"/>
      <c r="H457" s="4"/>
      <c r="I457" s="4"/>
      <c r="J457" s="4"/>
      <c r="K457" s="4"/>
      <c r="L457" s="4"/>
      <c r="M457" s="4"/>
      <c r="N457" s="4"/>
      <c r="O457" s="4"/>
      <c r="P457" s="4"/>
      <c r="Q457" s="4"/>
      <c r="R457" s="4"/>
      <c r="S457" s="4"/>
      <c r="T457" s="4"/>
    </row>
    <row r="458" ht="15.75" customHeight="1">
      <c r="B458" s="4"/>
      <c r="C458" s="4"/>
      <c r="D458" s="4"/>
      <c r="E458" s="4"/>
      <c r="F458" s="4"/>
      <c r="G458" s="4"/>
      <c r="H458" s="4"/>
      <c r="I458" s="4"/>
      <c r="J458" s="4"/>
      <c r="K458" s="4"/>
      <c r="L458" s="4"/>
      <c r="M458" s="4"/>
      <c r="N458" s="4"/>
      <c r="O458" s="4"/>
      <c r="P458" s="4"/>
      <c r="Q458" s="4"/>
      <c r="R458" s="4"/>
      <c r="S458" s="4"/>
      <c r="T458" s="4"/>
    </row>
    <row r="459" ht="15.75" customHeight="1">
      <c r="B459" s="4"/>
      <c r="C459" s="4"/>
      <c r="D459" s="4"/>
      <c r="E459" s="4"/>
      <c r="F459" s="4"/>
      <c r="G459" s="4"/>
      <c r="H459" s="4"/>
      <c r="I459" s="4"/>
      <c r="J459" s="4"/>
      <c r="K459" s="4"/>
      <c r="L459" s="4"/>
      <c r="M459" s="4"/>
      <c r="N459" s="4"/>
      <c r="O459" s="4"/>
      <c r="P459" s="4"/>
      <c r="Q459" s="4"/>
      <c r="R459" s="4"/>
      <c r="S459" s="4"/>
      <c r="T459" s="4"/>
    </row>
    <row r="460" ht="15.75" customHeight="1">
      <c r="B460" s="4"/>
      <c r="C460" s="4"/>
      <c r="D460" s="4"/>
      <c r="E460" s="4"/>
      <c r="F460" s="4"/>
      <c r="G460" s="4"/>
      <c r="H460" s="4"/>
      <c r="I460" s="4"/>
      <c r="J460" s="4"/>
      <c r="K460" s="4"/>
      <c r="L460" s="4"/>
      <c r="M460" s="4"/>
      <c r="N460" s="4"/>
      <c r="O460" s="4"/>
      <c r="P460" s="4"/>
      <c r="Q460" s="4"/>
      <c r="R460" s="4"/>
      <c r="S460" s="4"/>
      <c r="T460" s="4"/>
    </row>
    <row r="461" ht="15.75" customHeight="1">
      <c r="B461" s="4"/>
      <c r="C461" s="4"/>
      <c r="D461" s="4"/>
      <c r="E461" s="4"/>
      <c r="F461" s="4"/>
      <c r="G461" s="4"/>
      <c r="H461" s="4"/>
      <c r="I461" s="4"/>
      <c r="J461" s="4"/>
      <c r="K461" s="4"/>
      <c r="L461" s="4"/>
      <c r="M461" s="4"/>
      <c r="N461" s="4"/>
      <c r="O461" s="4"/>
      <c r="P461" s="4"/>
      <c r="Q461" s="4"/>
      <c r="R461" s="4"/>
      <c r="S461" s="4"/>
      <c r="T461" s="4"/>
    </row>
    <row r="462" ht="15.75" customHeight="1">
      <c r="B462" s="4"/>
      <c r="C462" s="4"/>
      <c r="D462" s="4"/>
      <c r="E462" s="4"/>
      <c r="F462" s="4"/>
      <c r="G462" s="4"/>
      <c r="H462" s="4"/>
      <c r="I462" s="4"/>
      <c r="J462" s="4"/>
      <c r="K462" s="4"/>
      <c r="L462" s="4"/>
      <c r="M462" s="4"/>
      <c r="N462" s="4"/>
      <c r="O462" s="4"/>
      <c r="P462" s="4"/>
      <c r="Q462" s="4"/>
      <c r="R462" s="4"/>
      <c r="S462" s="4"/>
      <c r="T462" s="4"/>
    </row>
    <row r="463" ht="15.75" customHeight="1">
      <c r="B463" s="4"/>
      <c r="C463" s="4"/>
      <c r="D463" s="4"/>
      <c r="E463" s="4"/>
      <c r="F463" s="4"/>
      <c r="G463" s="4"/>
      <c r="H463" s="4"/>
      <c r="I463" s="4"/>
      <c r="J463" s="4"/>
      <c r="K463" s="4"/>
      <c r="L463" s="4"/>
      <c r="M463" s="4"/>
      <c r="N463" s="4"/>
      <c r="O463" s="4"/>
      <c r="P463" s="4"/>
      <c r="Q463" s="4"/>
      <c r="R463" s="4"/>
      <c r="S463" s="4"/>
      <c r="T463" s="4"/>
    </row>
    <row r="464" ht="15.75" customHeight="1">
      <c r="B464" s="4"/>
      <c r="C464" s="4"/>
      <c r="D464" s="4"/>
      <c r="E464" s="4"/>
      <c r="F464" s="4"/>
      <c r="G464" s="4"/>
      <c r="H464" s="4"/>
      <c r="I464" s="4"/>
      <c r="J464" s="4"/>
      <c r="K464" s="4"/>
      <c r="L464" s="4"/>
      <c r="M464" s="4"/>
      <c r="N464" s="4"/>
      <c r="O464" s="4"/>
      <c r="P464" s="4"/>
      <c r="Q464" s="4"/>
      <c r="R464" s="4"/>
      <c r="S464" s="4"/>
      <c r="T464" s="4"/>
    </row>
    <row r="465" ht="15.75" customHeight="1">
      <c r="B465" s="4"/>
      <c r="C465" s="4"/>
      <c r="D465" s="4"/>
      <c r="E465" s="4"/>
      <c r="F465" s="4"/>
      <c r="G465" s="4"/>
      <c r="H465" s="4"/>
      <c r="I465" s="4"/>
      <c r="J465" s="4"/>
      <c r="K465" s="4"/>
      <c r="L465" s="4"/>
      <c r="M465" s="4"/>
      <c r="N465" s="4"/>
      <c r="O465" s="4"/>
      <c r="P465" s="4"/>
      <c r="Q465" s="4"/>
      <c r="R465" s="4"/>
      <c r="S465" s="4"/>
      <c r="T465" s="4"/>
    </row>
    <row r="466" ht="15.75" customHeight="1">
      <c r="B466" s="4"/>
      <c r="C466" s="4"/>
      <c r="D466" s="4"/>
      <c r="E466" s="4"/>
      <c r="F466" s="4"/>
      <c r="G466" s="4"/>
      <c r="H466" s="4"/>
      <c r="I466" s="4"/>
      <c r="J466" s="4"/>
      <c r="K466" s="4"/>
      <c r="L466" s="4"/>
      <c r="M466" s="4"/>
      <c r="N466" s="4"/>
      <c r="O466" s="4"/>
      <c r="P466" s="4"/>
      <c r="Q466" s="4"/>
      <c r="R466" s="4"/>
      <c r="S466" s="4"/>
      <c r="T466" s="4"/>
    </row>
    <row r="467" ht="15.75" customHeight="1">
      <c r="B467" s="4"/>
      <c r="C467" s="4"/>
      <c r="D467" s="4"/>
      <c r="E467" s="4"/>
      <c r="F467" s="4"/>
      <c r="G467" s="4"/>
      <c r="H467" s="4"/>
      <c r="I467" s="4"/>
      <c r="J467" s="4"/>
      <c r="K467" s="4"/>
      <c r="L467" s="4"/>
      <c r="M467" s="4"/>
      <c r="N467" s="4"/>
      <c r="O467" s="4"/>
      <c r="P467" s="4"/>
      <c r="Q467" s="4"/>
      <c r="R467" s="4"/>
      <c r="S467" s="4"/>
      <c r="T467" s="4"/>
    </row>
    <row r="468" ht="15.75" customHeight="1">
      <c r="B468" s="4"/>
      <c r="C468" s="4"/>
      <c r="D468" s="4"/>
      <c r="E468" s="4"/>
      <c r="F468" s="4"/>
      <c r="G468" s="4"/>
      <c r="H468" s="4"/>
      <c r="I468" s="4"/>
      <c r="J468" s="4"/>
      <c r="K468" s="4"/>
      <c r="L468" s="4"/>
      <c r="M468" s="4"/>
      <c r="N468" s="4"/>
      <c r="O468" s="4"/>
      <c r="P468" s="4"/>
      <c r="Q468" s="4"/>
      <c r="R468" s="4"/>
      <c r="S468" s="4"/>
      <c r="T468" s="4"/>
    </row>
    <row r="469" ht="15.75" customHeight="1">
      <c r="B469" s="4"/>
      <c r="C469" s="4"/>
      <c r="D469" s="4"/>
      <c r="E469" s="4"/>
      <c r="F469" s="4"/>
      <c r="G469" s="4"/>
      <c r="H469" s="4"/>
      <c r="I469" s="4"/>
      <c r="J469" s="4"/>
      <c r="K469" s="4"/>
      <c r="L469" s="4"/>
      <c r="M469" s="4"/>
      <c r="N469" s="4"/>
      <c r="O469" s="4"/>
      <c r="P469" s="4"/>
      <c r="Q469" s="4"/>
      <c r="R469" s="4"/>
      <c r="S469" s="4"/>
      <c r="T469" s="4"/>
    </row>
    <row r="470" ht="15.75" customHeight="1">
      <c r="B470" s="4"/>
      <c r="C470" s="4"/>
      <c r="D470" s="4"/>
      <c r="E470" s="4"/>
      <c r="F470" s="4"/>
      <c r="G470" s="4"/>
      <c r="H470" s="4"/>
      <c r="I470" s="4"/>
      <c r="J470" s="4"/>
      <c r="K470" s="4"/>
      <c r="L470" s="4"/>
      <c r="M470" s="4"/>
      <c r="N470" s="4"/>
      <c r="O470" s="4"/>
      <c r="P470" s="4"/>
      <c r="Q470" s="4"/>
      <c r="R470" s="4"/>
      <c r="S470" s="4"/>
      <c r="T470" s="4"/>
    </row>
    <row r="471" ht="15.75" customHeight="1">
      <c r="B471" s="4"/>
      <c r="C471" s="4"/>
      <c r="D471" s="4"/>
      <c r="E471" s="4"/>
      <c r="F471" s="4"/>
      <c r="G471" s="4"/>
      <c r="H471" s="4"/>
      <c r="I471" s="4"/>
      <c r="J471" s="4"/>
      <c r="K471" s="4"/>
      <c r="L471" s="4"/>
      <c r="M471" s="4"/>
      <c r="N471" s="4"/>
      <c r="O471" s="4"/>
      <c r="P471" s="4"/>
      <c r="Q471" s="4"/>
      <c r="R471" s="4"/>
      <c r="S471" s="4"/>
      <c r="T471" s="4"/>
    </row>
    <row r="472" ht="15.75" customHeight="1">
      <c r="B472" s="4"/>
      <c r="C472" s="4"/>
      <c r="D472" s="4"/>
      <c r="E472" s="4"/>
      <c r="F472" s="4"/>
      <c r="G472" s="4"/>
      <c r="H472" s="4"/>
      <c r="I472" s="4"/>
      <c r="J472" s="4"/>
      <c r="K472" s="4"/>
      <c r="L472" s="4"/>
      <c r="M472" s="4"/>
      <c r="N472" s="4"/>
      <c r="O472" s="4"/>
      <c r="P472" s="4"/>
      <c r="Q472" s="4"/>
      <c r="R472" s="4"/>
      <c r="S472" s="4"/>
      <c r="T472" s="4"/>
    </row>
    <row r="473" ht="15.75" customHeight="1">
      <c r="B473" s="4"/>
      <c r="C473" s="4"/>
      <c r="D473" s="4"/>
      <c r="E473" s="4"/>
      <c r="F473" s="4"/>
      <c r="G473" s="4"/>
      <c r="H473" s="4"/>
      <c r="I473" s="4"/>
      <c r="J473" s="4"/>
      <c r="K473" s="4"/>
      <c r="L473" s="4"/>
      <c r="M473" s="4"/>
      <c r="N473" s="4"/>
      <c r="O473" s="4"/>
      <c r="P473" s="4"/>
      <c r="Q473" s="4"/>
      <c r="R473" s="4"/>
      <c r="S473" s="4"/>
      <c r="T473" s="4"/>
    </row>
    <row r="474" ht="15.75" customHeight="1">
      <c r="B474" s="4"/>
      <c r="C474" s="4"/>
      <c r="D474" s="4"/>
      <c r="E474" s="4"/>
      <c r="F474" s="4"/>
      <c r="G474" s="4"/>
      <c r="H474" s="4"/>
      <c r="I474" s="4"/>
      <c r="J474" s="4"/>
      <c r="K474" s="4"/>
      <c r="L474" s="4"/>
      <c r="M474" s="4"/>
      <c r="N474" s="4"/>
      <c r="O474" s="4"/>
      <c r="P474" s="4"/>
      <c r="Q474" s="4"/>
      <c r="R474" s="4"/>
      <c r="S474" s="4"/>
      <c r="T474" s="4"/>
    </row>
    <row r="475" ht="15.75" customHeight="1">
      <c r="B475" s="4"/>
      <c r="C475" s="4"/>
      <c r="D475" s="4"/>
      <c r="E475" s="4"/>
      <c r="F475" s="4"/>
      <c r="G475" s="4"/>
      <c r="H475" s="4"/>
      <c r="I475" s="4"/>
      <c r="J475" s="4"/>
      <c r="K475" s="4"/>
      <c r="L475" s="4"/>
      <c r="M475" s="4"/>
      <c r="N475" s="4"/>
      <c r="O475" s="4"/>
      <c r="P475" s="4"/>
      <c r="Q475" s="4"/>
      <c r="R475" s="4"/>
      <c r="S475" s="4"/>
      <c r="T475" s="4"/>
    </row>
    <row r="476" ht="15.75" customHeight="1">
      <c r="B476" s="4"/>
      <c r="C476" s="4"/>
      <c r="D476" s="4"/>
      <c r="E476" s="4"/>
      <c r="F476" s="4"/>
      <c r="G476" s="4"/>
      <c r="H476" s="4"/>
      <c r="I476" s="4"/>
      <c r="J476" s="4"/>
      <c r="K476" s="4"/>
      <c r="L476" s="4"/>
      <c r="M476" s="4"/>
      <c r="N476" s="4"/>
      <c r="O476" s="4"/>
      <c r="P476" s="4"/>
      <c r="Q476" s="4"/>
      <c r="R476" s="4"/>
      <c r="S476" s="4"/>
      <c r="T476" s="4"/>
    </row>
    <row r="477" ht="15.75" customHeight="1">
      <c r="B477" s="4"/>
      <c r="C477" s="4"/>
      <c r="D477" s="4"/>
      <c r="E477" s="4"/>
      <c r="F477" s="4"/>
      <c r="G477" s="4"/>
      <c r="H477" s="4"/>
      <c r="I477" s="4"/>
      <c r="J477" s="4"/>
      <c r="K477" s="4"/>
      <c r="L477" s="4"/>
      <c r="M477" s="4"/>
      <c r="N477" s="4"/>
      <c r="O477" s="4"/>
      <c r="P477" s="4"/>
      <c r="Q477" s="4"/>
      <c r="R477" s="4"/>
      <c r="S477" s="4"/>
      <c r="T477" s="4"/>
    </row>
    <row r="478" ht="15.75" customHeight="1">
      <c r="B478" s="4"/>
      <c r="C478" s="4"/>
      <c r="D478" s="4"/>
      <c r="E478" s="4"/>
      <c r="F478" s="4"/>
      <c r="G478" s="4"/>
      <c r="H478" s="4"/>
      <c r="I478" s="4"/>
      <c r="J478" s="4"/>
      <c r="K478" s="4"/>
      <c r="L478" s="4"/>
      <c r="M478" s="4"/>
      <c r="N478" s="4"/>
      <c r="O478" s="4"/>
      <c r="P478" s="4"/>
      <c r="Q478" s="4"/>
      <c r="R478" s="4"/>
      <c r="S478" s="4"/>
      <c r="T478" s="4"/>
    </row>
    <row r="479" ht="15.75" customHeight="1">
      <c r="B479" s="4"/>
      <c r="C479" s="4"/>
      <c r="D479" s="4"/>
      <c r="E479" s="4"/>
      <c r="F479" s="4"/>
      <c r="G479" s="4"/>
      <c r="H479" s="4"/>
      <c r="I479" s="4"/>
      <c r="J479" s="4"/>
      <c r="K479" s="4"/>
      <c r="L479" s="4"/>
      <c r="M479" s="4"/>
      <c r="N479" s="4"/>
      <c r="O479" s="4"/>
      <c r="P479" s="4"/>
      <c r="Q479" s="4"/>
      <c r="R479" s="4"/>
      <c r="S479" s="4"/>
      <c r="T479" s="4"/>
    </row>
    <row r="480" ht="15.75" customHeight="1">
      <c r="B480" s="4"/>
      <c r="C480" s="4"/>
      <c r="D480" s="4"/>
      <c r="E480" s="4"/>
      <c r="F480" s="4"/>
      <c r="G480" s="4"/>
      <c r="H480" s="4"/>
      <c r="I480" s="4"/>
      <c r="J480" s="4"/>
      <c r="K480" s="4"/>
      <c r="L480" s="4"/>
      <c r="M480" s="4"/>
      <c r="N480" s="4"/>
      <c r="O480" s="4"/>
      <c r="P480" s="4"/>
      <c r="Q480" s="4"/>
      <c r="R480" s="4"/>
      <c r="S480" s="4"/>
      <c r="T480" s="4"/>
    </row>
    <row r="481" ht="15.75" customHeight="1">
      <c r="B481" s="4"/>
      <c r="C481" s="4"/>
      <c r="D481" s="4"/>
      <c r="E481" s="4"/>
      <c r="F481" s="4"/>
      <c r="G481" s="4"/>
      <c r="H481" s="4"/>
      <c r="I481" s="4"/>
      <c r="J481" s="4"/>
      <c r="K481" s="4"/>
      <c r="L481" s="4"/>
      <c r="M481" s="4"/>
      <c r="N481" s="4"/>
      <c r="O481" s="4"/>
      <c r="P481" s="4"/>
      <c r="Q481" s="4"/>
      <c r="R481" s="4"/>
      <c r="S481" s="4"/>
      <c r="T481" s="4"/>
    </row>
    <row r="482" ht="15.75" customHeight="1">
      <c r="B482" s="4"/>
      <c r="C482" s="4"/>
      <c r="D482" s="4"/>
      <c r="E482" s="4"/>
      <c r="F482" s="4"/>
      <c r="G482" s="4"/>
      <c r="H482" s="4"/>
      <c r="I482" s="4"/>
      <c r="J482" s="4"/>
      <c r="K482" s="4"/>
      <c r="L482" s="4"/>
      <c r="M482" s="4"/>
      <c r="N482" s="4"/>
      <c r="O482" s="4"/>
      <c r="P482" s="4"/>
      <c r="Q482" s="4"/>
      <c r="R482" s="4"/>
      <c r="S482" s="4"/>
      <c r="T482" s="4"/>
    </row>
    <row r="483" ht="15.75" customHeight="1">
      <c r="B483" s="4"/>
      <c r="C483" s="4"/>
      <c r="D483" s="4"/>
      <c r="E483" s="4"/>
      <c r="F483" s="4"/>
      <c r="G483" s="4"/>
      <c r="H483" s="4"/>
      <c r="I483" s="4"/>
      <c r="J483" s="4"/>
      <c r="K483" s="4"/>
      <c r="L483" s="4"/>
      <c r="M483" s="4"/>
      <c r="N483" s="4"/>
      <c r="O483" s="4"/>
      <c r="P483" s="4"/>
      <c r="Q483" s="4"/>
      <c r="R483" s="4"/>
      <c r="S483" s="4"/>
      <c r="T483" s="4"/>
    </row>
    <row r="484" ht="15.75" customHeight="1">
      <c r="B484" s="4"/>
      <c r="C484" s="4"/>
      <c r="D484" s="4"/>
      <c r="E484" s="4"/>
      <c r="F484" s="4"/>
      <c r="G484" s="4"/>
      <c r="H484" s="4"/>
      <c r="I484" s="4"/>
      <c r="J484" s="4"/>
      <c r="K484" s="4"/>
      <c r="L484" s="4"/>
      <c r="M484" s="4"/>
      <c r="N484" s="4"/>
      <c r="O484" s="4"/>
      <c r="P484" s="4"/>
      <c r="Q484" s="4"/>
      <c r="R484" s="4"/>
      <c r="S484" s="4"/>
      <c r="T484" s="4"/>
    </row>
    <row r="485" ht="15.75" customHeight="1">
      <c r="B485" s="4"/>
      <c r="C485" s="4"/>
      <c r="D485" s="4"/>
      <c r="E485" s="4"/>
      <c r="F485" s="4"/>
      <c r="G485" s="4"/>
      <c r="H485" s="4"/>
      <c r="I485" s="4"/>
      <c r="J485" s="4"/>
      <c r="K485" s="4"/>
      <c r="L485" s="4"/>
      <c r="M485" s="4"/>
      <c r="N485" s="4"/>
      <c r="O485" s="4"/>
      <c r="P485" s="4"/>
      <c r="Q485" s="4"/>
      <c r="R485" s="4"/>
      <c r="S485" s="4"/>
      <c r="T485" s="4"/>
    </row>
    <row r="486" ht="15.75" customHeight="1">
      <c r="B486" s="4"/>
      <c r="C486" s="4"/>
      <c r="D486" s="4"/>
      <c r="E486" s="4"/>
      <c r="F486" s="4"/>
      <c r="G486" s="4"/>
      <c r="H486" s="4"/>
      <c r="I486" s="4"/>
      <c r="J486" s="4"/>
      <c r="K486" s="4"/>
      <c r="L486" s="4"/>
      <c r="M486" s="4"/>
      <c r="N486" s="4"/>
      <c r="O486" s="4"/>
      <c r="P486" s="4"/>
      <c r="Q486" s="4"/>
      <c r="R486" s="4"/>
      <c r="S486" s="4"/>
      <c r="T486" s="4"/>
    </row>
    <row r="487" ht="15.75" customHeight="1">
      <c r="B487" s="4"/>
      <c r="C487" s="4"/>
      <c r="D487" s="4"/>
      <c r="E487" s="4"/>
      <c r="F487" s="4"/>
      <c r="G487" s="4"/>
      <c r="H487" s="4"/>
      <c r="I487" s="4"/>
      <c r="J487" s="4"/>
      <c r="K487" s="4"/>
      <c r="L487" s="4"/>
      <c r="M487" s="4"/>
      <c r="N487" s="4"/>
      <c r="O487" s="4"/>
      <c r="P487" s="4"/>
      <c r="Q487" s="4"/>
      <c r="R487" s="4"/>
      <c r="S487" s="4"/>
      <c r="T487" s="4"/>
    </row>
    <row r="488" ht="15.75" customHeight="1">
      <c r="B488" s="4"/>
      <c r="C488" s="4"/>
      <c r="D488" s="4"/>
      <c r="E488" s="4"/>
      <c r="F488" s="4"/>
      <c r="G488" s="4"/>
      <c r="H488" s="4"/>
      <c r="I488" s="4"/>
      <c r="J488" s="4"/>
      <c r="K488" s="4"/>
      <c r="L488" s="4"/>
      <c r="M488" s="4"/>
      <c r="N488" s="4"/>
      <c r="O488" s="4"/>
      <c r="P488" s="4"/>
      <c r="Q488" s="4"/>
      <c r="R488" s="4"/>
      <c r="S488" s="4"/>
      <c r="T488" s="4"/>
    </row>
    <row r="489" ht="15.75" customHeight="1">
      <c r="B489" s="4"/>
      <c r="C489" s="4"/>
      <c r="D489" s="4"/>
      <c r="E489" s="4"/>
      <c r="F489" s="4"/>
      <c r="G489" s="4"/>
      <c r="H489" s="4"/>
      <c r="I489" s="4"/>
      <c r="J489" s="4"/>
      <c r="K489" s="4"/>
      <c r="L489" s="4"/>
      <c r="M489" s="4"/>
      <c r="N489" s="4"/>
      <c r="O489" s="4"/>
      <c r="P489" s="4"/>
      <c r="Q489" s="4"/>
      <c r="R489" s="4"/>
      <c r="S489" s="4"/>
      <c r="T489" s="4"/>
    </row>
    <row r="490" ht="15.75" customHeight="1">
      <c r="B490" s="4"/>
      <c r="C490" s="4"/>
      <c r="D490" s="4"/>
      <c r="E490" s="4"/>
      <c r="F490" s="4"/>
      <c r="G490" s="4"/>
      <c r="H490" s="4"/>
      <c r="I490" s="4"/>
      <c r="J490" s="4"/>
      <c r="K490" s="4"/>
      <c r="L490" s="4"/>
      <c r="M490" s="4"/>
      <c r="N490" s="4"/>
      <c r="O490" s="4"/>
      <c r="P490" s="4"/>
      <c r="Q490" s="4"/>
      <c r="R490" s="4"/>
      <c r="S490" s="4"/>
      <c r="T490" s="4"/>
    </row>
    <row r="491" ht="15.75" customHeight="1">
      <c r="B491" s="4"/>
      <c r="C491" s="4"/>
      <c r="D491" s="4"/>
      <c r="E491" s="4"/>
      <c r="F491" s="4"/>
      <c r="G491" s="4"/>
      <c r="H491" s="4"/>
      <c r="I491" s="4"/>
      <c r="J491" s="4"/>
      <c r="K491" s="4"/>
      <c r="L491" s="4"/>
      <c r="M491" s="4"/>
      <c r="N491" s="4"/>
      <c r="O491" s="4"/>
      <c r="P491" s="4"/>
      <c r="Q491" s="4"/>
      <c r="R491" s="4"/>
      <c r="S491" s="4"/>
      <c r="T491" s="4"/>
    </row>
    <row r="492" ht="15.75" customHeight="1">
      <c r="B492" s="4"/>
      <c r="C492" s="4"/>
      <c r="D492" s="4"/>
      <c r="E492" s="4"/>
      <c r="F492" s="4"/>
      <c r="G492" s="4"/>
      <c r="H492" s="4"/>
      <c r="I492" s="4"/>
      <c r="J492" s="4"/>
      <c r="K492" s="4"/>
      <c r="L492" s="4"/>
      <c r="M492" s="4"/>
      <c r="N492" s="4"/>
      <c r="O492" s="4"/>
      <c r="P492" s="4"/>
      <c r="Q492" s="4"/>
      <c r="R492" s="4"/>
      <c r="S492" s="4"/>
      <c r="T492" s="4"/>
    </row>
    <row r="493" ht="15.75" customHeight="1">
      <c r="B493" s="4"/>
      <c r="C493" s="4"/>
      <c r="D493" s="4"/>
      <c r="E493" s="4"/>
      <c r="F493" s="4"/>
      <c r="G493" s="4"/>
      <c r="H493" s="4"/>
      <c r="I493" s="4"/>
      <c r="J493" s="4"/>
      <c r="K493" s="4"/>
      <c r="L493" s="4"/>
      <c r="M493" s="4"/>
      <c r="N493" s="4"/>
      <c r="O493" s="4"/>
      <c r="P493" s="4"/>
      <c r="Q493" s="4"/>
      <c r="R493" s="4"/>
      <c r="S493" s="4"/>
      <c r="T493" s="4"/>
    </row>
    <row r="494" ht="15.75" customHeight="1">
      <c r="B494" s="4"/>
      <c r="C494" s="4"/>
      <c r="D494" s="4"/>
      <c r="E494" s="4"/>
      <c r="F494" s="4"/>
      <c r="G494" s="4"/>
      <c r="H494" s="4"/>
      <c r="I494" s="4"/>
      <c r="J494" s="4"/>
      <c r="K494" s="4"/>
      <c r="L494" s="4"/>
      <c r="M494" s="4"/>
      <c r="N494" s="4"/>
      <c r="O494" s="4"/>
      <c r="P494" s="4"/>
      <c r="Q494" s="4"/>
      <c r="R494" s="4"/>
      <c r="S494" s="4"/>
      <c r="T494" s="4"/>
    </row>
    <row r="495" ht="15.75" customHeight="1">
      <c r="B495" s="4"/>
      <c r="C495" s="4"/>
      <c r="D495" s="4"/>
      <c r="E495" s="4"/>
      <c r="F495" s="4"/>
      <c r="G495" s="4"/>
      <c r="H495" s="4"/>
      <c r="I495" s="4"/>
      <c r="J495" s="4"/>
      <c r="K495" s="4"/>
      <c r="L495" s="4"/>
      <c r="M495" s="4"/>
      <c r="N495" s="4"/>
      <c r="O495" s="4"/>
      <c r="P495" s="4"/>
      <c r="Q495" s="4"/>
      <c r="R495" s="4"/>
      <c r="S495" s="4"/>
      <c r="T495" s="4"/>
    </row>
    <row r="496" ht="15.75" customHeight="1">
      <c r="B496" s="4"/>
      <c r="C496" s="4"/>
      <c r="D496" s="4"/>
      <c r="E496" s="4"/>
      <c r="F496" s="4"/>
      <c r="G496" s="4"/>
      <c r="H496" s="4"/>
      <c r="I496" s="4"/>
      <c r="J496" s="4"/>
      <c r="K496" s="4"/>
      <c r="L496" s="4"/>
      <c r="M496" s="4"/>
      <c r="N496" s="4"/>
      <c r="O496" s="4"/>
      <c r="P496" s="4"/>
      <c r="Q496" s="4"/>
      <c r="R496" s="4"/>
      <c r="S496" s="4"/>
      <c r="T496" s="4"/>
    </row>
    <row r="497" ht="15.75" customHeight="1">
      <c r="B497" s="4"/>
      <c r="C497" s="4"/>
      <c r="D497" s="4"/>
      <c r="E497" s="4"/>
      <c r="F497" s="4"/>
      <c r="G497" s="4"/>
      <c r="H497" s="4"/>
      <c r="I497" s="4"/>
      <c r="J497" s="4"/>
      <c r="K497" s="4"/>
      <c r="L497" s="4"/>
      <c r="M497" s="4"/>
      <c r="N497" s="4"/>
      <c r="O497" s="4"/>
      <c r="P497" s="4"/>
      <c r="Q497" s="4"/>
      <c r="R497" s="4"/>
      <c r="S497" s="4"/>
      <c r="T497" s="4"/>
    </row>
    <row r="498" ht="15.75" customHeight="1">
      <c r="B498" s="4"/>
      <c r="C498" s="4"/>
      <c r="D498" s="4"/>
      <c r="E498" s="4"/>
      <c r="F498" s="4"/>
      <c r="G498" s="4"/>
      <c r="H498" s="4"/>
      <c r="I498" s="4"/>
      <c r="J498" s="4"/>
      <c r="K498" s="4"/>
      <c r="L498" s="4"/>
      <c r="M498" s="4"/>
      <c r="N498" s="4"/>
      <c r="O498" s="4"/>
      <c r="P498" s="4"/>
      <c r="Q498" s="4"/>
      <c r="R498" s="4"/>
      <c r="S498" s="4"/>
      <c r="T498" s="4"/>
    </row>
    <row r="499" ht="15.75" customHeight="1">
      <c r="B499" s="4"/>
      <c r="C499" s="4"/>
      <c r="D499" s="4"/>
      <c r="E499" s="4"/>
      <c r="F499" s="4"/>
      <c r="G499" s="4"/>
      <c r="H499" s="4"/>
      <c r="I499" s="4"/>
      <c r="J499" s="4"/>
      <c r="K499" s="4"/>
      <c r="L499" s="4"/>
      <c r="M499" s="4"/>
      <c r="N499" s="4"/>
      <c r="O499" s="4"/>
      <c r="P499" s="4"/>
      <c r="Q499" s="4"/>
      <c r="R499" s="4"/>
      <c r="S499" s="4"/>
      <c r="T499" s="4"/>
    </row>
    <row r="500" ht="15.75" customHeight="1">
      <c r="B500" s="4"/>
      <c r="C500" s="4"/>
      <c r="D500" s="4"/>
      <c r="E500" s="4"/>
      <c r="F500" s="4"/>
      <c r="G500" s="4"/>
      <c r="H500" s="4"/>
      <c r="I500" s="4"/>
      <c r="J500" s="4"/>
      <c r="K500" s="4"/>
      <c r="L500" s="4"/>
      <c r="M500" s="4"/>
      <c r="N500" s="4"/>
      <c r="O500" s="4"/>
      <c r="P500" s="4"/>
      <c r="Q500" s="4"/>
      <c r="R500" s="4"/>
      <c r="S500" s="4"/>
      <c r="T500" s="4"/>
    </row>
    <row r="501" ht="15.75" customHeight="1">
      <c r="B501" s="4"/>
      <c r="C501" s="4"/>
      <c r="D501" s="4"/>
      <c r="E501" s="4"/>
      <c r="F501" s="4"/>
      <c r="G501" s="4"/>
      <c r="H501" s="4"/>
      <c r="I501" s="4"/>
      <c r="J501" s="4"/>
      <c r="K501" s="4"/>
      <c r="L501" s="4"/>
      <c r="M501" s="4"/>
      <c r="N501" s="4"/>
      <c r="O501" s="4"/>
      <c r="P501" s="4"/>
      <c r="Q501" s="4"/>
      <c r="R501" s="4"/>
      <c r="S501" s="4"/>
      <c r="T501" s="4"/>
    </row>
    <row r="502" ht="15.75" customHeight="1">
      <c r="B502" s="4"/>
      <c r="C502" s="4"/>
      <c r="D502" s="4"/>
      <c r="E502" s="4"/>
      <c r="F502" s="4"/>
      <c r="G502" s="4"/>
      <c r="H502" s="4"/>
      <c r="I502" s="4"/>
      <c r="J502" s="4"/>
      <c r="K502" s="4"/>
      <c r="L502" s="4"/>
      <c r="M502" s="4"/>
      <c r="N502" s="4"/>
      <c r="O502" s="4"/>
      <c r="P502" s="4"/>
      <c r="Q502" s="4"/>
      <c r="R502" s="4"/>
      <c r="S502" s="4"/>
      <c r="T502" s="4"/>
    </row>
    <row r="503" ht="15.75" customHeight="1">
      <c r="B503" s="4"/>
      <c r="C503" s="4"/>
      <c r="D503" s="4"/>
      <c r="E503" s="4"/>
      <c r="F503" s="4"/>
      <c r="G503" s="4"/>
      <c r="H503" s="4"/>
      <c r="I503" s="4"/>
      <c r="J503" s="4"/>
      <c r="K503" s="4"/>
      <c r="L503" s="4"/>
      <c r="M503" s="4"/>
      <c r="N503" s="4"/>
      <c r="O503" s="4"/>
      <c r="P503" s="4"/>
      <c r="Q503" s="4"/>
      <c r="R503" s="4"/>
      <c r="S503" s="4"/>
      <c r="T503" s="4"/>
    </row>
    <row r="504" ht="15.75" customHeight="1">
      <c r="B504" s="4"/>
      <c r="C504" s="4"/>
      <c r="D504" s="4"/>
      <c r="E504" s="4"/>
      <c r="F504" s="4"/>
      <c r="G504" s="4"/>
      <c r="H504" s="4"/>
      <c r="I504" s="4"/>
      <c r="J504" s="4"/>
      <c r="K504" s="4"/>
      <c r="L504" s="4"/>
      <c r="M504" s="4"/>
      <c r="N504" s="4"/>
      <c r="O504" s="4"/>
      <c r="P504" s="4"/>
      <c r="Q504" s="4"/>
      <c r="R504" s="4"/>
      <c r="S504" s="4"/>
      <c r="T504" s="4"/>
    </row>
    <row r="505" ht="15.75" customHeight="1">
      <c r="B505" s="4"/>
      <c r="C505" s="4"/>
      <c r="D505" s="4"/>
      <c r="E505" s="4"/>
      <c r="F505" s="4"/>
      <c r="G505" s="4"/>
      <c r="H505" s="4"/>
      <c r="I505" s="4"/>
      <c r="J505" s="4"/>
      <c r="K505" s="4"/>
      <c r="L505" s="4"/>
      <c r="M505" s="4"/>
      <c r="N505" s="4"/>
      <c r="O505" s="4"/>
      <c r="P505" s="4"/>
      <c r="Q505" s="4"/>
      <c r="R505" s="4"/>
      <c r="S505" s="4"/>
      <c r="T505" s="4"/>
    </row>
    <row r="506" ht="15.75" customHeight="1">
      <c r="B506" s="4"/>
      <c r="C506" s="4"/>
      <c r="D506" s="4"/>
      <c r="E506" s="4"/>
      <c r="F506" s="4"/>
      <c r="G506" s="4"/>
      <c r="H506" s="4"/>
      <c r="I506" s="4"/>
      <c r="J506" s="4"/>
      <c r="K506" s="4"/>
      <c r="L506" s="4"/>
      <c r="M506" s="4"/>
      <c r="N506" s="4"/>
      <c r="O506" s="4"/>
      <c r="P506" s="4"/>
      <c r="Q506" s="4"/>
      <c r="R506" s="4"/>
      <c r="S506" s="4"/>
      <c r="T506" s="4"/>
    </row>
    <row r="507" ht="15.75" customHeight="1">
      <c r="B507" s="4"/>
      <c r="C507" s="4"/>
      <c r="D507" s="4"/>
      <c r="E507" s="4"/>
      <c r="F507" s="4"/>
      <c r="G507" s="4"/>
      <c r="H507" s="4"/>
      <c r="I507" s="4"/>
      <c r="J507" s="4"/>
      <c r="K507" s="4"/>
      <c r="L507" s="4"/>
      <c r="M507" s="4"/>
      <c r="N507" s="4"/>
      <c r="O507" s="4"/>
      <c r="P507" s="4"/>
      <c r="Q507" s="4"/>
      <c r="R507" s="4"/>
      <c r="S507" s="4"/>
      <c r="T507" s="4"/>
    </row>
    <row r="508" ht="15.75" customHeight="1">
      <c r="B508" s="4"/>
      <c r="C508" s="4"/>
      <c r="D508" s="4"/>
      <c r="E508" s="4"/>
      <c r="F508" s="4"/>
      <c r="G508" s="4"/>
      <c r="H508" s="4"/>
      <c r="I508" s="4"/>
      <c r="J508" s="4"/>
      <c r="K508" s="4"/>
      <c r="L508" s="4"/>
      <c r="M508" s="4"/>
      <c r="N508" s="4"/>
      <c r="O508" s="4"/>
      <c r="P508" s="4"/>
      <c r="Q508" s="4"/>
      <c r="R508" s="4"/>
      <c r="S508" s="4"/>
      <c r="T508" s="4"/>
    </row>
    <row r="509" ht="15.75" customHeight="1">
      <c r="B509" s="4"/>
      <c r="C509" s="4"/>
      <c r="D509" s="4"/>
      <c r="E509" s="4"/>
      <c r="F509" s="4"/>
      <c r="G509" s="4"/>
      <c r="H509" s="4"/>
      <c r="I509" s="4"/>
      <c r="J509" s="4"/>
      <c r="K509" s="4"/>
      <c r="L509" s="4"/>
      <c r="M509" s="4"/>
      <c r="N509" s="4"/>
      <c r="O509" s="4"/>
      <c r="P509" s="4"/>
      <c r="Q509" s="4"/>
      <c r="R509" s="4"/>
      <c r="S509" s="4"/>
      <c r="T509" s="4"/>
    </row>
    <row r="510" ht="15.75" customHeight="1">
      <c r="B510" s="4"/>
      <c r="C510" s="4"/>
      <c r="D510" s="4"/>
      <c r="E510" s="4"/>
      <c r="F510" s="4"/>
      <c r="G510" s="4"/>
      <c r="H510" s="4"/>
      <c r="I510" s="4"/>
      <c r="J510" s="4"/>
      <c r="K510" s="4"/>
      <c r="L510" s="4"/>
      <c r="M510" s="4"/>
      <c r="N510" s="4"/>
      <c r="O510" s="4"/>
      <c r="P510" s="4"/>
      <c r="Q510" s="4"/>
      <c r="R510" s="4"/>
      <c r="S510" s="4"/>
      <c r="T510" s="4"/>
    </row>
    <row r="511" ht="15.75" customHeight="1">
      <c r="B511" s="4"/>
      <c r="C511" s="4"/>
      <c r="D511" s="4"/>
      <c r="E511" s="4"/>
      <c r="F511" s="4"/>
      <c r="G511" s="4"/>
      <c r="H511" s="4"/>
      <c r="I511" s="4"/>
      <c r="J511" s="4"/>
      <c r="K511" s="4"/>
      <c r="L511" s="4"/>
      <c r="M511" s="4"/>
      <c r="N511" s="4"/>
      <c r="O511" s="4"/>
      <c r="P511" s="4"/>
      <c r="Q511" s="4"/>
      <c r="R511" s="4"/>
      <c r="S511" s="4"/>
      <c r="T511" s="4"/>
    </row>
    <row r="512" ht="15.75" customHeight="1">
      <c r="B512" s="4"/>
      <c r="C512" s="4"/>
      <c r="D512" s="4"/>
      <c r="E512" s="4"/>
      <c r="F512" s="4"/>
      <c r="G512" s="4"/>
      <c r="H512" s="4"/>
      <c r="I512" s="4"/>
      <c r="J512" s="4"/>
      <c r="K512" s="4"/>
      <c r="L512" s="4"/>
      <c r="M512" s="4"/>
      <c r="N512" s="4"/>
      <c r="O512" s="4"/>
      <c r="P512" s="4"/>
      <c r="Q512" s="4"/>
      <c r="R512" s="4"/>
      <c r="S512" s="4"/>
      <c r="T512" s="4"/>
    </row>
    <row r="513" ht="15.75" customHeight="1">
      <c r="B513" s="4"/>
      <c r="C513" s="4"/>
      <c r="D513" s="4"/>
      <c r="E513" s="4"/>
      <c r="F513" s="4"/>
      <c r="G513" s="4"/>
      <c r="H513" s="4"/>
      <c r="I513" s="4"/>
      <c r="J513" s="4"/>
      <c r="K513" s="4"/>
      <c r="L513" s="4"/>
      <c r="M513" s="4"/>
      <c r="N513" s="4"/>
      <c r="O513" s="4"/>
      <c r="P513" s="4"/>
      <c r="Q513" s="4"/>
      <c r="R513" s="4"/>
      <c r="S513" s="4"/>
      <c r="T513" s="4"/>
    </row>
    <row r="514" ht="15.75" customHeight="1">
      <c r="B514" s="4"/>
      <c r="C514" s="4"/>
      <c r="D514" s="4"/>
      <c r="E514" s="4"/>
      <c r="F514" s="4"/>
      <c r="G514" s="4"/>
      <c r="H514" s="4"/>
      <c r="I514" s="4"/>
      <c r="J514" s="4"/>
      <c r="K514" s="4"/>
      <c r="L514" s="4"/>
      <c r="M514" s="4"/>
      <c r="N514" s="4"/>
      <c r="O514" s="4"/>
      <c r="P514" s="4"/>
      <c r="Q514" s="4"/>
      <c r="R514" s="4"/>
      <c r="S514" s="4"/>
      <c r="T514" s="4"/>
    </row>
    <row r="515" ht="15.75" customHeight="1">
      <c r="B515" s="4"/>
      <c r="C515" s="4"/>
      <c r="D515" s="4"/>
      <c r="E515" s="4"/>
      <c r="F515" s="4"/>
      <c r="G515" s="4"/>
      <c r="H515" s="4"/>
      <c r="I515" s="4"/>
      <c r="J515" s="4"/>
      <c r="K515" s="4"/>
      <c r="L515" s="4"/>
      <c r="M515" s="4"/>
      <c r="N515" s="4"/>
      <c r="O515" s="4"/>
      <c r="P515" s="4"/>
      <c r="Q515" s="4"/>
      <c r="R515" s="4"/>
      <c r="S515" s="4"/>
      <c r="T515" s="4"/>
    </row>
    <row r="516" ht="15.75" customHeight="1">
      <c r="B516" s="4"/>
      <c r="C516" s="4"/>
      <c r="D516" s="4"/>
      <c r="E516" s="4"/>
      <c r="F516" s="4"/>
      <c r="G516" s="4"/>
      <c r="H516" s="4"/>
      <c r="I516" s="4"/>
      <c r="J516" s="4"/>
      <c r="K516" s="4"/>
      <c r="L516" s="4"/>
      <c r="M516" s="4"/>
      <c r="N516" s="4"/>
      <c r="O516" s="4"/>
      <c r="P516" s="4"/>
      <c r="Q516" s="4"/>
      <c r="R516" s="4"/>
      <c r="S516" s="4"/>
      <c r="T516" s="4"/>
    </row>
    <row r="517" ht="15.75" customHeight="1">
      <c r="B517" s="4"/>
      <c r="C517" s="4"/>
      <c r="D517" s="4"/>
      <c r="E517" s="4"/>
      <c r="F517" s="4"/>
      <c r="G517" s="4"/>
      <c r="H517" s="4"/>
      <c r="I517" s="4"/>
      <c r="J517" s="4"/>
      <c r="K517" s="4"/>
      <c r="L517" s="4"/>
      <c r="M517" s="4"/>
      <c r="N517" s="4"/>
      <c r="O517" s="4"/>
      <c r="P517" s="4"/>
      <c r="Q517" s="4"/>
      <c r="R517" s="4"/>
      <c r="S517" s="4"/>
      <c r="T517" s="4"/>
    </row>
    <row r="518" ht="15.75" customHeight="1">
      <c r="B518" s="4"/>
      <c r="C518" s="4"/>
      <c r="D518" s="4"/>
      <c r="E518" s="4"/>
      <c r="F518" s="4"/>
      <c r="G518" s="4"/>
      <c r="H518" s="4"/>
      <c r="I518" s="4"/>
      <c r="J518" s="4"/>
      <c r="K518" s="4"/>
      <c r="L518" s="4"/>
      <c r="M518" s="4"/>
      <c r="N518" s="4"/>
      <c r="O518" s="4"/>
      <c r="P518" s="4"/>
      <c r="Q518" s="4"/>
      <c r="R518" s="4"/>
      <c r="S518" s="4"/>
      <c r="T518" s="4"/>
    </row>
    <row r="519" ht="15.75" customHeight="1">
      <c r="B519" s="4"/>
      <c r="C519" s="4"/>
      <c r="D519" s="4"/>
      <c r="E519" s="4"/>
      <c r="F519" s="4"/>
      <c r="G519" s="4"/>
      <c r="H519" s="4"/>
      <c r="I519" s="4"/>
      <c r="J519" s="4"/>
      <c r="K519" s="4"/>
      <c r="L519" s="4"/>
      <c r="M519" s="4"/>
      <c r="N519" s="4"/>
      <c r="O519" s="4"/>
      <c r="P519" s="4"/>
      <c r="Q519" s="4"/>
      <c r="R519" s="4"/>
      <c r="S519" s="4"/>
      <c r="T519" s="4"/>
    </row>
    <row r="520" ht="15.75" customHeight="1">
      <c r="B520" s="4"/>
      <c r="C520" s="4"/>
      <c r="D520" s="4"/>
      <c r="E520" s="4"/>
      <c r="F520" s="4"/>
      <c r="G520" s="4"/>
      <c r="H520" s="4"/>
      <c r="I520" s="4"/>
      <c r="J520" s="4"/>
      <c r="K520" s="4"/>
      <c r="L520" s="4"/>
      <c r="M520" s="4"/>
      <c r="N520" s="4"/>
      <c r="O520" s="4"/>
      <c r="P520" s="4"/>
      <c r="Q520" s="4"/>
      <c r="R520" s="4"/>
      <c r="S520" s="4"/>
      <c r="T520" s="4"/>
    </row>
    <row r="521" ht="15.75" customHeight="1">
      <c r="B521" s="4"/>
      <c r="C521" s="4"/>
      <c r="D521" s="4"/>
      <c r="E521" s="4"/>
      <c r="F521" s="4"/>
      <c r="G521" s="4"/>
      <c r="H521" s="4"/>
      <c r="I521" s="4"/>
      <c r="J521" s="4"/>
      <c r="K521" s="4"/>
      <c r="L521" s="4"/>
      <c r="M521" s="4"/>
      <c r="N521" s="4"/>
      <c r="O521" s="4"/>
      <c r="P521" s="4"/>
      <c r="Q521" s="4"/>
      <c r="R521" s="4"/>
      <c r="S521" s="4"/>
      <c r="T521" s="4"/>
    </row>
    <row r="522" ht="15.75" customHeight="1">
      <c r="B522" s="4"/>
      <c r="C522" s="4"/>
      <c r="D522" s="4"/>
      <c r="E522" s="4"/>
      <c r="F522" s="4"/>
      <c r="G522" s="4"/>
      <c r="H522" s="4"/>
      <c r="I522" s="4"/>
      <c r="J522" s="4"/>
      <c r="K522" s="4"/>
      <c r="L522" s="4"/>
      <c r="M522" s="4"/>
      <c r="N522" s="4"/>
      <c r="O522" s="4"/>
      <c r="P522" s="4"/>
      <c r="Q522" s="4"/>
      <c r="R522" s="4"/>
      <c r="S522" s="4"/>
      <c r="T522" s="4"/>
    </row>
    <row r="523" ht="15.75" customHeight="1">
      <c r="B523" s="4"/>
      <c r="C523" s="4"/>
      <c r="D523" s="4"/>
      <c r="E523" s="4"/>
      <c r="F523" s="4"/>
      <c r="G523" s="4"/>
      <c r="H523" s="4"/>
      <c r="I523" s="4"/>
      <c r="J523" s="4"/>
      <c r="K523" s="4"/>
      <c r="L523" s="4"/>
      <c r="M523" s="4"/>
      <c r="N523" s="4"/>
      <c r="O523" s="4"/>
      <c r="P523" s="4"/>
      <c r="Q523" s="4"/>
      <c r="R523" s="4"/>
      <c r="S523" s="4"/>
      <c r="T523" s="4"/>
    </row>
    <row r="524" ht="15.75" customHeight="1">
      <c r="B524" s="4"/>
      <c r="C524" s="4"/>
      <c r="D524" s="4"/>
      <c r="E524" s="4"/>
      <c r="F524" s="4"/>
      <c r="G524" s="4"/>
      <c r="H524" s="4"/>
      <c r="I524" s="4"/>
      <c r="J524" s="4"/>
      <c r="K524" s="4"/>
      <c r="L524" s="4"/>
      <c r="M524" s="4"/>
      <c r="N524" s="4"/>
      <c r="O524" s="4"/>
      <c r="P524" s="4"/>
      <c r="Q524" s="4"/>
      <c r="R524" s="4"/>
      <c r="S524" s="4"/>
      <c r="T524" s="4"/>
    </row>
    <row r="525" ht="15.75" customHeight="1">
      <c r="B525" s="4"/>
      <c r="C525" s="4"/>
      <c r="D525" s="4"/>
      <c r="E525" s="4"/>
      <c r="F525" s="4"/>
      <c r="G525" s="4"/>
      <c r="H525" s="4"/>
      <c r="I525" s="4"/>
      <c r="J525" s="4"/>
      <c r="K525" s="4"/>
      <c r="L525" s="4"/>
      <c r="M525" s="4"/>
      <c r="N525" s="4"/>
      <c r="O525" s="4"/>
      <c r="P525" s="4"/>
      <c r="Q525" s="4"/>
      <c r="R525" s="4"/>
      <c r="S525" s="4"/>
      <c r="T525" s="4"/>
    </row>
    <row r="526" ht="15.75" customHeight="1">
      <c r="B526" s="4"/>
      <c r="C526" s="4"/>
      <c r="D526" s="4"/>
      <c r="E526" s="4"/>
      <c r="F526" s="4"/>
      <c r="G526" s="4"/>
      <c r="H526" s="4"/>
      <c r="I526" s="4"/>
      <c r="J526" s="4"/>
      <c r="K526" s="4"/>
      <c r="L526" s="4"/>
      <c r="M526" s="4"/>
      <c r="N526" s="4"/>
      <c r="O526" s="4"/>
      <c r="P526" s="4"/>
      <c r="Q526" s="4"/>
      <c r="R526" s="4"/>
      <c r="S526" s="4"/>
      <c r="T526" s="4"/>
    </row>
    <row r="527" ht="15.75" customHeight="1">
      <c r="B527" s="4"/>
      <c r="C527" s="4"/>
      <c r="D527" s="4"/>
      <c r="E527" s="4"/>
      <c r="F527" s="4"/>
      <c r="G527" s="4"/>
      <c r="H527" s="4"/>
      <c r="I527" s="4"/>
      <c r="J527" s="4"/>
      <c r="K527" s="4"/>
      <c r="L527" s="4"/>
      <c r="M527" s="4"/>
      <c r="N527" s="4"/>
      <c r="O527" s="4"/>
      <c r="P527" s="4"/>
      <c r="Q527" s="4"/>
      <c r="R527" s="4"/>
      <c r="S527" s="4"/>
      <c r="T527" s="4"/>
    </row>
    <row r="528" ht="15.75" customHeight="1">
      <c r="B528" s="4"/>
      <c r="C528" s="4"/>
      <c r="D528" s="4"/>
      <c r="E528" s="4"/>
      <c r="F528" s="4"/>
      <c r="G528" s="4"/>
      <c r="H528" s="4"/>
      <c r="I528" s="4"/>
      <c r="J528" s="4"/>
      <c r="K528" s="4"/>
      <c r="L528" s="4"/>
      <c r="M528" s="4"/>
      <c r="N528" s="4"/>
      <c r="O528" s="4"/>
      <c r="P528" s="4"/>
      <c r="Q528" s="4"/>
      <c r="R528" s="4"/>
      <c r="S528" s="4"/>
      <c r="T528" s="4"/>
    </row>
    <row r="529" ht="15.75" customHeight="1">
      <c r="B529" s="4"/>
      <c r="C529" s="4"/>
      <c r="D529" s="4"/>
      <c r="E529" s="4"/>
      <c r="F529" s="4"/>
      <c r="G529" s="4"/>
      <c r="H529" s="4"/>
      <c r="I529" s="4"/>
      <c r="J529" s="4"/>
      <c r="K529" s="4"/>
      <c r="L529" s="4"/>
      <c r="M529" s="4"/>
      <c r="N529" s="4"/>
      <c r="O529" s="4"/>
      <c r="P529" s="4"/>
      <c r="Q529" s="4"/>
      <c r="R529" s="4"/>
      <c r="S529" s="4"/>
      <c r="T529" s="4"/>
    </row>
    <row r="530" ht="15.75" customHeight="1">
      <c r="B530" s="4"/>
      <c r="C530" s="4"/>
      <c r="D530" s="4"/>
      <c r="E530" s="4"/>
      <c r="F530" s="4"/>
      <c r="G530" s="4"/>
      <c r="H530" s="4"/>
      <c r="I530" s="4"/>
      <c r="J530" s="4"/>
      <c r="K530" s="4"/>
      <c r="L530" s="4"/>
      <c r="M530" s="4"/>
      <c r="N530" s="4"/>
      <c r="O530" s="4"/>
      <c r="P530" s="4"/>
      <c r="Q530" s="4"/>
      <c r="R530" s="4"/>
      <c r="S530" s="4"/>
      <c r="T530" s="4"/>
    </row>
    <row r="531" ht="15.75" customHeight="1">
      <c r="B531" s="4"/>
      <c r="C531" s="4"/>
      <c r="D531" s="4"/>
      <c r="E531" s="4"/>
      <c r="F531" s="4"/>
      <c r="G531" s="4"/>
      <c r="H531" s="4"/>
      <c r="I531" s="4"/>
      <c r="J531" s="4"/>
      <c r="K531" s="4"/>
      <c r="L531" s="4"/>
      <c r="M531" s="4"/>
      <c r="N531" s="4"/>
      <c r="O531" s="4"/>
      <c r="P531" s="4"/>
      <c r="Q531" s="4"/>
      <c r="R531" s="4"/>
      <c r="S531" s="4"/>
      <c r="T531" s="4"/>
    </row>
    <row r="532" ht="15.75" customHeight="1">
      <c r="B532" s="4"/>
      <c r="C532" s="4"/>
      <c r="D532" s="4"/>
      <c r="E532" s="4"/>
      <c r="F532" s="4"/>
      <c r="G532" s="4"/>
      <c r="H532" s="4"/>
      <c r="I532" s="4"/>
      <c r="J532" s="4"/>
      <c r="K532" s="4"/>
      <c r="L532" s="4"/>
      <c r="M532" s="4"/>
      <c r="N532" s="4"/>
      <c r="O532" s="4"/>
      <c r="P532" s="4"/>
      <c r="Q532" s="4"/>
      <c r="R532" s="4"/>
      <c r="S532" s="4"/>
      <c r="T532" s="4"/>
    </row>
    <row r="533" ht="15.75" customHeight="1">
      <c r="B533" s="4"/>
      <c r="C533" s="4"/>
      <c r="D533" s="4"/>
      <c r="E533" s="4"/>
      <c r="F533" s="4"/>
      <c r="G533" s="4"/>
      <c r="H533" s="4"/>
      <c r="I533" s="4"/>
      <c r="J533" s="4"/>
      <c r="K533" s="4"/>
      <c r="L533" s="4"/>
      <c r="M533" s="4"/>
      <c r="N533" s="4"/>
      <c r="O533" s="4"/>
      <c r="P533" s="4"/>
      <c r="Q533" s="4"/>
      <c r="R533" s="4"/>
      <c r="S533" s="4"/>
      <c r="T533" s="4"/>
    </row>
    <row r="534" ht="15.75" customHeight="1">
      <c r="B534" s="4"/>
      <c r="C534" s="4"/>
      <c r="D534" s="4"/>
      <c r="E534" s="4"/>
      <c r="F534" s="4"/>
      <c r="G534" s="4"/>
      <c r="H534" s="4"/>
      <c r="I534" s="4"/>
      <c r="J534" s="4"/>
      <c r="K534" s="4"/>
      <c r="L534" s="4"/>
      <c r="M534" s="4"/>
      <c r="N534" s="4"/>
      <c r="O534" s="4"/>
      <c r="P534" s="4"/>
      <c r="Q534" s="4"/>
      <c r="R534" s="4"/>
      <c r="S534" s="4"/>
      <c r="T534" s="4"/>
    </row>
    <row r="535" ht="15.75" customHeight="1">
      <c r="B535" s="4"/>
      <c r="C535" s="4"/>
      <c r="D535" s="4"/>
      <c r="E535" s="4"/>
      <c r="F535" s="4"/>
      <c r="G535" s="4"/>
      <c r="H535" s="4"/>
      <c r="I535" s="4"/>
      <c r="J535" s="4"/>
      <c r="K535" s="4"/>
      <c r="L535" s="4"/>
      <c r="M535" s="4"/>
      <c r="N535" s="4"/>
      <c r="O535" s="4"/>
      <c r="P535" s="4"/>
      <c r="Q535" s="4"/>
      <c r="R535" s="4"/>
      <c r="S535" s="4"/>
      <c r="T535" s="4"/>
    </row>
    <row r="536" ht="15.75" customHeight="1">
      <c r="B536" s="4"/>
      <c r="C536" s="4"/>
      <c r="D536" s="4"/>
      <c r="E536" s="4"/>
      <c r="F536" s="4"/>
      <c r="G536" s="4"/>
      <c r="H536" s="4"/>
      <c r="I536" s="4"/>
      <c r="J536" s="4"/>
      <c r="K536" s="4"/>
      <c r="L536" s="4"/>
      <c r="M536" s="4"/>
      <c r="N536" s="4"/>
      <c r="O536" s="4"/>
      <c r="P536" s="4"/>
      <c r="Q536" s="4"/>
      <c r="R536" s="4"/>
      <c r="S536" s="4"/>
      <c r="T536" s="4"/>
    </row>
    <row r="537" ht="15.75" customHeight="1">
      <c r="B537" s="4"/>
      <c r="C537" s="4"/>
      <c r="D537" s="4"/>
      <c r="E537" s="4"/>
      <c r="F537" s="4"/>
      <c r="G537" s="4"/>
      <c r="H537" s="4"/>
      <c r="I537" s="4"/>
      <c r="J537" s="4"/>
      <c r="K537" s="4"/>
      <c r="L537" s="4"/>
      <c r="M537" s="4"/>
      <c r="N537" s="4"/>
      <c r="O537" s="4"/>
      <c r="P537" s="4"/>
      <c r="Q537" s="4"/>
      <c r="R537" s="4"/>
      <c r="S537" s="4"/>
      <c r="T537" s="4"/>
    </row>
    <row r="538" ht="15.75" customHeight="1">
      <c r="B538" s="4"/>
      <c r="C538" s="4"/>
      <c r="D538" s="4"/>
      <c r="E538" s="4"/>
      <c r="F538" s="4"/>
      <c r="G538" s="4"/>
      <c r="H538" s="4"/>
      <c r="I538" s="4"/>
      <c r="J538" s="4"/>
      <c r="K538" s="4"/>
      <c r="L538" s="4"/>
      <c r="M538" s="4"/>
      <c r="N538" s="4"/>
      <c r="O538" s="4"/>
      <c r="P538" s="4"/>
      <c r="Q538" s="4"/>
      <c r="R538" s="4"/>
      <c r="S538" s="4"/>
      <c r="T538" s="4"/>
    </row>
    <row r="539" ht="15.75" customHeight="1">
      <c r="B539" s="4"/>
      <c r="C539" s="4"/>
      <c r="D539" s="4"/>
      <c r="E539" s="4"/>
      <c r="F539" s="4"/>
      <c r="G539" s="4"/>
      <c r="H539" s="4"/>
      <c r="I539" s="4"/>
      <c r="J539" s="4"/>
      <c r="K539" s="4"/>
      <c r="L539" s="4"/>
      <c r="M539" s="4"/>
      <c r="N539" s="4"/>
      <c r="O539" s="4"/>
      <c r="P539" s="4"/>
      <c r="Q539" s="4"/>
      <c r="R539" s="4"/>
      <c r="S539" s="4"/>
      <c r="T539" s="4"/>
    </row>
    <row r="540" ht="15.75" customHeight="1">
      <c r="B540" s="4"/>
      <c r="C540" s="4"/>
      <c r="D540" s="4"/>
      <c r="E540" s="4"/>
      <c r="F540" s="4"/>
      <c r="G540" s="4"/>
      <c r="H540" s="4"/>
      <c r="I540" s="4"/>
      <c r="J540" s="4"/>
      <c r="K540" s="4"/>
      <c r="L540" s="4"/>
      <c r="M540" s="4"/>
      <c r="N540" s="4"/>
      <c r="O540" s="4"/>
      <c r="P540" s="4"/>
      <c r="Q540" s="4"/>
      <c r="R540" s="4"/>
      <c r="S540" s="4"/>
      <c r="T540" s="4"/>
    </row>
    <row r="541" ht="15.75" customHeight="1">
      <c r="B541" s="4"/>
      <c r="C541" s="4"/>
      <c r="D541" s="4"/>
      <c r="E541" s="4"/>
      <c r="F541" s="4"/>
      <c r="G541" s="4"/>
      <c r="H541" s="4"/>
      <c r="I541" s="4"/>
      <c r="J541" s="4"/>
      <c r="K541" s="4"/>
      <c r="L541" s="4"/>
      <c r="M541" s="4"/>
      <c r="N541" s="4"/>
      <c r="O541" s="4"/>
      <c r="P541" s="4"/>
      <c r="Q541" s="4"/>
      <c r="R541" s="4"/>
      <c r="S541" s="4"/>
      <c r="T541" s="4"/>
    </row>
    <row r="542" ht="15.75" customHeight="1">
      <c r="B542" s="4"/>
      <c r="C542" s="4"/>
      <c r="D542" s="4"/>
      <c r="E542" s="4"/>
      <c r="F542" s="4"/>
      <c r="G542" s="4"/>
      <c r="H542" s="4"/>
      <c r="I542" s="4"/>
      <c r="J542" s="4"/>
      <c r="K542" s="4"/>
      <c r="L542" s="4"/>
      <c r="M542" s="4"/>
      <c r="N542" s="4"/>
      <c r="O542" s="4"/>
      <c r="P542" s="4"/>
      <c r="Q542" s="4"/>
      <c r="R542" s="4"/>
      <c r="S542" s="4"/>
      <c r="T542" s="4"/>
    </row>
    <row r="543" ht="15.75" customHeight="1">
      <c r="B543" s="4"/>
      <c r="C543" s="4"/>
      <c r="D543" s="4"/>
      <c r="E543" s="4"/>
      <c r="F543" s="4"/>
      <c r="G543" s="4"/>
      <c r="H543" s="4"/>
      <c r="I543" s="4"/>
      <c r="J543" s="4"/>
      <c r="K543" s="4"/>
      <c r="L543" s="4"/>
      <c r="M543" s="4"/>
      <c r="N543" s="4"/>
      <c r="O543" s="4"/>
      <c r="P543" s="4"/>
      <c r="Q543" s="4"/>
      <c r="R543" s="4"/>
      <c r="S543" s="4"/>
      <c r="T543" s="4"/>
    </row>
    <row r="544" ht="15.75" customHeight="1">
      <c r="B544" s="4"/>
      <c r="C544" s="4"/>
      <c r="D544" s="4"/>
      <c r="E544" s="4"/>
      <c r="F544" s="4"/>
      <c r="G544" s="4"/>
      <c r="H544" s="4"/>
      <c r="I544" s="4"/>
      <c r="J544" s="4"/>
      <c r="K544" s="4"/>
      <c r="L544" s="4"/>
      <c r="M544" s="4"/>
      <c r="N544" s="4"/>
      <c r="O544" s="4"/>
      <c r="P544" s="4"/>
      <c r="Q544" s="4"/>
      <c r="R544" s="4"/>
      <c r="S544" s="4"/>
      <c r="T544" s="4"/>
    </row>
    <row r="545" ht="15.75" customHeight="1">
      <c r="B545" s="4"/>
      <c r="C545" s="4"/>
      <c r="D545" s="4"/>
      <c r="E545" s="4"/>
      <c r="F545" s="4"/>
      <c r="G545" s="4"/>
      <c r="H545" s="4"/>
      <c r="I545" s="4"/>
      <c r="J545" s="4"/>
      <c r="K545" s="4"/>
      <c r="L545" s="4"/>
      <c r="M545" s="4"/>
      <c r="N545" s="4"/>
      <c r="O545" s="4"/>
      <c r="P545" s="4"/>
      <c r="Q545" s="4"/>
      <c r="R545" s="4"/>
      <c r="S545" s="4"/>
      <c r="T545" s="4"/>
    </row>
    <row r="546" ht="15.75" customHeight="1">
      <c r="B546" s="4"/>
      <c r="C546" s="4"/>
      <c r="D546" s="4"/>
      <c r="E546" s="4"/>
      <c r="F546" s="4"/>
      <c r="G546" s="4"/>
      <c r="H546" s="4"/>
      <c r="I546" s="4"/>
      <c r="J546" s="4"/>
      <c r="K546" s="4"/>
      <c r="L546" s="4"/>
      <c r="M546" s="4"/>
      <c r="N546" s="4"/>
      <c r="O546" s="4"/>
      <c r="P546" s="4"/>
      <c r="Q546" s="4"/>
      <c r="R546" s="4"/>
      <c r="S546" s="4"/>
      <c r="T546" s="4"/>
    </row>
    <row r="547" ht="15.75" customHeight="1">
      <c r="B547" s="4"/>
      <c r="C547" s="4"/>
      <c r="D547" s="4"/>
      <c r="E547" s="4"/>
      <c r="F547" s="4"/>
      <c r="G547" s="4"/>
      <c r="H547" s="4"/>
      <c r="I547" s="4"/>
      <c r="J547" s="4"/>
      <c r="K547" s="4"/>
      <c r="L547" s="4"/>
      <c r="M547" s="4"/>
      <c r="N547" s="4"/>
      <c r="O547" s="4"/>
      <c r="P547" s="4"/>
      <c r="Q547" s="4"/>
      <c r="R547" s="4"/>
      <c r="S547" s="4"/>
      <c r="T547" s="4"/>
    </row>
    <row r="548" ht="15.75" customHeight="1">
      <c r="B548" s="4"/>
      <c r="C548" s="4"/>
      <c r="D548" s="4"/>
      <c r="E548" s="4"/>
      <c r="F548" s="4"/>
      <c r="G548" s="4"/>
      <c r="H548" s="4"/>
      <c r="I548" s="4"/>
      <c r="J548" s="4"/>
      <c r="K548" s="4"/>
      <c r="L548" s="4"/>
      <c r="M548" s="4"/>
      <c r="N548" s="4"/>
      <c r="O548" s="4"/>
      <c r="P548" s="4"/>
      <c r="Q548" s="4"/>
      <c r="R548" s="4"/>
      <c r="S548" s="4"/>
      <c r="T548" s="4"/>
    </row>
    <row r="549" ht="15.75" customHeight="1">
      <c r="B549" s="4"/>
      <c r="C549" s="4"/>
      <c r="D549" s="4"/>
      <c r="E549" s="4"/>
      <c r="F549" s="4"/>
      <c r="G549" s="4"/>
      <c r="H549" s="4"/>
      <c r="I549" s="4"/>
      <c r="J549" s="4"/>
      <c r="K549" s="4"/>
      <c r="L549" s="4"/>
      <c r="M549" s="4"/>
      <c r="N549" s="4"/>
      <c r="O549" s="4"/>
      <c r="P549" s="4"/>
      <c r="Q549" s="4"/>
      <c r="R549" s="4"/>
      <c r="S549" s="4"/>
      <c r="T549" s="4"/>
    </row>
    <row r="550" ht="15.75" customHeight="1">
      <c r="B550" s="4"/>
      <c r="C550" s="4"/>
      <c r="D550" s="4"/>
      <c r="E550" s="4"/>
      <c r="F550" s="4"/>
      <c r="G550" s="4"/>
      <c r="H550" s="4"/>
      <c r="I550" s="4"/>
      <c r="J550" s="4"/>
      <c r="K550" s="4"/>
      <c r="L550" s="4"/>
      <c r="M550" s="4"/>
      <c r="N550" s="4"/>
      <c r="O550" s="4"/>
      <c r="P550" s="4"/>
      <c r="Q550" s="4"/>
      <c r="R550" s="4"/>
      <c r="S550" s="4"/>
      <c r="T550" s="4"/>
    </row>
    <row r="551" ht="15.75" customHeight="1">
      <c r="B551" s="4"/>
      <c r="C551" s="4"/>
      <c r="D551" s="4"/>
      <c r="E551" s="4"/>
      <c r="F551" s="4"/>
      <c r="G551" s="4"/>
      <c r="H551" s="4"/>
      <c r="I551" s="4"/>
      <c r="J551" s="4"/>
      <c r="K551" s="4"/>
      <c r="L551" s="4"/>
      <c r="M551" s="4"/>
      <c r="N551" s="4"/>
      <c r="O551" s="4"/>
      <c r="P551" s="4"/>
      <c r="Q551" s="4"/>
      <c r="R551" s="4"/>
      <c r="S551" s="4"/>
      <c r="T551" s="4"/>
    </row>
    <row r="552" ht="15.75" customHeight="1">
      <c r="B552" s="4"/>
      <c r="C552" s="4"/>
      <c r="D552" s="4"/>
      <c r="E552" s="4"/>
      <c r="F552" s="4"/>
      <c r="G552" s="4"/>
      <c r="H552" s="4"/>
      <c r="I552" s="4"/>
      <c r="J552" s="4"/>
      <c r="K552" s="4"/>
      <c r="L552" s="4"/>
      <c r="M552" s="4"/>
      <c r="N552" s="4"/>
      <c r="O552" s="4"/>
      <c r="P552" s="4"/>
      <c r="Q552" s="4"/>
      <c r="R552" s="4"/>
      <c r="S552" s="4"/>
      <c r="T552" s="4"/>
    </row>
    <row r="553" ht="15.75" customHeight="1">
      <c r="B553" s="4"/>
      <c r="C553" s="4"/>
      <c r="D553" s="4"/>
      <c r="E553" s="4"/>
      <c r="F553" s="4"/>
      <c r="G553" s="4"/>
      <c r="H553" s="4"/>
      <c r="I553" s="4"/>
      <c r="J553" s="4"/>
      <c r="K553" s="4"/>
      <c r="L553" s="4"/>
      <c r="M553" s="4"/>
      <c r="N553" s="4"/>
      <c r="O553" s="4"/>
      <c r="P553" s="4"/>
      <c r="Q553" s="4"/>
      <c r="R553" s="4"/>
      <c r="S553" s="4"/>
      <c r="T553" s="4"/>
    </row>
    <row r="554" ht="15.75" customHeight="1">
      <c r="B554" s="4"/>
      <c r="C554" s="4"/>
      <c r="D554" s="4"/>
      <c r="E554" s="4"/>
      <c r="F554" s="4"/>
      <c r="G554" s="4"/>
      <c r="H554" s="4"/>
      <c r="I554" s="4"/>
      <c r="J554" s="4"/>
      <c r="K554" s="4"/>
      <c r="L554" s="4"/>
      <c r="M554" s="4"/>
      <c r="N554" s="4"/>
      <c r="O554" s="4"/>
      <c r="P554" s="4"/>
      <c r="Q554" s="4"/>
      <c r="R554" s="4"/>
      <c r="S554" s="4"/>
      <c r="T554" s="4"/>
    </row>
    <row r="555" ht="15.75" customHeight="1">
      <c r="B555" s="4"/>
      <c r="C555" s="4"/>
      <c r="D555" s="4"/>
      <c r="E555" s="4"/>
      <c r="F555" s="4"/>
      <c r="G555" s="4"/>
      <c r="H555" s="4"/>
      <c r="I555" s="4"/>
      <c r="J555" s="4"/>
      <c r="K555" s="4"/>
      <c r="L555" s="4"/>
      <c r="M555" s="4"/>
      <c r="N555" s="4"/>
      <c r="O555" s="4"/>
      <c r="P555" s="4"/>
      <c r="Q555" s="4"/>
      <c r="R555" s="4"/>
      <c r="S555" s="4"/>
      <c r="T555" s="4"/>
    </row>
    <row r="556" ht="15.75" customHeight="1">
      <c r="B556" s="4"/>
      <c r="C556" s="4"/>
      <c r="D556" s="4"/>
      <c r="E556" s="4"/>
      <c r="F556" s="4"/>
      <c r="G556" s="4"/>
      <c r="H556" s="4"/>
      <c r="I556" s="4"/>
      <c r="J556" s="4"/>
      <c r="K556" s="4"/>
      <c r="L556" s="4"/>
      <c r="M556" s="4"/>
      <c r="N556" s="4"/>
      <c r="O556" s="4"/>
      <c r="P556" s="4"/>
      <c r="Q556" s="4"/>
      <c r="R556" s="4"/>
      <c r="S556" s="4"/>
      <c r="T556" s="4"/>
    </row>
    <row r="557" ht="15.75" customHeight="1">
      <c r="B557" s="4"/>
      <c r="C557" s="4"/>
      <c r="D557" s="4"/>
      <c r="E557" s="4"/>
      <c r="F557" s="4"/>
      <c r="G557" s="4"/>
      <c r="H557" s="4"/>
      <c r="I557" s="4"/>
      <c r="J557" s="4"/>
      <c r="K557" s="4"/>
      <c r="L557" s="4"/>
      <c r="M557" s="4"/>
      <c r="N557" s="4"/>
      <c r="O557" s="4"/>
      <c r="P557" s="4"/>
      <c r="Q557" s="4"/>
      <c r="R557" s="4"/>
      <c r="S557" s="4"/>
      <c r="T557" s="4"/>
    </row>
    <row r="558" ht="15.75" customHeight="1">
      <c r="B558" s="4"/>
      <c r="C558" s="4"/>
      <c r="D558" s="4"/>
      <c r="E558" s="4"/>
      <c r="F558" s="4"/>
      <c r="G558" s="4"/>
      <c r="H558" s="4"/>
      <c r="I558" s="4"/>
      <c r="J558" s="4"/>
      <c r="K558" s="4"/>
      <c r="L558" s="4"/>
      <c r="M558" s="4"/>
      <c r="N558" s="4"/>
      <c r="O558" s="4"/>
      <c r="P558" s="4"/>
      <c r="Q558" s="4"/>
      <c r="R558" s="4"/>
      <c r="S558" s="4"/>
      <c r="T558" s="4"/>
    </row>
    <row r="559" ht="15.75" customHeight="1">
      <c r="B559" s="4"/>
      <c r="C559" s="4"/>
      <c r="D559" s="4"/>
      <c r="E559" s="4"/>
      <c r="F559" s="4"/>
      <c r="G559" s="4"/>
      <c r="H559" s="4"/>
      <c r="I559" s="4"/>
      <c r="J559" s="4"/>
      <c r="K559" s="4"/>
      <c r="L559" s="4"/>
      <c r="M559" s="4"/>
      <c r="N559" s="4"/>
      <c r="O559" s="4"/>
      <c r="P559" s="4"/>
      <c r="Q559" s="4"/>
      <c r="R559" s="4"/>
      <c r="S559" s="4"/>
      <c r="T559" s="4"/>
    </row>
    <row r="560" ht="15.75" customHeight="1">
      <c r="B560" s="4"/>
      <c r="C560" s="4"/>
      <c r="D560" s="4"/>
      <c r="E560" s="4"/>
      <c r="F560" s="4"/>
      <c r="G560" s="4"/>
      <c r="H560" s="4"/>
      <c r="I560" s="4"/>
      <c r="J560" s="4"/>
      <c r="K560" s="4"/>
      <c r="L560" s="4"/>
      <c r="M560" s="4"/>
      <c r="N560" s="4"/>
      <c r="O560" s="4"/>
      <c r="P560" s="4"/>
      <c r="Q560" s="4"/>
      <c r="R560" s="4"/>
      <c r="S560" s="4"/>
      <c r="T560" s="4"/>
    </row>
    <row r="561" ht="15.75" customHeight="1">
      <c r="B561" s="4"/>
      <c r="C561" s="4"/>
      <c r="D561" s="4"/>
      <c r="E561" s="4"/>
      <c r="F561" s="4"/>
      <c r="G561" s="4"/>
      <c r="H561" s="4"/>
      <c r="I561" s="4"/>
      <c r="J561" s="4"/>
      <c r="K561" s="4"/>
      <c r="L561" s="4"/>
      <c r="M561" s="4"/>
      <c r="N561" s="4"/>
      <c r="O561" s="4"/>
      <c r="P561" s="4"/>
      <c r="Q561" s="4"/>
      <c r="R561" s="4"/>
      <c r="S561" s="4"/>
      <c r="T561" s="4"/>
    </row>
    <row r="562" ht="15.75" customHeight="1">
      <c r="B562" s="4"/>
      <c r="C562" s="4"/>
      <c r="D562" s="4"/>
      <c r="E562" s="4"/>
      <c r="F562" s="4"/>
      <c r="G562" s="4"/>
      <c r="H562" s="4"/>
      <c r="I562" s="4"/>
      <c r="J562" s="4"/>
      <c r="K562" s="4"/>
      <c r="L562" s="4"/>
      <c r="M562" s="4"/>
      <c r="N562" s="4"/>
      <c r="O562" s="4"/>
      <c r="P562" s="4"/>
      <c r="Q562" s="4"/>
      <c r="R562" s="4"/>
      <c r="S562" s="4"/>
      <c r="T562" s="4"/>
    </row>
    <row r="563" ht="15.75" customHeight="1">
      <c r="B563" s="4"/>
      <c r="C563" s="4"/>
      <c r="D563" s="4"/>
      <c r="E563" s="4"/>
      <c r="F563" s="4"/>
      <c r="G563" s="4"/>
      <c r="H563" s="4"/>
      <c r="I563" s="4"/>
      <c r="J563" s="4"/>
      <c r="K563" s="4"/>
      <c r="L563" s="4"/>
      <c r="M563" s="4"/>
      <c r="N563" s="4"/>
      <c r="O563" s="4"/>
      <c r="P563" s="4"/>
      <c r="Q563" s="4"/>
      <c r="R563" s="4"/>
      <c r="S563" s="4"/>
      <c r="T563" s="4"/>
    </row>
    <row r="564" ht="15.75" customHeight="1">
      <c r="B564" s="4"/>
      <c r="C564" s="4"/>
      <c r="D564" s="4"/>
      <c r="E564" s="4"/>
      <c r="F564" s="4"/>
      <c r="G564" s="4"/>
      <c r="H564" s="4"/>
      <c r="I564" s="4"/>
      <c r="J564" s="4"/>
      <c r="K564" s="4"/>
      <c r="L564" s="4"/>
      <c r="M564" s="4"/>
      <c r="N564" s="4"/>
      <c r="O564" s="4"/>
      <c r="P564" s="4"/>
      <c r="Q564" s="4"/>
      <c r="R564" s="4"/>
      <c r="S564" s="4"/>
      <c r="T564" s="4"/>
    </row>
    <row r="565" ht="15.75" customHeight="1">
      <c r="B565" s="4"/>
      <c r="C565" s="4"/>
      <c r="D565" s="4"/>
      <c r="E565" s="4"/>
      <c r="F565" s="4"/>
      <c r="G565" s="4"/>
      <c r="H565" s="4"/>
      <c r="I565" s="4"/>
      <c r="J565" s="4"/>
      <c r="K565" s="4"/>
      <c r="L565" s="4"/>
      <c r="M565" s="4"/>
      <c r="N565" s="4"/>
      <c r="O565" s="4"/>
      <c r="P565" s="4"/>
      <c r="Q565" s="4"/>
      <c r="R565" s="4"/>
      <c r="S565" s="4"/>
      <c r="T565" s="4"/>
    </row>
    <row r="566" ht="15.75" customHeight="1">
      <c r="B566" s="4"/>
      <c r="C566" s="4"/>
      <c r="D566" s="4"/>
      <c r="E566" s="4"/>
      <c r="F566" s="4"/>
      <c r="G566" s="4"/>
      <c r="H566" s="4"/>
      <c r="I566" s="4"/>
      <c r="J566" s="4"/>
      <c r="K566" s="4"/>
      <c r="L566" s="4"/>
      <c r="M566" s="4"/>
      <c r="N566" s="4"/>
      <c r="O566" s="4"/>
      <c r="P566" s="4"/>
      <c r="Q566" s="4"/>
      <c r="R566" s="4"/>
      <c r="S566" s="4"/>
      <c r="T566" s="4"/>
    </row>
    <row r="567" ht="15.75" customHeight="1">
      <c r="B567" s="4"/>
      <c r="C567" s="4"/>
      <c r="D567" s="4"/>
      <c r="E567" s="4"/>
      <c r="F567" s="4"/>
      <c r="G567" s="4"/>
      <c r="H567" s="4"/>
      <c r="I567" s="4"/>
      <c r="J567" s="4"/>
      <c r="K567" s="4"/>
      <c r="L567" s="4"/>
      <c r="M567" s="4"/>
      <c r="N567" s="4"/>
      <c r="O567" s="4"/>
      <c r="P567" s="4"/>
      <c r="Q567" s="4"/>
      <c r="R567" s="4"/>
      <c r="S567" s="4"/>
      <c r="T567" s="4"/>
    </row>
    <row r="568" ht="15.75" customHeight="1">
      <c r="B568" s="4"/>
      <c r="C568" s="4"/>
      <c r="D568" s="4"/>
      <c r="E568" s="4"/>
      <c r="F568" s="4"/>
      <c r="G568" s="4"/>
      <c r="H568" s="4"/>
      <c r="I568" s="4"/>
      <c r="J568" s="4"/>
      <c r="K568" s="4"/>
      <c r="L568" s="4"/>
      <c r="M568" s="4"/>
      <c r="N568" s="4"/>
      <c r="O568" s="4"/>
      <c r="P568" s="4"/>
      <c r="Q568" s="4"/>
      <c r="R568" s="4"/>
      <c r="S568" s="4"/>
      <c r="T568" s="4"/>
    </row>
    <row r="569" ht="15.75" customHeight="1">
      <c r="B569" s="4"/>
      <c r="C569" s="4"/>
      <c r="D569" s="4"/>
      <c r="E569" s="4"/>
      <c r="F569" s="4"/>
      <c r="G569" s="4"/>
      <c r="H569" s="4"/>
      <c r="I569" s="4"/>
      <c r="J569" s="4"/>
      <c r="K569" s="4"/>
      <c r="L569" s="4"/>
      <c r="M569" s="4"/>
      <c r="N569" s="4"/>
      <c r="O569" s="4"/>
      <c r="P569" s="4"/>
      <c r="Q569" s="4"/>
      <c r="R569" s="4"/>
      <c r="S569" s="4"/>
      <c r="T569" s="4"/>
    </row>
    <row r="570" ht="15.75" customHeight="1">
      <c r="B570" s="4"/>
      <c r="C570" s="4"/>
      <c r="D570" s="4"/>
      <c r="E570" s="4"/>
      <c r="F570" s="4"/>
      <c r="G570" s="4"/>
      <c r="H570" s="4"/>
      <c r="I570" s="4"/>
      <c r="J570" s="4"/>
      <c r="K570" s="4"/>
      <c r="L570" s="4"/>
      <c r="M570" s="4"/>
      <c r="N570" s="4"/>
      <c r="O570" s="4"/>
      <c r="P570" s="4"/>
      <c r="Q570" s="4"/>
      <c r="R570" s="4"/>
      <c r="S570" s="4"/>
      <c r="T570" s="4"/>
    </row>
    <row r="571" ht="15.75" customHeight="1">
      <c r="B571" s="4"/>
      <c r="C571" s="4"/>
      <c r="D571" s="4"/>
      <c r="E571" s="4"/>
      <c r="F571" s="4"/>
      <c r="G571" s="4"/>
      <c r="H571" s="4"/>
      <c r="I571" s="4"/>
      <c r="J571" s="4"/>
      <c r="K571" s="4"/>
      <c r="L571" s="4"/>
      <c r="M571" s="4"/>
      <c r="N571" s="4"/>
      <c r="O571" s="4"/>
      <c r="P571" s="4"/>
      <c r="Q571" s="4"/>
      <c r="R571" s="4"/>
      <c r="S571" s="4"/>
      <c r="T571" s="4"/>
    </row>
    <row r="572" ht="15.75" customHeight="1">
      <c r="B572" s="4"/>
      <c r="C572" s="4"/>
      <c r="D572" s="4"/>
      <c r="E572" s="4"/>
      <c r="F572" s="4"/>
      <c r="G572" s="4"/>
      <c r="H572" s="4"/>
      <c r="I572" s="4"/>
      <c r="J572" s="4"/>
      <c r="K572" s="4"/>
      <c r="L572" s="4"/>
      <c r="M572" s="4"/>
      <c r="N572" s="4"/>
      <c r="O572" s="4"/>
      <c r="P572" s="4"/>
      <c r="Q572" s="4"/>
      <c r="R572" s="4"/>
      <c r="S572" s="4"/>
      <c r="T572" s="4"/>
    </row>
    <row r="573" ht="15.75" customHeight="1">
      <c r="B573" s="4"/>
      <c r="C573" s="4"/>
      <c r="D573" s="4"/>
      <c r="E573" s="4"/>
      <c r="F573" s="4"/>
      <c r="G573" s="4"/>
      <c r="H573" s="4"/>
      <c r="I573" s="4"/>
      <c r="J573" s="4"/>
      <c r="K573" s="4"/>
      <c r="L573" s="4"/>
      <c r="M573" s="4"/>
      <c r="N573" s="4"/>
      <c r="O573" s="4"/>
      <c r="P573" s="4"/>
      <c r="Q573" s="4"/>
      <c r="R573" s="4"/>
      <c r="S573" s="4"/>
      <c r="T573" s="4"/>
    </row>
    <row r="574" ht="15.75" customHeight="1">
      <c r="B574" s="4"/>
      <c r="C574" s="4"/>
      <c r="D574" s="4"/>
      <c r="E574" s="4"/>
      <c r="F574" s="4"/>
      <c r="G574" s="4"/>
      <c r="H574" s="4"/>
      <c r="I574" s="4"/>
      <c r="J574" s="4"/>
      <c r="K574" s="4"/>
      <c r="L574" s="4"/>
      <c r="M574" s="4"/>
      <c r="N574" s="4"/>
      <c r="O574" s="4"/>
      <c r="P574" s="4"/>
      <c r="Q574" s="4"/>
      <c r="R574" s="4"/>
      <c r="S574" s="4"/>
      <c r="T574" s="4"/>
    </row>
    <row r="575" ht="15.75" customHeight="1">
      <c r="B575" s="4"/>
      <c r="C575" s="4"/>
      <c r="D575" s="4"/>
      <c r="E575" s="4"/>
      <c r="F575" s="4"/>
      <c r="G575" s="4"/>
      <c r="H575" s="4"/>
      <c r="I575" s="4"/>
      <c r="J575" s="4"/>
      <c r="K575" s="4"/>
      <c r="L575" s="4"/>
      <c r="M575" s="4"/>
      <c r="N575" s="4"/>
      <c r="O575" s="4"/>
      <c r="P575" s="4"/>
      <c r="Q575" s="4"/>
      <c r="R575" s="4"/>
      <c r="S575" s="4"/>
      <c r="T575" s="4"/>
    </row>
    <row r="576" ht="15.75" customHeight="1">
      <c r="B576" s="4"/>
      <c r="C576" s="4"/>
      <c r="D576" s="4"/>
      <c r="E576" s="4"/>
      <c r="F576" s="4"/>
      <c r="G576" s="4"/>
      <c r="H576" s="4"/>
      <c r="I576" s="4"/>
      <c r="J576" s="4"/>
      <c r="K576" s="4"/>
      <c r="L576" s="4"/>
      <c r="M576" s="4"/>
      <c r="N576" s="4"/>
      <c r="O576" s="4"/>
      <c r="P576" s="4"/>
      <c r="Q576" s="4"/>
      <c r="R576" s="4"/>
      <c r="S576" s="4"/>
      <c r="T576" s="4"/>
    </row>
    <row r="577" ht="15.75" customHeight="1">
      <c r="B577" s="4"/>
      <c r="C577" s="4"/>
      <c r="D577" s="4"/>
      <c r="E577" s="4"/>
      <c r="F577" s="4"/>
      <c r="G577" s="4"/>
      <c r="H577" s="4"/>
      <c r="I577" s="4"/>
      <c r="J577" s="4"/>
      <c r="K577" s="4"/>
      <c r="L577" s="4"/>
      <c r="M577" s="4"/>
      <c r="N577" s="4"/>
      <c r="O577" s="4"/>
      <c r="P577" s="4"/>
      <c r="Q577" s="4"/>
      <c r="R577" s="4"/>
      <c r="S577" s="4"/>
      <c r="T577" s="4"/>
    </row>
    <row r="578" ht="15.75" customHeight="1">
      <c r="B578" s="4"/>
      <c r="C578" s="4"/>
      <c r="D578" s="4"/>
      <c r="E578" s="4"/>
      <c r="F578" s="4"/>
      <c r="G578" s="4"/>
      <c r="H578" s="4"/>
      <c r="I578" s="4"/>
      <c r="J578" s="4"/>
      <c r="K578" s="4"/>
      <c r="L578" s="4"/>
      <c r="M578" s="4"/>
      <c r="N578" s="4"/>
      <c r="O578" s="4"/>
      <c r="P578" s="4"/>
      <c r="Q578" s="4"/>
      <c r="R578" s="4"/>
      <c r="S578" s="4"/>
      <c r="T578" s="4"/>
    </row>
    <row r="579" ht="15.75" customHeight="1">
      <c r="B579" s="4"/>
      <c r="C579" s="4"/>
      <c r="D579" s="4"/>
      <c r="E579" s="4"/>
      <c r="F579" s="4"/>
      <c r="G579" s="4"/>
      <c r="H579" s="4"/>
      <c r="I579" s="4"/>
      <c r="J579" s="4"/>
      <c r="K579" s="4"/>
      <c r="L579" s="4"/>
      <c r="M579" s="4"/>
      <c r="N579" s="4"/>
      <c r="O579" s="4"/>
      <c r="P579" s="4"/>
      <c r="Q579" s="4"/>
      <c r="R579" s="4"/>
      <c r="S579" s="4"/>
      <c r="T579" s="4"/>
    </row>
    <row r="580" ht="15.75" customHeight="1">
      <c r="B580" s="4"/>
      <c r="C580" s="4"/>
      <c r="D580" s="4"/>
      <c r="E580" s="4"/>
      <c r="F580" s="4"/>
      <c r="G580" s="4"/>
      <c r="H580" s="4"/>
      <c r="I580" s="4"/>
      <c r="J580" s="4"/>
      <c r="K580" s="4"/>
      <c r="L580" s="4"/>
      <c r="M580" s="4"/>
      <c r="N580" s="4"/>
      <c r="O580" s="4"/>
      <c r="P580" s="4"/>
      <c r="Q580" s="4"/>
      <c r="R580" s="4"/>
      <c r="S580" s="4"/>
      <c r="T580" s="4"/>
    </row>
    <row r="581" ht="15.75" customHeight="1">
      <c r="B581" s="4"/>
      <c r="C581" s="4"/>
      <c r="D581" s="4"/>
      <c r="E581" s="4"/>
      <c r="F581" s="4"/>
      <c r="G581" s="4"/>
      <c r="H581" s="4"/>
      <c r="I581" s="4"/>
      <c r="J581" s="4"/>
      <c r="K581" s="4"/>
      <c r="L581" s="4"/>
      <c r="M581" s="4"/>
      <c r="N581" s="4"/>
      <c r="O581" s="4"/>
      <c r="P581" s="4"/>
      <c r="Q581" s="4"/>
      <c r="R581" s="4"/>
      <c r="S581" s="4"/>
      <c r="T581" s="4"/>
    </row>
    <row r="582" ht="15.75" customHeight="1">
      <c r="B582" s="4"/>
      <c r="C582" s="4"/>
      <c r="D582" s="4"/>
      <c r="E582" s="4"/>
      <c r="F582" s="4"/>
      <c r="G582" s="4"/>
      <c r="H582" s="4"/>
      <c r="I582" s="4"/>
      <c r="J582" s="4"/>
      <c r="K582" s="4"/>
      <c r="L582" s="4"/>
      <c r="M582" s="4"/>
      <c r="N582" s="4"/>
      <c r="O582" s="4"/>
      <c r="P582" s="4"/>
      <c r="Q582" s="4"/>
      <c r="R582" s="4"/>
      <c r="S582" s="4"/>
      <c r="T582" s="4"/>
    </row>
    <row r="583" ht="15.75" customHeight="1">
      <c r="B583" s="4"/>
      <c r="C583" s="4"/>
      <c r="D583" s="4"/>
      <c r="E583" s="4"/>
      <c r="F583" s="4"/>
      <c r="G583" s="4"/>
      <c r="H583" s="4"/>
      <c r="I583" s="4"/>
      <c r="J583" s="4"/>
      <c r="K583" s="4"/>
      <c r="L583" s="4"/>
      <c r="M583" s="4"/>
      <c r="N583" s="4"/>
      <c r="O583" s="4"/>
      <c r="P583" s="4"/>
      <c r="Q583" s="4"/>
      <c r="R583" s="4"/>
      <c r="S583" s="4"/>
      <c r="T583" s="4"/>
    </row>
    <row r="584" ht="15.75" customHeight="1">
      <c r="B584" s="4"/>
      <c r="C584" s="4"/>
      <c r="D584" s="4"/>
      <c r="E584" s="4"/>
      <c r="F584" s="4"/>
      <c r="G584" s="4"/>
      <c r="H584" s="4"/>
      <c r="I584" s="4"/>
      <c r="J584" s="4"/>
      <c r="K584" s="4"/>
      <c r="L584" s="4"/>
      <c r="M584" s="4"/>
      <c r="N584" s="4"/>
      <c r="O584" s="4"/>
      <c r="P584" s="4"/>
      <c r="Q584" s="4"/>
      <c r="R584" s="4"/>
      <c r="S584" s="4"/>
      <c r="T584" s="4"/>
    </row>
    <row r="585" ht="15.75" customHeight="1">
      <c r="B585" s="4"/>
      <c r="C585" s="4"/>
      <c r="D585" s="4"/>
      <c r="E585" s="4"/>
      <c r="F585" s="4"/>
      <c r="G585" s="4"/>
      <c r="H585" s="4"/>
      <c r="I585" s="4"/>
      <c r="J585" s="4"/>
      <c r="K585" s="4"/>
      <c r="L585" s="4"/>
      <c r="M585" s="4"/>
      <c r="N585" s="4"/>
      <c r="O585" s="4"/>
      <c r="P585" s="4"/>
      <c r="Q585" s="4"/>
      <c r="R585" s="4"/>
      <c r="S585" s="4"/>
      <c r="T585" s="4"/>
    </row>
    <row r="586" ht="15.75" customHeight="1">
      <c r="B586" s="4"/>
      <c r="C586" s="4"/>
      <c r="D586" s="4"/>
      <c r="E586" s="4"/>
      <c r="F586" s="4"/>
      <c r="G586" s="4"/>
      <c r="H586" s="4"/>
      <c r="I586" s="4"/>
      <c r="J586" s="4"/>
      <c r="K586" s="4"/>
      <c r="L586" s="4"/>
      <c r="M586" s="4"/>
      <c r="N586" s="4"/>
      <c r="O586" s="4"/>
      <c r="P586" s="4"/>
      <c r="Q586" s="4"/>
      <c r="R586" s="4"/>
      <c r="S586" s="4"/>
      <c r="T586" s="4"/>
    </row>
    <row r="587" ht="15.75" customHeight="1">
      <c r="B587" s="4"/>
      <c r="C587" s="4"/>
      <c r="D587" s="4"/>
      <c r="E587" s="4"/>
      <c r="F587" s="4"/>
      <c r="G587" s="4"/>
      <c r="H587" s="4"/>
      <c r="I587" s="4"/>
      <c r="J587" s="4"/>
      <c r="K587" s="4"/>
      <c r="L587" s="4"/>
      <c r="M587" s="4"/>
      <c r="N587" s="4"/>
      <c r="O587" s="4"/>
      <c r="P587" s="4"/>
      <c r="Q587" s="4"/>
      <c r="R587" s="4"/>
      <c r="S587" s="4"/>
      <c r="T587" s="4"/>
    </row>
    <row r="588" ht="15.75" customHeight="1">
      <c r="B588" s="4"/>
      <c r="C588" s="4"/>
      <c r="D588" s="4"/>
      <c r="E588" s="4"/>
      <c r="F588" s="4"/>
      <c r="G588" s="4"/>
      <c r="H588" s="4"/>
      <c r="I588" s="4"/>
      <c r="J588" s="4"/>
      <c r="K588" s="4"/>
      <c r="L588" s="4"/>
      <c r="M588" s="4"/>
      <c r="N588" s="4"/>
      <c r="O588" s="4"/>
      <c r="P588" s="4"/>
      <c r="Q588" s="4"/>
      <c r="R588" s="4"/>
      <c r="S588" s="4"/>
      <c r="T588" s="4"/>
    </row>
    <row r="589" ht="15.75" customHeight="1">
      <c r="B589" s="4"/>
      <c r="C589" s="4"/>
      <c r="D589" s="4"/>
      <c r="E589" s="4"/>
      <c r="F589" s="4"/>
      <c r="G589" s="4"/>
      <c r="H589" s="4"/>
      <c r="I589" s="4"/>
      <c r="J589" s="4"/>
      <c r="K589" s="4"/>
      <c r="L589" s="4"/>
      <c r="M589" s="4"/>
      <c r="N589" s="4"/>
      <c r="O589" s="4"/>
      <c r="P589" s="4"/>
      <c r="Q589" s="4"/>
      <c r="R589" s="4"/>
      <c r="S589" s="4"/>
      <c r="T589" s="4"/>
    </row>
    <row r="590" ht="15.75" customHeight="1">
      <c r="B590" s="4"/>
      <c r="C590" s="4"/>
      <c r="D590" s="4"/>
      <c r="E590" s="4"/>
      <c r="F590" s="4"/>
      <c r="G590" s="4"/>
      <c r="H590" s="4"/>
      <c r="I590" s="4"/>
      <c r="J590" s="4"/>
      <c r="K590" s="4"/>
      <c r="L590" s="4"/>
      <c r="M590" s="4"/>
      <c r="N590" s="4"/>
      <c r="O590" s="4"/>
      <c r="P590" s="4"/>
      <c r="Q590" s="4"/>
      <c r="R590" s="4"/>
      <c r="S590" s="4"/>
      <c r="T590" s="4"/>
    </row>
    <row r="591" ht="15.75" customHeight="1">
      <c r="B591" s="4"/>
      <c r="C591" s="4"/>
      <c r="D591" s="4"/>
      <c r="E591" s="4"/>
      <c r="F591" s="4"/>
      <c r="G591" s="4"/>
      <c r="H591" s="4"/>
      <c r="I591" s="4"/>
      <c r="J591" s="4"/>
      <c r="K591" s="4"/>
      <c r="L591" s="4"/>
      <c r="M591" s="4"/>
      <c r="N591" s="4"/>
      <c r="O591" s="4"/>
      <c r="P591" s="4"/>
      <c r="Q591" s="4"/>
      <c r="R591" s="4"/>
      <c r="S591" s="4"/>
      <c r="T591" s="4"/>
    </row>
    <row r="592" ht="15.75" customHeight="1">
      <c r="B592" s="4"/>
      <c r="C592" s="4"/>
      <c r="D592" s="4"/>
      <c r="E592" s="4"/>
      <c r="F592" s="4"/>
      <c r="G592" s="4"/>
      <c r="H592" s="4"/>
      <c r="I592" s="4"/>
      <c r="J592" s="4"/>
      <c r="K592" s="4"/>
      <c r="L592" s="4"/>
      <c r="M592" s="4"/>
      <c r="N592" s="4"/>
      <c r="O592" s="4"/>
      <c r="P592" s="4"/>
      <c r="Q592" s="4"/>
      <c r="R592" s="4"/>
      <c r="S592" s="4"/>
      <c r="T592" s="4"/>
    </row>
    <row r="593" ht="15.75" customHeight="1">
      <c r="B593" s="4"/>
      <c r="C593" s="4"/>
      <c r="D593" s="4"/>
      <c r="E593" s="4"/>
      <c r="F593" s="4"/>
      <c r="G593" s="4"/>
      <c r="H593" s="4"/>
      <c r="I593" s="4"/>
      <c r="J593" s="4"/>
      <c r="K593" s="4"/>
      <c r="L593" s="4"/>
      <c r="M593" s="4"/>
      <c r="N593" s="4"/>
      <c r="O593" s="4"/>
      <c r="P593" s="4"/>
      <c r="Q593" s="4"/>
      <c r="R593" s="4"/>
      <c r="S593" s="4"/>
      <c r="T593" s="4"/>
    </row>
    <row r="594" ht="15.75" customHeight="1">
      <c r="B594" s="4"/>
      <c r="C594" s="4"/>
      <c r="D594" s="4"/>
      <c r="E594" s="4"/>
      <c r="F594" s="4"/>
      <c r="G594" s="4"/>
      <c r="H594" s="4"/>
      <c r="I594" s="4"/>
      <c r="J594" s="4"/>
      <c r="K594" s="4"/>
      <c r="L594" s="4"/>
      <c r="M594" s="4"/>
      <c r="N594" s="4"/>
      <c r="O594" s="4"/>
      <c r="P594" s="4"/>
      <c r="Q594" s="4"/>
      <c r="R594" s="4"/>
      <c r="S594" s="4"/>
      <c r="T594" s="4"/>
    </row>
    <row r="595" ht="15.75" customHeight="1">
      <c r="B595" s="4"/>
      <c r="C595" s="4"/>
      <c r="D595" s="4"/>
      <c r="E595" s="4"/>
      <c r="F595" s="4"/>
      <c r="G595" s="4"/>
      <c r="H595" s="4"/>
      <c r="I595" s="4"/>
      <c r="J595" s="4"/>
      <c r="K595" s="4"/>
      <c r="L595" s="4"/>
      <c r="M595" s="4"/>
      <c r="N595" s="4"/>
      <c r="O595" s="4"/>
      <c r="P595" s="4"/>
      <c r="Q595" s="4"/>
      <c r="R595" s="4"/>
      <c r="S595" s="4"/>
      <c r="T595" s="4"/>
    </row>
    <row r="596" ht="15.75" customHeight="1">
      <c r="B596" s="4"/>
      <c r="C596" s="4"/>
      <c r="D596" s="4"/>
      <c r="E596" s="4"/>
      <c r="F596" s="4"/>
      <c r="G596" s="4"/>
      <c r="H596" s="4"/>
      <c r="I596" s="4"/>
      <c r="J596" s="4"/>
      <c r="K596" s="4"/>
      <c r="L596" s="4"/>
      <c r="M596" s="4"/>
      <c r="N596" s="4"/>
      <c r="O596" s="4"/>
      <c r="P596" s="4"/>
      <c r="Q596" s="4"/>
      <c r="R596" s="4"/>
      <c r="S596" s="4"/>
      <c r="T596" s="4"/>
    </row>
    <row r="597" ht="15.75" customHeight="1">
      <c r="B597" s="4"/>
      <c r="C597" s="4"/>
      <c r="D597" s="4"/>
      <c r="E597" s="4"/>
      <c r="F597" s="4"/>
      <c r="G597" s="4"/>
      <c r="H597" s="4"/>
      <c r="I597" s="4"/>
      <c r="J597" s="4"/>
      <c r="K597" s="4"/>
      <c r="L597" s="4"/>
      <c r="M597" s="4"/>
      <c r="N597" s="4"/>
      <c r="O597" s="4"/>
      <c r="P597" s="4"/>
      <c r="Q597" s="4"/>
      <c r="R597" s="4"/>
      <c r="S597" s="4"/>
      <c r="T597" s="4"/>
    </row>
    <row r="598" ht="15.75" customHeight="1">
      <c r="B598" s="4"/>
      <c r="C598" s="4"/>
      <c r="D598" s="4"/>
      <c r="E598" s="4"/>
      <c r="F598" s="4"/>
      <c r="G598" s="4"/>
      <c r="H598" s="4"/>
      <c r="I598" s="4"/>
      <c r="J598" s="4"/>
      <c r="K598" s="4"/>
      <c r="L598" s="4"/>
      <c r="M598" s="4"/>
      <c r="N598" s="4"/>
      <c r="O598" s="4"/>
      <c r="P598" s="4"/>
      <c r="Q598" s="4"/>
      <c r="R598" s="4"/>
      <c r="S598" s="4"/>
      <c r="T598" s="4"/>
    </row>
    <row r="599" ht="15.75" customHeight="1">
      <c r="B599" s="4"/>
      <c r="C599" s="4"/>
      <c r="D599" s="4"/>
      <c r="E599" s="4"/>
      <c r="F599" s="4"/>
      <c r="G599" s="4"/>
      <c r="H599" s="4"/>
      <c r="I599" s="4"/>
      <c r="J599" s="4"/>
      <c r="K599" s="4"/>
      <c r="L599" s="4"/>
      <c r="M599" s="4"/>
      <c r="N599" s="4"/>
      <c r="O599" s="4"/>
      <c r="P599" s="4"/>
      <c r="Q599" s="4"/>
      <c r="R599" s="4"/>
      <c r="S599" s="4"/>
      <c r="T599" s="4"/>
    </row>
    <row r="600" ht="15.75" customHeight="1">
      <c r="B600" s="4"/>
      <c r="C600" s="4"/>
      <c r="D600" s="4"/>
      <c r="E600" s="4"/>
      <c r="F600" s="4"/>
      <c r="G600" s="4"/>
      <c r="H600" s="4"/>
      <c r="I600" s="4"/>
      <c r="J600" s="4"/>
      <c r="K600" s="4"/>
      <c r="L600" s="4"/>
      <c r="M600" s="4"/>
      <c r="N600" s="4"/>
      <c r="O600" s="4"/>
      <c r="P600" s="4"/>
      <c r="Q600" s="4"/>
      <c r="R600" s="4"/>
      <c r="S600" s="4"/>
      <c r="T600" s="4"/>
    </row>
    <row r="601" ht="15.75" customHeight="1">
      <c r="B601" s="4"/>
      <c r="C601" s="4"/>
      <c r="D601" s="4"/>
      <c r="E601" s="4"/>
      <c r="F601" s="4"/>
      <c r="G601" s="4"/>
      <c r="H601" s="4"/>
      <c r="I601" s="4"/>
      <c r="J601" s="4"/>
      <c r="K601" s="4"/>
      <c r="L601" s="4"/>
      <c r="M601" s="4"/>
      <c r="N601" s="4"/>
      <c r="O601" s="4"/>
      <c r="P601" s="4"/>
      <c r="Q601" s="4"/>
      <c r="R601" s="4"/>
      <c r="S601" s="4"/>
      <c r="T601" s="4"/>
    </row>
    <row r="602" ht="15.75" customHeight="1">
      <c r="B602" s="4"/>
      <c r="C602" s="4"/>
      <c r="D602" s="4"/>
      <c r="E602" s="4"/>
      <c r="F602" s="4"/>
      <c r="G602" s="4"/>
      <c r="H602" s="4"/>
      <c r="I602" s="4"/>
      <c r="J602" s="4"/>
      <c r="K602" s="4"/>
      <c r="L602" s="4"/>
      <c r="M602" s="4"/>
      <c r="N602" s="4"/>
      <c r="O602" s="4"/>
      <c r="P602" s="4"/>
      <c r="Q602" s="4"/>
      <c r="R602" s="4"/>
      <c r="S602" s="4"/>
      <c r="T602" s="4"/>
    </row>
    <row r="603" ht="15.75" customHeight="1">
      <c r="B603" s="4"/>
      <c r="C603" s="4"/>
      <c r="D603" s="4"/>
      <c r="E603" s="4"/>
      <c r="F603" s="4"/>
      <c r="G603" s="4"/>
      <c r="H603" s="4"/>
      <c r="I603" s="4"/>
      <c r="J603" s="4"/>
      <c r="K603" s="4"/>
      <c r="L603" s="4"/>
      <c r="M603" s="4"/>
      <c r="N603" s="4"/>
      <c r="O603" s="4"/>
      <c r="P603" s="4"/>
      <c r="Q603" s="4"/>
      <c r="R603" s="4"/>
      <c r="S603" s="4"/>
      <c r="T603" s="4"/>
    </row>
    <row r="604" ht="15.75" customHeight="1">
      <c r="B604" s="4"/>
      <c r="C604" s="4"/>
      <c r="D604" s="4"/>
      <c r="E604" s="4"/>
      <c r="F604" s="4"/>
      <c r="G604" s="4"/>
      <c r="H604" s="4"/>
      <c r="I604" s="4"/>
      <c r="J604" s="4"/>
      <c r="K604" s="4"/>
      <c r="L604" s="4"/>
      <c r="M604" s="4"/>
      <c r="N604" s="4"/>
      <c r="O604" s="4"/>
      <c r="P604" s="4"/>
      <c r="Q604" s="4"/>
      <c r="R604" s="4"/>
      <c r="S604" s="4"/>
      <c r="T604" s="4"/>
    </row>
    <row r="605" ht="15.75" customHeight="1">
      <c r="B605" s="4"/>
      <c r="C605" s="4"/>
      <c r="D605" s="4"/>
      <c r="E605" s="4"/>
      <c r="F605" s="4"/>
      <c r="G605" s="4"/>
      <c r="H605" s="4"/>
      <c r="I605" s="4"/>
      <c r="J605" s="4"/>
      <c r="K605" s="4"/>
      <c r="L605" s="4"/>
      <c r="M605" s="4"/>
      <c r="N605" s="4"/>
      <c r="O605" s="4"/>
      <c r="P605" s="4"/>
      <c r="Q605" s="4"/>
      <c r="R605" s="4"/>
      <c r="S605" s="4"/>
      <c r="T605" s="4"/>
    </row>
    <row r="606" ht="15.75" customHeight="1">
      <c r="B606" s="4"/>
      <c r="C606" s="4"/>
      <c r="D606" s="4"/>
      <c r="E606" s="4"/>
      <c r="F606" s="4"/>
      <c r="G606" s="4"/>
      <c r="H606" s="4"/>
      <c r="I606" s="4"/>
      <c r="J606" s="4"/>
      <c r="K606" s="4"/>
      <c r="L606" s="4"/>
      <c r="M606" s="4"/>
      <c r="N606" s="4"/>
      <c r="O606" s="4"/>
      <c r="P606" s="4"/>
      <c r="Q606" s="4"/>
      <c r="R606" s="4"/>
      <c r="S606" s="4"/>
      <c r="T606" s="4"/>
    </row>
    <row r="607" ht="15.75" customHeight="1">
      <c r="B607" s="4"/>
      <c r="C607" s="4"/>
      <c r="D607" s="4"/>
      <c r="E607" s="4"/>
      <c r="F607" s="4"/>
      <c r="G607" s="4"/>
      <c r="H607" s="4"/>
      <c r="I607" s="4"/>
      <c r="J607" s="4"/>
      <c r="K607" s="4"/>
      <c r="L607" s="4"/>
      <c r="M607" s="4"/>
      <c r="N607" s="4"/>
      <c r="O607" s="4"/>
      <c r="P607" s="4"/>
      <c r="Q607" s="4"/>
      <c r="R607" s="4"/>
      <c r="S607" s="4"/>
      <c r="T607" s="4"/>
    </row>
    <row r="608" ht="15.75" customHeight="1">
      <c r="B608" s="4"/>
      <c r="C608" s="4"/>
      <c r="D608" s="4"/>
      <c r="E608" s="4"/>
      <c r="F608" s="4"/>
      <c r="G608" s="4"/>
      <c r="H608" s="4"/>
      <c r="I608" s="4"/>
      <c r="J608" s="4"/>
      <c r="K608" s="4"/>
      <c r="L608" s="4"/>
      <c r="M608" s="4"/>
      <c r="N608" s="4"/>
      <c r="O608" s="4"/>
      <c r="P608" s="4"/>
      <c r="Q608" s="4"/>
      <c r="R608" s="4"/>
      <c r="S608" s="4"/>
      <c r="T608" s="4"/>
    </row>
    <row r="609" ht="15.75" customHeight="1">
      <c r="B609" s="4"/>
      <c r="C609" s="4"/>
      <c r="D609" s="4"/>
      <c r="E609" s="4"/>
      <c r="F609" s="4"/>
      <c r="G609" s="4"/>
      <c r="H609" s="4"/>
      <c r="I609" s="4"/>
      <c r="J609" s="4"/>
      <c r="K609" s="4"/>
      <c r="L609" s="4"/>
      <c r="M609" s="4"/>
      <c r="N609" s="4"/>
      <c r="O609" s="4"/>
      <c r="P609" s="4"/>
      <c r="Q609" s="4"/>
      <c r="R609" s="4"/>
      <c r="S609" s="4"/>
      <c r="T609" s="4"/>
    </row>
    <row r="610" ht="15.75" customHeight="1">
      <c r="B610" s="4"/>
      <c r="C610" s="4"/>
      <c r="D610" s="4"/>
      <c r="E610" s="4"/>
      <c r="F610" s="4"/>
      <c r="G610" s="4"/>
      <c r="H610" s="4"/>
      <c r="I610" s="4"/>
      <c r="J610" s="4"/>
      <c r="K610" s="4"/>
      <c r="L610" s="4"/>
      <c r="M610" s="4"/>
      <c r="N610" s="4"/>
      <c r="O610" s="4"/>
      <c r="P610" s="4"/>
      <c r="Q610" s="4"/>
      <c r="R610" s="4"/>
      <c r="S610" s="4"/>
      <c r="T610" s="4"/>
    </row>
    <row r="611" ht="15.75" customHeight="1">
      <c r="B611" s="4"/>
      <c r="C611" s="4"/>
      <c r="D611" s="4"/>
      <c r="E611" s="4"/>
      <c r="F611" s="4"/>
      <c r="G611" s="4"/>
      <c r="H611" s="4"/>
      <c r="I611" s="4"/>
      <c r="J611" s="4"/>
      <c r="K611" s="4"/>
      <c r="L611" s="4"/>
      <c r="M611" s="4"/>
      <c r="N611" s="4"/>
      <c r="O611" s="4"/>
      <c r="P611" s="4"/>
      <c r="Q611" s="4"/>
      <c r="R611" s="4"/>
      <c r="S611" s="4"/>
      <c r="T611" s="4"/>
    </row>
    <row r="612" ht="15.75" customHeight="1">
      <c r="B612" s="4"/>
      <c r="C612" s="4"/>
      <c r="D612" s="4"/>
      <c r="E612" s="4"/>
      <c r="F612" s="4"/>
      <c r="G612" s="4"/>
      <c r="H612" s="4"/>
      <c r="I612" s="4"/>
      <c r="J612" s="4"/>
      <c r="K612" s="4"/>
      <c r="L612" s="4"/>
      <c r="M612" s="4"/>
      <c r="N612" s="4"/>
      <c r="O612" s="4"/>
      <c r="P612" s="4"/>
      <c r="Q612" s="4"/>
      <c r="R612" s="4"/>
      <c r="S612" s="4"/>
      <c r="T612" s="4"/>
    </row>
    <row r="613" ht="15.75" customHeight="1">
      <c r="B613" s="4"/>
      <c r="C613" s="4"/>
      <c r="D613" s="4"/>
      <c r="E613" s="4"/>
      <c r="F613" s="4"/>
      <c r="G613" s="4"/>
      <c r="H613" s="4"/>
      <c r="I613" s="4"/>
      <c r="J613" s="4"/>
      <c r="K613" s="4"/>
      <c r="L613" s="4"/>
      <c r="M613" s="4"/>
      <c r="N613" s="4"/>
      <c r="O613" s="4"/>
      <c r="P613" s="4"/>
      <c r="Q613" s="4"/>
      <c r="R613" s="4"/>
      <c r="S613" s="4"/>
      <c r="T613" s="4"/>
    </row>
    <row r="614" ht="15.75" customHeight="1">
      <c r="B614" s="4"/>
      <c r="C614" s="4"/>
      <c r="D614" s="4"/>
      <c r="E614" s="4"/>
      <c r="F614" s="4"/>
      <c r="G614" s="4"/>
      <c r="H614" s="4"/>
      <c r="I614" s="4"/>
      <c r="J614" s="4"/>
      <c r="K614" s="4"/>
      <c r="L614" s="4"/>
      <c r="M614" s="4"/>
      <c r="N614" s="4"/>
      <c r="O614" s="4"/>
      <c r="P614" s="4"/>
      <c r="Q614" s="4"/>
      <c r="R614" s="4"/>
      <c r="S614" s="4"/>
      <c r="T614" s="4"/>
    </row>
    <row r="615" ht="15.75" customHeight="1">
      <c r="B615" s="4"/>
      <c r="C615" s="4"/>
      <c r="D615" s="4"/>
      <c r="E615" s="4"/>
      <c r="F615" s="4"/>
      <c r="G615" s="4"/>
      <c r="H615" s="4"/>
      <c r="I615" s="4"/>
      <c r="J615" s="4"/>
      <c r="K615" s="4"/>
      <c r="L615" s="4"/>
      <c r="M615" s="4"/>
      <c r="N615" s="4"/>
      <c r="O615" s="4"/>
      <c r="P615" s="4"/>
      <c r="Q615" s="4"/>
      <c r="R615" s="4"/>
      <c r="S615" s="4"/>
      <c r="T615" s="4"/>
    </row>
    <row r="616" ht="15.75" customHeight="1">
      <c r="B616" s="4"/>
      <c r="C616" s="4"/>
      <c r="D616" s="4"/>
      <c r="E616" s="4"/>
      <c r="F616" s="4"/>
      <c r="G616" s="4"/>
      <c r="H616" s="4"/>
      <c r="I616" s="4"/>
      <c r="J616" s="4"/>
      <c r="K616" s="4"/>
      <c r="L616" s="4"/>
      <c r="M616" s="4"/>
      <c r="N616" s="4"/>
      <c r="O616" s="4"/>
      <c r="P616" s="4"/>
      <c r="Q616" s="4"/>
      <c r="R616" s="4"/>
      <c r="S616" s="4"/>
      <c r="T616" s="4"/>
    </row>
    <row r="617" ht="15.75" customHeight="1">
      <c r="B617" s="4"/>
      <c r="C617" s="4"/>
      <c r="D617" s="4"/>
      <c r="E617" s="4"/>
      <c r="F617" s="4"/>
      <c r="G617" s="4"/>
      <c r="H617" s="4"/>
      <c r="I617" s="4"/>
      <c r="J617" s="4"/>
      <c r="K617" s="4"/>
      <c r="L617" s="4"/>
      <c r="M617" s="4"/>
      <c r="N617" s="4"/>
      <c r="O617" s="4"/>
      <c r="P617" s="4"/>
      <c r="Q617" s="4"/>
      <c r="R617" s="4"/>
      <c r="S617" s="4"/>
      <c r="T617" s="4"/>
    </row>
    <row r="618" ht="15.75" customHeight="1">
      <c r="B618" s="4"/>
      <c r="C618" s="4"/>
      <c r="D618" s="4"/>
      <c r="E618" s="4"/>
      <c r="F618" s="4"/>
      <c r="G618" s="4"/>
      <c r="H618" s="4"/>
      <c r="I618" s="4"/>
      <c r="J618" s="4"/>
      <c r="K618" s="4"/>
      <c r="L618" s="4"/>
      <c r="M618" s="4"/>
      <c r="N618" s="4"/>
      <c r="O618" s="4"/>
      <c r="P618" s="4"/>
      <c r="Q618" s="4"/>
      <c r="R618" s="4"/>
      <c r="S618" s="4"/>
      <c r="T618" s="4"/>
    </row>
    <row r="619" ht="15.75" customHeight="1">
      <c r="B619" s="4"/>
      <c r="C619" s="4"/>
      <c r="D619" s="4"/>
      <c r="E619" s="4"/>
      <c r="F619" s="4"/>
      <c r="G619" s="4"/>
      <c r="H619" s="4"/>
      <c r="I619" s="4"/>
      <c r="J619" s="4"/>
      <c r="K619" s="4"/>
      <c r="L619" s="4"/>
      <c r="M619" s="4"/>
      <c r="N619" s="4"/>
      <c r="O619" s="4"/>
      <c r="P619" s="4"/>
      <c r="Q619" s="4"/>
      <c r="R619" s="4"/>
      <c r="S619" s="4"/>
      <c r="T619" s="4"/>
    </row>
    <row r="620" ht="15.75" customHeight="1">
      <c r="B620" s="4"/>
      <c r="C620" s="4"/>
      <c r="D620" s="4"/>
      <c r="E620" s="4"/>
      <c r="F620" s="4"/>
      <c r="G620" s="4"/>
      <c r="H620" s="4"/>
      <c r="I620" s="4"/>
      <c r="J620" s="4"/>
      <c r="K620" s="4"/>
      <c r="L620" s="4"/>
      <c r="M620" s="4"/>
      <c r="N620" s="4"/>
      <c r="O620" s="4"/>
      <c r="P620" s="4"/>
      <c r="Q620" s="4"/>
      <c r="R620" s="4"/>
      <c r="S620" s="4"/>
      <c r="T620" s="4"/>
    </row>
    <row r="621" ht="15.75" customHeight="1">
      <c r="B621" s="4"/>
      <c r="C621" s="4"/>
      <c r="D621" s="4"/>
      <c r="E621" s="4"/>
      <c r="F621" s="4"/>
      <c r="G621" s="4"/>
      <c r="H621" s="4"/>
      <c r="I621" s="4"/>
      <c r="J621" s="4"/>
      <c r="K621" s="4"/>
      <c r="L621" s="4"/>
      <c r="M621" s="4"/>
      <c r="N621" s="4"/>
      <c r="O621" s="4"/>
      <c r="P621" s="4"/>
      <c r="Q621" s="4"/>
      <c r="R621" s="4"/>
      <c r="S621" s="4"/>
      <c r="T621" s="4"/>
    </row>
    <row r="622" ht="15.75" customHeight="1">
      <c r="B622" s="4"/>
      <c r="C622" s="4"/>
      <c r="D622" s="4"/>
      <c r="E622" s="4"/>
      <c r="F622" s="4"/>
      <c r="G622" s="4"/>
      <c r="H622" s="4"/>
      <c r="I622" s="4"/>
      <c r="J622" s="4"/>
      <c r="K622" s="4"/>
      <c r="L622" s="4"/>
      <c r="M622" s="4"/>
      <c r="N622" s="4"/>
      <c r="O622" s="4"/>
      <c r="P622" s="4"/>
      <c r="Q622" s="4"/>
      <c r="R622" s="4"/>
      <c r="S622" s="4"/>
      <c r="T622" s="4"/>
    </row>
    <row r="623" ht="15.75" customHeight="1">
      <c r="B623" s="4"/>
      <c r="C623" s="4"/>
      <c r="D623" s="4"/>
      <c r="E623" s="4"/>
      <c r="F623" s="4"/>
      <c r="G623" s="4"/>
      <c r="H623" s="4"/>
      <c r="I623" s="4"/>
      <c r="J623" s="4"/>
      <c r="K623" s="4"/>
      <c r="L623" s="4"/>
      <c r="M623" s="4"/>
      <c r="N623" s="4"/>
      <c r="O623" s="4"/>
      <c r="P623" s="4"/>
      <c r="Q623" s="4"/>
      <c r="R623" s="4"/>
      <c r="S623" s="4"/>
      <c r="T623" s="4"/>
    </row>
    <row r="624" ht="15.75" customHeight="1">
      <c r="B624" s="4"/>
      <c r="C624" s="4"/>
      <c r="D624" s="4"/>
      <c r="E624" s="4"/>
      <c r="F624" s="4"/>
      <c r="G624" s="4"/>
      <c r="H624" s="4"/>
      <c r="I624" s="4"/>
      <c r="J624" s="4"/>
      <c r="K624" s="4"/>
      <c r="L624" s="4"/>
      <c r="M624" s="4"/>
      <c r="N624" s="4"/>
      <c r="O624" s="4"/>
      <c r="P624" s="4"/>
      <c r="Q624" s="4"/>
      <c r="R624" s="4"/>
      <c r="S624" s="4"/>
      <c r="T624" s="4"/>
    </row>
    <row r="625" ht="15.75" customHeight="1">
      <c r="B625" s="4"/>
      <c r="C625" s="4"/>
      <c r="D625" s="4"/>
      <c r="E625" s="4"/>
      <c r="F625" s="4"/>
      <c r="G625" s="4"/>
      <c r="H625" s="4"/>
      <c r="I625" s="4"/>
      <c r="J625" s="4"/>
      <c r="K625" s="4"/>
      <c r="L625" s="4"/>
      <c r="M625" s="4"/>
      <c r="N625" s="4"/>
      <c r="O625" s="4"/>
      <c r="P625" s="4"/>
      <c r="Q625" s="4"/>
      <c r="R625" s="4"/>
      <c r="S625" s="4"/>
      <c r="T625" s="4"/>
    </row>
    <row r="626" ht="15.75" customHeight="1">
      <c r="B626" s="4"/>
      <c r="C626" s="4"/>
      <c r="D626" s="4"/>
      <c r="E626" s="4"/>
      <c r="F626" s="4"/>
      <c r="G626" s="4"/>
      <c r="H626" s="4"/>
      <c r="I626" s="4"/>
      <c r="J626" s="4"/>
      <c r="K626" s="4"/>
      <c r="L626" s="4"/>
      <c r="M626" s="4"/>
      <c r="N626" s="4"/>
      <c r="O626" s="4"/>
      <c r="P626" s="4"/>
      <c r="Q626" s="4"/>
      <c r="R626" s="4"/>
      <c r="S626" s="4"/>
      <c r="T626" s="4"/>
    </row>
    <row r="627" ht="15.75" customHeight="1">
      <c r="B627" s="4"/>
      <c r="C627" s="4"/>
      <c r="D627" s="4"/>
      <c r="E627" s="4"/>
      <c r="F627" s="4"/>
      <c r="G627" s="4"/>
      <c r="H627" s="4"/>
      <c r="I627" s="4"/>
      <c r="J627" s="4"/>
      <c r="K627" s="4"/>
      <c r="L627" s="4"/>
      <c r="M627" s="4"/>
      <c r="N627" s="4"/>
      <c r="O627" s="4"/>
      <c r="P627" s="4"/>
      <c r="Q627" s="4"/>
      <c r="R627" s="4"/>
      <c r="S627" s="4"/>
      <c r="T627" s="4"/>
    </row>
    <row r="628" ht="15.75" customHeight="1">
      <c r="B628" s="4"/>
      <c r="C628" s="4"/>
      <c r="D628" s="4"/>
      <c r="E628" s="4"/>
      <c r="F628" s="4"/>
      <c r="G628" s="4"/>
      <c r="H628" s="4"/>
      <c r="I628" s="4"/>
      <c r="J628" s="4"/>
      <c r="K628" s="4"/>
      <c r="L628" s="4"/>
      <c r="M628" s="4"/>
      <c r="N628" s="4"/>
      <c r="O628" s="4"/>
      <c r="P628" s="4"/>
      <c r="Q628" s="4"/>
      <c r="R628" s="4"/>
      <c r="S628" s="4"/>
      <c r="T628" s="4"/>
    </row>
    <row r="629" ht="15.75" customHeight="1">
      <c r="B629" s="4"/>
      <c r="C629" s="4"/>
      <c r="D629" s="4"/>
      <c r="E629" s="4"/>
      <c r="F629" s="4"/>
      <c r="G629" s="4"/>
      <c r="H629" s="4"/>
      <c r="I629" s="4"/>
      <c r="J629" s="4"/>
      <c r="K629" s="4"/>
      <c r="L629" s="4"/>
      <c r="M629" s="4"/>
      <c r="N629" s="4"/>
      <c r="O629" s="4"/>
      <c r="P629" s="4"/>
      <c r="Q629" s="4"/>
      <c r="R629" s="4"/>
      <c r="S629" s="4"/>
      <c r="T629" s="4"/>
    </row>
    <row r="630" ht="15.75" customHeight="1">
      <c r="B630" s="4"/>
      <c r="C630" s="4"/>
      <c r="D630" s="4"/>
      <c r="E630" s="4"/>
      <c r="F630" s="4"/>
      <c r="G630" s="4"/>
      <c r="H630" s="4"/>
      <c r="I630" s="4"/>
      <c r="J630" s="4"/>
      <c r="K630" s="4"/>
      <c r="L630" s="4"/>
      <c r="M630" s="4"/>
      <c r="N630" s="4"/>
      <c r="O630" s="4"/>
      <c r="P630" s="4"/>
      <c r="Q630" s="4"/>
      <c r="R630" s="4"/>
      <c r="S630" s="4"/>
      <c r="T630" s="4"/>
    </row>
    <row r="631" ht="15.75" customHeight="1">
      <c r="B631" s="4"/>
      <c r="C631" s="4"/>
      <c r="D631" s="4"/>
      <c r="E631" s="4"/>
      <c r="F631" s="4"/>
      <c r="G631" s="4"/>
      <c r="H631" s="4"/>
      <c r="I631" s="4"/>
      <c r="J631" s="4"/>
      <c r="K631" s="4"/>
      <c r="L631" s="4"/>
      <c r="M631" s="4"/>
      <c r="N631" s="4"/>
      <c r="O631" s="4"/>
      <c r="P631" s="4"/>
      <c r="Q631" s="4"/>
      <c r="R631" s="4"/>
      <c r="S631" s="4"/>
      <c r="T631" s="4"/>
    </row>
    <row r="632" ht="15.75" customHeight="1">
      <c r="B632" s="4"/>
      <c r="C632" s="4"/>
      <c r="D632" s="4"/>
      <c r="E632" s="4"/>
      <c r="F632" s="4"/>
      <c r="G632" s="4"/>
      <c r="H632" s="4"/>
      <c r="I632" s="4"/>
      <c r="J632" s="4"/>
      <c r="K632" s="4"/>
      <c r="L632" s="4"/>
      <c r="M632" s="4"/>
      <c r="N632" s="4"/>
      <c r="O632" s="4"/>
      <c r="P632" s="4"/>
      <c r="Q632" s="4"/>
      <c r="R632" s="4"/>
      <c r="S632" s="4"/>
      <c r="T632" s="4"/>
    </row>
    <row r="633" ht="15.75" customHeight="1">
      <c r="B633" s="4"/>
      <c r="C633" s="4"/>
      <c r="D633" s="4"/>
      <c r="E633" s="4"/>
      <c r="F633" s="4"/>
      <c r="G633" s="4"/>
      <c r="H633" s="4"/>
      <c r="I633" s="4"/>
      <c r="J633" s="4"/>
      <c r="K633" s="4"/>
      <c r="L633" s="4"/>
      <c r="M633" s="4"/>
      <c r="N633" s="4"/>
      <c r="O633" s="4"/>
      <c r="P633" s="4"/>
      <c r="Q633" s="4"/>
      <c r="R633" s="4"/>
      <c r="S633" s="4"/>
      <c r="T633" s="4"/>
    </row>
    <row r="634" ht="15.75" customHeight="1">
      <c r="B634" s="4"/>
      <c r="C634" s="4"/>
      <c r="D634" s="4"/>
      <c r="E634" s="4"/>
      <c r="F634" s="4"/>
      <c r="G634" s="4"/>
      <c r="H634" s="4"/>
      <c r="I634" s="4"/>
      <c r="J634" s="4"/>
      <c r="K634" s="4"/>
      <c r="L634" s="4"/>
      <c r="M634" s="4"/>
      <c r="N634" s="4"/>
      <c r="O634" s="4"/>
      <c r="P634" s="4"/>
      <c r="Q634" s="4"/>
      <c r="R634" s="4"/>
      <c r="S634" s="4"/>
      <c r="T634" s="4"/>
    </row>
    <row r="635" ht="15.75" customHeight="1">
      <c r="B635" s="4"/>
      <c r="C635" s="4"/>
      <c r="D635" s="4"/>
      <c r="E635" s="4"/>
      <c r="F635" s="4"/>
      <c r="G635" s="4"/>
      <c r="H635" s="4"/>
      <c r="I635" s="4"/>
      <c r="J635" s="4"/>
      <c r="K635" s="4"/>
      <c r="L635" s="4"/>
      <c r="M635" s="4"/>
      <c r="N635" s="4"/>
      <c r="O635" s="4"/>
      <c r="P635" s="4"/>
      <c r="Q635" s="4"/>
      <c r="R635" s="4"/>
      <c r="S635" s="4"/>
      <c r="T635" s="4"/>
    </row>
    <row r="636" ht="15.75" customHeight="1">
      <c r="B636" s="4"/>
      <c r="C636" s="4"/>
      <c r="D636" s="4"/>
      <c r="E636" s="4"/>
      <c r="F636" s="4"/>
      <c r="G636" s="4"/>
      <c r="H636" s="4"/>
      <c r="I636" s="4"/>
      <c r="J636" s="4"/>
      <c r="K636" s="4"/>
      <c r="L636" s="4"/>
      <c r="M636" s="4"/>
      <c r="N636" s="4"/>
      <c r="O636" s="4"/>
      <c r="P636" s="4"/>
      <c r="Q636" s="4"/>
      <c r="R636" s="4"/>
      <c r="S636" s="4"/>
      <c r="T636" s="4"/>
    </row>
    <row r="637" ht="15.75" customHeight="1">
      <c r="B637" s="4"/>
      <c r="C637" s="4"/>
      <c r="D637" s="4"/>
      <c r="E637" s="4"/>
      <c r="F637" s="4"/>
      <c r="G637" s="4"/>
      <c r="H637" s="4"/>
      <c r="I637" s="4"/>
      <c r="J637" s="4"/>
      <c r="K637" s="4"/>
      <c r="L637" s="4"/>
      <c r="M637" s="4"/>
      <c r="N637" s="4"/>
      <c r="O637" s="4"/>
      <c r="P637" s="4"/>
      <c r="Q637" s="4"/>
      <c r="R637" s="4"/>
      <c r="S637" s="4"/>
      <c r="T637" s="4"/>
    </row>
    <row r="638" ht="15.75" customHeight="1">
      <c r="B638" s="4"/>
      <c r="C638" s="4"/>
      <c r="D638" s="4"/>
      <c r="E638" s="4"/>
      <c r="F638" s="4"/>
      <c r="G638" s="4"/>
      <c r="H638" s="4"/>
      <c r="I638" s="4"/>
      <c r="J638" s="4"/>
      <c r="K638" s="4"/>
      <c r="L638" s="4"/>
      <c r="M638" s="4"/>
      <c r="N638" s="4"/>
      <c r="O638" s="4"/>
      <c r="P638" s="4"/>
      <c r="Q638" s="4"/>
      <c r="R638" s="4"/>
      <c r="S638" s="4"/>
      <c r="T638" s="4"/>
    </row>
    <row r="639" ht="15.75" customHeight="1">
      <c r="B639" s="4"/>
      <c r="C639" s="4"/>
      <c r="D639" s="4"/>
      <c r="E639" s="4"/>
      <c r="F639" s="4"/>
      <c r="G639" s="4"/>
      <c r="H639" s="4"/>
      <c r="I639" s="4"/>
      <c r="J639" s="4"/>
      <c r="K639" s="4"/>
      <c r="L639" s="4"/>
      <c r="M639" s="4"/>
      <c r="N639" s="4"/>
      <c r="O639" s="4"/>
      <c r="P639" s="4"/>
      <c r="Q639" s="4"/>
      <c r="R639" s="4"/>
      <c r="S639" s="4"/>
      <c r="T639" s="4"/>
    </row>
    <row r="640" ht="15.75" customHeight="1">
      <c r="B640" s="4"/>
      <c r="C640" s="4"/>
      <c r="D640" s="4"/>
      <c r="E640" s="4"/>
      <c r="F640" s="4"/>
      <c r="G640" s="4"/>
      <c r="H640" s="4"/>
      <c r="I640" s="4"/>
      <c r="J640" s="4"/>
      <c r="K640" s="4"/>
      <c r="L640" s="4"/>
      <c r="M640" s="4"/>
      <c r="N640" s="4"/>
      <c r="O640" s="4"/>
      <c r="P640" s="4"/>
      <c r="Q640" s="4"/>
      <c r="R640" s="4"/>
      <c r="S640" s="4"/>
      <c r="T640" s="4"/>
    </row>
    <row r="641" ht="15.75" customHeight="1">
      <c r="B641" s="4"/>
      <c r="C641" s="4"/>
      <c r="D641" s="4"/>
      <c r="E641" s="4"/>
      <c r="F641" s="4"/>
      <c r="G641" s="4"/>
      <c r="H641" s="4"/>
      <c r="I641" s="4"/>
      <c r="J641" s="4"/>
      <c r="K641" s="4"/>
      <c r="L641" s="4"/>
      <c r="M641" s="4"/>
      <c r="N641" s="4"/>
      <c r="O641" s="4"/>
      <c r="P641" s="4"/>
      <c r="Q641" s="4"/>
      <c r="R641" s="4"/>
      <c r="S641" s="4"/>
      <c r="T641" s="4"/>
    </row>
    <row r="642" ht="15.75" customHeight="1">
      <c r="B642" s="4"/>
      <c r="C642" s="4"/>
      <c r="D642" s="4"/>
      <c r="E642" s="4"/>
      <c r="F642" s="4"/>
      <c r="G642" s="4"/>
      <c r="H642" s="4"/>
      <c r="I642" s="4"/>
      <c r="J642" s="4"/>
      <c r="K642" s="4"/>
      <c r="L642" s="4"/>
      <c r="M642" s="4"/>
      <c r="N642" s="4"/>
      <c r="O642" s="4"/>
      <c r="P642" s="4"/>
      <c r="Q642" s="4"/>
      <c r="R642" s="4"/>
      <c r="S642" s="4"/>
      <c r="T642" s="4"/>
    </row>
    <row r="643" ht="15.75" customHeight="1">
      <c r="B643" s="4"/>
      <c r="C643" s="4"/>
      <c r="D643" s="4"/>
      <c r="E643" s="4"/>
      <c r="F643" s="4"/>
      <c r="G643" s="4"/>
      <c r="H643" s="4"/>
      <c r="I643" s="4"/>
      <c r="J643" s="4"/>
      <c r="K643" s="4"/>
      <c r="L643" s="4"/>
      <c r="M643" s="4"/>
      <c r="N643" s="4"/>
      <c r="O643" s="4"/>
      <c r="P643" s="4"/>
      <c r="Q643" s="4"/>
      <c r="R643" s="4"/>
      <c r="S643" s="4"/>
      <c r="T643" s="4"/>
    </row>
    <row r="644" ht="15.75" customHeight="1">
      <c r="B644" s="4"/>
      <c r="C644" s="4"/>
      <c r="D644" s="4"/>
      <c r="E644" s="4"/>
      <c r="F644" s="4"/>
      <c r="G644" s="4"/>
      <c r="H644" s="4"/>
      <c r="I644" s="4"/>
      <c r="J644" s="4"/>
      <c r="K644" s="4"/>
      <c r="L644" s="4"/>
      <c r="M644" s="4"/>
      <c r="N644" s="4"/>
      <c r="O644" s="4"/>
      <c r="P644" s="4"/>
      <c r="Q644" s="4"/>
      <c r="R644" s="4"/>
      <c r="S644" s="4"/>
      <c r="T644" s="4"/>
    </row>
    <row r="645" ht="15.75" customHeight="1">
      <c r="B645" s="4"/>
      <c r="C645" s="4"/>
      <c r="D645" s="4"/>
      <c r="E645" s="4"/>
      <c r="F645" s="4"/>
      <c r="G645" s="4"/>
      <c r="H645" s="4"/>
      <c r="I645" s="4"/>
      <c r="J645" s="4"/>
      <c r="K645" s="4"/>
      <c r="L645" s="4"/>
      <c r="M645" s="4"/>
      <c r="N645" s="4"/>
      <c r="O645" s="4"/>
      <c r="P645" s="4"/>
      <c r="Q645" s="4"/>
      <c r="R645" s="4"/>
      <c r="S645" s="4"/>
      <c r="T645" s="4"/>
    </row>
    <row r="646" ht="15.75" customHeight="1">
      <c r="B646" s="4"/>
      <c r="C646" s="4"/>
      <c r="D646" s="4"/>
      <c r="E646" s="4"/>
      <c r="F646" s="4"/>
      <c r="G646" s="4"/>
      <c r="H646" s="4"/>
      <c r="I646" s="4"/>
      <c r="J646" s="4"/>
      <c r="K646" s="4"/>
      <c r="L646" s="4"/>
      <c r="M646" s="4"/>
      <c r="N646" s="4"/>
      <c r="O646" s="4"/>
      <c r="P646" s="4"/>
      <c r="Q646" s="4"/>
      <c r="R646" s="4"/>
      <c r="S646" s="4"/>
      <c r="T646" s="4"/>
    </row>
    <row r="647" ht="15.75" customHeight="1">
      <c r="B647" s="4"/>
      <c r="C647" s="4"/>
      <c r="D647" s="4"/>
      <c r="E647" s="4"/>
      <c r="F647" s="4"/>
      <c r="G647" s="4"/>
      <c r="H647" s="4"/>
      <c r="I647" s="4"/>
      <c r="J647" s="4"/>
      <c r="K647" s="4"/>
      <c r="L647" s="4"/>
      <c r="M647" s="4"/>
      <c r="N647" s="4"/>
      <c r="O647" s="4"/>
      <c r="P647" s="4"/>
      <c r="Q647" s="4"/>
      <c r="R647" s="4"/>
      <c r="S647" s="4"/>
      <c r="T647" s="4"/>
    </row>
    <row r="648" ht="15.75" customHeight="1">
      <c r="B648" s="4"/>
      <c r="C648" s="4"/>
      <c r="D648" s="4"/>
      <c r="E648" s="4"/>
      <c r="F648" s="4"/>
      <c r="G648" s="4"/>
      <c r="H648" s="4"/>
      <c r="I648" s="4"/>
      <c r="J648" s="4"/>
      <c r="K648" s="4"/>
      <c r="L648" s="4"/>
      <c r="M648" s="4"/>
      <c r="N648" s="4"/>
      <c r="O648" s="4"/>
      <c r="P648" s="4"/>
      <c r="Q648" s="4"/>
      <c r="R648" s="4"/>
      <c r="S648" s="4"/>
      <c r="T648" s="4"/>
    </row>
    <row r="649" ht="15.75" customHeight="1">
      <c r="B649" s="4"/>
      <c r="C649" s="4"/>
      <c r="D649" s="4"/>
      <c r="E649" s="4"/>
      <c r="F649" s="4"/>
      <c r="G649" s="4"/>
      <c r="H649" s="4"/>
      <c r="I649" s="4"/>
      <c r="J649" s="4"/>
      <c r="K649" s="4"/>
      <c r="L649" s="4"/>
      <c r="M649" s="4"/>
      <c r="N649" s="4"/>
      <c r="O649" s="4"/>
      <c r="P649" s="4"/>
      <c r="Q649" s="4"/>
      <c r="R649" s="4"/>
      <c r="S649" s="4"/>
      <c r="T649" s="4"/>
    </row>
    <row r="650" ht="15.75" customHeight="1">
      <c r="B650" s="4"/>
      <c r="C650" s="4"/>
      <c r="D650" s="4"/>
      <c r="E650" s="4"/>
      <c r="F650" s="4"/>
      <c r="G650" s="4"/>
      <c r="H650" s="4"/>
      <c r="I650" s="4"/>
      <c r="J650" s="4"/>
      <c r="K650" s="4"/>
      <c r="L650" s="4"/>
      <c r="M650" s="4"/>
      <c r="N650" s="4"/>
      <c r="O650" s="4"/>
      <c r="P650" s="4"/>
      <c r="Q650" s="4"/>
      <c r="R650" s="4"/>
      <c r="S650" s="4"/>
      <c r="T650" s="4"/>
    </row>
    <row r="651" ht="15.75" customHeight="1">
      <c r="B651" s="4"/>
      <c r="C651" s="4"/>
      <c r="D651" s="4"/>
      <c r="E651" s="4"/>
      <c r="F651" s="4"/>
      <c r="G651" s="4"/>
      <c r="H651" s="4"/>
      <c r="I651" s="4"/>
      <c r="J651" s="4"/>
      <c r="K651" s="4"/>
      <c r="L651" s="4"/>
      <c r="M651" s="4"/>
      <c r="N651" s="4"/>
      <c r="O651" s="4"/>
      <c r="P651" s="4"/>
      <c r="Q651" s="4"/>
      <c r="R651" s="4"/>
      <c r="S651" s="4"/>
      <c r="T651" s="4"/>
    </row>
    <row r="652" ht="15.75" customHeight="1">
      <c r="B652" s="4"/>
      <c r="C652" s="4"/>
      <c r="D652" s="4"/>
      <c r="E652" s="4"/>
      <c r="F652" s="4"/>
      <c r="G652" s="4"/>
      <c r="H652" s="4"/>
      <c r="I652" s="4"/>
      <c r="J652" s="4"/>
      <c r="K652" s="4"/>
      <c r="L652" s="4"/>
      <c r="M652" s="4"/>
      <c r="N652" s="4"/>
      <c r="O652" s="4"/>
      <c r="P652" s="4"/>
      <c r="Q652" s="4"/>
      <c r="R652" s="4"/>
      <c r="S652" s="4"/>
      <c r="T652" s="4"/>
    </row>
    <row r="653" ht="15.75" customHeight="1">
      <c r="B653" s="4"/>
      <c r="C653" s="4"/>
      <c r="D653" s="4"/>
      <c r="E653" s="4"/>
      <c r="F653" s="4"/>
      <c r="G653" s="4"/>
      <c r="H653" s="4"/>
      <c r="I653" s="4"/>
      <c r="J653" s="4"/>
      <c r="K653" s="4"/>
      <c r="L653" s="4"/>
      <c r="M653" s="4"/>
      <c r="N653" s="4"/>
      <c r="O653" s="4"/>
      <c r="P653" s="4"/>
      <c r="Q653" s="4"/>
      <c r="R653" s="4"/>
      <c r="S653" s="4"/>
      <c r="T653" s="4"/>
    </row>
    <row r="654" ht="15.75" customHeight="1">
      <c r="B654" s="4"/>
      <c r="C654" s="4"/>
      <c r="D654" s="4"/>
      <c r="E654" s="4"/>
      <c r="F654" s="4"/>
      <c r="G654" s="4"/>
      <c r="H654" s="4"/>
      <c r="I654" s="4"/>
      <c r="J654" s="4"/>
      <c r="K654" s="4"/>
      <c r="L654" s="4"/>
      <c r="M654" s="4"/>
      <c r="N654" s="4"/>
      <c r="O654" s="4"/>
      <c r="P654" s="4"/>
      <c r="Q654" s="4"/>
      <c r="R654" s="4"/>
      <c r="S654" s="4"/>
      <c r="T654" s="4"/>
    </row>
    <row r="655" ht="15.75" customHeight="1">
      <c r="B655" s="4"/>
      <c r="C655" s="4"/>
      <c r="D655" s="4"/>
      <c r="E655" s="4"/>
      <c r="F655" s="4"/>
      <c r="G655" s="4"/>
      <c r="H655" s="4"/>
      <c r="I655" s="4"/>
      <c r="J655" s="4"/>
      <c r="K655" s="4"/>
      <c r="L655" s="4"/>
      <c r="M655" s="4"/>
      <c r="N655" s="4"/>
      <c r="O655" s="4"/>
      <c r="P655" s="4"/>
      <c r="Q655" s="4"/>
      <c r="R655" s="4"/>
      <c r="S655" s="4"/>
      <c r="T655" s="4"/>
    </row>
    <row r="656" ht="15.75" customHeight="1">
      <c r="B656" s="4"/>
      <c r="C656" s="4"/>
      <c r="D656" s="4"/>
      <c r="E656" s="4"/>
      <c r="F656" s="4"/>
      <c r="G656" s="4"/>
      <c r="H656" s="4"/>
      <c r="I656" s="4"/>
      <c r="J656" s="4"/>
      <c r="K656" s="4"/>
      <c r="L656" s="4"/>
      <c r="M656" s="4"/>
      <c r="N656" s="4"/>
      <c r="O656" s="4"/>
      <c r="P656" s="4"/>
      <c r="Q656" s="4"/>
      <c r="R656" s="4"/>
      <c r="S656" s="4"/>
      <c r="T656" s="4"/>
    </row>
    <row r="657" ht="15.75" customHeight="1">
      <c r="B657" s="4"/>
      <c r="C657" s="4"/>
      <c r="D657" s="4"/>
      <c r="E657" s="4"/>
      <c r="F657" s="4"/>
      <c r="G657" s="4"/>
      <c r="H657" s="4"/>
      <c r="I657" s="4"/>
      <c r="J657" s="4"/>
      <c r="K657" s="4"/>
      <c r="L657" s="4"/>
      <c r="M657" s="4"/>
      <c r="N657" s="4"/>
      <c r="O657" s="4"/>
      <c r="P657" s="4"/>
      <c r="Q657" s="4"/>
      <c r="R657" s="4"/>
      <c r="S657" s="4"/>
      <c r="T657" s="4"/>
    </row>
    <row r="658" ht="15.75" customHeight="1">
      <c r="B658" s="4"/>
      <c r="C658" s="4"/>
      <c r="D658" s="4"/>
      <c r="E658" s="4"/>
      <c r="F658" s="4"/>
      <c r="G658" s="4"/>
      <c r="H658" s="4"/>
      <c r="I658" s="4"/>
      <c r="J658" s="4"/>
      <c r="K658" s="4"/>
      <c r="L658" s="4"/>
      <c r="M658" s="4"/>
      <c r="N658" s="4"/>
      <c r="O658" s="4"/>
      <c r="P658" s="4"/>
      <c r="Q658" s="4"/>
      <c r="R658" s="4"/>
      <c r="S658" s="4"/>
      <c r="T658" s="4"/>
    </row>
    <row r="659" ht="15.75" customHeight="1">
      <c r="B659" s="4"/>
      <c r="C659" s="4"/>
      <c r="D659" s="4"/>
      <c r="E659" s="4"/>
      <c r="F659" s="4"/>
      <c r="G659" s="4"/>
      <c r="H659" s="4"/>
      <c r="I659" s="4"/>
      <c r="J659" s="4"/>
      <c r="K659" s="4"/>
      <c r="L659" s="4"/>
      <c r="M659" s="4"/>
      <c r="N659" s="4"/>
      <c r="O659" s="4"/>
      <c r="P659" s="4"/>
      <c r="Q659" s="4"/>
      <c r="R659" s="4"/>
      <c r="S659" s="4"/>
      <c r="T659" s="4"/>
    </row>
    <row r="660" ht="15.75" customHeight="1">
      <c r="B660" s="4"/>
      <c r="C660" s="4"/>
      <c r="D660" s="4"/>
      <c r="E660" s="4"/>
      <c r="F660" s="4"/>
      <c r="G660" s="4"/>
      <c r="H660" s="4"/>
      <c r="I660" s="4"/>
      <c r="J660" s="4"/>
      <c r="K660" s="4"/>
      <c r="L660" s="4"/>
      <c r="M660" s="4"/>
      <c r="N660" s="4"/>
      <c r="O660" s="4"/>
      <c r="P660" s="4"/>
      <c r="Q660" s="4"/>
      <c r="R660" s="4"/>
      <c r="S660" s="4"/>
      <c r="T660" s="4"/>
    </row>
    <row r="661" ht="15.75" customHeight="1">
      <c r="B661" s="4"/>
      <c r="C661" s="4"/>
      <c r="D661" s="4"/>
      <c r="E661" s="4"/>
      <c r="F661" s="4"/>
      <c r="G661" s="4"/>
      <c r="H661" s="4"/>
      <c r="I661" s="4"/>
      <c r="J661" s="4"/>
      <c r="K661" s="4"/>
      <c r="L661" s="4"/>
      <c r="M661" s="4"/>
      <c r="N661" s="4"/>
      <c r="O661" s="4"/>
      <c r="P661" s="4"/>
      <c r="Q661" s="4"/>
      <c r="R661" s="4"/>
      <c r="S661" s="4"/>
      <c r="T661" s="4"/>
    </row>
    <row r="662" ht="15.75" customHeight="1">
      <c r="B662" s="4"/>
      <c r="C662" s="4"/>
      <c r="D662" s="4"/>
      <c r="E662" s="4"/>
      <c r="F662" s="4"/>
      <c r="G662" s="4"/>
      <c r="H662" s="4"/>
      <c r="I662" s="4"/>
      <c r="J662" s="4"/>
      <c r="K662" s="4"/>
      <c r="L662" s="4"/>
      <c r="M662" s="4"/>
      <c r="N662" s="4"/>
      <c r="O662" s="4"/>
      <c r="P662" s="4"/>
      <c r="Q662" s="4"/>
      <c r="R662" s="4"/>
      <c r="S662" s="4"/>
      <c r="T662" s="4"/>
    </row>
    <row r="663" ht="15.75" customHeight="1">
      <c r="B663" s="4"/>
      <c r="C663" s="4"/>
      <c r="D663" s="4"/>
      <c r="E663" s="4"/>
      <c r="F663" s="4"/>
      <c r="G663" s="4"/>
      <c r="H663" s="4"/>
      <c r="I663" s="4"/>
      <c r="J663" s="4"/>
      <c r="K663" s="4"/>
      <c r="L663" s="4"/>
      <c r="M663" s="4"/>
      <c r="N663" s="4"/>
      <c r="O663" s="4"/>
      <c r="P663" s="4"/>
      <c r="Q663" s="4"/>
      <c r="R663" s="4"/>
      <c r="S663" s="4"/>
      <c r="T663" s="4"/>
    </row>
    <row r="664" ht="15.75" customHeight="1">
      <c r="B664" s="4"/>
      <c r="C664" s="4"/>
      <c r="D664" s="4"/>
      <c r="E664" s="4"/>
      <c r="F664" s="4"/>
      <c r="G664" s="4"/>
      <c r="H664" s="4"/>
      <c r="I664" s="4"/>
      <c r="J664" s="4"/>
      <c r="K664" s="4"/>
      <c r="L664" s="4"/>
      <c r="M664" s="4"/>
      <c r="N664" s="4"/>
      <c r="O664" s="4"/>
      <c r="P664" s="4"/>
      <c r="Q664" s="4"/>
      <c r="R664" s="4"/>
      <c r="S664" s="4"/>
      <c r="T664" s="4"/>
    </row>
    <row r="665" ht="15.75" customHeight="1">
      <c r="B665" s="4"/>
      <c r="C665" s="4"/>
      <c r="D665" s="4"/>
      <c r="E665" s="4"/>
      <c r="F665" s="4"/>
      <c r="G665" s="4"/>
      <c r="H665" s="4"/>
      <c r="I665" s="4"/>
      <c r="J665" s="4"/>
      <c r="K665" s="4"/>
      <c r="L665" s="4"/>
      <c r="M665" s="4"/>
      <c r="N665" s="4"/>
      <c r="O665" s="4"/>
      <c r="P665" s="4"/>
      <c r="Q665" s="4"/>
      <c r="R665" s="4"/>
      <c r="S665" s="4"/>
      <c r="T665" s="4"/>
    </row>
    <row r="666" ht="15.75" customHeight="1">
      <c r="B666" s="4"/>
      <c r="C666" s="4"/>
      <c r="D666" s="4"/>
      <c r="E666" s="4"/>
      <c r="F666" s="4"/>
      <c r="G666" s="4"/>
      <c r="H666" s="4"/>
      <c r="I666" s="4"/>
      <c r="J666" s="4"/>
      <c r="K666" s="4"/>
      <c r="L666" s="4"/>
      <c r="M666" s="4"/>
      <c r="N666" s="4"/>
      <c r="O666" s="4"/>
      <c r="P666" s="4"/>
      <c r="Q666" s="4"/>
      <c r="R666" s="4"/>
      <c r="S666" s="4"/>
      <c r="T666" s="4"/>
    </row>
    <row r="667" ht="15.75" customHeight="1">
      <c r="B667" s="4"/>
      <c r="C667" s="4"/>
      <c r="D667" s="4"/>
      <c r="E667" s="4"/>
      <c r="F667" s="4"/>
      <c r="G667" s="4"/>
      <c r="H667" s="4"/>
      <c r="I667" s="4"/>
      <c r="J667" s="4"/>
      <c r="K667" s="4"/>
      <c r="L667" s="4"/>
      <c r="M667" s="4"/>
      <c r="N667" s="4"/>
      <c r="O667" s="4"/>
      <c r="P667" s="4"/>
      <c r="Q667" s="4"/>
      <c r="R667" s="4"/>
      <c r="S667" s="4"/>
      <c r="T667" s="4"/>
    </row>
    <row r="668" ht="15.75" customHeight="1">
      <c r="B668" s="4"/>
      <c r="C668" s="4"/>
      <c r="D668" s="4"/>
      <c r="E668" s="4"/>
      <c r="F668" s="4"/>
      <c r="G668" s="4"/>
      <c r="H668" s="4"/>
      <c r="I668" s="4"/>
      <c r="J668" s="4"/>
      <c r="K668" s="4"/>
      <c r="L668" s="4"/>
      <c r="M668" s="4"/>
      <c r="N668" s="4"/>
      <c r="O668" s="4"/>
      <c r="P668" s="4"/>
      <c r="Q668" s="4"/>
      <c r="R668" s="4"/>
      <c r="S668" s="4"/>
      <c r="T668" s="4"/>
    </row>
    <row r="669" ht="15.75" customHeight="1">
      <c r="B669" s="4"/>
      <c r="C669" s="4"/>
      <c r="D669" s="4"/>
      <c r="E669" s="4"/>
      <c r="F669" s="4"/>
      <c r="G669" s="4"/>
      <c r="H669" s="4"/>
      <c r="I669" s="4"/>
      <c r="J669" s="4"/>
      <c r="K669" s="4"/>
      <c r="L669" s="4"/>
      <c r="M669" s="4"/>
      <c r="N669" s="4"/>
      <c r="O669" s="4"/>
      <c r="P669" s="4"/>
      <c r="Q669" s="4"/>
      <c r="R669" s="4"/>
      <c r="S669" s="4"/>
      <c r="T669" s="4"/>
    </row>
    <row r="670" ht="15.75" customHeight="1">
      <c r="B670" s="4"/>
      <c r="C670" s="4"/>
      <c r="D670" s="4"/>
      <c r="E670" s="4"/>
      <c r="F670" s="4"/>
      <c r="G670" s="4"/>
      <c r="H670" s="4"/>
      <c r="I670" s="4"/>
      <c r="J670" s="4"/>
      <c r="K670" s="4"/>
      <c r="L670" s="4"/>
      <c r="M670" s="4"/>
      <c r="N670" s="4"/>
      <c r="O670" s="4"/>
      <c r="P670" s="4"/>
      <c r="Q670" s="4"/>
      <c r="R670" s="4"/>
      <c r="S670" s="4"/>
      <c r="T670" s="4"/>
    </row>
    <row r="671" ht="15.75" customHeight="1">
      <c r="B671" s="4"/>
      <c r="C671" s="4"/>
      <c r="D671" s="4"/>
      <c r="E671" s="4"/>
      <c r="F671" s="4"/>
      <c r="G671" s="4"/>
      <c r="H671" s="4"/>
      <c r="I671" s="4"/>
      <c r="J671" s="4"/>
      <c r="K671" s="4"/>
      <c r="L671" s="4"/>
      <c r="M671" s="4"/>
      <c r="N671" s="4"/>
      <c r="O671" s="4"/>
      <c r="P671" s="4"/>
      <c r="Q671" s="4"/>
      <c r="R671" s="4"/>
      <c r="S671" s="4"/>
      <c r="T671" s="4"/>
    </row>
    <row r="672" ht="15.75" customHeight="1">
      <c r="B672" s="4"/>
      <c r="C672" s="4"/>
      <c r="D672" s="4"/>
      <c r="E672" s="4"/>
      <c r="F672" s="4"/>
      <c r="G672" s="4"/>
      <c r="H672" s="4"/>
      <c r="I672" s="4"/>
      <c r="J672" s="4"/>
      <c r="K672" s="4"/>
      <c r="L672" s="4"/>
      <c r="M672" s="4"/>
      <c r="N672" s="4"/>
      <c r="O672" s="4"/>
      <c r="P672" s="4"/>
      <c r="Q672" s="4"/>
      <c r="R672" s="4"/>
      <c r="S672" s="4"/>
      <c r="T672" s="4"/>
    </row>
    <row r="673" ht="15.75" customHeight="1">
      <c r="B673" s="4"/>
      <c r="C673" s="4"/>
      <c r="D673" s="4"/>
      <c r="E673" s="4"/>
      <c r="F673" s="4"/>
      <c r="G673" s="4"/>
      <c r="H673" s="4"/>
      <c r="I673" s="4"/>
      <c r="J673" s="4"/>
      <c r="K673" s="4"/>
      <c r="L673" s="4"/>
      <c r="M673" s="4"/>
      <c r="N673" s="4"/>
      <c r="O673" s="4"/>
      <c r="P673" s="4"/>
      <c r="Q673" s="4"/>
      <c r="R673" s="4"/>
      <c r="S673" s="4"/>
      <c r="T673" s="4"/>
    </row>
    <row r="674" ht="15.75" customHeight="1">
      <c r="B674" s="4"/>
      <c r="C674" s="4"/>
      <c r="D674" s="4"/>
      <c r="E674" s="4"/>
      <c r="F674" s="4"/>
      <c r="G674" s="4"/>
      <c r="H674" s="4"/>
      <c r="I674" s="4"/>
      <c r="J674" s="4"/>
      <c r="K674" s="4"/>
      <c r="L674" s="4"/>
      <c r="M674" s="4"/>
      <c r="N674" s="4"/>
      <c r="O674" s="4"/>
      <c r="P674" s="4"/>
      <c r="Q674" s="4"/>
      <c r="R674" s="4"/>
      <c r="S674" s="4"/>
      <c r="T674" s="4"/>
    </row>
    <row r="675" ht="15.75" customHeight="1">
      <c r="B675" s="4"/>
      <c r="C675" s="4"/>
      <c r="D675" s="4"/>
      <c r="E675" s="4"/>
      <c r="F675" s="4"/>
      <c r="G675" s="4"/>
      <c r="H675" s="4"/>
      <c r="I675" s="4"/>
      <c r="J675" s="4"/>
      <c r="K675" s="4"/>
      <c r="L675" s="4"/>
      <c r="M675" s="4"/>
      <c r="N675" s="4"/>
      <c r="O675" s="4"/>
      <c r="P675" s="4"/>
      <c r="Q675" s="4"/>
      <c r="R675" s="4"/>
      <c r="S675" s="4"/>
      <c r="T675" s="4"/>
    </row>
    <row r="676" ht="15.75" customHeight="1">
      <c r="B676" s="4"/>
      <c r="C676" s="4"/>
      <c r="D676" s="4"/>
      <c r="E676" s="4"/>
      <c r="F676" s="4"/>
      <c r="G676" s="4"/>
      <c r="H676" s="4"/>
      <c r="I676" s="4"/>
      <c r="J676" s="4"/>
      <c r="K676" s="4"/>
      <c r="L676" s="4"/>
      <c r="M676" s="4"/>
      <c r="N676" s="4"/>
      <c r="O676" s="4"/>
      <c r="P676" s="4"/>
      <c r="Q676" s="4"/>
      <c r="R676" s="4"/>
      <c r="S676" s="4"/>
      <c r="T676" s="4"/>
    </row>
    <row r="677" ht="15.75" customHeight="1">
      <c r="B677" s="4"/>
      <c r="C677" s="4"/>
      <c r="D677" s="4"/>
      <c r="E677" s="4"/>
      <c r="F677" s="4"/>
      <c r="G677" s="4"/>
      <c r="H677" s="4"/>
      <c r="I677" s="4"/>
      <c r="J677" s="4"/>
      <c r="K677" s="4"/>
      <c r="L677" s="4"/>
      <c r="M677" s="4"/>
      <c r="N677" s="4"/>
      <c r="O677" s="4"/>
      <c r="P677" s="4"/>
      <c r="Q677" s="4"/>
      <c r="R677" s="4"/>
      <c r="S677" s="4"/>
      <c r="T677" s="4"/>
    </row>
    <row r="678" ht="15.75" customHeight="1">
      <c r="B678" s="4"/>
      <c r="C678" s="4"/>
      <c r="D678" s="4"/>
      <c r="E678" s="4"/>
      <c r="F678" s="4"/>
      <c r="G678" s="4"/>
      <c r="H678" s="4"/>
      <c r="I678" s="4"/>
      <c r="J678" s="4"/>
      <c r="K678" s="4"/>
      <c r="L678" s="4"/>
      <c r="M678" s="4"/>
      <c r="N678" s="4"/>
      <c r="O678" s="4"/>
      <c r="P678" s="4"/>
      <c r="Q678" s="4"/>
      <c r="R678" s="4"/>
      <c r="S678" s="4"/>
      <c r="T678" s="4"/>
    </row>
    <row r="679" ht="15.75" customHeight="1">
      <c r="B679" s="4"/>
      <c r="C679" s="4"/>
      <c r="D679" s="4"/>
      <c r="E679" s="4"/>
      <c r="F679" s="4"/>
      <c r="G679" s="4"/>
      <c r="H679" s="4"/>
      <c r="I679" s="4"/>
      <c r="J679" s="4"/>
      <c r="K679" s="4"/>
      <c r="L679" s="4"/>
      <c r="M679" s="4"/>
      <c r="N679" s="4"/>
      <c r="O679" s="4"/>
      <c r="P679" s="4"/>
      <c r="Q679" s="4"/>
      <c r="R679" s="4"/>
      <c r="S679" s="4"/>
      <c r="T679" s="4"/>
    </row>
    <row r="680" ht="15.75" customHeight="1">
      <c r="B680" s="4"/>
      <c r="C680" s="4"/>
      <c r="D680" s="4"/>
      <c r="E680" s="4"/>
      <c r="F680" s="4"/>
      <c r="G680" s="4"/>
      <c r="H680" s="4"/>
      <c r="I680" s="4"/>
      <c r="J680" s="4"/>
      <c r="K680" s="4"/>
      <c r="L680" s="4"/>
      <c r="M680" s="4"/>
      <c r="N680" s="4"/>
      <c r="O680" s="4"/>
      <c r="P680" s="4"/>
      <c r="Q680" s="4"/>
      <c r="R680" s="4"/>
      <c r="S680" s="4"/>
      <c r="T680" s="4"/>
    </row>
    <row r="681" ht="15.75" customHeight="1">
      <c r="B681" s="4"/>
      <c r="C681" s="4"/>
      <c r="D681" s="4"/>
      <c r="E681" s="4"/>
      <c r="F681" s="4"/>
      <c r="G681" s="4"/>
      <c r="H681" s="4"/>
      <c r="I681" s="4"/>
      <c r="J681" s="4"/>
      <c r="K681" s="4"/>
      <c r="L681" s="4"/>
      <c r="M681" s="4"/>
      <c r="N681" s="4"/>
      <c r="O681" s="4"/>
      <c r="P681" s="4"/>
      <c r="Q681" s="4"/>
      <c r="R681" s="4"/>
      <c r="S681" s="4"/>
      <c r="T681" s="4"/>
    </row>
    <row r="682" ht="15.75" customHeight="1">
      <c r="B682" s="4"/>
      <c r="C682" s="4"/>
      <c r="D682" s="4"/>
      <c r="E682" s="4"/>
      <c r="F682" s="4"/>
      <c r="G682" s="4"/>
      <c r="H682" s="4"/>
      <c r="I682" s="4"/>
      <c r="J682" s="4"/>
      <c r="K682" s="4"/>
      <c r="L682" s="4"/>
      <c r="M682" s="4"/>
      <c r="N682" s="4"/>
      <c r="O682" s="4"/>
      <c r="P682" s="4"/>
      <c r="Q682" s="4"/>
      <c r="R682" s="4"/>
      <c r="S682" s="4"/>
      <c r="T682" s="4"/>
    </row>
    <row r="683" ht="15.75" customHeight="1">
      <c r="B683" s="4"/>
      <c r="C683" s="4"/>
      <c r="D683" s="4"/>
      <c r="E683" s="4"/>
      <c r="F683" s="4"/>
      <c r="G683" s="4"/>
      <c r="H683" s="4"/>
      <c r="I683" s="4"/>
      <c r="J683" s="4"/>
      <c r="K683" s="4"/>
      <c r="L683" s="4"/>
      <c r="M683" s="4"/>
      <c r="N683" s="4"/>
      <c r="O683" s="4"/>
      <c r="P683" s="4"/>
      <c r="Q683" s="4"/>
      <c r="R683" s="4"/>
      <c r="S683" s="4"/>
      <c r="T683" s="4"/>
    </row>
    <row r="684" ht="15.75" customHeight="1">
      <c r="B684" s="4"/>
      <c r="C684" s="4"/>
      <c r="D684" s="4"/>
      <c r="E684" s="4"/>
      <c r="F684" s="4"/>
      <c r="G684" s="4"/>
      <c r="H684" s="4"/>
      <c r="I684" s="4"/>
      <c r="J684" s="4"/>
      <c r="K684" s="4"/>
      <c r="L684" s="4"/>
      <c r="M684" s="4"/>
      <c r="N684" s="4"/>
      <c r="O684" s="4"/>
      <c r="P684" s="4"/>
      <c r="Q684" s="4"/>
      <c r="R684" s="4"/>
      <c r="S684" s="4"/>
      <c r="T684" s="4"/>
    </row>
    <row r="685" ht="15.75" customHeight="1">
      <c r="B685" s="4"/>
      <c r="C685" s="4"/>
      <c r="D685" s="4"/>
      <c r="E685" s="4"/>
      <c r="F685" s="4"/>
      <c r="G685" s="4"/>
      <c r="H685" s="4"/>
      <c r="I685" s="4"/>
      <c r="J685" s="4"/>
      <c r="K685" s="4"/>
      <c r="L685" s="4"/>
      <c r="M685" s="4"/>
      <c r="N685" s="4"/>
      <c r="O685" s="4"/>
      <c r="P685" s="4"/>
      <c r="Q685" s="4"/>
      <c r="R685" s="4"/>
      <c r="S685" s="4"/>
      <c r="T685" s="4"/>
    </row>
    <row r="686" ht="15.75" customHeight="1">
      <c r="B686" s="4"/>
      <c r="C686" s="4"/>
      <c r="D686" s="4"/>
      <c r="E686" s="4"/>
      <c r="F686" s="4"/>
      <c r="G686" s="4"/>
      <c r="H686" s="4"/>
      <c r="I686" s="4"/>
      <c r="J686" s="4"/>
      <c r="K686" s="4"/>
      <c r="L686" s="4"/>
      <c r="M686" s="4"/>
      <c r="N686" s="4"/>
      <c r="O686" s="4"/>
      <c r="P686" s="4"/>
      <c r="Q686" s="4"/>
      <c r="R686" s="4"/>
      <c r="S686" s="4"/>
      <c r="T686" s="4"/>
    </row>
    <row r="687" ht="15.75" customHeight="1">
      <c r="B687" s="4"/>
      <c r="C687" s="4"/>
      <c r="D687" s="4"/>
      <c r="E687" s="4"/>
      <c r="F687" s="4"/>
      <c r="G687" s="4"/>
      <c r="H687" s="4"/>
      <c r="I687" s="4"/>
      <c r="J687" s="4"/>
      <c r="K687" s="4"/>
      <c r="L687" s="4"/>
      <c r="M687" s="4"/>
      <c r="N687" s="4"/>
      <c r="O687" s="4"/>
      <c r="P687" s="4"/>
      <c r="Q687" s="4"/>
      <c r="R687" s="4"/>
      <c r="S687" s="4"/>
      <c r="T687" s="4"/>
    </row>
    <row r="688" ht="15.75" customHeight="1">
      <c r="B688" s="4"/>
      <c r="C688" s="4"/>
      <c r="D688" s="4"/>
      <c r="E688" s="4"/>
      <c r="F688" s="4"/>
      <c r="G688" s="4"/>
      <c r="H688" s="4"/>
      <c r="I688" s="4"/>
      <c r="J688" s="4"/>
      <c r="K688" s="4"/>
      <c r="L688" s="4"/>
      <c r="M688" s="4"/>
      <c r="N688" s="4"/>
      <c r="O688" s="4"/>
      <c r="P688" s="4"/>
      <c r="Q688" s="4"/>
      <c r="R688" s="4"/>
      <c r="S688" s="4"/>
      <c r="T688" s="4"/>
    </row>
    <row r="689" ht="15.75" customHeight="1">
      <c r="B689" s="4"/>
      <c r="C689" s="4"/>
      <c r="D689" s="4"/>
      <c r="E689" s="4"/>
      <c r="F689" s="4"/>
      <c r="G689" s="4"/>
      <c r="H689" s="4"/>
      <c r="I689" s="4"/>
      <c r="J689" s="4"/>
      <c r="K689" s="4"/>
      <c r="L689" s="4"/>
      <c r="M689" s="4"/>
      <c r="N689" s="4"/>
      <c r="O689" s="4"/>
      <c r="P689" s="4"/>
      <c r="Q689" s="4"/>
      <c r="R689" s="4"/>
      <c r="S689" s="4"/>
      <c r="T689" s="4"/>
    </row>
    <row r="690" ht="15.75" customHeight="1">
      <c r="B690" s="4"/>
      <c r="C690" s="4"/>
      <c r="D690" s="4"/>
      <c r="E690" s="4"/>
      <c r="F690" s="4"/>
      <c r="G690" s="4"/>
      <c r="H690" s="4"/>
      <c r="I690" s="4"/>
      <c r="J690" s="4"/>
      <c r="K690" s="4"/>
      <c r="L690" s="4"/>
      <c r="M690" s="4"/>
      <c r="N690" s="4"/>
      <c r="O690" s="4"/>
      <c r="P690" s="4"/>
      <c r="Q690" s="4"/>
      <c r="R690" s="4"/>
      <c r="S690" s="4"/>
      <c r="T690" s="4"/>
    </row>
    <row r="691" ht="15.75" customHeight="1">
      <c r="B691" s="4"/>
      <c r="C691" s="4"/>
      <c r="D691" s="4"/>
      <c r="E691" s="4"/>
      <c r="F691" s="4"/>
      <c r="G691" s="4"/>
      <c r="H691" s="4"/>
      <c r="I691" s="4"/>
      <c r="J691" s="4"/>
      <c r="K691" s="4"/>
      <c r="L691" s="4"/>
      <c r="M691" s="4"/>
      <c r="N691" s="4"/>
      <c r="O691" s="4"/>
      <c r="P691" s="4"/>
      <c r="Q691" s="4"/>
      <c r="R691" s="4"/>
      <c r="S691" s="4"/>
      <c r="T691" s="4"/>
    </row>
    <row r="692" ht="15.75" customHeight="1">
      <c r="B692" s="4"/>
      <c r="C692" s="4"/>
      <c r="D692" s="4"/>
      <c r="E692" s="4"/>
      <c r="F692" s="4"/>
      <c r="G692" s="4"/>
      <c r="H692" s="4"/>
      <c r="I692" s="4"/>
      <c r="J692" s="4"/>
      <c r="K692" s="4"/>
      <c r="L692" s="4"/>
      <c r="M692" s="4"/>
      <c r="N692" s="4"/>
      <c r="O692" s="4"/>
      <c r="P692" s="4"/>
      <c r="Q692" s="4"/>
      <c r="R692" s="4"/>
      <c r="S692" s="4"/>
      <c r="T692" s="4"/>
    </row>
    <row r="693" ht="15.75" customHeight="1">
      <c r="B693" s="4"/>
      <c r="C693" s="4"/>
      <c r="D693" s="4"/>
      <c r="E693" s="4"/>
      <c r="F693" s="4"/>
      <c r="G693" s="4"/>
      <c r="H693" s="4"/>
      <c r="I693" s="4"/>
      <c r="J693" s="4"/>
      <c r="K693" s="4"/>
      <c r="L693" s="4"/>
      <c r="M693" s="4"/>
      <c r="N693" s="4"/>
      <c r="O693" s="4"/>
      <c r="P693" s="4"/>
      <c r="Q693" s="4"/>
      <c r="R693" s="4"/>
      <c r="S693" s="4"/>
      <c r="T693" s="4"/>
    </row>
    <row r="694" ht="15.75" customHeight="1">
      <c r="B694" s="4"/>
      <c r="C694" s="4"/>
      <c r="D694" s="4"/>
      <c r="E694" s="4"/>
      <c r="F694" s="4"/>
      <c r="G694" s="4"/>
      <c r="H694" s="4"/>
      <c r="I694" s="4"/>
      <c r="J694" s="4"/>
      <c r="K694" s="4"/>
      <c r="L694" s="4"/>
      <c r="M694" s="4"/>
      <c r="N694" s="4"/>
      <c r="O694" s="4"/>
      <c r="P694" s="4"/>
      <c r="Q694" s="4"/>
      <c r="R694" s="4"/>
      <c r="S694" s="4"/>
      <c r="T694" s="4"/>
    </row>
    <row r="695" ht="15.75" customHeight="1">
      <c r="B695" s="4"/>
      <c r="C695" s="4"/>
      <c r="D695" s="4"/>
      <c r="E695" s="4"/>
      <c r="F695" s="4"/>
      <c r="G695" s="4"/>
      <c r="H695" s="4"/>
      <c r="I695" s="4"/>
      <c r="J695" s="4"/>
      <c r="K695" s="4"/>
      <c r="L695" s="4"/>
      <c r="M695" s="4"/>
      <c r="N695" s="4"/>
      <c r="O695" s="4"/>
      <c r="P695" s="4"/>
      <c r="Q695" s="4"/>
      <c r="R695" s="4"/>
      <c r="S695" s="4"/>
      <c r="T695" s="4"/>
    </row>
    <row r="696" ht="15.75" customHeight="1">
      <c r="B696" s="4"/>
      <c r="C696" s="4"/>
      <c r="D696" s="4"/>
      <c r="E696" s="4"/>
      <c r="F696" s="4"/>
      <c r="G696" s="4"/>
      <c r="H696" s="4"/>
      <c r="I696" s="4"/>
      <c r="J696" s="4"/>
      <c r="K696" s="4"/>
      <c r="L696" s="4"/>
      <c r="M696" s="4"/>
      <c r="N696" s="4"/>
      <c r="O696" s="4"/>
      <c r="P696" s="4"/>
      <c r="Q696" s="4"/>
      <c r="R696" s="4"/>
      <c r="S696" s="4"/>
      <c r="T696" s="4"/>
    </row>
    <row r="697" ht="15.75" customHeight="1">
      <c r="B697" s="4"/>
      <c r="C697" s="4"/>
      <c r="D697" s="4"/>
      <c r="E697" s="4"/>
      <c r="F697" s="4"/>
      <c r="G697" s="4"/>
      <c r="H697" s="4"/>
      <c r="I697" s="4"/>
      <c r="J697" s="4"/>
      <c r="K697" s="4"/>
      <c r="L697" s="4"/>
      <c r="M697" s="4"/>
      <c r="N697" s="4"/>
      <c r="O697" s="4"/>
      <c r="P697" s="4"/>
      <c r="Q697" s="4"/>
      <c r="R697" s="4"/>
      <c r="S697" s="4"/>
      <c r="T697" s="4"/>
    </row>
    <row r="698" ht="15.75" customHeight="1">
      <c r="B698" s="4"/>
      <c r="C698" s="4"/>
      <c r="D698" s="4"/>
      <c r="E698" s="4"/>
      <c r="F698" s="4"/>
      <c r="G698" s="4"/>
      <c r="H698" s="4"/>
      <c r="I698" s="4"/>
      <c r="J698" s="4"/>
      <c r="K698" s="4"/>
      <c r="L698" s="4"/>
      <c r="M698" s="4"/>
      <c r="N698" s="4"/>
      <c r="O698" s="4"/>
      <c r="P698" s="4"/>
      <c r="Q698" s="4"/>
      <c r="R698" s="4"/>
      <c r="S698" s="4"/>
      <c r="T698" s="4"/>
    </row>
    <row r="699" ht="15.75" customHeight="1">
      <c r="B699" s="4"/>
      <c r="C699" s="4"/>
      <c r="D699" s="4"/>
      <c r="E699" s="4"/>
      <c r="F699" s="4"/>
      <c r="G699" s="4"/>
      <c r="H699" s="4"/>
      <c r="I699" s="4"/>
      <c r="J699" s="4"/>
      <c r="K699" s="4"/>
      <c r="L699" s="4"/>
      <c r="M699" s="4"/>
      <c r="N699" s="4"/>
      <c r="O699" s="4"/>
      <c r="P699" s="4"/>
      <c r="Q699" s="4"/>
      <c r="R699" s="4"/>
      <c r="S699" s="4"/>
      <c r="T699" s="4"/>
    </row>
    <row r="700" ht="15.75" customHeight="1">
      <c r="B700" s="4"/>
      <c r="C700" s="4"/>
      <c r="D700" s="4"/>
      <c r="E700" s="4"/>
      <c r="F700" s="4"/>
      <c r="G700" s="4"/>
      <c r="H700" s="4"/>
      <c r="I700" s="4"/>
      <c r="J700" s="4"/>
      <c r="K700" s="4"/>
      <c r="L700" s="4"/>
      <c r="M700" s="4"/>
      <c r="N700" s="4"/>
      <c r="O700" s="4"/>
      <c r="P700" s="4"/>
      <c r="Q700" s="4"/>
      <c r="R700" s="4"/>
      <c r="S700" s="4"/>
      <c r="T700" s="4"/>
    </row>
    <row r="701" ht="15.75" customHeight="1">
      <c r="B701" s="4"/>
      <c r="C701" s="4"/>
      <c r="D701" s="4"/>
      <c r="E701" s="4"/>
      <c r="F701" s="4"/>
      <c r="G701" s="4"/>
      <c r="H701" s="4"/>
      <c r="I701" s="4"/>
      <c r="J701" s="4"/>
      <c r="K701" s="4"/>
      <c r="L701" s="4"/>
      <c r="M701" s="4"/>
      <c r="N701" s="4"/>
      <c r="O701" s="4"/>
      <c r="P701" s="4"/>
      <c r="Q701" s="4"/>
      <c r="R701" s="4"/>
      <c r="S701" s="4"/>
      <c r="T701" s="4"/>
    </row>
    <row r="702" ht="15.75" customHeight="1">
      <c r="B702" s="4"/>
      <c r="C702" s="4"/>
      <c r="D702" s="4"/>
      <c r="E702" s="4"/>
      <c r="F702" s="4"/>
      <c r="G702" s="4"/>
      <c r="H702" s="4"/>
      <c r="I702" s="4"/>
      <c r="J702" s="4"/>
      <c r="K702" s="4"/>
      <c r="L702" s="4"/>
      <c r="M702" s="4"/>
      <c r="N702" s="4"/>
      <c r="O702" s="4"/>
      <c r="P702" s="4"/>
      <c r="Q702" s="4"/>
      <c r="R702" s="4"/>
      <c r="S702" s="4"/>
      <c r="T702" s="4"/>
    </row>
    <row r="703" ht="15.75" customHeight="1">
      <c r="B703" s="4"/>
      <c r="C703" s="4"/>
      <c r="D703" s="4"/>
      <c r="E703" s="4"/>
      <c r="F703" s="4"/>
      <c r="G703" s="4"/>
      <c r="H703" s="4"/>
      <c r="I703" s="4"/>
      <c r="J703" s="4"/>
      <c r="K703" s="4"/>
      <c r="L703" s="4"/>
      <c r="M703" s="4"/>
      <c r="N703" s="4"/>
      <c r="O703" s="4"/>
      <c r="P703" s="4"/>
      <c r="Q703" s="4"/>
      <c r="R703" s="4"/>
      <c r="S703" s="4"/>
      <c r="T703" s="4"/>
    </row>
    <row r="704" ht="15.75" customHeight="1">
      <c r="B704" s="4"/>
      <c r="C704" s="4"/>
      <c r="D704" s="4"/>
      <c r="E704" s="4"/>
      <c r="F704" s="4"/>
      <c r="G704" s="4"/>
      <c r="H704" s="4"/>
      <c r="I704" s="4"/>
      <c r="J704" s="4"/>
      <c r="K704" s="4"/>
      <c r="L704" s="4"/>
      <c r="M704" s="4"/>
      <c r="N704" s="4"/>
      <c r="O704" s="4"/>
      <c r="P704" s="4"/>
      <c r="Q704" s="4"/>
      <c r="R704" s="4"/>
      <c r="S704" s="4"/>
      <c r="T704" s="4"/>
    </row>
    <row r="705" ht="15.75" customHeight="1">
      <c r="B705" s="4"/>
      <c r="C705" s="4"/>
      <c r="D705" s="4"/>
      <c r="E705" s="4"/>
      <c r="F705" s="4"/>
      <c r="G705" s="4"/>
      <c r="H705" s="4"/>
      <c r="I705" s="4"/>
      <c r="J705" s="4"/>
      <c r="K705" s="4"/>
      <c r="L705" s="4"/>
      <c r="M705" s="4"/>
      <c r="N705" s="4"/>
      <c r="O705" s="4"/>
      <c r="P705" s="4"/>
      <c r="Q705" s="4"/>
      <c r="R705" s="4"/>
      <c r="S705" s="4"/>
      <c r="T705" s="4"/>
    </row>
    <row r="706" ht="15.75" customHeight="1">
      <c r="B706" s="4"/>
      <c r="C706" s="4"/>
      <c r="D706" s="4"/>
      <c r="E706" s="4"/>
      <c r="F706" s="4"/>
      <c r="G706" s="4"/>
      <c r="H706" s="4"/>
      <c r="I706" s="4"/>
      <c r="J706" s="4"/>
      <c r="K706" s="4"/>
      <c r="L706" s="4"/>
      <c r="M706" s="4"/>
      <c r="N706" s="4"/>
      <c r="O706" s="4"/>
      <c r="P706" s="4"/>
      <c r="Q706" s="4"/>
      <c r="R706" s="4"/>
      <c r="S706" s="4"/>
      <c r="T706" s="4"/>
    </row>
    <row r="707" ht="15.75" customHeight="1">
      <c r="B707" s="4"/>
      <c r="C707" s="4"/>
      <c r="D707" s="4"/>
      <c r="E707" s="4"/>
      <c r="F707" s="4"/>
      <c r="G707" s="4"/>
      <c r="H707" s="4"/>
      <c r="I707" s="4"/>
      <c r="J707" s="4"/>
      <c r="K707" s="4"/>
      <c r="L707" s="4"/>
      <c r="M707" s="4"/>
      <c r="N707" s="4"/>
      <c r="O707" s="4"/>
      <c r="P707" s="4"/>
      <c r="Q707" s="4"/>
      <c r="R707" s="4"/>
      <c r="S707" s="4"/>
      <c r="T707" s="4"/>
    </row>
    <row r="708" ht="15.75" customHeight="1">
      <c r="B708" s="4"/>
      <c r="C708" s="4"/>
      <c r="D708" s="4"/>
      <c r="E708" s="4"/>
      <c r="F708" s="4"/>
      <c r="G708" s="4"/>
      <c r="H708" s="4"/>
      <c r="I708" s="4"/>
      <c r="J708" s="4"/>
      <c r="K708" s="4"/>
      <c r="L708" s="4"/>
      <c r="M708" s="4"/>
      <c r="N708" s="4"/>
      <c r="O708" s="4"/>
      <c r="P708" s="4"/>
      <c r="Q708" s="4"/>
      <c r="R708" s="4"/>
      <c r="S708" s="4"/>
      <c r="T708" s="4"/>
    </row>
    <row r="709" ht="15.75" customHeight="1">
      <c r="B709" s="4"/>
      <c r="C709" s="4"/>
      <c r="D709" s="4"/>
      <c r="E709" s="4"/>
      <c r="F709" s="4"/>
      <c r="G709" s="4"/>
      <c r="H709" s="4"/>
      <c r="I709" s="4"/>
      <c r="J709" s="4"/>
      <c r="K709" s="4"/>
      <c r="L709" s="4"/>
      <c r="M709" s="4"/>
      <c r="N709" s="4"/>
      <c r="O709" s="4"/>
      <c r="P709" s="4"/>
      <c r="Q709" s="4"/>
      <c r="R709" s="4"/>
      <c r="S709" s="4"/>
      <c r="T709" s="4"/>
    </row>
    <row r="710" ht="15.75" customHeight="1">
      <c r="B710" s="4"/>
      <c r="C710" s="4"/>
      <c r="D710" s="4"/>
      <c r="E710" s="4"/>
      <c r="F710" s="4"/>
      <c r="G710" s="4"/>
      <c r="H710" s="4"/>
      <c r="I710" s="4"/>
      <c r="J710" s="4"/>
      <c r="K710" s="4"/>
      <c r="L710" s="4"/>
      <c r="M710" s="4"/>
      <c r="N710" s="4"/>
      <c r="O710" s="4"/>
      <c r="P710" s="4"/>
      <c r="Q710" s="4"/>
      <c r="R710" s="4"/>
      <c r="S710" s="4"/>
      <c r="T710" s="4"/>
    </row>
    <row r="711" ht="15.75" customHeight="1">
      <c r="B711" s="4"/>
      <c r="C711" s="4"/>
      <c r="D711" s="4"/>
      <c r="E711" s="4"/>
      <c r="F711" s="4"/>
      <c r="G711" s="4"/>
      <c r="H711" s="4"/>
      <c r="I711" s="4"/>
      <c r="J711" s="4"/>
      <c r="K711" s="4"/>
      <c r="L711" s="4"/>
      <c r="M711" s="4"/>
      <c r="N711" s="4"/>
      <c r="O711" s="4"/>
      <c r="P711" s="4"/>
      <c r="Q711" s="4"/>
      <c r="R711" s="4"/>
      <c r="S711" s="4"/>
      <c r="T711" s="4"/>
    </row>
    <row r="712" ht="15.75" customHeight="1">
      <c r="B712" s="4"/>
      <c r="C712" s="4"/>
      <c r="D712" s="4"/>
      <c r="E712" s="4"/>
      <c r="F712" s="4"/>
      <c r="G712" s="4"/>
      <c r="H712" s="4"/>
      <c r="I712" s="4"/>
      <c r="J712" s="4"/>
      <c r="K712" s="4"/>
      <c r="L712" s="4"/>
      <c r="M712" s="4"/>
      <c r="N712" s="4"/>
      <c r="O712" s="4"/>
      <c r="P712" s="4"/>
      <c r="Q712" s="4"/>
      <c r="R712" s="4"/>
      <c r="S712" s="4"/>
      <c r="T712" s="4"/>
    </row>
    <row r="713" ht="15.75" customHeight="1">
      <c r="B713" s="4"/>
      <c r="C713" s="4"/>
      <c r="D713" s="4"/>
      <c r="E713" s="4"/>
      <c r="F713" s="4"/>
      <c r="G713" s="4"/>
      <c r="H713" s="4"/>
      <c r="I713" s="4"/>
      <c r="J713" s="4"/>
      <c r="K713" s="4"/>
      <c r="L713" s="4"/>
      <c r="M713" s="4"/>
      <c r="N713" s="4"/>
      <c r="O713" s="4"/>
      <c r="P713" s="4"/>
      <c r="Q713" s="4"/>
      <c r="R713" s="4"/>
      <c r="S713" s="4"/>
      <c r="T713" s="4"/>
    </row>
    <row r="714" ht="15.75" customHeight="1">
      <c r="B714" s="4"/>
      <c r="C714" s="4"/>
      <c r="D714" s="4"/>
      <c r="E714" s="4"/>
      <c r="F714" s="4"/>
      <c r="G714" s="4"/>
      <c r="H714" s="4"/>
      <c r="I714" s="4"/>
      <c r="J714" s="4"/>
      <c r="K714" s="4"/>
      <c r="L714" s="4"/>
      <c r="M714" s="4"/>
      <c r="N714" s="4"/>
      <c r="O714" s="4"/>
      <c r="P714" s="4"/>
      <c r="Q714" s="4"/>
      <c r="R714" s="4"/>
      <c r="S714" s="4"/>
      <c r="T714" s="4"/>
    </row>
    <row r="715" ht="15.75" customHeight="1">
      <c r="B715" s="4"/>
      <c r="C715" s="4"/>
      <c r="D715" s="4"/>
      <c r="E715" s="4"/>
      <c r="F715" s="4"/>
      <c r="G715" s="4"/>
      <c r="H715" s="4"/>
      <c r="I715" s="4"/>
      <c r="J715" s="4"/>
      <c r="K715" s="4"/>
      <c r="L715" s="4"/>
      <c r="M715" s="4"/>
      <c r="N715" s="4"/>
      <c r="O715" s="4"/>
      <c r="P715" s="4"/>
      <c r="Q715" s="4"/>
      <c r="R715" s="4"/>
      <c r="S715" s="4"/>
      <c r="T715" s="4"/>
    </row>
    <row r="716" ht="15.75" customHeight="1">
      <c r="B716" s="4"/>
      <c r="C716" s="4"/>
      <c r="D716" s="4"/>
      <c r="E716" s="4"/>
      <c r="F716" s="4"/>
      <c r="G716" s="4"/>
      <c r="H716" s="4"/>
      <c r="I716" s="4"/>
      <c r="J716" s="4"/>
      <c r="K716" s="4"/>
      <c r="L716" s="4"/>
      <c r="M716" s="4"/>
      <c r="N716" s="4"/>
      <c r="O716" s="4"/>
      <c r="P716" s="4"/>
      <c r="Q716" s="4"/>
      <c r="R716" s="4"/>
      <c r="S716" s="4"/>
      <c r="T716" s="4"/>
    </row>
    <row r="717" ht="15.75" customHeight="1">
      <c r="B717" s="4"/>
      <c r="C717" s="4"/>
      <c r="D717" s="4"/>
      <c r="E717" s="4"/>
      <c r="F717" s="4"/>
      <c r="G717" s="4"/>
      <c r="H717" s="4"/>
      <c r="I717" s="4"/>
      <c r="J717" s="4"/>
      <c r="K717" s="4"/>
      <c r="L717" s="4"/>
      <c r="M717" s="4"/>
      <c r="N717" s="4"/>
      <c r="O717" s="4"/>
      <c r="P717" s="4"/>
      <c r="Q717" s="4"/>
      <c r="R717" s="4"/>
      <c r="S717" s="4"/>
      <c r="T717" s="4"/>
    </row>
    <row r="718" ht="15.75" customHeight="1">
      <c r="B718" s="4"/>
      <c r="C718" s="4"/>
      <c r="D718" s="4"/>
      <c r="E718" s="4"/>
      <c r="F718" s="4"/>
      <c r="G718" s="4"/>
      <c r="H718" s="4"/>
      <c r="I718" s="4"/>
      <c r="J718" s="4"/>
      <c r="K718" s="4"/>
      <c r="L718" s="4"/>
      <c r="M718" s="4"/>
      <c r="N718" s="4"/>
      <c r="O718" s="4"/>
      <c r="P718" s="4"/>
      <c r="Q718" s="4"/>
      <c r="R718" s="4"/>
      <c r="S718" s="4"/>
      <c r="T718" s="4"/>
    </row>
    <row r="719" ht="15.75" customHeight="1">
      <c r="B719" s="4"/>
      <c r="C719" s="4"/>
      <c r="D719" s="4"/>
      <c r="E719" s="4"/>
      <c r="F719" s="4"/>
      <c r="G719" s="4"/>
      <c r="H719" s="4"/>
      <c r="I719" s="4"/>
      <c r="J719" s="4"/>
      <c r="K719" s="4"/>
      <c r="L719" s="4"/>
      <c r="M719" s="4"/>
      <c r="N719" s="4"/>
      <c r="O719" s="4"/>
      <c r="P719" s="4"/>
      <c r="Q719" s="4"/>
      <c r="R719" s="4"/>
      <c r="S719" s="4"/>
      <c r="T719" s="4"/>
    </row>
    <row r="720" ht="15.75" customHeight="1">
      <c r="B720" s="4"/>
      <c r="C720" s="4"/>
      <c r="D720" s="4"/>
      <c r="E720" s="4"/>
      <c r="F720" s="4"/>
      <c r="G720" s="4"/>
      <c r="H720" s="4"/>
      <c r="I720" s="4"/>
      <c r="J720" s="4"/>
      <c r="K720" s="4"/>
      <c r="L720" s="4"/>
      <c r="M720" s="4"/>
      <c r="N720" s="4"/>
      <c r="O720" s="4"/>
      <c r="P720" s="4"/>
      <c r="Q720" s="4"/>
      <c r="R720" s="4"/>
      <c r="S720" s="4"/>
      <c r="T720" s="4"/>
    </row>
    <row r="721" ht="15.75" customHeight="1">
      <c r="B721" s="4"/>
      <c r="C721" s="4"/>
      <c r="D721" s="4"/>
      <c r="E721" s="4"/>
      <c r="F721" s="4"/>
      <c r="G721" s="4"/>
      <c r="H721" s="4"/>
      <c r="I721" s="4"/>
      <c r="J721" s="4"/>
      <c r="K721" s="4"/>
      <c r="L721" s="4"/>
      <c r="M721" s="4"/>
      <c r="N721" s="4"/>
      <c r="O721" s="4"/>
      <c r="P721" s="4"/>
      <c r="Q721" s="4"/>
      <c r="R721" s="4"/>
      <c r="S721" s="4"/>
      <c r="T721" s="4"/>
    </row>
    <row r="722" ht="15.75" customHeight="1">
      <c r="B722" s="4"/>
      <c r="C722" s="4"/>
      <c r="D722" s="4"/>
      <c r="E722" s="4"/>
      <c r="F722" s="4"/>
      <c r="G722" s="4"/>
      <c r="H722" s="4"/>
      <c r="I722" s="4"/>
      <c r="J722" s="4"/>
      <c r="K722" s="4"/>
      <c r="L722" s="4"/>
      <c r="M722" s="4"/>
      <c r="N722" s="4"/>
      <c r="O722" s="4"/>
      <c r="P722" s="4"/>
      <c r="Q722" s="4"/>
      <c r="R722" s="4"/>
      <c r="S722" s="4"/>
      <c r="T722" s="4"/>
    </row>
    <row r="723" ht="15.75" customHeight="1">
      <c r="B723" s="4"/>
      <c r="C723" s="4"/>
      <c r="D723" s="4"/>
      <c r="E723" s="4"/>
      <c r="F723" s="4"/>
      <c r="G723" s="4"/>
      <c r="H723" s="4"/>
      <c r="I723" s="4"/>
      <c r="J723" s="4"/>
      <c r="K723" s="4"/>
      <c r="L723" s="4"/>
      <c r="M723" s="4"/>
      <c r="N723" s="4"/>
      <c r="O723" s="4"/>
      <c r="P723" s="4"/>
      <c r="Q723" s="4"/>
      <c r="R723" s="4"/>
      <c r="S723" s="4"/>
      <c r="T723" s="4"/>
    </row>
    <row r="724" ht="15.75" customHeight="1">
      <c r="B724" s="4"/>
      <c r="C724" s="4"/>
      <c r="D724" s="4"/>
      <c r="E724" s="4"/>
      <c r="F724" s="4"/>
      <c r="G724" s="4"/>
      <c r="H724" s="4"/>
      <c r="I724" s="4"/>
      <c r="J724" s="4"/>
      <c r="K724" s="4"/>
      <c r="L724" s="4"/>
      <c r="M724" s="4"/>
      <c r="N724" s="4"/>
      <c r="O724" s="4"/>
      <c r="P724" s="4"/>
      <c r="Q724" s="4"/>
      <c r="R724" s="4"/>
      <c r="S724" s="4"/>
      <c r="T724" s="4"/>
    </row>
    <row r="725" ht="15.75" customHeight="1">
      <c r="B725" s="4"/>
      <c r="C725" s="4"/>
      <c r="D725" s="4"/>
      <c r="E725" s="4"/>
      <c r="F725" s="4"/>
      <c r="G725" s="4"/>
      <c r="H725" s="4"/>
      <c r="I725" s="4"/>
      <c r="J725" s="4"/>
      <c r="K725" s="4"/>
      <c r="L725" s="4"/>
      <c r="M725" s="4"/>
      <c r="N725" s="4"/>
      <c r="O725" s="4"/>
      <c r="P725" s="4"/>
      <c r="Q725" s="4"/>
      <c r="R725" s="4"/>
      <c r="S725" s="4"/>
      <c r="T725" s="4"/>
    </row>
    <row r="726" ht="15.75" customHeight="1">
      <c r="B726" s="4"/>
      <c r="C726" s="4"/>
      <c r="D726" s="4"/>
      <c r="E726" s="4"/>
      <c r="F726" s="4"/>
      <c r="G726" s="4"/>
      <c r="H726" s="4"/>
      <c r="I726" s="4"/>
      <c r="J726" s="4"/>
      <c r="K726" s="4"/>
      <c r="L726" s="4"/>
      <c r="M726" s="4"/>
      <c r="N726" s="4"/>
      <c r="O726" s="4"/>
      <c r="P726" s="4"/>
      <c r="Q726" s="4"/>
      <c r="R726" s="4"/>
      <c r="S726" s="4"/>
      <c r="T726" s="4"/>
    </row>
    <row r="727" ht="15.75" customHeight="1">
      <c r="B727" s="4"/>
      <c r="C727" s="4"/>
      <c r="D727" s="4"/>
      <c r="E727" s="4"/>
      <c r="F727" s="4"/>
      <c r="G727" s="4"/>
      <c r="H727" s="4"/>
      <c r="I727" s="4"/>
      <c r="J727" s="4"/>
      <c r="K727" s="4"/>
      <c r="L727" s="4"/>
      <c r="M727" s="4"/>
      <c r="N727" s="4"/>
      <c r="O727" s="4"/>
      <c r="P727" s="4"/>
      <c r="Q727" s="4"/>
      <c r="R727" s="4"/>
      <c r="S727" s="4"/>
      <c r="T727" s="4"/>
    </row>
    <row r="728" ht="15.75" customHeight="1">
      <c r="B728" s="4"/>
      <c r="C728" s="4"/>
      <c r="D728" s="4"/>
      <c r="E728" s="4"/>
      <c r="F728" s="4"/>
      <c r="G728" s="4"/>
      <c r="H728" s="4"/>
      <c r="I728" s="4"/>
      <c r="J728" s="4"/>
      <c r="K728" s="4"/>
      <c r="L728" s="4"/>
      <c r="M728" s="4"/>
      <c r="N728" s="4"/>
      <c r="O728" s="4"/>
      <c r="P728" s="4"/>
      <c r="Q728" s="4"/>
      <c r="R728" s="4"/>
      <c r="S728" s="4"/>
      <c r="T728" s="4"/>
    </row>
    <row r="729" ht="15.75" customHeight="1">
      <c r="B729" s="4"/>
      <c r="C729" s="4"/>
      <c r="D729" s="4"/>
      <c r="E729" s="4"/>
      <c r="F729" s="4"/>
      <c r="G729" s="4"/>
      <c r="H729" s="4"/>
      <c r="I729" s="4"/>
      <c r="J729" s="4"/>
      <c r="K729" s="4"/>
      <c r="L729" s="4"/>
      <c r="M729" s="4"/>
      <c r="N729" s="4"/>
      <c r="O729" s="4"/>
      <c r="P729" s="4"/>
      <c r="Q729" s="4"/>
      <c r="R729" s="4"/>
      <c r="S729" s="4"/>
      <c r="T729" s="4"/>
    </row>
    <row r="730" ht="15.75" customHeight="1">
      <c r="B730" s="4"/>
      <c r="C730" s="4"/>
      <c r="D730" s="4"/>
      <c r="E730" s="4"/>
      <c r="F730" s="4"/>
      <c r="G730" s="4"/>
      <c r="H730" s="4"/>
      <c r="I730" s="4"/>
      <c r="J730" s="4"/>
      <c r="K730" s="4"/>
      <c r="L730" s="4"/>
      <c r="M730" s="4"/>
      <c r="N730" s="4"/>
      <c r="O730" s="4"/>
      <c r="P730" s="4"/>
      <c r="Q730" s="4"/>
      <c r="R730" s="4"/>
      <c r="S730" s="4"/>
      <c r="T730" s="4"/>
    </row>
    <row r="731" ht="15.75" customHeight="1">
      <c r="B731" s="4"/>
      <c r="C731" s="4"/>
      <c r="D731" s="4"/>
      <c r="E731" s="4"/>
      <c r="F731" s="4"/>
      <c r="G731" s="4"/>
      <c r="H731" s="4"/>
      <c r="I731" s="4"/>
      <c r="J731" s="4"/>
      <c r="K731" s="4"/>
      <c r="L731" s="4"/>
      <c r="M731" s="4"/>
      <c r="N731" s="4"/>
      <c r="O731" s="4"/>
      <c r="P731" s="4"/>
      <c r="Q731" s="4"/>
      <c r="R731" s="4"/>
      <c r="S731" s="4"/>
      <c r="T731" s="4"/>
    </row>
    <row r="732" ht="15.75" customHeight="1">
      <c r="B732" s="4"/>
      <c r="C732" s="4"/>
      <c r="D732" s="4"/>
      <c r="E732" s="4"/>
      <c r="F732" s="4"/>
      <c r="G732" s="4"/>
      <c r="H732" s="4"/>
      <c r="I732" s="4"/>
      <c r="J732" s="4"/>
      <c r="K732" s="4"/>
      <c r="L732" s="4"/>
      <c r="M732" s="4"/>
      <c r="N732" s="4"/>
      <c r="O732" s="4"/>
      <c r="P732" s="4"/>
      <c r="Q732" s="4"/>
      <c r="R732" s="4"/>
      <c r="S732" s="4"/>
      <c r="T732" s="4"/>
    </row>
    <row r="733" ht="15.75" customHeight="1">
      <c r="B733" s="4"/>
      <c r="C733" s="4"/>
      <c r="D733" s="4"/>
      <c r="E733" s="4"/>
      <c r="F733" s="4"/>
      <c r="G733" s="4"/>
      <c r="H733" s="4"/>
      <c r="I733" s="4"/>
      <c r="J733" s="4"/>
      <c r="K733" s="4"/>
      <c r="L733" s="4"/>
      <c r="M733" s="4"/>
      <c r="N733" s="4"/>
      <c r="O733" s="4"/>
      <c r="P733" s="4"/>
      <c r="Q733" s="4"/>
      <c r="R733" s="4"/>
      <c r="S733" s="4"/>
      <c r="T733" s="4"/>
    </row>
    <row r="734" ht="15.75" customHeight="1">
      <c r="B734" s="4"/>
      <c r="C734" s="4"/>
      <c r="D734" s="4"/>
      <c r="E734" s="4"/>
      <c r="F734" s="4"/>
      <c r="G734" s="4"/>
      <c r="H734" s="4"/>
      <c r="I734" s="4"/>
      <c r="J734" s="4"/>
      <c r="K734" s="4"/>
      <c r="L734" s="4"/>
      <c r="M734" s="4"/>
      <c r="N734" s="4"/>
      <c r="O734" s="4"/>
      <c r="P734" s="4"/>
      <c r="Q734" s="4"/>
      <c r="R734" s="4"/>
      <c r="S734" s="4"/>
      <c r="T734" s="4"/>
    </row>
    <row r="735" ht="15.75" customHeight="1">
      <c r="B735" s="4"/>
      <c r="C735" s="4"/>
      <c r="D735" s="4"/>
      <c r="E735" s="4"/>
      <c r="F735" s="4"/>
      <c r="G735" s="4"/>
      <c r="H735" s="4"/>
      <c r="I735" s="4"/>
      <c r="J735" s="4"/>
      <c r="K735" s="4"/>
      <c r="L735" s="4"/>
      <c r="M735" s="4"/>
      <c r="N735" s="4"/>
      <c r="O735" s="4"/>
      <c r="P735" s="4"/>
      <c r="Q735" s="4"/>
      <c r="R735" s="4"/>
      <c r="S735" s="4"/>
      <c r="T735" s="4"/>
    </row>
    <row r="736" ht="15.75" customHeight="1">
      <c r="B736" s="4"/>
      <c r="C736" s="4"/>
      <c r="D736" s="4"/>
      <c r="E736" s="4"/>
      <c r="F736" s="4"/>
      <c r="G736" s="4"/>
      <c r="H736" s="4"/>
      <c r="I736" s="4"/>
      <c r="J736" s="4"/>
      <c r="K736" s="4"/>
      <c r="L736" s="4"/>
      <c r="M736" s="4"/>
      <c r="N736" s="4"/>
      <c r="O736" s="4"/>
      <c r="P736" s="4"/>
      <c r="Q736" s="4"/>
      <c r="R736" s="4"/>
      <c r="S736" s="4"/>
      <c r="T736" s="4"/>
    </row>
    <row r="737" ht="15.75" customHeight="1">
      <c r="B737" s="4"/>
      <c r="C737" s="4"/>
      <c r="D737" s="4"/>
      <c r="E737" s="4"/>
      <c r="F737" s="4"/>
      <c r="G737" s="4"/>
      <c r="H737" s="4"/>
      <c r="I737" s="4"/>
      <c r="J737" s="4"/>
      <c r="K737" s="4"/>
      <c r="L737" s="4"/>
      <c r="M737" s="4"/>
      <c r="N737" s="4"/>
      <c r="O737" s="4"/>
      <c r="P737" s="4"/>
      <c r="Q737" s="4"/>
      <c r="R737" s="4"/>
      <c r="S737" s="4"/>
      <c r="T737" s="4"/>
    </row>
    <row r="738" ht="15.75" customHeight="1">
      <c r="B738" s="4"/>
      <c r="C738" s="4"/>
      <c r="D738" s="4"/>
      <c r="E738" s="4"/>
      <c r="F738" s="4"/>
      <c r="G738" s="4"/>
      <c r="H738" s="4"/>
      <c r="I738" s="4"/>
      <c r="J738" s="4"/>
      <c r="K738" s="4"/>
      <c r="L738" s="4"/>
      <c r="M738" s="4"/>
      <c r="N738" s="4"/>
      <c r="O738" s="4"/>
      <c r="P738" s="4"/>
      <c r="Q738" s="4"/>
      <c r="R738" s="4"/>
      <c r="S738" s="4"/>
      <c r="T738" s="4"/>
    </row>
    <row r="739" ht="15.75" customHeight="1">
      <c r="B739" s="4"/>
      <c r="C739" s="4"/>
      <c r="D739" s="4"/>
      <c r="E739" s="4"/>
      <c r="F739" s="4"/>
      <c r="G739" s="4"/>
      <c r="H739" s="4"/>
      <c r="I739" s="4"/>
      <c r="J739" s="4"/>
      <c r="K739" s="4"/>
      <c r="L739" s="4"/>
      <c r="M739" s="4"/>
      <c r="N739" s="4"/>
      <c r="O739" s="4"/>
      <c r="P739" s="4"/>
      <c r="Q739" s="4"/>
      <c r="R739" s="4"/>
      <c r="S739" s="4"/>
      <c r="T739" s="4"/>
    </row>
    <row r="740" ht="15.75" customHeight="1">
      <c r="B740" s="4"/>
      <c r="C740" s="4"/>
      <c r="D740" s="4"/>
      <c r="E740" s="4"/>
      <c r="F740" s="4"/>
      <c r="G740" s="4"/>
      <c r="H740" s="4"/>
      <c r="I740" s="4"/>
      <c r="J740" s="4"/>
      <c r="K740" s="4"/>
      <c r="L740" s="4"/>
      <c r="M740" s="4"/>
      <c r="N740" s="4"/>
      <c r="O740" s="4"/>
      <c r="P740" s="4"/>
      <c r="Q740" s="4"/>
      <c r="R740" s="4"/>
      <c r="S740" s="4"/>
      <c r="T740" s="4"/>
    </row>
    <row r="741" ht="15.75" customHeight="1">
      <c r="B741" s="4"/>
      <c r="C741" s="4"/>
      <c r="D741" s="4"/>
      <c r="E741" s="4"/>
      <c r="F741" s="4"/>
      <c r="G741" s="4"/>
      <c r="H741" s="4"/>
      <c r="I741" s="4"/>
      <c r="J741" s="4"/>
      <c r="K741" s="4"/>
      <c r="L741" s="4"/>
      <c r="M741" s="4"/>
      <c r="N741" s="4"/>
      <c r="O741" s="4"/>
      <c r="P741" s="4"/>
      <c r="Q741" s="4"/>
      <c r="R741" s="4"/>
      <c r="S741" s="4"/>
      <c r="T741" s="4"/>
    </row>
    <row r="742" ht="15.75" customHeight="1">
      <c r="B742" s="4"/>
      <c r="C742" s="4"/>
      <c r="D742" s="4"/>
      <c r="E742" s="4"/>
      <c r="F742" s="4"/>
      <c r="G742" s="4"/>
      <c r="H742" s="4"/>
      <c r="I742" s="4"/>
      <c r="J742" s="4"/>
      <c r="K742" s="4"/>
      <c r="L742" s="4"/>
      <c r="M742" s="4"/>
      <c r="N742" s="4"/>
      <c r="O742" s="4"/>
      <c r="P742" s="4"/>
      <c r="Q742" s="4"/>
      <c r="R742" s="4"/>
      <c r="S742" s="4"/>
      <c r="T742" s="4"/>
    </row>
    <row r="743" ht="15.75" customHeight="1">
      <c r="B743" s="4"/>
      <c r="C743" s="4"/>
      <c r="D743" s="4"/>
      <c r="E743" s="4"/>
      <c r="F743" s="4"/>
      <c r="G743" s="4"/>
      <c r="H743" s="4"/>
      <c r="I743" s="4"/>
      <c r="J743" s="4"/>
      <c r="K743" s="4"/>
      <c r="L743" s="4"/>
      <c r="M743" s="4"/>
      <c r="N743" s="4"/>
      <c r="O743" s="4"/>
      <c r="P743" s="4"/>
      <c r="Q743" s="4"/>
      <c r="R743" s="4"/>
      <c r="S743" s="4"/>
      <c r="T743" s="4"/>
    </row>
    <row r="744" ht="15.75" customHeight="1">
      <c r="B744" s="4"/>
      <c r="C744" s="4"/>
      <c r="D744" s="4"/>
      <c r="E744" s="4"/>
      <c r="F744" s="4"/>
      <c r="G744" s="4"/>
      <c r="H744" s="4"/>
      <c r="I744" s="4"/>
      <c r="J744" s="4"/>
      <c r="K744" s="4"/>
      <c r="L744" s="4"/>
      <c r="M744" s="4"/>
      <c r="N744" s="4"/>
      <c r="O744" s="4"/>
      <c r="P744" s="4"/>
      <c r="Q744" s="4"/>
      <c r="R744" s="4"/>
      <c r="S744" s="4"/>
      <c r="T744" s="4"/>
    </row>
    <row r="745" ht="15.75" customHeight="1">
      <c r="B745" s="4"/>
      <c r="C745" s="4"/>
      <c r="D745" s="4"/>
      <c r="E745" s="4"/>
      <c r="F745" s="4"/>
      <c r="G745" s="4"/>
      <c r="H745" s="4"/>
      <c r="I745" s="4"/>
      <c r="J745" s="4"/>
      <c r="K745" s="4"/>
      <c r="L745" s="4"/>
      <c r="M745" s="4"/>
      <c r="N745" s="4"/>
      <c r="O745" s="4"/>
      <c r="P745" s="4"/>
      <c r="Q745" s="4"/>
      <c r="R745" s="4"/>
      <c r="S745" s="4"/>
      <c r="T745" s="4"/>
    </row>
    <row r="746" ht="15.75" customHeight="1">
      <c r="B746" s="4"/>
      <c r="C746" s="4"/>
      <c r="D746" s="4"/>
      <c r="E746" s="4"/>
      <c r="F746" s="4"/>
      <c r="G746" s="4"/>
      <c r="H746" s="4"/>
      <c r="I746" s="4"/>
      <c r="J746" s="4"/>
      <c r="K746" s="4"/>
      <c r="L746" s="4"/>
      <c r="M746" s="4"/>
      <c r="N746" s="4"/>
      <c r="O746" s="4"/>
      <c r="P746" s="4"/>
      <c r="Q746" s="4"/>
      <c r="R746" s="4"/>
      <c r="S746" s="4"/>
      <c r="T746" s="4"/>
    </row>
    <row r="747" ht="15.75" customHeight="1">
      <c r="B747" s="4"/>
      <c r="C747" s="4"/>
      <c r="D747" s="4"/>
      <c r="E747" s="4"/>
      <c r="F747" s="4"/>
      <c r="G747" s="4"/>
      <c r="H747" s="4"/>
      <c r="I747" s="4"/>
      <c r="J747" s="4"/>
      <c r="K747" s="4"/>
      <c r="L747" s="4"/>
      <c r="M747" s="4"/>
      <c r="N747" s="4"/>
      <c r="O747" s="4"/>
      <c r="P747" s="4"/>
      <c r="Q747" s="4"/>
      <c r="R747" s="4"/>
      <c r="S747" s="4"/>
      <c r="T747" s="4"/>
    </row>
    <row r="748" ht="15.75" customHeight="1">
      <c r="B748" s="4"/>
      <c r="C748" s="4"/>
      <c r="D748" s="4"/>
      <c r="E748" s="4"/>
      <c r="F748" s="4"/>
      <c r="G748" s="4"/>
      <c r="H748" s="4"/>
      <c r="I748" s="4"/>
      <c r="J748" s="4"/>
      <c r="K748" s="4"/>
      <c r="L748" s="4"/>
      <c r="M748" s="4"/>
      <c r="N748" s="4"/>
      <c r="O748" s="4"/>
      <c r="P748" s="4"/>
      <c r="Q748" s="4"/>
      <c r="R748" s="4"/>
      <c r="S748" s="4"/>
      <c r="T748" s="4"/>
    </row>
    <row r="749" ht="15.75" customHeight="1">
      <c r="B749" s="4"/>
      <c r="C749" s="4"/>
      <c r="D749" s="4"/>
      <c r="E749" s="4"/>
      <c r="F749" s="4"/>
      <c r="G749" s="4"/>
      <c r="H749" s="4"/>
      <c r="I749" s="4"/>
      <c r="J749" s="4"/>
      <c r="K749" s="4"/>
      <c r="L749" s="4"/>
      <c r="M749" s="4"/>
      <c r="N749" s="4"/>
      <c r="O749" s="4"/>
      <c r="P749" s="4"/>
      <c r="Q749" s="4"/>
      <c r="R749" s="4"/>
      <c r="S749" s="4"/>
      <c r="T749" s="4"/>
    </row>
    <row r="750" ht="15.75" customHeight="1">
      <c r="B750" s="4"/>
      <c r="C750" s="4"/>
      <c r="D750" s="4"/>
      <c r="E750" s="4"/>
      <c r="F750" s="4"/>
      <c r="G750" s="4"/>
      <c r="H750" s="4"/>
      <c r="I750" s="4"/>
      <c r="J750" s="4"/>
      <c r="K750" s="4"/>
      <c r="L750" s="4"/>
      <c r="M750" s="4"/>
      <c r="N750" s="4"/>
      <c r="O750" s="4"/>
      <c r="P750" s="4"/>
      <c r="Q750" s="4"/>
      <c r="R750" s="4"/>
      <c r="S750" s="4"/>
      <c r="T750" s="4"/>
    </row>
    <row r="751" ht="15.75" customHeight="1">
      <c r="B751" s="4"/>
      <c r="C751" s="4"/>
      <c r="D751" s="4"/>
      <c r="E751" s="4"/>
      <c r="F751" s="4"/>
      <c r="G751" s="4"/>
      <c r="H751" s="4"/>
      <c r="I751" s="4"/>
      <c r="J751" s="4"/>
      <c r="K751" s="4"/>
      <c r="L751" s="4"/>
      <c r="M751" s="4"/>
      <c r="N751" s="4"/>
      <c r="O751" s="4"/>
      <c r="P751" s="4"/>
      <c r="Q751" s="4"/>
      <c r="R751" s="4"/>
      <c r="S751" s="4"/>
      <c r="T751" s="4"/>
    </row>
    <row r="752" ht="15.75" customHeight="1">
      <c r="B752" s="4"/>
      <c r="C752" s="4"/>
      <c r="D752" s="4"/>
      <c r="E752" s="4"/>
      <c r="F752" s="4"/>
      <c r="G752" s="4"/>
      <c r="H752" s="4"/>
      <c r="I752" s="4"/>
      <c r="J752" s="4"/>
      <c r="K752" s="4"/>
      <c r="L752" s="4"/>
      <c r="M752" s="4"/>
      <c r="N752" s="4"/>
      <c r="O752" s="4"/>
      <c r="P752" s="4"/>
      <c r="Q752" s="4"/>
      <c r="R752" s="4"/>
      <c r="S752" s="4"/>
      <c r="T752" s="4"/>
    </row>
    <row r="753" ht="15.75" customHeight="1">
      <c r="B753" s="4"/>
      <c r="C753" s="4"/>
      <c r="D753" s="4"/>
      <c r="E753" s="4"/>
      <c r="F753" s="4"/>
      <c r="G753" s="4"/>
      <c r="H753" s="4"/>
      <c r="I753" s="4"/>
      <c r="J753" s="4"/>
      <c r="K753" s="4"/>
      <c r="L753" s="4"/>
      <c r="M753" s="4"/>
      <c r="N753" s="4"/>
      <c r="O753" s="4"/>
      <c r="P753" s="4"/>
      <c r="Q753" s="4"/>
      <c r="R753" s="4"/>
      <c r="S753" s="4"/>
      <c r="T753" s="4"/>
    </row>
    <row r="754" ht="15.75" customHeight="1">
      <c r="B754" s="4"/>
      <c r="C754" s="4"/>
      <c r="D754" s="4"/>
      <c r="E754" s="4"/>
      <c r="F754" s="4"/>
      <c r="G754" s="4"/>
      <c r="H754" s="4"/>
      <c r="I754" s="4"/>
      <c r="J754" s="4"/>
      <c r="K754" s="4"/>
      <c r="L754" s="4"/>
      <c r="M754" s="4"/>
      <c r="N754" s="4"/>
      <c r="O754" s="4"/>
      <c r="P754" s="4"/>
      <c r="Q754" s="4"/>
      <c r="R754" s="4"/>
      <c r="S754" s="4"/>
      <c r="T754" s="4"/>
    </row>
    <row r="755" ht="15.75" customHeight="1">
      <c r="B755" s="4"/>
      <c r="C755" s="4"/>
      <c r="D755" s="4"/>
      <c r="E755" s="4"/>
      <c r="F755" s="4"/>
      <c r="G755" s="4"/>
      <c r="H755" s="4"/>
      <c r="I755" s="4"/>
      <c r="J755" s="4"/>
      <c r="K755" s="4"/>
      <c r="L755" s="4"/>
      <c r="M755" s="4"/>
      <c r="N755" s="4"/>
      <c r="O755" s="4"/>
      <c r="P755" s="4"/>
      <c r="Q755" s="4"/>
      <c r="R755" s="4"/>
      <c r="S755" s="4"/>
      <c r="T755" s="4"/>
    </row>
    <row r="756" ht="15.75" customHeight="1">
      <c r="B756" s="4"/>
      <c r="C756" s="4"/>
      <c r="D756" s="4"/>
      <c r="E756" s="4"/>
      <c r="F756" s="4"/>
      <c r="G756" s="4"/>
      <c r="H756" s="4"/>
      <c r="I756" s="4"/>
      <c r="J756" s="4"/>
      <c r="K756" s="4"/>
      <c r="L756" s="4"/>
      <c r="M756" s="4"/>
      <c r="N756" s="4"/>
      <c r="O756" s="4"/>
      <c r="P756" s="4"/>
      <c r="Q756" s="4"/>
      <c r="R756" s="4"/>
      <c r="S756" s="4"/>
      <c r="T756" s="4"/>
    </row>
    <row r="757" ht="15.75" customHeight="1">
      <c r="B757" s="4"/>
      <c r="C757" s="4"/>
      <c r="D757" s="4"/>
      <c r="E757" s="4"/>
      <c r="F757" s="4"/>
      <c r="G757" s="4"/>
      <c r="H757" s="4"/>
      <c r="I757" s="4"/>
      <c r="J757" s="4"/>
      <c r="K757" s="4"/>
      <c r="L757" s="4"/>
      <c r="M757" s="4"/>
      <c r="N757" s="4"/>
      <c r="O757" s="4"/>
      <c r="P757" s="4"/>
      <c r="Q757" s="4"/>
      <c r="R757" s="4"/>
      <c r="S757" s="4"/>
      <c r="T757" s="4"/>
    </row>
    <row r="758" ht="15.75" customHeight="1">
      <c r="B758" s="4"/>
      <c r="C758" s="4"/>
      <c r="D758" s="4"/>
      <c r="E758" s="4"/>
      <c r="F758" s="4"/>
      <c r="G758" s="4"/>
      <c r="H758" s="4"/>
      <c r="I758" s="4"/>
      <c r="J758" s="4"/>
      <c r="K758" s="4"/>
      <c r="L758" s="4"/>
      <c r="M758" s="4"/>
      <c r="N758" s="4"/>
      <c r="O758" s="4"/>
      <c r="P758" s="4"/>
      <c r="Q758" s="4"/>
      <c r="R758" s="4"/>
      <c r="S758" s="4"/>
      <c r="T758" s="4"/>
    </row>
    <row r="759" ht="15.75" customHeight="1">
      <c r="B759" s="4"/>
      <c r="C759" s="4"/>
      <c r="D759" s="4"/>
      <c r="E759" s="4"/>
      <c r="F759" s="4"/>
      <c r="G759" s="4"/>
      <c r="H759" s="4"/>
      <c r="I759" s="4"/>
      <c r="J759" s="4"/>
      <c r="K759" s="4"/>
      <c r="L759" s="4"/>
      <c r="M759" s="4"/>
      <c r="N759" s="4"/>
      <c r="O759" s="4"/>
      <c r="P759" s="4"/>
      <c r="Q759" s="4"/>
      <c r="R759" s="4"/>
      <c r="S759" s="4"/>
      <c r="T759" s="4"/>
    </row>
    <row r="760" ht="15.75" customHeight="1">
      <c r="B760" s="4"/>
      <c r="C760" s="4"/>
      <c r="D760" s="4"/>
      <c r="E760" s="4"/>
      <c r="F760" s="4"/>
      <c r="G760" s="4"/>
      <c r="H760" s="4"/>
      <c r="I760" s="4"/>
      <c r="J760" s="4"/>
      <c r="K760" s="4"/>
      <c r="L760" s="4"/>
      <c r="M760" s="4"/>
      <c r="N760" s="4"/>
      <c r="O760" s="4"/>
      <c r="P760" s="4"/>
      <c r="Q760" s="4"/>
      <c r="R760" s="4"/>
      <c r="S760" s="4"/>
      <c r="T760" s="4"/>
    </row>
    <row r="761" ht="15.75" customHeight="1">
      <c r="B761" s="4"/>
      <c r="C761" s="4"/>
      <c r="D761" s="4"/>
      <c r="E761" s="4"/>
      <c r="F761" s="4"/>
      <c r="G761" s="4"/>
      <c r="H761" s="4"/>
      <c r="I761" s="4"/>
      <c r="J761" s="4"/>
      <c r="K761" s="4"/>
      <c r="L761" s="4"/>
      <c r="M761" s="4"/>
      <c r="N761" s="4"/>
      <c r="O761" s="4"/>
      <c r="P761" s="4"/>
      <c r="Q761" s="4"/>
      <c r="R761" s="4"/>
      <c r="S761" s="4"/>
      <c r="T761" s="4"/>
    </row>
    <row r="762" ht="15.75" customHeight="1">
      <c r="B762" s="4"/>
      <c r="C762" s="4"/>
      <c r="D762" s="4"/>
      <c r="E762" s="4"/>
      <c r="F762" s="4"/>
      <c r="G762" s="4"/>
      <c r="H762" s="4"/>
      <c r="I762" s="4"/>
      <c r="J762" s="4"/>
      <c r="K762" s="4"/>
      <c r="L762" s="4"/>
      <c r="M762" s="4"/>
      <c r="N762" s="4"/>
      <c r="O762" s="4"/>
      <c r="P762" s="4"/>
      <c r="Q762" s="4"/>
      <c r="R762" s="4"/>
      <c r="S762" s="4"/>
      <c r="T762" s="4"/>
    </row>
    <row r="763" ht="15.75" customHeight="1">
      <c r="B763" s="4"/>
      <c r="C763" s="4"/>
      <c r="D763" s="4"/>
      <c r="E763" s="4"/>
      <c r="F763" s="4"/>
      <c r="G763" s="4"/>
      <c r="H763" s="4"/>
      <c r="I763" s="4"/>
      <c r="J763" s="4"/>
      <c r="K763" s="4"/>
      <c r="L763" s="4"/>
      <c r="M763" s="4"/>
      <c r="N763" s="4"/>
      <c r="O763" s="4"/>
      <c r="P763" s="4"/>
      <c r="Q763" s="4"/>
      <c r="R763" s="4"/>
      <c r="S763" s="4"/>
      <c r="T763" s="4"/>
    </row>
    <row r="764" ht="15.75" customHeight="1">
      <c r="B764" s="4"/>
      <c r="C764" s="4"/>
      <c r="D764" s="4"/>
      <c r="E764" s="4"/>
      <c r="F764" s="4"/>
      <c r="G764" s="4"/>
      <c r="H764" s="4"/>
      <c r="I764" s="4"/>
      <c r="J764" s="4"/>
      <c r="K764" s="4"/>
      <c r="L764" s="4"/>
      <c r="M764" s="4"/>
      <c r="N764" s="4"/>
      <c r="O764" s="4"/>
      <c r="P764" s="4"/>
      <c r="Q764" s="4"/>
      <c r="R764" s="4"/>
      <c r="S764" s="4"/>
      <c r="T764" s="4"/>
    </row>
    <row r="765" ht="15.75" customHeight="1">
      <c r="B765" s="4"/>
      <c r="C765" s="4"/>
      <c r="D765" s="4"/>
      <c r="E765" s="4"/>
      <c r="F765" s="4"/>
      <c r="G765" s="4"/>
      <c r="H765" s="4"/>
      <c r="I765" s="4"/>
      <c r="J765" s="4"/>
      <c r="K765" s="4"/>
      <c r="L765" s="4"/>
      <c r="M765" s="4"/>
      <c r="N765" s="4"/>
      <c r="O765" s="4"/>
      <c r="P765" s="4"/>
      <c r="Q765" s="4"/>
      <c r="R765" s="4"/>
      <c r="S765" s="4"/>
      <c r="T765" s="4"/>
    </row>
    <row r="766" ht="15.75" customHeight="1">
      <c r="B766" s="4"/>
      <c r="C766" s="4"/>
      <c r="D766" s="4"/>
      <c r="E766" s="4"/>
      <c r="F766" s="4"/>
      <c r="G766" s="4"/>
      <c r="H766" s="4"/>
      <c r="I766" s="4"/>
      <c r="J766" s="4"/>
      <c r="K766" s="4"/>
      <c r="L766" s="4"/>
      <c r="M766" s="4"/>
      <c r="N766" s="4"/>
      <c r="O766" s="4"/>
      <c r="P766" s="4"/>
      <c r="Q766" s="4"/>
      <c r="R766" s="4"/>
      <c r="S766" s="4"/>
      <c r="T766" s="4"/>
    </row>
    <row r="767" ht="15.75" customHeight="1">
      <c r="B767" s="4"/>
      <c r="C767" s="4"/>
      <c r="D767" s="4"/>
      <c r="E767" s="4"/>
      <c r="F767" s="4"/>
      <c r="G767" s="4"/>
      <c r="H767" s="4"/>
      <c r="I767" s="4"/>
      <c r="J767" s="4"/>
      <c r="K767" s="4"/>
      <c r="L767" s="4"/>
      <c r="M767" s="4"/>
      <c r="N767" s="4"/>
      <c r="O767" s="4"/>
      <c r="P767" s="4"/>
      <c r="Q767" s="4"/>
      <c r="R767" s="4"/>
      <c r="S767" s="4"/>
      <c r="T767" s="4"/>
    </row>
    <row r="768" ht="15.75" customHeight="1">
      <c r="B768" s="4"/>
      <c r="C768" s="4"/>
      <c r="D768" s="4"/>
      <c r="E768" s="4"/>
      <c r="F768" s="4"/>
      <c r="G768" s="4"/>
      <c r="H768" s="4"/>
      <c r="I768" s="4"/>
      <c r="J768" s="4"/>
      <c r="K768" s="4"/>
      <c r="L768" s="4"/>
      <c r="M768" s="4"/>
      <c r="N768" s="4"/>
      <c r="O768" s="4"/>
      <c r="P768" s="4"/>
      <c r="Q768" s="4"/>
      <c r="R768" s="4"/>
      <c r="S768" s="4"/>
      <c r="T768" s="4"/>
    </row>
    <row r="769" ht="15.75" customHeight="1">
      <c r="B769" s="4"/>
      <c r="C769" s="4"/>
      <c r="D769" s="4"/>
      <c r="E769" s="4"/>
      <c r="F769" s="4"/>
      <c r="G769" s="4"/>
      <c r="H769" s="4"/>
      <c r="I769" s="4"/>
      <c r="J769" s="4"/>
      <c r="K769" s="4"/>
      <c r="L769" s="4"/>
      <c r="M769" s="4"/>
      <c r="N769" s="4"/>
      <c r="O769" s="4"/>
      <c r="P769" s="4"/>
      <c r="Q769" s="4"/>
      <c r="R769" s="4"/>
      <c r="S769" s="4"/>
      <c r="T769" s="4"/>
    </row>
    <row r="770" ht="15.75" customHeight="1">
      <c r="B770" s="4"/>
      <c r="C770" s="4"/>
      <c r="D770" s="4"/>
      <c r="E770" s="4"/>
      <c r="F770" s="4"/>
      <c r="G770" s="4"/>
      <c r="H770" s="4"/>
      <c r="I770" s="4"/>
      <c r="J770" s="4"/>
      <c r="K770" s="4"/>
      <c r="L770" s="4"/>
      <c r="M770" s="4"/>
      <c r="N770" s="4"/>
      <c r="O770" s="4"/>
      <c r="P770" s="4"/>
      <c r="Q770" s="4"/>
      <c r="R770" s="4"/>
      <c r="S770" s="4"/>
      <c r="T770" s="4"/>
    </row>
    <row r="771" ht="15.75" customHeight="1">
      <c r="B771" s="4"/>
      <c r="C771" s="4"/>
      <c r="D771" s="4"/>
      <c r="E771" s="4"/>
      <c r="F771" s="4"/>
      <c r="G771" s="4"/>
      <c r="H771" s="4"/>
      <c r="I771" s="4"/>
      <c r="J771" s="4"/>
      <c r="K771" s="4"/>
      <c r="L771" s="4"/>
      <c r="M771" s="4"/>
      <c r="N771" s="4"/>
      <c r="O771" s="4"/>
      <c r="P771" s="4"/>
      <c r="Q771" s="4"/>
      <c r="R771" s="4"/>
      <c r="S771" s="4"/>
      <c r="T771" s="4"/>
    </row>
    <row r="772" ht="15.75" customHeight="1">
      <c r="B772" s="4"/>
      <c r="C772" s="4"/>
      <c r="D772" s="4"/>
      <c r="E772" s="4"/>
      <c r="F772" s="4"/>
      <c r="G772" s="4"/>
      <c r="H772" s="4"/>
      <c r="I772" s="4"/>
      <c r="J772" s="4"/>
      <c r="K772" s="4"/>
      <c r="L772" s="4"/>
      <c r="M772" s="4"/>
      <c r="N772" s="4"/>
      <c r="O772" s="4"/>
      <c r="P772" s="4"/>
      <c r="Q772" s="4"/>
      <c r="R772" s="4"/>
      <c r="S772" s="4"/>
      <c r="T772" s="4"/>
    </row>
    <row r="773" ht="15.75" customHeight="1">
      <c r="B773" s="4"/>
      <c r="C773" s="4"/>
      <c r="D773" s="4"/>
      <c r="E773" s="4"/>
      <c r="F773" s="4"/>
      <c r="G773" s="4"/>
      <c r="H773" s="4"/>
      <c r="I773" s="4"/>
      <c r="J773" s="4"/>
      <c r="K773" s="4"/>
      <c r="L773" s="4"/>
      <c r="M773" s="4"/>
      <c r="N773" s="4"/>
      <c r="O773" s="4"/>
      <c r="P773" s="4"/>
      <c r="Q773" s="4"/>
      <c r="R773" s="4"/>
      <c r="S773" s="4"/>
      <c r="T773" s="4"/>
    </row>
    <row r="774" ht="15.75" customHeight="1">
      <c r="B774" s="4"/>
      <c r="C774" s="4"/>
      <c r="D774" s="4"/>
      <c r="E774" s="4"/>
      <c r="F774" s="4"/>
      <c r="G774" s="4"/>
      <c r="H774" s="4"/>
      <c r="I774" s="4"/>
      <c r="J774" s="4"/>
      <c r="K774" s="4"/>
      <c r="L774" s="4"/>
      <c r="M774" s="4"/>
      <c r="N774" s="4"/>
      <c r="O774" s="4"/>
      <c r="P774" s="4"/>
      <c r="Q774" s="4"/>
      <c r="R774" s="4"/>
      <c r="S774" s="4"/>
      <c r="T774" s="4"/>
    </row>
    <row r="775" ht="15.75" customHeight="1">
      <c r="B775" s="4"/>
      <c r="C775" s="4"/>
      <c r="D775" s="4"/>
      <c r="E775" s="4"/>
      <c r="F775" s="4"/>
      <c r="G775" s="4"/>
      <c r="H775" s="4"/>
      <c r="I775" s="4"/>
      <c r="J775" s="4"/>
      <c r="K775" s="4"/>
      <c r="L775" s="4"/>
      <c r="M775" s="4"/>
      <c r="N775" s="4"/>
      <c r="O775" s="4"/>
      <c r="P775" s="4"/>
      <c r="Q775" s="4"/>
      <c r="R775" s="4"/>
      <c r="S775" s="4"/>
      <c r="T775" s="4"/>
    </row>
    <row r="776" ht="15.75" customHeight="1">
      <c r="B776" s="4"/>
      <c r="C776" s="4"/>
      <c r="D776" s="4"/>
      <c r="E776" s="4"/>
      <c r="F776" s="4"/>
      <c r="G776" s="4"/>
      <c r="H776" s="4"/>
      <c r="I776" s="4"/>
      <c r="J776" s="4"/>
      <c r="K776" s="4"/>
      <c r="L776" s="4"/>
      <c r="M776" s="4"/>
      <c r="N776" s="4"/>
      <c r="O776" s="4"/>
      <c r="P776" s="4"/>
      <c r="Q776" s="4"/>
      <c r="R776" s="4"/>
      <c r="S776" s="4"/>
      <c r="T776" s="4"/>
    </row>
    <row r="777" ht="15.75" customHeight="1">
      <c r="B777" s="4"/>
      <c r="C777" s="4"/>
      <c r="D777" s="4"/>
      <c r="E777" s="4"/>
      <c r="F777" s="4"/>
      <c r="G777" s="4"/>
      <c r="H777" s="4"/>
      <c r="I777" s="4"/>
      <c r="J777" s="4"/>
      <c r="K777" s="4"/>
      <c r="L777" s="4"/>
      <c r="M777" s="4"/>
      <c r="N777" s="4"/>
      <c r="O777" s="4"/>
      <c r="P777" s="4"/>
      <c r="Q777" s="4"/>
      <c r="R777" s="4"/>
      <c r="S777" s="4"/>
      <c r="T777" s="4"/>
    </row>
    <row r="778" ht="15.75" customHeight="1">
      <c r="B778" s="4"/>
      <c r="C778" s="4"/>
      <c r="D778" s="4"/>
      <c r="E778" s="4"/>
      <c r="F778" s="4"/>
      <c r="G778" s="4"/>
      <c r="H778" s="4"/>
      <c r="I778" s="4"/>
      <c r="J778" s="4"/>
      <c r="K778" s="4"/>
      <c r="L778" s="4"/>
      <c r="M778" s="4"/>
      <c r="N778" s="4"/>
      <c r="O778" s="4"/>
      <c r="P778" s="4"/>
      <c r="Q778" s="4"/>
      <c r="R778" s="4"/>
      <c r="S778" s="4"/>
      <c r="T778" s="4"/>
    </row>
    <row r="779" ht="15.75" customHeight="1">
      <c r="B779" s="4"/>
      <c r="C779" s="4"/>
      <c r="D779" s="4"/>
      <c r="E779" s="4"/>
      <c r="F779" s="4"/>
      <c r="G779" s="4"/>
      <c r="H779" s="4"/>
      <c r="I779" s="4"/>
      <c r="J779" s="4"/>
      <c r="K779" s="4"/>
      <c r="L779" s="4"/>
      <c r="M779" s="4"/>
      <c r="N779" s="4"/>
      <c r="O779" s="4"/>
      <c r="P779" s="4"/>
      <c r="Q779" s="4"/>
      <c r="R779" s="4"/>
      <c r="S779" s="4"/>
      <c r="T779" s="4"/>
    </row>
    <row r="780" ht="15.75" customHeight="1">
      <c r="B780" s="4"/>
      <c r="C780" s="4"/>
      <c r="D780" s="4"/>
      <c r="E780" s="4"/>
      <c r="F780" s="4"/>
      <c r="G780" s="4"/>
      <c r="H780" s="4"/>
      <c r="I780" s="4"/>
      <c r="J780" s="4"/>
      <c r="K780" s="4"/>
      <c r="L780" s="4"/>
      <c r="M780" s="4"/>
      <c r="N780" s="4"/>
      <c r="O780" s="4"/>
      <c r="P780" s="4"/>
      <c r="Q780" s="4"/>
      <c r="R780" s="4"/>
      <c r="S780" s="4"/>
      <c r="T780" s="4"/>
    </row>
    <row r="781" ht="15.75" customHeight="1">
      <c r="B781" s="4"/>
      <c r="C781" s="4"/>
      <c r="D781" s="4"/>
      <c r="E781" s="4"/>
      <c r="F781" s="4"/>
      <c r="G781" s="4"/>
      <c r="H781" s="4"/>
      <c r="I781" s="4"/>
      <c r="J781" s="4"/>
      <c r="K781" s="4"/>
      <c r="L781" s="4"/>
      <c r="M781" s="4"/>
      <c r="N781" s="4"/>
      <c r="O781" s="4"/>
      <c r="P781" s="4"/>
      <c r="Q781" s="4"/>
      <c r="R781" s="4"/>
      <c r="S781" s="4"/>
      <c r="T781" s="4"/>
    </row>
    <row r="782" ht="15.75" customHeight="1">
      <c r="B782" s="4"/>
      <c r="C782" s="4"/>
      <c r="D782" s="4"/>
      <c r="E782" s="4"/>
      <c r="F782" s="4"/>
      <c r="G782" s="4"/>
      <c r="H782" s="4"/>
      <c r="I782" s="4"/>
      <c r="J782" s="4"/>
      <c r="K782" s="4"/>
      <c r="L782" s="4"/>
      <c r="M782" s="4"/>
      <c r="N782" s="4"/>
      <c r="O782" s="4"/>
      <c r="P782" s="4"/>
      <c r="Q782" s="4"/>
      <c r="R782" s="4"/>
      <c r="S782" s="4"/>
      <c r="T782" s="4"/>
    </row>
    <row r="783" ht="15.75" customHeight="1">
      <c r="B783" s="4"/>
      <c r="C783" s="4"/>
      <c r="D783" s="4"/>
      <c r="E783" s="4"/>
      <c r="F783" s="4"/>
      <c r="G783" s="4"/>
      <c r="H783" s="4"/>
      <c r="I783" s="4"/>
      <c r="J783" s="4"/>
      <c r="K783" s="4"/>
      <c r="L783" s="4"/>
      <c r="M783" s="4"/>
      <c r="N783" s="4"/>
      <c r="O783" s="4"/>
      <c r="P783" s="4"/>
      <c r="Q783" s="4"/>
      <c r="R783" s="4"/>
      <c r="S783" s="4"/>
      <c r="T783" s="4"/>
    </row>
    <row r="784" ht="15.75" customHeight="1">
      <c r="B784" s="4"/>
      <c r="C784" s="4"/>
      <c r="D784" s="4"/>
      <c r="E784" s="4"/>
      <c r="F784" s="4"/>
      <c r="G784" s="4"/>
      <c r="H784" s="4"/>
      <c r="I784" s="4"/>
      <c r="J784" s="4"/>
      <c r="K784" s="4"/>
      <c r="L784" s="4"/>
      <c r="M784" s="4"/>
      <c r="N784" s="4"/>
      <c r="O784" s="4"/>
      <c r="P784" s="4"/>
      <c r="Q784" s="4"/>
      <c r="R784" s="4"/>
      <c r="S784" s="4"/>
      <c r="T784" s="4"/>
    </row>
    <row r="785" ht="15.75" customHeight="1">
      <c r="B785" s="4"/>
      <c r="C785" s="4"/>
      <c r="D785" s="4"/>
      <c r="E785" s="4"/>
      <c r="F785" s="4"/>
      <c r="G785" s="4"/>
      <c r="H785" s="4"/>
      <c r="I785" s="4"/>
      <c r="J785" s="4"/>
      <c r="K785" s="4"/>
      <c r="L785" s="4"/>
      <c r="M785" s="4"/>
      <c r="N785" s="4"/>
      <c r="O785" s="4"/>
      <c r="P785" s="4"/>
      <c r="Q785" s="4"/>
      <c r="R785" s="4"/>
      <c r="S785" s="4"/>
      <c r="T785" s="4"/>
    </row>
    <row r="786" ht="15.75" customHeight="1">
      <c r="B786" s="4"/>
      <c r="C786" s="4"/>
      <c r="D786" s="4"/>
      <c r="E786" s="4"/>
      <c r="F786" s="4"/>
      <c r="G786" s="4"/>
      <c r="H786" s="4"/>
      <c r="I786" s="4"/>
      <c r="J786" s="4"/>
      <c r="K786" s="4"/>
      <c r="L786" s="4"/>
      <c r="M786" s="4"/>
      <c r="N786" s="4"/>
      <c r="O786" s="4"/>
      <c r="P786" s="4"/>
      <c r="Q786" s="4"/>
      <c r="R786" s="4"/>
      <c r="S786" s="4"/>
      <c r="T786" s="4"/>
    </row>
    <row r="787" ht="15.75" customHeight="1">
      <c r="B787" s="4"/>
      <c r="C787" s="4"/>
      <c r="D787" s="4"/>
      <c r="E787" s="4"/>
      <c r="F787" s="4"/>
      <c r="G787" s="4"/>
      <c r="H787" s="4"/>
      <c r="I787" s="4"/>
      <c r="J787" s="4"/>
      <c r="K787" s="4"/>
      <c r="L787" s="4"/>
      <c r="M787" s="4"/>
      <c r="N787" s="4"/>
      <c r="O787" s="4"/>
      <c r="P787" s="4"/>
      <c r="Q787" s="4"/>
      <c r="R787" s="4"/>
      <c r="S787" s="4"/>
      <c r="T787" s="4"/>
    </row>
    <row r="788" ht="15.75" customHeight="1">
      <c r="B788" s="4"/>
      <c r="C788" s="4"/>
      <c r="D788" s="4"/>
      <c r="E788" s="4"/>
      <c r="F788" s="4"/>
      <c r="G788" s="4"/>
      <c r="H788" s="4"/>
      <c r="I788" s="4"/>
      <c r="J788" s="4"/>
      <c r="K788" s="4"/>
      <c r="L788" s="4"/>
      <c r="M788" s="4"/>
      <c r="N788" s="4"/>
      <c r="O788" s="4"/>
      <c r="P788" s="4"/>
      <c r="Q788" s="4"/>
      <c r="R788" s="4"/>
      <c r="S788" s="4"/>
      <c r="T788" s="4"/>
    </row>
    <row r="789" ht="15.75" customHeight="1">
      <c r="B789" s="4"/>
      <c r="C789" s="4"/>
      <c r="D789" s="4"/>
      <c r="E789" s="4"/>
      <c r="F789" s="4"/>
      <c r="G789" s="4"/>
      <c r="H789" s="4"/>
      <c r="I789" s="4"/>
      <c r="J789" s="4"/>
      <c r="K789" s="4"/>
      <c r="L789" s="4"/>
      <c r="M789" s="4"/>
      <c r="N789" s="4"/>
      <c r="O789" s="4"/>
      <c r="P789" s="4"/>
      <c r="Q789" s="4"/>
      <c r="R789" s="4"/>
      <c r="S789" s="4"/>
      <c r="T789" s="4"/>
    </row>
    <row r="790" ht="15.75" customHeight="1">
      <c r="B790" s="4"/>
      <c r="C790" s="4"/>
      <c r="D790" s="4"/>
      <c r="E790" s="4"/>
      <c r="F790" s="4"/>
      <c r="G790" s="4"/>
      <c r="H790" s="4"/>
      <c r="I790" s="4"/>
      <c r="J790" s="4"/>
      <c r="K790" s="4"/>
      <c r="L790" s="4"/>
      <c r="M790" s="4"/>
      <c r="N790" s="4"/>
      <c r="O790" s="4"/>
      <c r="P790" s="4"/>
      <c r="Q790" s="4"/>
      <c r="R790" s="4"/>
      <c r="S790" s="4"/>
      <c r="T790" s="4"/>
    </row>
    <row r="791" ht="15.75" customHeight="1">
      <c r="B791" s="4"/>
      <c r="C791" s="4"/>
      <c r="D791" s="4"/>
      <c r="E791" s="4"/>
      <c r="F791" s="4"/>
      <c r="G791" s="4"/>
      <c r="H791" s="4"/>
      <c r="I791" s="4"/>
      <c r="J791" s="4"/>
      <c r="K791" s="4"/>
      <c r="L791" s="4"/>
      <c r="M791" s="4"/>
      <c r="N791" s="4"/>
      <c r="O791" s="4"/>
      <c r="P791" s="4"/>
      <c r="Q791" s="4"/>
      <c r="R791" s="4"/>
      <c r="S791" s="4"/>
      <c r="T791" s="4"/>
    </row>
    <row r="792" ht="15.75" customHeight="1">
      <c r="B792" s="4"/>
      <c r="C792" s="4"/>
      <c r="D792" s="4"/>
      <c r="E792" s="4"/>
      <c r="F792" s="4"/>
      <c r="G792" s="4"/>
      <c r="H792" s="4"/>
      <c r="I792" s="4"/>
      <c r="J792" s="4"/>
      <c r="K792" s="4"/>
      <c r="L792" s="4"/>
      <c r="M792" s="4"/>
      <c r="N792" s="4"/>
      <c r="O792" s="4"/>
      <c r="P792" s="4"/>
      <c r="Q792" s="4"/>
      <c r="R792" s="4"/>
      <c r="S792" s="4"/>
      <c r="T792" s="4"/>
    </row>
    <row r="793" ht="15.75" customHeight="1">
      <c r="B793" s="4"/>
      <c r="C793" s="4"/>
      <c r="D793" s="4"/>
      <c r="E793" s="4"/>
      <c r="F793" s="4"/>
      <c r="G793" s="4"/>
      <c r="H793" s="4"/>
      <c r="I793" s="4"/>
      <c r="J793" s="4"/>
      <c r="K793" s="4"/>
      <c r="L793" s="4"/>
      <c r="M793" s="4"/>
      <c r="N793" s="4"/>
      <c r="O793" s="4"/>
      <c r="P793" s="4"/>
      <c r="Q793" s="4"/>
      <c r="R793" s="4"/>
      <c r="S793" s="4"/>
      <c r="T793" s="4"/>
    </row>
    <row r="794" ht="15.75" customHeight="1">
      <c r="B794" s="4"/>
      <c r="C794" s="4"/>
      <c r="D794" s="4"/>
      <c r="E794" s="4"/>
      <c r="F794" s="4"/>
      <c r="G794" s="4"/>
      <c r="H794" s="4"/>
      <c r="I794" s="4"/>
      <c r="J794" s="4"/>
      <c r="K794" s="4"/>
      <c r="L794" s="4"/>
      <c r="M794" s="4"/>
      <c r="N794" s="4"/>
      <c r="O794" s="4"/>
      <c r="P794" s="4"/>
      <c r="Q794" s="4"/>
      <c r="R794" s="4"/>
      <c r="S794" s="4"/>
      <c r="T794" s="4"/>
    </row>
    <row r="795" ht="15.75" customHeight="1">
      <c r="B795" s="4"/>
      <c r="C795" s="4"/>
      <c r="D795" s="4"/>
      <c r="E795" s="4"/>
      <c r="F795" s="4"/>
      <c r="G795" s="4"/>
      <c r="H795" s="4"/>
      <c r="I795" s="4"/>
      <c r="J795" s="4"/>
      <c r="K795" s="4"/>
      <c r="L795" s="4"/>
      <c r="M795" s="4"/>
      <c r="N795" s="4"/>
      <c r="O795" s="4"/>
      <c r="P795" s="4"/>
      <c r="Q795" s="4"/>
      <c r="R795" s="4"/>
      <c r="S795" s="4"/>
      <c r="T795" s="4"/>
    </row>
    <row r="796" ht="15.75" customHeight="1">
      <c r="B796" s="4"/>
      <c r="C796" s="4"/>
      <c r="D796" s="4"/>
      <c r="E796" s="4"/>
      <c r="F796" s="4"/>
      <c r="G796" s="4"/>
      <c r="H796" s="4"/>
      <c r="I796" s="4"/>
      <c r="J796" s="4"/>
      <c r="K796" s="4"/>
      <c r="L796" s="4"/>
      <c r="M796" s="4"/>
      <c r="N796" s="4"/>
      <c r="O796" s="4"/>
      <c r="P796" s="4"/>
      <c r="Q796" s="4"/>
      <c r="R796" s="4"/>
      <c r="S796" s="4"/>
      <c r="T796" s="4"/>
    </row>
    <row r="797" ht="15.75" customHeight="1">
      <c r="B797" s="4"/>
      <c r="C797" s="4"/>
      <c r="D797" s="4"/>
      <c r="E797" s="4"/>
      <c r="F797" s="4"/>
      <c r="G797" s="4"/>
      <c r="H797" s="4"/>
      <c r="I797" s="4"/>
      <c r="J797" s="4"/>
      <c r="K797" s="4"/>
      <c r="L797" s="4"/>
      <c r="M797" s="4"/>
      <c r="N797" s="4"/>
      <c r="O797" s="4"/>
      <c r="P797" s="4"/>
      <c r="Q797" s="4"/>
      <c r="R797" s="4"/>
      <c r="S797" s="4"/>
      <c r="T797" s="4"/>
    </row>
    <row r="798" ht="15.75" customHeight="1">
      <c r="B798" s="4"/>
      <c r="C798" s="4"/>
      <c r="D798" s="4"/>
      <c r="E798" s="4"/>
      <c r="F798" s="4"/>
      <c r="G798" s="4"/>
      <c r="H798" s="4"/>
      <c r="I798" s="4"/>
      <c r="J798" s="4"/>
      <c r="K798" s="4"/>
      <c r="L798" s="4"/>
      <c r="M798" s="4"/>
      <c r="N798" s="4"/>
      <c r="O798" s="4"/>
      <c r="P798" s="4"/>
      <c r="Q798" s="4"/>
      <c r="R798" s="4"/>
      <c r="S798" s="4"/>
      <c r="T798" s="4"/>
    </row>
    <row r="799" ht="15.75" customHeight="1">
      <c r="B799" s="4"/>
      <c r="C799" s="4"/>
      <c r="D799" s="4"/>
      <c r="E799" s="4"/>
      <c r="F799" s="4"/>
      <c r="G799" s="4"/>
      <c r="H799" s="4"/>
      <c r="I799" s="4"/>
      <c r="J799" s="4"/>
      <c r="K799" s="4"/>
      <c r="L799" s="4"/>
      <c r="M799" s="4"/>
      <c r="N799" s="4"/>
      <c r="O799" s="4"/>
      <c r="P799" s="4"/>
      <c r="Q799" s="4"/>
      <c r="R799" s="4"/>
      <c r="S799" s="4"/>
      <c r="T799" s="4"/>
    </row>
    <row r="800" ht="15.75" customHeight="1">
      <c r="B800" s="4"/>
      <c r="C800" s="4"/>
      <c r="D800" s="4"/>
      <c r="E800" s="4"/>
      <c r="F800" s="4"/>
      <c r="G800" s="4"/>
      <c r="H800" s="4"/>
      <c r="I800" s="4"/>
      <c r="J800" s="4"/>
      <c r="K800" s="4"/>
      <c r="L800" s="4"/>
      <c r="M800" s="4"/>
      <c r="N800" s="4"/>
      <c r="O800" s="4"/>
      <c r="P800" s="4"/>
      <c r="Q800" s="4"/>
      <c r="R800" s="4"/>
      <c r="S800" s="4"/>
      <c r="T800" s="4"/>
    </row>
    <row r="801" ht="15.75" customHeight="1">
      <c r="B801" s="4"/>
      <c r="C801" s="4"/>
      <c r="D801" s="4"/>
      <c r="E801" s="4"/>
      <c r="F801" s="4"/>
      <c r="G801" s="4"/>
      <c r="H801" s="4"/>
      <c r="I801" s="4"/>
      <c r="J801" s="4"/>
      <c r="K801" s="4"/>
      <c r="L801" s="4"/>
      <c r="M801" s="4"/>
      <c r="N801" s="4"/>
      <c r="O801" s="4"/>
      <c r="P801" s="4"/>
      <c r="Q801" s="4"/>
      <c r="R801" s="4"/>
      <c r="S801" s="4"/>
      <c r="T801" s="4"/>
    </row>
    <row r="802" ht="15.75" customHeight="1">
      <c r="B802" s="4"/>
      <c r="C802" s="4"/>
      <c r="D802" s="4"/>
      <c r="E802" s="4"/>
      <c r="F802" s="4"/>
      <c r="G802" s="4"/>
      <c r="H802" s="4"/>
      <c r="I802" s="4"/>
      <c r="J802" s="4"/>
      <c r="K802" s="4"/>
      <c r="L802" s="4"/>
      <c r="M802" s="4"/>
      <c r="N802" s="4"/>
      <c r="O802" s="4"/>
      <c r="P802" s="4"/>
      <c r="Q802" s="4"/>
      <c r="R802" s="4"/>
      <c r="S802" s="4"/>
      <c r="T802" s="4"/>
    </row>
    <row r="803" ht="15.75" customHeight="1">
      <c r="B803" s="4"/>
      <c r="C803" s="4"/>
      <c r="D803" s="4"/>
      <c r="E803" s="4"/>
      <c r="F803" s="4"/>
      <c r="G803" s="4"/>
      <c r="H803" s="4"/>
      <c r="I803" s="4"/>
      <c r="J803" s="4"/>
      <c r="K803" s="4"/>
      <c r="L803" s="4"/>
      <c r="M803" s="4"/>
      <c r="N803" s="4"/>
      <c r="O803" s="4"/>
      <c r="P803" s="4"/>
      <c r="Q803" s="4"/>
      <c r="R803" s="4"/>
      <c r="S803" s="4"/>
      <c r="T803" s="4"/>
    </row>
    <row r="804" ht="15.75" customHeight="1">
      <c r="B804" s="4"/>
      <c r="C804" s="4"/>
      <c r="D804" s="4"/>
      <c r="E804" s="4"/>
      <c r="F804" s="4"/>
      <c r="G804" s="4"/>
      <c r="H804" s="4"/>
      <c r="I804" s="4"/>
      <c r="J804" s="4"/>
      <c r="K804" s="4"/>
      <c r="L804" s="4"/>
      <c r="M804" s="4"/>
      <c r="N804" s="4"/>
      <c r="O804" s="4"/>
      <c r="P804" s="4"/>
      <c r="Q804" s="4"/>
      <c r="R804" s="4"/>
      <c r="S804" s="4"/>
      <c r="T804" s="4"/>
    </row>
    <row r="805" ht="15.75" customHeight="1">
      <c r="B805" s="4"/>
      <c r="C805" s="4"/>
      <c r="D805" s="4"/>
      <c r="E805" s="4"/>
      <c r="F805" s="4"/>
      <c r="G805" s="4"/>
      <c r="H805" s="4"/>
      <c r="I805" s="4"/>
      <c r="J805" s="4"/>
      <c r="K805" s="4"/>
      <c r="L805" s="4"/>
      <c r="M805" s="4"/>
      <c r="N805" s="4"/>
      <c r="O805" s="4"/>
      <c r="P805" s="4"/>
      <c r="Q805" s="4"/>
      <c r="R805" s="4"/>
      <c r="S805" s="4"/>
      <c r="T805" s="4"/>
    </row>
    <row r="806" ht="15.75" customHeight="1">
      <c r="B806" s="4"/>
      <c r="C806" s="4"/>
      <c r="D806" s="4"/>
      <c r="E806" s="4"/>
      <c r="F806" s="4"/>
      <c r="G806" s="4"/>
      <c r="H806" s="4"/>
      <c r="I806" s="4"/>
      <c r="J806" s="4"/>
      <c r="K806" s="4"/>
      <c r="L806" s="4"/>
      <c r="M806" s="4"/>
      <c r="N806" s="4"/>
      <c r="O806" s="4"/>
      <c r="P806" s="4"/>
      <c r="Q806" s="4"/>
      <c r="R806" s="4"/>
      <c r="S806" s="4"/>
      <c r="T806" s="4"/>
    </row>
    <row r="807" ht="15.75" customHeight="1">
      <c r="B807" s="4"/>
      <c r="C807" s="4"/>
      <c r="D807" s="4"/>
      <c r="E807" s="4"/>
      <c r="F807" s="4"/>
      <c r="G807" s="4"/>
      <c r="H807" s="4"/>
      <c r="I807" s="4"/>
      <c r="J807" s="4"/>
      <c r="K807" s="4"/>
      <c r="L807" s="4"/>
      <c r="M807" s="4"/>
      <c r="N807" s="4"/>
      <c r="O807" s="4"/>
      <c r="P807" s="4"/>
      <c r="Q807" s="4"/>
      <c r="R807" s="4"/>
      <c r="S807" s="4"/>
      <c r="T807" s="4"/>
    </row>
    <row r="808" ht="15.75" customHeight="1">
      <c r="B808" s="4"/>
      <c r="C808" s="4"/>
      <c r="D808" s="4"/>
      <c r="E808" s="4"/>
      <c r="F808" s="4"/>
      <c r="G808" s="4"/>
      <c r="H808" s="4"/>
      <c r="I808" s="4"/>
      <c r="J808" s="4"/>
      <c r="K808" s="4"/>
      <c r="L808" s="4"/>
      <c r="M808" s="4"/>
      <c r="N808" s="4"/>
      <c r="O808" s="4"/>
      <c r="P808" s="4"/>
      <c r="Q808" s="4"/>
      <c r="R808" s="4"/>
      <c r="S808" s="4"/>
      <c r="T808" s="4"/>
    </row>
    <row r="809" ht="15.75" customHeight="1">
      <c r="B809" s="4"/>
      <c r="C809" s="4"/>
      <c r="D809" s="4"/>
      <c r="E809" s="4"/>
      <c r="F809" s="4"/>
      <c r="G809" s="4"/>
      <c r="H809" s="4"/>
      <c r="I809" s="4"/>
      <c r="J809" s="4"/>
      <c r="K809" s="4"/>
      <c r="L809" s="4"/>
      <c r="M809" s="4"/>
      <c r="N809" s="4"/>
      <c r="O809" s="4"/>
      <c r="P809" s="4"/>
      <c r="Q809" s="4"/>
      <c r="R809" s="4"/>
      <c r="S809" s="4"/>
      <c r="T809" s="4"/>
    </row>
    <row r="810" ht="15.75" customHeight="1">
      <c r="B810" s="4"/>
      <c r="C810" s="4"/>
      <c r="D810" s="4"/>
      <c r="E810" s="4"/>
      <c r="F810" s="4"/>
      <c r="G810" s="4"/>
      <c r="H810" s="4"/>
      <c r="I810" s="4"/>
      <c r="J810" s="4"/>
      <c r="K810" s="4"/>
      <c r="L810" s="4"/>
      <c r="M810" s="4"/>
      <c r="N810" s="4"/>
      <c r="O810" s="4"/>
      <c r="P810" s="4"/>
      <c r="Q810" s="4"/>
      <c r="R810" s="4"/>
      <c r="S810" s="4"/>
      <c r="T810" s="4"/>
    </row>
    <row r="811" ht="15.75" customHeight="1">
      <c r="B811" s="4"/>
      <c r="C811" s="4"/>
      <c r="D811" s="4"/>
      <c r="E811" s="4"/>
      <c r="F811" s="4"/>
      <c r="G811" s="4"/>
      <c r="H811" s="4"/>
      <c r="I811" s="4"/>
      <c r="J811" s="4"/>
      <c r="K811" s="4"/>
      <c r="L811" s="4"/>
      <c r="M811" s="4"/>
      <c r="N811" s="4"/>
      <c r="O811" s="4"/>
      <c r="P811" s="4"/>
      <c r="Q811" s="4"/>
      <c r="R811" s="4"/>
      <c r="S811" s="4"/>
      <c r="T811" s="4"/>
    </row>
    <row r="812" ht="15.75" customHeight="1">
      <c r="B812" s="4"/>
      <c r="C812" s="4"/>
      <c r="D812" s="4"/>
      <c r="E812" s="4"/>
      <c r="F812" s="4"/>
      <c r="G812" s="4"/>
      <c r="H812" s="4"/>
      <c r="I812" s="4"/>
      <c r="J812" s="4"/>
      <c r="K812" s="4"/>
      <c r="L812" s="4"/>
      <c r="M812" s="4"/>
      <c r="N812" s="4"/>
      <c r="O812" s="4"/>
      <c r="P812" s="4"/>
      <c r="Q812" s="4"/>
      <c r="R812" s="4"/>
      <c r="S812" s="4"/>
      <c r="T812" s="4"/>
    </row>
    <row r="813" ht="15.75" customHeight="1">
      <c r="B813" s="4"/>
      <c r="C813" s="4"/>
      <c r="D813" s="4"/>
      <c r="E813" s="4"/>
      <c r="F813" s="4"/>
      <c r="G813" s="4"/>
      <c r="H813" s="4"/>
      <c r="I813" s="4"/>
      <c r="J813" s="4"/>
      <c r="K813" s="4"/>
      <c r="L813" s="4"/>
      <c r="M813" s="4"/>
      <c r="N813" s="4"/>
      <c r="O813" s="4"/>
      <c r="P813" s="4"/>
      <c r="Q813" s="4"/>
      <c r="R813" s="4"/>
      <c r="S813" s="4"/>
      <c r="T813" s="4"/>
    </row>
    <row r="814" ht="15.75" customHeight="1">
      <c r="B814" s="4"/>
      <c r="C814" s="4"/>
      <c r="D814" s="4"/>
      <c r="E814" s="4"/>
      <c r="F814" s="4"/>
      <c r="G814" s="4"/>
      <c r="H814" s="4"/>
      <c r="I814" s="4"/>
      <c r="J814" s="4"/>
      <c r="K814" s="4"/>
      <c r="L814" s="4"/>
      <c r="M814" s="4"/>
      <c r="N814" s="4"/>
      <c r="O814" s="4"/>
      <c r="P814" s="4"/>
      <c r="Q814" s="4"/>
      <c r="R814" s="4"/>
      <c r="S814" s="4"/>
      <c r="T814" s="4"/>
    </row>
    <row r="815" ht="15.75" customHeight="1">
      <c r="B815" s="4"/>
      <c r="C815" s="4"/>
      <c r="D815" s="4"/>
      <c r="E815" s="4"/>
      <c r="F815" s="4"/>
      <c r="G815" s="4"/>
      <c r="H815" s="4"/>
      <c r="I815" s="4"/>
      <c r="J815" s="4"/>
      <c r="K815" s="4"/>
      <c r="L815" s="4"/>
      <c r="M815" s="4"/>
      <c r="N815" s="4"/>
      <c r="O815" s="4"/>
      <c r="P815" s="4"/>
      <c r="Q815" s="4"/>
      <c r="R815" s="4"/>
      <c r="S815" s="4"/>
      <c r="T815" s="4"/>
    </row>
    <row r="816" ht="15.75" customHeight="1">
      <c r="B816" s="4"/>
      <c r="C816" s="4"/>
      <c r="D816" s="4"/>
      <c r="E816" s="4"/>
      <c r="F816" s="4"/>
      <c r="G816" s="4"/>
      <c r="H816" s="4"/>
      <c r="I816" s="4"/>
      <c r="J816" s="4"/>
      <c r="K816" s="4"/>
      <c r="L816" s="4"/>
      <c r="M816" s="4"/>
      <c r="N816" s="4"/>
      <c r="O816" s="4"/>
      <c r="P816" s="4"/>
      <c r="Q816" s="4"/>
      <c r="R816" s="4"/>
      <c r="S816" s="4"/>
      <c r="T816" s="4"/>
    </row>
    <row r="817" ht="15.75" customHeight="1">
      <c r="B817" s="4"/>
      <c r="C817" s="4"/>
      <c r="D817" s="4"/>
      <c r="E817" s="4"/>
      <c r="F817" s="4"/>
      <c r="G817" s="4"/>
      <c r="H817" s="4"/>
      <c r="I817" s="4"/>
      <c r="J817" s="4"/>
      <c r="K817" s="4"/>
      <c r="L817" s="4"/>
      <c r="M817" s="4"/>
      <c r="N817" s="4"/>
      <c r="O817" s="4"/>
      <c r="P817" s="4"/>
      <c r="Q817" s="4"/>
      <c r="R817" s="4"/>
      <c r="S817" s="4"/>
      <c r="T817" s="4"/>
    </row>
    <row r="818" ht="15.75" customHeight="1">
      <c r="B818" s="4"/>
      <c r="C818" s="4"/>
      <c r="D818" s="4"/>
      <c r="E818" s="4"/>
      <c r="F818" s="4"/>
      <c r="G818" s="4"/>
      <c r="H818" s="4"/>
      <c r="I818" s="4"/>
      <c r="J818" s="4"/>
      <c r="K818" s="4"/>
      <c r="L818" s="4"/>
      <c r="M818" s="4"/>
      <c r="N818" s="4"/>
      <c r="O818" s="4"/>
      <c r="P818" s="4"/>
      <c r="Q818" s="4"/>
      <c r="R818" s="4"/>
      <c r="S818" s="4"/>
      <c r="T818" s="4"/>
    </row>
    <row r="819" ht="15.75" customHeight="1">
      <c r="B819" s="4"/>
      <c r="C819" s="4"/>
      <c r="D819" s="4"/>
      <c r="E819" s="4"/>
      <c r="F819" s="4"/>
      <c r="G819" s="4"/>
      <c r="H819" s="4"/>
      <c r="I819" s="4"/>
      <c r="J819" s="4"/>
      <c r="K819" s="4"/>
      <c r="L819" s="4"/>
      <c r="M819" s="4"/>
      <c r="N819" s="4"/>
      <c r="O819" s="4"/>
      <c r="P819" s="4"/>
      <c r="Q819" s="4"/>
      <c r="R819" s="4"/>
      <c r="S819" s="4"/>
      <c r="T819" s="4"/>
    </row>
    <row r="820" ht="15.75" customHeight="1">
      <c r="B820" s="4"/>
      <c r="C820" s="4"/>
      <c r="D820" s="4"/>
      <c r="E820" s="4"/>
      <c r="F820" s="4"/>
      <c r="G820" s="4"/>
      <c r="H820" s="4"/>
      <c r="I820" s="4"/>
      <c r="J820" s="4"/>
      <c r="K820" s="4"/>
      <c r="L820" s="4"/>
      <c r="M820" s="4"/>
      <c r="N820" s="4"/>
      <c r="O820" s="4"/>
      <c r="P820" s="4"/>
      <c r="Q820" s="4"/>
      <c r="R820" s="4"/>
      <c r="S820" s="4"/>
      <c r="T820" s="4"/>
    </row>
    <row r="821" ht="15.75" customHeight="1">
      <c r="B821" s="4"/>
      <c r="C821" s="4"/>
      <c r="D821" s="4"/>
      <c r="E821" s="4"/>
      <c r="F821" s="4"/>
      <c r="G821" s="4"/>
      <c r="H821" s="4"/>
      <c r="I821" s="4"/>
      <c r="J821" s="4"/>
      <c r="K821" s="4"/>
      <c r="L821" s="4"/>
      <c r="M821" s="4"/>
      <c r="N821" s="4"/>
      <c r="O821" s="4"/>
      <c r="P821" s="4"/>
      <c r="Q821" s="4"/>
      <c r="R821" s="4"/>
      <c r="S821" s="4"/>
      <c r="T821" s="4"/>
    </row>
    <row r="822" ht="15.75" customHeight="1">
      <c r="B822" s="4"/>
      <c r="C822" s="4"/>
      <c r="D822" s="4"/>
      <c r="E822" s="4"/>
      <c r="F822" s="4"/>
      <c r="G822" s="4"/>
      <c r="H822" s="4"/>
      <c r="I822" s="4"/>
      <c r="J822" s="4"/>
      <c r="K822" s="4"/>
      <c r="L822" s="4"/>
      <c r="M822" s="4"/>
      <c r="N822" s="4"/>
      <c r="O822" s="4"/>
      <c r="P822" s="4"/>
      <c r="Q822" s="4"/>
      <c r="R822" s="4"/>
      <c r="S822" s="4"/>
      <c r="T822" s="4"/>
    </row>
    <row r="823" ht="15.75" customHeight="1">
      <c r="B823" s="4"/>
      <c r="C823" s="4"/>
      <c r="D823" s="4"/>
      <c r="E823" s="4"/>
      <c r="F823" s="4"/>
      <c r="G823" s="4"/>
      <c r="H823" s="4"/>
      <c r="I823" s="4"/>
      <c r="J823" s="4"/>
      <c r="K823" s="4"/>
      <c r="L823" s="4"/>
      <c r="M823" s="4"/>
      <c r="N823" s="4"/>
      <c r="O823" s="4"/>
      <c r="P823" s="4"/>
      <c r="Q823" s="4"/>
      <c r="R823" s="4"/>
      <c r="S823" s="4"/>
      <c r="T823" s="4"/>
    </row>
    <row r="824" ht="15.75" customHeight="1">
      <c r="B824" s="4"/>
      <c r="C824" s="4"/>
      <c r="D824" s="4"/>
      <c r="E824" s="4"/>
      <c r="F824" s="4"/>
      <c r="G824" s="4"/>
      <c r="H824" s="4"/>
      <c r="I824" s="4"/>
      <c r="J824" s="4"/>
      <c r="K824" s="4"/>
      <c r="L824" s="4"/>
      <c r="M824" s="4"/>
      <c r="N824" s="4"/>
      <c r="O824" s="4"/>
      <c r="P824" s="4"/>
      <c r="Q824" s="4"/>
      <c r="R824" s="4"/>
      <c r="S824" s="4"/>
      <c r="T824" s="4"/>
    </row>
    <row r="825" ht="15.75" customHeight="1">
      <c r="B825" s="4"/>
      <c r="C825" s="4"/>
      <c r="D825" s="4"/>
      <c r="E825" s="4"/>
      <c r="F825" s="4"/>
      <c r="G825" s="4"/>
      <c r="H825" s="4"/>
      <c r="I825" s="4"/>
      <c r="J825" s="4"/>
      <c r="K825" s="4"/>
      <c r="L825" s="4"/>
      <c r="M825" s="4"/>
      <c r="N825" s="4"/>
      <c r="O825" s="4"/>
      <c r="P825" s="4"/>
      <c r="Q825" s="4"/>
      <c r="R825" s="4"/>
      <c r="S825" s="4"/>
      <c r="T825" s="4"/>
    </row>
    <row r="826" ht="15.75" customHeight="1">
      <c r="B826" s="4"/>
      <c r="C826" s="4"/>
      <c r="D826" s="4"/>
      <c r="E826" s="4"/>
      <c r="F826" s="4"/>
      <c r="G826" s="4"/>
      <c r="H826" s="4"/>
      <c r="I826" s="4"/>
      <c r="J826" s="4"/>
      <c r="K826" s="4"/>
      <c r="L826" s="4"/>
      <c r="M826" s="4"/>
      <c r="N826" s="4"/>
      <c r="O826" s="4"/>
      <c r="P826" s="4"/>
      <c r="Q826" s="4"/>
      <c r="R826" s="4"/>
      <c r="S826" s="4"/>
      <c r="T826" s="4"/>
    </row>
    <row r="827" ht="15.75" customHeight="1">
      <c r="B827" s="4"/>
      <c r="C827" s="4"/>
      <c r="D827" s="4"/>
      <c r="E827" s="4"/>
      <c r="F827" s="4"/>
      <c r="G827" s="4"/>
      <c r="H827" s="4"/>
      <c r="I827" s="4"/>
      <c r="J827" s="4"/>
      <c r="K827" s="4"/>
      <c r="L827" s="4"/>
      <c r="M827" s="4"/>
      <c r="N827" s="4"/>
      <c r="O827" s="4"/>
      <c r="P827" s="4"/>
      <c r="Q827" s="4"/>
      <c r="R827" s="4"/>
      <c r="S827" s="4"/>
      <c r="T827" s="4"/>
    </row>
    <row r="828" ht="15.75" customHeight="1">
      <c r="B828" s="4"/>
      <c r="C828" s="4"/>
      <c r="D828" s="4"/>
      <c r="E828" s="4"/>
      <c r="F828" s="4"/>
      <c r="G828" s="4"/>
      <c r="H828" s="4"/>
      <c r="I828" s="4"/>
      <c r="J828" s="4"/>
      <c r="K828" s="4"/>
      <c r="L828" s="4"/>
      <c r="M828" s="4"/>
      <c r="N828" s="4"/>
      <c r="O828" s="4"/>
      <c r="P828" s="4"/>
      <c r="Q828" s="4"/>
      <c r="R828" s="4"/>
      <c r="S828" s="4"/>
      <c r="T828" s="4"/>
    </row>
    <row r="829" ht="15.75" customHeight="1">
      <c r="B829" s="4"/>
      <c r="C829" s="4"/>
      <c r="D829" s="4"/>
      <c r="E829" s="4"/>
      <c r="F829" s="4"/>
      <c r="G829" s="4"/>
      <c r="H829" s="4"/>
      <c r="I829" s="4"/>
      <c r="J829" s="4"/>
      <c r="K829" s="4"/>
      <c r="L829" s="4"/>
      <c r="M829" s="4"/>
      <c r="N829" s="4"/>
      <c r="O829" s="4"/>
      <c r="P829" s="4"/>
      <c r="Q829" s="4"/>
      <c r="R829" s="4"/>
      <c r="S829" s="4"/>
      <c r="T829" s="4"/>
    </row>
    <row r="830" ht="15.75" customHeight="1">
      <c r="B830" s="4"/>
      <c r="C830" s="4"/>
      <c r="D830" s="4"/>
      <c r="E830" s="4"/>
      <c r="F830" s="4"/>
      <c r="G830" s="4"/>
      <c r="H830" s="4"/>
      <c r="I830" s="4"/>
      <c r="J830" s="4"/>
      <c r="K830" s="4"/>
      <c r="L830" s="4"/>
      <c r="M830" s="4"/>
      <c r="N830" s="4"/>
      <c r="O830" s="4"/>
      <c r="P830" s="4"/>
      <c r="Q830" s="4"/>
      <c r="R830" s="4"/>
      <c r="S830" s="4"/>
      <c r="T830" s="4"/>
    </row>
    <row r="831" ht="15.75" customHeight="1">
      <c r="B831" s="4"/>
      <c r="C831" s="4"/>
      <c r="D831" s="4"/>
      <c r="E831" s="4"/>
      <c r="F831" s="4"/>
      <c r="G831" s="4"/>
      <c r="H831" s="4"/>
      <c r="I831" s="4"/>
      <c r="J831" s="4"/>
      <c r="K831" s="4"/>
      <c r="L831" s="4"/>
      <c r="M831" s="4"/>
      <c r="N831" s="4"/>
      <c r="O831" s="4"/>
      <c r="P831" s="4"/>
      <c r="Q831" s="4"/>
      <c r="R831" s="4"/>
      <c r="S831" s="4"/>
      <c r="T831" s="4"/>
    </row>
    <row r="832" ht="15.75" customHeight="1">
      <c r="B832" s="4"/>
      <c r="C832" s="4"/>
      <c r="D832" s="4"/>
      <c r="E832" s="4"/>
      <c r="F832" s="4"/>
      <c r="G832" s="4"/>
      <c r="H832" s="4"/>
      <c r="I832" s="4"/>
      <c r="J832" s="4"/>
      <c r="K832" s="4"/>
      <c r="L832" s="4"/>
      <c r="M832" s="4"/>
      <c r="N832" s="4"/>
      <c r="O832" s="4"/>
      <c r="P832" s="4"/>
      <c r="Q832" s="4"/>
      <c r="R832" s="4"/>
      <c r="S832" s="4"/>
      <c r="T832" s="4"/>
    </row>
    <row r="833" ht="15.75" customHeight="1">
      <c r="B833" s="4"/>
      <c r="C833" s="4"/>
      <c r="D833" s="4"/>
      <c r="E833" s="4"/>
      <c r="F833" s="4"/>
      <c r="G833" s="4"/>
      <c r="H833" s="4"/>
      <c r="I833" s="4"/>
      <c r="J833" s="4"/>
      <c r="K833" s="4"/>
      <c r="L833" s="4"/>
      <c r="M833" s="4"/>
      <c r="N833" s="4"/>
      <c r="O833" s="4"/>
      <c r="P833" s="4"/>
      <c r="Q833" s="4"/>
      <c r="R833" s="4"/>
      <c r="S833" s="4"/>
      <c r="T833" s="4"/>
    </row>
    <row r="834" ht="15.75" customHeight="1">
      <c r="B834" s="4"/>
      <c r="C834" s="4"/>
      <c r="D834" s="4"/>
      <c r="E834" s="4"/>
      <c r="F834" s="4"/>
      <c r="G834" s="4"/>
      <c r="H834" s="4"/>
      <c r="I834" s="4"/>
      <c r="J834" s="4"/>
      <c r="K834" s="4"/>
      <c r="L834" s="4"/>
      <c r="M834" s="4"/>
      <c r="N834" s="4"/>
      <c r="O834" s="4"/>
      <c r="P834" s="4"/>
      <c r="Q834" s="4"/>
      <c r="R834" s="4"/>
      <c r="S834" s="4"/>
      <c r="T834" s="4"/>
    </row>
    <row r="835" ht="15.75" customHeight="1">
      <c r="B835" s="4"/>
      <c r="C835" s="4"/>
      <c r="D835" s="4"/>
      <c r="E835" s="4"/>
      <c r="F835" s="4"/>
      <c r="G835" s="4"/>
      <c r="H835" s="4"/>
      <c r="I835" s="4"/>
      <c r="J835" s="4"/>
      <c r="K835" s="4"/>
      <c r="L835" s="4"/>
      <c r="M835" s="4"/>
      <c r="N835" s="4"/>
      <c r="O835" s="4"/>
      <c r="P835" s="4"/>
      <c r="Q835" s="4"/>
      <c r="R835" s="4"/>
      <c r="S835" s="4"/>
      <c r="T835" s="4"/>
    </row>
    <row r="836" ht="15.75" customHeight="1">
      <c r="B836" s="4"/>
      <c r="C836" s="4"/>
      <c r="D836" s="4"/>
      <c r="E836" s="4"/>
      <c r="F836" s="4"/>
      <c r="G836" s="4"/>
      <c r="H836" s="4"/>
      <c r="I836" s="4"/>
      <c r="J836" s="4"/>
      <c r="K836" s="4"/>
      <c r="L836" s="4"/>
      <c r="M836" s="4"/>
      <c r="N836" s="4"/>
      <c r="O836" s="4"/>
      <c r="P836" s="4"/>
      <c r="Q836" s="4"/>
      <c r="R836" s="4"/>
      <c r="S836" s="4"/>
      <c r="T836" s="4"/>
    </row>
    <row r="837" ht="15.75" customHeight="1">
      <c r="B837" s="4"/>
      <c r="C837" s="4"/>
      <c r="D837" s="4"/>
      <c r="E837" s="4"/>
      <c r="F837" s="4"/>
      <c r="G837" s="4"/>
      <c r="H837" s="4"/>
      <c r="I837" s="4"/>
      <c r="J837" s="4"/>
      <c r="K837" s="4"/>
      <c r="L837" s="4"/>
      <c r="M837" s="4"/>
      <c r="N837" s="4"/>
      <c r="O837" s="4"/>
      <c r="P837" s="4"/>
      <c r="Q837" s="4"/>
      <c r="R837" s="4"/>
      <c r="S837" s="4"/>
      <c r="T837" s="4"/>
    </row>
    <row r="838" ht="15.75" customHeight="1">
      <c r="B838" s="4"/>
      <c r="C838" s="4"/>
      <c r="D838" s="4"/>
      <c r="E838" s="4"/>
      <c r="F838" s="4"/>
      <c r="G838" s="4"/>
      <c r="H838" s="4"/>
      <c r="I838" s="4"/>
      <c r="J838" s="4"/>
      <c r="K838" s="4"/>
      <c r="L838" s="4"/>
      <c r="M838" s="4"/>
      <c r="N838" s="4"/>
      <c r="O838" s="4"/>
      <c r="P838" s="4"/>
      <c r="Q838" s="4"/>
      <c r="R838" s="4"/>
      <c r="S838" s="4"/>
      <c r="T838" s="4"/>
    </row>
    <row r="839" ht="15.75" customHeight="1">
      <c r="B839" s="4"/>
      <c r="C839" s="4"/>
      <c r="D839" s="4"/>
      <c r="E839" s="4"/>
      <c r="F839" s="4"/>
      <c r="G839" s="4"/>
      <c r="H839" s="4"/>
      <c r="I839" s="4"/>
      <c r="J839" s="4"/>
      <c r="K839" s="4"/>
      <c r="L839" s="4"/>
      <c r="M839" s="4"/>
      <c r="N839" s="4"/>
      <c r="O839" s="4"/>
      <c r="P839" s="4"/>
      <c r="Q839" s="4"/>
      <c r="R839" s="4"/>
      <c r="S839" s="4"/>
      <c r="T839" s="4"/>
    </row>
    <row r="840" ht="15.75" customHeight="1">
      <c r="B840" s="4"/>
      <c r="C840" s="4"/>
      <c r="D840" s="4"/>
      <c r="E840" s="4"/>
      <c r="F840" s="4"/>
      <c r="G840" s="4"/>
      <c r="H840" s="4"/>
      <c r="I840" s="4"/>
      <c r="J840" s="4"/>
      <c r="K840" s="4"/>
      <c r="L840" s="4"/>
      <c r="M840" s="4"/>
      <c r="N840" s="4"/>
      <c r="O840" s="4"/>
      <c r="P840" s="4"/>
      <c r="Q840" s="4"/>
      <c r="R840" s="4"/>
      <c r="S840" s="4"/>
      <c r="T840" s="4"/>
    </row>
    <row r="841" ht="15.75" customHeight="1">
      <c r="B841" s="4"/>
      <c r="C841" s="4"/>
      <c r="D841" s="4"/>
      <c r="E841" s="4"/>
      <c r="F841" s="4"/>
      <c r="G841" s="4"/>
      <c r="H841" s="4"/>
      <c r="I841" s="4"/>
      <c r="J841" s="4"/>
      <c r="K841" s="4"/>
      <c r="L841" s="4"/>
      <c r="M841" s="4"/>
      <c r="N841" s="4"/>
      <c r="O841" s="4"/>
      <c r="P841" s="4"/>
      <c r="Q841" s="4"/>
      <c r="R841" s="4"/>
      <c r="S841" s="4"/>
      <c r="T841" s="4"/>
    </row>
    <row r="842" ht="15.75" customHeight="1">
      <c r="B842" s="4"/>
      <c r="C842" s="4"/>
      <c r="D842" s="4"/>
      <c r="E842" s="4"/>
      <c r="F842" s="4"/>
      <c r="G842" s="4"/>
      <c r="H842" s="4"/>
      <c r="I842" s="4"/>
      <c r="J842" s="4"/>
      <c r="K842" s="4"/>
      <c r="L842" s="4"/>
      <c r="M842" s="4"/>
      <c r="N842" s="4"/>
      <c r="O842" s="4"/>
      <c r="P842" s="4"/>
      <c r="Q842" s="4"/>
      <c r="R842" s="4"/>
      <c r="S842" s="4"/>
      <c r="T842" s="4"/>
    </row>
    <row r="843" ht="15.75" customHeight="1">
      <c r="B843" s="4"/>
      <c r="C843" s="4"/>
      <c r="D843" s="4"/>
      <c r="E843" s="4"/>
      <c r="F843" s="4"/>
      <c r="G843" s="4"/>
      <c r="H843" s="4"/>
      <c r="I843" s="4"/>
      <c r="J843" s="4"/>
      <c r="K843" s="4"/>
      <c r="L843" s="4"/>
      <c r="M843" s="4"/>
      <c r="N843" s="4"/>
      <c r="O843" s="4"/>
      <c r="P843" s="4"/>
      <c r="Q843" s="4"/>
      <c r="R843" s="4"/>
      <c r="S843" s="4"/>
      <c r="T843" s="4"/>
    </row>
    <row r="844" ht="15.75" customHeight="1">
      <c r="B844" s="4"/>
      <c r="C844" s="4"/>
      <c r="D844" s="4"/>
      <c r="E844" s="4"/>
      <c r="F844" s="4"/>
      <c r="G844" s="4"/>
      <c r="H844" s="4"/>
      <c r="I844" s="4"/>
      <c r="J844" s="4"/>
      <c r="K844" s="4"/>
      <c r="L844" s="4"/>
      <c r="M844" s="4"/>
      <c r="N844" s="4"/>
      <c r="O844" s="4"/>
      <c r="P844" s="4"/>
      <c r="Q844" s="4"/>
      <c r="R844" s="4"/>
      <c r="S844" s="4"/>
      <c r="T844" s="4"/>
    </row>
    <row r="845" ht="15.75" customHeight="1">
      <c r="B845" s="4"/>
      <c r="C845" s="4"/>
      <c r="D845" s="4"/>
      <c r="E845" s="4"/>
      <c r="F845" s="4"/>
      <c r="G845" s="4"/>
      <c r="H845" s="4"/>
      <c r="I845" s="4"/>
      <c r="J845" s="4"/>
      <c r="K845" s="4"/>
      <c r="L845" s="4"/>
      <c r="M845" s="4"/>
      <c r="N845" s="4"/>
      <c r="O845" s="4"/>
      <c r="P845" s="4"/>
      <c r="Q845" s="4"/>
      <c r="R845" s="4"/>
      <c r="S845" s="4"/>
      <c r="T845" s="4"/>
    </row>
    <row r="846" ht="15.75" customHeight="1">
      <c r="B846" s="4"/>
      <c r="C846" s="4"/>
      <c r="D846" s="4"/>
      <c r="E846" s="4"/>
      <c r="F846" s="4"/>
      <c r="G846" s="4"/>
      <c r="H846" s="4"/>
      <c r="I846" s="4"/>
      <c r="J846" s="4"/>
      <c r="K846" s="4"/>
      <c r="L846" s="4"/>
      <c r="M846" s="4"/>
      <c r="N846" s="4"/>
      <c r="O846" s="4"/>
      <c r="P846" s="4"/>
      <c r="Q846" s="4"/>
      <c r="R846" s="4"/>
      <c r="S846" s="4"/>
      <c r="T846" s="4"/>
    </row>
    <row r="847" ht="15.75" customHeight="1">
      <c r="B847" s="4"/>
      <c r="C847" s="4"/>
      <c r="D847" s="4"/>
      <c r="E847" s="4"/>
      <c r="F847" s="4"/>
      <c r="G847" s="4"/>
      <c r="H847" s="4"/>
      <c r="I847" s="4"/>
      <c r="J847" s="4"/>
      <c r="K847" s="4"/>
      <c r="L847" s="4"/>
      <c r="M847" s="4"/>
      <c r="N847" s="4"/>
      <c r="O847" s="4"/>
      <c r="P847" s="4"/>
      <c r="Q847" s="4"/>
      <c r="R847" s="4"/>
      <c r="S847" s="4"/>
      <c r="T847" s="4"/>
    </row>
    <row r="848" ht="15.75" customHeight="1">
      <c r="B848" s="4"/>
      <c r="C848" s="4"/>
      <c r="D848" s="4"/>
      <c r="E848" s="4"/>
      <c r="F848" s="4"/>
      <c r="G848" s="4"/>
      <c r="H848" s="4"/>
      <c r="I848" s="4"/>
      <c r="J848" s="4"/>
      <c r="K848" s="4"/>
      <c r="L848" s="4"/>
      <c r="M848" s="4"/>
      <c r="N848" s="4"/>
      <c r="O848" s="4"/>
      <c r="P848" s="4"/>
      <c r="Q848" s="4"/>
      <c r="R848" s="4"/>
      <c r="S848" s="4"/>
      <c r="T848" s="4"/>
    </row>
    <row r="849" ht="15.75" customHeight="1">
      <c r="B849" s="4"/>
      <c r="C849" s="4"/>
      <c r="D849" s="4"/>
      <c r="E849" s="4"/>
      <c r="F849" s="4"/>
      <c r="G849" s="4"/>
      <c r="H849" s="4"/>
      <c r="I849" s="4"/>
      <c r="J849" s="4"/>
      <c r="K849" s="4"/>
      <c r="L849" s="4"/>
      <c r="M849" s="4"/>
      <c r="N849" s="4"/>
      <c r="O849" s="4"/>
      <c r="P849" s="4"/>
      <c r="Q849" s="4"/>
      <c r="R849" s="4"/>
      <c r="S849" s="4"/>
      <c r="T849" s="4"/>
    </row>
    <row r="850" ht="15.75" customHeight="1">
      <c r="B850" s="4"/>
      <c r="C850" s="4"/>
      <c r="D850" s="4"/>
      <c r="E850" s="4"/>
      <c r="F850" s="4"/>
      <c r="G850" s="4"/>
      <c r="H850" s="4"/>
      <c r="I850" s="4"/>
      <c r="J850" s="4"/>
      <c r="K850" s="4"/>
      <c r="L850" s="4"/>
      <c r="M850" s="4"/>
      <c r="N850" s="4"/>
      <c r="O850" s="4"/>
      <c r="P850" s="4"/>
      <c r="Q850" s="4"/>
      <c r="R850" s="4"/>
      <c r="S850" s="4"/>
      <c r="T850" s="4"/>
    </row>
    <row r="851" ht="15.75" customHeight="1">
      <c r="B851" s="4"/>
      <c r="C851" s="4"/>
      <c r="D851" s="4"/>
      <c r="E851" s="4"/>
      <c r="F851" s="4"/>
      <c r="G851" s="4"/>
      <c r="H851" s="4"/>
      <c r="I851" s="4"/>
      <c r="J851" s="4"/>
      <c r="K851" s="4"/>
      <c r="L851" s="4"/>
      <c r="M851" s="4"/>
      <c r="N851" s="4"/>
      <c r="O851" s="4"/>
      <c r="P851" s="4"/>
      <c r="Q851" s="4"/>
      <c r="R851" s="4"/>
      <c r="S851" s="4"/>
      <c r="T851" s="4"/>
    </row>
    <row r="852" ht="15.75" customHeight="1">
      <c r="B852" s="4"/>
      <c r="C852" s="4"/>
      <c r="D852" s="4"/>
      <c r="E852" s="4"/>
      <c r="F852" s="4"/>
      <c r="G852" s="4"/>
      <c r="H852" s="4"/>
      <c r="I852" s="4"/>
      <c r="J852" s="4"/>
      <c r="K852" s="4"/>
      <c r="L852" s="4"/>
      <c r="M852" s="4"/>
      <c r="N852" s="4"/>
      <c r="O852" s="4"/>
      <c r="P852" s="4"/>
      <c r="Q852" s="4"/>
      <c r="R852" s="4"/>
      <c r="S852" s="4"/>
      <c r="T852" s="4"/>
    </row>
    <row r="853" ht="15.75" customHeight="1">
      <c r="B853" s="4"/>
      <c r="C853" s="4"/>
      <c r="D853" s="4"/>
      <c r="E853" s="4"/>
      <c r="F853" s="4"/>
      <c r="G853" s="4"/>
      <c r="H853" s="4"/>
      <c r="I853" s="4"/>
      <c r="J853" s="4"/>
      <c r="K853" s="4"/>
      <c r="L853" s="4"/>
      <c r="M853" s="4"/>
      <c r="N853" s="4"/>
      <c r="O853" s="4"/>
      <c r="P853" s="4"/>
      <c r="Q853" s="4"/>
      <c r="R853" s="4"/>
      <c r="S853" s="4"/>
      <c r="T853" s="4"/>
    </row>
    <row r="854" ht="15.75" customHeight="1">
      <c r="B854" s="4"/>
      <c r="C854" s="4"/>
      <c r="D854" s="4"/>
      <c r="E854" s="4"/>
      <c r="F854" s="4"/>
      <c r="G854" s="4"/>
      <c r="H854" s="4"/>
      <c r="I854" s="4"/>
      <c r="J854" s="4"/>
      <c r="K854" s="4"/>
      <c r="L854" s="4"/>
      <c r="M854" s="4"/>
      <c r="N854" s="4"/>
      <c r="O854" s="4"/>
      <c r="P854" s="4"/>
      <c r="Q854" s="4"/>
      <c r="R854" s="4"/>
      <c r="S854" s="4"/>
      <c r="T854" s="4"/>
    </row>
    <row r="855" ht="15.75" customHeight="1">
      <c r="B855" s="4"/>
      <c r="C855" s="4"/>
      <c r="D855" s="4"/>
      <c r="E855" s="4"/>
      <c r="F855" s="4"/>
      <c r="G855" s="4"/>
      <c r="H855" s="4"/>
      <c r="I855" s="4"/>
      <c r="J855" s="4"/>
      <c r="K855" s="4"/>
      <c r="L855" s="4"/>
      <c r="M855" s="4"/>
      <c r="N855" s="4"/>
      <c r="O855" s="4"/>
      <c r="P855" s="4"/>
      <c r="Q855" s="4"/>
      <c r="R855" s="4"/>
      <c r="S855" s="4"/>
      <c r="T855" s="4"/>
    </row>
    <row r="856" ht="15.75" customHeight="1">
      <c r="B856" s="4"/>
      <c r="C856" s="4"/>
      <c r="D856" s="4"/>
      <c r="E856" s="4"/>
      <c r="F856" s="4"/>
      <c r="G856" s="4"/>
      <c r="H856" s="4"/>
      <c r="I856" s="4"/>
      <c r="J856" s="4"/>
      <c r="K856" s="4"/>
      <c r="L856" s="4"/>
      <c r="M856" s="4"/>
      <c r="N856" s="4"/>
      <c r="O856" s="4"/>
      <c r="P856" s="4"/>
      <c r="Q856" s="4"/>
      <c r="R856" s="4"/>
      <c r="S856" s="4"/>
      <c r="T856" s="4"/>
    </row>
    <row r="857" ht="15.75" customHeight="1">
      <c r="B857" s="4"/>
      <c r="C857" s="4"/>
      <c r="D857" s="4"/>
      <c r="E857" s="4"/>
      <c r="F857" s="4"/>
      <c r="G857" s="4"/>
      <c r="H857" s="4"/>
      <c r="I857" s="4"/>
      <c r="J857" s="4"/>
      <c r="K857" s="4"/>
      <c r="L857" s="4"/>
      <c r="M857" s="4"/>
      <c r="N857" s="4"/>
      <c r="O857" s="4"/>
      <c r="P857" s="4"/>
      <c r="Q857" s="4"/>
      <c r="R857" s="4"/>
      <c r="S857" s="4"/>
      <c r="T857" s="4"/>
    </row>
    <row r="858" ht="15.75" customHeight="1">
      <c r="B858" s="4"/>
      <c r="C858" s="4"/>
      <c r="D858" s="4"/>
      <c r="E858" s="4"/>
      <c r="F858" s="4"/>
      <c r="G858" s="4"/>
      <c r="H858" s="4"/>
      <c r="I858" s="4"/>
      <c r="J858" s="4"/>
      <c r="K858" s="4"/>
      <c r="L858" s="4"/>
      <c r="M858" s="4"/>
      <c r="N858" s="4"/>
      <c r="O858" s="4"/>
      <c r="P858" s="4"/>
      <c r="Q858" s="4"/>
      <c r="R858" s="4"/>
      <c r="S858" s="4"/>
      <c r="T858" s="4"/>
    </row>
    <row r="859" ht="15.75" customHeight="1">
      <c r="B859" s="4"/>
      <c r="C859" s="4"/>
      <c r="D859" s="4"/>
      <c r="E859" s="4"/>
      <c r="F859" s="4"/>
      <c r="G859" s="4"/>
      <c r="H859" s="4"/>
      <c r="I859" s="4"/>
      <c r="J859" s="4"/>
      <c r="K859" s="4"/>
      <c r="L859" s="4"/>
      <c r="M859" s="4"/>
      <c r="N859" s="4"/>
      <c r="O859" s="4"/>
      <c r="P859" s="4"/>
      <c r="Q859" s="4"/>
      <c r="R859" s="4"/>
      <c r="S859" s="4"/>
      <c r="T859" s="4"/>
    </row>
    <row r="860" ht="15.75" customHeight="1">
      <c r="B860" s="4"/>
      <c r="C860" s="4"/>
      <c r="D860" s="4"/>
      <c r="E860" s="4"/>
      <c r="F860" s="4"/>
      <c r="G860" s="4"/>
      <c r="H860" s="4"/>
      <c r="I860" s="4"/>
      <c r="J860" s="4"/>
      <c r="K860" s="4"/>
      <c r="L860" s="4"/>
      <c r="M860" s="4"/>
      <c r="N860" s="4"/>
      <c r="O860" s="4"/>
      <c r="P860" s="4"/>
      <c r="Q860" s="4"/>
      <c r="R860" s="4"/>
      <c r="S860" s="4"/>
      <c r="T860" s="4"/>
    </row>
    <row r="861" ht="15.75" customHeight="1">
      <c r="B861" s="4"/>
      <c r="C861" s="4"/>
      <c r="D861" s="4"/>
      <c r="E861" s="4"/>
      <c r="F861" s="4"/>
      <c r="G861" s="4"/>
      <c r="H861" s="4"/>
      <c r="I861" s="4"/>
      <c r="J861" s="4"/>
      <c r="K861" s="4"/>
      <c r="L861" s="4"/>
      <c r="M861" s="4"/>
      <c r="N861" s="4"/>
      <c r="O861" s="4"/>
      <c r="P861" s="4"/>
      <c r="Q861" s="4"/>
      <c r="R861" s="4"/>
      <c r="S861" s="4"/>
      <c r="T861" s="4"/>
    </row>
    <row r="862" ht="15.75" customHeight="1">
      <c r="B862" s="4"/>
      <c r="C862" s="4"/>
      <c r="D862" s="4"/>
      <c r="E862" s="4"/>
      <c r="F862" s="4"/>
      <c r="G862" s="4"/>
      <c r="H862" s="4"/>
      <c r="I862" s="4"/>
      <c r="J862" s="4"/>
      <c r="K862" s="4"/>
      <c r="L862" s="4"/>
      <c r="M862" s="4"/>
      <c r="N862" s="4"/>
      <c r="O862" s="4"/>
      <c r="P862" s="4"/>
      <c r="Q862" s="4"/>
      <c r="R862" s="4"/>
      <c r="S862" s="4"/>
      <c r="T862" s="4"/>
    </row>
    <row r="863" ht="15.75" customHeight="1">
      <c r="B863" s="4"/>
      <c r="C863" s="4"/>
      <c r="D863" s="4"/>
      <c r="E863" s="4"/>
      <c r="F863" s="4"/>
      <c r="G863" s="4"/>
      <c r="H863" s="4"/>
      <c r="I863" s="4"/>
      <c r="J863" s="4"/>
      <c r="K863" s="4"/>
      <c r="L863" s="4"/>
      <c r="M863" s="4"/>
      <c r="N863" s="4"/>
      <c r="O863" s="4"/>
      <c r="P863" s="4"/>
      <c r="Q863" s="4"/>
      <c r="R863" s="4"/>
      <c r="S863" s="4"/>
      <c r="T863" s="4"/>
    </row>
    <row r="864" ht="15.75" customHeight="1">
      <c r="B864" s="4"/>
      <c r="C864" s="4"/>
      <c r="D864" s="4"/>
      <c r="E864" s="4"/>
      <c r="F864" s="4"/>
      <c r="G864" s="4"/>
      <c r="H864" s="4"/>
      <c r="I864" s="4"/>
      <c r="J864" s="4"/>
      <c r="K864" s="4"/>
      <c r="L864" s="4"/>
      <c r="M864" s="4"/>
      <c r="N864" s="4"/>
      <c r="O864" s="4"/>
      <c r="P864" s="4"/>
      <c r="Q864" s="4"/>
      <c r="R864" s="4"/>
      <c r="S864" s="4"/>
      <c r="T864" s="4"/>
    </row>
    <row r="865" ht="15.75" customHeight="1">
      <c r="B865" s="4"/>
      <c r="C865" s="4"/>
      <c r="D865" s="4"/>
      <c r="E865" s="4"/>
      <c r="F865" s="4"/>
      <c r="G865" s="4"/>
      <c r="H865" s="4"/>
      <c r="I865" s="4"/>
      <c r="J865" s="4"/>
      <c r="K865" s="4"/>
      <c r="L865" s="4"/>
      <c r="M865" s="4"/>
      <c r="N865" s="4"/>
      <c r="O865" s="4"/>
      <c r="P865" s="4"/>
      <c r="Q865" s="4"/>
      <c r="R865" s="4"/>
      <c r="S865" s="4"/>
      <c r="T865" s="4"/>
    </row>
    <row r="866" ht="15.75" customHeight="1">
      <c r="B866" s="4"/>
      <c r="C866" s="4"/>
      <c r="D866" s="4"/>
      <c r="E866" s="4"/>
      <c r="F866" s="4"/>
      <c r="G866" s="4"/>
      <c r="H866" s="4"/>
      <c r="I866" s="4"/>
      <c r="J866" s="4"/>
      <c r="K866" s="4"/>
      <c r="L866" s="4"/>
      <c r="M866" s="4"/>
      <c r="N866" s="4"/>
      <c r="O866" s="4"/>
      <c r="P866" s="4"/>
      <c r="Q866" s="4"/>
      <c r="R866" s="4"/>
      <c r="S866" s="4"/>
      <c r="T866" s="4"/>
    </row>
    <row r="867" ht="15.75" customHeight="1">
      <c r="B867" s="4"/>
      <c r="C867" s="4"/>
      <c r="D867" s="4"/>
      <c r="E867" s="4"/>
      <c r="F867" s="4"/>
      <c r="G867" s="4"/>
      <c r="H867" s="4"/>
      <c r="I867" s="4"/>
      <c r="J867" s="4"/>
      <c r="K867" s="4"/>
      <c r="L867" s="4"/>
      <c r="M867" s="4"/>
      <c r="N867" s="4"/>
      <c r="O867" s="4"/>
      <c r="P867" s="4"/>
      <c r="Q867" s="4"/>
      <c r="R867" s="4"/>
      <c r="S867" s="4"/>
      <c r="T867" s="4"/>
    </row>
    <row r="868" ht="15.75" customHeight="1">
      <c r="B868" s="4"/>
      <c r="C868" s="4"/>
      <c r="D868" s="4"/>
      <c r="E868" s="4"/>
      <c r="F868" s="4"/>
      <c r="G868" s="4"/>
      <c r="H868" s="4"/>
      <c r="I868" s="4"/>
      <c r="J868" s="4"/>
      <c r="K868" s="4"/>
      <c r="L868" s="4"/>
      <c r="M868" s="4"/>
      <c r="N868" s="4"/>
      <c r="O868" s="4"/>
      <c r="P868" s="4"/>
      <c r="Q868" s="4"/>
      <c r="R868" s="4"/>
      <c r="S868" s="4"/>
      <c r="T868" s="4"/>
    </row>
    <row r="869" ht="15.75" customHeight="1">
      <c r="B869" s="4"/>
      <c r="C869" s="4"/>
      <c r="D869" s="4"/>
      <c r="E869" s="4"/>
      <c r="F869" s="4"/>
      <c r="G869" s="4"/>
      <c r="H869" s="4"/>
      <c r="I869" s="4"/>
      <c r="J869" s="4"/>
      <c r="K869" s="4"/>
      <c r="L869" s="4"/>
      <c r="M869" s="4"/>
      <c r="N869" s="4"/>
      <c r="O869" s="4"/>
      <c r="P869" s="4"/>
      <c r="Q869" s="4"/>
      <c r="R869" s="4"/>
      <c r="S869" s="4"/>
      <c r="T869" s="4"/>
    </row>
    <row r="870" ht="15.75" customHeight="1">
      <c r="B870" s="4"/>
      <c r="C870" s="4"/>
      <c r="D870" s="4"/>
      <c r="E870" s="4"/>
      <c r="F870" s="4"/>
      <c r="G870" s="4"/>
      <c r="H870" s="4"/>
      <c r="I870" s="4"/>
      <c r="J870" s="4"/>
      <c r="K870" s="4"/>
      <c r="L870" s="4"/>
      <c r="M870" s="4"/>
      <c r="N870" s="4"/>
      <c r="O870" s="4"/>
      <c r="P870" s="4"/>
      <c r="Q870" s="4"/>
      <c r="R870" s="4"/>
      <c r="S870" s="4"/>
      <c r="T870" s="4"/>
    </row>
    <row r="871" ht="15.75" customHeight="1">
      <c r="B871" s="4"/>
      <c r="C871" s="4"/>
      <c r="D871" s="4"/>
      <c r="E871" s="4"/>
      <c r="F871" s="4"/>
      <c r="G871" s="4"/>
      <c r="H871" s="4"/>
      <c r="I871" s="4"/>
      <c r="J871" s="4"/>
      <c r="K871" s="4"/>
      <c r="L871" s="4"/>
      <c r="M871" s="4"/>
      <c r="N871" s="4"/>
      <c r="O871" s="4"/>
      <c r="P871" s="4"/>
      <c r="Q871" s="4"/>
      <c r="R871" s="4"/>
      <c r="S871" s="4"/>
      <c r="T871" s="4"/>
    </row>
    <row r="872" ht="15.75" customHeight="1">
      <c r="B872" s="4"/>
      <c r="C872" s="4"/>
      <c r="D872" s="4"/>
      <c r="E872" s="4"/>
      <c r="F872" s="4"/>
      <c r="G872" s="4"/>
      <c r="H872" s="4"/>
      <c r="I872" s="4"/>
      <c r="J872" s="4"/>
      <c r="K872" s="4"/>
      <c r="L872" s="4"/>
      <c r="M872" s="4"/>
      <c r="N872" s="4"/>
      <c r="O872" s="4"/>
      <c r="P872" s="4"/>
      <c r="Q872" s="4"/>
      <c r="R872" s="4"/>
      <c r="S872" s="4"/>
      <c r="T872" s="4"/>
    </row>
    <row r="873" ht="15.75" customHeight="1">
      <c r="B873" s="4"/>
      <c r="C873" s="4"/>
      <c r="D873" s="4"/>
      <c r="E873" s="4"/>
      <c r="F873" s="4"/>
      <c r="G873" s="4"/>
      <c r="H873" s="4"/>
      <c r="I873" s="4"/>
      <c r="J873" s="4"/>
      <c r="K873" s="4"/>
      <c r="L873" s="4"/>
      <c r="M873" s="4"/>
      <c r="N873" s="4"/>
      <c r="O873" s="4"/>
      <c r="P873" s="4"/>
      <c r="Q873" s="4"/>
      <c r="R873" s="4"/>
      <c r="S873" s="4"/>
      <c r="T873" s="4"/>
    </row>
    <row r="874" ht="15.75" customHeight="1">
      <c r="B874" s="4"/>
      <c r="C874" s="4"/>
      <c r="D874" s="4"/>
      <c r="E874" s="4"/>
      <c r="F874" s="4"/>
      <c r="G874" s="4"/>
      <c r="H874" s="4"/>
      <c r="I874" s="4"/>
      <c r="J874" s="4"/>
      <c r="K874" s="4"/>
      <c r="L874" s="4"/>
      <c r="M874" s="4"/>
      <c r="N874" s="4"/>
      <c r="O874" s="4"/>
      <c r="P874" s="4"/>
      <c r="Q874" s="4"/>
      <c r="R874" s="4"/>
      <c r="S874" s="4"/>
      <c r="T874" s="4"/>
    </row>
    <row r="875" ht="15.75" customHeight="1">
      <c r="B875" s="4"/>
      <c r="C875" s="4"/>
      <c r="D875" s="4"/>
      <c r="E875" s="4"/>
      <c r="F875" s="4"/>
      <c r="G875" s="4"/>
      <c r="H875" s="4"/>
      <c r="I875" s="4"/>
      <c r="J875" s="4"/>
      <c r="K875" s="4"/>
      <c r="L875" s="4"/>
      <c r="M875" s="4"/>
      <c r="N875" s="4"/>
      <c r="O875" s="4"/>
      <c r="P875" s="4"/>
      <c r="Q875" s="4"/>
      <c r="R875" s="4"/>
      <c r="S875" s="4"/>
      <c r="T875" s="4"/>
    </row>
    <row r="876" ht="15.75" customHeight="1">
      <c r="B876" s="4"/>
      <c r="C876" s="4"/>
      <c r="D876" s="4"/>
      <c r="E876" s="4"/>
      <c r="F876" s="4"/>
      <c r="G876" s="4"/>
      <c r="H876" s="4"/>
      <c r="I876" s="4"/>
      <c r="J876" s="4"/>
      <c r="K876" s="4"/>
      <c r="L876" s="4"/>
      <c r="M876" s="4"/>
      <c r="N876" s="4"/>
      <c r="O876" s="4"/>
      <c r="P876" s="4"/>
      <c r="Q876" s="4"/>
      <c r="R876" s="4"/>
      <c r="S876" s="4"/>
      <c r="T876" s="4"/>
    </row>
    <row r="877" ht="15.75" customHeight="1">
      <c r="B877" s="4"/>
      <c r="C877" s="4"/>
      <c r="D877" s="4"/>
      <c r="E877" s="4"/>
      <c r="F877" s="4"/>
      <c r="G877" s="4"/>
      <c r="H877" s="4"/>
      <c r="I877" s="4"/>
      <c r="J877" s="4"/>
      <c r="K877" s="4"/>
      <c r="L877" s="4"/>
      <c r="M877" s="4"/>
      <c r="N877" s="4"/>
      <c r="O877" s="4"/>
      <c r="P877" s="4"/>
      <c r="Q877" s="4"/>
      <c r="R877" s="4"/>
      <c r="S877" s="4"/>
      <c r="T877" s="4"/>
    </row>
    <row r="878" ht="15.75" customHeight="1">
      <c r="B878" s="4"/>
      <c r="C878" s="4"/>
      <c r="D878" s="4"/>
      <c r="E878" s="4"/>
      <c r="F878" s="4"/>
      <c r="G878" s="4"/>
      <c r="H878" s="4"/>
      <c r="I878" s="4"/>
      <c r="J878" s="4"/>
      <c r="K878" s="4"/>
      <c r="L878" s="4"/>
      <c r="M878" s="4"/>
      <c r="N878" s="4"/>
      <c r="O878" s="4"/>
      <c r="P878" s="4"/>
      <c r="Q878" s="4"/>
      <c r="R878" s="4"/>
      <c r="S878" s="4"/>
      <c r="T878" s="4"/>
    </row>
    <row r="879" ht="15.75" customHeight="1">
      <c r="B879" s="4"/>
      <c r="C879" s="4"/>
      <c r="D879" s="4"/>
      <c r="E879" s="4"/>
      <c r="F879" s="4"/>
      <c r="G879" s="4"/>
      <c r="H879" s="4"/>
      <c r="I879" s="4"/>
      <c r="J879" s="4"/>
      <c r="K879" s="4"/>
      <c r="L879" s="4"/>
      <c r="M879" s="4"/>
      <c r="N879" s="4"/>
      <c r="O879" s="4"/>
      <c r="P879" s="4"/>
      <c r="Q879" s="4"/>
      <c r="R879" s="4"/>
      <c r="S879" s="4"/>
      <c r="T879" s="4"/>
    </row>
    <row r="880" ht="15.75" customHeight="1">
      <c r="B880" s="4"/>
      <c r="C880" s="4"/>
      <c r="D880" s="4"/>
      <c r="E880" s="4"/>
      <c r="F880" s="4"/>
      <c r="G880" s="4"/>
      <c r="H880" s="4"/>
      <c r="I880" s="4"/>
      <c r="J880" s="4"/>
      <c r="K880" s="4"/>
      <c r="L880" s="4"/>
      <c r="M880" s="4"/>
      <c r="N880" s="4"/>
      <c r="O880" s="4"/>
      <c r="P880" s="4"/>
      <c r="Q880" s="4"/>
      <c r="R880" s="4"/>
      <c r="S880" s="4"/>
      <c r="T880" s="4"/>
    </row>
    <row r="881" ht="15.75" customHeight="1">
      <c r="B881" s="4"/>
      <c r="C881" s="4"/>
      <c r="D881" s="4"/>
      <c r="E881" s="4"/>
      <c r="F881" s="4"/>
      <c r="G881" s="4"/>
      <c r="H881" s="4"/>
      <c r="I881" s="4"/>
      <c r="J881" s="4"/>
      <c r="K881" s="4"/>
      <c r="L881" s="4"/>
      <c r="M881" s="4"/>
      <c r="N881" s="4"/>
      <c r="O881" s="4"/>
      <c r="P881" s="4"/>
      <c r="Q881" s="4"/>
      <c r="R881" s="4"/>
      <c r="S881" s="4"/>
      <c r="T881" s="4"/>
    </row>
    <row r="882" ht="15.75" customHeight="1">
      <c r="B882" s="4"/>
      <c r="C882" s="4"/>
      <c r="D882" s="4"/>
      <c r="E882" s="4"/>
      <c r="F882" s="4"/>
      <c r="G882" s="4"/>
      <c r="H882" s="4"/>
      <c r="I882" s="4"/>
      <c r="J882" s="4"/>
      <c r="K882" s="4"/>
      <c r="L882" s="4"/>
      <c r="M882" s="4"/>
      <c r="N882" s="4"/>
      <c r="O882" s="4"/>
      <c r="P882" s="4"/>
      <c r="Q882" s="4"/>
      <c r="R882" s="4"/>
      <c r="S882" s="4"/>
      <c r="T882" s="4"/>
    </row>
    <row r="883" ht="15.75" customHeight="1">
      <c r="B883" s="4"/>
      <c r="C883" s="4"/>
      <c r="D883" s="4"/>
      <c r="E883" s="4"/>
      <c r="F883" s="4"/>
      <c r="G883" s="4"/>
      <c r="H883" s="4"/>
      <c r="I883" s="4"/>
      <c r="J883" s="4"/>
      <c r="K883" s="4"/>
      <c r="L883" s="4"/>
      <c r="M883" s="4"/>
      <c r="N883" s="4"/>
      <c r="O883" s="4"/>
      <c r="P883" s="4"/>
      <c r="Q883" s="4"/>
      <c r="R883" s="4"/>
      <c r="S883" s="4"/>
      <c r="T883" s="4"/>
    </row>
    <row r="884" ht="15.75" customHeight="1">
      <c r="B884" s="4"/>
      <c r="C884" s="4"/>
      <c r="D884" s="4"/>
      <c r="E884" s="4"/>
      <c r="F884" s="4"/>
      <c r="G884" s="4"/>
      <c r="H884" s="4"/>
      <c r="I884" s="4"/>
      <c r="J884" s="4"/>
      <c r="K884" s="4"/>
      <c r="L884" s="4"/>
      <c r="M884" s="4"/>
      <c r="N884" s="4"/>
      <c r="O884" s="4"/>
      <c r="P884" s="4"/>
      <c r="Q884" s="4"/>
      <c r="R884" s="4"/>
      <c r="S884" s="4"/>
      <c r="T884" s="4"/>
    </row>
    <row r="885" ht="15.75" customHeight="1">
      <c r="B885" s="4"/>
      <c r="C885" s="4"/>
      <c r="D885" s="4"/>
      <c r="E885" s="4"/>
      <c r="F885" s="4"/>
      <c r="G885" s="4"/>
      <c r="H885" s="4"/>
      <c r="I885" s="4"/>
      <c r="J885" s="4"/>
      <c r="K885" s="4"/>
      <c r="L885" s="4"/>
      <c r="M885" s="4"/>
      <c r="N885" s="4"/>
      <c r="O885" s="4"/>
      <c r="P885" s="4"/>
      <c r="Q885" s="4"/>
      <c r="R885" s="4"/>
      <c r="S885" s="4"/>
      <c r="T885" s="4"/>
    </row>
    <row r="886" ht="15.75" customHeight="1">
      <c r="B886" s="4"/>
      <c r="C886" s="4"/>
      <c r="D886" s="4"/>
      <c r="E886" s="4"/>
      <c r="F886" s="4"/>
      <c r="G886" s="4"/>
      <c r="H886" s="4"/>
      <c r="I886" s="4"/>
      <c r="J886" s="4"/>
      <c r="K886" s="4"/>
      <c r="L886" s="4"/>
      <c r="M886" s="4"/>
      <c r="N886" s="4"/>
      <c r="O886" s="4"/>
      <c r="P886" s="4"/>
      <c r="Q886" s="4"/>
      <c r="R886" s="4"/>
      <c r="S886" s="4"/>
      <c r="T886" s="4"/>
    </row>
    <row r="887" ht="15.75" customHeight="1">
      <c r="B887" s="4"/>
      <c r="C887" s="4"/>
      <c r="D887" s="4"/>
      <c r="E887" s="4"/>
      <c r="F887" s="4"/>
      <c r="G887" s="4"/>
      <c r="H887" s="4"/>
      <c r="I887" s="4"/>
      <c r="J887" s="4"/>
      <c r="K887" s="4"/>
      <c r="L887" s="4"/>
      <c r="M887" s="4"/>
      <c r="N887" s="4"/>
      <c r="O887" s="4"/>
      <c r="P887" s="4"/>
      <c r="Q887" s="4"/>
      <c r="R887" s="4"/>
      <c r="S887" s="4"/>
      <c r="T887" s="4"/>
    </row>
    <row r="888" ht="15.75" customHeight="1">
      <c r="B888" s="4"/>
      <c r="C888" s="4"/>
      <c r="D888" s="4"/>
      <c r="E888" s="4"/>
      <c r="F888" s="4"/>
      <c r="G888" s="4"/>
      <c r="H888" s="4"/>
      <c r="I888" s="4"/>
      <c r="J888" s="4"/>
      <c r="K888" s="4"/>
      <c r="L888" s="4"/>
      <c r="M888" s="4"/>
      <c r="N888" s="4"/>
      <c r="O888" s="4"/>
      <c r="P888" s="4"/>
      <c r="Q888" s="4"/>
      <c r="R888" s="4"/>
      <c r="S888" s="4"/>
      <c r="T888" s="4"/>
    </row>
    <row r="889" ht="15.75" customHeight="1">
      <c r="B889" s="4"/>
      <c r="C889" s="4"/>
      <c r="D889" s="4"/>
      <c r="E889" s="4"/>
      <c r="F889" s="4"/>
      <c r="G889" s="4"/>
      <c r="H889" s="4"/>
      <c r="I889" s="4"/>
      <c r="J889" s="4"/>
      <c r="K889" s="4"/>
      <c r="L889" s="4"/>
      <c r="M889" s="4"/>
      <c r="N889" s="4"/>
      <c r="O889" s="4"/>
      <c r="P889" s="4"/>
      <c r="Q889" s="4"/>
      <c r="R889" s="4"/>
      <c r="S889" s="4"/>
      <c r="T889" s="4"/>
    </row>
    <row r="890" ht="15.75" customHeight="1">
      <c r="B890" s="4"/>
      <c r="C890" s="4"/>
      <c r="D890" s="4"/>
      <c r="E890" s="4"/>
      <c r="F890" s="4"/>
      <c r="G890" s="4"/>
      <c r="H890" s="4"/>
      <c r="I890" s="4"/>
      <c r="J890" s="4"/>
      <c r="K890" s="4"/>
      <c r="L890" s="4"/>
      <c r="M890" s="4"/>
      <c r="N890" s="4"/>
      <c r="O890" s="4"/>
      <c r="P890" s="4"/>
      <c r="Q890" s="4"/>
      <c r="R890" s="4"/>
      <c r="S890" s="4"/>
      <c r="T890" s="4"/>
    </row>
    <row r="891" ht="15.75" customHeight="1">
      <c r="B891" s="4"/>
      <c r="C891" s="4"/>
      <c r="D891" s="4"/>
      <c r="E891" s="4"/>
      <c r="F891" s="4"/>
      <c r="G891" s="4"/>
      <c r="H891" s="4"/>
      <c r="I891" s="4"/>
      <c r="J891" s="4"/>
      <c r="K891" s="4"/>
      <c r="L891" s="4"/>
      <c r="M891" s="4"/>
      <c r="N891" s="4"/>
      <c r="O891" s="4"/>
      <c r="P891" s="4"/>
      <c r="Q891" s="4"/>
      <c r="R891" s="4"/>
      <c r="S891" s="4"/>
      <c r="T891" s="4"/>
    </row>
    <row r="892" ht="15.75" customHeight="1">
      <c r="B892" s="4"/>
      <c r="C892" s="4"/>
      <c r="D892" s="4"/>
      <c r="E892" s="4"/>
      <c r="F892" s="4"/>
      <c r="G892" s="4"/>
      <c r="H892" s="4"/>
      <c r="I892" s="4"/>
      <c r="J892" s="4"/>
      <c r="K892" s="4"/>
      <c r="L892" s="4"/>
      <c r="M892" s="4"/>
      <c r="N892" s="4"/>
      <c r="O892" s="4"/>
      <c r="P892" s="4"/>
      <c r="Q892" s="4"/>
      <c r="R892" s="4"/>
      <c r="S892" s="4"/>
      <c r="T892" s="4"/>
    </row>
    <row r="893" ht="15.75" customHeight="1">
      <c r="B893" s="4"/>
      <c r="C893" s="4"/>
      <c r="D893" s="4"/>
      <c r="E893" s="4"/>
      <c r="F893" s="4"/>
      <c r="G893" s="4"/>
      <c r="H893" s="4"/>
      <c r="I893" s="4"/>
      <c r="J893" s="4"/>
      <c r="K893" s="4"/>
      <c r="L893" s="4"/>
      <c r="M893" s="4"/>
      <c r="N893" s="4"/>
      <c r="O893" s="4"/>
      <c r="P893" s="4"/>
      <c r="Q893" s="4"/>
      <c r="R893" s="4"/>
      <c r="S893" s="4"/>
      <c r="T893" s="4"/>
    </row>
    <row r="894" ht="15.75" customHeight="1">
      <c r="B894" s="4"/>
      <c r="C894" s="4"/>
      <c r="D894" s="4"/>
      <c r="E894" s="4"/>
      <c r="F894" s="4"/>
      <c r="G894" s="4"/>
      <c r="H894" s="4"/>
      <c r="I894" s="4"/>
      <c r="J894" s="4"/>
      <c r="K894" s="4"/>
      <c r="L894" s="4"/>
      <c r="M894" s="4"/>
      <c r="N894" s="4"/>
      <c r="O894" s="4"/>
      <c r="P894" s="4"/>
      <c r="Q894" s="4"/>
      <c r="R894" s="4"/>
      <c r="S894" s="4"/>
      <c r="T894" s="4"/>
    </row>
    <row r="895" ht="15.75" customHeight="1">
      <c r="B895" s="4"/>
      <c r="C895" s="4"/>
      <c r="D895" s="4"/>
      <c r="E895" s="4"/>
      <c r="F895" s="4"/>
      <c r="G895" s="4"/>
      <c r="H895" s="4"/>
      <c r="I895" s="4"/>
      <c r="J895" s="4"/>
      <c r="K895" s="4"/>
      <c r="L895" s="4"/>
      <c r="M895" s="4"/>
      <c r="N895" s="4"/>
      <c r="O895" s="4"/>
      <c r="P895" s="4"/>
      <c r="Q895" s="4"/>
      <c r="R895" s="4"/>
      <c r="S895" s="4"/>
      <c r="T895" s="4"/>
    </row>
    <row r="896" ht="15.75" customHeight="1">
      <c r="B896" s="4"/>
      <c r="C896" s="4"/>
      <c r="D896" s="4"/>
      <c r="E896" s="4"/>
      <c r="F896" s="4"/>
      <c r="G896" s="4"/>
      <c r="H896" s="4"/>
      <c r="I896" s="4"/>
      <c r="J896" s="4"/>
      <c r="K896" s="4"/>
      <c r="L896" s="4"/>
      <c r="M896" s="4"/>
      <c r="N896" s="4"/>
      <c r="O896" s="4"/>
      <c r="P896" s="4"/>
      <c r="Q896" s="4"/>
      <c r="R896" s="4"/>
      <c r="S896" s="4"/>
      <c r="T896" s="4"/>
    </row>
    <row r="897" ht="15.75" customHeight="1">
      <c r="B897" s="4"/>
      <c r="C897" s="4"/>
      <c r="D897" s="4"/>
      <c r="E897" s="4"/>
      <c r="F897" s="4"/>
      <c r="G897" s="4"/>
      <c r="H897" s="4"/>
      <c r="I897" s="4"/>
      <c r="J897" s="4"/>
      <c r="K897" s="4"/>
      <c r="L897" s="4"/>
      <c r="M897" s="4"/>
      <c r="N897" s="4"/>
      <c r="O897" s="4"/>
      <c r="P897" s="4"/>
      <c r="Q897" s="4"/>
      <c r="R897" s="4"/>
      <c r="S897" s="4"/>
      <c r="T897" s="4"/>
    </row>
    <row r="898" ht="15.75" customHeight="1">
      <c r="B898" s="4"/>
      <c r="C898" s="4"/>
      <c r="D898" s="4"/>
      <c r="E898" s="4"/>
      <c r="F898" s="4"/>
      <c r="G898" s="4"/>
      <c r="H898" s="4"/>
      <c r="I898" s="4"/>
      <c r="J898" s="4"/>
      <c r="K898" s="4"/>
      <c r="L898" s="4"/>
      <c r="M898" s="4"/>
      <c r="N898" s="4"/>
      <c r="O898" s="4"/>
      <c r="P898" s="4"/>
      <c r="Q898" s="4"/>
      <c r="R898" s="4"/>
      <c r="S898" s="4"/>
      <c r="T898" s="4"/>
    </row>
    <row r="899" ht="15.75" customHeight="1">
      <c r="B899" s="4"/>
      <c r="C899" s="4"/>
      <c r="D899" s="4"/>
      <c r="E899" s="4"/>
      <c r="F899" s="4"/>
      <c r="G899" s="4"/>
      <c r="H899" s="4"/>
      <c r="I899" s="4"/>
      <c r="J899" s="4"/>
      <c r="K899" s="4"/>
      <c r="L899" s="4"/>
      <c r="M899" s="4"/>
      <c r="N899" s="4"/>
      <c r="O899" s="4"/>
      <c r="P899" s="4"/>
      <c r="Q899" s="4"/>
      <c r="R899" s="4"/>
      <c r="S899" s="4"/>
      <c r="T899" s="4"/>
    </row>
    <row r="900" ht="15.75" customHeight="1">
      <c r="B900" s="4"/>
      <c r="C900" s="4"/>
      <c r="D900" s="4"/>
      <c r="E900" s="4"/>
      <c r="F900" s="4"/>
      <c r="G900" s="4"/>
      <c r="H900" s="4"/>
      <c r="I900" s="4"/>
      <c r="J900" s="4"/>
      <c r="K900" s="4"/>
      <c r="L900" s="4"/>
      <c r="M900" s="4"/>
      <c r="N900" s="4"/>
      <c r="O900" s="4"/>
      <c r="P900" s="4"/>
      <c r="Q900" s="4"/>
      <c r="R900" s="4"/>
      <c r="S900" s="4"/>
      <c r="T900" s="4"/>
    </row>
    <row r="901" ht="15.75" customHeight="1">
      <c r="B901" s="4"/>
      <c r="C901" s="4"/>
      <c r="D901" s="4"/>
      <c r="E901" s="4"/>
      <c r="F901" s="4"/>
      <c r="G901" s="4"/>
      <c r="H901" s="4"/>
      <c r="I901" s="4"/>
      <c r="J901" s="4"/>
      <c r="K901" s="4"/>
      <c r="L901" s="4"/>
      <c r="M901" s="4"/>
      <c r="N901" s="4"/>
      <c r="O901" s="4"/>
      <c r="P901" s="4"/>
      <c r="Q901" s="4"/>
      <c r="R901" s="4"/>
      <c r="S901" s="4"/>
      <c r="T901" s="4"/>
    </row>
    <row r="902" ht="15.75" customHeight="1">
      <c r="B902" s="4"/>
      <c r="C902" s="4"/>
      <c r="D902" s="4"/>
      <c r="E902" s="4"/>
      <c r="F902" s="4"/>
      <c r="G902" s="4"/>
      <c r="H902" s="4"/>
      <c r="I902" s="4"/>
      <c r="J902" s="4"/>
      <c r="K902" s="4"/>
      <c r="L902" s="4"/>
      <c r="M902" s="4"/>
      <c r="N902" s="4"/>
      <c r="O902" s="4"/>
      <c r="P902" s="4"/>
      <c r="Q902" s="4"/>
      <c r="R902" s="4"/>
      <c r="S902" s="4"/>
      <c r="T902" s="4"/>
    </row>
    <row r="903" ht="15.75" customHeight="1">
      <c r="B903" s="4"/>
      <c r="C903" s="4"/>
      <c r="D903" s="4"/>
      <c r="E903" s="4"/>
      <c r="F903" s="4"/>
      <c r="G903" s="4"/>
      <c r="H903" s="4"/>
      <c r="I903" s="4"/>
      <c r="J903" s="4"/>
      <c r="K903" s="4"/>
      <c r="L903" s="4"/>
      <c r="M903" s="4"/>
      <c r="N903" s="4"/>
      <c r="O903" s="4"/>
      <c r="P903" s="4"/>
      <c r="Q903" s="4"/>
      <c r="R903" s="4"/>
      <c r="S903" s="4"/>
      <c r="T903" s="4"/>
    </row>
    <row r="904" ht="15.75" customHeight="1">
      <c r="B904" s="4"/>
      <c r="C904" s="4"/>
      <c r="D904" s="4"/>
      <c r="E904" s="4"/>
      <c r="F904" s="4"/>
      <c r="G904" s="4"/>
      <c r="H904" s="4"/>
      <c r="I904" s="4"/>
      <c r="J904" s="4"/>
      <c r="K904" s="4"/>
      <c r="L904" s="4"/>
      <c r="M904" s="4"/>
      <c r="N904" s="4"/>
      <c r="O904" s="4"/>
      <c r="P904" s="4"/>
      <c r="Q904" s="4"/>
      <c r="R904" s="4"/>
      <c r="S904" s="4"/>
      <c r="T904" s="4"/>
    </row>
    <row r="905" ht="15.75" customHeight="1">
      <c r="B905" s="4"/>
      <c r="C905" s="4"/>
      <c r="D905" s="4"/>
      <c r="E905" s="4"/>
      <c r="F905" s="4"/>
      <c r="G905" s="4"/>
      <c r="H905" s="4"/>
      <c r="I905" s="4"/>
      <c r="J905" s="4"/>
      <c r="K905" s="4"/>
      <c r="L905" s="4"/>
      <c r="M905" s="4"/>
      <c r="N905" s="4"/>
      <c r="O905" s="4"/>
      <c r="P905" s="4"/>
      <c r="Q905" s="4"/>
      <c r="R905" s="4"/>
      <c r="S905" s="4"/>
      <c r="T905" s="4"/>
    </row>
    <row r="906" ht="15.75" customHeight="1">
      <c r="B906" s="4"/>
      <c r="C906" s="4"/>
      <c r="D906" s="4"/>
      <c r="E906" s="4"/>
      <c r="F906" s="4"/>
      <c r="G906" s="4"/>
      <c r="H906" s="4"/>
      <c r="I906" s="4"/>
      <c r="J906" s="4"/>
      <c r="K906" s="4"/>
      <c r="L906" s="4"/>
      <c r="M906" s="4"/>
      <c r="N906" s="4"/>
      <c r="O906" s="4"/>
      <c r="P906" s="4"/>
      <c r="Q906" s="4"/>
      <c r="R906" s="4"/>
      <c r="S906" s="4"/>
      <c r="T906" s="4"/>
    </row>
    <row r="907" ht="15.75" customHeight="1">
      <c r="B907" s="4"/>
      <c r="C907" s="4"/>
      <c r="D907" s="4"/>
      <c r="E907" s="4"/>
      <c r="F907" s="4"/>
      <c r="G907" s="4"/>
      <c r="H907" s="4"/>
      <c r="I907" s="4"/>
      <c r="J907" s="4"/>
      <c r="K907" s="4"/>
      <c r="L907" s="4"/>
      <c r="M907" s="4"/>
      <c r="N907" s="4"/>
      <c r="O907" s="4"/>
      <c r="P907" s="4"/>
      <c r="Q907" s="4"/>
      <c r="R907" s="4"/>
      <c r="S907" s="4"/>
      <c r="T907" s="4"/>
    </row>
    <row r="908" ht="15.75" customHeight="1">
      <c r="B908" s="4"/>
      <c r="C908" s="4"/>
      <c r="D908" s="4"/>
      <c r="E908" s="4"/>
      <c r="F908" s="4"/>
      <c r="G908" s="4"/>
      <c r="H908" s="4"/>
      <c r="I908" s="4"/>
      <c r="J908" s="4"/>
      <c r="K908" s="4"/>
      <c r="L908" s="4"/>
      <c r="M908" s="4"/>
      <c r="N908" s="4"/>
      <c r="O908" s="4"/>
      <c r="P908" s="4"/>
      <c r="Q908" s="4"/>
      <c r="R908" s="4"/>
      <c r="S908" s="4"/>
      <c r="T908" s="4"/>
    </row>
    <row r="909" ht="15.75" customHeight="1">
      <c r="B909" s="4"/>
      <c r="C909" s="4"/>
      <c r="D909" s="4"/>
      <c r="E909" s="4"/>
      <c r="F909" s="4"/>
      <c r="G909" s="4"/>
      <c r="H909" s="4"/>
      <c r="I909" s="4"/>
      <c r="J909" s="4"/>
      <c r="K909" s="4"/>
      <c r="L909" s="4"/>
      <c r="M909" s="4"/>
      <c r="N909" s="4"/>
      <c r="O909" s="4"/>
      <c r="P909" s="4"/>
      <c r="Q909" s="4"/>
      <c r="R909" s="4"/>
      <c r="S909" s="4"/>
      <c r="T909" s="4"/>
    </row>
    <row r="910" ht="15.75" customHeight="1">
      <c r="B910" s="4"/>
      <c r="C910" s="4"/>
      <c r="D910" s="4"/>
      <c r="E910" s="4"/>
      <c r="F910" s="4"/>
      <c r="G910" s="4"/>
      <c r="H910" s="4"/>
      <c r="I910" s="4"/>
      <c r="J910" s="4"/>
      <c r="K910" s="4"/>
      <c r="L910" s="4"/>
      <c r="M910" s="4"/>
      <c r="N910" s="4"/>
      <c r="O910" s="4"/>
      <c r="P910" s="4"/>
      <c r="Q910" s="4"/>
      <c r="R910" s="4"/>
      <c r="S910" s="4"/>
      <c r="T910" s="4"/>
    </row>
    <row r="911" ht="15.75" customHeight="1">
      <c r="B911" s="4"/>
      <c r="C911" s="4"/>
      <c r="D911" s="4"/>
      <c r="E911" s="4"/>
      <c r="F911" s="4"/>
      <c r="G911" s="4"/>
      <c r="H911" s="4"/>
      <c r="I911" s="4"/>
      <c r="J911" s="4"/>
      <c r="K911" s="4"/>
      <c r="L911" s="4"/>
      <c r="M911" s="4"/>
      <c r="N911" s="4"/>
      <c r="O911" s="4"/>
      <c r="P911" s="4"/>
      <c r="Q911" s="4"/>
      <c r="R911" s="4"/>
      <c r="S911" s="4"/>
      <c r="T911" s="4"/>
    </row>
    <row r="912" ht="15.75" customHeight="1">
      <c r="B912" s="4"/>
      <c r="C912" s="4"/>
      <c r="D912" s="4"/>
      <c r="E912" s="4"/>
      <c r="F912" s="4"/>
      <c r="G912" s="4"/>
      <c r="H912" s="4"/>
      <c r="I912" s="4"/>
      <c r="J912" s="4"/>
      <c r="K912" s="4"/>
      <c r="L912" s="4"/>
      <c r="M912" s="4"/>
      <c r="N912" s="4"/>
      <c r="O912" s="4"/>
      <c r="P912" s="4"/>
      <c r="Q912" s="4"/>
      <c r="R912" s="4"/>
      <c r="S912" s="4"/>
      <c r="T912" s="4"/>
    </row>
    <row r="913" ht="15.75" customHeight="1">
      <c r="B913" s="4"/>
      <c r="C913" s="4"/>
      <c r="D913" s="4"/>
      <c r="E913" s="4"/>
      <c r="F913" s="4"/>
      <c r="G913" s="4"/>
      <c r="H913" s="4"/>
      <c r="I913" s="4"/>
      <c r="J913" s="4"/>
      <c r="K913" s="4"/>
      <c r="L913" s="4"/>
      <c r="M913" s="4"/>
      <c r="N913" s="4"/>
      <c r="O913" s="4"/>
      <c r="P913" s="4"/>
      <c r="Q913" s="4"/>
      <c r="R913" s="4"/>
      <c r="S913" s="4"/>
      <c r="T913" s="4"/>
    </row>
    <row r="914" ht="15.75" customHeight="1">
      <c r="B914" s="4"/>
      <c r="C914" s="4"/>
      <c r="D914" s="4"/>
      <c r="E914" s="4"/>
      <c r="F914" s="4"/>
      <c r="G914" s="4"/>
      <c r="H914" s="4"/>
      <c r="I914" s="4"/>
      <c r="J914" s="4"/>
      <c r="K914" s="4"/>
      <c r="L914" s="4"/>
      <c r="M914" s="4"/>
      <c r="N914" s="4"/>
      <c r="O914" s="4"/>
      <c r="P914" s="4"/>
      <c r="Q914" s="4"/>
      <c r="R914" s="4"/>
      <c r="S914" s="4"/>
      <c r="T914" s="4"/>
    </row>
    <row r="915" ht="15.75" customHeight="1">
      <c r="B915" s="4"/>
      <c r="C915" s="4"/>
      <c r="D915" s="4"/>
      <c r="E915" s="4"/>
      <c r="F915" s="4"/>
      <c r="G915" s="4"/>
      <c r="H915" s="4"/>
      <c r="I915" s="4"/>
      <c r="J915" s="4"/>
      <c r="K915" s="4"/>
      <c r="L915" s="4"/>
      <c r="M915" s="4"/>
      <c r="N915" s="4"/>
      <c r="O915" s="4"/>
      <c r="P915" s="4"/>
      <c r="Q915" s="4"/>
      <c r="R915" s="4"/>
      <c r="S915" s="4"/>
      <c r="T915" s="4"/>
    </row>
    <row r="916" ht="15.75" customHeight="1">
      <c r="B916" s="4"/>
      <c r="C916" s="4"/>
      <c r="D916" s="4"/>
      <c r="E916" s="4"/>
      <c r="F916" s="4"/>
      <c r="G916" s="4"/>
      <c r="H916" s="4"/>
      <c r="I916" s="4"/>
      <c r="J916" s="4"/>
      <c r="K916" s="4"/>
      <c r="L916" s="4"/>
      <c r="M916" s="4"/>
      <c r="N916" s="4"/>
      <c r="O916" s="4"/>
      <c r="P916" s="4"/>
      <c r="Q916" s="4"/>
      <c r="R916" s="4"/>
      <c r="S916" s="4"/>
      <c r="T916" s="4"/>
    </row>
    <row r="917" ht="15.75" customHeight="1">
      <c r="B917" s="4"/>
      <c r="C917" s="4"/>
      <c r="D917" s="4"/>
      <c r="E917" s="4"/>
      <c r="F917" s="4"/>
      <c r="G917" s="4"/>
      <c r="H917" s="4"/>
      <c r="I917" s="4"/>
      <c r="J917" s="4"/>
      <c r="K917" s="4"/>
      <c r="L917" s="4"/>
      <c r="M917" s="4"/>
      <c r="N917" s="4"/>
      <c r="O917" s="4"/>
      <c r="P917" s="4"/>
      <c r="Q917" s="4"/>
      <c r="R917" s="4"/>
      <c r="S917" s="4"/>
      <c r="T917" s="4"/>
    </row>
    <row r="918" ht="15.75" customHeight="1">
      <c r="B918" s="4"/>
      <c r="C918" s="4"/>
      <c r="D918" s="4"/>
      <c r="E918" s="4"/>
      <c r="F918" s="4"/>
      <c r="G918" s="4"/>
      <c r="H918" s="4"/>
      <c r="I918" s="4"/>
      <c r="J918" s="4"/>
      <c r="K918" s="4"/>
      <c r="L918" s="4"/>
      <c r="M918" s="4"/>
      <c r="N918" s="4"/>
      <c r="O918" s="4"/>
      <c r="P918" s="4"/>
      <c r="Q918" s="4"/>
      <c r="R918" s="4"/>
      <c r="S918" s="4"/>
      <c r="T918" s="4"/>
    </row>
    <row r="919" ht="15.75" customHeight="1">
      <c r="B919" s="4"/>
      <c r="C919" s="4"/>
      <c r="D919" s="4"/>
      <c r="E919" s="4"/>
      <c r="F919" s="4"/>
      <c r="G919" s="4"/>
      <c r="H919" s="4"/>
      <c r="I919" s="4"/>
      <c r="J919" s="4"/>
      <c r="K919" s="4"/>
      <c r="L919" s="4"/>
      <c r="M919" s="4"/>
      <c r="N919" s="4"/>
      <c r="O919" s="4"/>
      <c r="P919" s="4"/>
      <c r="Q919" s="4"/>
      <c r="R919" s="4"/>
      <c r="S919" s="4"/>
      <c r="T919" s="4"/>
    </row>
    <row r="920" ht="15.75" customHeight="1">
      <c r="B920" s="4"/>
      <c r="C920" s="4"/>
      <c r="D920" s="4"/>
      <c r="E920" s="4"/>
      <c r="F920" s="4"/>
      <c r="G920" s="4"/>
      <c r="H920" s="4"/>
      <c r="I920" s="4"/>
      <c r="J920" s="4"/>
      <c r="K920" s="4"/>
      <c r="L920" s="4"/>
      <c r="M920" s="4"/>
      <c r="N920" s="4"/>
      <c r="O920" s="4"/>
      <c r="P920" s="4"/>
      <c r="Q920" s="4"/>
      <c r="R920" s="4"/>
      <c r="S920" s="4"/>
      <c r="T920" s="4"/>
    </row>
    <row r="921" ht="15.75" customHeight="1">
      <c r="B921" s="4"/>
      <c r="C921" s="4"/>
      <c r="D921" s="4"/>
      <c r="E921" s="4"/>
      <c r="F921" s="4"/>
      <c r="G921" s="4"/>
      <c r="H921" s="4"/>
      <c r="I921" s="4"/>
      <c r="J921" s="4"/>
      <c r="K921" s="4"/>
      <c r="L921" s="4"/>
      <c r="M921" s="4"/>
      <c r="N921" s="4"/>
      <c r="O921" s="4"/>
      <c r="P921" s="4"/>
      <c r="Q921" s="4"/>
      <c r="R921" s="4"/>
      <c r="S921" s="4"/>
      <c r="T921" s="4"/>
    </row>
    <row r="922" ht="15.75" customHeight="1">
      <c r="B922" s="4"/>
      <c r="C922" s="4"/>
      <c r="D922" s="4"/>
      <c r="E922" s="4"/>
      <c r="F922" s="4"/>
      <c r="G922" s="4"/>
      <c r="H922" s="4"/>
      <c r="I922" s="4"/>
      <c r="J922" s="4"/>
      <c r="K922" s="4"/>
      <c r="L922" s="4"/>
      <c r="M922" s="4"/>
      <c r="N922" s="4"/>
      <c r="O922" s="4"/>
      <c r="P922" s="4"/>
      <c r="Q922" s="4"/>
      <c r="R922" s="4"/>
      <c r="S922" s="4"/>
      <c r="T922" s="4"/>
    </row>
    <row r="923" ht="15.75" customHeight="1">
      <c r="B923" s="4"/>
      <c r="C923" s="4"/>
      <c r="D923" s="4"/>
      <c r="E923" s="4"/>
      <c r="F923" s="4"/>
      <c r="G923" s="4"/>
      <c r="H923" s="4"/>
      <c r="I923" s="4"/>
      <c r="J923" s="4"/>
      <c r="K923" s="4"/>
      <c r="L923" s="4"/>
      <c r="M923" s="4"/>
      <c r="N923" s="4"/>
      <c r="O923" s="4"/>
      <c r="P923" s="4"/>
      <c r="Q923" s="4"/>
      <c r="R923" s="4"/>
      <c r="S923" s="4"/>
      <c r="T923" s="4"/>
    </row>
    <row r="924" ht="15.75" customHeight="1">
      <c r="B924" s="4"/>
      <c r="C924" s="4"/>
      <c r="D924" s="4"/>
      <c r="E924" s="4"/>
      <c r="F924" s="4"/>
      <c r="G924" s="4"/>
      <c r="H924" s="4"/>
      <c r="I924" s="4"/>
      <c r="J924" s="4"/>
      <c r="K924" s="4"/>
      <c r="L924" s="4"/>
      <c r="M924" s="4"/>
      <c r="N924" s="4"/>
      <c r="O924" s="4"/>
      <c r="P924" s="4"/>
      <c r="Q924" s="4"/>
      <c r="R924" s="4"/>
      <c r="S924" s="4"/>
      <c r="T924" s="4"/>
    </row>
    <row r="925" ht="15.75" customHeight="1">
      <c r="B925" s="4"/>
      <c r="C925" s="4"/>
      <c r="D925" s="4"/>
      <c r="E925" s="4"/>
      <c r="F925" s="4"/>
      <c r="G925" s="4"/>
      <c r="H925" s="4"/>
      <c r="I925" s="4"/>
      <c r="J925" s="4"/>
      <c r="K925" s="4"/>
      <c r="L925" s="4"/>
      <c r="M925" s="4"/>
      <c r="N925" s="4"/>
      <c r="O925" s="4"/>
      <c r="P925" s="4"/>
      <c r="Q925" s="4"/>
      <c r="R925" s="4"/>
      <c r="S925" s="4"/>
      <c r="T925" s="4"/>
    </row>
    <row r="926" ht="15.75" customHeight="1">
      <c r="B926" s="4"/>
      <c r="C926" s="4"/>
      <c r="D926" s="4"/>
      <c r="E926" s="4"/>
      <c r="F926" s="4"/>
      <c r="G926" s="4"/>
      <c r="H926" s="4"/>
      <c r="I926" s="4"/>
      <c r="J926" s="4"/>
      <c r="K926" s="4"/>
      <c r="L926" s="4"/>
      <c r="M926" s="4"/>
      <c r="N926" s="4"/>
      <c r="O926" s="4"/>
      <c r="P926" s="4"/>
      <c r="Q926" s="4"/>
      <c r="R926" s="4"/>
      <c r="S926" s="4"/>
      <c r="T926" s="4"/>
    </row>
    <row r="927" ht="15.75" customHeight="1">
      <c r="B927" s="4"/>
      <c r="C927" s="4"/>
      <c r="D927" s="4"/>
      <c r="E927" s="4"/>
      <c r="F927" s="4"/>
      <c r="G927" s="4"/>
      <c r="H927" s="4"/>
      <c r="I927" s="4"/>
      <c r="J927" s="4"/>
      <c r="K927" s="4"/>
      <c r="L927" s="4"/>
      <c r="M927" s="4"/>
      <c r="N927" s="4"/>
      <c r="O927" s="4"/>
      <c r="P927" s="4"/>
      <c r="Q927" s="4"/>
      <c r="R927" s="4"/>
      <c r="S927" s="4"/>
      <c r="T927" s="4"/>
    </row>
    <row r="928" ht="15.75" customHeight="1">
      <c r="B928" s="4"/>
      <c r="C928" s="4"/>
      <c r="D928" s="4"/>
      <c r="E928" s="4"/>
      <c r="F928" s="4"/>
      <c r="G928" s="4"/>
      <c r="H928" s="4"/>
      <c r="I928" s="4"/>
      <c r="J928" s="4"/>
      <c r="K928" s="4"/>
      <c r="L928" s="4"/>
      <c r="M928" s="4"/>
      <c r="N928" s="4"/>
      <c r="O928" s="4"/>
      <c r="P928" s="4"/>
      <c r="Q928" s="4"/>
      <c r="R928" s="4"/>
      <c r="S928" s="4"/>
      <c r="T928" s="4"/>
    </row>
    <row r="929" ht="15.75" customHeight="1">
      <c r="B929" s="4"/>
      <c r="C929" s="4"/>
      <c r="D929" s="4"/>
      <c r="E929" s="4"/>
      <c r="F929" s="4"/>
      <c r="G929" s="4"/>
      <c r="H929" s="4"/>
      <c r="I929" s="4"/>
      <c r="J929" s="4"/>
      <c r="K929" s="4"/>
      <c r="L929" s="4"/>
      <c r="M929" s="4"/>
      <c r="N929" s="4"/>
      <c r="O929" s="4"/>
      <c r="P929" s="4"/>
      <c r="Q929" s="4"/>
      <c r="R929" s="4"/>
      <c r="S929" s="4"/>
      <c r="T929" s="4"/>
    </row>
    <row r="930" ht="15.75" customHeight="1">
      <c r="B930" s="4"/>
      <c r="C930" s="4"/>
      <c r="D930" s="4"/>
      <c r="E930" s="4"/>
      <c r="F930" s="4"/>
      <c r="G930" s="4"/>
      <c r="H930" s="4"/>
      <c r="I930" s="4"/>
      <c r="J930" s="4"/>
      <c r="K930" s="4"/>
      <c r="L930" s="4"/>
      <c r="M930" s="4"/>
      <c r="N930" s="4"/>
      <c r="O930" s="4"/>
      <c r="P930" s="4"/>
      <c r="Q930" s="4"/>
      <c r="R930" s="4"/>
      <c r="S930" s="4"/>
      <c r="T930" s="4"/>
    </row>
    <row r="931" ht="15.75" customHeight="1">
      <c r="B931" s="4"/>
      <c r="C931" s="4"/>
      <c r="D931" s="4"/>
      <c r="E931" s="4"/>
      <c r="F931" s="4"/>
      <c r="G931" s="4"/>
      <c r="H931" s="4"/>
      <c r="I931" s="4"/>
      <c r="J931" s="4"/>
      <c r="K931" s="4"/>
      <c r="L931" s="4"/>
      <c r="M931" s="4"/>
      <c r="N931" s="4"/>
      <c r="O931" s="4"/>
      <c r="P931" s="4"/>
      <c r="Q931" s="4"/>
      <c r="R931" s="4"/>
      <c r="S931" s="4"/>
      <c r="T931" s="4"/>
    </row>
    <row r="932" ht="15.75" customHeight="1">
      <c r="B932" s="4"/>
      <c r="C932" s="4"/>
      <c r="D932" s="4"/>
      <c r="E932" s="4"/>
      <c r="F932" s="4"/>
      <c r="G932" s="4"/>
      <c r="H932" s="4"/>
      <c r="I932" s="4"/>
      <c r="J932" s="4"/>
      <c r="K932" s="4"/>
      <c r="L932" s="4"/>
      <c r="M932" s="4"/>
      <c r="N932" s="4"/>
      <c r="O932" s="4"/>
      <c r="P932" s="4"/>
      <c r="Q932" s="4"/>
      <c r="R932" s="4"/>
      <c r="S932" s="4"/>
      <c r="T932" s="4"/>
    </row>
    <row r="933" ht="15.75" customHeight="1">
      <c r="B933" s="4"/>
      <c r="C933" s="4"/>
      <c r="D933" s="4"/>
      <c r="E933" s="4"/>
      <c r="F933" s="4"/>
      <c r="G933" s="4"/>
      <c r="H933" s="4"/>
      <c r="I933" s="4"/>
      <c r="J933" s="4"/>
      <c r="K933" s="4"/>
      <c r="L933" s="4"/>
      <c r="M933" s="4"/>
      <c r="N933" s="4"/>
      <c r="O933" s="4"/>
      <c r="P933" s="4"/>
      <c r="Q933" s="4"/>
      <c r="R933" s="4"/>
      <c r="S933" s="4"/>
      <c r="T933" s="4"/>
    </row>
    <row r="934" ht="15.75" customHeight="1">
      <c r="B934" s="4"/>
      <c r="C934" s="4"/>
      <c r="D934" s="4"/>
      <c r="E934" s="4"/>
      <c r="F934" s="4"/>
      <c r="G934" s="4"/>
      <c r="H934" s="4"/>
      <c r="I934" s="4"/>
      <c r="J934" s="4"/>
      <c r="K934" s="4"/>
      <c r="L934" s="4"/>
      <c r="M934" s="4"/>
      <c r="N934" s="4"/>
      <c r="O934" s="4"/>
      <c r="P934" s="4"/>
      <c r="Q934" s="4"/>
      <c r="R934" s="4"/>
      <c r="S934" s="4"/>
      <c r="T934" s="4"/>
    </row>
    <row r="935" ht="15.75" customHeight="1">
      <c r="B935" s="4"/>
      <c r="C935" s="4"/>
      <c r="D935" s="4"/>
      <c r="E935" s="4"/>
      <c r="F935" s="4"/>
      <c r="G935" s="4"/>
      <c r="H935" s="4"/>
      <c r="I935" s="4"/>
      <c r="J935" s="4"/>
      <c r="K935" s="4"/>
      <c r="L935" s="4"/>
      <c r="M935" s="4"/>
      <c r="N935" s="4"/>
      <c r="O935" s="4"/>
      <c r="P935" s="4"/>
      <c r="Q935" s="4"/>
      <c r="R935" s="4"/>
      <c r="S935" s="4"/>
      <c r="T935" s="4"/>
    </row>
    <row r="936" ht="15.75" customHeight="1">
      <c r="B936" s="4"/>
      <c r="C936" s="4"/>
      <c r="D936" s="4"/>
      <c r="E936" s="4"/>
      <c r="F936" s="4"/>
      <c r="G936" s="4"/>
      <c r="H936" s="4"/>
      <c r="I936" s="4"/>
      <c r="J936" s="4"/>
      <c r="K936" s="4"/>
      <c r="L936" s="4"/>
      <c r="M936" s="4"/>
      <c r="N936" s="4"/>
      <c r="O936" s="4"/>
      <c r="P936" s="4"/>
      <c r="Q936" s="4"/>
      <c r="R936" s="4"/>
      <c r="S936" s="4"/>
      <c r="T936" s="4"/>
    </row>
    <row r="937" ht="15.75" customHeight="1">
      <c r="B937" s="4"/>
      <c r="C937" s="4"/>
      <c r="D937" s="4"/>
      <c r="E937" s="4"/>
      <c r="F937" s="4"/>
      <c r="G937" s="4"/>
      <c r="H937" s="4"/>
      <c r="I937" s="4"/>
      <c r="J937" s="4"/>
      <c r="K937" s="4"/>
      <c r="L937" s="4"/>
      <c r="M937" s="4"/>
      <c r="N937" s="4"/>
      <c r="O937" s="4"/>
      <c r="P937" s="4"/>
      <c r="Q937" s="4"/>
      <c r="R937" s="4"/>
      <c r="S937" s="4"/>
      <c r="T937" s="4"/>
    </row>
    <row r="938" ht="15.75" customHeight="1">
      <c r="B938" s="4"/>
      <c r="C938" s="4"/>
      <c r="D938" s="4"/>
      <c r="E938" s="4"/>
      <c r="F938" s="4"/>
      <c r="G938" s="4"/>
      <c r="H938" s="4"/>
      <c r="I938" s="4"/>
      <c r="J938" s="4"/>
      <c r="K938" s="4"/>
      <c r="L938" s="4"/>
      <c r="M938" s="4"/>
      <c r="N938" s="4"/>
      <c r="O938" s="4"/>
      <c r="P938" s="4"/>
      <c r="Q938" s="4"/>
      <c r="R938" s="4"/>
      <c r="S938" s="4"/>
      <c r="T938" s="4"/>
    </row>
    <row r="939" ht="15.75" customHeight="1">
      <c r="B939" s="4"/>
      <c r="C939" s="4"/>
      <c r="D939" s="4"/>
      <c r="E939" s="4"/>
      <c r="F939" s="4"/>
      <c r="G939" s="4"/>
      <c r="H939" s="4"/>
      <c r="I939" s="4"/>
      <c r="J939" s="4"/>
      <c r="K939" s="4"/>
      <c r="L939" s="4"/>
      <c r="M939" s="4"/>
      <c r="N939" s="4"/>
      <c r="O939" s="4"/>
      <c r="P939" s="4"/>
      <c r="Q939" s="4"/>
      <c r="R939" s="4"/>
      <c r="S939" s="4"/>
      <c r="T939" s="4"/>
    </row>
    <row r="940" ht="15.75" customHeight="1">
      <c r="B940" s="4"/>
      <c r="C940" s="4"/>
      <c r="D940" s="4"/>
      <c r="E940" s="4"/>
      <c r="F940" s="4"/>
      <c r="G940" s="4"/>
      <c r="H940" s="4"/>
      <c r="I940" s="4"/>
      <c r="J940" s="4"/>
      <c r="K940" s="4"/>
      <c r="L940" s="4"/>
      <c r="M940" s="4"/>
      <c r="N940" s="4"/>
      <c r="O940" s="4"/>
      <c r="P940" s="4"/>
      <c r="Q940" s="4"/>
      <c r="R940" s="4"/>
      <c r="S940" s="4"/>
      <c r="T940" s="4"/>
    </row>
    <row r="941" ht="15.75" customHeight="1">
      <c r="B941" s="4"/>
      <c r="C941" s="4"/>
      <c r="D941" s="4"/>
      <c r="E941" s="4"/>
      <c r="F941" s="4"/>
      <c r="G941" s="4"/>
      <c r="H941" s="4"/>
      <c r="I941" s="4"/>
      <c r="J941" s="4"/>
      <c r="K941" s="4"/>
      <c r="L941" s="4"/>
      <c r="M941" s="4"/>
      <c r="N941" s="4"/>
      <c r="O941" s="4"/>
      <c r="P941" s="4"/>
      <c r="Q941" s="4"/>
      <c r="R941" s="4"/>
      <c r="S941" s="4"/>
      <c r="T941" s="4"/>
    </row>
    <row r="942" ht="15.75" customHeight="1">
      <c r="B942" s="4"/>
      <c r="C942" s="4"/>
      <c r="D942" s="4"/>
      <c r="E942" s="4"/>
      <c r="F942" s="4"/>
      <c r="G942" s="4"/>
      <c r="H942" s="4"/>
      <c r="I942" s="4"/>
      <c r="J942" s="4"/>
      <c r="K942" s="4"/>
      <c r="L942" s="4"/>
      <c r="M942" s="4"/>
      <c r="N942" s="4"/>
      <c r="O942" s="4"/>
      <c r="P942" s="4"/>
      <c r="Q942" s="4"/>
      <c r="R942" s="4"/>
      <c r="S942" s="4"/>
      <c r="T942" s="4"/>
    </row>
    <row r="943" ht="15.75" customHeight="1">
      <c r="B943" s="4"/>
      <c r="C943" s="4"/>
      <c r="D943" s="4"/>
      <c r="E943" s="4"/>
      <c r="F943" s="4"/>
      <c r="G943" s="4"/>
      <c r="H943" s="4"/>
      <c r="I943" s="4"/>
      <c r="J943" s="4"/>
      <c r="K943" s="4"/>
      <c r="L943" s="4"/>
      <c r="M943" s="4"/>
      <c r="N943" s="4"/>
      <c r="O943" s="4"/>
      <c r="P943" s="4"/>
      <c r="Q943" s="4"/>
      <c r="R943" s="4"/>
      <c r="S943" s="4"/>
      <c r="T943" s="4"/>
    </row>
    <row r="944" ht="15.75" customHeight="1">
      <c r="B944" s="4"/>
      <c r="C944" s="4"/>
      <c r="D944" s="4"/>
      <c r="E944" s="4"/>
      <c r="F944" s="4"/>
      <c r="G944" s="4"/>
      <c r="H944" s="4"/>
      <c r="I944" s="4"/>
      <c r="J944" s="4"/>
      <c r="K944" s="4"/>
      <c r="L944" s="4"/>
      <c r="M944" s="4"/>
      <c r="N944" s="4"/>
      <c r="O944" s="4"/>
      <c r="P944" s="4"/>
      <c r="Q944" s="4"/>
      <c r="R944" s="4"/>
      <c r="S944" s="4"/>
      <c r="T944" s="4"/>
    </row>
    <row r="945" ht="15.75" customHeight="1">
      <c r="B945" s="4"/>
      <c r="C945" s="4"/>
      <c r="D945" s="4"/>
      <c r="E945" s="4"/>
      <c r="F945" s="4"/>
      <c r="G945" s="4"/>
      <c r="H945" s="4"/>
      <c r="I945" s="4"/>
      <c r="J945" s="4"/>
      <c r="K945" s="4"/>
      <c r="L945" s="4"/>
      <c r="M945" s="4"/>
      <c r="N945" s="4"/>
      <c r="O945" s="4"/>
      <c r="P945" s="4"/>
      <c r="Q945" s="4"/>
      <c r="R945" s="4"/>
      <c r="S945" s="4"/>
      <c r="T945" s="4"/>
    </row>
    <row r="946" ht="15.75" customHeight="1">
      <c r="B946" s="4"/>
      <c r="C946" s="4"/>
      <c r="D946" s="4"/>
      <c r="E946" s="4"/>
      <c r="F946" s="4"/>
      <c r="G946" s="4"/>
      <c r="H946" s="4"/>
      <c r="I946" s="4"/>
      <c r="J946" s="4"/>
      <c r="K946" s="4"/>
      <c r="L946" s="4"/>
      <c r="M946" s="4"/>
      <c r="N946" s="4"/>
      <c r="O946" s="4"/>
      <c r="P946" s="4"/>
      <c r="Q946" s="4"/>
      <c r="R946" s="4"/>
      <c r="S946" s="4"/>
      <c r="T946" s="4"/>
    </row>
    <row r="947" ht="15.75" customHeight="1">
      <c r="B947" s="4"/>
      <c r="C947" s="4"/>
      <c r="D947" s="4"/>
      <c r="E947" s="4"/>
      <c r="F947" s="4"/>
      <c r="G947" s="4"/>
      <c r="H947" s="4"/>
      <c r="I947" s="4"/>
      <c r="J947" s="4"/>
      <c r="K947" s="4"/>
      <c r="L947" s="4"/>
      <c r="M947" s="4"/>
      <c r="N947" s="4"/>
      <c r="O947" s="4"/>
      <c r="P947" s="4"/>
      <c r="Q947" s="4"/>
      <c r="R947" s="4"/>
      <c r="S947" s="4"/>
      <c r="T947" s="4"/>
    </row>
    <row r="948" ht="15.75" customHeight="1">
      <c r="B948" s="4"/>
      <c r="C948" s="4"/>
      <c r="D948" s="4"/>
      <c r="E948" s="4"/>
      <c r="F948" s="4"/>
      <c r="G948" s="4"/>
      <c r="H948" s="4"/>
      <c r="I948" s="4"/>
      <c r="J948" s="4"/>
      <c r="K948" s="4"/>
      <c r="L948" s="4"/>
      <c r="M948" s="4"/>
      <c r="N948" s="4"/>
      <c r="O948" s="4"/>
      <c r="P948" s="4"/>
      <c r="Q948" s="4"/>
      <c r="R948" s="4"/>
      <c r="S948" s="4"/>
      <c r="T948" s="4"/>
    </row>
    <row r="949" ht="15.75" customHeight="1">
      <c r="B949" s="4"/>
      <c r="C949" s="4"/>
      <c r="D949" s="4"/>
      <c r="E949" s="4"/>
      <c r="F949" s="4"/>
      <c r="G949" s="4"/>
      <c r="H949" s="4"/>
      <c r="I949" s="4"/>
      <c r="J949" s="4"/>
      <c r="K949" s="4"/>
      <c r="L949" s="4"/>
      <c r="M949" s="4"/>
      <c r="N949" s="4"/>
      <c r="O949" s="4"/>
      <c r="P949" s="4"/>
      <c r="Q949" s="4"/>
      <c r="R949" s="4"/>
      <c r="S949" s="4"/>
      <c r="T949" s="4"/>
    </row>
    <row r="950" ht="15.75" customHeight="1">
      <c r="B950" s="4"/>
      <c r="C950" s="4"/>
      <c r="D950" s="4"/>
      <c r="E950" s="4"/>
      <c r="F950" s="4"/>
      <c r="G950" s="4"/>
      <c r="H950" s="4"/>
      <c r="I950" s="4"/>
      <c r="J950" s="4"/>
      <c r="K950" s="4"/>
      <c r="L950" s="4"/>
      <c r="M950" s="4"/>
      <c r="N950" s="4"/>
      <c r="O950" s="4"/>
      <c r="P950" s="4"/>
      <c r="Q950" s="4"/>
      <c r="R950" s="4"/>
      <c r="S950" s="4"/>
      <c r="T950" s="4"/>
    </row>
    <row r="951" ht="15.75" customHeight="1">
      <c r="B951" s="4"/>
      <c r="C951" s="4"/>
      <c r="D951" s="4"/>
      <c r="E951" s="4"/>
      <c r="F951" s="4"/>
      <c r="G951" s="4"/>
      <c r="H951" s="4"/>
      <c r="I951" s="4"/>
      <c r="J951" s="4"/>
      <c r="K951" s="4"/>
      <c r="L951" s="4"/>
      <c r="M951" s="4"/>
      <c r="N951" s="4"/>
      <c r="O951" s="4"/>
      <c r="P951" s="4"/>
      <c r="Q951" s="4"/>
      <c r="R951" s="4"/>
      <c r="S951" s="4"/>
      <c r="T951" s="4"/>
    </row>
    <row r="952" ht="15.75" customHeight="1">
      <c r="B952" s="4"/>
      <c r="C952" s="4"/>
      <c r="D952" s="4"/>
      <c r="E952" s="4"/>
      <c r="F952" s="4"/>
      <c r="G952" s="4"/>
      <c r="H952" s="4"/>
      <c r="I952" s="4"/>
      <c r="J952" s="4"/>
      <c r="K952" s="4"/>
      <c r="L952" s="4"/>
      <c r="M952" s="4"/>
      <c r="N952" s="4"/>
      <c r="O952" s="4"/>
      <c r="P952" s="4"/>
      <c r="Q952" s="4"/>
      <c r="R952" s="4"/>
      <c r="S952" s="4"/>
      <c r="T952" s="4"/>
    </row>
    <row r="953" ht="15.75" customHeight="1">
      <c r="B953" s="4"/>
      <c r="C953" s="4"/>
      <c r="D953" s="4"/>
      <c r="E953" s="4"/>
      <c r="F953" s="4"/>
      <c r="G953" s="4"/>
      <c r="H953" s="4"/>
      <c r="I953" s="4"/>
      <c r="J953" s="4"/>
      <c r="K953" s="4"/>
      <c r="L953" s="4"/>
      <c r="M953" s="4"/>
      <c r="N953" s="4"/>
      <c r="O953" s="4"/>
      <c r="P953" s="4"/>
      <c r="Q953" s="4"/>
      <c r="R953" s="4"/>
      <c r="S953" s="4"/>
      <c r="T953" s="4"/>
    </row>
    <row r="954" ht="15.75" customHeight="1">
      <c r="B954" s="4"/>
      <c r="C954" s="4"/>
      <c r="D954" s="4"/>
      <c r="E954" s="4"/>
      <c r="F954" s="4"/>
      <c r="G954" s="4"/>
      <c r="H954" s="4"/>
      <c r="I954" s="4"/>
      <c r="J954" s="4"/>
      <c r="K954" s="4"/>
      <c r="L954" s="4"/>
      <c r="M954" s="4"/>
      <c r="N954" s="4"/>
      <c r="O954" s="4"/>
      <c r="P954" s="4"/>
      <c r="Q954" s="4"/>
      <c r="R954" s="4"/>
      <c r="S954" s="4"/>
      <c r="T954" s="4"/>
    </row>
    <row r="955" ht="15.75" customHeight="1">
      <c r="B955" s="4"/>
      <c r="C955" s="4"/>
      <c r="D955" s="4"/>
      <c r="E955" s="4"/>
      <c r="F955" s="4"/>
      <c r="G955" s="4"/>
      <c r="H955" s="4"/>
      <c r="I955" s="4"/>
      <c r="J955" s="4"/>
      <c r="K955" s="4"/>
      <c r="L955" s="4"/>
      <c r="M955" s="4"/>
      <c r="N955" s="4"/>
      <c r="O955" s="4"/>
      <c r="P955" s="4"/>
      <c r="Q955" s="4"/>
      <c r="R955" s="4"/>
      <c r="S955" s="4"/>
      <c r="T955" s="4"/>
    </row>
    <row r="956" ht="15.75" customHeight="1">
      <c r="B956" s="4"/>
      <c r="C956" s="4"/>
      <c r="D956" s="4"/>
      <c r="E956" s="4"/>
      <c r="F956" s="4"/>
      <c r="G956" s="4"/>
      <c r="H956" s="4"/>
      <c r="I956" s="4"/>
      <c r="J956" s="4"/>
      <c r="K956" s="4"/>
      <c r="L956" s="4"/>
      <c r="M956" s="4"/>
      <c r="N956" s="4"/>
      <c r="O956" s="4"/>
      <c r="P956" s="4"/>
      <c r="Q956" s="4"/>
      <c r="R956" s="4"/>
      <c r="S956" s="4"/>
      <c r="T956" s="4"/>
    </row>
    <row r="957" ht="15.75" customHeight="1">
      <c r="B957" s="4"/>
      <c r="C957" s="4"/>
      <c r="D957" s="4"/>
      <c r="E957" s="4"/>
      <c r="F957" s="4"/>
      <c r="G957" s="4"/>
      <c r="H957" s="4"/>
      <c r="I957" s="4"/>
      <c r="J957" s="4"/>
      <c r="K957" s="4"/>
      <c r="L957" s="4"/>
      <c r="M957" s="4"/>
      <c r="N957" s="4"/>
      <c r="O957" s="4"/>
      <c r="P957" s="4"/>
      <c r="Q957" s="4"/>
      <c r="R957" s="4"/>
      <c r="S957" s="4"/>
      <c r="T957" s="4"/>
    </row>
    <row r="958" ht="15.75" customHeight="1">
      <c r="B958" s="4"/>
      <c r="C958" s="4"/>
      <c r="D958" s="4"/>
      <c r="E958" s="4"/>
      <c r="F958" s="4"/>
      <c r="G958" s="4"/>
      <c r="H958" s="4"/>
      <c r="I958" s="4"/>
      <c r="J958" s="4"/>
      <c r="K958" s="4"/>
      <c r="L958" s="4"/>
      <c r="M958" s="4"/>
      <c r="N958" s="4"/>
      <c r="O958" s="4"/>
      <c r="P958" s="4"/>
      <c r="Q958" s="4"/>
      <c r="R958" s="4"/>
      <c r="S958" s="4"/>
      <c r="T958" s="4"/>
    </row>
    <row r="959" ht="15.75" customHeight="1">
      <c r="B959" s="4"/>
      <c r="C959" s="4"/>
      <c r="D959" s="4"/>
      <c r="E959" s="4"/>
      <c r="F959" s="4"/>
      <c r="G959" s="4"/>
      <c r="H959" s="4"/>
      <c r="I959" s="4"/>
      <c r="J959" s="4"/>
      <c r="K959" s="4"/>
      <c r="L959" s="4"/>
      <c r="M959" s="4"/>
      <c r="N959" s="4"/>
      <c r="O959" s="4"/>
      <c r="P959" s="4"/>
      <c r="Q959" s="4"/>
      <c r="R959" s="4"/>
      <c r="S959" s="4"/>
      <c r="T959" s="4"/>
    </row>
    <row r="960" ht="15.75" customHeight="1">
      <c r="B960" s="4"/>
      <c r="C960" s="4"/>
      <c r="D960" s="4"/>
      <c r="E960" s="4"/>
      <c r="F960" s="4"/>
      <c r="G960" s="4"/>
      <c r="H960" s="4"/>
      <c r="I960" s="4"/>
      <c r="J960" s="4"/>
      <c r="K960" s="4"/>
      <c r="L960" s="4"/>
      <c r="M960" s="4"/>
      <c r="N960" s="4"/>
      <c r="O960" s="4"/>
      <c r="P960" s="4"/>
      <c r="Q960" s="4"/>
      <c r="R960" s="4"/>
      <c r="S960" s="4"/>
      <c r="T960" s="4"/>
    </row>
    <row r="961" ht="15.75" customHeight="1">
      <c r="B961" s="4"/>
      <c r="C961" s="4"/>
      <c r="D961" s="4"/>
      <c r="E961" s="4"/>
      <c r="F961" s="4"/>
      <c r="G961" s="4"/>
      <c r="H961" s="4"/>
      <c r="I961" s="4"/>
      <c r="J961" s="4"/>
      <c r="K961" s="4"/>
      <c r="L961" s="4"/>
      <c r="M961" s="4"/>
      <c r="N961" s="4"/>
      <c r="O961" s="4"/>
      <c r="P961" s="4"/>
      <c r="Q961" s="4"/>
      <c r="R961" s="4"/>
      <c r="S961" s="4"/>
      <c r="T961" s="4"/>
    </row>
    <row r="962" ht="15.75" customHeight="1">
      <c r="B962" s="4"/>
      <c r="C962" s="4"/>
      <c r="D962" s="4"/>
      <c r="E962" s="4"/>
      <c r="F962" s="4"/>
      <c r="G962" s="4"/>
      <c r="H962" s="4"/>
      <c r="I962" s="4"/>
      <c r="J962" s="4"/>
      <c r="K962" s="4"/>
      <c r="L962" s="4"/>
      <c r="M962" s="4"/>
      <c r="N962" s="4"/>
      <c r="O962" s="4"/>
      <c r="P962" s="4"/>
      <c r="Q962" s="4"/>
      <c r="R962" s="4"/>
      <c r="S962" s="4"/>
      <c r="T962" s="4"/>
    </row>
    <row r="963" ht="15.75" customHeight="1">
      <c r="B963" s="4"/>
      <c r="C963" s="4"/>
      <c r="D963" s="4"/>
      <c r="E963" s="4"/>
      <c r="F963" s="4"/>
      <c r="G963" s="4"/>
      <c r="H963" s="4"/>
      <c r="I963" s="4"/>
      <c r="J963" s="4"/>
      <c r="K963" s="4"/>
      <c r="L963" s="4"/>
      <c r="M963" s="4"/>
      <c r="N963" s="4"/>
      <c r="O963" s="4"/>
      <c r="P963" s="4"/>
      <c r="Q963" s="4"/>
      <c r="R963" s="4"/>
      <c r="S963" s="4"/>
      <c r="T963" s="4"/>
    </row>
    <row r="964" ht="15.75" customHeight="1">
      <c r="B964" s="4"/>
      <c r="C964" s="4"/>
      <c r="D964" s="4"/>
      <c r="E964" s="4"/>
      <c r="F964" s="4"/>
      <c r="G964" s="4"/>
      <c r="H964" s="4"/>
      <c r="I964" s="4"/>
      <c r="J964" s="4"/>
      <c r="K964" s="4"/>
      <c r="L964" s="4"/>
      <c r="M964" s="4"/>
      <c r="N964" s="4"/>
      <c r="O964" s="4"/>
      <c r="P964" s="4"/>
      <c r="Q964" s="4"/>
      <c r="R964" s="4"/>
      <c r="S964" s="4"/>
      <c r="T964" s="4"/>
    </row>
    <row r="965" ht="15.75" customHeight="1">
      <c r="B965" s="4"/>
      <c r="C965" s="4"/>
      <c r="D965" s="4"/>
      <c r="E965" s="4"/>
      <c r="F965" s="4"/>
      <c r="G965" s="4"/>
      <c r="H965" s="4"/>
      <c r="I965" s="4"/>
      <c r="J965" s="4"/>
      <c r="K965" s="4"/>
      <c r="L965" s="4"/>
      <c r="M965" s="4"/>
      <c r="N965" s="4"/>
      <c r="O965" s="4"/>
      <c r="P965" s="4"/>
      <c r="Q965" s="4"/>
      <c r="R965" s="4"/>
      <c r="S965" s="4"/>
      <c r="T965" s="4"/>
    </row>
    <row r="966" ht="15.75" customHeight="1">
      <c r="B966" s="4"/>
      <c r="C966" s="4"/>
      <c r="D966" s="4"/>
      <c r="E966" s="4"/>
      <c r="F966" s="4"/>
      <c r="G966" s="4"/>
      <c r="H966" s="4"/>
      <c r="I966" s="4"/>
      <c r="J966" s="4"/>
      <c r="K966" s="4"/>
      <c r="L966" s="4"/>
      <c r="M966" s="4"/>
      <c r="N966" s="4"/>
      <c r="O966" s="4"/>
      <c r="P966" s="4"/>
      <c r="Q966" s="4"/>
      <c r="R966" s="4"/>
      <c r="S966" s="4"/>
      <c r="T966" s="4"/>
    </row>
    <row r="967" ht="15.75" customHeight="1">
      <c r="B967" s="4"/>
      <c r="C967" s="4"/>
      <c r="D967" s="4"/>
      <c r="E967" s="4"/>
      <c r="F967" s="4"/>
      <c r="G967" s="4"/>
      <c r="H967" s="4"/>
      <c r="I967" s="4"/>
      <c r="J967" s="4"/>
      <c r="K967" s="4"/>
      <c r="L967" s="4"/>
      <c r="M967" s="4"/>
      <c r="N967" s="4"/>
      <c r="O967" s="4"/>
      <c r="P967" s="4"/>
      <c r="Q967" s="4"/>
      <c r="R967" s="4"/>
      <c r="S967" s="4"/>
      <c r="T967" s="4"/>
    </row>
    <row r="968" ht="15.75" customHeight="1">
      <c r="B968" s="4"/>
      <c r="C968" s="4"/>
      <c r="D968" s="4"/>
      <c r="E968" s="4"/>
      <c r="F968" s="4"/>
      <c r="G968" s="4"/>
      <c r="H968" s="4"/>
      <c r="I968" s="4"/>
      <c r="J968" s="4"/>
      <c r="K968" s="4"/>
      <c r="L968" s="4"/>
      <c r="M968" s="4"/>
      <c r="N968" s="4"/>
      <c r="O968" s="4"/>
      <c r="P968" s="4"/>
      <c r="Q968" s="4"/>
      <c r="R968" s="4"/>
      <c r="S968" s="4"/>
      <c r="T968" s="4"/>
    </row>
    <row r="969" ht="15.75" customHeight="1">
      <c r="B969" s="4"/>
      <c r="C969" s="4"/>
      <c r="D969" s="4"/>
      <c r="E969" s="4"/>
      <c r="F969" s="4"/>
      <c r="G969" s="4"/>
      <c r="H969" s="4"/>
      <c r="I969" s="4"/>
      <c r="J969" s="4"/>
      <c r="K969" s="4"/>
      <c r="L969" s="4"/>
      <c r="M969" s="4"/>
      <c r="N969" s="4"/>
      <c r="O969" s="4"/>
      <c r="P969" s="4"/>
      <c r="Q969" s="4"/>
      <c r="R969" s="4"/>
      <c r="S969" s="4"/>
      <c r="T969" s="4"/>
    </row>
    <row r="970" ht="15.75" customHeight="1">
      <c r="B970" s="4"/>
      <c r="C970" s="4"/>
      <c r="D970" s="4"/>
      <c r="E970" s="4"/>
      <c r="F970" s="4"/>
      <c r="G970" s="4"/>
      <c r="H970" s="4"/>
      <c r="I970" s="4"/>
      <c r="J970" s="4"/>
      <c r="K970" s="4"/>
      <c r="L970" s="4"/>
      <c r="M970" s="4"/>
      <c r="N970" s="4"/>
      <c r="O970" s="4"/>
      <c r="P970" s="4"/>
      <c r="Q970" s="4"/>
      <c r="R970" s="4"/>
      <c r="S970" s="4"/>
      <c r="T970" s="4"/>
    </row>
    <row r="971" ht="15.75" customHeight="1">
      <c r="B971" s="4"/>
      <c r="C971" s="4"/>
      <c r="D971" s="4"/>
      <c r="E971" s="4"/>
      <c r="F971" s="4"/>
      <c r="G971" s="4"/>
      <c r="H971" s="4"/>
      <c r="I971" s="4"/>
      <c r="J971" s="4"/>
      <c r="K971" s="4"/>
      <c r="L971" s="4"/>
      <c r="M971" s="4"/>
      <c r="N971" s="4"/>
      <c r="O971" s="4"/>
      <c r="P971" s="4"/>
      <c r="Q971" s="4"/>
      <c r="R971" s="4"/>
      <c r="S971" s="4"/>
      <c r="T971" s="4"/>
    </row>
    <row r="972" ht="15.75" customHeight="1">
      <c r="B972" s="4"/>
      <c r="C972" s="4"/>
      <c r="D972" s="4"/>
      <c r="E972" s="4"/>
      <c r="F972" s="4"/>
      <c r="G972" s="4"/>
      <c r="H972" s="4"/>
      <c r="I972" s="4"/>
      <c r="J972" s="4"/>
      <c r="K972" s="4"/>
      <c r="L972" s="4"/>
      <c r="M972" s="4"/>
      <c r="N972" s="4"/>
      <c r="O972" s="4"/>
      <c r="P972" s="4"/>
      <c r="Q972" s="4"/>
      <c r="R972" s="4"/>
      <c r="S972" s="4"/>
      <c r="T972" s="4"/>
    </row>
    <row r="973" ht="15.75" customHeight="1">
      <c r="B973" s="4"/>
      <c r="C973" s="4"/>
      <c r="D973" s="4"/>
      <c r="E973" s="4"/>
      <c r="F973" s="4"/>
      <c r="G973" s="4"/>
      <c r="H973" s="4"/>
      <c r="I973" s="4"/>
      <c r="J973" s="4"/>
      <c r="K973" s="4"/>
      <c r="L973" s="4"/>
      <c r="M973" s="4"/>
      <c r="N973" s="4"/>
      <c r="O973" s="4"/>
      <c r="P973" s="4"/>
      <c r="Q973" s="4"/>
      <c r="R973" s="4"/>
      <c r="S973" s="4"/>
      <c r="T973" s="4"/>
    </row>
    <row r="974" ht="15.75" customHeight="1">
      <c r="B974" s="4"/>
      <c r="C974" s="4"/>
      <c r="D974" s="4"/>
      <c r="E974" s="4"/>
      <c r="F974" s="4"/>
      <c r="G974" s="4"/>
      <c r="H974" s="4"/>
      <c r="I974" s="4"/>
      <c r="J974" s="4"/>
      <c r="K974" s="4"/>
      <c r="L974" s="4"/>
      <c r="M974" s="4"/>
      <c r="N974" s="4"/>
      <c r="O974" s="4"/>
      <c r="P974" s="4"/>
      <c r="Q974" s="4"/>
      <c r="R974" s="4"/>
      <c r="S974" s="4"/>
      <c r="T974" s="4"/>
    </row>
    <row r="975" ht="15.75" customHeight="1">
      <c r="B975" s="4"/>
      <c r="C975" s="4"/>
      <c r="D975" s="4"/>
      <c r="E975" s="4"/>
      <c r="F975" s="4"/>
      <c r="G975" s="4"/>
      <c r="H975" s="4"/>
      <c r="I975" s="4"/>
      <c r="J975" s="4"/>
      <c r="K975" s="4"/>
      <c r="L975" s="4"/>
      <c r="M975" s="4"/>
      <c r="N975" s="4"/>
      <c r="O975" s="4"/>
      <c r="P975" s="4"/>
      <c r="Q975" s="4"/>
      <c r="R975" s="4"/>
      <c r="S975" s="4"/>
      <c r="T975" s="4"/>
    </row>
    <row r="976" ht="15.75" customHeight="1">
      <c r="B976" s="4"/>
      <c r="C976" s="4"/>
      <c r="D976" s="4"/>
      <c r="E976" s="4"/>
      <c r="F976" s="4"/>
      <c r="G976" s="4"/>
      <c r="H976" s="4"/>
      <c r="I976" s="4"/>
      <c r="J976" s="4"/>
      <c r="K976" s="4"/>
      <c r="L976" s="4"/>
      <c r="M976" s="4"/>
      <c r="N976" s="4"/>
      <c r="O976" s="4"/>
      <c r="P976" s="4"/>
      <c r="Q976" s="4"/>
      <c r="R976" s="4"/>
      <c r="S976" s="4"/>
      <c r="T976" s="4"/>
    </row>
    <row r="977" ht="15.75" customHeight="1">
      <c r="B977" s="4"/>
      <c r="C977" s="4"/>
      <c r="D977" s="4"/>
      <c r="E977" s="4"/>
      <c r="F977" s="4"/>
      <c r="G977" s="4"/>
      <c r="H977" s="4"/>
      <c r="I977" s="4"/>
      <c r="J977" s="4"/>
      <c r="K977" s="4"/>
      <c r="L977" s="4"/>
      <c r="M977" s="4"/>
      <c r="N977" s="4"/>
      <c r="O977" s="4"/>
      <c r="P977" s="4"/>
      <c r="Q977" s="4"/>
      <c r="R977" s="4"/>
      <c r="S977" s="4"/>
      <c r="T977" s="4"/>
    </row>
    <row r="978" ht="15.75" customHeight="1">
      <c r="B978" s="4"/>
      <c r="C978" s="4"/>
      <c r="D978" s="4"/>
      <c r="E978" s="4"/>
      <c r="F978" s="4"/>
      <c r="G978" s="4"/>
      <c r="H978" s="4"/>
      <c r="I978" s="4"/>
      <c r="J978" s="4"/>
      <c r="K978" s="4"/>
      <c r="L978" s="4"/>
      <c r="M978" s="4"/>
      <c r="N978" s="4"/>
      <c r="O978" s="4"/>
      <c r="P978" s="4"/>
      <c r="Q978" s="4"/>
      <c r="R978" s="4"/>
      <c r="S978" s="4"/>
      <c r="T978" s="4"/>
    </row>
    <row r="979" ht="15.75" customHeight="1">
      <c r="B979" s="4"/>
      <c r="C979" s="4"/>
      <c r="D979" s="4"/>
      <c r="E979" s="4"/>
      <c r="F979" s="4"/>
      <c r="G979" s="4"/>
      <c r="H979" s="4"/>
      <c r="I979" s="4"/>
      <c r="J979" s="4"/>
      <c r="K979" s="4"/>
      <c r="L979" s="4"/>
      <c r="M979" s="4"/>
      <c r="N979" s="4"/>
      <c r="O979" s="4"/>
      <c r="P979" s="4"/>
      <c r="Q979" s="4"/>
      <c r="R979" s="4"/>
      <c r="S979" s="4"/>
      <c r="T979" s="4"/>
    </row>
    <row r="980" ht="15.75" customHeight="1">
      <c r="B980" s="4"/>
      <c r="C980" s="4"/>
      <c r="D980" s="4"/>
      <c r="E980" s="4"/>
      <c r="F980" s="4"/>
      <c r="G980" s="4"/>
      <c r="H980" s="4"/>
      <c r="I980" s="4"/>
      <c r="J980" s="4"/>
      <c r="K980" s="4"/>
      <c r="L980" s="4"/>
      <c r="M980" s="4"/>
      <c r="N980" s="4"/>
      <c r="O980" s="4"/>
      <c r="P980" s="4"/>
      <c r="Q980" s="4"/>
      <c r="R980" s="4"/>
      <c r="S980" s="4"/>
      <c r="T980" s="4"/>
    </row>
    <row r="981" ht="15.75" customHeight="1">
      <c r="B981" s="4"/>
      <c r="C981" s="4"/>
      <c r="D981" s="4"/>
      <c r="E981" s="4"/>
      <c r="F981" s="4"/>
      <c r="G981" s="4"/>
      <c r="H981" s="4"/>
      <c r="I981" s="4"/>
      <c r="J981" s="4"/>
      <c r="K981" s="4"/>
      <c r="L981" s="4"/>
      <c r="M981" s="4"/>
      <c r="N981" s="4"/>
      <c r="O981" s="4"/>
      <c r="P981" s="4"/>
      <c r="Q981" s="4"/>
      <c r="R981" s="4"/>
      <c r="S981" s="4"/>
      <c r="T981" s="4"/>
    </row>
    <row r="982" ht="15.75" customHeight="1">
      <c r="B982" s="4"/>
      <c r="C982" s="4"/>
      <c r="D982" s="4"/>
      <c r="E982" s="4"/>
      <c r="F982" s="4"/>
      <c r="G982" s="4"/>
      <c r="H982" s="4"/>
      <c r="I982" s="4"/>
      <c r="J982" s="4"/>
      <c r="K982" s="4"/>
      <c r="L982" s="4"/>
      <c r="M982" s="4"/>
      <c r="N982" s="4"/>
      <c r="O982" s="4"/>
      <c r="P982" s="4"/>
      <c r="Q982" s="4"/>
      <c r="R982" s="4"/>
      <c r="S982" s="4"/>
      <c r="T982" s="4"/>
    </row>
    <row r="983" ht="15.75" customHeight="1">
      <c r="B983" s="4"/>
      <c r="C983" s="4"/>
      <c r="D983" s="4"/>
      <c r="E983" s="4"/>
      <c r="F983" s="4"/>
      <c r="G983" s="4"/>
      <c r="H983" s="4"/>
      <c r="I983" s="4"/>
      <c r="J983" s="4"/>
      <c r="K983" s="4"/>
      <c r="L983" s="4"/>
      <c r="M983" s="4"/>
      <c r="N983" s="4"/>
      <c r="O983" s="4"/>
      <c r="P983" s="4"/>
      <c r="Q983" s="4"/>
      <c r="R983" s="4"/>
      <c r="S983" s="4"/>
      <c r="T983" s="4"/>
    </row>
    <row r="984" ht="15.75" customHeight="1">
      <c r="B984" s="4"/>
      <c r="C984" s="4"/>
      <c r="D984" s="4"/>
      <c r="E984" s="4"/>
      <c r="F984" s="4"/>
      <c r="G984" s="4"/>
      <c r="H984" s="4"/>
      <c r="I984" s="4"/>
      <c r="J984" s="4"/>
      <c r="K984" s="4"/>
      <c r="L984" s="4"/>
      <c r="M984" s="4"/>
      <c r="N984" s="4"/>
      <c r="O984" s="4"/>
      <c r="P984" s="4"/>
      <c r="Q984" s="4"/>
      <c r="R984" s="4"/>
      <c r="S984" s="4"/>
      <c r="T984" s="4"/>
    </row>
    <row r="985" ht="15.75" customHeight="1">
      <c r="B985" s="4"/>
      <c r="C985" s="4"/>
      <c r="D985" s="4"/>
      <c r="E985" s="4"/>
      <c r="F985" s="4"/>
      <c r="G985" s="4"/>
      <c r="H985" s="4"/>
      <c r="I985" s="4"/>
      <c r="J985" s="4"/>
      <c r="K985" s="4"/>
      <c r="L985" s="4"/>
      <c r="M985" s="4"/>
      <c r="N985" s="4"/>
      <c r="O985" s="4"/>
      <c r="P985" s="4"/>
      <c r="Q985" s="4"/>
      <c r="R985" s="4"/>
      <c r="S985" s="4"/>
      <c r="T985" s="4"/>
    </row>
    <row r="986" ht="15.75" customHeight="1">
      <c r="B986" s="4"/>
      <c r="C986" s="4"/>
      <c r="D986" s="4"/>
      <c r="E986" s="4"/>
      <c r="F986" s="4"/>
      <c r="G986" s="4"/>
      <c r="H986" s="4"/>
      <c r="I986" s="4"/>
      <c r="J986" s="4"/>
      <c r="K986" s="4"/>
      <c r="L986" s="4"/>
      <c r="M986" s="4"/>
      <c r="N986" s="4"/>
      <c r="O986" s="4"/>
      <c r="P986" s="4"/>
      <c r="Q986" s="4"/>
      <c r="R986" s="4"/>
      <c r="S986" s="4"/>
      <c r="T986" s="4"/>
    </row>
    <row r="987" ht="15.75" customHeight="1">
      <c r="B987" s="4"/>
      <c r="C987" s="4"/>
      <c r="D987" s="4"/>
      <c r="E987" s="4"/>
      <c r="F987" s="4"/>
      <c r="G987" s="4"/>
      <c r="H987" s="4"/>
      <c r="I987" s="4"/>
      <c r="J987" s="4"/>
      <c r="K987" s="4"/>
      <c r="L987" s="4"/>
      <c r="M987" s="4"/>
      <c r="N987" s="4"/>
      <c r="O987" s="4"/>
      <c r="P987" s="4"/>
      <c r="Q987" s="4"/>
      <c r="R987" s="4"/>
      <c r="S987" s="4"/>
      <c r="T987" s="4"/>
    </row>
    <row r="988" ht="15.75" customHeight="1">
      <c r="B988" s="4"/>
      <c r="C988" s="4"/>
      <c r="D988" s="4"/>
      <c r="E988" s="4"/>
      <c r="F988" s="4"/>
      <c r="G988" s="4"/>
      <c r="H988" s="4"/>
      <c r="I988" s="4"/>
      <c r="J988" s="4"/>
      <c r="K988" s="4"/>
      <c r="L988" s="4"/>
      <c r="M988" s="4"/>
      <c r="N988" s="4"/>
      <c r="O988" s="4"/>
      <c r="P988" s="4"/>
      <c r="Q988" s="4"/>
      <c r="R988" s="4"/>
      <c r="S988" s="4"/>
      <c r="T988" s="4"/>
    </row>
    <row r="989" ht="15.75" customHeight="1">
      <c r="B989" s="4"/>
      <c r="C989" s="4"/>
      <c r="D989" s="4"/>
      <c r="E989" s="4"/>
      <c r="F989" s="4"/>
      <c r="G989" s="4"/>
      <c r="H989" s="4"/>
      <c r="I989" s="4"/>
      <c r="J989" s="4"/>
      <c r="K989" s="4"/>
      <c r="L989" s="4"/>
      <c r="M989" s="4"/>
      <c r="N989" s="4"/>
      <c r="O989" s="4"/>
      <c r="P989" s="4"/>
      <c r="Q989" s="4"/>
      <c r="R989" s="4"/>
      <c r="S989" s="4"/>
      <c r="T989" s="4"/>
    </row>
    <row r="990" ht="15.75" customHeight="1">
      <c r="B990" s="4"/>
      <c r="C990" s="4"/>
      <c r="D990" s="4"/>
      <c r="E990" s="4"/>
      <c r="F990" s="4"/>
      <c r="G990" s="4"/>
      <c r="H990" s="4"/>
      <c r="I990" s="4"/>
      <c r="J990" s="4"/>
      <c r="K990" s="4"/>
      <c r="L990" s="4"/>
      <c r="M990" s="4"/>
      <c r="N990" s="4"/>
      <c r="O990" s="4"/>
      <c r="P990" s="4"/>
      <c r="Q990" s="4"/>
      <c r="R990" s="4"/>
      <c r="S990" s="4"/>
      <c r="T990" s="4"/>
    </row>
    <row r="991" ht="15.75" customHeight="1">
      <c r="B991" s="4"/>
      <c r="C991" s="4"/>
      <c r="D991" s="4"/>
      <c r="E991" s="4"/>
      <c r="F991" s="4"/>
      <c r="G991" s="4"/>
      <c r="H991" s="4"/>
      <c r="I991" s="4"/>
      <c r="J991" s="4"/>
      <c r="K991" s="4"/>
      <c r="L991" s="4"/>
      <c r="M991" s="4"/>
      <c r="N991" s="4"/>
      <c r="O991" s="4"/>
      <c r="P991" s="4"/>
      <c r="Q991" s="4"/>
      <c r="R991" s="4"/>
      <c r="S991" s="4"/>
      <c r="T991" s="4"/>
    </row>
    <row r="992" ht="15.75" customHeight="1">
      <c r="B992" s="4"/>
      <c r="C992" s="4"/>
      <c r="D992" s="4"/>
      <c r="E992" s="4"/>
      <c r="F992" s="4"/>
      <c r="G992" s="4"/>
      <c r="H992" s="4"/>
      <c r="I992" s="4"/>
      <c r="J992" s="4"/>
      <c r="K992" s="4"/>
      <c r="L992" s="4"/>
      <c r="M992" s="4"/>
      <c r="N992" s="4"/>
      <c r="O992" s="4"/>
      <c r="P992" s="4"/>
      <c r="Q992" s="4"/>
      <c r="R992" s="4"/>
      <c r="S992" s="4"/>
      <c r="T992" s="4"/>
    </row>
    <row r="993" ht="15.75" customHeight="1">
      <c r="B993" s="4"/>
      <c r="C993" s="4"/>
      <c r="D993" s="4"/>
      <c r="E993" s="4"/>
      <c r="F993" s="4"/>
      <c r="G993" s="4"/>
      <c r="H993" s="4"/>
      <c r="I993" s="4"/>
      <c r="J993" s="4"/>
      <c r="K993" s="4"/>
      <c r="L993" s="4"/>
      <c r="M993" s="4"/>
      <c r="N993" s="4"/>
      <c r="O993" s="4"/>
      <c r="P993" s="4"/>
      <c r="Q993" s="4"/>
      <c r="R993" s="4"/>
      <c r="S993" s="4"/>
      <c r="T993" s="4"/>
    </row>
    <row r="994" ht="15.75" customHeight="1">
      <c r="B994" s="4"/>
      <c r="C994" s="4"/>
      <c r="D994" s="4"/>
      <c r="E994" s="4"/>
      <c r="F994" s="4"/>
      <c r="G994" s="4"/>
      <c r="H994" s="4"/>
      <c r="I994" s="4"/>
      <c r="J994" s="4"/>
      <c r="K994" s="4"/>
      <c r="L994" s="4"/>
      <c r="M994" s="4"/>
      <c r="N994" s="4"/>
      <c r="O994" s="4"/>
      <c r="P994" s="4"/>
      <c r="Q994" s="4"/>
      <c r="R994" s="4"/>
      <c r="S994" s="4"/>
      <c r="T994" s="4"/>
    </row>
    <row r="995" ht="15.75" customHeight="1">
      <c r="B995" s="4"/>
      <c r="C995" s="4"/>
      <c r="D995" s="4"/>
      <c r="E995" s="4"/>
      <c r="F995" s="4"/>
      <c r="G995" s="4"/>
      <c r="H995" s="4"/>
      <c r="I995" s="4"/>
      <c r="J995" s="4"/>
      <c r="K995" s="4"/>
      <c r="L995" s="4"/>
      <c r="M995" s="4"/>
      <c r="N995" s="4"/>
      <c r="O995" s="4"/>
      <c r="P995" s="4"/>
      <c r="Q995" s="4"/>
      <c r="R995" s="4"/>
      <c r="S995" s="4"/>
      <c r="T995" s="4"/>
    </row>
    <row r="996" ht="15.75" customHeight="1">
      <c r="B996" s="4"/>
      <c r="C996" s="4"/>
      <c r="D996" s="4"/>
      <c r="E996" s="4"/>
      <c r="F996" s="4"/>
      <c r="G996" s="4"/>
      <c r="H996" s="4"/>
      <c r="I996" s="4"/>
      <c r="J996" s="4"/>
      <c r="K996" s="4"/>
      <c r="L996" s="4"/>
      <c r="M996" s="4"/>
      <c r="N996" s="4"/>
      <c r="O996" s="4"/>
      <c r="P996" s="4"/>
      <c r="Q996" s="4"/>
      <c r="R996" s="4"/>
      <c r="S996" s="4"/>
      <c r="T996" s="4"/>
    </row>
    <row r="997" ht="15.75" customHeight="1">
      <c r="B997" s="4"/>
      <c r="C997" s="4"/>
      <c r="D997" s="4"/>
      <c r="E997" s="4"/>
      <c r="F997" s="4"/>
      <c r="G997" s="4"/>
      <c r="H997" s="4"/>
      <c r="I997" s="4"/>
      <c r="J997" s="4"/>
      <c r="K997" s="4"/>
      <c r="L997" s="4"/>
      <c r="M997" s="4"/>
      <c r="N997" s="4"/>
      <c r="O997" s="4"/>
      <c r="P997" s="4"/>
      <c r="Q997" s="4"/>
      <c r="R997" s="4"/>
      <c r="S997" s="4"/>
      <c r="T997" s="4"/>
    </row>
    <row r="998" ht="15.75" customHeight="1">
      <c r="B998" s="4"/>
      <c r="C998" s="4"/>
      <c r="D998" s="4"/>
      <c r="E998" s="4"/>
      <c r="F998" s="4"/>
      <c r="G998" s="4"/>
      <c r="H998" s="4"/>
      <c r="I998" s="4"/>
      <c r="J998" s="4"/>
      <c r="K998" s="4"/>
      <c r="L998" s="4"/>
      <c r="M998" s="4"/>
      <c r="N998" s="4"/>
      <c r="O998" s="4"/>
      <c r="P998" s="4"/>
      <c r="Q998" s="4"/>
      <c r="R998" s="4"/>
      <c r="S998" s="4"/>
      <c r="T998" s="4"/>
    </row>
    <row r="999" ht="15.75" customHeight="1">
      <c r="B999" s="4"/>
      <c r="C999" s="4"/>
      <c r="D999" s="4"/>
      <c r="E999" s="4"/>
      <c r="F999" s="4"/>
      <c r="G999" s="4"/>
      <c r="H999" s="4"/>
      <c r="I999" s="4"/>
      <c r="J999" s="4"/>
      <c r="K999" s="4"/>
      <c r="L999" s="4"/>
      <c r="M999" s="4"/>
      <c r="N999" s="4"/>
      <c r="O999" s="4"/>
      <c r="P999" s="4"/>
      <c r="Q999" s="4"/>
      <c r="R999" s="4"/>
      <c r="S999" s="4"/>
      <c r="T999" s="4"/>
    </row>
    <row r="1000" ht="15.75" customHeight="1">
      <c r="B1000" s="4"/>
      <c r="C1000" s="4"/>
      <c r="D1000" s="4"/>
      <c r="E1000" s="4"/>
      <c r="F1000" s="4"/>
      <c r="G1000" s="4"/>
      <c r="H1000" s="4"/>
      <c r="I1000" s="4"/>
      <c r="J1000" s="4"/>
      <c r="K1000" s="4"/>
      <c r="L1000" s="4"/>
      <c r="M1000" s="4"/>
      <c r="N1000" s="4"/>
      <c r="O1000" s="4"/>
      <c r="P1000" s="4"/>
      <c r="Q1000" s="4"/>
      <c r="R1000" s="4"/>
      <c r="S1000" s="4"/>
      <c r="T1000" s="4"/>
    </row>
    <row r="1001" ht="15.75" customHeight="1">
      <c r="B1001" s="4"/>
      <c r="C1001" s="4"/>
      <c r="D1001" s="4"/>
      <c r="E1001" s="4"/>
      <c r="F1001" s="4"/>
      <c r="G1001" s="4"/>
      <c r="H1001" s="4"/>
      <c r="I1001" s="4"/>
      <c r="J1001" s="4"/>
      <c r="K1001" s="4"/>
      <c r="L1001" s="4"/>
      <c r="M1001" s="4"/>
      <c r="N1001" s="4"/>
      <c r="O1001" s="4"/>
      <c r="P1001" s="4"/>
      <c r="Q1001" s="4"/>
      <c r="R1001" s="4"/>
      <c r="S1001" s="4"/>
      <c r="T1001" s="4"/>
    </row>
    <row r="1002" ht="15.75" customHeight="1">
      <c r="B1002" s="4"/>
      <c r="C1002" s="4"/>
      <c r="D1002" s="4"/>
      <c r="E1002" s="4"/>
      <c r="F1002" s="4"/>
      <c r="G1002" s="4"/>
      <c r="H1002" s="4"/>
      <c r="I1002" s="4"/>
      <c r="J1002" s="4"/>
      <c r="K1002" s="4"/>
      <c r="L1002" s="4"/>
      <c r="M1002" s="4"/>
      <c r="N1002" s="4"/>
      <c r="O1002" s="4"/>
      <c r="P1002" s="4"/>
      <c r="Q1002" s="4"/>
      <c r="R1002" s="4"/>
      <c r="S1002" s="4"/>
      <c r="T1002" s="4"/>
    </row>
    <row r="1003" ht="15.75" customHeight="1">
      <c r="B1003" s="4"/>
      <c r="C1003" s="4"/>
      <c r="D1003" s="4"/>
      <c r="E1003" s="4"/>
      <c r="F1003" s="4"/>
      <c r="G1003" s="4"/>
      <c r="H1003" s="4"/>
      <c r="I1003" s="4"/>
      <c r="J1003" s="4"/>
      <c r="K1003" s="4"/>
      <c r="L1003" s="4"/>
      <c r="M1003" s="4"/>
      <c r="N1003" s="4"/>
      <c r="O1003" s="4"/>
      <c r="P1003" s="4"/>
      <c r="Q1003" s="4"/>
      <c r="R1003" s="4"/>
      <c r="S1003" s="4"/>
      <c r="T1003" s="4"/>
    </row>
    <row r="1004" ht="15.75" customHeight="1">
      <c r="B1004" s="4"/>
      <c r="C1004" s="4"/>
      <c r="D1004" s="4"/>
      <c r="E1004" s="4"/>
      <c r="F1004" s="4"/>
      <c r="G1004" s="4"/>
      <c r="H1004" s="4"/>
      <c r="I1004" s="4"/>
      <c r="J1004" s="4"/>
      <c r="K1004" s="4"/>
      <c r="L1004" s="4"/>
      <c r="M1004" s="4"/>
      <c r="N1004" s="4"/>
      <c r="O1004" s="4"/>
      <c r="P1004" s="4"/>
      <c r="Q1004" s="4"/>
      <c r="R1004" s="4"/>
      <c r="S1004" s="4"/>
      <c r="T1004" s="4"/>
    </row>
    <row r="1005" ht="15.75" customHeight="1">
      <c r="B1005" s="4"/>
      <c r="C1005" s="4"/>
      <c r="D1005" s="4"/>
      <c r="E1005" s="4"/>
      <c r="F1005" s="4"/>
      <c r="G1005" s="4"/>
      <c r="H1005" s="4"/>
      <c r="I1005" s="4"/>
      <c r="J1005" s="4"/>
      <c r="K1005" s="4"/>
      <c r="L1005" s="4"/>
      <c r="M1005" s="4"/>
      <c r="N1005" s="4"/>
      <c r="O1005" s="4"/>
      <c r="P1005" s="4"/>
      <c r="Q1005" s="4"/>
      <c r="R1005" s="4"/>
      <c r="S1005" s="4"/>
      <c r="T1005" s="4"/>
    </row>
  </sheetData>
  <conditionalFormatting sqref="F33:F36 H33:H36">
    <cfRule type="containsText" dxfId="0" priority="1" operator="containsText" text="0">
      <formula>NOT(ISERROR(SEARCH(("0"),(F33))))</formula>
    </cfRule>
  </conditionalFormatting>
  <conditionalFormatting sqref="J32:M36 G33:G36 I33:I36">
    <cfRule type="containsText" dxfId="0" priority="2" operator="containsText" text="blank">
      <formula>NOT(ISERROR(SEARCH(("blank"),(J32))))</formula>
    </cfRule>
  </conditionalFormatting>
  <conditionalFormatting sqref="P1:P31 P37:P38 P176:P1005 R1:R31 R37:R38 R176:R1005">
    <cfRule type="containsText" dxfId="0" priority="3" operator="containsText" text="0">
      <formula>NOT(ISERROR(SEARCH(("0"),(P1))))</formula>
    </cfRule>
  </conditionalFormatting>
  <conditionalFormatting sqref="Q1:Q31 Q37:Q38 Q176:Q1005 S1:S31 S37:S38 S176:S1005">
    <cfRule type="containsText" dxfId="0" priority="4" operator="containsText" text="blank">
      <formula>NOT(ISERROR(SEARCH(("blank"),(Q1))))</formula>
    </cfRule>
  </conditionalFormatting>
  <conditionalFormatting sqref="Q32:R36">
    <cfRule type="containsText" dxfId="0" priority="5" operator="containsText" text="blank">
      <formula>NOT(ISERROR(SEARCH(("blank"),(Q32))))</formula>
    </cfRule>
  </conditionalFormatting>
  <printOptions/>
  <pageMargins bottom="0.75" footer="0.0" header="0.0" left="0.7" right="0.7" top="0.75"/>
  <pageSetup paperSize="9" orientation="portrait"/>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23"/>
      <c r="B1" s="23"/>
      <c r="C1" s="23"/>
      <c r="D1" s="23"/>
      <c r="E1" s="23"/>
      <c r="F1" s="23"/>
      <c r="G1" s="23"/>
      <c r="H1" s="23"/>
      <c r="I1" s="23"/>
      <c r="J1" s="23"/>
      <c r="K1" s="23"/>
      <c r="L1" s="23"/>
      <c r="M1" s="23"/>
      <c r="N1" s="23"/>
      <c r="O1" s="23"/>
      <c r="P1" s="23"/>
      <c r="Q1" s="23"/>
      <c r="R1" s="23"/>
      <c r="S1" s="23"/>
      <c r="T1" s="23"/>
      <c r="U1" s="23"/>
      <c r="V1" s="23"/>
      <c r="W1" s="23"/>
    </row>
    <row r="2">
      <c r="A2" s="24" t="s">
        <v>233</v>
      </c>
      <c r="B2" s="23"/>
      <c r="C2" s="23"/>
      <c r="D2" s="23"/>
      <c r="E2" s="23"/>
      <c r="F2" s="23"/>
      <c r="G2" s="23"/>
      <c r="H2" s="23"/>
      <c r="I2" s="23"/>
      <c r="J2" s="23"/>
      <c r="K2" s="23"/>
      <c r="L2" s="23"/>
      <c r="M2" s="23"/>
      <c r="N2" s="23"/>
      <c r="O2" s="23"/>
      <c r="P2" s="23"/>
      <c r="Q2" s="23"/>
      <c r="R2" s="23"/>
      <c r="S2" s="23"/>
      <c r="T2" s="23"/>
      <c r="U2" s="23"/>
      <c r="V2" s="23"/>
      <c r="W2" s="23"/>
    </row>
    <row r="3">
      <c r="A3" s="25" t="s">
        <v>234</v>
      </c>
      <c r="B3" s="26"/>
      <c r="C3" s="26"/>
      <c r="D3" s="26"/>
      <c r="E3" s="26"/>
      <c r="F3" s="26"/>
      <c r="G3" s="26"/>
      <c r="H3" s="26"/>
      <c r="I3" s="26"/>
      <c r="J3" s="26"/>
      <c r="K3" s="26"/>
      <c r="L3" s="26"/>
      <c r="M3" s="26"/>
      <c r="N3" s="26"/>
      <c r="O3" s="26"/>
      <c r="P3" s="26"/>
      <c r="Q3" s="26"/>
      <c r="R3" s="26"/>
      <c r="S3" s="26"/>
      <c r="T3" s="26"/>
      <c r="U3" s="26"/>
      <c r="V3" s="26"/>
      <c r="W3" s="26"/>
    </row>
    <row r="4">
      <c r="A4" s="27"/>
      <c r="B4" s="27"/>
      <c r="C4" s="27"/>
      <c r="D4" s="27"/>
      <c r="E4" s="27"/>
      <c r="F4" s="27"/>
      <c r="G4" s="27"/>
      <c r="H4" s="27"/>
      <c r="I4" s="27"/>
      <c r="J4" s="27"/>
      <c r="K4" s="27"/>
      <c r="L4" s="27"/>
      <c r="M4" s="27"/>
      <c r="N4" s="27"/>
      <c r="O4" s="27"/>
      <c r="P4" s="27"/>
      <c r="Q4" s="27"/>
      <c r="R4" s="27"/>
      <c r="S4" s="27"/>
      <c r="T4" s="27"/>
      <c r="U4" s="27"/>
      <c r="V4" s="27"/>
      <c r="W4" s="27"/>
    </row>
    <row r="5">
      <c r="A5" s="28" t="s">
        <v>235</v>
      </c>
      <c r="B5" s="29" t="s">
        <v>236</v>
      </c>
      <c r="C5" s="29" t="s">
        <v>237</v>
      </c>
      <c r="D5" s="29" t="s">
        <v>238</v>
      </c>
      <c r="E5" s="29" t="s">
        <v>239</v>
      </c>
      <c r="F5" s="29" t="s">
        <v>240</v>
      </c>
      <c r="G5" s="29" t="s">
        <v>241</v>
      </c>
      <c r="H5" s="29" t="s">
        <v>242</v>
      </c>
      <c r="I5" s="29" t="s">
        <v>243</v>
      </c>
      <c r="J5" s="29" t="s">
        <v>244</v>
      </c>
      <c r="K5" s="29" t="s">
        <v>245</v>
      </c>
      <c r="L5" s="29" t="s">
        <v>246</v>
      </c>
      <c r="M5" s="29" t="s">
        <v>247</v>
      </c>
      <c r="N5" s="29" t="s">
        <v>248</v>
      </c>
      <c r="O5" s="29" t="s">
        <v>249</v>
      </c>
      <c r="P5" s="29" t="s">
        <v>250</v>
      </c>
      <c r="Q5" s="29" t="s">
        <v>251</v>
      </c>
      <c r="R5" s="29" t="s">
        <v>252</v>
      </c>
      <c r="S5" s="29" t="s">
        <v>253</v>
      </c>
      <c r="T5" s="29" t="s">
        <v>254</v>
      </c>
      <c r="U5" s="29" t="s">
        <v>255</v>
      </c>
      <c r="V5" s="29" t="s">
        <v>256</v>
      </c>
      <c r="W5" s="29" t="s">
        <v>257</v>
      </c>
    </row>
    <row r="6">
      <c r="A6" s="30">
        <v>1.0</v>
      </c>
      <c r="B6" s="31" t="s">
        <v>258</v>
      </c>
      <c r="C6" s="31" t="s">
        <v>259</v>
      </c>
      <c r="D6" s="31" t="s">
        <v>260</v>
      </c>
      <c r="E6" s="31" t="s">
        <v>261</v>
      </c>
      <c r="F6" s="32">
        <v>45414.0</v>
      </c>
      <c r="G6" s="33"/>
      <c r="H6" s="31" t="s">
        <v>262</v>
      </c>
      <c r="I6" s="31" t="s">
        <v>263</v>
      </c>
      <c r="J6" s="31" t="s">
        <v>261</v>
      </c>
      <c r="K6" s="31" t="s">
        <v>264</v>
      </c>
      <c r="L6" s="31" t="s">
        <v>265</v>
      </c>
      <c r="M6" s="31" t="s">
        <v>266</v>
      </c>
      <c r="N6" s="31" t="s">
        <v>267</v>
      </c>
      <c r="O6" s="34"/>
      <c r="P6" s="31">
        <v>1.0</v>
      </c>
      <c r="Q6" s="31" t="s">
        <v>268</v>
      </c>
      <c r="R6" s="32">
        <v>36932.0</v>
      </c>
      <c r="S6" s="31" t="s">
        <v>269</v>
      </c>
      <c r="T6" s="31" t="s">
        <v>270</v>
      </c>
      <c r="U6" s="31" t="s">
        <v>271</v>
      </c>
      <c r="V6" s="34"/>
      <c r="W6" s="34"/>
    </row>
    <row r="7">
      <c r="A7" s="30">
        <v>2.0</v>
      </c>
      <c r="B7" s="31" t="s">
        <v>272</v>
      </c>
      <c r="C7" s="31" t="s">
        <v>273</v>
      </c>
      <c r="D7" s="31" t="s">
        <v>260</v>
      </c>
      <c r="E7" s="31" t="s">
        <v>274</v>
      </c>
      <c r="F7" s="32">
        <v>45414.0</v>
      </c>
      <c r="G7" s="33"/>
      <c r="H7" s="31" t="s">
        <v>262</v>
      </c>
      <c r="I7" s="31" t="s">
        <v>275</v>
      </c>
      <c r="J7" s="31" t="s">
        <v>274</v>
      </c>
      <c r="K7" s="31" t="s">
        <v>276</v>
      </c>
      <c r="L7" s="31" t="s">
        <v>277</v>
      </c>
      <c r="M7" s="31" t="s">
        <v>278</v>
      </c>
      <c r="N7" s="31" t="s">
        <v>267</v>
      </c>
      <c r="O7" s="34"/>
      <c r="P7" s="31">
        <v>1.0</v>
      </c>
      <c r="Q7" s="31" t="s">
        <v>268</v>
      </c>
      <c r="R7" s="32">
        <v>37152.0</v>
      </c>
      <c r="S7" s="31" t="s">
        <v>279</v>
      </c>
      <c r="T7" s="31" t="s">
        <v>280</v>
      </c>
      <c r="U7" s="31" t="s">
        <v>271</v>
      </c>
      <c r="V7" s="34"/>
      <c r="W7" s="34"/>
    </row>
    <row r="8">
      <c r="A8" s="30">
        <v>3.0</v>
      </c>
      <c r="B8" s="31" t="s">
        <v>281</v>
      </c>
      <c r="C8" s="31" t="s">
        <v>282</v>
      </c>
      <c r="D8" s="31" t="s">
        <v>260</v>
      </c>
      <c r="E8" s="31" t="s">
        <v>283</v>
      </c>
      <c r="F8" s="32">
        <v>45414.0</v>
      </c>
      <c r="G8" s="33"/>
      <c r="H8" s="31" t="s">
        <v>262</v>
      </c>
      <c r="I8" s="31" t="s">
        <v>275</v>
      </c>
      <c r="J8" s="31" t="s">
        <v>283</v>
      </c>
      <c r="K8" s="31" t="s">
        <v>284</v>
      </c>
      <c r="L8" s="31" t="s">
        <v>277</v>
      </c>
      <c r="M8" s="31" t="s">
        <v>285</v>
      </c>
      <c r="N8" s="31" t="s">
        <v>267</v>
      </c>
      <c r="O8" s="34"/>
      <c r="P8" s="31">
        <v>1.0</v>
      </c>
      <c r="Q8" s="31" t="s">
        <v>268</v>
      </c>
      <c r="R8" s="32">
        <v>37520.0</v>
      </c>
      <c r="S8" s="31" t="s">
        <v>286</v>
      </c>
      <c r="T8" s="31" t="s">
        <v>287</v>
      </c>
      <c r="U8" s="31" t="s">
        <v>271</v>
      </c>
      <c r="V8" s="34"/>
      <c r="W8" s="34"/>
    </row>
    <row r="9">
      <c r="A9" s="30">
        <v>4.0</v>
      </c>
      <c r="B9" s="31" t="s">
        <v>288</v>
      </c>
      <c r="C9" s="31" t="s">
        <v>289</v>
      </c>
      <c r="D9" s="31" t="s">
        <v>260</v>
      </c>
      <c r="E9" s="31" t="s">
        <v>274</v>
      </c>
      <c r="F9" s="32">
        <v>45414.0</v>
      </c>
      <c r="G9" s="33"/>
      <c r="H9" s="31" t="s">
        <v>262</v>
      </c>
      <c r="I9" s="31" t="s">
        <v>275</v>
      </c>
      <c r="J9" s="31" t="s">
        <v>274</v>
      </c>
      <c r="K9" s="31" t="s">
        <v>276</v>
      </c>
      <c r="L9" s="31" t="s">
        <v>277</v>
      </c>
      <c r="M9" s="31" t="s">
        <v>290</v>
      </c>
      <c r="N9" s="31" t="s">
        <v>267</v>
      </c>
      <c r="O9" s="34"/>
      <c r="P9" s="31">
        <v>1.0</v>
      </c>
      <c r="Q9" s="31" t="s">
        <v>268</v>
      </c>
      <c r="R9" s="35">
        <v>37605.0</v>
      </c>
      <c r="S9" s="31" t="s">
        <v>291</v>
      </c>
      <c r="T9" s="31" t="s">
        <v>292</v>
      </c>
      <c r="U9" s="31" t="s">
        <v>271</v>
      </c>
      <c r="V9" s="34"/>
      <c r="W9" s="34"/>
    </row>
    <row r="10">
      <c r="A10" s="30">
        <v>5.0</v>
      </c>
      <c r="B10" s="31" t="s">
        <v>293</v>
      </c>
      <c r="C10" s="31" t="s">
        <v>294</v>
      </c>
      <c r="D10" s="31" t="s">
        <v>260</v>
      </c>
      <c r="E10" s="31" t="s">
        <v>295</v>
      </c>
      <c r="F10" s="32">
        <v>45414.0</v>
      </c>
      <c r="G10" s="33"/>
      <c r="H10" s="31" t="s">
        <v>262</v>
      </c>
      <c r="I10" s="31" t="s">
        <v>275</v>
      </c>
      <c r="J10" s="31" t="s">
        <v>295</v>
      </c>
      <c r="K10" s="31" t="s">
        <v>296</v>
      </c>
      <c r="L10" s="31" t="s">
        <v>297</v>
      </c>
      <c r="M10" s="31" t="s">
        <v>298</v>
      </c>
      <c r="N10" s="31" t="s">
        <v>267</v>
      </c>
      <c r="O10" s="34"/>
      <c r="P10" s="31">
        <v>1.0</v>
      </c>
      <c r="Q10" s="31" t="s">
        <v>268</v>
      </c>
      <c r="R10" s="32">
        <v>35859.0</v>
      </c>
      <c r="S10" s="31" t="s">
        <v>286</v>
      </c>
      <c r="T10" s="31" t="s">
        <v>299</v>
      </c>
      <c r="U10" s="31" t="s">
        <v>271</v>
      </c>
      <c r="V10" s="34"/>
      <c r="W10" s="34"/>
    </row>
    <row r="11">
      <c r="A11" s="30">
        <v>6.0</v>
      </c>
      <c r="B11" s="31" t="s">
        <v>300</v>
      </c>
      <c r="C11" s="31" t="s">
        <v>301</v>
      </c>
      <c r="D11" s="31" t="s">
        <v>302</v>
      </c>
      <c r="E11" s="31" t="s">
        <v>228</v>
      </c>
      <c r="F11" s="32">
        <v>44669.0</v>
      </c>
      <c r="G11" s="32">
        <v>44730.0</v>
      </c>
      <c r="H11" s="31" t="s">
        <v>303</v>
      </c>
      <c r="I11" s="31" t="s">
        <v>228</v>
      </c>
      <c r="J11" s="34"/>
      <c r="K11" s="31" t="s">
        <v>304</v>
      </c>
      <c r="L11" s="31" t="s">
        <v>305</v>
      </c>
      <c r="M11" s="31" t="s">
        <v>306</v>
      </c>
      <c r="N11" s="31" t="s">
        <v>267</v>
      </c>
      <c r="O11" s="34"/>
      <c r="P11" s="34"/>
      <c r="Q11" s="31" t="s">
        <v>307</v>
      </c>
      <c r="R11" s="32">
        <v>34467.0</v>
      </c>
      <c r="S11" s="31" t="s">
        <v>308</v>
      </c>
      <c r="T11" s="31" t="s">
        <v>309</v>
      </c>
      <c r="U11" s="31" t="s">
        <v>310</v>
      </c>
      <c r="V11" s="34"/>
      <c r="W11" s="34"/>
    </row>
    <row r="12">
      <c r="A12" s="30">
        <v>7.0</v>
      </c>
      <c r="B12" s="31" t="s">
        <v>311</v>
      </c>
      <c r="C12" s="31" t="s">
        <v>312</v>
      </c>
      <c r="D12" s="31" t="s">
        <v>313</v>
      </c>
      <c r="E12" s="31" t="s">
        <v>314</v>
      </c>
      <c r="F12" s="32">
        <v>44366.0</v>
      </c>
      <c r="G12" s="32">
        <v>44427.0</v>
      </c>
      <c r="H12" s="31" t="s">
        <v>262</v>
      </c>
      <c r="I12" s="31" t="s">
        <v>315</v>
      </c>
      <c r="J12" s="31" t="s">
        <v>316</v>
      </c>
      <c r="K12" s="31" t="s">
        <v>317</v>
      </c>
      <c r="L12" s="31" t="s">
        <v>318</v>
      </c>
      <c r="M12" s="31" t="s">
        <v>319</v>
      </c>
      <c r="N12" s="31" t="s">
        <v>267</v>
      </c>
      <c r="O12" s="34"/>
      <c r="P12" s="31">
        <v>3.0</v>
      </c>
      <c r="Q12" s="31" t="s">
        <v>307</v>
      </c>
      <c r="R12" s="32">
        <v>36355.0</v>
      </c>
      <c r="S12" s="31" t="s">
        <v>320</v>
      </c>
      <c r="T12" s="31" t="s">
        <v>321</v>
      </c>
      <c r="U12" s="31" t="s">
        <v>271</v>
      </c>
      <c r="V12" s="31" t="s">
        <v>314</v>
      </c>
      <c r="W12" s="34"/>
    </row>
    <row r="13">
      <c r="A13" s="30">
        <v>8.0</v>
      </c>
      <c r="B13" s="31" t="s">
        <v>322</v>
      </c>
      <c r="C13" s="31" t="s">
        <v>323</v>
      </c>
      <c r="D13" s="31" t="s">
        <v>260</v>
      </c>
      <c r="E13" s="31" t="s">
        <v>324</v>
      </c>
      <c r="F13" s="32">
        <v>45418.0</v>
      </c>
      <c r="G13" s="33"/>
      <c r="H13" s="31" t="s">
        <v>325</v>
      </c>
      <c r="I13" s="31" t="s">
        <v>326</v>
      </c>
      <c r="J13" s="31" t="s">
        <v>324</v>
      </c>
      <c r="K13" s="31" t="s">
        <v>327</v>
      </c>
      <c r="L13" s="31" t="s">
        <v>328</v>
      </c>
      <c r="M13" s="31" t="s">
        <v>329</v>
      </c>
      <c r="N13" s="31" t="s">
        <v>267</v>
      </c>
      <c r="O13" s="34"/>
      <c r="P13" s="31">
        <v>1.0</v>
      </c>
      <c r="Q13" s="31" t="s">
        <v>268</v>
      </c>
      <c r="R13" s="35">
        <v>37549.0</v>
      </c>
      <c r="S13" s="31" t="s">
        <v>320</v>
      </c>
      <c r="T13" s="31" t="s">
        <v>330</v>
      </c>
      <c r="U13" s="31" t="s">
        <v>331</v>
      </c>
      <c r="V13" s="34"/>
      <c r="W13" s="34"/>
    </row>
    <row r="14">
      <c r="A14" s="30">
        <v>9.0</v>
      </c>
      <c r="B14" s="31" t="s">
        <v>332</v>
      </c>
      <c r="C14" s="31" t="s">
        <v>333</v>
      </c>
      <c r="D14" s="31" t="s">
        <v>334</v>
      </c>
      <c r="E14" s="31" t="s">
        <v>104</v>
      </c>
      <c r="F14" s="32">
        <v>45425.0</v>
      </c>
      <c r="G14" s="33"/>
      <c r="H14" s="31" t="s">
        <v>303</v>
      </c>
      <c r="I14" s="31" t="s">
        <v>335</v>
      </c>
      <c r="J14" s="31" t="s">
        <v>336</v>
      </c>
      <c r="K14" s="31" t="s">
        <v>337</v>
      </c>
      <c r="L14" s="31" t="s">
        <v>338</v>
      </c>
      <c r="M14" s="31" t="s">
        <v>339</v>
      </c>
      <c r="N14" s="31" t="s">
        <v>267</v>
      </c>
      <c r="O14" s="34"/>
      <c r="P14" s="34"/>
      <c r="Q14" s="31" t="s">
        <v>268</v>
      </c>
      <c r="R14" s="32">
        <v>35452.0</v>
      </c>
      <c r="S14" s="31" t="s">
        <v>340</v>
      </c>
      <c r="T14" s="31" t="s">
        <v>341</v>
      </c>
      <c r="U14" s="31" t="s">
        <v>342</v>
      </c>
      <c r="V14" s="31" t="s">
        <v>104</v>
      </c>
      <c r="W14" s="34"/>
    </row>
    <row r="15">
      <c r="A15" s="30">
        <v>10.0</v>
      </c>
      <c r="B15" s="31" t="s">
        <v>343</v>
      </c>
      <c r="C15" s="31" t="s">
        <v>344</v>
      </c>
      <c r="D15" s="31" t="s">
        <v>345</v>
      </c>
      <c r="E15" s="31" t="s">
        <v>38</v>
      </c>
      <c r="F15" s="32">
        <v>45407.0</v>
      </c>
      <c r="G15" s="33"/>
      <c r="H15" s="31" t="s">
        <v>346</v>
      </c>
      <c r="I15" s="31" t="s">
        <v>38</v>
      </c>
      <c r="J15" s="34"/>
      <c r="K15" s="31" t="s">
        <v>347</v>
      </c>
      <c r="L15" s="31" t="s">
        <v>348</v>
      </c>
      <c r="M15" s="31" t="s">
        <v>349</v>
      </c>
      <c r="N15" s="31" t="s">
        <v>267</v>
      </c>
      <c r="O15" s="34"/>
      <c r="P15" s="34"/>
      <c r="Q15" s="31" t="s">
        <v>268</v>
      </c>
      <c r="R15" s="32">
        <v>36364.0</v>
      </c>
      <c r="S15" s="31" t="s">
        <v>350</v>
      </c>
      <c r="T15" s="31" t="s">
        <v>351</v>
      </c>
      <c r="U15" s="31" t="s">
        <v>352</v>
      </c>
      <c r="V15" s="34"/>
      <c r="W15" s="34"/>
    </row>
    <row r="16">
      <c r="A16" s="30">
        <v>11.0</v>
      </c>
      <c r="B16" s="31" t="s">
        <v>353</v>
      </c>
      <c r="C16" s="31" t="s">
        <v>354</v>
      </c>
      <c r="D16" s="31" t="s">
        <v>260</v>
      </c>
      <c r="E16" s="31" t="s">
        <v>355</v>
      </c>
      <c r="F16" s="32">
        <v>45401.0</v>
      </c>
      <c r="G16" s="33"/>
      <c r="H16" s="31" t="s">
        <v>346</v>
      </c>
      <c r="I16" s="31" t="s">
        <v>263</v>
      </c>
      <c r="J16" s="31" t="s">
        <v>356</v>
      </c>
      <c r="K16" s="31" t="s">
        <v>357</v>
      </c>
      <c r="L16" s="31" t="s">
        <v>328</v>
      </c>
      <c r="M16" s="31" t="s">
        <v>358</v>
      </c>
      <c r="N16" s="31" t="s">
        <v>267</v>
      </c>
      <c r="O16" s="34"/>
      <c r="P16" s="31">
        <v>1.0</v>
      </c>
      <c r="Q16" s="31" t="s">
        <v>268</v>
      </c>
      <c r="R16" s="32">
        <v>37485.0</v>
      </c>
      <c r="S16" s="31" t="s">
        <v>359</v>
      </c>
      <c r="T16" s="31" t="s">
        <v>360</v>
      </c>
      <c r="U16" s="31" t="s">
        <v>361</v>
      </c>
      <c r="V16" s="31" t="s">
        <v>355</v>
      </c>
      <c r="W16" s="34"/>
    </row>
    <row r="17">
      <c r="A17" s="30">
        <v>12.0</v>
      </c>
      <c r="B17" s="31" t="s">
        <v>362</v>
      </c>
      <c r="C17" s="31" t="s">
        <v>363</v>
      </c>
      <c r="D17" s="31" t="s">
        <v>364</v>
      </c>
      <c r="E17" s="31" t="s">
        <v>365</v>
      </c>
      <c r="F17" s="32">
        <v>45401.0</v>
      </c>
      <c r="G17" s="33"/>
      <c r="H17" s="31" t="s">
        <v>346</v>
      </c>
      <c r="I17" s="31" t="s">
        <v>93</v>
      </c>
      <c r="J17" s="31" t="s">
        <v>366</v>
      </c>
      <c r="K17" s="31" t="s">
        <v>367</v>
      </c>
      <c r="L17" s="31" t="s">
        <v>368</v>
      </c>
      <c r="M17" s="31" t="s">
        <v>369</v>
      </c>
      <c r="N17" s="31" t="s">
        <v>267</v>
      </c>
      <c r="O17" s="34"/>
      <c r="P17" s="31">
        <v>1.0</v>
      </c>
      <c r="Q17" s="31" t="s">
        <v>268</v>
      </c>
      <c r="R17" s="32">
        <v>36106.0</v>
      </c>
      <c r="S17" s="31" t="s">
        <v>370</v>
      </c>
      <c r="T17" s="31" t="s">
        <v>371</v>
      </c>
      <c r="U17" s="31" t="s">
        <v>352</v>
      </c>
      <c r="V17" s="31" t="s">
        <v>365</v>
      </c>
      <c r="W17" s="34"/>
    </row>
    <row r="18">
      <c r="A18" s="30">
        <v>13.0</v>
      </c>
      <c r="B18" s="31" t="s">
        <v>372</v>
      </c>
      <c r="C18" s="31" t="s">
        <v>373</v>
      </c>
      <c r="D18" s="31" t="s">
        <v>260</v>
      </c>
      <c r="E18" s="31" t="s">
        <v>374</v>
      </c>
      <c r="F18" s="32">
        <v>45399.0</v>
      </c>
      <c r="G18" s="33"/>
      <c r="H18" s="31" t="s">
        <v>346</v>
      </c>
      <c r="I18" s="31" t="s">
        <v>275</v>
      </c>
      <c r="J18" s="31" t="s">
        <v>374</v>
      </c>
      <c r="K18" s="31" t="s">
        <v>375</v>
      </c>
      <c r="L18" s="31" t="s">
        <v>376</v>
      </c>
      <c r="M18" s="31" t="s">
        <v>377</v>
      </c>
      <c r="N18" s="31" t="s">
        <v>267</v>
      </c>
      <c r="O18" s="34"/>
      <c r="P18" s="34"/>
      <c r="Q18" s="31" t="s">
        <v>268</v>
      </c>
      <c r="R18" s="32">
        <v>33549.0</v>
      </c>
      <c r="S18" s="31" t="s">
        <v>378</v>
      </c>
      <c r="T18" s="31" t="s">
        <v>341</v>
      </c>
      <c r="U18" s="31" t="s">
        <v>352</v>
      </c>
      <c r="V18" s="34"/>
      <c r="W18" s="34"/>
    </row>
    <row r="19">
      <c r="A19" s="30">
        <v>14.0</v>
      </c>
      <c r="B19" s="31" t="s">
        <v>379</v>
      </c>
      <c r="C19" s="31" t="s">
        <v>380</v>
      </c>
      <c r="D19" s="31" t="s">
        <v>260</v>
      </c>
      <c r="E19" s="31" t="s">
        <v>374</v>
      </c>
      <c r="F19" s="32">
        <v>45399.0</v>
      </c>
      <c r="G19" s="33"/>
      <c r="H19" s="31" t="s">
        <v>346</v>
      </c>
      <c r="I19" s="31" t="s">
        <v>275</v>
      </c>
      <c r="J19" s="31" t="s">
        <v>374</v>
      </c>
      <c r="K19" s="31" t="s">
        <v>375</v>
      </c>
      <c r="L19" s="31" t="s">
        <v>376</v>
      </c>
      <c r="M19" s="31" t="s">
        <v>381</v>
      </c>
      <c r="N19" s="31" t="s">
        <v>267</v>
      </c>
      <c r="O19" s="34"/>
      <c r="P19" s="34"/>
      <c r="Q19" s="31" t="s">
        <v>268</v>
      </c>
      <c r="R19" s="35">
        <v>35715.0</v>
      </c>
      <c r="S19" s="31" t="s">
        <v>382</v>
      </c>
      <c r="T19" s="31" t="s">
        <v>383</v>
      </c>
      <c r="U19" s="31" t="s">
        <v>352</v>
      </c>
      <c r="V19" s="34"/>
      <c r="W19" s="34"/>
    </row>
    <row r="20">
      <c r="A20" s="30">
        <v>15.0</v>
      </c>
      <c r="B20" s="31" t="s">
        <v>384</v>
      </c>
      <c r="C20" s="31" t="s">
        <v>385</v>
      </c>
      <c r="D20" s="31" t="s">
        <v>260</v>
      </c>
      <c r="E20" s="31" t="s">
        <v>374</v>
      </c>
      <c r="F20" s="32">
        <v>45399.0</v>
      </c>
      <c r="G20" s="33"/>
      <c r="H20" s="31" t="s">
        <v>346</v>
      </c>
      <c r="I20" s="31" t="s">
        <v>275</v>
      </c>
      <c r="J20" s="31" t="s">
        <v>374</v>
      </c>
      <c r="K20" s="31" t="s">
        <v>375</v>
      </c>
      <c r="L20" s="31" t="s">
        <v>376</v>
      </c>
      <c r="M20" s="31" t="s">
        <v>386</v>
      </c>
      <c r="N20" s="31" t="s">
        <v>267</v>
      </c>
      <c r="O20" s="34"/>
      <c r="P20" s="34"/>
      <c r="Q20" s="31" t="s">
        <v>268</v>
      </c>
      <c r="R20" s="32">
        <v>37531.0</v>
      </c>
      <c r="S20" s="31" t="s">
        <v>320</v>
      </c>
      <c r="T20" s="31" t="s">
        <v>387</v>
      </c>
      <c r="U20" s="31" t="s">
        <v>361</v>
      </c>
      <c r="V20" s="34"/>
      <c r="W20" s="34"/>
    </row>
    <row r="21">
      <c r="A21" s="30">
        <v>16.0</v>
      </c>
      <c r="B21" s="31" t="s">
        <v>388</v>
      </c>
      <c r="C21" s="31" t="s">
        <v>389</v>
      </c>
      <c r="D21" s="31" t="s">
        <v>260</v>
      </c>
      <c r="E21" s="31" t="s">
        <v>390</v>
      </c>
      <c r="F21" s="32">
        <v>45397.0</v>
      </c>
      <c r="G21" s="33"/>
      <c r="H21" s="31" t="s">
        <v>346</v>
      </c>
      <c r="I21" s="31" t="s">
        <v>112</v>
      </c>
      <c r="J21" s="31" t="s">
        <v>390</v>
      </c>
      <c r="K21" s="31" t="s">
        <v>391</v>
      </c>
      <c r="L21" s="31" t="s">
        <v>392</v>
      </c>
      <c r="M21" s="31" t="s">
        <v>393</v>
      </c>
      <c r="N21" s="31" t="s">
        <v>267</v>
      </c>
      <c r="O21" s="34"/>
      <c r="P21" s="31">
        <v>1.0</v>
      </c>
      <c r="Q21" s="31" t="s">
        <v>268</v>
      </c>
      <c r="R21" s="32">
        <v>37471.0</v>
      </c>
      <c r="S21" s="31" t="s">
        <v>286</v>
      </c>
      <c r="T21" s="31" t="s">
        <v>394</v>
      </c>
      <c r="U21" s="31" t="s">
        <v>361</v>
      </c>
      <c r="V21" s="34"/>
      <c r="W21" s="34"/>
    </row>
    <row r="22">
      <c r="A22" s="30">
        <v>17.0</v>
      </c>
      <c r="B22" s="31" t="s">
        <v>395</v>
      </c>
      <c r="C22" s="31" t="s">
        <v>396</v>
      </c>
      <c r="D22" s="31" t="s">
        <v>260</v>
      </c>
      <c r="E22" s="31" t="s">
        <v>397</v>
      </c>
      <c r="F22" s="32">
        <v>45391.0</v>
      </c>
      <c r="G22" s="33"/>
      <c r="H22" s="31" t="s">
        <v>346</v>
      </c>
      <c r="I22" s="31" t="s">
        <v>112</v>
      </c>
      <c r="J22" s="31" t="s">
        <v>397</v>
      </c>
      <c r="K22" s="31" t="s">
        <v>398</v>
      </c>
      <c r="L22" s="31" t="s">
        <v>392</v>
      </c>
      <c r="M22" s="31" t="s">
        <v>399</v>
      </c>
      <c r="N22" s="31" t="s">
        <v>267</v>
      </c>
      <c r="O22" s="34"/>
      <c r="P22" s="31">
        <v>1.0</v>
      </c>
      <c r="Q22" s="31" t="s">
        <v>268</v>
      </c>
      <c r="R22" s="35">
        <v>36140.0</v>
      </c>
      <c r="S22" s="31" t="s">
        <v>400</v>
      </c>
      <c r="T22" s="31" t="s">
        <v>383</v>
      </c>
      <c r="U22" s="31" t="s">
        <v>361</v>
      </c>
      <c r="V22" s="34"/>
      <c r="W22" s="34"/>
    </row>
    <row r="23">
      <c r="A23" s="30">
        <v>18.0</v>
      </c>
      <c r="B23" s="31" t="s">
        <v>401</v>
      </c>
      <c r="C23" s="31" t="s">
        <v>402</v>
      </c>
      <c r="D23" s="31" t="s">
        <v>260</v>
      </c>
      <c r="E23" s="31" t="s">
        <v>403</v>
      </c>
      <c r="F23" s="32">
        <v>45391.0</v>
      </c>
      <c r="G23" s="33"/>
      <c r="H23" s="31" t="s">
        <v>346</v>
      </c>
      <c r="I23" s="31" t="s">
        <v>112</v>
      </c>
      <c r="J23" s="31" t="s">
        <v>403</v>
      </c>
      <c r="K23" s="31" t="s">
        <v>404</v>
      </c>
      <c r="L23" s="31" t="s">
        <v>392</v>
      </c>
      <c r="M23" s="31" t="s">
        <v>405</v>
      </c>
      <c r="N23" s="31" t="s">
        <v>267</v>
      </c>
      <c r="O23" s="34"/>
      <c r="P23" s="31">
        <v>1.0</v>
      </c>
      <c r="Q23" s="31" t="s">
        <v>268</v>
      </c>
      <c r="R23" s="32">
        <v>37044.0</v>
      </c>
      <c r="S23" s="31" t="s">
        <v>406</v>
      </c>
      <c r="T23" s="31" t="s">
        <v>407</v>
      </c>
      <c r="U23" s="31" t="s">
        <v>361</v>
      </c>
      <c r="V23" s="34"/>
      <c r="W23" s="34"/>
    </row>
    <row r="24">
      <c r="A24" s="30">
        <v>19.0</v>
      </c>
      <c r="B24" s="31" t="s">
        <v>408</v>
      </c>
      <c r="C24" s="31" t="s">
        <v>409</v>
      </c>
      <c r="D24" s="31" t="s">
        <v>260</v>
      </c>
      <c r="E24" s="31" t="s">
        <v>130</v>
      </c>
      <c r="F24" s="32">
        <v>45391.0</v>
      </c>
      <c r="G24" s="33"/>
      <c r="H24" s="31" t="s">
        <v>346</v>
      </c>
      <c r="I24" s="31" t="s">
        <v>263</v>
      </c>
      <c r="J24" s="31" t="s">
        <v>130</v>
      </c>
      <c r="K24" s="31" t="s">
        <v>410</v>
      </c>
      <c r="L24" s="31" t="s">
        <v>265</v>
      </c>
      <c r="M24" s="31" t="s">
        <v>411</v>
      </c>
      <c r="N24" s="31" t="s">
        <v>267</v>
      </c>
      <c r="O24" s="34"/>
      <c r="P24" s="31">
        <v>1.0</v>
      </c>
      <c r="Q24" s="31" t="s">
        <v>268</v>
      </c>
      <c r="R24" s="32">
        <v>37080.0</v>
      </c>
      <c r="S24" s="31" t="s">
        <v>412</v>
      </c>
      <c r="T24" s="31" t="s">
        <v>407</v>
      </c>
      <c r="U24" s="31" t="s">
        <v>361</v>
      </c>
      <c r="V24" s="34"/>
      <c r="W24" s="34"/>
    </row>
    <row r="25">
      <c r="A25" s="30">
        <v>20.0</v>
      </c>
      <c r="B25" s="31" t="s">
        <v>413</v>
      </c>
      <c r="C25" s="31" t="s">
        <v>414</v>
      </c>
      <c r="D25" s="31" t="s">
        <v>260</v>
      </c>
      <c r="E25" s="31" t="s">
        <v>130</v>
      </c>
      <c r="F25" s="32">
        <v>45391.0</v>
      </c>
      <c r="G25" s="33"/>
      <c r="H25" s="31" t="s">
        <v>346</v>
      </c>
      <c r="I25" s="31" t="s">
        <v>263</v>
      </c>
      <c r="J25" s="31" t="s">
        <v>130</v>
      </c>
      <c r="K25" s="31" t="s">
        <v>410</v>
      </c>
      <c r="L25" s="31" t="s">
        <v>265</v>
      </c>
      <c r="M25" s="31" t="s">
        <v>415</v>
      </c>
      <c r="N25" s="31" t="s">
        <v>267</v>
      </c>
      <c r="O25" s="34"/>
      <c r="P25" s="31">
        <v>1.0</v>
      </c>
      <c r="Q25" s="31" t="s">
        <v>268</v>
      </c>
      <c r="R25" s="32">
        <v>36906.0</v>
      </c>
      <c r="S25" s="31" t="s">
        <v>416</v>
      </c>
      <c r="T25" s="31" t="s">
        <v>417</v>
      </c>
      <c r="U25" s="31" t="s">
        <v>361</v>
      </c>
      <c r="V25" s="34"/>
      <c r="W25" s="34"/>
    </row>
    <row r="26">
      <c r="A26" s="30">
        <v>21.0</v>
      </c>
      <c r="B26" s="31" t="s">
        <v>418</v>
      </c>
      <c r="C26" s="31" t="s">
        <v>419</v>
      </c>
      <c r="D26" s="31" t="s">
        <v>260</v>
      </c>
      <c r="E26" s="31" t="s">
        <v>355</v>
      </c>
      <c r="F26" s="32">
        <v>45391.0</v>
      </c>
      <c r="G26" s="33"/>
      <c r="H26" s="31" t="s">
        <v>346</v>
      </c>
      <c r="I26" s="31" t="s">
        <v>263</v>
      </c>
      <c r="J26" s="31" t="s">
        <v>356</v>
      </c>
      <c r="K26" s="31" t="s">
        <v>357</v>
      </c>
      <c r="L26" s="31" t="s">
        <v>328</v>
      </c>
      <c r="M26" s="31" t="s">
        <v>420</v>
      </c>
      <c r="N26" s="31" t="s">
        <v>267</v>
      </c>
      <c r="O26" s="34"/>
      <c r="P26" s="31">
        <v>1.0</v>
      </c>
      <c r="Q26" s="31" t="s">
        <v>268</v>
      </c>
      <c r="R26" s="32">
        <v>37312.0</v>
      </c>
      <c r="S26" s="31" t="s">
        <v>421</v>
      </c>
      <c r="T26" s="31" t="s">
        <v>383</v>
      </c>
      <c r="U26" s="31" t="s">
        <v>361</v>
      </c>
      <c r="V26" s="31" t="s">
        <v>355</v>
      </c>
      <c r="W26" s="34"/>
    </row>
    <row r="27">
      <c r="A27" s="30">
        <v>22.0</v>
      </c>
      <c r="B27" s="31" t="s">
        <v>422</v>
      </c>
      <c r="C27" s="31" t="s">
        <v>423</v>
      </c>
      <c r="D27" s="31" t="s">
        <v>260</v>
      </c>
      <c r="E27" s="31" t="s">
        <v>274</v>
      </c>
      <c r="F27" s="32">
        <v>45390.0</v>
      </c>
      <c r="G27" s="33"/>
      <c r="H27" s="31" t="s">
        <v>346</v>
      </c>
      <c r="I27" s="31" t="s">
        <v>275</v>
      </c>
      <c r="J27" s="31" t="s">
        <v>274</v>
      </c>
      <c r="K27" s="31" t="s">
        <v>424</v>
      </c>
      <c r="L27" s="31" t="s">
        <v>277</v>
      </c>
      <c r="M27" s="31" t="s">
        <v>425</v>
      </c>
      <c r="N27" s="31" t="s">
        <v>267</v>
      </c>
      <c r="O27" s="34"/>
      <c r="P27" s="31">
        <v>1.0</v>
      </c>
      <c r="Q27" s="31" t="s">
        <v>268</v>
      </c>
      <c r="R27" s="32">
        <v>37257.0</v>
      </c>
      <c r="S27" s="31" t="s">
        <v>426</v>
      </c>
      <c r="T27" s="31" t="s">
        <v>427</v>
      </c>
      <c r="U27" s="31" t="s">
        <v>352</v>
      </c>
      <c r="V27" s="34"/>
      <c r="W27" s="34"/>
    </row>
    <row r="28">
      <c r="A28" s="30">
        <v>23.0</v>
      </c>
      <c r="B28" s="31" t="s">
        <v>428</v>
      </c>
      <c r="C28" s="31" t="s">
        <v>429</v>
      </c>
      <c r="D28" s="31" t="s">
        <v>260</v>
      </c>
      <c r="E28" s="31" t="s">
        <v>125</v>
      </c>
      <c r="F28" s="32">
        <v>45385.0</v>
      </c>
      <c r="G28" s="33"/>
      <c r="H28" s="31" t="s">
        <v>346</v>
      </c>
      <c r="I28" s="31" t="s">
        <v>263</v>
      </c>
      <c r="J28" s="31" t="s">
        <v>123</v>
      </c>
      <c r="K28" s="31" t="s">
        <v>430</v>
      </c>
      <c r="L28" s="31" t="s">
        <v>431</v>
      </c>
      <c r="M28" s="31" t="s">
        <v>432</v>
      </c>
      <c r="N28" s="31" t="s">
        <v>267</v>
      </c>
      <c r="O28" s="34"/>
      <c r="P28" s="31">
        <v>1.0</v>
      </c>
      <c r="Q28" s="31" t="s">
        <v>268</v>
      </c>
      <c r="R28" s="32">
        <v>37271.0</v>
      </c>
      <c r="S28" s="31" t="s">
        <v>433</v>
      </c>
      <c r="T28" s="31" t="s">
        <v>383</v>
      </c>
      <c r="U28" s="31" t="s">
        <v>361</v>
      </c>
      <c r="V28" s="31" t="s">
        <v>125</v>
      </c>
      <c r="W28" s="34"/>
    </row>
    <row r="29">
      <c r="A29" s="30">
        <v>24.0</v>
      </c>
      <c r="B29" s="31" t="s">
        <v>434</v>
      </c>
      <c r="C29" s="31" t="s">
        <v>435</v>
      </c>
      <c r="D29" s="31" t="s">
        <v>260</v>
      </c>
      <c r="E29" s="31" t="s">
        <v>436</v>
      </c>
      <c r="F29" s="32">
        <v>45383.0</v>
      </c>
      <c r="G29" s="33"/>
      <c r="H29" s="31" t="s">
        <v>346</v>
      </c>
      <c r="I29" s="31" t="s">
        <v>275</v>
      </c>
      <c r="J29" s="31" t="s">
        <v>436</v>
      </c>
      <c r="K29" s="31" t="s">
        <v>437</v>
      </c>
      <c r="L29" s="31" t="s">
        <v>438</v>
      </c>
      <c r="M29" s="31" t="s">
        <v>439</v>
      </c>
      <c r="N29" s="31" t="s">
        <v>267</v>
      </c>
      <c r="O29" s="34"/>
      <c r="P29" s="31">
        <v>1.0</v>
      </c>
      <c r="Q29" s="31" t="s">
        <v>268</v>
      </c>
      <c r="R29" s="35">
        <v>36841.0</v>
      </c>
      <c r="S29" s="31" t="s">
        <v>440</v>
      </c>
      <c r="T29" s="31" t="s">
        <v>441</v>
      </c>
      <c r="U29" s="31" t="s">
        <v>352</v>
      </c>
      <c r="V29" s="34"/>
      <c r="W29" s="34"/>
    </row>
    <row r="30">
      <c r="A30" s="30">
        <v>25.0</v>
      </c>
      <c r="B30" s="31" t="s">
        <v>442</v>
      </c>
      <c r="C30" s="31" t="s">
        <v>443</v>
      </c>
      <c r="D30" s="31" t="s">
        <v>260</v>
      </c>
      <c r="E30" s="31" t="s">
        <v>403</v>
      </c>
      <c r="F30" s="32">
        <v>45383.0</v>
      </c>
      <c r="G30" s="33"/>
      <c r="H30" s="31" t="s">
        <v>346</v>
      </c>
      <c r="I30" s="31" t="s">
        <v>112</v>
      </c>
      <c r="J30" s="31" t="s">
        <v>403</v>
      </c>
      <c r="K30" s="31" t="s">
        <v>404</v>
      </c>
      <c r="L30" s="31" t="s">
        <v>392</v>
      </c>
      <c r="M30" s="31" t="s">
        <v>444</v>
      </c>
      <c r="N30" s="31" t="s">
        <v>267</v>
      </c>
      <c r="O30" s="34"/>
      <c r="P30" s="34"/>
      <c r="Q30" s="31" t="s">
        <v>268</v>
      </c>
      <c r="R30" s="32">
        <v>37017.0</v>
      </c>
      <c r="S30" s="31" t="s">
        <v>445</v>
      </c>
      <c r="T30" s="31" t="s">
        <v>360</v>
      </c>
      <c r="U30" s="31" t="s">
        <v>361</v>
      </c>
      <c r="V30" s="34"/>
      <c r="W30" s="34"/>
    </row>
    <row r="31">
      <c r="A31" s="30">
        <v>26.0</v>
      </c>
      <c r="B31" s="31" t="s">
        <v>446</v>
      </c>
      <c r="C31" s="31" t="s">
        <v>447</v>
      </c>
      <c r="D31" s="31" t="s">
        <v>260</v>
      </c>
      <c r="E31" s="31" t="s">
        <v>436</v>
      </c>
      <c r="F31" s="32">
        <v>45383.0</v>
      </c>
      <c r="G31" s="33"/>
      <c r="H31" s="31" t="s">
        <v>346</v>
      </c>
      <c r="I31" s="31" t="s">
        <v>275</v>
      </c>
      <c r="J31" s="31" t="s">
        <v>436</v>
      </c>
      <c r="K31" s="31" t="s">
        <v>437</v>
      </c>
      <c r="L31" s="31" t="s">
        <v>438</v>
      </c>
      <c r="M31" s="31" t="s">
        <v>448</v>
      </c>
      <c r="N31" s="31" t="s">
        <v>267</v>
      </c>
      <c r="O31" s="34"/>
      <c r="P31" s="31">
        <v>2.0</v>
      </c>
      <c r="Q31" s="31" t="s">
        <v>268</v>
      </c>
      <c r="R31" s="32">
        <v>34899.0</v>
      </c>
      <c r="S31" s="31" t="s">
        <v>449</v>
      </c>
      <c r="T31" s="31" t="s">
        <v>341</v>
      </c>
      <c r="U31" s="31" t="s">
        <v>352</v>
      </c>
      <c r="V31" s="34"/>
      <c r="W31" s="34"/>
    </row>
    <row r="32">
      <c r="A32" s="30">
        <v>27.0</v>
      </c>
      <c r="B32" s="31" t="s">
        <v>450</v>
      </c>
      <c r="C32" s="31" t="s">
        <v>451</v>
      </c>
      <c r="D32" s="31" t="s">
        <v>452</v>
      </c>
      <c r="E32" s="31" t="s">
        <v>59</v>
      </c>
      <c r="F32" s="32">
        <v>44732.0</v>
      </c>
      <c r="G32" s="32">
        <v>44793.0</v>
      </c>
      <c r="H32" s="31" t="s">
        <v>453</v>
      </c>
      <c r="I32" s="31" t="s">
        <v>454</v>
      </c>
      <c r="J32" s="31" t="s">
        <v>58</v>
      </c>
      <c r="K32" s="31" t="s">
        <v>455</v>
      </c>
      <c r="L32" s="31" t="s">
        <v>456</v>
      </c>
      <c r="M32" s="31" t="s">
        <v>457</v>
      </c>
      <c r="N32" s="31" t="s">
        <v>267</v>
      </c>
      <c r="O32" s="34"/>
      <c r="P32" s="34"/>
      <c r="Q32" s="31" t="s">
        <v>307</v>
      </c>
      <c r="R32" s="32">
        <v>35937.0</v>
      </c>
      <c r="S32" s="31" t="s">
        <v>458</v>
      </c>
      <c r="T32" s="31" t="s">
        <v>459</v>
      </c>
      <c r="U32" s="31" t="s">
        <v>460</v>
      </c>
      <c r="V32" s="31" t="s">
        <v>59</v>
      </c>
      <c r="W32" s="34"/>
    </row>
    <row r="33">
      <c r="A33" s="30">
        <v>28.0</v>
      </c>
      <c r="B33" s="31" t="s">
        <v>461</v>
      </c>
      <c r="C33" s="31" t="s">
        <v>462</v>
      </c>
      <c r="D33" s="31" t="s">
        <v>463</v>
      </c>
      <c r="E33" s="31" t="s">
        <v>60</v>
      </c>
      <c r="F33" s="32">
        <v>43721.0</v>
      </c>
      <c r="G33" s="35">
        <v>43782.0</v>
      </c>
      <c r="H33" s="31" t="s">
        <v>453</v>
      </c>
      <c r="I33" s="31" t="s">
        <v>454</v>
      </c>
      <c r="J33" s="31" t="s">
        <v>58</v>
      </c>
      <c r="K33" s="31" t="s">
        <v>464</v>
      </c>
      <c r="L33" s="31" t="s">
        <v>465</v>
      </c>
      <c r="M33" s="31" t="s">
        <v>466</v>
      </c>
      <c r="N33" s="31" t="s">
        <v>467</v>
      </c>
      <c r="O33" s="31">
        <v>2.0</v>
      </c>
      <c r="P33" s="34"/>
      <c r="Q33" s="31" t="s">
        <v>307</v>
      </c>
      <c r="R33" s="32">
        <v>35649.0</v>
      </c>
      <c r="S33" s="31" t="s">
        <v>468</v>
      </c>
      <c r="T33" s="31" t="s">
        <v>469</v>
      </c>
      <c r="U33" s="31" t="s">
        <v>460</v>
      </c>
      <c r="V33" s="31" t="s">
        <v>60</v>
      </c>
      <c r="W33" s="34"/>
    </row>
    <row r="34">
      <c r="A34" s="30">
        <v>29.0</v>
      </c>
      <c r="B34" s="31" t="s">
        <v>470</v>
      </c>
      <c r="C34" s="31" t="s">
        <v>471</v>
      </c>
      <c r="D34" s="31" t="s">
        <v>472</v>
      </c>
      <c r="E34" s="31" t="s">
        <v>473</v>
      </c>
      <c r="F34" s="32">
        <v>44344.0</v>
      </c>
      <c r="G34" s="32">
        <v>44405.0</v>
      </c>
      <c r="H34" s="31" t="s">
        <v>453</v>
      </c>
      <c r="I34" s="31" t="s">
        <v>454</v>
      </c>
      <c r="J34" s="31" t="s">
        <v>474</v>
      </c>
      <c r="K34" s="31" t="s">
        <v>475</v>
      </c>
      <c r="L34" s="31" t="s">
        <v>476</v>
      </c>
      <c r="M34" s="31" t="s">
        <v>477</v>
      </c>
      <c r="N34" s="31" t="s">
        <v>467</v>
      </c>
      <c r="O34" s="34"/>
      <c r="P34" s="34"/>
      <c r="Q34" s="31" t="s">
        <v>307</v>
      </c>
      <c r="R34" s="32">
        <v>36724.0</v>
      </c>
      <c r="S34" s="31" t="s">
        <v>478</v>
      </c>
      <c r="T34" s="31" t="s">
        <v>479</v>
      </c>
      <c r="U34" s="31" t="s">
        <v>480</v>
      </c>
      <c r="V34" s="31" t="s">
        <v>473</v>
      </c>
      <c r="W34" s="34"/>
    </row>
    <row r="35">
      <c r="A35" s="30">
        <v>30.0</v>
      </c>
      <c r="B35" s="31" t="s">
        <v>481</v>
      </c>
      <c r="C35" s="31" t="s">
        <v>482</v>
      </c>
      <c r="D35" s="31" t="s">
        <v>452</v>
      </c>
      <c r="E35" s="31" t="s">
        <v>483</v>
      </c>
      <c r="F35" s="32">
        <v>44784.0</v>
      </c>
      <c r="G35" s="35">
        <v>44845.0</v>
      </c>
      <c r="H35" s="31" t="s">
        <v>453</v>
      </c>
      <c r="I35" s="31" t="s">
        <v>454</v>
      </c>
      <c r="J35" s="31" t="s">
        <v>474</v>
      </c>
      <c r="K35" s="31" t="s">
        <v>484</v>
      </c>
      <c r="L35" s="31" t="s">
        <v>456</v>
      </c>
      <c r="M35" s="31" t="s">
        <v>485</v>
      </c>
      <c r="N35" s="31" t="s">
        <v>267</v>
      </c>
      <c r="O35" s="34"/>
      <c r="P35" s="34"/>
      <c r="Q35" s="31" t="s">
        <v>307</v>
      </c>
      <c r="R35" s="35">
        <v>36478.0</v>
      </c>
      <c r="S35" s="31" t="s">
        <v>486</v>
      </c>
      <c r="T35" s="31" t="s">
        <v>427</v>
      </c>
      <c r="U35" s="31" t="s">
        <v>480</v>
      </c>
      <c r="V35" s="31" t="s">
        <v>483</v>
      </c>
      <c r="W35" s="34"/>
    </row>
    <row r="36">
      <c r="A36" s="30">
        <v>31.0</v>
      </c>
      <c r="B36" s="31" t="s">
        <v>487</v>
      </c>
      <c r="C36" s="31" t="s">
        <v>488</v>
      </c>
      <c r="D36" s="31" t="s">
        <v>472</v>
      </c>
      <c r="E36" s="31" t="s">
        <v>473</v>
      </c>
      <c r="F36" s="32">
        <v>44431.0</v>
      </c>
      <c r="G36" s="35">
        <v>44492.0</v>
      </c>
      <c r="H36" s="31" t="s">
        <v>453</v>
      </c>
      <c r="I36" s="31" t="s">
        <v>454</v>
      </c>
      <c r="J36" s="31" t="s">
        <v>474</v>
      </c>
      <c r="K36" s="31" t="s">
        <v>475</v>
      </c>
      <c r="L36" s="31" t="s">
        <v>476</v>
      </c>
      <c r="M36" s="31" t="s">
        <v>489</v>
      </c>
      <c r="N36" s="31" t="s">
        <v>467</v>
      </c>
      <c r="O36" s="34"/>
      <c r="P36" s="34"/>
      <c r="Q36" s="31" t="s">
        <v>307</v>
      </c>
      <c r="R36" s="32">
        <v>36553.0</v>
      </c>
      <c r="S36" s="31" t="s">
        <v>490</v>
      </c>
      <c r="T36" s="31" t="s">
        <v>491</v>
      </c>
      <c r="U36" s="31" t="s">
        <v>480</v>
      </c>
      <c r="V36" s="31" t="s">
        <v>473</v>
      </c>
      <c r="W36" s="34"/>
    </row>
    <row r="37">
      <c r="A37" s="30">
        <v>32.0</v>
      </c>
      <c r="B37" s="31" t="s">
        <v>492</v>
      </c>
      <c r="C37" s="31" t="s">
        <v>493</v>
      </c>
      <c r="D37" s="31" t="s">
        <v>472</v>
      </c>
      <c r="E37" s="31" t="s">
        <v>473</v>
      </c>
      <c r="F37" s="32">
        <v>43241.0</v>
      </c>
      <c r="G37" s="32">
        <v>43302.0</v>
      </c>
      <c r="H37" s="31" t="s">
        <v>453</v>
      </c>
      <c r="I37" s="31" t="s">
        <v>454</v>
      </c>
      <c r="J37" s="31" t="s">
        <v>474</v>
      </c>
      <c r="K37" s="31" t="s">
        <v>475</v>
      </c>
      <c r="L37" s="31" t="s">
        <v>476</v>
      </c>
      <c r="M37" s="31" t="s">
        <v>494</v>
      </c>
      <c r="N37" s="31" t="s">
        <v>467</v>
      </c>
      <c r="O37" s="34"/>
      <c r="P37" s="34"/>
      <c r="Q37" s="31" t="s">
        <v>307</v>
      </c>
      <c r="R37" s="32">
        <v>33019.0</v>
      </c>
      <c r="S37" s="31" t="s">
        <v>495</v>
      </c>
      <c r="T37" s="31" t="s">
        <v>496</v>
      </c>
      <c r="U37" s="31" t="s">
        <v>480</v>
      </c>
      <c r="V37" s="31" t="s">
        <v>473</v>
      </c>
      <c r="W37" s="34"/>
    </row>
    <row r="38">
      <c r="A38" s="30">
        <v>33.0</v>
      </c>
      <c r="B38" s="31" t="s">
        <v>497</v>
      </c>
      <c r="C38" s="31" t="s">
        <v>498</v>
      </c>
      <c r="D38" s="31" t="s">
        <v>499</v>
      </c>
      <c r="E38" s="31" t="s">
        <v>473</v>
      </c>
      <c r="F38" s="32">
        <v>43605.0</v>
      </c>
      <c r="G38" s="32">
        <v>43666.0</v>
      </c>
      <c r="H38" s="31" t="s">
        <v>453</v>
      </c>
      <c r="I38" s="31" t="s">
        <v>454</v>
      </c>
      <c r="J38" s="31" t="s">
        <v>474</v>
      </c>
      <c r="K38" s="31" t="s">
        <v>475</v>
      </c>
      <c r="L38" s="31" t="s">
        <v>500</v>
      </c>
      <c r="M38" s="31" t="s">
        <v>501</v>
      </c>
      <c r="N38" s="31" t="s">
        <v>467</v>
      </c>
      <c r="O38" s="31">
        <v>1.0</v>
      </c>
      <c r="P38" s="34"/>
      <c r="Q38" s="31" t="s">
        <v>307</v>
      </c>
      <c r="R38" s="32">
        <v>35468.0</v>
      </c>
      <c r="S38" s="31" t="s">
        <v>502</v>
      </c>
      <c r="T38" s="31" t="s">
        <v>503</v>
      </c>
      <c r="U38" s="31" t="s">
        <v>480</v>
      </c>
      <c r="V38" s="31" t="s">
        <v>473</v>
      </c>
      <c r="W38" s="34"/>
    </row>
    <row r="39">
      <c r="A39" s="30">
        <v>34.0</v>
      </c>
      <c r="B39" s="31" t="s">
        <v>504</v>
      </c>
      <c r="C39" s="31" t="s">
        <v>505</v>
      </c>
      <c r="D39" s="31" t="s">
        <v>506</v>
      </c>
      <c r="E39" s="31" t="s">
        <v>101</v>
      </c>
      <c r="F39" s="32">
        <v>45414.0</v>
      </c>
      <c r="G39" s="33"/>
      <c r="H39" s="31" t="s">
        <v>346</v>
      </c>
      <c r="I39" s="31" t="s">
        <v>275</v>
      </c>
      <c r="J39" s="31" t="s">
        <v>101</v>
      </c>
      <c r="K39" s="31" t="s">
        <v>507</v>
      </c>
      <c r="L39" s="31" t="s">
        <v>508</v>
      </c>
      <c r="M39" s="31" t="s">
        <v>509</v>
      </c>
      <c r="N39" s="31" t="s">
        <v>267</v>
      </c>
      <c r="O39" s="34"/>
      <c r="P39" s="34"/>
      <c r="Q39" s="31" t="s">
        <v>268</v>
      </c>
      <c r="R39" s="35">
        <v>36876.0</v>
      </c>
      <c r="S39" s="31" t="s">
        <v>510</v>
      </c>
      <c r="T39" s="31" t="s">
        <v>511</v>
      </c>
      <c r="U39" s="31" t="s">
        <v>352</v>
      </c>
      <c r="V39" s="34"/>
      <c r="W39" s="34"/>
    </row>
    <row r="40">
      <c r="A40" s="30">
        <v>35.0</v>
      </c>
      <c r="B40" s="31" t="s">
        <v>512</v>
      </c>
      <c r="C40" s="31" t="s">
        <v>513</v>
      </c>
      <c r="D40" s="31" t="s">
        <v>506</v>
      </c>
      <c r="E40" s="31" t="s">
        <v>101</v>
      </c>
      <c r="F40" s="32">
        <v>45414.0</v>
      </c>
      <c r="G40" s="33"/>
      <c r="H40" s="31" t="s">
        <v>346</v>
      </c>
      <c r="I40" s="31" t="s">
        <v>275</v>
      </c>
      <c r="J40" s="31" t="s">
        <v>101</v>
      </c>
      <c r="K40" s="31" t="s">
        <v>507</v>
      </c>
      <c r="L40" s="31" t="s">
        <v>508</v>
      </c>
      <c r="M40" s="31" t="s">
        <v>514</v>
      </c>
      <c r="N40" s="31" t="s">
        <v>267</v>
      </c>
      <c r="O40" s="34"/>
      <c r="P40" s="34"/>
      <c r="Q40" s="31" t="s">
        <v>268</v>
      </c>
      <c r="R40" s="32">
        <v>37477.0</v>
      </c>
      <c r="S40" s="31" t="s">
        <v>515</v>
      </c>
      <c r="T40" s="31" t="s">
        <v>516</v>
      </c>
      <c r="U40" s="31" t="s">
        <v>352</v>
      </c>
      <c r="V40" s="34"/>
      <c r="W40" s="34"/>
    </row>
    <row r="41">
      <c r="A41" s="30">
        <v>36.0</v>
      </c>
      <c r="B41" s="31" t="s">
        <v>517</v>
      </c>
      <c r="C41" s="31" t="s">
        <v>518</v>
      </c>
      <c r="D41" s="31" t="s">
        <v>260</v>
      </c>
      <c r="E41" s="31" t="s">
        <v>283</v>
      </c>
      <c r="F41" s="32">
        <v>45414.0</v>
      </c>
      <c r="G41" s="33"/>
      <c r="H41" s="31" t="s">
        <v>346</v>
      </c>
      <c r="I41" s="31" t="s">
        <v>275</v>
      </c>
      <c r="J41" s="31" t="s">
        <v>283</v>
      </c>
      <c r="K41" s="31" t="s">
        <v>519</v>
      </c>
      <c r="L41" s="31" t="s">
        <v>277</v>
      </c>
      <c r="M41" s="31" t="s">
        <v>520</v>
      </c>
      <c r="N41" s="31" t="s">
        <v>267</v>
      </c>
      <c r="O41" s="34"/>
      <c r="P41" s="34"/>
      <c r="Q41" s="31" t="s">
        <v>268</v>
      </c>
      <c r="R41" s="35">
        <v>37571.0</v>
      </c>
      <c r="S41" s="31" t="s">
        <v>521</v>
      </c>
      <c r="T41" s="31" t="s">
        <v>522</v>
      </c>
      <c r="U41" s="31" t="s">
        <v>352</v>
      </c>
      <c r="V41" s="34"/>
      <c r="W41" s="34"/>
    </row>
    <row r="42">
      <c r="A42" s="30">
        <v>37.0</v>
      </c>
      <c r="B42" s="31" t="s">
        <v>523</v>
      </c>
      <c r="C42" s="31" t="s">
        <v>524</v>
      </c>
      <c r="D42" s="31" t="s">
        <v>260</v>
      </c>
      <c r="E42" s="31" t="s">
        <v>374</v>
      </c>
      <c r="F42" s="32">
        <v>45414.0</v>
      </c>
      <c r="G42" s="33"/>
      <c r="H42" s="31" t="s">
        <v>346</v>
      </c>
      <c r="I42" s="31" t="s">
        <v>275</v>
      </c>
      <c r="J42" s="31" t="s">
        <v>374</v>
      </c>
      <c r="K42" s="31" t="s">
        <v>375</v>
      </c>
      <c r="L42" s="31" t="s">
        <v>376</v>
      </c>
      <c r="M42" s="31" t="s">
        <v>525</v>
      </c>
      <c r="N42" s="31" t="s">
        <v>467</v>
      </c>
      <c r="O42" s="34"/>
      <c r="P42" s="34"/>
      <c r="Q42" s="31" t="s">
        <v>268</v>
      </c>
      <c r="R42" s="32">
        <v>36975.0</v>
      </c>
      <c r="S42" s="31" t="s">
        <v>526</v>
      </c>
      <c r="T42" s="31" t="s">
        <v>527</v>
      </c>
      <c r="U42" s="31" t="s">
        <v>352</v>
      </c>
      <c r="V42" s="34"/>
      <c r="W42" s="34"/>
    </row>
    <row r="43">
      <c r="A43" s="30">
        <v>38.0</v>
      </c>
      <c r="B43" s="31" t="s">
        <v>528</v>
      </c>
      <c r="C43" s="31" t="s">
        <v>529</v>
      </c>
      <c r="D43" s="31" t="s">
        <v>260</v>
      </c>
      <c r="E43" s="31" t="s">
        <v>125</v>
      </c>
      <c r="F43" s="32">
        <v>45414.0</v>
      </c>
      <c r="G43" s="33"/>
      <c r="H43" s="31" t="s">
        <v>346</v>
      </c>
      <c r="I43" s="31" t="s">
        <v>263</v>
      </c>
      <c r="J43" s="31" t="s">
        <v>123</v>
      </c>
      <c r="K43" s="31" t="s">
        <v>430</v>
      </c>
      <c r="L43" s="31" t="s">
        <v>431</v>
      </c>
      <c r="M43" s="31" t="s">
        <v>530</v>
      </c>
      <c r="N43" s="31" t="s">
        <v>267</v>
      </c>
      <c r="O43" s="34"/>
      <c r="P43" s="31">
        <v>1.0</v>
      </c>
      <c r="Q43" s="31" t="s">
        <v>268</v>
      </c>
      <c r="R43" s="32">
        <v>37287.0</v>
      </c>
      <c r="S43" s="31" t="s">
        <v>531</v>
      </c>
      <c r="T43" s="31" t="s">
        <v>532</v>
      </c>
      <c r="U43" s="31" t="s">
        <v>361</v>
      </c>
      <c r="V43" s="31" t="s">
        <v>125</v>
      </c>
      <c r="W43" s="34"/>
    </row>
    <row r="44">
      <c r="A44" s="30">
        <v>39.0</v>
      </c>
      <c r="B44" s="31" t="s">
        <v>533</v>
      </c>
      <c r="C44" s="31" t="s">
        <v>534</v>
      </c>
      <c r="D44" s="31" t="s">
        <v>260</v>
      </c>
      <c r="E44" s="31" t="s">
        <v>124</v>
      </c>
      <c r="F44" s="32">
        <v>45414.0</v>
      </c>
      <c r="G44" s="33"/>
      <c r="H44" s="31" t="s">
        <v>346</v>
      </c>
      <c r="I44" s="31" t="s">
        <v>263</v>
      </c>
      <c r="J44" s="31" t="s">
        <v>123</v>
      </c>
      <c r="K44" s="31" t="s">
        <v>535</v>
      </c>
      <c r="L44" s="31" t="s">
        <v>431</v>
      </c>
      <c r="M44" s="31" t="s">
        <v>536</v>
      </c>
      <c r="N44" s="31" t="s">
        <v>267</v>
      </c>
      <c r="O44" s="34"/>
      <c r="P44" s="31">
        <v>1.0</v>
      </c>
      <c r="Q44" s="31" t="s">
        <v>268</v>
      </c>
      <c r="R44" s="32">
        <v>37695.0</v>
      </c>
      <c r="S44" s="31" t="s">
        <v>537</v>
      </c>
      <c r="T44" s="31" t="s">
        <v>427</v>
      </c>
      <c r="U44" s="31" t="s">
        <v>361</v>
      </c>
      <c r="V44" s="31" t="s">
        <v>124</v>
      </c>
      <c r="W44" s="34"/>
    </row>
    <row r="45">
      <c r="A45" s="30">
        <v>40.0</v>
      </c>
      <c r="B45" s="31" t="s">
        <v>538</v>
      </c>
      <c r="C45" s="31" t="s">
        <v>539</v>
      </c>
      <c r="D45" s="31" t="s">
        <v>260</v>
      </c>
      <c r="E45" s="31" t="s">
        <v>540</v>
      </c>
      <c r="F45" s="32">
        <v>45414.0</v>
      </c>
      <c r="G45" s="33"/>
      <c r="H45" s="31" t="s">
        <v>346</v>
      </c>
      <c r="I45" s="31" t="s">
        <v>263</v>
      </c>
      <c r="J45" s="31" t="s">
        <v>356</v>
      </c>
      <c r="K45" s="31" t="s">
        <v>541</v>
      </c>
      <c r="L45" s="31" t="s">
        <v>328</v>
      </c>
      <c r="M45" s="31" t="s">
        <v>542</v>
      </c>
      <c r="N45" s="31" t="s">
        <v>267</v>
      </c>
      <c r="O45" s="34"/>
      <c r="P45" s="31">
        <v>3.0</v>
      </c>
      <c r="Q45" s="31" t="s">
        <v>268</v>
      </c>
      <c r="R45" s="32">
        <v>33863.0</v>
      </c>
      <c r="S45" s="31" t="s">
        <v>543</v>
      </c>
      <c r="T45" s="31" t="s">
        <v>544</v>
      </c>
      <c r="U45" s="31" t="s">
        <v>361</v>
      </c>
      <c r="V45" s="31" t="s">
        <v>540</v>
      </c>
      <c r="W45" s="34"/>
    </row>
    <row r="46">
      <c r="A46" s="30">
        <v>41.0</v>
      </c>
      <c r="B46" s="31" t="s">
        <v>545</v>
      </c>
      <c r="C46" s="31" t="s">
        <v>546</v>
      </c>
      <c r="D46" s="31" t="s">
        <v>260</v>
      </c>
      <c r="E46" s="31" t="s">
        <v>547</v>
      </c>
      <c r="F46" s="32">
        <v>45414.0</v>
      </c>
      <c r="G46" s="33"/>
      <c r="H46" s="31" t="s">
        <v>346</v>
      </c>
      <c r="I46" s="31" t="s">
        <v>263</v>
      </c>
      <c r="J46" s="31" t="s">
        <v>356</v>
      </c>
      <c r="K46" s="31" t="s">
        <v>548</v>
      </c>
      <c r="L46" s="31" t="s">
        <v>328</v>
      </c>
      <c r="M46" s="31" t="s">
        <v>549</v>
      </c>
      <c r="N46" s="31" t="s">
        <v>267</v>
      </c>
      <c r="O46" s="34"/>
      <c r="P46" s="31">
        <v>1.0</v>
      </c>
      <c r="Q46" s="31" t="s">
        <v>268</v>
      </c>
      <c r="R46" s="32">
        <v>37350.0</v>
      </c>
      <c r="S46" s="31" t="s">
        <v>550</v>
      </c>
      <c r="T46" s="31" t="s">
        <v>360</v>
      </c>
      <c r="U46" s="31" t="s">
        <v>361</v>
      </c>
      <c r="V46" s="31" t="s">
        <v>547</v>
      </c>
      <c r="W46" s="34"/>
    </row>
    <row r="47">
      <c r="A47" s="30">
        <v>42.0</v>
      </c>
      <c r="B47" s="31" t="s">
        <v>551</v>
      </c>
      <c r="C47" s="31" t="s">
        <v>552</v>
      </c>
      <c r="D47" s="31" t="s">
        <v>553</v>
      </c>
      <c r="E47" s="31" t="s">
        <v>554</v>
      </c>
      <c r="F47" s="32">
        <v>45418.0</v>
      </c>
      <c r="G47" s="33"/>
      <c r="H47" s="31" t="s">
        <v>453</v>
      </c>
      <c r="I47" s="31" t="s">
        <v>555</v>
      </c>
      <c r="J47" s="31" t="s">
        <v>556</v>
      </c>
      <c r="K47" s="31" t="s">
        <v>557</v>
      </c>
      <c r="L47" s="31" t="s">
        <v>558</v>
      </c>
      <c r="M47" s="31" t="s">
        <v>559</v>
      </c>
      <c r="N47" s="31" t="s">
        <v>267</v>
      </c>
      <c r="O47" s="34"/>
      <c r="P47" s="34"/>
      <c r="Q47" s="31" t="s">
        <v>268</v>
      </c>
      <c r="R47" s="32">
        <v>36786.0</v>
      </c>
      <c r="S47" s="31" t="s">
        <v>560</v>
      </c>
      <c r="T47" s="31" t="s">
        <v>561</v>
      </c>
      <c r="U47" s="31" t="s">
        <v>480</v>
      </c>
      <c r="V47" s="31" t="s">
        <v>554</v>
      </c>
      <c r="W47" s="34"/>
    </row>
    <row r="48">
      <c r="A48" s="30">
        <v>43.0</v>
      </c>
      <c r="B48" s="31" t="s">
        <v>562</v>
      </c>
      <c r="C48" s="31" t="s">
        <v>563</v>
      </c>
      <c r="D48" s="31" t="s">
        <v>564</v>
      </c>
      <c r="E48" s="31" t="s">
        <v>565</v>
      </c>
      <c r="F48" s="32">
        <v>45418.0</v>
      </c>
      <c r="G48" s="33"/>
      <c r="H48" s="31" t="s">
        <v>453</v>
      </c>
      <c r="I48" s="31" t="s">
        <v>566</v>
      </c>
      <c r="J48" s="31" t="s">
        <v>567</v>
      </c>
      <c r="K48" s="31" t="s">
        <v>568</v>
      </c>
      <c r="L48" s="31" t="s">
        <v>569</v>
      </c>
      <c r="M48" s="31" t="s">
        <v>570</v>
      </c>
      <c r="N48" s="31" t="s">
        <v>267</v>
      </c>
      <c r="O48" s="34"/>
      <c r="P48" s="34"/>
      <c r="Q48" s="31" t="s">
        <v>268</v>
      </c>
      <c r="R48" s="32">
        <v>34837.0</v>
      </c>
      <c r="S48" s="31" t="s">
        <v>571</v>
      </c>
      <c r="T48" s="31" t="s">
        <v>427</v>
      </c>
      <c r="U48" s="31" t="s">
        <v>480</v>
      </c>
      <c r="V48" s="31" t="s">
        <v>565</v>
      </c>
      <c r="W48" s="34"/>
    </row>
    <row r="49">
      <c r="A49" s="30">
        <v>44.0</v>
      </c>
      <c r="B49" s="31" t="s">
        <v>572</v>
      </c>
      <c r="C49" s="31" t="s">
        <v>573</v>
      </c>
      <c r="D49" s="31" t="s">
        <v>574</v>
      </c>
      <c r="E49" s="31" t="s">
        <v>575</v>
      </c>
      <c r="F49" s="32">
        <v>44819.0</v>
      </c>
      <c r="G49" s="35">
        <v>44880.0</v>
      </c>
      <c r="H49" s="31" t="s">
        <v>576</v>
      </c>
      <c r="I49" s="31" t="s">
        <v>577</v>
      </c>
      <c r="J49" s="31" t="s">
        <v>575</v>
      </c>
      <c r="K49" s="31" t="s">
        <v>578</v>
      </c>
      <c r="L49" s="31" t="s">
        <v>579</v>
      </c>
      <c r="M49" s="31" t="s">
        <v>580</v>
      </c>
      <c r="N49" s="31" t="s">
        <v>267</v>
      </c>
      <c r="O49" s="34"/>
      <c r="P49" s="34"/>
      <c r="Q49" s="31" t="s">
        <v>581</v>
      </c>
      <c r="R49" s="32">
        <v>36077.0</v>
      </c>
      <c r="S49" s="31" t="s">
        <v>531</v>
      </c>
      <c r="T49" s="31" t="s">
        <v>582</v>
      </c>
      <c r="U49" s="31" t="s">
        <v>583</v>
      </c>
      <c r="V49" s="34"/>
      <c r="W49" s="34"/>
    </row>
    <row r="50">
      <c r="A50" s="30">
        <v>45.0</v>
      </c>
      <c r="B50" s="31" t="s">
        <v>584</v>
      </c>
      <c r="C50" s="31" t="s">
        <v>585</v>
      </c>
      <c r="D50" s="31" t="s">
        <v>586</v>
      </c>
      <c r="E50" s="31" t="s">
        <v>587</v>
      </c>
      <c r="F50" s="32">
        <v>45415.0</v>
      </c>
      <c r="G50" s="33"/>
      <c r="H50" s="31" t="s">
        <v>453</v>
      </c>
      <c r="I50" s="31" t="s">
        <v>587</v>
      </c>
      <c r="J50" s="34"/>
      <c r="K50" s="31" t="s">
        <v>588</v>
      </c>
      <c r="L50" s="31" t="s">
        <v>589</v>
      </c>
      <c r="M50" s="31" t="s">
        <v>590</v>
      </c>
      <c r="N50" s="31" t="s">
        <v>467</v>
      </c>
      <c r="O50" s="34"/>
      <c r="P50" s="34"/>
      <c r="Q50" s="31" t="s">
        <v>268</v>
      </c>
      <c r="R50" s="35">
        <v>37217.0</v>
      </c>
      <c r="S50" s="31" t="s">
        <v>591</v>
      </c>
      <c r="T50" s="31" t="s">
        <v>592</v>
      </c>
      <c r="U50" s="31" t="s">
        <v>480</v>
      </c>
      <c r="V50" s="34"/>
      <c r="W50" s="34"/>
    </row>
    <row r="51">
      <c r="A51" s="30">
        <v>46.0</v>
      </c>
      <c r="B51" s="31" t="s">
        <v>593</v>
      </c>
      <c r="C51" s="31" t="s">
        <v>594</v>
      </c>
      <c r="D51" s="31" t="s">
        <v>586</v>
      </c>
      <c r="E51" s="31" t="s">
        <v>587</v>
      </c>
      <c r="F51" s="32">
        <v>45415.0</v>
      </c>
      <c r="G51" s="33"/>
      <c r="H51" s="31" t="s">
        <v>453</v>
      </c>
      <c r="I51" s="31" t="s">
        <v>587</v>
      </c>
      <c r="J51" s="34"/>
      <c r="K51" s="31" t="s">
        <v>588</v>
      </c>
      <c r="L51" s="31" t="s">
        <v>589</v>
      </c>
      <c r="M51" s="31" t="s">
        <v>595</v>
      </c>
      <c r="N51" s="31" t="s">
        <v>467</v>
      </c>
      <c r="O51" s="34"/>
      <c r="P51" s="34"/>
      <c r="Q51" s="31" t="s">
        <v>268</v>
      </c>
      <c r="R51" s="32">
        <v>36533.0</v>
      </c>
      <c r="S51" s="31" t="s">
        <v>591</v>
      </c>
      <c r="T51" s="31" t="s">
        <v>596</v>
      </c>
      <c r="U51" s="31" t="s">
        <v>480</v>
      </c>
      <c r="V51" s="34"/>
      <c r="W51" s="34"/>
    </row>
    <row r="52">
      <c r="A52" s="30">
        <v>47.0</v>
      </c>
      <c r="B52" s="31" t="s">
        <v>597</v>
      </c>
      <c r="C52" s="31" t="s">
        <v>598</v>
      </c>
      <c r="D52" s="31" t="s">
        <v>599</v>
      </c>
      <c r="E52" s="31" t="s">
        <v>223</v>
      </c>
      <c r="F52" s="32">
        <v>44197.0</v>
      </c>
      <c r="G52" s="32">
        <v>44197.0</v>
      </c>
      <c r="H52" s="31" t="s">
        <v>303</v>
      </c>
      <c r="I52" s="31" t="s">
        <v>36</v>
      </c>
      <c r="J52" s="31" t="s">
        <v>223</v>
      </c>
      <c r="K52" s="31" t="s">
        <v>600</v>
      </c>
      <c r="L52" s="31" t="s">
        <v>601</v>
      </c>
      <c r="M52" s="31" t="s">
        <v>602</v>
      </c>
      <c r="N52" s="31" t="s">
        <v>267</v>
      </c>
      <c r="O52" s="31">
        <v>4.0</v>
      </c>
      <c r="P52" s="34"/>
      <c r="Q52" s="31" t="s">
        <v>307</v>
      </c>
      <c r="R52" s="35">
        <v>28045.0</v>
      </c>
      <c r="S52" s="31" t="s">
        <v>320</v>
      </c>
      <c r="T52" s="31" t="s">
        <v>603</v>
      </c>
      <c r="U52" s="31" t="s">
        <v>310</v>
      </c>
      <c r="V52" s="34"/>
      <c r="W52" s="34"/>
    </row>
    <row r="53">
      <c r="A53" s="30">
        <v>48.0</v>
      </c>
      <c r="B53" s="31" t="s">
        <v>604</v>
      </c>
      <c r="C53" s="31" t="s">
        <v>605</v>
      </c>
      <c r="D53" s="31" t="s">
        <v>472</v>
      </c>
      <c r="E53" s="31" t="s">
        <v>606</v>
      </c>
      <c r="F53" s="32">
        <v>44896.0</v>
      </c>
      <c r="G53" s="32">
        <v>44958.0</v>
      </c>
      <c r="H53" s="31" t="s">
        <v>453</v>
      </c>
      <c r="I53" s="31" t="s">
        <v>607</v>
      </c>
      <c r="J53" s="31" t="s">
        <v>608</v>
      </c>
      <c r="K53" s="31" t="s">
        <v>609</v>
      </c>
      <c r="L53" s="31" t="s">
        <v>476</v>
      </c>
      <c r="M53" s="31" t="s">
        <v>610</v>
      </c>
      <c r="N53" s="31" t="s">
        <v>467</v>
      </c>
      <c r="O53" s="34"/>
      <c r="P53" s="34"/>
      <c r="Q53" s="31" t="s">
        <v>307</v>
      </c>
      <c r="R53" s="35">
        <v>37572.0</v>
      </c>
      <c r="S53" s="31" t="s">
        <v>611</v>
      </c>
      <c r="T53" s="31" t="s">
        <v>612</v>
      </c>
      <c r="U53" s="31" t="s">
        <v>480</v>
      </c>
      <c r="V53" s="31" t="s">
        <v>606</v>
      </c>
      <c r="W53" s="34"/>
    </row>
    <row r="54">
      <c r="A54" s="30">
        <v>49.0</v>
      </c>
      <c r="B54" s="31" t="s">
        <v>613</v>
      </c>
      <c r="C54" s="31" t="s">
        <v>614</v>
      </c>
      <c r="D54" s="31" t="s">
        <v>615</v>
      </c>
      <c r="E54" s="31" t="s">
        <v>616</v>
      </c>
      <c r="F54" s="32">
        <v>45418.0</v>
      </c>
      <c r="G54" s="33"/>
      <c r="H54" s="31" t="s">
        <v>453</v>
      </c>
      <c r="I54" s="31" t="s">
        <v>555</v>
      </c>
      <c r="J54" s="31" t="s">
        <v>556</v>
      </c>
      <c r="K54" s="31" t="s">
        <v>617</v>
      </c>
      <c r="L54" s="31" t="s">
        <v>618</v>
      </c>
      <c r="M54" s="31" t="s">
        <v>619</v>
      </c>
      <c r="N54" s="31" t="s">
        <v>267</v>
      </c>
      <c r="O54" s="34"/>
      <c r="P54" s="34"/>
      <c r="Q54" s="31" t="s">
        <v>268</v>
      </c>
      <c r="R54" s="35">
        <v>36878.0</v>
      </c>
      <c r="S54" s="34"/>
      <c r="T54" s="31" t="s">
        <v>341</v>
      </c>
      <c r="U54" s="31" t="s">
        <v>480</v>
      </c>
      <c r="V54" s="31" t="s">
        <v>616</v>
      </c>
      <c r="W54" s="34"/>
    </row>
    <row r="55">
      <c r="A55" s="30">
        <v>50.0</v>
      </c>
      <c r="B55" s="31" t="s">
        <v>620</v>
      </c>
      <c r="C55" s="31" t="s">
        <v>621</v>
      </c>
      <c r="D55" s="31" t="s">
        <v>622</v>
      </c>
      <c r="E55" s="31" t="s">
        <v>41</v>
      </c>
      <c r="F55" s="32">
        <v>40513.0</v>
      </c>
      <c r="G55" s="32">
        <v>40575.0</v>
      </c>
      <c r="H55" s="31" t="s">
        <v>453</v>
      </c>
      <c r="I55" s="31" t="s">
        <v>41</v>
      </c>
      <c r="J55" s="34"/>
      <c r="K55" s="31" t="s">
        <v>623</v>
      </c>
      <c r="L55" s="31" t="s">
        <v>624</v>
      </c>
      <c r="M55" s="31" t="s">
        <v>625</v>
      </c>
      <c r="N55" s="31" t="s">
        <v>267</v>
      </c>
      <c r="O55" s="34"/>
      <c r="P55" s="34"/>
      <c r="Q55" s="31" t="s">
        <v>307</v>
      </c>
      <c r="R55" s="35">
        <v>32442.0</v>
      </c>
      <c r="S55" s="31" t="s">
        <v>626</v>
      </c>
      <c r="T55" s="31" t="s">
        <v>627</v>
      </c>
      <c r="U55" s="31" t="s">
        <v>310</v>
      </c>
      <c r="V55" s="34"/>
      <c r="W55" s="34"/>
    </row>
    <row r="56">
      <c r="A56" s="30">
        <v>51.0</v>
      </c>
      <c r="B56" s="31" t="s">
        <v>628</v>
      </c>
      <c r="C56" s="31" t="s">
        <v>629</v>
      </c>
      <c r="D56" s="31" t="s">
        <v>622</v>
      </c>
      <c r="E56" s="31" t="s">
        <v>41</v>
      </c>
      <c r="F56" s="32">
        <v>44798.0</v>
      </c>
      <c r="G56" s="35">
        <v>44859.0</v>
      </c>
      <c r="H56" s="31" t="s">
        <v>453</v>
      </c>
      <c r="I56" s="31" t="s">
        <v>41</v>
      </c>
      <c r="J56" s="34"/>
      <c r="K56" s="31" t="s">
        <v>623</v>
      </c>
      <c r="L56" s="31" t="s">
        <v>624</v>
      </c>
      <c r="M56" s="31" t="s">
        <v>630</v>
      </c>
      <c r="N56" s="31" t="s">
        <v>267</v>
      </c>
      <c r="O56" s="34"/>
      <c r="P56" s="31">
        <v>2.0</v>
      </c>
      <c r="Q56" s="31" t="s">
        <v>307</v>
      </c>
      <c r="R56" s="35">
        <v>36830.0</v>
      </c>
      <c r="S56" s="31" t="s">
        <v>631</v>
      </c>
      <c r="T56" s="31" t="s">
        <v>632</v>
      </c>
      <c r="U56" s="31" t="s">
        <v>633</v>
      </c>
      <c r="V56" s="34"/>
      <c r="W56" s="34"/>
    </row>
    <row r="57">
      <c r="A57" s="30">
        <v>52.0</v>
      </c>
      <c r="B57" s="31" t="s">
        <v>634</v>
      </c>
      <c r="C57" s="31" t="s">
        <v>635</v>
      </c>
      <c r="D57" s="31" t="s">
        <v>636</v>
      </c>
      <c r="E57" s="31" t="s">
        <v>637</v>
      </c>
      <c r="F57" s="32">
        <v>45397.0</v>
      </c>
      <c r="G57" s="33"/>
      <c r="H57" s="31" t="s">
        <v>453</v>
      </c>
      <c r="I57" s="31" t="s">
        <v>52</v>
      </c>
      <c r="J57" s="31" t="s">
        <v>638</v>
      </c>
      <c r="K57" s="31" t="s">
        <v>639</v>
      </c>
      <c r="L57" s="31" t="s">
        <v>640</v>
      </c>
      <c r="M57" s="31" t="s">
        <v>641</v>
      </c>
      <c r="N57" s="31" t="s">
        <v>267</v>
      </c>
      <c r="O57" s="34"/>
      <c r="P57" s="34"/>
      <c r="Q57" s="31" t="s">
        <v>268</v>
      </c>
      <c r="R57" s="32">
        <v>36471.0</v>
      </c>
      <c r="S57" s="31" t="s">
        <v>490</v>
      </c>
      <c r="T57" s="31" t="s">
        <v>642</v>
      </c>
      <c r="U57" s="31" t="s">
        <v>643</v>
      </c>
      <c r="V57" s="31" t="s">
        <v>637</v>
      </c>
      <c r="W57" s="34"/>
    </row>
    <row r="58">
      <c r="A58" s="30">
        <v>53.0</v>
      </c>
      <c r="B58" s="31" t="s">
        <v>644</v>
      </c>
      <c r="C58" s="31" t="s">
        <v>402</v>
      </c>
      <c r="D58" s="31" t="s">
        <v>452</v>
      </c>
      <c r="E58" s="31" t="s">
        <v>565</v>
      </c>
      <c r="F58" s="32">
        <v>45398.0</v>
      </c>
      <c r="G58" s="33"/>
      <c r="H58" s="31" t="s">
        <v>453</v>
      </c>
      <c r="I58" s="31" t="s">
        <v>566</v>
      </c>
      <c r="J58" s="31" t="s">
        <v>567</v>
      </c>
      <c r="K58" s="31" t="s">
        <v>568</v>
      </c>
      <c r="L58" s="31" t="s">
        <v>456</v>
      </c>
      <c r="M58" s="31" t="s">
        <v>645</v>
      </c>
      <c r="N58" s="31" t="s">
        <v>267</v>
      </c>
      <c r="O58" s="34"/>
      <c r="P58" s="34"/>
      <c r="Q58" s="31" t="s">
        <v>268</v>
      </c>
      <c r="R58" s="32">
        <v>34105.0</v>
      </c>
      <c r="S58" s="31" t="s">
        <v>626</v>
      </c>
      <c r="T58" s="34"/>
      <c r="U58" s="31" t="s">
        <v>480</v>
      </c>
      <c r="V58" s="31" t="s">
        <v>565</v>
      </c>
      <c r="W58" s="34"/>
    </row>
    <row r="59">
      <c r="A59" s="30">
        <v>54.0</v>
      </c>
      <c r="B59" s="31" t="s">
        <v>646</v>
      </c>
      <c r="C59" s="31" t="s">
        <v>647</v>
      </c>
      <c r="D59" s="31" t="s">
        <v>648</v>
      </c>
      <c r="E59" s="31" t="s">
        <v>649</v>
      </c>
      <c r="F59" s="32">
        <v>44712.0</v>
      </c>
      <c r="G59" s="32">
        <v>44773.0</v>
      </c>
      <c r="H59" s="31" t="s">
        <v>346</v>
      </c>
      <c r="I59" s="31" t="s">
        <v>101</v>
      </c>
      <c r="J59" s="31" t="s">
        <v>649</v>
      </c>
      <c r="K59" s="31" t="s">
        <v>650</v>
      </c>
      <c r="L59" s="31" t="s">
        <v>651</v>
      </c>
      <c r="M59" s="31" t="s">
        <v>652</v>
      </c>
      <c r="N59" s="31" t="s">
        <v>267</v>
      </c>
      <c r="O59" s="34"/>
      <c r="P59" s="31">
        <v>3.0</v>
      </c>
      <c r="Q59" s="31" t="s">
        <v>307</v>
      </c>
      <c r="R59" s="35">
        <v>36883.0</v>
      </c>
      <c r="S59" s="31" t="s">
        <v>653</v>
      </c>
      <c r="T59" s="31" t="s">
        <v>654</v>
      </c>
      <c r="U59" s="31" t="s">
        <v>361</v>
      </c>
      <c r="V59" s="34"/>
      <c r="W59" s="34"/>
    </row>
    <row r="60">
      <c r="A60" s="30">
        <v>55.0</v>
      </c>
      <c r="B60" s="31" t="s">
        <v>655</v>
      </c>
      <c r="C60" s="31" t="s">
        <v>656</v>
      </c>
      <c r="D60" s="31" t="s">
        <v>648</v>
      </c>
      <c r="E60" s="31" t="s">
        <v>649</v>
      </c>
      <c r="F60" s="32">
        <v>44712.0</v>
      </c>
      <c r="G60" s="32">
        <v>44773.0</v>
      </c>
      <c r="H60" s="31" t="s">
        <v>346</v>
      </c>
      <c r="I60" s="31" t="s">
        <v>101</v>
      </c>
      <c r="J60" s="31" t="s">
        <v>649</v>
      </c>
      <c r="K60" s="31" t="s">
        <v>650</v>
      </c>
      <c r="L60" s="31" t="s">
        <v>651</v>
      </c>
      <c r="M60" s="31" t="s">
        <v>657</v>
      </c>
      <c r="N60" s="31" t="s">
        <v>267</v>
      </c>
      <c r="O60" s="34"/>
      <c r="P60" s="31">
        <v>3.0</v>
      </c>
      <c r="Q60" s="31" t="s">
        <v>307</v>
      </c>
      <c r="R60" s="32">
        <v>36753.0</v>
      </c>
      <c r="S60" s="31" t="s">
        <v>531</v>
      </c>
      <c r="T60" s="31" t="s">
        <v>658</v>
      </c>
      <c r="U60" s="31" t="s">
        <v>361</v>
      </c>
      <c r="V60" s="34"/>
      <c r="W60" s="34"/>
    </row>
    <row r="61">
      <c r="A61" s="30">
        <v>56.0</v>
      </c>
      <c r="B61" s="31" t="s">
        <v>659</v>
      </c>
      <c r="C61" s="31" t="s">
        <v>660</v>
      </c>
      <c r="D61" s="31" t="s">
        <v>648</v>
      </c>
      <c r="E61" s="31" t="s">
        <v>661</v>
      </c>
      <c r="F61" s="35">
        <v>44543.0</v>
      </c>
      <c r="G61" s="32">
        <v>44605.0</v>
      </c>
      <c r="H61" s="31" t="s">
        <v>346</v>
      </c>
      <c r="I61" s="31" t="s">
        <v>101</v>
      </c>
      <c r="J61" s="31" t="s">
        <v>661</v>
      </c>
      <c r="K61" s="31" t="s">
        <v>662</v>
      </c>
      <c r="L61" s="31" t="s">
        <v>663</v>
      </c>
      <c r="M61" s="31" t="s">
        <v>664</v>
      </c>
      <c r="N61" s="31" t="s">
        <v>267</v>
      </c>
      <c r="O61" s="34"/>
      <c r="P61" s="31">
        <v>4.0</v>
      </c>
      <c r="Q61" s="31" t="s">
        <v>307</v>
      </c>
      <c r="R61" s="32">
        <v>35624.0</v>
      </c>
      <c r="S61" s="31" t="s">
        <v>531</v>
      </c>
      <c r="T61" s="31" t="s">
        <v>665</v>
      </c>
      <c r="U61" s="31" t="s">
        <v>361</v>
      </c>
      <c r="V61" s="34"/>
      <c r="W61" s="34"/>
    </row>
    <row r="62">
      <c r="A62" s="30">
        <v>57.0</v>
      </c>
      <c r="B62" s="31" t="s">
        <v>666</v>
      </c>
      <c r="C62" s="31" t="s">
        <v>667</v>
      </c>
      <c r="D62" s="31" t="s">
        <v>648</v>
      </c>
      <c r="E62" s="31" t="s">
        <v>661</v>
      </c>
      <c r="F62" s="35">
        <v>44543.0</v>
      </c>
      <c r="G62" s="32">
        <v>44605.0</v>
      </c>
      <c r="H62" s="31" t="s">
        <v>346</v>
      </c>
      <c r="I62" s="31" t="s">
        <v>101</v>
      </c>
      <c r="J62" s="31" t="s">
        <v>661</v>
      </c>
      <c r="K62" s="31" t="s">
        <v>662</v>
      </c>
      <c r="L62" s="31" t="s">
        <v>663</v>
      </c>
      <c r="M62" s="31" t="s">
        <v>668</v>
      </c>
      <c r="N62" s="31" t="s">
        <v>467</v>
      </c>
      <c r="O62" s="34"/>
      <c r="P62" s="31">
        <v>4.0</v>
      </c>
      <c r="Q62" s="31" t="s">
        <v>307</v>
      </c>
      <c r="R62" s="32">
        <v>36285.0</v>
      </c>
      <c r="S62" s="31" t="s">
        <v>320</v>
      </c>
      <c r="T62" s="31" t="s">
        <v>503</v>
      </c>
      <c r="U62" s="31" t="s">
        <v>361</v>
      </c>
      <c r="V62" s="34"/>
      <c r="W62" s="34"/>
    </row>
    <row r="63">
      <c r="A63" s="30">
        <v>58.0</v>
      </c>
      <c r="B63" s="31" t="s">
        <v>669</v>
      </c>
      <c r="C63" s="31" t="s">
        <v>670</v>
      </c>
      <c r="D63" s="31" t="s">
        <v>648</v>
      </c>
      <c r="E63" s="31" t="s">
        <v>661</v>
      </c>
      <c r="F63" s="35">
        <v>43809.0</v>
      </c>
      <c r="G63" s="32">
        <v>43871.0</v>
      </c>
      <c r="H63" s="31" t="s">
        <v>346</v>
      </c>
      <c r="I63" s="31" t="s">
        <v>101</v>
      </c>
      <c r="J63" s="31" t="s">
        <v>661</v>
      </c>
      <c r="K63" s="31" t="s">
        <v>662</v>
      </c>
      <c r="L63" s="31" t="s">
        <v>663</v>
      </c>
      <c r="M63" s="31" t="s">
        <v>671</v>
      </c>
      <c r="N63" s="31" t="s">
        <v>267</v>
      </c>
      <c r="O63" s="34"/>
      <c r="P63" s="31">
        <v>6.0</v>
      </c>
      <c r="Q63" s="31" t="s">
        <v>307</v>
      </c>
      <c r="R63" s="32">
        <v>35571.0</v>
      </c>
      <c r="S63" s="31" t="s">
        <v>468</v>
      </c>
      <c r="T63" s="31" t="s">
        <v>672</v>
      </c>
      <c r="U63" s="31" t="s">
        <v>361</v>
      </c>
      <c r="V63" s="34"/>
      <c r="W63" s="34"/>
    </row>
    <row r="64">
      <c r="A64" s="30">
        <v>59.0</v>
      </c>
      <c r="B64" s="31" t="s">
        <v>673</v>
      </c>
      <c r="C64" s="31" t="s">
        <v>674</v>
      </c>
      <c r="D64" s="31" t="s">
        <v>648</v>
      </c>
      <c r="E64" s="31" t="s">
        <v>661</v>
      </c>
      <c r="F64" s="35">
        <v>43762.0</v>
      </c>
      <c r="G64" s="35">
        <v>43823.0</v>
      </c>
      <c r="H64" s="31" t="s">
        <v>346</v>
      </c>
      <c r="I64" s="31" t="s">
        <v>101</v>
      </c>
      <c r="J64" s="31" t="s">
        <v>661</v>
      </c>
      <c r="K64" s="31" t="s">
        <v>662</v>
      </c>
      <c r="L64" s="31" t="s">
        <v>663</v>
      </c>
      <c r="M64" s="31" t="s">
        <v>675</v>
      </c>
      <c r="N64" s="31" t="s">
        <v>267</v>
      </c>
      <c r="O64" s="34"/>
      <c r="P64" s="31">
        <v>6.0</v>
      </c>
      <c r="Q64" s="31" t="s">
        <v>307</v>
      </c>
      <c r="R64" s="32">
        <v>35600.0</v>
      </c>
      <c r="S64" s="31" t="s">
        <v>676</v>
      </c>
      <c r="T64" s="31" t="s">
        <v>677</v>
      </c>
      <c r="U64" s="31" t="s">
        <v>361</v>
      </c>
      <c r="V64" s="34"/>
      <c r="W64" s="34"/>
    </row>
    <row r="65">
      <c r="A65" s="30">
        <v>60.0</v>
      </c>
      <c r="B65" s="31" t="s">
        <v>678</v>
      </c>
      <c r="C65" s="31" t="s">
        <v>679</v>
      </c>
      <c r="D65" s="31" t="s">
        <v>648</v>
      </c>
      <c r="E65" s="31" t="s">
        <v>661</v>
      </c>
      <c r="F65" s="32">
        <v>43617.0</v>
      </c>
      <c r="G65" s="32">
        <v>43678.0</v>
      </c>
      <c r="H65" s="31" t="s">
        <v>346</v>
      </c>
      <c r="I65" s="31" t="s">
        <v>101</v>
      </c>
      <c r="J65" s="31" t="s">
        <v>661</v>
      </c>
      <c r="K65" s="31" t="s">
        <v>662</v>
      </c>
      <c r="L65" s="31" t="s">
        <v>663</v>
      </c>
      <c r="M65" s="31" t="s">
        <v>680</v>
      </c>
      <c r="N65" s="31" t="s">
        <v>267</v>
      </c>
      <c r="O65" s="34"/>
      <c r="P65" s="31">
        <v>6.0</v>
      </c>
      <c r="Q65" s="31" t="s">
        <v>307</v>
      </c>
      <c r="R65" s="32">
        <v>33883.0</v>
      </c>
      <c r="S65" s="31" t="s">
        <v>681</v>
      </c>
      <c r="T65" s="31" t="s">
        <v>682</v>
      </c>
      <c r="U65" s="31" t="s">
        <v>361</v>
      </c>
      <c r="V65" s="34"/>
      <c r="W65" s="34"/>
    </row>
    <row r="66">
      <c r="A66" s="30">
        <v>61.0</v>
      </c>
      <c r="B66" s="31" t="s">
        <v>683</v>
      </c>
      <c r="C66" s="31" t="s">
        <v>684</v>
      </c>
      <c r="D66" s="31" t="s">
        <v>260</v>
      </c>
      <c r="E66" s="31" t="s">
        <v>540</v>
      </c>
      <c r="F66" s="32">
        <v>45154.0</v>
      </c>
      <c r="G66" s="35">
        <v>45214.0</v>
      </c>
      <c r="H66" s="31" t="s">
        <v>346</v>
      </c>
      <c r="I66" s="31" t="s">
        <v>263</v>
      </c>
      <c r="J66" s="31" t="s">
        <v>356</v>
      </c>
      <c r="K66" s="31" t="s">
        <v>541</v>
      </c>
      <c r="L66" s="31" t="s">
        <v>328</v>
      </c>
      <c r="M66" s="31" t="s">
        <v>685</v>
      </c>
      <c r="N66" s="31" t="s">
        <v>267</v>
      </c>
      <c r="O66" s="34"/>
      <c r="P66" s="31">
        <v>3.0</v>
      </c>
      <c r="Q66" s="31" t="s">
        <v>307</v>
      </c>
      <c r="R66" s="32">
        <v>36614.0</v>
      </c>
      <c r="S66" s="31" t="s">
        <v>359</v>
      </c>
      <c r="T66" s="31" t="s">
        <v>686</v>
      </c>
      <c r="U66" s="31" t="s">
        <v>361</v>
      </c>
      <c r="V66" s="31" t="s">
        <v>540</v>
      </c>
      <c r="W66" s="34"/>
    </row>
    <row r="67">
      <c r="A67" s="30">
        <v>62.0</v>
      </c>
      <c r="B67" s="31" t="s">
        <v>687</v>
      </c>
      <c r="C67" s="31" t="s">
        <v>688</v>
      </c>
      <c r="D67" s="31" t="s">
        <v>260</v>
      </c>
      <c r="E67" s="31" t="s">
        <v>540</v>
      </c>
      <c r="F67" s="32">
        <v>45140.0</v>
      </c>
      <c r="G67" s="32">
        <v>45200.0</v>
      </c>
      <c r="H67" s="31" t="s">
        <v>346</v>
      </c>
      <c r="I67" s="31" t="s">
        <v>263</v>
      </c>
      <c r="J67" s="31" t="s">
        <v>356</v>
      </c>
      <c r="K67" s="31" t="s">
        <v>541</v>
      </c>
      <c r="L67" s="31" t="s">
        <v>328</v>
      </c>
      <c r="M67" s="31" t="s">
        <v>689</v>
      </c>
      <c r="N67" s="31" t="s">
        <v>267</v>
      </c>
      <c r="O67" s="34"/>
      <c r="P67" s="31">
        <v>3.0</v>
      </c>
      <c r="Q67" s="31" t="s">
        <v>307</v>
      </c>
      <c r="R67" s="32">
        <v>37384.0</v>
      </c>
      <c r="S67" s="31" t="s">
        <v>690</v>
      </c>
      <c r="T67" s="31" t="s">
        <v>691</v>
      </c>
      <c r="U67" s="31" t="s">
        <v>361</v>
      </c>
      <c r="V67" s="31" t="s">
        <v>540</v>
      </c>
      <c r="W67" s="34"/>
    </row>
    <row r="68">
      <c r="A68" s="30">
        <v>63.0</v>
      </c>
      <c r="B68" s="31" t="s">
        <v>692</v>
      </c>
      <c r="C68" s="31" t="s">
        <v>693</v>
      </c>
      <c r="D68" s="31" t="s">
        <v>260</v>
      </c>
      <c r="E68" s="31" t="s">
        <v>540</v>
      </c>
      <c r="F68" s="32">
        <v>45038.0</v>
      </c>
      <c r="G68" s="32">
        <v>45099.0</v>
      </c>
      <c r="H68" s="31" t="s">
        <v>346</v>
      </c>
      <c r="I68" s="31" t="s">
        <v>263</v>
      </c>
      <c r="J68" s="31" t="s">
        <v>356</v>
      </c>
      <c r="K68" s="31" t="s">
        <v>541</v>
      </c>
      <c r="L68" s="31" t="s">
        <v>328</v>
      </c>
      <c r="M68" s="31" t="s">
        <v>694</v>
      </c>
      <c r="N68" s="31" t="s">
        <v>467</v>
      </c>
      <c r="O68" s="34"/>
      <c r="P68" s="31">
        <v>3.0</v>
      </c>
      <c r="Q68" s="31" t="s">
        <v>307</v>
      </c>
      <c r="R68" s="32">
        <v>37160.0</v>
      </c>
      <c r="S68" s="31" t="s">
        <v>695</v>
      </c>
      <c r="T68" s="31" t="s">
        <v>696</v>
      </c>
      <c r="U68" s="31" t="s">
        <v>361</v>
      </c>
      <c r="V68" s="31" t="s">
        <v>540</v>
      </c>
      <c r="W68" s="34"/>
    </row>
    <row r="69">
      <c r="A69" s="30">
        <v>64.0</v>
      </c>
      <c r="B69" s="31" t="s">
        <v>697</v>
      </c>
      <c r="C69" s="31" t="s">
        <v>698</v>
      </c>
      <c r="D69" s="31" t="s">
        <v>648</v>
      </c>
      <c r="E69" s="31" t="s">
        <v>649</v>
      </c>
      <c r="F69" s="32">
        <v>45013.0</v>
      </c>
      <c r="G69" s="32">
        <v>45074.0</v>
      </c>
      <c r="H69" s="31" t="s">
        <v>346</v>
      </c>
      <c r="I69" s="31" t="s">
        <v>101</v>
      </c>
      <c r="J69" s="31" t="s">
        <v>649</v>
      </c>
      <c r="K69" s="31" t="s">
        <v>650</v>
      </c>
      <c r="L69" s="31" t="s">
        <v>651</v>
      </c>
      <c r="M69" s="31" t="s">
        <v>699</v>
      </c>
      <c r="N69" s="31" t="s">
        <v>267</v>
      </c>
      <c r="O69" s="34"/>
      <c r="P69" s="31">
        <v>2.0</v>
      </c>
      <c r="Q69" s="31" t="s">
        <v>307</v>
      </c>
      <c r="R69" s="32">
        <v>36994.0</v>
      </c>
      <c r="S69" s="31" t="s">
        <v>700</v>
      </c>
      <c r="T69" s="31" t="s">
        <v>701</v>
      </c>
      <c r="U69" s="31" t="s">
        <v>361</v>
      </c>
      <c r="V69" s="34"/>
      <c r="W69" s="34"/>
    </row>
    <row r="70">
      <c r="A70" s="30">
        <v>65.0</v>
      </c>
      <c r="B70" s="31" t="s">
        <v>702</v>
      </c>
      <c r="C70" s="31" t="s">
        <v>703</v>
      </c>
      <c r="D70" s="31" t="s">
        <v>648</v>
      </c>
      <c r="E70" s="31" t="s">
        <v>649</v>
      </c>
      <c r="F70" s="32">
        <v>45013.0</v>
      </c>
      <c r="G70" s="32">
        <v>45074.0</v>
      </c>
      <c r="H70" s="31" t="s">
        <v>346</v>
      </c>
      <c r="I70" s="31" t="s">
        <v>101</v>
      </c>
      <c r="J70" s="31" t="s">
        <v>649</v>
      </c>
      <c r="K70" s="31" t="s">
        <v>650</v>
      </c>
      <c r="L70" s="31" t="s">
        <v>651</v>
      </c>
      <c r="M70" s="31" t="s">
        <v>704</v>
      </c>
      <c r="N70" s="31" t="s">
        <v>267</v>
      </c>
      <c r="O70" s="34"/>
      <c r="P70" s="31">
        <v>2.0</v>
      </c>
      <c r="Q70" s="31" t="s">
        <v>307</v>
      </c>
      <c r="R70" s="32">
        <v>37007.0</v>
      </c>
      <c r="S70" s="31" t="s">
        <v>531</v>
      </c>
      <c r="T70" s="31" t="s">
        <v>705</v>
      </c>
      <c r="U70" s="31" t="s">
        <v>361</v>
      </c>
      <c r="V70" s="34"/>
      <c r="W70" s="34"/>
    </row>
    <row r="71">
      <c r="A71" s="30">
        <v>66.0</v>
      </c>
      <c r="B71" s="31" t="s">
        <v>706</v>
      </c>
      <c r="C71" s="31" t="s">
        <v>707</v>
      </c>
      <c r="D71" s="31" t="s">
        <v>260</v>
      </c>
      <c r="E71" s="31" t="s">
        <v>130</v>
      </c>
      <c r="F71" s="35">
        <v>44914.0</v>
      </c>
      <c r="G71" s="32">
        <v>44976.0</v>
      </c>
      <c r="H71" s="31" t="s">
        <v>346</v>
      </c>
      <c r="I71" s="31" t="s">
        <v>263</v>
      </c>
      <c r="J71" s="31" t="s">
        <v>130</v>
      </c>
      <c r="K71" s="31" t="s">
        <v>410</v>
      </c>
      <c r="L71" s="31" t="s">
        <v>265</v>
      </c>
      <c r="M71" s="31" t="s">
        <v>708</v>
      </c>
      <c r="N71" s="31" t="s">
        <v>267</v>
      </c>
      <c r="O71" s="34"/>
      <c r="P71" s="31">
        <v>5.0</v>
      </c>
      <c r="Q71" s="31" t="s">
        <v>307</v>
      </c>
      <c r="R71" s="32">
        <v>36723.0</v>
      </c>
      <c r="S71" s="31" t="s">
        <v>626</v>
      </c>
      <c r="T71" s="31" t="s">
        <v>709</v>
      </c>
      <c r="U71" s="31" t="s">
        <v>361</v>
      </c>
      <c r="V71" s="34"/>
      <c r="W71" s="34"/>
    </row>
    <row r="72">
      <c r="A72" s="30">
        <v>67.0</v>
      </c>
      <c r="B72" s="31" t="s">
        <v>710</v>
      </c>
      <c r="C72" s="31" t="s">
        <v>711</v>
      </c>
      <c r="D72" s="31" t="s">
        <v>260</v>
      </c>
      <c r="E72" s="31" t="s">
        <v>540</v>
      </c>
      <c r="F72" s="35">
        <v>44848.0</v>
      </c>
      <c r="G72" s="35">
        <v>44909.0</v>
      </c>
      <c r="H72" s="31" t="s">
        <v>346</v>
      </c>
      <c r="I72" s="31" t="s">
        <v>263</v>
      </c>
      <c r="J72" s="31" t="s">
        <v>356</v>
      </c>
      <c r="K72" s="31" t="s">
        <v>541</v>
      </c>
      <c r="L72" s="31" t="s">
        <v>328</v>
      </c>
      <c r="M72" s="31" t="s">
        <v>712</v>
      </c>
      <c r="N72" s="31" t="s">
        <v>267</v>
      </c>
      <c r="O72" s="34"/>
      <c r="P72" s="31">
        <v>5.0</v>
      </c>
      <c r="Q72" s="31" t="s">
        <v>307</v>
      </c>
      <c r="R72" s="32">
        <v>36697.0</v>
      </c>
      <c r="S72" s="31" t="s">
        <v>653</v>
      </c>
      <c r="T72" s="31" t="s">
        <v>713</v>
      </c>
      <c r="U72" s="31" t="s">
        <v>361</v>
      </c>
      <c r="V72" s="31" t="s">
        <v>540</v>
      </c>
      <c r="W72" s="34"/>
    </row>
    <row r="73">
      <c r="A73" s="30">
        <v>68.0</v>
      </c>
      <c r="B73" s="31" t="s">
        <v>714</v>
      </c>
      <c r="C73" s="31" t="s">
        <v>715</v>
      </c>
      <c r="D73" s="31" t="s">
        <v>648</v>
      </c>
      <c r="E73" s="31" t="s">
        <v>649</v>
      </c>
      <c r="F73" s="32">
        <v>44712.0</v>
      </c>
      <c r="G73" s="32">
        <v>44773.0</v>
      </c>
      <c r="H73" s="31" t="s">
        <v>346</v>
      </c>
      <c r="I73" s="31" t="s">
        <v>101</v>
      </c>
      <c r="J73" s="31" t="s">
        <v>649</v>
      </c>
      <c r="K73" s="31" t="s">
        <v>650</v>
      </c>
      <c r="L73" s="31" t="s">
        <v>651</v>
      </c>
      <c r="M73" s="31" t="s">
        <v>716</v>
      </c>
      <c r="N73" s="31" t="s">
        <v>267</v>
      </c>
      <c r="O73" s="34"/>
      <c r="P73" s="31">
        <v>3.0</v>
      </c>
      <c r="Q73" s="31" t="s">
        <v>307</v>
      </c>
      <c r="R73" s="35">
        <v>36822.0</v>
      </c>
      <c r="S73" s="31" t="s">
        <v>717</v>
      </c>
      <c r="T73" s="31" t="s">
        <v>718</v>
      </c>
      <c r="U73" s="31" t="s">
        <v>361</v>
      </c>
      <c r="V73" s="34"/>
      <c r="W73" s="34"/>
    </row>
    <row r="74">
      <c r="A74" s="30">
        <v>69.0</v>
      </c>
      <c r="B74" s="31" t="s">
        <v>719</v>
      </c>
      <c r="C74" s="31" t="s">
        <v>720</v>
      </c>
      <c r="D74" s="31" t="s">
        <v>648</v>
      </c>
      <c r="E74" s="31" t="s">
        <v>649</v>
      </c>
      <c r="F74" s="32">
        <v>44712.0</v>
      </c>
      <c r="G74" s="32">
        <v>44773.0</v>
      </c>
      <c r="H74" s="31" t="s">
        <v>346</v>
      </c>
      <c r="I74" s="31" t="s">
        <v>101</v>
      </c>
      <c r="J74" s="31" t="s">
        <v>649</v>
      </c>
      <c r="K74" s="31" t="s">
        <v>650</v>
      </c>
      <c r="L74" s="31" t="s">
        <v>651</v>
      </c>
      <c r="M74" s="31" t="s">
        <v>721</v>
      </c>
      <c r="N74" s="31" t="s">
        <v>267</v>
      </c>
      <c r="O74" s="34"/>
      <c r="P74" s="31">
        <v>3.0</v>
      </c>
      <c r="Q74" s="31" t="s">
        <v>307</v>
      </c>
      <c r="R74" s="35">
        <v>36813.0</v>
      </c>
      <c r="S74" s="31" t="s">
        <v>458</v>
      </c>
      <c r="T74" s="31" t="s">
        <v>722</v>
      </c>
      <c r="U74" s="31" t="s">
        <v>361</v>
      </c>
      <c r="V74" s="34"/>
      <c r="W74" s="34"/>
    </row>
    <row r="75">
      <c r="A75" s="30">
        <v>70.0</v>
      </c>
      <c r="B75" s="31" t="s">
        <v>723</v>
      </c>
      <c r="C75" s="31" t="s">
        <v>724</v>
      </c>
      <c r="D75" s="31" t="s">
        <v>648</v>
      </c>
      <c r="E75" s="31" t="s">
        <v>649</v>
      </c>
      <c r="F75" s="32">
        <v>44712.0</v>
      </c>
      <c r="G75" s="32">
        <v>44773.0</v>
      </c>
      <c r="H75" s="31" t="s">
        <v>346</v>
      </c>
      <c r="I75" s="31" t="s">
        <v>101</v>
      </c>
      <c r="J75" s="31" t="s">
        <v>649</v>
      </c>
      <c r="K75" s="31" t="s">
        <v>650</v>
      </c>
      <c r="L75" s="31" t="s">
        <v>651</v>
      </c>
      <c r="M75" s="31" t="s">
        <v>725</v>
      </c>
      <c r="N75" s="31" t="s">
        <v>267</v>
      </c>
      <c r="O75" s="34"/>
      <c r="P75" s="31">
        <v>3.0</v>
      </c>
      <c r="Q75" s="31" t="s">
        <v>307</v>
      </c>
      <c r="R75" s="32">
        <v>36748.0</v>
      </c>
      <c r="S75" s="31" t="s">
        <v>531</v>
      </c>
      <c r="T75" s="31" t="s">
        <v>503</v>
      </c>
      <c r="U75" s="31" t="s">
        <v>361</v>
      </c>
      <c r="V75" s="34"/>
      <c r="W75" s="34"/>
    </row>
    <row r="76">
      <c r="A76" s="30">
        <v>71.0</v>
      </c>
      <c r="B76" s="31" t="s">
        <v>726</v>
      </c>
      <c r="C76" s="31" t="s">
        <v>727</v>
      </c>
      <c r="D76" s="31" t="s">
        <v>648</v>
      </c>
      <c r="E76" s="31" t="s">
        <v>649</v>
      </c>
      <c r="F76" s="32">
        <v>44712.0</v>
      </c>
      <c r="G76" s="32">
        <v>44773.0</v>
      </c>
      <c r="H76" s="31" t="s">
        <v>346</v>
      </c>
      <c r="I76" s="31" t="s">
        <v>101</v>
      </c>
      <c r="J76" s="31" t="s">
        <v>649</v>
      </c>
      <c r="K76" s="31" t="s">
        <v>650</v>
      </c>
      <c r="L76" s="31" t="s">
        <v>651</v>
      </c>
      <c r="M76" s="31" t="s">
        <v>728</v>
      </c>
      <c r="N76" s="31" t="s">
        <v>267</v>
      </c>
      <c r="O76" s="34"/>
      <c r="P76" s="31">
        <v>3.0</v>
      </c>
      <c r="Q76" s="31" t="s">
        <v>307</v>
      </c>
      <c r="R76" s="35">
        <v>36880.0</v>
      </c>
      <c r="S76" s="31" t="s">
        <v>729</v>
      </c>
      <c r="T76" s="31" t="s">
        <v>722</v>
      </c>
      <c r="U76" s="31" t="s">
        <v>361</v>
      </c>
      <c r="V76" s="34"/>
      <c r="W76" s="34"/>
    </row>
    <row r="77">
      <c r="A77" s="30">
        <v>72.0</v>
      </c>
      <c r="B77" s="31" t="s">
        <v>730</v>
      </c>
      <c r="C77" s="31" t="s">
        <v>731</v>
      </c>
      <c r="D77" s="31" t="s">
        <v>648</v>
      </c>
      <c r="E77" s="31" t="s">
        <v>649</v>
      </c>
      <c r="F77" s="32">
        <v>44685.0</v>
      </c>
      <c r="G77" s="32">
        <v>44746.0</v>
      </c>
      <c r="H77" s="31" t="s">
        <v>346</v>
      </c>
      <c r="I77" s="31" t="s">
        <v>101</v>
      </c>
      <c r="J77" s="31" t="s">
        <v>649</v>
      </c>
      <c r="K77" s="31" t="s">
        <v>650</v>
      </c>
      <c r="L77" s="31" t="s">
        <v>651</v>
      </c>
      <c r="M77" s="31" t="s">
        <v>732</v>
      </c>
      <c r="N77" s="31" t="s">
        <v>267</v>
      </c>
      <c r="O77" s="34"/>
      <c r="P77" s="31">
        <v>3.0</v>
      </c>
      <c r="Q77" s="31" t="s">
        <v>307</v>
      </c>
      <c r="R77" s="32">
        <v>36549.0</v>
      </c>
      <c r="S77" s="31" t="s">
        <v>733</v>
      </c>
      <c r="T77" s="31" t="s">
        <v>722</v>
      </c>
      <c r="U77" s="31" t="s">
        <v>361</v>
      </c>
      <c r="V77" s="34"/>
      <c r="W77" s="34"/>
    </row>
    <row r="78">
      <c r="A78" s="30">
        <v>73.0</v>
      </c>
      <c r="B78" s="31" t="s">
        <v>734</v>
      </c>
      <c r="C78" s="31" t="s">
        <v>735</v>
      </c>
      <c r="D78" s="31" t="s">
        <v>260</v>
      </c>
      <c r="E78" s="31" t="s">
        <v>540</v>
      </c>
      <c r="F78" s="32">
        <v>44659.0</v>
      </c>
      <c r="G78" s="32">
        <v>44720.0</v>
      </c>
      <c r="H78" s="31" t="s">
        <v>346</v>
      </c>
      <c r="I78" s="31" t="s">
        <v>263</v>
      </c>
      <c r="J78" s="31" t="s">
        <v>356</v>
      </c>
      <c r="K78" s="31" t="s">
        <v>541</v>
      </c>
      <c r="L78" s="31" t="s">
        <v>328</v>
      </c>
      <c r="M78" s="31" t="s">
        <v>736</v>
      </c>
      <c r="N78" s="31" t="s">
        <v>267</v>
      </c>
      <c r="O78" s="34"/>
      <c r="P78" s="31">
        <v>8.0</v>
      </c>
      <c r="Q78" s="31" t="s">
        <v>307</v>
      </c>
      <c r="R78" s="32">
        <v>36541.0</v>
      </c>
      <c r="S78" s="31" t="s">
        <v>737</v>
      </c>
      <c r="T78" s="31" t="s">
        <v>722</v>
      </c>
      <c r="U78" s="31" t="s">
        <v>361</v>
      </c>
      <c r="V78" s="31" t="s">
        <v>540</v>
      </c>
      <c r="W78" s="34"/>
    </row>
    <row r="79">
      <c r="A79" s="30">
        <v>74.0</v>
      </c>
      <c r="B79" s="31" t="s">
        <v>738</v>
      </c>
      <c r="C79" s="31" t="s">
        <v>739</v>
      </c>
      <c r="D79" s="31" t="s">
        <v>648</v>
      </c>
      <c r="E79" s="31" t="s">
        <v>649</v>
      </c>
      <c r="F79" s="32">
        <v>44632.0</v>
      </c>
      <c r="G79" s="32">
        <v>44693.0</v>
      </c>
      <c r="H79" s="31" t="s">
        <v>346</v>
      </c>
      <c r="I79" s="31" t="s">
        <v>101</v>
      </c>
      <c r="J79" s="31" t="s">
        <v>649</v>
      </c>
      <c r="K79" s="31" t="s">
        <v>650</v>
      </c>
      <c r="L79" s="31" t="s">
        <v>651</v>
      </c>
      <c r="M79" s="31" t="s">
        <v>740</v>
      </c>
      <c r="N79" s="31" t="s">
        <v>267</v>
      </c>
      <c r="O79" s="34"/>
      <c r="P79" s="31">
        <v>4.0</v>
      </c>
      <c r="Q79" s="31" t="s">
        <v>307</v>
      </c>
      <c r="R79" s="35">
        <v>36883.0</v>
      </c>
      <c r="S79" s="31" t="s">
        <v>733</v>
      </c>
      <c r="T79" s="31" t="s">
        <v>722</v>
      </c>
      <c r="U79" s="31" t="s">
        <v>361</v>
      </c>
      <c r="V79" s="34"/>
      <c r="W79" s="34"/>
    </row>
    <row r="80">
      <c r="A80" s="30">
        <v>75.0</v>
      </c>
      <c r="B80" s="31" t="s">
        <v>741</v>
      </c>
      <c r="C80" s="31" t="s">
        <v>742</v>
      </c>
      <c r="D80" s="31" t="s">
        <v>648</v>
      </c>
      <c r="E80" s="31" t="s">
        <v>649</v>
      </c>
      <c r="F80" s="32">
        <v>43557.0</v>
      </c>
      <c r="G80" s="32">
        <v>43618.0</v>
      </c>
      <c r="H80" s="31" t="s">
        <v>346</v>
      </c>
      <c r="I80" s="31" t="s">
        <v>101</v>
      </c>
      <c r="J80" s="31" t="s">
        <v>649</v>
      </c>
      <c r="K80" s="31" t="s">
        <v>650</v>
      </c>
      <c r="L80" s="31" t="s">
        <v>651</v>
      </c>
      <c r="M80" s="31" t="s">
        <v>743</v>
      </c>
      <c r="N80" s="31" t="s">
        <v>267</v>
      </c>
      <c r="O80" s="34"/>
      <c r="P80" s="31">
        <v>6.0</v>
      </c>
      <c r="Q80" s="31" t="s">
        <v>307</v>
      </c>
      <c r="R80" s="35">
        <v>35759.0</v>
      </c>
      <c r="S80" s="31" t="s">
        <v>320</v>
      </c>
      <c r="T80" s="31" t="s">
        <v>744</v>
      </c>
      <c r="U80" s="31" t="s">
        <v>361</v>
      </c>
      <c r="V80" s="34"/>
      <c r="W80" s="34"/>
    </row>
    <row r="81">
      <c r="A81" s="30">
        <v>76.0</v>
      </c>
      <c r="B81" s="31" t="s">
        <v>745</v>
      </c>
      <c r="C81" s="31" t="s">
        <v>746</v>
      </c>
      <c r="D81" s="31" t="s">
        <v>260</v>
      </c>
      <c r="E81" s="31" t="s">
        <v>747</v>
      </c>
      <c r="F81" s="32">
        <v>44096.0</v>
      </c>
      <c r="G81" s="35">
        <v>44157.0</v>
      </c>
      <c r="H81" s="31" t="s">
        <v>346</v>
      </c>
      <c r="I81" s="31" t="s">
        <v>263</v>
      </c>
      <c r="J81" s="31" t="s">
        <v>747</v>
      </c>
      <c r="K81" s="31" t="s">
        <v>748</v>
      </c>
      <c r="L81" s="31" t="s">
        <v>749</v>
      </c>
      <c r="M81" s="31" t="s">
        <v>750</v>
      </c>
      <c r="N81" s="31" t="s">
        <v>467</v>
      </c>
      <c r="O81" s="34"/>
      <c r="P81" s="31">
        <v>6.0</v>
      </c>
      <c r="Q81" s="31" t="s">
        <v>307</v>
      </c>
      <c r="R81" s="32">
        <v>35770.0</v>
      </c>
      <c r="S81" s="31" t="s">
        <v>751</v>
      </c>
      <c r="T81" s="31" t="s">
        <v>752</v>
      </c>
      <c r="U81" s="31" t="s">
        <v>361</v>
      </c>
      <c r="V81" s="34"/>
      <c r="W81" s="34"/>
    </row>
    <row r="82">
      <c r="A82" s="30">
        <v>77.0</v>
      </c>
      <c r="B82" s="31" t="s">
        <v>753</v>
      </c>
      <c r="C82" s="31" t="s">
        <v>754</v>
      </c>
      <c r="D82" s="31" t="s">
        <v>260</v>
      </c>
      <c r="E82" s="31" t="s">
        <v>747</v>
      </c>
      <c r="F82" s="32">
        <v>43467.0</v>
      </c>
      <c r="G82" s="32">
        <v>43526.0</v>
      </c>
      <c r="H82" s="31" t="s">
        <v>346</v>
      </c>
      <c r="I82" s="31" t="s">
        <v>263</v>
      </c>
      <c r="J82" s="31" t="s">
        <v>747</v>
      </c>
      <c r="K82" s="31" t="s">
        <v>748</v>
      </c>
      <c r="L82" s="31" t="s">
        <v>749</v>
      </c>
      <c r="M82" s="31" t="s">
        <v>755</v>
      </c>
      <c r="N82" s="31" t="s">
        <v>267</v>
      </c>
      <c r="O82" s="34"/>
      <c r="P82" s="31">
        <v>7.0</v>
      </c>
      <c r="Q82" s="31" t="s">
        <v>307</v>
      </c>
      <c r="R82" s="32">
        <v>35518.0</v>
      </c>
      <c r="S82" s="31" t="s">
        <v>756</v>
      </c>
      <c r="T82" s="31" t="s">
        <v>757</v>
      </c>
      <c r="U82" s="31" t="s">
        <v>361</v>
      </c>
      <c r="V82" s="34"/>
      <c r="W82" s="34"/>
    </row>
    <row r="83">
      <c r="A83" s="30">
        <v>78.0</v>
      </c>
      <c r="B83" s="31" t="s">
        <v>758</v>
      </c>
      <c r="C83" s="31" t="s">
        <v>759</v>
      </c>
      <c r="D83" s="31" t="s">
        <v>760</v>
      </c>
      <c r="E83" s="31" t="s">
        <v>649</v>
      </c>
      <c r="F83" s="35">
        <v>42661.0</v>
      </c>
      <c r="G83" s="35">
        <v>42722.0</v>
      </c>
      <c r="H83" s="31" t="s">
        <v>346</v>
      </c>
      <c r="I83" s="31" t="s">
        <v>101</v>
      </c>
      <c r="J83" s="31" t="s">
        <v>649</v>
      </c>
      <c r="K83" s="31" t="s">
        <v>650</v>
      </c>
      <c r="L83" s="31" t="s">
        <v>761</v>
      </c>
      <c r="M83" s="31" t="s">
        <v>762</v>
      </c>
      <c r="N83" s="31" t="s">
        <v>267</v>
      </c>
      <c r="O83" s="31">
        <v>1.0</v>
      </c>
      <c r="P83" s="31">
        <v>5.0</v>
      </c>
      <c r="Q83" s="31" t="s">
        <v>307</v>
      </c>
      <c r="R83" s="35">
        <v>34630.0</v>
      </c>
      <c r="S83" s="31" t="s">
        <v>733</v>
      </c>
      <c r="T83" s="31" t="s">
        <v>686</v>
      </c>
      <c r="U83" s="31" t="s">
        <v>361</v>
      </c>
      <c r="V83" s="34"/>
      <c r="W83" s="34"/>
    </row>
    <row r="84">
      <c r="A84" s="30">
        <v>79.0</v>
      </c>
      <c r="B84" s="31" t="s">
        <v>763</v>
      </c>
      <c r="C84" s="31" t="s">
        <v>764</v>
      </c>
      <c r="D84" s="31" t="s">
        <v>765</v>
      </c>
      <c r="E84" s="31" t="s">
        <v>766</v>
      </c>
      <c r="F84" s="32">
        <v>43017.0</v>
      </c>
      <c r="G84" s="32">
        <v>43078.0</v>
      </c>
      <c r="H84" s="31" t="s">
        <v>346</v>
      </c>
      <c r="I84" s="31" t="s">
        <v>263</v>
      </c>
      <c r="J84" s="31" t="s">
        <v>767</v>
      </c>
      <c r="K84" s="31" t="s">
        <v>768</v>
      </c>
      <c r="L84" s="31" t="s">
        <v>769</v>
      </c>
      <c r="M84" s="31" t="s">
        <v>770</v>
      </c>
      <c r="N84" s="31" t="s">
        <v>267</v>
      </c>
      <c r="O84" s="34"/>
      <c r="P84" s="31">
        <v>4.0</v>
      </c>
      <c r="Q84" s="31" t="s">
        <v>307</v>
      </c>
      <c r="R84" s="32">
        <v>34918.0</v>
      </c>
      <c r="S84" s="31" t="s">
        <v>681</v>
      </c>
      <c r="T84" s="31" t="s">
        <v>744</v>
      </c>
      <c r="U84" s="31" t="s">
        <v>361</v>
      </c>
      <c r="V84" s="31" t="s">
        <v>766</v>
      </c>
      <c r="W84" s="34"/>
    </row>
    <row r="85">
      <c r="A85" s="30">
        <v>80.0</v>
      </c>
      <c r="B85" s="31" t="s">
        <v>771</v>
      </c>
      <c r="C85" s="31" t="s">
        <v>772</v>
      </c>
      <c r="D85" s="31" t="s">
        <v>648</v>
      </c>
      <c r="E85" s="31" t="s">
        <v>649</v>
      </c>
      <c r="F85" s="32">
        <v>43202.0</v>
      </c>
      <c r="G85" s="32">
        <v>43263.0</v>
      </c>
      <c r="H85" s="31" t="s">
        <v>346</v>
      </c>
      <c r="I85" s="31" t="s">
        <v>101</v>
      </c>
      <c r="J85" s="31" t="s">
        <v>649</v>
      </c>
      <c r="K85" s="31" t="s">
        <v>650</v>
      </c>
      <c r="L85" s="31" t="s">
        <v>651</v>
      </c>
      <c r="M85" s="31" t="s">
        <v>773</v>
      </c>
      <c r="N85" s="31" t="s">
        <v>267</v>
      </c>
      <c r="O85" s="34"/>
      <c r="P85" s="31">
        <v>5.0</v>
      </c>
      <c r="Q85" s="31" t="s">
        <v>307</v>
      </c>
      <c r="R85" s="32">
        <v>35203.0</v>
      </c>
      <c r="S85" s="31" t="s">
        <v>774</v>
      </c>
      <c r="T85" s="31" t="s">
        <v>686</v>
      </c>
      <c r="U85" s="31" t="s">
        <v>361</v>
      </c>
      <c r="V85" s="34"/>
      <c r="W85" s="34"/>
    </row>
    <row r="86">
      <c r="A86" s="30">
        <v>81.0</v>
      </c>
      <c r="B86" s="31" t="s">
        <v>775</v>
      </c>
      <c r="C86" s="31" t="s">
        <v>776</v>
      </c>
      <c r="D86" s="31" t="s">
        <v>765</v>
      </c>
      <c r="E86" s="31" t="s">
        <v>766</v>
      </c>
      <c r="F86" s="32">
        <v>41745.0</v>
      </c>
      <c r="G86" s="32">
        <v>41806.0</v>
      </c>
      <c r="H86" s="31" t="s">
        <v>346</v>
      </c>
      <c r="I86" s="31" t="s">
        <v>263</v>
      </c>
      <c r="J86" s="31" t="s">
        <v>767</v>
      </c>
      <c r="K86" s="31" t="s">
        <v>768</v>
      </c>
      <c r="L86" s="31" t="s">
        <v>769</v>
      </c>
      <c r="M86" s="31" t="s">
        <v>777</v>
      </c>
      <c r="N86" s="31" t="s">
        <v>267</v>
      </c>
      <c r="O86" s="34"/>
      <c r="P86" s="31">
        <v>1.0</v>
      </c>
      <c r="Q86" s="31" t="s">
        <v>307</v>
      </c>
      <c r="R86" s="35">
        <v>33562.0</v>
      </c>
      <c r="S86" s="31" t="s">
        <v>631</v>
      </c>
      <c r="T86" s="31" t="s">
        <v>778</v>
      </c>
      <c r="U86" s="31" t="s">
        <v>361</v>
      </c>
      <c r="V86" s="31" t="s">
        <v>766</v>
      </c>
      <c r="W86" s="34"/>
    </row>
    <row r="87">
      <c r="A87" s="30">
        <v>82.0</v>
      </c>
      <c r="B87" s="31" t="s">
        <v>779</v>
      </c>
      <c r="C87" s="31" t="s">
        <v>780</v>
      </c>
      <c r="D87" s="31" t="s">
        <v>260</v>
      </c>
      <c r="E87" s="31" t="s">
        <v>747</v>
      </c>
      <c r="F87" s="32">
        <v>43915.0</v>
      </c>
      <c r="G87" s="32">
        <v>43976.0</v>
      </c>
      <c r="H87" s="31" t="s">
        <v>346</v>
      </c>
      <c r="I87" s="31" t="s">
        <v>263</v>
      </c>
      <c r="J87" s="31" t="s">
        <v>747</v>
      </c>
      <c r="K87" s="31" t="s">
        <v>748</v>
      </c>
      <c r="L87" s="31" t="s">
        <v>749</v>
      </c>
      <c r="M87" s="31" t="s">
        <v>781</v>
      </c>
      <c r="N87" s="31" t="s">
        <v>467</v>
      </c>
      <c r="O87" s="34"/>
      <c r="P87" s="31">
        <v>6.0</v>
      </c>
      <c r="Q87" s="31" t="s">
        <v>307</v>
      </c>
      <c r="R87" s="32">
        <v>34820.0</v>
      </c>
      <c r="S87" s="31" t="s">
        <v>782</v>
      </c>
      <c r="T87" s="31" t="s">
        <v>627</v>
      </c>
      <c r="U87" s="31" t="s">
        <v>361</v>
      </c>
      <c r="V87" s="34"/>
      <c r="W87" s="34"/>
    </row>
    <row r="88">
      <c r="A88" s="30">
        <v>83.0</v>
      </c>
      <c r="B88" s="31" t="s">
        <v>783</v>
      </c>
      <c r="C88" s="31" t="s">
        <v>784</v>
      </c>
      <c r="D88" s="31" t="s">
        <v>260</v>
      </c>
      <c r="E88" s="31" t="s">
        <v>547</v>
      </c>
      <c r="F88" s="32">
        <v>45174.0</v>
      </c>
      <c r="G88" s="32">
        <v>45234.0</v>
      </c>
      <c r="H88" s="31" t="s">
        <v>346</v>
      </c>
      <c r="I88" s="31" t="s">
        <v>263</v>
      </c>
      <c r="J88" s="31" t="s">
        <v>356</v>
      </c>
      <c r="K88" s="31" t="s">
        <v>548</v>
      </c>
      <c r="L88" s="31" t="s">
        <v>328</v>
      </c>
      <c r="M88" s="31" t="s">
        <v>785</v>
      </c>
      <c r="N88" s="31" t="s">
        <v>467</v>
      </c>
      <c r="O88" s="34"/>
      <c r="P88" s="31">
        <v>3.0</v>
      </c>
      <c r="Q88" s="31" t="s">
        <v>307</v>
      </c>
      <c r="R88" s="32">
        <v>37307.0</v>
      </c>
      <c r="S88" s="31" t="s">
        <v>433</v>
      </c>
      <c r="T88" s="31" t="s">
        <v>786</v>
      </c>
      <c r="U88" s="31" t="s">
        <v>361</v>
      </c>
      <c r="V88" s="31" t="s">
        <v>547</v>
      </c>
      <c r="W88" s="34"/>
    </row>
    <row r="89">
      <c r="A89" s="30">
        <v>84.0</v>
      </c>
      <c r="B89" s="31" t="s">
        <v>787</v>
      </c>
      <c r="C89" s="31" t="s">
        <v>788</v>
      </c>
      <c r="D89" s="31" t="s">
        <v>260</v>
      </c>
      <c r="E89" s="31" t="s">
        <v>540</v>
      </c>
      <c r="F89" s="32">
        <v>45132.0</v>
      </c>
      <c r="G89" s="32">
        <v>45192.0</v>
      </c>
      <c r="H89" s="31" t="s">
        <v>346</v>
      </c>
      <c r="I89" s="31" t="s">
        <v>263</v>
      </c>
      <c r="J89" s="31" t="s">
        <v>356</v>
      </c>
      <c r="K89" s="31" t="s">
        <v>541</v>
      </c>
      <c r="L89" s="31" t="s">
        <v>328</v>
      </c>
      <c r="M89" s="31" t="s">
        <v>789</v>
      </c>
      <c r="N89" s="31" t="s">
        <v>267</v>
      </c>
      <c r="O89" s="34"/>
      <c r="P89" s="31">
        <v>3.0</v>
      </c>
      <c r="Q89" s="31" t="s">
        <v>307</v>
      </c>
      <c r="R89" s="32">
        <v>36790.0</v>
      </c>
      <c r="S89" s="31" t="s">
        <v>631</v>
      </c>
      <c r="T89" s="31" t="s">
        <v>686</v>
      </c>
      <c r="U89" s="31" t="s">
        <v>361</v>
      </c>
      <c r="V89" s="31" t="s">
        <v>540</v>
      </c>
      <c r="W89" s="34"/>
    </row>
    <row r="90">
      <c r="A90" s="30">
        <v>85.0</v>
      </c>
      <c r="B90" s="31" t="s">
        <v>790</v>
      </c>
      <c r="C90" s="31" t="s">
        <v>791</v>
      </c>
      <c r="D90" s="31" t="s">
        <v>260</v>
      </c>
      <c r="E90" s="31" t="s">
        <v>355</v>
      </c>
      <c r="F90" s="32">
        <v>45117.0</v>
      </c>
      <c r="G90" s="32">
        <v>45177.0</v>
      </c>
      <c r="H90" s="31" t="s">
        <v>346</v>
      </c>
      <c r="I90" s="31" t="s">
        <v>263</v>
      </c>
      <c r="J90" s="31" t="s">
        <v>356</v>
      </c>
      <c r="K90" s="31" t="s">
        <v>357</v>
      </c>
      <c r="L90" s="31" t="s">
        <v>328</v>
      </c>
      <c r="M90" s="31" t="s">
        <v>792</v>
      </c>
      <c r="N90" s="31" t="s">
        <v>267</v>
      </c>
      <c r="O90" s="34"/>
      <c r="P90" s="31">
        <v>3.0</v>
      </c>
      <c r="Q90" s="31" t="s">
        <v>307</v>
      </c>
      <c r="R90" s="32">
        <v>35540.0</v>
      </c>
      <c r="S90" s="31" t="s">
        <v>286</v>
      </c>
      <c r="T90" s="31" t="s">
        <v>793</v>
      </c>
      <c r="U90" s="31" t="s">
        <v>361</v>
      </c>
      <c r="V90" s="31" t="s">
        <v>355</v>
      </c>
      <c r="W90" s="34"/>
    </row>
    <row r="91">
      <c r="A91" s="30">
        <v>86.0</v>
      </c>
      <c r="B91" s="31" t="s">
        <v>794</v>
      </c>
      <c r="C91" s="31" t="s">
        <v>795</v>
      </c>
      <c r="D91" s="31" t="s">
        <v>260</v>
      </c>
      <c r="E91" s="31" t="s">
        <v>124</v>
      </c>
      <c r="F91" s="32">
        <v>45096.0</v>
      </c>
      <c r="G91" s="32">
        <v>45156.0</v>
      </c>
      <c r="H91" s="31" t="s">
        <v>346</v>
      </c>
      <c r="I91" s="31" t="s">
        <v>263</v>
      </c>
      <c r="J91" s="31" t="s">
        <v>123</v>
      </c>
      <c r="K91" s="31" t="s">
        <v>535</v>
      </c>
      <c r="L91" s="31" t="s">
        <v>431</v>
      </c>
      <c r="M91" s="31" t="s">
        <v>796</v>
      </c>
      <c r="N91" s="31" t="s">
        <v>467</v>
      </c>
      <c r="O91" s="34"/>
      <c r="P91" s="31">
        <v>2.0</v>
      </c>
      <c r="Q91" s="31" t="s">
        <v>307</v>
      </c>
      <c r="R91" s="32">
        <v>36866.0</v>
      </c>
      <c r="S91" s="31" t="s">
        <v>681</v>
      </c>
      <c r="T91" s="31" t="s">
        <v>797</v>
      </c>
      <c r="U91" s="31" t="s">
        <v>361</v>
      </c>
      <c r="V91" s="31" t="s">
        <v>124</v>
      </c>
      <c r="W91" s="34"/>
    </row>
    <row r="92">
      <c r="A92" s="30">
        <v>87.0</v>
      </c>
      <c r="B92" s="31" t="s">
        <v>798</v>
      </c>
      <c r="C92" s="31" t="s">
        <v>799</v>
      </c>
      <c r="D92" s="31" t="s">
        <v>260</v>
      </c>
      <c r="E92" s="31" t="s">
        <v>124</v>
      </c>
      <c r="F92" s="32">
        <v>45079.0</v>
      </c>
      <c r="G92" s="32">
        <v>45139.0</v>
      </c>
      <c r="H92" s="31" t="s">
        <v>346</v>
      </c>
      <c r="I92" s="31" t="s">
        <v>263</v>
      </c>
      <c r="J92" s="31" t="s">
        <v>123</v>
      </c>
      <c r="K92" s="31" t="s">
        <v>535</v>
      </c>
      <c r="L92" s="31" t="s">
        <v>431</v>
      </c>
      <c r="M92" s="31" t="s">
        <v>800</v>
      </c>
      <c r="N92" s="31" t="s">
        <v>267</v>
      </c>
      <c r="O92" s="34"/>
      <c r="P92" s="31">
        <v>3.0</v>
      </c>
      <c r="Q92" s="31" t="s">
        <v>307</v>
      </c>
      <c r="R92" s="32">
        <v>37036.0</v>
      </c>
      <c r="S92" s="31" t="s">
        <v>737</v>
      </c>
      <c r="T92" s="31" t="s">
        <v>801</v>
      </c>
      <c r="U92" s="31" t="s">
        <v>361</v>
      </c>
      <c r="V92" s="31" t="s">
        <v>124</v>
      </c>
      <c r="W92" s="34"/>
    </row>
    <row r="93">
      <c r="A93" s="30">
        <v>88.0</v>
      </c>
      <c r="B93" s="31" t="s">
        <v>802</v>
      </c>
      <c r="C93" s="31" t="s">
        <v>546</v>
      </c>
      <c r="D93" s="31" t="s">
        <v>260</v>
      </c>
      <c r="E93" s="31" t="s">
        <v>540</v>
      </c>
      <c r="F93" s="32">
        <v>45013.0</v>
      </c>
      <c r="G93" s="32">
        <v>45074.0</v>
      </c>
      <c r="H93" s="31" t="s">
        <v>346</v>
      </c>
      <c r="I93" s="31" t="s">
        <v>263</v>
      </c>
      <c r="J93" s="31" t="s">
        <v>356</v>
      </c>
      <c r="K93" s="31" t="s">
        <v>541</v>
      </c>
      <c r="L93" s="31" t="s">
        <v>328</v>
      </c>
      <c r="M93" s="31" t="s">
        <v>803</v>
      </c>
      <c r="N93" s="31" t="s">
        <v>267</v>
      </c>
      <c r="O93" s="34"/>
      <c r="P93" s="31">
        <v>5.0</v>
      </c>
      <c r="Q93" s="31" t="s">
        <v>307</v>
      </c>
      <c r="R93" s="32">
        <v>36990.0</v>
      </c>
      <c r="S93" s="31" t="s">
        <v>804</v>
      </c>
      <c r="T93" s="31" t="s">
        <v>686</v>
      </c>
      <c r="U93" s="31" t="s">
        <v>361</v>
      </c>
      <c r="V93" s="31" t="s">
        <v>540</v>
      </c>
      <c r="W93" s="34"/>
    </row>
    <row r="94">
      <c r="A94" s="30">
        <v>89.0</v>
      </c>
      <c r="B94" s="31" t="s">
        <v>805</v>
      </c>
      <c r="C94" s="31" t="s">
        <v>806</v>
      </c>
      <c r="D94" s="31" t="s">
        <v>260</v>
      </c>
      <c r="E94" s="31" t="s">
        <v>547</v>
      </c>
      <c r="F94" s="32">
        <v>44978.0</v>
      </c>
      <c r="G94" s="32">
        <v>45037.0</v>
      </c>
      <c r="H94" s="31" t="s">
        <v>346</v>
      </c>
      <c r="I94" s="31" t="s">
        <v>263</v>
      </c>
      <c r="J94" s="31" t="s">
        <v>356</v>
      </c>
      <c r="K94" s="31" t="s">
        <v>548</v>
      </c>
      <c r="L94" s="31" t="s">
        <v>328</v>
      </c>
      <c r="M94" s="31" t="s">
        <v>807</v>
      </c>
      <c r="N94" s="31" t="s">
        <v>267</v>
      </c>
      <c r="O94" s="34"/>
      <c r="P94" s="31">
        <v>5.0</v>
      </c>
      <c r="Q94" s="31" t="s">
        <v>307</v>
      </c>
      <c r="R94" s="32">
        <v>36987.0</v>
      </c>
      <c r="S94" s="31" t="s">
        <v>433</v>
      </c>
      <c r="T94" s="31" t="s">
        <v>808</v>
      </c>
      <c r="U94" s="31" t="s">
        <v>361</v>
      </c>
      <c r="V94" s="31" t="s">
        <v>547</v>
      </c>
      <c r="W94" s="34"/>
    </row>
    <row r="95">
      <c r="A95" s="30">
        <v>90.0</v>
      </c>
      <c r="B95" s="31" t="s">
        <v>809</v>
      </c>
      <c r="C95" s="31" t="s">
        <v>810</v>
      </c>
      <c r="D95" s="31" t="s">
        <v>260</v>
      </c>
      <c r="E95" s="31" t="s">
        <v>547</v>
      </c>
      <c r="F95" s="32">
        <v>44978.0</v>
      </c>
      <c r="G95" s="32">
        <v>45037.0</v>
      </c>
      <c r="H95" s="31" t="s">
        <v>346</v>
      </c>
      <c r="I95" s="31" t="s">
        <v>263</v>
      </c>
      <c r="J95" s="31" t="s">
        <v>356</v>
      </c>
      <c r="K95" s="31" t="s">
        <v>548</v>
      </c>
      <c r="L95" s="31" t="s">
        <v>328</v>
      </c>
      <c r="M95" s="31" t="s">
        <v>811</v>
      </c>
      <c r="N95" s="31" t="s">
        <v>267</v>
      </c>
      <c r="O95" s="34"/>
      <c r="P95" s="31">
        <v>3.0</v>
      </c>
      <c r="Q95" s="31" t="s">
        <v>307</v>
      </c>
      <c r="R95" s="32">
        <v>37030.0</v>
      </c>
      <c r="S95" s="31" t="s">
        <v>626</v>
      </c>
      <c r="T95" s="31" t="s">
        <v>812</v>
      </c>
      <c r="U95" s="31" t="s">
        <v>361</v>
      </c>
      <c r="V95" s="31" t="s">
        <v>547</v>
      </c>
      <c r="W95" s="34"/>
    </row>
    <row r="96">
      <c r="A96" s="30">
        <v>91.0</v>
      </c>
      <c r="B96" s="31" t="s">
        <v>813</v>
      </c>
      <c r="C96" s="31" t="s">
        <v>435</v>
      </c>
      <c r="D96" s="31" t="s">
        <v>260</v>
      </c>
      <c r="E96" s="31" t="s">
        <v>540</v>
      </c>
      <c r="F96" s="32">
        <v>44771.0</v>
      </c>
      <c r="G96" s="32">
        <v>44833.0</v>
      </c>
      <c r="H96" s="31" t="s">
        <v>346</v>
      </c>
      <c r="I96" s="31" t="s">
        <v>263</v>
      </c>
      <c r="J96" s="31" t="s">
        <v>356</v>
      </c>
      <c r="K96" s="31" t="s">
        <v>541</v>
      </c>
      <c r="L96" s="31" t="s">
        <v>328</v>
      </c>
      <c r="M96" s="31" t="s">
        <v>814</v>
      </c>
      <c r="N96" s="31" t="s">
        <v>267</v>
      </c>
      <c r="O96" s="34"/>
      <c r="P96" s="31">
        <v>5.0</v>
      </c>
      <c r="Q96" s="31" t="s">
        <v>307</v>
      </c>
      <c r="R96" s="32">
        <v>36656.0</v>
      </c>
      <c r="S96" s="31" t="s">
        <v>815</v>
      </c>
      <c r="T96" s="31" t="s">
        <v>686</v>
      </c>
      <c r="U96" s="31" t="s">
        <v>361</v>
      </c>
      <c r="V96" s="31" t="s">
        <v>540</v>
      </c>
      <c r="W96" s="34"/>
    </row>
    <row r="97">
      <c r="A97" s="30">
        <v>92.0</v>
      </c>
      <c r="B97" s="31" t="s">
        <v>816</v>
      </c>
      <c r="C97" s="31" t="s">
        <v>817</v>
      </c>
      <c r="D97" s="31" t="s">
        <v>260</v>
      </c>
      <c r="E97" s="31" t="s">
        <v>355</v>
      </c>
      <c r="F97" s="32">
        <v>44659.0</v>
      </c>
      <c r="G97" s="32">
        <v>44720.0</v>
      </c>
      <c r="H97" s="31" t="s">
        <v>346</v>
      </c>
      <c r="I97" s="31" t="s">
        <v>263</v>
      </c>
      <c r="J97" s="31" t="s">
        <v>356</v>
      </c>
      <c r="K97" s="31" t="s">
        <v>357</v>
      </c>
      <c r="L97" s="31" t="s">
        <v>328</v>
      </c>
      <c r="M97" s="31" t="s">
        <v>818</v>
      </c>
      <c r="N97" s="31" t="s">
        <v>267</v>
      </c>
      <c r="O97" s="34"/>
      <c r="P97" s="31">
        <v>6.0</v>
      </c>
      <c r="Q97" s="31" t="s">
        <v>307</v>
      </c>
      <c r="R97" s="35">
        <v>36455.0</v>
      </c>
      <c r="S97" s="31" t="s">
        <v>531</v>
      </c>
      <c r="T97" s="31" t="s">
        <v>503</v>
      </c>
      <c r="U97" s="31" t="s">
        <v>361</v>
      </c>
      <c r="V97" s="31" t="s">
        <v>355</v>
      </c>
      <c r="W97" s="34"/>
    </row>
    <row r="98">
      <c r="A98" s="30">
        <v>93.0</v>
      </c>
      <c r="B98" s="31" t="s">
        <v>819</v>
      </c>
      <c r="C98" s="31" t="s">
        <v>820</v>
      </c>
      <c r="D98" s="31" t="s">
        <v>260</v>
      </c>
      <c r="E98" s="31" t="s">
        <v>540</v>
      </c>
      <c r="F98" s="32">
        <v>43777.0</v>
      </c>
      <c r="G98" s="32">
        <v>43838.0</v>
      </c>
      <c r="H98" s="31" t="s">
        <v>346</v>
      </c>
      <c r="I98" s="31" t="s">
        <v>263</v>
      </c>
      <c r="J98" s="31" t="s">
        <v>356</v>
      </c>
      <c r="K98" s="31" t="s">
        <v>541</v>
      </c>
      <c r="L98" s="31" t="s">
        <v>328</v>
      </c>
      <c r="M98" s="31" t="s">
        <v>821</v>
      </c>
      <c r="N98" s="31" t="s">
        <v>467</v>
      </c>
      <c r="O98" s="34"/>
      <c r="P98" s="31">
        <v>7.0</v>
      </c>
      <c r="Q98" s="31" t="s">
        <v>307</v>
      </c>
      <c r="R98" s="32">
        <v>34786.0</v>
      </c>
      <c r="S98" s="31" t="s">
        <v>822</v>
      </c>
      <c r="T98" s="31" t="s">
        <v>823</v>
      </c>
      <c r="U98" s="31" t="s">
        <v>361</v>
      </c>
      <c r="V98" s="31" t="s">
        <v>540</v>
      </c>
      <c r="W98" s="34"/>
    </row>
    <row r="99">
      <c r="A99" s="30">
        <v>94.0</v>
      </c>
      <c r="B99" s="31" t="s">
        <v>824</v>
      </c>
      <c r="C99" s="31" t="s">
        <v>825</v>
      </c>
      <c r="D99" s="31" t="s">
        <v>260</v>
      </c>
      <c r="E99" s="31" t="s">
        <v>547</v>
      </c>
      <c r="F99" s="32">
        <v>44292.0</v>
      </c>
      <c r="G99" s="32">
        <v>44353.0</v>
      </c>
      <c r="H99" s="31" t="s">
        <v>346</v>
      </c>
      <c r="I99" s="31" t="s">
        <v>263</v>
      </c>
      <c r="J99" s="31" t="s">
        <v>356</v>
      </c>
      <c r="K99" s="31" t="s">
        <v>548</v>
      </c>
      <c r="L99" s="31" t="s">
        <v>328</v>
      </c>
      <c r="M99" s="31" t="s">
        <v>826</v>
      </c>
      <c r="N99" s="31" t="s">
        <v>267</v>
      </c>
      <c r="O99" s="34"/>
      <c r="P99" s="31">
        <v>5.0</v>
      </c>
      <c r="Q99" s="31" t="s">
        <v>307</v>
      </c>
      <c r="R99" s="32">
        <v>35160.0</v>
      </c>
      <c r="S99" s="31" t="s">
        <v>827</v>
      </c>
      <c r="T99" s="31" t="s">
        <v>828</v>
      </c>
      <c r="U99" s="31" t="s">
        <v>361</v>
      </c>
      <c r="V99" s="31" t="s">
        <v>547</v>
      </c>
      <c r="W99" s="34"/>
    </row>
    <row r="100">
      <c r="A100" s="30">
        <v>95.0</v>
      </c>
      <c r="B100" s="31" t="s">
        <v>829</v>
      </c>
      <c r="C100" s="31" t="s">
        <v>830</v>
      </c>
      <c r="D100" s="31" t="s">
        <v>260</v>
      </c>
      <c r="E100" s="31" t="s">
        <v>125</v>
      </c>
      <c r="F100" s="32">
        <v>44274.0</v>
      </c>
      <c r="G100" s="32">
        <v>44335.0</v>
      </c>
      <c r="H100" s="31" t="s">
        <v>346</v>
      </c>
      <c r="I100" s="31" t="s">
        <v>263</v>
      </c>
      <c r="J100" s="31" t="s">
        <v>123</v>
      </c>
      <c r="K100" s="31" t="s">
        <v>430</v>
      </c>
      <c r="L100" s="31" t="s">
        <v>431</v>
      </c>
      <c r="M100" s="31" t="s">
        <v>831</v>
      </c>
      <c r="N100" s="31" t="s">
        <v>267</v>
      </c>
      <c r="O100" s="34"/>
      <c r="P100" s="31">
        <v>6.0</v>
      </c>
      <c r="Q100" s="31" t="s">
        <v>307</v>
      </c>
      <c r="R100" s="32">
        <v>36183.0</v>
      </c>
      <c r="S100" s="31" t="s">
        <v>774</v>
      </c>
      <c r="T100" s="31" t="s">
        <v>686</v>
      </c>
      <c r="U100" s="31" t="s">
        <v>361</v>
      </c>
      <c r="V100" s="31" t="s">
        <v>125</v>
      </c>
      <c r="W100" s="34"/>
    </row>
    <row r="101">
      <c r="A101" s="30">
        <v>96.0</v>
      </c>
      <c r="B101" s="31" t="s">
        <v>832</v>
      </c>
      <c r="C101" s="31" t="s">
        <v>833</v>
      </c>
      <c r="D101" s="31" t="s">
        <v>260</v>
      </c>
      <c r="E101" s="31" t="s">
        <v>355</v>
      </c>
      <c r="F101" s="32">
        <v>43738.0</v>
      </c>
      <c r="G101" s="35">
        <v>43799.0</v>
      </c>
      <c r="H101" s="31" t="s">
        <v>346</v>
      </c>
      <c r="I101" s="31" t="s">
        <v>263</v>
      </c>
      <c r="J101" s="31" t="s">
        <v>356</v>
      </c>
      <c r="K101" s="31" t="s">
        <v>357</v>
      </c>
      <c r="L101" s="31" t="s">
        <v>328</v>
      </c>
      <c r="M101" s="31" t="s">
        <v>834</v>
      </c>
      <c r="N101" s="31" t="s">
        <v>267</v>
      </c>
      <c r="O101" s="34"/>
      <c r="P101" s="31">
        <v>5.0</v>
      </c>
      <c r="Q101" s="31" t="s">
        <v>307</v>
      </c>
      <c r="R101" s="32">
        <v>35600.0</v>
      </c>
      <c r="S101" s="31" t="s">
        <v>737</v>
      </c>
      <c r="T101" s="31" t="s">
        <v>686</v>
      </c>
      <c r="U101" s="31" t="s">
        <v>361</v>
      </c>
      <c r="V101" s="31" t="s">
        <v>355</v>
      </c>
      <c r="W101" s="34"/>
    </row>
    <row r="102">
      <c r="A102" s="30">
        <v>97.0</v>
      </c>
      <c r="B102" s="31" t="s">
        <v>835</v>
      </c>
      <c r="C102" s="31" t="s">
        <v>836</v>
      </c>
      <c r="D102" s="31" t="s">
        <v>260</v>
      </c>
      <c r="E102" s="31" t="s">
        <v>547</v>
      </c>
      <c r="F102" s="32">
        <v>44994.0</v>
      </c>
      <c r="G102" s="32">
        <v>45055.0</v>
      </c>
      <c r="H102" s="31" t="s">
        <v>346</v>
      </c>
      <c r="I102" s="31" t="s">
        <v>263</v>
      </c>
      <c r="J102" s="31" t="s">
        <v>356</v>
      </c>
      <c r="K102" s="31" t="s">
        <v>548</v>
      </c>
      <c r="L102" s="31" t="s">
        <v>328</v>
      </c>
      <c r="M102" s="31" t="s">
        <v>837</v>
      </c>
      <c r="N102" s="31" t="s">
        <v>267</v>
      </c>
      <c r="O102" s="34"/>
      <c r="P102" s="31">
        <v>5.0</v>
      </c>
      <c r="Q102" s="31" t="s">
        <v>307</v>
      </c>
      <c r="R102" s="32">
        <v>35479.0</v>
      </c>
      <c r="S102" s="31" t="s">
        <v>838</v>
      </c>
      <c r="T102" s="31" t="s">
        <v>839</v>
      </c>
      <c r="U102" s="31" t="s">
        <v>361</v>
      </c>
      <c r="V102" s="31" t="s">
        <v>547</v>
      </c>
      <c r="W102" s="34"/>
    </row>
    <row r="103">
      <c r="A103" s="30">
        <v>98.0</v>
      </c>
      <c r="B103" s="31" t="s">
        <v>840</v>
      </c>
      <c r="C103" s="31" t="s">
        <v>841</v>
      </c>
      <c r="D103" s="31" t="s">
        <v>260</v>
      </c>
      <c r="E103" s="31" t="s">
        <v>355</v>
      </c>
      <c r="F103" s="32">
        <v>44980.0</v>
      </c>
      <c r="G103" s="32">
        <v>45039.0</v>
      </c>
      <c r="H103" s="31" t="s">
        <v>346</v>
      </c>
      <c r="I103" s="31" t="s">
        <v>263</v>
      </c>
      <c r="J103" s="31" t="s">
        <v>356</v>
      </c>
      <c r="K103" s="31" t="s">
        <v>357</v>
      </c>
      <c r="L103" s="31" t="s">
        <v>328</v>
      </c>
      <c r="M103" s="31" t="s">
        <v>842</v>
      </c>
      <c r="N103" s="31" t="s">
        <v>267</v>
      </c>
      <c r="O103" s="34"/>
      <c r="P103" s="31">
        <v>5.0</v>
      </c>
      <c r="Q103" s="31" t="s">
        <v>307</v>
      </c>
      <c r="R103" s="32">
        <v>35505.0</v>
      </c>
      <c r="S103" s="31" t="s">
        <v>733</v>
      </c>
      <c r="T103" s="31" t="s">
        <v>686</v>
      </c>
      <c r="U103" s="31" t="s">
        <v>361</v>
      </c>
      <c r="V103" s="31" t="s">
        <v>355</v>
      </c>
      <c r="W103" s="34"/>
    </row>
    <row r="104">
      <c r="A104" s="30">
        <v>99.0</v>
      </c>
      <c r="B104" s="31" t="s">
        <v>843</v>
      </c>
      <c r="C104" s="31" t="s">
        <v>844</v>
      </c>
      <c r="D104" s="31" t="s">
        <v>260</v>
      </c>
      <c r="E104" s="31" t="s">
        <v>355</v>
      </c>
      <c r="F104" s="35">
        <v>43809.0</v>
      </c>
      <c r="G104" s="32">
        <v>43871.0</v>
      </c>
      <c r="H104" s="31" t="s">
        <v>346</v>
      </c>
      <c r="I104" s="31" t="s">
        <v>263</v>
      </c>
      <c r="J104" s="31" t="s">
        <v>356</v>
      </c>
      <c r="K104" s="31" t="s">
        <v>357</v>
      </c>
      <c r="L104" s="31" t="s">
        <v>328</v>
      </c>
      <c r="M104" s="31" t="s">
        <v>845</v>
      </c>
      <c r="N104" s="31" t="s">
        <v>467</v>
      </c>
      <c r="O104" s="34"/>
      <c r="P104" s="31">
        <v>10.0</v>
      </c>
      <c r="Q104" s="31" t="s">
        <v>307</v>
      </c>
      <c r="R104" s="32">
        <v>35665.0</v>
      </c>
      <c r="S104" s="31" t="s">
        <v>846</v>
      </c>
      <c r="T104" s="31" t="s">
        <v>686</v>
      </c>
      <c r="U104" s="31" t="s">
        <v>361</v>
      </c>
      <c r="V104" s="31" t="s">
        <v>355</v>
      </c>
      <c r="W104" s="34"/>
    </row>
    <row r="105">
      <c r="A105" s="30">
        <v>100.0</v>
      </c>
      <c r="B105" s="31" t="s">
        <v>847</v>
      </c>
      <c r="C105" s="31" t="s">
        <v>848</v>
      </c>
      <c r="D105" s="31" t="s">
        <v>260</v>
      </c>
      <c r="E105" s="31" t="s">
        <v>355</v>
      </c>
      <c r="F105" s="32">
        <v>43610.0</v>
      </c>
      <c r="G105" s="32">
        <v>43671.0</v>
      </c>
      <c r="H105" s="31" t="s">
        <v>346</v>
      </c>
      <c r="I105" s="31" t="s">
        <v>263</v>
      </c>
      <c r="J105" s="31" t="s">
        <v>356</v>
      </c>
      <c r="K105" s="31" t="s">
        <v>357</v>
      </c>
      <c r="L105" s="31" t="s">
        <v>328</v>
      </c>
      <c r="M105" s="31" t="s">
        <v>849</v>
      </c>
      <c r="N105" s="31" t="s">
        <v>267</v>
      </c>
      <c r="O105" s="34"/>
      <c r="P105" s="31">
        <v>4.0</v>
      </c>
      <c r="Q105" s="31" t="s">
        <v>307</v>
      </c>
      <c r="R105" s="32">
        <v>35446.0</v>
      </c>
      <c r="S105" s="31" t="s">
        <v>700</v>
      </c>
      <c r="T105" s="31" t="s">
        <v>503</v>
      </c>
      <c r="U105" s="31" t="s">
        <v>361</v>
      </c>
      <c r="V105" s="31" t="s">
        <v>355</v>
      </c>
      <c r="W105" s="34"/>
    </row>
    <row r="106">
      <c r="A106" s="30">
        <v>101.0</v>
      </c>
      <c r="B106" s="31" t="s">
        <v>850</v>
      </c>
      <c r="C106" s="31" t="s">
        <v>851</v>
      </c>
      <c r="D106" s="31" t="s">
        <v>260</v>
      </c>
      <c r="E106" s="31" t="s">
        <v>540</v>
      </c>
      <c r="F106" s="32">
        <v>43777.0</v>
      </c>
      <c r="G106" s="32">
        <v>43838.0</v>
      </c>
      <c r="H106" s="31" t="s">
        <v>346</v>
      </c>
      <c r="I106" s="31" t="s">
        <v>263</v>
      </c>
      <c r="J106" s="31" t="s">
        <v>356</v>
      </c>
      <c r="K106" s="31" t="s">
        <v>541</v>
      </c>
      <c r="L106" s="31" t="s">
        <v>328</v>
      </c>
      <c r="M106" s="31" t="s">
        <v>852</v>
      </c>
      <c r="N106" s="31" t="s">
        <v>267</v>
      </c>
      <c r="O106" s="34"/>
      <c r="P106" s="31">
        <v>4.0</v>
      </c>
      <c r="Q106" s="31" t="s">
        <v>307</v>
      </c>
      <c r="R106" s="32">
        <v>34948.0</v>
      </c>
      <c r="S106" s="31" t="s">
        <v>853</v>
      </c>
      <c r="T106" s="31" t="s">
        <v>854</v>
      </c>
      <c r="U106" s="31" t="s">
        <v>361</v>
      </c>
      <c r="V106" s="31" t="s">
        <v>540</v>
      </c>
      <c r="W106" s="34"/>
    </row>
    <row r="107">
      <c r="A107" s="30">
        <v>102.0</v>
      </c>
      <c r="B107" s="31" t="s">
        <v>855</v>
      </c>
      <c r="C107" s="31" t="s">
        <v>856</v>
      </c>
      <c r="D107" s="31" t="s">
        <v>260</v>
      </c>
      <c r="E107" s="31" t="s">
        <v>547</v>
      </c>
      <c r="F107" s="35">
        <v>43762.0</v>
      </c>
      <c r="G107" s="35">
        <v>43823.0</v>
      </c>
      <c r="H107" s="31" t="s">
        <v>346</v>
      </c>
      <c r="I107" s="31" t="s">
        <v>263</v>
      </c>
      <c r="J107" s="31" t="s">
        <v>356</v>
      </c>
      <c r="K107" s="31" t="s">
        <v>548</v>
      </c>
      <c r="L107" s="31" t="s">
        <v>328</v>
      </c>
      <c r="M107" s="31" t="s">
        <v>857</v>
      </c>
      <c r="N107" s="31" t="s">
        <v>267</v>
      </c>
      <c r="O107" s="34"/>
      <c r="P107" s="31">
        <v>4.0</v>
      </c>
      <c r="Q107" s="31" t="s">
        <v>307</v>
      </c>
      <c r="R107" s="32">
        <v>34895.0</v>
      </c>
      <c r="S107" s="31" t="s">
        <v>626</v>
      </c>
      <c r="T107" s="31" t="s">
        <v>686</v>
      </c>
      <c r="U107" s="31" t="s">
        <v>361</v>
      </c>
      <c r="V107" s="31" t="s">
        <v>547</v>
      </c>
      <c r="W107" s="34"/>
    </row>
    <row r="108">
      <c r="A108" s="30">
        <v>103.0</v>
      </c>
      <c r="B108" s="31" t="s">
        <v>858</v>
      </c>
      <c r="C108" s="31" t="s">
        <v>859</v>
      </c>
      <c r="D108" s="31" t="s">
        <v>260</v>
      </c>
      <c r="E108" s="31" t="s">
        <v>125</v>
      </c>
      <c r="F108" s="32">
        <v>43640.0</v>
      </c>
      <c r="G108" s="32">
        <v>43701.0</v>
      </c>
      <c r="H108" s="31" t="s">
        <v>346</v>
      </c>
      <c r="I108" s="31" t="s">
        <v>263</v>
      </c>
      <c r="J108" s="31" t="s">
        <v>123</v>
      </c>
      <c r="K108" s="31" t="s">
        <v>430</v>
      </c>
      <c r="L108" s="31" t="s">
        <v>431</v>
      </c>
      <c r="M108" s="31" t="s">
        <v>860</v>
      </c>
      <c r="N108" s="31" t="s">
        <v>267</v>
      </c>
      <c r="O108" s="34"/>
      <c r="P108" s="31">
        <v>1.0</v>
      </c>
      <c r="Q108" s="31" t="s">
        <v>307</v>
      </c>
      <c r="R108" s="35">
        <v>35721.0</v>
      </c>
      <c r="S108" s="31" t="s">
        <v>531</v>
      </c>
      <c r="T108" s="31" t="s">
        <v>686</v>
      </c>
      <c r="U108" s="31" t="s">
        <v>361</v>
      </c>
      <c r="V108" s="31" t="s">
        <v>125</v>
      </c>
      <c r="W108" s="34"/>
    </row>
    <row r="109">
      <c r="A109" s="30">
        <v>104.0</v>
      </c>
      <c r="B109" s="31" t="s">
        <v>861</v>
      </c>
      <c r="C109" s="31" t="s">
        <v>862</v>
      </c>
      <c r="D109" s="31" t="s">
        <v>260</v>
      </c>
      <c r="E109" s="31" t="s">
        <v>355</v>
      </c>
      <c r="F109" s="32">
        <v>43915.0</v>
      </c>
      <c r="G109" s="32">
        <v>43976.0</v>
      </c>
      <c r="H109" s="31" t="s">
        <v>346</v>
      </c>
      <c r="I109" s="31" t="s">
        <v>263</v>
      </c>
      <c r="J109" s="31" t="s">
        <v>356</v>
      </c>
      <c r="K109" s="31" t="s">
        <v>357</v>
      </c>
      <c r="L109" s="31" t="s">
        <v>328</v>
      </c>
      <c r="M109" s="31" t="s">
        <v>863</v>
      </c>
      <c r="N109" s="31" t="s">
        <v>267</v>
      </c>
      <c r="O109" s="34"/>
      <c r="P109" s="31">
        <v>6.0</v>
      </c>
      <c r="Q109" s="31" t="s">
        <v>307</v>
      </c>
      <c r="R109" s="32">
        <v>34895.0</v>
      </c>
      <c r="S109" s="31" t="s">
        <v>864</v>
      </c>
      <c r="T109" s="31" t="s">
        <v>865</v>
      </c>
      <c r="U109" s="31" t="s">
        <v>361</v>
      </c>
      <c r="V109" s="31" t="s">
        <v>355</v>
      </c>
      <c r="W109" s="34"/>
    </row>
    <row r="110">
      <c r="A110" s="30">
        <v>105.0</v>
      </c>
      <c r="B110" s="31" t="s">
        <v>866</v>
      </c>
      <c r="C110" s="31" t="s">
        <v>867</v>
      </c>
      <c r="D110" s="31" t="s">
        <v>260</v>
      </c>
      <c r="E110" s="31" t="s">
        <v>547</v>
      </c>
      <c r="F110" s="32">
        <v>44298.0</v>
      </c>
      <c r="G110" s="32">
        <v>44359.0</v>
      </c>
      <c r="H110" s="31" t="s">
        <v>346</v>
      </c>
      <c r="I110" s="31" t="s">
        <v>263</v>
      </c>
      <c r="J110" s="31" t="s">
        <v>356</v>
      </c>
      <c r="K110" s="31" t="s">
        <v>548</v>
      </c>
      <c r="L110" s="31" t="s">
        <v>328</v>
      </c>
      <c r="M110" s="31" t="s">
        <v>868</v>
      </c>
      <c r="N110" s="31" t="s">
        <v>267</v>
      </c>
      <c r="O110" s="34"/>
      <c r="P110" s="31">
        <v>10.0</v>
      </c>
      <c r="Q110" s="31" t="s">
        <v>307</v>
      </c>
      <c r="R110" s="35">
        <v>36513.0</v>
      </c>
      <c r="S110" s="31" t="s">
        <v>869</v>
      </c>
      <c r="T110" s="31" t="s">
        <v>870</v>
      </c>
      <c r="U110" s="31" t="s">
        <v>361</v>
      </c>
      <c r="V110" s="31" t="s">
        <v>547</v>
      </c>
      <c r="W110" s="34"/>
    </row>
    <row r="111">
      <c r="A111" s="30">
        <v>106.0</v>
      </c>
      <c r="B111" s="31" t="s">
        <v>871</v>
      </c>
      <c r="C111" s="31" t="s">
        <v>872</v>
      </c>
      <c r="D111" s="31" t="s">
        <v>260</v>
      </c>
      <c r="E111" s="31" t="s">
        <v>124</v>
      </c>
      <c r="F111" s="32">
        <v>44245.0</v>
      </c>
      <c r="G111" s="32">
        <v>44304.0</v>
      </c>
      <c r="H111" s="31" t="s">
        <v>346</v>
      </c>
      <c r="I111" s="31" t="s">
        <v>263</v>
      </c>
      <c r="J111" s="31" t="s">
        <v>123</v>
      </c>
      <c r="K111" s="31" t="s">
        <v>535</v>
      </c>
      <c r="L111" s="31" t="s">
        <v>431</v>
      </c>
      <c r="M111" s="31" t="s">
        <v>873</v>
      </c>
      <c r="N111" s="31" t="s">
        <v>267</v>
      </c>
      <c r="O111" s="34"/>
      <c r="P111" s="31">
        <v>5.0</v>
      </c>
      <c r="Q111" s="31" t="s">
        <v>307</v>
      </c>
      <c r="R111" s="32">
        <v>36348.0</v>
      </c>
      <c r="S111" s="31" t="s">
        <v>874</v>
      </c>
      <c r="T111" s="31" t="s">
        <v>870</v>
      </c>
      <c r="U111" s="31" t="s">
        <v>361</v>
      </c>
      <c r="V111" s="31" t="s">
        <v>124</v>
      </c>
      <c r="W111" s="34"/>
    </row>
    <row r="112">
      <c r="A112" s="30">
        <v>107.0</v>
      </c>
      <c r="B112" s="31" t="s">
        <v>875</v>
      </c>
      <c r="C112" s="31" t="s">
        <v>862</v>
      </c>
      <c r="D112" s="31" t="s">
        <v>876</v>
      </c>
      <c r="E112" s="31" t="s">
        <v>125</v>
      </c>
      <c r="F112" s="35">
        <v>43080.0</v>
      </c>
      <c r="G112" s="32">
        <v>43143.0</v>
      </c>
      <c r="H112" s="31" t="s">
        <v>346</v>
      </c>
      <c r="I112" s="31" t="s">
        <v>263</v>
      </c>
      <c r="J112" s="31" t="s">
        <v>123</v>
      </c>
      <c r="K112" s="31" t="s">
        <v>430</v>
      </c>
      <c r="L112" s="31" t="s">
        <v>877</v>
      </c>
      <c r="M112" s="31" t="s">
        <v>878</v>
      </c>
      <c r="N112" s="31" t="s">
        <v>267</v>
      </c>
      <c r="O112" s="31">
        <v>2.0</v>
      </c>
      <c r="P112" s="31">
        <v>2.0</v>
      </c>
      <c r="Q112" s="31" t="s">
        <v>307</v>
      </c>
      <c r="R112" s="32">
        <v>33750.0</v>
      </c>
      <c r="S112" s="31" t="s">
        <v>433</v>
      </c>
      <c r="T112" s="31" t="s">
        <v>778</v>
      </c>
      <c r="U112" s="31" t="s">
        <v>361</v>
      </c>
      <c r="V112" s="31" t="s">
        <v>125</v>
      </c>
      <c r="W112" s="34"/>
    </row>
    <row r="113">
      <c r="A113" s="30">
        <v>108.0</v>
      </c>
      <c r="B113" s="31" t="s">
        <v>879</v>
      </c>
      <c r="C113" s="31" t="s">
        <v>880</v>
      </c>
      <c r="D113" s="31" t="s">
        <v>260</v>
      </c>
      <c r="E113" s="31" t="s">
        <v>124</v>
      </c>
      <c r="F113" s="35">
        <v>44131.0</v>
      </c>
      <c r="G113" s="35">
        <v>44192.0</v>
      </c>
      <c r="H113" s="31" t="s">
        <v>346</v>
      </c>
      <c r="I113" s="31" t="s">
        <v>263</v>
      </c>
      <c r="J113" s="31" t="s">
        <v>123</v>
      </c>
      <c r="K113" s="31" t="s">
        <v>535</v>
      </c>
      <c r="L113" s="31" t="s">
        <v>431</v>
      </c>
      <c r="M113" s="31" t="s">
        <v>881</v>
      </c>
      <c r="N113" s="31" t="s">
        <v>467</v>
      </c>
      <c r="O113" s="34"/>
      <c r="P113" s="31">
        <v>4.0</v>
      </c>
      <c r="Q113" s="31" t="s">
        <v>307</v>
      </c>
      <c r="R113" s="32">
        <v>34775.0</v>
      </c>
      <c r="S113" s="31" t="s">
        <v>531</v>
      </c>
      <c r="T113" s="31" t="s">
        <v>882</v>
      </c>
      <c r="U113" s="31" t="s">
        <v>361</v>
      </c>
      <c r="V113" s="31" t="s">
        <v>124</v>
      </c>
      <c r="W113" s="34"/>
    </row>
    <row r="114">
      <c r="A114" s="30">
        <v>109.0</v>
      </c>
      <c r="B114" s="31" t="s">
        <v>883</v>
      </c>
      <c r="C114" s="31" t="s">
        <v>884</v>
      </c>
      <c r="D114" s="31" t="s">
        <v>876</v>
      </c>
      <c r="E114" s="31" t="s">
        <v>547</v>
      </c>
      <c r="F114" s="32">
        <v>42961.0</v>
      </c>
      <c r="G114" s="35">
        <v>43022.0</v>
      </c>
      <c r="H114" s="31" t="s">
        <v>346</v>
      </c>
      <c r="I114" s="31" t="s">
        <v>263</v>
      </c>
      <c r="J114" s="31" t="s">
        <v>356</v>
      </c>
      <c r="K114" s="31" t="s">
        <v>548</v>
      </c>
      <c r="L114" s="31" t="s">
        <v>885</v>
      </c>
      <c r="M114" s="31" t="s">
        <v>886</v>
      </c>
      <c r="N114" s="31" t="s">
        <v>267</v>
      </c>
      <c r="O114" s="31">
        <v>2.0</v>
      </c>
      <c r="P114" s="31">
        <v>3.0</v>
      </c>
      <c r="Q114" s="31" t="s">
        <v>307</v>
      </c>
      <c r="R114" s="35">
        <v>35044.0</v>
      </c>
      <c r="S114" s="31" t="s">
        <v>681</v>
      </c>
      <c r="T114" s="31" t="s">
        <v>686</v>
      </c>
      <c r="U114" s="31" t="s">
        <v>361</v>
      </c>
      <c r="V114" s="31" t="s">
        <v>547</v>
      </c>
      <c r="W114" s="34"/>
    </row>
    <row r="115">
      <c r="A115" s="30">
        <v>110.0</v>
      </c>
      <c r="B115" s="31" t="s">
        <v>887</v>
      </c>
      <c r="C115" s="31" t="s">
        <v>888</v>
      </c>
      <c r="D115" s="31" t="s">
        <v>260</v>
      </c>
      <c r="E115" s="31" t="s">
        <v>889</v>
      </c>
      <c r="F115" s="32">
        <v>45038.0</v>
      </c>
      <c r="G115" s="32">
        <v>45099.0</v>
      </c>
      <c r="H115" s="31" t="s">
        <v>346</v>
      </c>
      <c r="I115" s="31" t="s">
        <v>93</v>
      </c>
      <c r="J115" s="31" t="s">
        <v>889</v>
      </c>
      <c r="K115" s="31" t="s">
        <v>890</v>
      </c>
      <c r="L115" s="31" t="s">
        <v>891</v>
      </c>
      <c r="M115" s="31" t="s">
        <v>892</v>
      </c>
      <c r="N115" s="31" t="s">
        <v>267</v>
      </c>
      <c r="O115" s="34"/>
      <c r="P115" s="31">
        <v>2.0</v>
      </c>
      <c r="Q115" s="31" t="s">
        <v>307</v>
      </c>
      <c r="R115" s="32">
        <v>36671.0</v>
      </c>
      <c r="S115" s="31" t="s">
        <v>893</v>
      </c>
      <c r="T115" s="31" t="s">
        <v>894</v>
      </c>
      <c r="U115" s="31" t="s">
        <v>352</v>
      </c>
      <c r="V115" s="34"/>
      <c r="W115" s="34"/>
    </row>
    <row r="116">
      <c r="A116" s="30">
        <v>111.0</v>
      </c>
      <c r="B116" s="31" t="s">
        <v>895</v>
      </c>
      <c r="C116" s="31" t="s">
        <v>896</v>
      </c>
      <c r="D116" s="31" t="s">
        <v>260</v>
      </c>
      <c r="E116" s="31" t="s">
        <v>889</v>
      </c>
      <c r="F116" s="32">
        <v>44942.0</v>
      </c>
      <c r="G116" s="32">
        <v>45001.0</v>
      </c>
      <c r="H116" s="31" t="s">
        <v>346</v>
      </c>
      <c r="I116" s="31" t="s">
        <v>93</v>
      </c>
      <c r="J116" s="31" t="s">
        <v>889</v>
      </c>
      <c r="K116" s="31" t="s">
        <v>890</v>
      </c>
      <c r="L116" s="31" t="s">
        <v>891</v>
      </c>
      <c r="M116" s="31" t="s">
        <v>897</v>
      </c>
      <c r="N116" s="31" t="s">
        <v>267</v>
      </c>
      <c r="O116" s="34"/>
      <c r="P116" s="31">
        <v>1.0</v>
      </c>
      <c r="Q116" s="31" t="s">
        <v>307</v>
      </c>
      <c r="R116" s="35">
        <v>37177.0</v>
      </c>
      <c r="S116" s="31" t="s">
        <v>898</v>
      </c>
      <c r="T116" s="31" t="s">
        <v>899</v>
      </c>
      <c r="U116" s="31" t="s">
        <v>352</v>
      </c>
      <c r="V116" s="34"/>
      <c r="W116" s="34"/>
    </row>
    <row r="117">
      <c r="A117" s="30">
        <v>112.0</v>
      </c>
      <c r="B117" s="31" t="s">
        <v>900</v>
      </c>
      <c r="C117" s="31" t="s">
        <v>901</v>
      </c>
      <c r="D117" s="31" t="s">
        <v>260</v>
      </c>
      <c r="E117" s="31" t="s">
        <v>902</v>
      </c>
      <c r="F117" s="32">
        <v>44771.0</v>
      </c>
      <c r="G117" s="32">
        <v>44833.0</v>
      </c>
      <c r="H117" s="31" t="s">
        <v>346</v>
      </c>
      <c r="I117" s="31" t="s">
        <v>93</v>
      </c>
      <c r="J117" s="31" t="s">
        <v>903</v>
      </c>
      <c r="K117" s="31" t="s">
        <v>904</v>
      </c>
      <c r="L117" s="31" t="s">
        <v>905</v>
      </c>
      <c r="M117" s="31" t="s">
        <v>906</v>
      </c>
      <c r="N117" s="31" t="s">
        <v>267</v>
      </c>
      <c r="O117" s="34"/>
      <c r="P117" s="31">
        <v>1.0</v>
      </c>
      <c r="Q117" s="31" t="s">
        <v>307</v>
      </c>
      <c r="R117" s="32">
        <v>36621.0</v>
      </c>
      <c r="S117" s="31" t="s">
        <v>733</v>
      </c>
      <c r="T117" s="31" t="s">
        <v>722</v>
      </c>
      <c r="U117" s="31" t="s">
        <v>352</v>
      </c>
      <c r="V117" s="31" t="s">
        <v>902</v>
      </c>
      <c r="W117" s="34"/>
    </row>
    <row r="118">
      <c r="A118" s="30">
        <v>113.0</v>
      </c>
      <c r="B118" s="31" t="s">
        <v>907</v>
      </c>
      <c r="C118" s="31" t="s">
        <v>908</v>
      </c>
      <c r="D118" s="31" t="s">
        <v>260</v>
      </c>
      <c r="E118" s="31" t="s">
        <v>902</v>
      </c>
      <c r="F118" s="32">
        <v>44754.0</v>
      </c>
      <c r="G118" s="32">
        <v>44816.0</v>
      </c>
      <c r="H118" s="31" t="s">
        <v>346</v>
      </c>
      <c r="I118" s="31" t="s">
        <v>93</v>
      </c>
      <c r="J118" s="31" t="s">
        <v>903</v>
      </c>
      <c r="K118" s="31" t="s">
        <v>904</v>
      </c>
      <c r="L118" s="31" t="s">
        <v>905</v>
      </c>
      <c r="M118" s="31" t="s">
        <v>909</v>
      </c>
      <c r="N118" s="31" t="s">
        <v>267</v>
      </c>
      <c r="O118" s="34"/>
      <c r="P118" s="31">
        <v>2.0</v>
      </c>
      <c r="Q118" s="31" t="s">
        <v>307</v>
      </c>
      <c r="R118" s="32">
        <v>36672.0</v>
      </c>
      <c r="S118" s="31" t="s">
        <v>910</v>
      </c>
      <c r="T118" s="31" t="s">
        <v>911</v>
      </c>
      <c r="U118" s="31" t="s">
        <v>352</v>
      </c>
      <c r="V118" s="31" t="s">
        <v>902</v>
      </c>
      <c r="W118" s="34"/>
    </row>
    <row r="119">
      <c r="A119" s="30">
        <v>114.0</v>
      </c>
      <c r="B119" s="31" t="s">
        <v>912</v>
      </c>
      <c r="C119" s="31" t="s">
        <v>913</v>
      </c>
      <c r="D119" s="31" t="s">
        <v>260</v>
      </c>
      <c r="E119" s="31" t="s">
        <v>914</v>
      </c>
      <c r="F119" s="32">
        <v>44734.0</v>
      </c>
      <c r="G119" s="32">
        <v>44795.0</v>
      </c>
      <c r="H119" s="31" t="s">
        <v>346</v>
      </c>
      <c r="I119" s="31" t="s">
        <v>93</v>
      </c>
      <c r="J119" s="31" t="s">
        <v>903</v>
      </c>
      <c r="K119" s="31" t="s">
        <v>915</v>
      </c>
      <c r="L119" s="31" t="s">
        <v>905</v>
      </c>
      <c r="M119" s="31" t="s">
        <v>916</v>
      </c>
      <c r="N119" s="31" t="s">
        <v>267</v>
      </c>
      <c r="O119" s="34"/>
      <c r="P119" s="31">
        <v>2.0</v>
      </c>
      <c r="Q119" s="31" t="s">
        <v>307</v>
      </c>
      <c r="R119" s="32">
        <v>36402.0</v>
      </c>
      <c r="S119" s="31" t="s">
        <v>917</v>
      </c>
      <c r="T119" s="31" t="s">
        <v>918</v>
      </c>
      <c r="U119" s="31" t="s">
        <v>352</v>
      </c>
      <c r="V119" s="31" t="s">
        <v>914</v>
      </c>
      <c r="W119" s="34"/>
    </row>
    <row r="120">
      <c r="A120" s="30">
        <v>115.0</v>
      </c>
      <c r="B120" s="31" t="s">
        <v>919</v>
      </c>
      <c r="C120" s="31" t="s">
        <v>920</v>
      </c>
      <c r="D120" s="31" t="s">
        <v>260</v>
      </c>
      <c r="E120" s="31" t="s">
        <v>914</v>
      </c>
      <c r="F120" s="32">
        <v>44699.0</v>
      </c>
      <c r="G120" s="32">
        <v>44760.0</v>
      </c>
      <c r="H120" s="31" t="s">
        <v>346</v>
      </c>
      <c r="I120" s="31" t="s">
        <v>93</v>
      </c>
      <c r="J120" s="31" t="s">
        <v>903</v>
      </c>
      <c r="K120" s="31" t="s">
        <v>915</v>
      </c>
      <c r="L120" s="31" t="s">
        <v>905</v>
      </c>
      <c r="M120" s="31" t="s">
        <v>921</v>
      </c>
      <c r="N120" s="31" t="s">
        <v>267</v>
      </c>
      <c r="O120" s="34"/>
      <c r="P120" s="31">
        <v>1.0</v>
      </c>
      <c r="Q120" s="31" t="s">
        <v>307</v>
      </c>
      <c r="R120" s="32">
        <v>36204.0</v>
      </c>
      <c r="S120" s="31" t="s">
        <v>922</v>
      </c>
      <c r="T120" s="31" t="s">
        <v>658</v>
      </c>
      <c r="U120" s="31" t="s">
        <v>352</v>
      </c>
      <c r="V120" s="31" t="s">
        <v>914</v>
      </c>
      <c r="W120" s="34"/>
    </row>
    <row r="121">
      <c r="A121" s="30">
        <v>116.0</v>
      </c>
      <c r="B121" s="31" t="s">
        <v>923</v>
      </c>
      <c r="C121" s="31" t="s">
        <v>924</v>
      </c>
      <c r="D121" s="31" t="s">
        <v>925</v>
      </c>
      <c r="E121" s="31" t="s">
        <v>926</v>
      </c>
      <c r="F121" s="32">
        <v>44713.0</v>
      </c>
      <c r="G121" s="32">
        <v>44774.0</v>
      </c>
      <c r="H121" s="31" t="s">
        <v>346</v>
      </c>
      <c r="I121" s="31" t="s">
        <v>275</v>
      </c>
      <c r="J121" s="31" t="s">
        <v>927</v>
      </c>
      <c r="K121" s="31" t="s">
        <v>928</v>
      </c>
      <c r="L121" s="31" t="s">
        <v>929</v>
      </c>
      <c r="M121" s="31" t="s">
        <v>930</v>
      </c>
      <c r="N121" s="31" t="s">
        <v>267</v>
      </c>
      <c r="O121" s="34"/>
      <c r="P121" s="31">
        <v>1.0</v>
      </c>
      <c r="Q121" s="31" t="s">
        <v>307</v>
      </c>
      <c r="R121" s="35">
        <v>35759.0</v>
      </c>
      <c r="S121" s="31" t="s">
        <v>320</v>
      </c>
      <c r="T121" s="31" t="s">
        <v>407</v>
      </c>
      <c r="U121" s="31" t="s">
        <v>352</v>
      </c>
      <c r="V121" s="31" t="s">
        <v>926</v>
      </c>
      <c r="W121" s="34"/>
    </row>
    <row r="122">
      <c r="A122" s="30">
        <v>117.0</v>
      </c>
      <c r="B122" s="31" t="s">
        <v>931</v>
      </c>
      <c r="C122" s="31" t="s">
        <v>932</v>
      </c>
      <c r="D122" s="31" t="s">
        <v>364</v>
      </c>
      <c r="E122" s="31" t="s">
        <v>365</v>
      </c>
      <c r="F122" s="32">
        <v>44629.0</v>
      </c>
      <c r="G122" s="32">
        <v>44690.0</v>
      </c>
      <c r="H122" s="31" t="s">
        <v>346</v>
      </c>
      <c r="I122" s="31" t="s">
        <v>93</v>
      </c>
      <c r="J122" s="31" t="s">
        <v>366</v>
      </c>
      <c r="K122" s="31" t="s">
        <v>367</v>
      </c>
      <c r="L122" s="31" t="s">
        <v>368</v>
      </c>
      <c r="M122" s="31" t="s">
        <v>933</v>
      </c>
      <c r="N122" s="31" t="s">
        <v>467</v>
      </c>
      <c r="O122" s="34"/>
      <c r="P122" s="31">
        <v>2.0</v>
      </c>
      <c r="Q122" s="31" t="s">
        <v>307</v>
      </c>
      <c r="R122" s="32">
        <v>36570.0</v>
      </c>
      <c r="S122" s="31" t="s">
        <v>320</v>
      </c>
      <c r="T122" s="31" t="s">
        <v>934</v>
      </c>
      <c r="U122" s="31" t="s">
        <v>352</v>
      </c>
      <c r="V122" s="31" t="s">
        <v>365</v>
      </c>
      <c r="W122" s="34"/>
    </row>
    <row r="123">
      <c r="A123" s="30">
        <v>118.0</v>
      </c>
      <c r="B123" s="31" t="s">
        <v>935</v>
      </c>
      <c r="C123" s="31" t="s">
        <v>936</v>
      </c>
      <c r="D123" s="31" t="s">
        <v>260</v>
      </c>
      <c r="E123" s="31" t="s">
        <v>889</v>
      </c>
      <c r="F123" s="32">
        <v>44572.0</v>
      </c>
      <c r="G123" s="32">
        <v>44631.0</v>
      </c>
      <c r="H123" s="31" t="s">
        <v>346</v>
      </c>
      <c r="I123" s="31" t="s">
        <v>93</v>
      </c>
      <c r="J123" s="31" t="s">
        <v>889</v>
      </c>
      <c r="K123" s="31" t="s">
        <v>890</v>
      </c>
      <c r="L123" s="31" t="s">
        <v>891</v>
      </c>
      <c r="M123" s="31" t="s">
        <v>937</v>
      </c>
      <c r="N123" s="31" t="s">
        <v>267</v>
      </c>
      <c r="O123" s="34"/>
      <c r="P123" s="31">
        <v>8.0</v>
      </c>
      <c r="Q123" s="31" t="s">
        <v>307</v>
      </c>
      <c r="R123" s="32">
        <v>36543.0</v>
      </c>
      <c r="S123" s="31" t="s">
        <v>531</v>
      </c>
      <c r="T123" s="31" t="s">
        <v>503</v>
      </c>
      <c r="U123" s="31" t="s">
        <v>352</v>
      </c>
      <c r="V123" s="34"/>
      <c r="W123" s="34"/>
    </row>
    <row r="124">
      <c r="A124" s="30">
        <v>119.0</v>
      </c>
      <c r="B124" s="31" t="s">
        <v>938</v>
      </c>
      <c r="C124" s="31" t="s">
        <v>939</v>
      </c>
      <c r="D124" s="31" t="s">
        <v>260</v>
      </c>
      <c r="E124" s="31" t="s">
        <v>889</v>
      </c>
      <c r="F124" s="32">
        <v>44572.0</v>
      </c>
      <c r="G124" s="32">
        <v>44631.0</v>
      </c>
      <c r="H124" s="31" t="s">
        <v>346</v>
      </c>
      <c r="I124" s="31" t="s">
        <v>93</v>
      </c>
      <c r="J124" s="31" t="s">
        <v>889</v>
      </c>
      <c r="K124" s="31" t="s">
        <v>890</v>
      </c>
      <c r="L124" s="31" t="s">
        <v>891</v>
      </c>
      <c r="M124" s="31" t="s">
        <v>940</v>
      </c>
      <c r="N124" s="31" t="s">
        <v>267</v>
      </c>
      <c r="O124" s="34"/>
      <c r="P124" s="31">
        <v>4.0</v>
      </c>
      <c r="Q124" s="31" t="s">
        <v>307</v>
      </c>
      <c r="R124" s="32">
        <v>36675.0</v>
      </c>
      <c r="S124" s="31" t="s">
        <v>676</v>
      </c>
      <c r="T124" s="31" t="s">
        <v>722</v>
      </c>
      <c r="U124" s="31" t="s">
        <v>352</v>
      </c>
      <c r="V124" s="34"/>
      <c r="W124" s="34"/>
    </row>
    <row r="125">
      <c r="A125" s="30">
        <v>120.0</v>
      </c>
      <c r="B125" s="31" t="s">
        <v>941</v>
      </c>
      <c r="C125" s="31" t="s">
        <v>942</v>
      </c>
      <c r="D125" s="31" t="s">
        <v>260</v>
      </c>
      <c r="E125" s="31" t="s">
        <v>943</v>
      </c>
      <c r="F125" s="32">
        <v>44378.0</v>
      </c>
      <c r="G125" s="32">
        <v>44440.0</v>
      </c>
      <c r="H125" s="31" t="s">
        <v>346</v>
      </c>
      <c r="I125" s="31" t="s">
        <v>275</v>
      </c>
      <c r="J125" s="31" t="s">
        <v>927</v>
      </c>
      <c r="K125" s="31" t="s">
        <v>944</v>
      </c>
      <c r="L125" s="31" t="s">
        <v>945</v>
      </c>
      <c r="M125" s="31" t="s">
        <v>946</v>
      </c>
      <c r="N125" s="31" t="s">
        <v>267</v>
      </c>
      <c r="O125" s="34"/>
      <c r="P125" s="31">
        <v>1.0</v>
      </c>
      <c r="Q125" s="31" t="s">
        <v>307</v>
      </c>
      <c r="R125" s="32">
        <v>35877.0</v>
      </c>
      <c r="S125" s="31" t="s">
        <v>320</v>
      </c>
      <c r="T125" s="31" t="s">
        <v>947</v>
      </c>
      <c r="U125" s="31" t="s">
        <v>352</v>
      </c>
      <c r="V125" s="31" t="s">
        <v>943</v>
      </c>
      <c r="W125" s="34"/>
    </row>
    <row r="126">
      <c r="A126" s="30">
        <v>121.0</v>
      </c>
      <c r="B126" s="31" t="s">
        <v>948</v>
      </c>
      <c r="C126" s="31" t="s">
        <v>949</v>
      </c>
      <c r="D126" s="31" t="s">
        <v>260</v>
      </c>
      <c r="E126" s="31" t="s">
        <v>889</v>
      </c>
      <c r="F126" s="32">
        <v>43892.0</v>
      </c>
      <c r="G126" s="32">
        <v>43953.0</v>
      </c>
      <c r="H126" s="31" t="s">
        <v>346</v>
      </c>
      <c r="I126" s="31" t="s">
        <v>93</v>
      </c>
      <c r="J126" s="31" t="s">
        <v>889</v>
      </c>
      <c r="K126" s="31" t="s">
        <v>890</v>
      </c>
      <c r="L126" s="31" t="s">
        <v>891</v>
      </c>
      <c r="M126" s="31" t="s">
        <v>950</v>
      </c>
      <c r="N126" s="31" t="s">
        <v>267</v>
      </c>
      <c r="O126" s="34"/>
      <c r="P126" s="31">
        <v>6.0</v>
      </c>
      <c r="Q126" s="31" t="s">
        <v>307</v>
      </c>
      <c r="R126" s="32">
        <v>35305.0</v>
      </c>
      <c r="S126" s="31" t="s">
        <v>433</v>
      </c>
      <c r="T126" s="31" t="s">
        <v>951</v>
      </c>
      <c r="U126" s="31" t="s">
        <v>352</v>
      </c>
      <c r="V126" s="34"/>
      <c r="W126" s="34"/>
    </row>
    <row r="127">
      <c r="A127" s="30">
        <v>122.0</v>
      </c>
      <c r="B127" s="31" t="s">
        <v>952</v>
      </c>
      <c r="C127" s="31" t="s">
        <v>953</v>
      </c>
      <c r="D127" s="31" t="s">
        <v>260</v>
      </c>
      <c r="E127" s="31" t="s">
        <v>889</v>
      </c>
      <c r="F127" s="35">
        <v>44179.0</v>
      </c>
      <c r="G127" s="32">
        <v>44210.0</v>
      </c>
      <c r="H127" s="31" t="s">
        <v>346</v>
      </c>
      <c r="I127" s="31" t="s">
        <v>93</v>
      </c>
      <c r="J127" s="31" t="s">
        <v>889</v>
      </c>
      <c r="K127" s="31" t="s">
        <v>890</v>
      </c>
      <c r="L127" s="31" t="s">
        <v>891</v>
      </c>
      <c r="M127" s="31" t="s">
        <v>954</v>
      </c>
      <c r="N127" s="31" t="s">
        <v>467</v>
      </c>
      <c r="O127" s="34"/>
      <c r="P127" s="31">
        <v>2.0</v>
      </c>
      <c r="Q127" s="31" t="s">
        <v>307</v>
      </c>
      <c r="R127" s="35">
        <v>36080.0</v>
      </c>
      <c r="S127" s="31" t="s">
        <v>955</v>
      </c>
      <c r="T127" s="31" t="s">
        <v>778</v>
      </c>
      <c r="U127" s="31" t="s">
        <v>352</v>
      </c>
      <c r="V127" s="34"/>
      <c r="W127" s="34"/>
    </row>
    <row r="128">
      <c r="A128" s="30">
        <v>123.0</v>
      </c>
      <c r="B128" s="31" t="s">
        <v>956</v>
      </c>
      <c r="C128" s="31" t="s">
        <v>957</v>
      </c>
      <c r="D128" s="31" t="s">
        <v>648</v>
      </c>
      <c r="E128" s="31" t="s">
        <v>153</v>
      </c>
      <c r="F128" s="32">
        <v>43476.0</v>
      </c>
      <c r="G128" s="32">
        <v>43535.0</v>
      </c>
      <c r="H128" s="31" t="s">
        <v>346</v>
      </c>
      <c r="I128" s="31" t="s">
        <v>93</v>
      </c>
      <c r="J128" s="31" t="s">
        <v>153</v>
      </c>
      <c r="K128" s="31" t="s">
        <v>958</v>
      </c>
      <c r="L128" s="31" t="s">
        <v>959</v>
      </c>
      <c r="M128" s="31" t="s">
        <v>960</v>
      </c>
      <c r="N128" s="31" t="s">
        <v>267</v>
      </c>
      <c r="O128" s="34"/>
      <c r="P128" s="31">
        <v>6.0</v>
      </c>
      <c r="Q128" s="31" t="s">
        <v>307</v>
      </c>
      <c r="R128" s="32">
        <v>35641.0</v>
      </c>
      <c r="S128" s="31" t="s">
        <v>320</v>
      </c>
      <c r="T128" s="31" t="s">
        <v>961</v>
      </c>
      <c r="U128" s="31" t="s">
        <v>352</v>
      </c>
      <c r="V128" s="34"/>
      <c r="W128" s="34"/>
    </row>
    <row r="129">
      <c r="A129" s="30">
        <v>124.0</v>
      </c>
      <c r="B129" s="31" t="s">
        <v>962</v>
      </c>
      <c r="C129" s="31" t="s">
        <v>963</v>
      </c>
      <c r="D129" s="31" t="s">
        <v>364</v>
      </c>
      <c r="E129" s="31" t="s">
        <v>365</v>
      </c>
      <c r="F129" s="32">
        <v>42796.0</v>
      </c>
      <c r="G129" s="32">
        <v>42857.0</v>
      </c>
      <c r="H129" s="31" t="s">
        <v>346</v>
      </c>
      <c r="I129" s="31" t="s">
        <v>93</v>
      </c>
      <c r="J129" s="31" t="s">
        <v>366</v>
      </c>
      <c r="K129" s="31" t="s">
        <v>367</v>
      </c>
      <c r="L129" s="31" t="s">
        <v>368</v>
      </c>
      <c r="M129" s="31" t="s">
        <v>964</v>
      </c>
      <c r="N129" s="31" t="s">
        <v>467</v>
      </c>
      <c r="O129" s="34"/>
      <c r="P129" s="31">
        <v>9.0</v>
      </c>
      <c r="Q129" s="31" t="s">
        <v>307</v>
      </c>
      <c r="R129" s="32">
        <v>34086.0</v>
      </c>
      <c r="S129" s="31" t="s">
        <v>955</v>
      </c>
      <c r="T129" s="31" t="s">
        <v>965</v>
      </c>
      <c r="U129" s="31" t="s">
        <v>352</v>
      </c>
      <c r="V129" s="31" t="s">
        <v>365</v>
      </c>
      <c r="W129" s="34"/>
    </row>
    <row r="130">
      <c r="A130" s="30">
        <v>125.0</v>
      </c>
      <c r="B130" s="31" t="s">
        <v>966</v>
      </c>
      <c r="C130" s="31" t="s">
        <v>967</v>
      </c>
      <c r="D130" s="31" t="s">
        <v>260</v>
      </c>
      <c r="E130" s="31" t="s">
        <v>889</v>
      </c>
      <c r="F130" s="32">
        <v>43580.0</v>
      </c>
      <c r="G130" s="32">
        <v>43641.0</v>
      </c>
      <c r="H130" s="31" t="s">
        <v>346</v>
      </c>
      <c r="I130" s="31" t="s">
        <v>93</v>
      </c>
      <c r="J130" s="31" t="s">
        <v>889</v>
      </c>
      <c r="K130" s="31" t="s">
        <v>890</v>
      </c>
      <c r="L130" s="31" t="s">
        <v>891</v>
      </c>
      <c r="M130" s="31" t="s">
        <v>968</v>
      </c>
      <c r="N130" s="31" t="s">
        <v>467</v>
      </c>
      <c r="O130" s="34"/>
      <c r="P130" s="31">
        <v>3.0</v>
      </c>
      <c r="Q130" s="31" t="s">
        <v>307</v>
      </c>
      <c r="R130" s="32">
        <v>34386.0</v>
      </c>
      <c r="S130" s="31" t="s">
        <v>531</v>
      </c>
      <c r="T130" s="31" t="s">
        <v>969</v>
      </c>
      <c r="U130" s="31" t="s">
        <v>352</v>
      </c>
      <c r="V130" s="34"/>
      <c r="W130" s="34"/>
    </row>
    <row r="131">
      <c r="A131" s="30">
        <v>126.0</v>
      </c>
      <c r="B131" s="31" t="s">
        <v>970</v>
      </c>
      <c r="C131" s="31" t="s">
        <v>971</v>
      </c>
      <c r="D131" s="31" t="s">
        <v>364</v>
      </c>
      <c r="E131" s="31" t="s">
        <v>972</v>
      </c>
      <c r="F131" s="32">
        <v>44166.0</v>
      </c>
      <c r="G131" s="32">
        <v>44228.0</v>
      </c>
      <c r="H131" s="31" t="s">
        <v>346</v>
      </c>
      <c r="I131" s="31" t="s">
        <v>93</v>
      </c>
      <c r="J131" s="31" t="s">
        <v>366</v>
      </c>
      <c r="K131" s="31" t="s">
        <v>973</v>
      </c>
      <c r="L131" s="31" t="s">
        <v>368</v>
      </c>
      <c r="M131" s="31" t="s">
        <v>974</v>
      </c>
      <c r="N131" s="31" t="s">
        <v>467</v>
      </c>
      <c r="O131" s="34"/>
      <c r="P131" s="31">
        <v>4.0</v>
      </c>
      <c r="Q131" s="31" t="s">
        <v>307</v>
      </c>
      <c r="R131" s="32">
        <v>35695.0</v>
      </c>
      <c r="S131" s="31" t="s">
        <v>975</v>
      </c>
      <c r="T131" s="31" t="s">
        <v>686</v>
      </c>
      <c r="U131" s="31" t="s">
        <v>352</v>
      </c>
      <c r="V131" s="31" t="s">
        <v>972</v>
      </c>
      <c r="W131" s="34"/>
    </row>
    <row r="132">
      <c r="A132" s="30">
        <v>127.0</v>
      </c>
      <c r="B132" s="31" t="s">
        <v>976</v>
      </c>
      <c r="C132" s="31" t="s">
        <v>977</v>
      </c>
      <c r="D132" s="31" t="s">
        <v>978</v>
      </c>
      <c r="E132" s="31" t="s">
        <v>365</v>
      </c>
      <c r="F132" s="32">
        <v>43643.0</v>
      </c>
      <c r="G132" s="32">
        <v>43705.0</v>
      </c>
      <c r="H132" s="31" t="s">
        <v>346</v>
      </c>
      <c r="I132" s="31" t="s">
        <v>93</v>
      </c>
      <c r="J132" s="31" t="s">
        <v>366</v>
      </c>
      <c r="K132" s="31" t="s">
        <v>367</v>
      </c>
      <c r="L132" s="31" t="s">
        <v>979</v>
      </c>
      <c r="M132" s="31" t="s">
        <v>980</v>
      </c>
      <c r="N132" s="31" t="s">
        <v>267</v>
      </c>
      <c r="O132" s="31">
        <v>2.0</v>
      </c>
      <c r="P132" s="31">
        <v>3.0</v>
      </c>
      <c r="Q132" s="31" t="s">
        <v>307</v>
      </c>
      <c r="R132" s="32">
        <v>35695.0</v>
      </c>
      <c r="S132" s="31" t="s">
        <v>981</v>
      </c>
      <c r="T132" s="31" t="s">
        <v>744</v>
      </c>
      <c r="U132" s="31" t="s">
        <v>352</v>
      </c>
      <c r="V132" s="31" t="s">
        <v>365</v>
      </c>
      <c r="W132" s="34"/>
    </row>
    <row r="133">
      <c r="A133" s="30">
        <v>128.0</v>
      </c>
      <c r="B133" s="31" t="s">
        <v>982</v>
      </c>
      <c r="C133" s="31" t="s">
        <v>983</v>
      </c>
      <c r="D133" s="31" t="s">
        <v>364</v>
      </c>
      <c r="E133" s="31" t="s">
        <v>365</v>
      </c>
      <c r="F133" s="32">
        <v>44217.0</v>
      </c>
      <c r="G133" s="32">
        <v>44276.0</v>
      </c>
      <c r="H133" s="31" t="s">
        <v>346</v>
      </c>
      <c r="I133" s="31" t="s">
        <v>93</v>
      </c>
      <c r="J133" s="31" t="s">
        <v>366</v>
      </c>
      <c r="K133" s="31" t="s">
        <v>367</v>
      </c>
      <c r="L133" s="31" t="s">
        <v>368</v>
      </c>
      <c r="M133" s="31" t="s">
        <v>984</v>
      </c>
      <c r="N133" s="31" t="s">
        <v>267</v>
      </c>
      <c r="O133" s="34"/>
      <c r="P133" s="31">
        <v>2.0</v>
      </c>
      <c r="Q133" s="31" t="s">
        <v>307</v>
      </c>
      <c r="R133" s="32">
        <v>36471.0</v>
      </c>
      <c r="S133" s="31" t="s">
        <v>717</v>
      </c>
      <c r="T133" s="31" t="s">
        <v>985</v>
      </c>
      <c r="U133" s="31" t="s">
        <v>352</v>
      </c>
      <c r="V133" s="31" t="s">
        <v>365</v>
      </c>
      <c r="W133" s="34"/>
    </row>
    <row r="134">
      <c r="A134" s="30">
        <v>129.0</v>
      </c>
      <c r="B134" s="31" t="s">
        <v>986</v>
      </c>
      <c r="C134" s="31" t="s">
        <v>987</v>
      </c>
      <c r="D134" s="31" t="s">
        <v>648</v>
      </c>
      <c r="E134" s="31" t="s">
        <v>153</v>
      </c>
      <c r="F134" s="32">
        <v>44746.0</v>
      </c>
      <c r="G134" s="32">
        <v>44746.0</v>
      </c>
      <c r="H134" s="31" t="s">
        <v>346</v>
      </c>
      <c r="I134" s="31" t="s">
        <v>93</v>
      </c>
      <c r="J134" s="31" t="s">
        <v>153</v>
      </c>
      <c r="K134" s="31" t="s">
        <v>958</v>
      </c>
      <c r="L134" s="31" t="s">
        <v>959</v>
      </c>
      <c r="M134" s="31" t="s">
        <v>988</v>
      </c>
      <c r="N134" s="31" t="s">
        <v>467</v>
      </c>
      <c r="O134" s="34"/>
      <c r="P134" s="31">
        <v>8.0</v>
      </c>
      <c r="Q134" s="31" t="s">
        <v>307</v>
      </c>
      <c r="R134" s="32">
        <v>33663.0</v>
      </c>
      <c r="S134" s="31" t="s">
        <v>531</v>
      </c>
      <c r="T134" s="31" t="s">
        <v>778</v>
      </c>
      <c r="U134" s="31" t="s">
        <v>352</v>
      </c>
      <c r="V134" s="34"/>
      <c r="W134" s="34"/>
    </row>
    <row r="135">
      <c r="A135" s="30">
        <v>130.0</v>
      </c>
      <c r="B135" s="31" t="s">
        <v>989</v>
      </c>
      <c r="C135" s="31" t="s">
        <v>990</v>
      </c>
      <c r="D135" s="31" t="s">
        <v>260</v>
      </c>
      <c r="E135" s="31" t="s">
        <v>914</v>
      </c>
      <c r="F135" s="32">
        <v>44044.0</v>
      </c>
      <c r="G135" s="32">
        <v>44105.0</v>
      </c>
      <c r="H135" s="31" t="s">
        <v>346</v>
      </c>
      <c r="I135" s="31" t="s">
        <v>93</v>
      </c>
      <c r="J135" s="31" t="s">
        <v>903</v>
      </c>
      <c r="K135" s="31" t="s">
        <v>915</v>
      </c>
      <c r="L135" s="31" t="s">
        <v>905</v>
      </c>
      <c r="M135" s="31" t="s">
        <v>991</v>
      </c>
      <c r="N135" s="31" t="s">
        <v>267</v>
      </c>
      <c r="O135" s="34"/>
      <c r="P135" s="31">
        <v>1.0</v>
      </c>
      <c r="Q135" s="31" t="s">
        <v>307</v>
      </c>
      <c r="R135" s="32">
        <v>35832.0</v>
      </c>
      <c r="S135" s="31" t="s">
        <v>320</v>
      </c>
      <c r="T135" s="31" t="s">
        <v>992</v>
      </c>
      <c r="U135" s="31" t="s">
        <v>352</v>
      </c>
      <c r="V135" s="31" t="s">
        <v>914</v>
      </c>
      <c r="W135" s="34"/>
    </row>
    <row r="136">
      <c r="A136" s="30">
        <v>131.0</v>
      </c>
      <c r="B136" s="31" t="s">
        <v>993</v>
      </c>
      <c r="C136" s="31" t="s">
        <v>994</v>
      </c>
      <c r="D136" s="31" t="s">
        <v>260</v>
      </c>
      <c r="E136" s="31" t="s">
        <v>995</v>
      </c>
      <c r="F136" s="32">
        <v>44378.0</v>
      </c>
      <c r="G136" s="32">
        <v>44440.0</v>
      </c>
      <c r="H136" s="31" t="s">
        <v>346</v>
      </c>
      <c r="I136" s="31" t="s">
        <v>275</v>
      </c>
      <c r="J136" s="31" t="s">
        <v>927</v>
      </c>
      <c r="K136" s="31" t="s">
        <v>996</v>
      </c>
      <c r="L136" s="31" t="s">
        <v>997</v>
      </c>
      <c r="M136" s="31" t="s">
        <v>998</v>
      </c>
      <c r="N136" s="31" t="s">
        <v>267</v>
      </c>
      <c r="O136" s="34"/>
      <c r="P136" s="31">
        <v>1.0</v>
      </c>
      <c r="Q136" s="31" t="s">
        <v>307</v>
      </c>
      <c r="R136" s="32">
        <v>36465.0</v>
      </c>
      <c r="S136" s="31" t="s">
        <v>320</v>
      </c>
      <c r="T136" s="31" t="s">
        <v>999</v>
      </c>
      <c r="U136" s="31" t="s">
        <v>352</v>
      </c>
      <c r="V136" s="31" t="s">
        <v>995</v>
      </c>
      <c r="W136" s="34"/>
    </row>
    <row r="137">
      <c r="A137" s="30">
        <v>132.0</v>
      </c>
      <c r="B137" s="31" t="s">
        <v>1000</v>
      </c>
      <c r="C137" s="31" t="s">
        <v>1001</v>
      </c>
      <c r="D137" s="31" t="s">
        <v>260</v>
      </c>
      <c r="E137" s="31" t="s">
        <v>902</v>
      </c>
      <c r="F137" s="32">
        <v>43256.0</v>
      </c>
      <c r="G137" s="32">
        <v>43317.0</v>
      </c>
      <c r="H137" s="31" t="s">
        <v>346</v>
      </c>
      <c r="I137" s="31" t="s">
        <v>93</v>
      </c>
      <c r="J137" s="31" t="s">
        <v>903</v>
      </c>
      <c r="K137" s="31" t="s">
        <v>904</v>
      </c>
      <c r="L137" s="31" t="s">
        <v>905</v>
      </c>
      <c r="M137" s="31" t="s">
        <v>1002</v>
      </c>
      <c r="N137" s="31" t="s">
        <v>467</v>
      </c>
      <c r="O137" s="34"/>
      <c r="P137" s="31">
        <v>5.0</v>
      </c>
      <c r="Q137" s="31" t="s">
        <v>307</v>
      </c>
      <c r="R137" s="32">
        <v>34842.0</v>
      </c>
      <c r="S137" s="31" t="s">
        <v>1003</v>
      </c>
      <c r="T137" s="31" t="s">
        <v>1004</v>
      </c>
      <c r="U137" s="31" t="s">
        <v>352</v>
      </c>
      <c r="V137" s="31" t="s">
        <v>902</v>
      </c>
      <c r="W137" s="34"/>
    </row>
    <row r="138">
      <c r="A138" s="30">
        <v>133.0</v>
      </c>
      <c r="B138" s="31" t="s">
        <v>1005</v>
      </c>
      <c r="C138" s="31" t="s">
        <v>1006</v>
      </c>
      <c r="D138" s="31" t="s">
        <v>978</v>
      </c>
      <c r="E138" s="31" t="s">
        <v>889</v>
      </c>
      <c r="F138" s="35">
        <v>42661.0</v>
      </c>
      <c r="G138" s="35">
        <v>42722.0</v>
      </c>
      <c r="H138" s="31" t="s">
        <v>346</v>
      </c>
      <c r="I138" s="31" t="s">
        <v>93</v>
      </c>
      <c r="J138" s="31" t="s">
        <v>889</v>
      </c>
      <c r="K138" s="31" t="s">
        <v>890</v>
      </c>
      <c r="L138" s="31" t="s">
        <v>1007</v>
      </c>
      <c r="M138" s="31" t="s">
        <v>1008</v>
      </c>
      <c r="N138" s="31" t="s">
        <v>467</v>
      </c>
      <c r="O138" s="31">
        <v>2.0</v>
      </c>
      <c r="P138" s="31">
        <v>2.0</v>
      </c>
      <c r="Q138" s="31" t="s">
        <v>307</v>
      </c>
      <c r="R138" s="32">
        <v>34222.0</v>
      </c>
      <c r="S138" s="31" t="s">
        <v>320</v>
      </c>
      <c r="T138" s="31" t="s">
        <v>744</v>
      </c>
      <c r="U138" s="31" t="s">
        <v>352</v>
      </c>
      <c r="V138" s="34"/>
      <c r="W138" s="34"/>
    </row>
    <row r="139">
      <c r="A139" s="30">
        <v>134.0</v>
      </c>
      <c r="B139" s="31" t="s">
        <v>1009</v>
      </c>
      <c r="C139" s="31" t="s">
        <v>1010</v>
      </c>
      <c r="D139" s="31" t="s">
        <v>1011</v>
      </c>
      <c r="E139" s="31" t="s">
        <v>1012</v>
      </c>
      <c r="F139" s="32">
        <v>45117.0</v>
      </c>
      <c r="G139" s="32">
        <v>45177.0</v>
      </c>
      <c r="H139" s="31" t="s">
        <v>346</v>
      </c>
      <c r="I139" s="31" t="s">
        <v>275</v>
      </c>
      <c r="J139" s="31" t="s">
        <v>1012</v>
      </c>
      <c r="K139" s="31" t="s">
        <v>1013</v>
      </c>
      <c r="L139" s="31" t="s">
        <v>1014</v>
      </c>
      <c r="M139" s="31" t="s">
        <v>1015</v>
      </c>
      <c r="N139" s="31" t="s">
        <v>467</v>
      </c>
      <c r="O139" s="31">
        <v>2.0</v>
      </c>
      <c r="P139" s="31">
        <v>1.0</v>
      </c>
      <c r="Q139" s="31" t="s">
        <v>307</v>
      </c>
      <c r="R139" s="35">
        <v>33566.0</v>
      </c>
      <c r="S139" s="31" t="s">
        <v>681</v>
      </c>
      <c r="T139" s="31" t="s">
        <v>718</v>
      </c>
      <c r="U139" s="31" t="s">
        <v>352</v>
      </c>
      <c r="V139" s="34"/>
      <c r="W139" s="34"/>
    </row>
    <row r="140">
      <c r="A140" s="30">
        <v>135.0</v>
      </c>
      <c r="B140" s="31" t="s">
        <v>1016</v>
      </c>
      <c r="C140" s="31" t="s">
        <v>746</v>
      </c>
      <c r="D140" s="31" t="s">
        <v>260</v>
      </c>
      <c r="E140" s="31" t="s">
        <v>436</v>
      </c>
      <c r="F140" s="32">
        <v>45065.0</v>
      </c>
      <c r="G140" s="32">
        <v>45126.0</v>
      </c>
      <c r="H140" s="31" t="s">
        <v>346</v>
      </c>
      <c r="I140" s="31" t="s">
        <v>275</v>
      </c>
      <c r="J140" s="31" t="s">
        <v>436</v>
      </c>
      <c r="K140" s="31" t="s">
        <v>437</v>
      </c>
      <c r="L140" s="31" t="s">
        <v>438</v>
      </c>
      <c r="M140" s="31" t="s">
        <v>1017</v>
      </c>
      <c r="N140" s="31" t="s">
        <v>467</v>
      </c>
      <c r="O140" s="34"/>
      <c r="P140" s="31">
        <v>2.0</v>
      </c>
      <c r="Q140" s="31" t="s">
        <v>307</v>
      </c>
      <c r="R140" s="32">
        <v>35833.0</v>
      </c>
      <c r="S140" s="31" t="s">
        <v>1018</v>
      </c>
      <c r="T140" s="31" t="s">
        <v>1019</v>
      </c>
      <c r="U140" s="31" t="s">
        <v>352</v>
      </c>
      <c r="V140" s="34"/>
      <c r="W140" s="34"/>
    </row>
    <row r="141">
      <c r="A141" s="30">
        <v>136.0</v>
      </c>
      <c r="B141" s="31" t="s">
        <v>1020</v>
      </c>
      <c r="C141" s="31" t="s">
        <v>1021</v>
      </c>
      <c r="D141" s="31" t="s">
        <v>506</v>
      </c>
      <c r="E141" s="31" t="s">
        <v>101</v>
      </c>
      <c r="F141" s="32">
        <v>45065.0</v>
      </c>
      <c r="G141" s="32">
        <v>45126.0</v>
      </c>
      <c r="H141" s="31" t="s">
        <v>346</v>
      </c>
      <c r="I141" s="31" t="s">
        <v>275</v>
      </c>
      <c r="J141" s="31" t="s">
        <v>101</v>
      </c>
      <c r="K141" s="31" t="s">
        <v>507</v>
      </c>
      <c r="L141" s="31" t="s">
        <v>508</v>
      </c>
      <c r="M141" s="31" t="s">
        <v>1022</v>
      </c>
      <c r="N141" s="31" t="s">
        <v>467</v>
      </c>
      <c r="O141" s="34"/>
      <c r="P141" s="31">
        <v>2.0</v>
      </c>
      <c r="Q141" s="31" t="s">
        <v>307</v>
      </c>
      <c r="R141" s="32">
        <v>36782.0</v>
      </c>
      <c r="S141" s="31" t="s">
        <v>1023</v>
      </c>
      <c r="T141" s="31" t="s">
        <v>797</v>
      </c>
      <c r="U141" s="31" t="s">
        <v>352</v>
      </c>
      <c r="V141" s="34"/>
      <c r="W141" s="34"/>
    </row>
    <row r="142">
      <c r="A142" s="30">
        <v>137.0</v>
      </c>
      <c r="B142" s="31" t="s">
        <v>1024</v>
      </c>
      <c r="C142" s="31" t="s">
        <v>1025</v>
      </c>
      <c r="D142" s="31" t="s">
        <v>506</v>
      </c>
      <c r="E142" s="31" t="s">
        <v>101</v>
      </c>
      <c r="F142" s="32">
        <v>45065.0</v>
      </c>
      <c r="G142" s="32">
        <v>45126.0</v>
      </c>
      <c r="H142" s="31" t="s">
        <v>346</v>
      </c>
      <c r="I142" s="31" t="s">
        <v>275</v>
      </c>
      <c r="J142" s="31" t="s">
        <v>101</v>
      </c>
      <c r="K142" s="31" t="s">
        <v>507</v>
      </c>
      <c r="L142" s="31" t="s">
        <v>508</v>
      </c>
      <c r="M142" s="31" t="s">
        <v>1026</v>
      </c>
      <c r="N142" s="31" t="s">
        <v>467</v>
      </c>
      <c r="O142" s="34"/>
      <c r="P142" s="31">
        <v>2.0</v>
      </c>
      <c r="Q142" s="31" t="s">
        <v>307</v>
      </c>
      <c r="R142" s="35">
        <v>36817.0</v>
      </c>
      <c r="S142" s="31" t="s">
        <v>700</v>
      </c>
      <c r="T142" s="31" t="s">
        <v>360</v>
      </c>
      <c r="U142" s="31" t="s">
        <v>352</v>
      </c>
      <c r="V142" s="34"/>
      <c r="W142" s="34"/>
    </row>
    <row r="143">
      <c r="A143" s="30">
        <v>138.0</v>
      </c>
      <c r="B143" s="31" t="s">
        <v>1027</v>
      </c>
      <c r="C143" s="31" t="s">
        <v>1028</v>
      </c>
      <c r="D143" s="31" t="s">
        <v>506</v>
      </c>
      <c r="E143" s="31" t="s">
        <v>101</v>
      </c>
      <c r="F143" s="32">
        <v>45019.0</v>
      </c>
      <c r="G143" s="32">
        <v>45080.0</v>
      </c>
      <c r="H143" s="31" t="s">
        <v>346</v>
      </c>
      <c r="I143" s="31" t="s">
        <v>275</v>
      </c>
      <c r="J143" s="31" t="s">
        <v>101</v>
      </c>
      <c r="K143" s="31" t="s">
        <v>507</v>
      </c>
      <c r="L143" s="31" t="s">
        <v>508</v>
      </c>
      <c r="M143" s="31" t="s">
        <v>1029</v>
      </c>
      <c r="N143" s="31" t="s">
        <v>267</v>
      </c>
      <c r="O143" s="34"/>
      <c r="P143" s="31">
        <v>2.0</v>
      </c>
      <c r="Q143" s="31" t="s">
        <v>307</v>
      </c>
      <c r="R143" s="32">
        <v>36861.0</v>
      </c>
      <c r="S143" s="31" t="s">
        <v>537</v>
      </c>
      <c r="T143" s="31" t="s">
        <v>1030</v>
      </c>
      <c r="U143" s="31" t="s">
        <v>352</v>
      </c>
      <c r="V143" s="34"/>
      <c r="W143" s="34"/>
    </row>
    <row r="144">
      <c r="A144" s="30">
        <v>139.0</v>
      </c>
      <c r="B144" s="31" t="s">
        <v>1031</v>
      </c>
      <c r="C144" s="31" t="s">
        <v>1032</v>
      </c>
      <c r="D144" s="31" t="s">
        <v>260</v>
      </c>
      <c r="E144" s="31" t="s">
        <v>295</v>
      </c>
      <c r="F144" s="32">
        <v>45019.0</v>
      </c>
      <c r="G144" s="32">
        <v>45080.0</v>
      </c>
      <c r="H144" s="31" t="s">
        <v>346</v>
      </c>
      <c r="I144" s="31" t="s">
        <v>275</v>
      </c>
      <c r="J144" s="31" t="s">
        <v>295</v>
      </c>
      <c r="K144" s="31" t="s">
        <v>1033</v>
      </c>
      <c r="L144" s="31" t="s">
        <v>297</v>
      </c>
      <c r="M144" s="31" t="s">
        <v>1034</v>
      </c>
      <c r="N144" s="31" t="s">
        <v>267</v>
      </c>
      <c r="O144" s="34"/>
      <c r="P144" s="31">
        <v>1.0</v>
      </c>
      <c r="Q144" s="31" t="s">
        <v>307</v>
      </c>
      <c r="R144" s="32">
        <v>35692.0</v>
      </c>
      <c r="S144" s="31" t="s">
        <v>1035</v>
      </c>
      <c r="T144" s="31" t="s">
        <v>865</v>
      </c>
      <c r="U144" s="31" t="s">
        <v>352</v>
      </c>
      <c r="V144" s="34"/>
      <c r="W144" s="34"/>
    </row>
    <row r="145">
      <c r="A145" s="30">
        <v>140.0</v>
      </c>
      <c r="B145" s="31" t="s">
        <v>1036</v>
      </c>
      <c r="C145" s="31" t="s">
        <v>799</v>
      </c>
      <c r="D145" s="31" t="s">
        <v>506</v>
      </c>
      <c r="E145" s="31" t="s">
        <v>101</v>
      </c>
      <c r="F145" s="32">
        <v>44991.0</v>
      </c>
      <c r="G145" s="32">
        <v>45052.0</v>
      </c>
      <c r="H145" s="31" t="s">
        <v>346</v>
      </c>
      <c r="I145" s="31" t="s">
        <v>275</v>
      </c>
      <c r="J145" s="31" t="s">
        <v>101</v>
      </c>
      <c r="K145" s="31" t="s">
        <v>507</v>
      </c>
      <c r="L145" s="31" t="s">
        <v>508</v>
      </c>
      <c r="M145" s="31" t="s">
        <v>1037</v>
      </c>
      <c r="N145" s="31" t="s">
        <v>267</v>
      </c>
      <c r="O145" s="34"/>
      <c r="P145" s="31">
        <v>2.0</v>
      </c>
      <c r="Q145" s="31" t="s">
        <v>307</v>
      </c>
      <c r="R145" s="32">
        <v>36678.0</v>
      </c>
      <c r="S145" s="31" t="s">
        <v>898</v>
      </c>
      <c r="T145" s="31" t="s">
        <v>360</v>
      </c>
      <c r="U145" s="31" t="s">
        <v>352</v>
      </c>
      <c r="V145" s="34"/>
      <c r="W145" s="34"/>
    </row>
    <row r="146">
      <c r="A146" s="30">
        <v>141.0</v>
      </c>
      <c r="B146" s="31" t="s">
        <v>1038</v>
      </c>
      <c r="C146" s="31" t="s">
        <v>1039</v>
      </c>
      <c r="D146" s="31" t="s">
        <v>260</v>
      </c>
      <c r="E146" s="31" t="s">
        <v>295</v>
      </c>
      <c r="F146" s="32">
        <v>44988.0</v>
      </c>
      <c r="G146" s="32">
        <v>45049.0</v>
      </c>
      <c r="H146" s="31" t="s">
        <v>346</v>
      </c>
      <c r="I146" s="31" t="s">
        <v>275</v>
      </c>
      <c r="J146" s="31" t="s">
        <v>295</v>
      </c>
      <c r="K146" s="31" t="s">
        <v>1033</v>
      </c>
      <c r="L146" s="31" t="s">
        <v>297</v>
      </c>
      <c r="M146" s="31" t="s">
        <v>1040</v>
      </c>
      <c r="N146" s="31" t="s">
        <v>267</v>
      </c>
      <c r="O146" s="34"/>
      <c r="P146" s="31">
        <v>2.0</v>
      </c>
      <c r="Q146" s="31" t="s">
        <v>307</v>
      </c>
      <c r="R146" s="32">
        <v>36217.0</v>
      </c>
      <c r="S146" s="31" t="s">
        <v>1041</v>
      </c>
      <c r="T146" s="31" t="s">
        <v>1042</v>
      </c>
      <c r="U146" s="31" t="s">
        <v>352</v>
      </c>
      <c r="V146" s="34"/>
      <c r="W146" s="34"/>
    </row>
    <row r="147">
      <c r="A147" s="30">
        <v>142.0</v>
      </c>
      <c r="B147" s="31" t="s">
        <v>1043</v>
      </c>
      <c r="C147" s="31" t="s">
        <v>711</v>
      </c>
      <c r="D147" s="31" t="s">
        <v>260</v>
      </c>
      <c r="E147" s="31" t="s">
        <v>436</v>
      </c>
      <c r="F147" s="32">
        <v>44988.0</v>
      </c>
      <c r="G147" s="32">
        <v>45049.0</v>
      </c>
      <c r="H147" s="31" t="s">
        <v>346</v>
      </c>
      <c r="I147" s="31" t="s">
        <v>275</v>
      </c>
      <c r="J147" s="31" t="s">
        <v>436</v>
      </c>
      <c r="K147" s="31" t="s">
        <v>437</v>
      </c>
      <c r="L147" s="31" t="s">
        <v>438</v>
      </c>
      <c r="M147" s="31" t="s">
        <v>1044</v>
      </c>
      <c r="N147" s="31" t="s">
        <v>267</v>
      </c>
      <c r="O147" s="34"/>
      <c r="P147" s="31">
        <v>3.0</v>
      </c>
      <c r="Q147" s="31" t="s">
        <v>307</v>
      </c>
      <c r="R147" s="32">
        <v>37110.0</v>
      </c>
      <c r="S147" s="31" t="s">
        <v>1045</v>
      </c>
      <c r="T147" s="31" t="s">
        <v>1046</v>
      </c>
      <c r="U147" s="31" t="s">
        <v>352</v>
      </c>
      <c r="V147" s="34"/>
      <c r="W147" s="34"/>
    </row>
    <row r="148">
      <c r="A148" s="30">
        <v>143.0</v>
      </c>
      <c r="B148" s="31" t="s">
        <v>1047</v>
      </c>
      <c r="C148" s="31" t="s">
        <v>1048</v>
      </c>
      <c r="D148" s="31" t="s">
        <v>506</v>
      </c>
      <c r="E148" s="31" t="s">
        <v>101</v>
      </c>
      <c r="F148" s="32">
        <v>44984.0</v>
      </c>
      <c r="G148" s="32">
        <v>45043.0</v>
      </c>
      <c r="H148" s="31" t="s">
        <v>346</v>
      </c>
      <c r="I148" s="31" t="s">
        <v>275</v>
      </c>
      <c r="J148" s="31" t="s">
        <v>101</v>
      </c>
      <c r="K148" s="31" t="s">
        <v>507</v>
      </c>
      <c r="L148" s="31" t="s">
        <v>508</v>
      </c>
      <c r="M148" s="31" t="s">
        <v>1049</v>
      </c>
      <c r="N148" s="31" t="s">
        <v>467</v>
      </c>
      <c r="O148" s="34"/>
      <c r="P148" s="31">
        <v>3.0</v>
      </c>
      <c r="Q148" s="31" t="s">
        <v>307</v>
      </c>
      <c r="R148" s="32">
        <v>36937.0</v>
      </c>
      <c r="S148" s="31" t="s">
        <v>1050</v>
      </c>
      <c r="T148" s="31" t="s">
        <v>934</v>
      </c>
      <c r="U148" s="31" t="s">
        <v>352</v>
      </c>
      <c r="V148" s="34"/>
      <c r="W148" s="34"/>
    </row>
    <row r="149">
      <c r="A149" s="30">
        <v>144.0</v>
      </c>
      <c r="B149" s="31" t="s">
        <v>1051</v>
      </c>
      <c r="C149" s="31" t="s">
        <v>1052</v>
      </c>
      <c r="D149" s="31" t="s">
        <v>506</v>
      </c>
      <c r="E149" s="31" t="s">
        <v>101</v>
      </c>
      <c r="F149" s="32">
        <v>44974.0</v>
      </c>
      <c r="G149" s="32">
        <v>45033.0</v>
      </c>
      <c r="H149" s="31" t="s">
        <v>346</v>
      </c>
      <c r="I149" s="31" t="s">
        <v>275</v>
      </c>
      <c r="J149" s="31" t="s">
        <v>101</v>
      </c>
      <c r="K149" s="31" t="s">
        <v>507</v>
      </c>
      <c r="L149" s="31" t="s">
        <v>508</v>
      </c>
      <c r="M149" s="31" t="s">
        <v>1053</v>
      </c>
      <c r="N149" s="31" t="s">
        <v>267</v>
      </c>
      <c r="O149" s="34"/>
      <c r="P149" s="31">
        <v>2.0</v>
      </c>
      <c r="Q149" s="31" t="s">
        <v>307</v>
      </c>
      <c r="R149" s="32">
        <v>36401.0</v>
      </c>
      <c r="S149" s="31" t="s">
        <v>1054</v>
      </c>
      <c r="T149" s="31" t="s">
        <v>360</v>
      </c>
      <c r="U149" s="31" t="s">
        <v>352</v>
      </c>
      <c r="V149" s="34"/>
      <c r="W149" s="34"/>
    </row>
    <row r="150">
      <c r="A150" s="30">
        <v>145.0</v>
      </c>
      <c r="B150" s="31" t="s">
        <v>1055</v>
      </c>
      <c r="C150" s="31" t="s">
        <v>1056</v>
      </c>
      <c r="D150" s="31" t="s">
        <v>506</v>
      </c>
      <c r="E150" s="31" t="s">
        <v>101</v>
      </c>
      <c r="F150" s="32">
        <v>44897.0</v>
      </c>
      <c r="G150" s="32">
        <v>44959.0</v>
      </c>
      <c r="H150" s="31" t="s">
        <v>346</v>
      </c>
      <c r="I150" s="31" t="s">
        <v>275</v>
      </c>
      <c r="J150" s="31" t="s">
        <v>101</v>
      </c>
      <c r="K150" s="31" t="s">
        <v>507</v>
      </c>
      <c r="L150" s="31" t="s">
        <v>508</v>
      </c>
      <c r="M150" s="31" t="s">
        <v>1057</v>
      </c>
      <c r="N150" s="31" t="s">
        <v>267</v>
      </c>
      <c r="O150" s="34"/>
      <c r="P150" s="31">
        <v>2.0</v>
      </c>
      <c r="Q150" s="31" t="s">
        <v>307</v>
      </c>
      <c r="R150" s="35">
        <v>36858.0</v>
      </c>
      <c r="S150" s="31" t="s">
        <v>1058</v>
      </c>
      <c r="T150" s="31" t="s">
        <v>1059</v>
      </c>
      <c r="U150" s="31" t="s">
        <v>352</v>
      </c>
      <c r="V150" s="34"/>
      <c r="W150" s="34"/>
    </row>
    <row r="151">
      <c r="A151" s="30">
        <v>146.0</v>
      </c>
      <c r="B151" s="31" t="s">
        <v>1060</v>
      </c>
      <c r="C151" s="31" t="s">
        <v>1061</v>
      </c>
      <c r="D151" s="31" t="s">
        <v>260</v>
      </c>
      <c r="E151" s="31" t="s">
        <v>295</v>
      </c>
      <c r="F151" s="35">
        <v>44886.0</v>
      </c>
      <c r="G151" s="32">
        <v>44947.0</v>
      </c>
      <c r="H151" s="31" t="s">
        <v>346</v>
      </c>
      <c r="I151" s="31" t="s">
        <v>275</v>
      </c>
      <c r="J151" s="31" t="s">
        <v>295</v>
      </c>
      <c r="K151" s="31" t="s">
        <v>1033</v>
      </c>
      <c r="L151" s="31" t="s">
        <v>297</v>
      </c>
      <c r="M151" s="31" t="s">
        <v>1062</v>
      </c>
      <c r="N151" s="31" t="s">
        <v>267</v>
      </c>
      <c r="O151" s="34"/>
      <c r="P151" s="31">
        <v>3.0</v>
      </c>
      <c r="Q151" s="31" t="s">
        <v>307</v>
      </c>
      <c r="R151" s="32">
        <v>36670.0</v>
      </c>
      <c r="S151" s="31" t="s">
        <v>526</v>
      </c>
      <c r="T151" s="31" t="s">
        <v>1063</v>
      </c>
      <c r="U151" s="31" t="s">
        <v>352</v>
      </c>
      <c r="V151" s="34"/>
      <c r="W151" s="34"/>
    </row>
    <row r="152">
      <c r="A152" s="30">
        <v>147.0</v>
      </c>
      <c r="B152" s="31" t="s">
        <v>1064</v>
      </c>
      <c r="C152" s="31" t="s">
        <v>1065</v>
      </c>
      <c r="D152" s="31" t="s">
        <v>260</v>
      </c>
      <c r="E152" s="31" t="s">
        <v>1066</v>
      </c>
      <c r="F152" s="35">
        <v>44862.0</v>
      </c>
      <c r="G152" s="35">
        <v>44923.0</v>
      </c>
      <c r="H152" s="31" t="s">
        <v>346</v>
      </c>
      <c r="I152" s="31" t="s">
        <v>275</v>
      </c>
      <c r="J152" s="31" t="s">
        <v>1067</v>
      </c>
      <c r="K152" s="31" t="s">
        <v>1068</v>
      </c>
      <c r="L152" s="31" t="s">
        <v>1069</v>
      </c>
      <c r="M152" s="31" t="s">
        <v>1070</v>
      </c>
      <c r="N152" s="31" t="s">
        <v>467</v>
      </c>
      <c r="O152" s="34"/>
      <c r="P152" s="31">
        <v>3.0</v>
      </c>
      <c r="Q152" s="31" t="s">
        <v>307</v>
      </c>
      <c r="R152" s="35">
        <v>35780.0</v>
      </c>
      <c r="S152" s="31" t="s">
        <v>531</v>
      </c>
      <c r="T152" s="31" t="s">
        <v>1071</v>
      </c>
      <c r="U152" s="31" t="s">
        <v>352</v>
      </c>
      <c r="V152" s="31" t="s">
        <v>1066</v>
      </c>
      <c r="W152" s="34"/>
    </row>
    <row r="153">
      <c r="A153" s="30">
        <v>148.0</v>
      </c>
      <c r="B153" s="31" t="s">
        <v>1072</v>
      </c>
      <c r="C153" s="31" t="s">
        <v>1073</v>
      </c>
      <c r="D153" s="31" t="s">
        <v>260</v>
      </c>
      <c r="E153" s="31" t="s">
        <v>436</v>
      </c>
      <c r="F153" s="32">
        <v>44616.0</v>
      </c>
      <c r="G153" s="32">
        <v>44675.0</v>
      </c>
      <c r="H153" s="31" t="s">
        <v>346</v>
      </c>
      <c r="I153" s="31" t="s">
        <v>275</v>
      </c>
      <c r="J153" s="31" t="s">
        <v>436</v>
      </c>
      <c r="K153" s="31" t="s">
        <v>437</v>
      </c>
      <c r="L153" s="31" t="s">
        <v>438</v>
      </c>
      <c r="M153" s="31" t="s">
        <v>1074</v>
      </c>
      <c r="N153" s="31" t="s">
        <v>267</v>
      </c>
      <c r="O153" s="34"/>
      <c r="P153" s="31">
        <v>2.0</v>
      </c>
      <c r="Q153" s="31" t="s">
        <v>307</v>
      </c>
      <c r="R153" s="35">
        <v>36814.0</v>
      </c>
      <c r="S153" s="31" t="s">
        <v>700</v>
      </c>
      <c r="T153" s="31" t="s">
        <v>722</v>
      </c>
      <c r="U153" s="31" t="s">
        <v>352</v>
      </c>
      <c r="V153" s="34"/>
      <c r="W153" s="34"/>
    </row>
    <row r="154">
      <c r="A154" s="30">
        <v>149.0</v>
      </c>
      <c r="B154" s="31" t="s">
        <v>1075</v>
      </c>
      <c r="C154" s="31" t="s">
        <v>1076</v>
      </c>
      <c r="D154" s="31" t="s">
        <v>506</v>
      </c>
      <c r="E154" s="31" t="s">
        <v>101</v>
      </c>
      <c r="F154" s="32">
        <v>44531.0</v>
      </c>
      <c r="G154" s="32">
        <v>44593.0</v>
      </c>
      <c r="H154" s="31" t="s">
        <v>346</v>
      </c>
      <c r="I154" s="31" t="s">
        <v>275</v>
      </c>
      <c r="J154" s="31" t="s">
        <v>101</v>
      </c>
      <c r="K154" s="31" t="s">
        <v>507</v>
      </c>
      <c r="L154" s="31" t="s">
        <v>508</v>
      </c>
      <c r="M154" s="31" t="s">
        <v>1077</v>
      </c>
      <c r="N154" s="31" t="s">
        <v>267</v>
      </c>
      <c r="O154" s="34"/>
      <c r="P154" s="31">
        <v>5.0</v>
      </c>
      <c r="Q154" s="31" t="s">
        <v>307</v>
      </c>
      <c r="R154" s="32">
        <v>36497.0</v>
      </c>
      <c r="S154" s="31" t="s">
        <v>681</v>
      </c>
      <c r="T154" s="31" t="s">
        <v>496</v>
      </c>
      <c r="U154" s="31" t="s">
        <v>352</v>
      </c>
      <c r="V154" s="34"/>
      <c r="W154" s="34"/>
    </row>
    <row r="155">
      <c r="A155" s="30">
        <v>150.0</v>
      </c>
      <c r="B155" s="31" t="s">
        <v>1078</v>
      </c>
      <c r="C155" s="31" t="s">
        <v>1079</v>
      </c>
      <c r="D155" s="31" t="s">
        <v>260</v>
      </c>
      <c r="E155" s="31" t="s">
        <v>436</v>
      </c>
      <c r="F155" s="32">
        <v>44600.0</v>
      </c>
      <c r="G155" s="32">
        <v>44659.0</v>
      </c>
      <c r="H155" s="31" t="s">
        <v>346</v>
      </c>
      <c r="I155" s="31" t="s">
        <v>275</v>
      </c>
      <c r="J155" s="31" t="s">
        <v>436</v>
      </c>
      <c r="K155" s="31" t="s">
        <v>437</v>
      </c>
      <c r="L155" s="31" t="s">
        <v>438</v>
      </c>
      <c r="M155" s="31" t="s">
        <v>1080</v>
      </c>
      <c r="N155" s="31" t="s">
        <v>267</v>
      </c>
      <c r="O155" s="34"/>
      <c r="P155" s="31">
        <v>6.0</v>
      </c>
      <c r="Q155" s="31" t="s">
        <v>307</v>
      </c>
      <c r="R155" s="32">
        <v>36545.0</v>
      </c>
      <c r="S155" s="31" t="s">
        <v>320</v>
      </c>
      <c r="T155" s="31" t="s">
        <v>1081</v>
      </c>
      <c r="U155" s="31" t="s">
        <v>352</v>
      </c>
      <c r="V155" s="34"/>
      <c r="W155" s="34"/>
    </row>
    <row r="156">
      <c r="A156" s="30">
        <v>151.0</v>
      </c>
      <c r="B156" s="31" t="s">
        <v>1082</v>
      </c>
      <c r="C156" s="31" t="s">
        <v>1083</v>
      </c>
      <c r="D156" s="31" t="s">
        <v>506</v>
      </c>
      <c r="E156" s="31" t="s">
        <v>101</v>
      </c>
      <c r="F156" s="32">
        <v>44531.0</v>
      </c>
      <c r="G156" s="32">
        <v>44593.0</v>
      </c>
      <c r="H156" s="31" t="s">
        <v>346</v>
      </c>
      <c r="I156" s="31" t="s">
        <v>275</v>
      </c>
      <c r="J156" s="31" t="s">
        <v>101</v>
      </c>
      <c r="K156" s="31" t="s">
        <v>507</v>
      </c>
      <c r="L156" s="31" t="s">
        <v>508</v>
      </c>
      <c r="M156" s="31" t="s">
        <v>1084</v>
      </c>
      <c r="N156" s="31" t="s">
        <v>267</v>
      </c>
      <c r="O156" s="34"/>
      <c r="P156" s="31">
        <v>4.0</v>
      </c>
      <c r="Q156" s="31" t="s">
        <v>581</v>
      </c>
      <c r="R156" s="32">
        <v>36387.0</v>
      </c>
      <c r="S156" s="31" t="s">
        <v>1085</v>
      </c>
      <c r="T156" s="31" t="s">
        <v>686</v>
      </c>
      <c r="U156" s="31" t="s">
        <v>352</v>
      </c>
      <c r="V156" s="34"/>
      <c r="W156" s="34"/>
    </row>
    <row r="157">
      <c r="A157" s="30">
        <v>152.0</v>
      </c>
      <c r="B157" s="31" t="s">
        <v>1086</v>
      </c>
      <c r="C157" s="31" t="s">
        <v>1087</v>
      </c>
      <c r="D157" s="31" t="s">
        <v>925</v>
      </c>
      <c r="E157" s="31" t="s">
        <v>1088</v>
      </c>
      <c r="F157" s="32">
        <v>44602.0</v>
      </c>
      <c r="G157" s="32">
        <v>44661.0</v>
      </c>
      <c r="H157" s="31" t="s">
        <v>346</v>
      </c>
      <c r="I157" s="31" t="s">
        <v>275</v>
      </c>
      <c r="J157" s="31" t="s">
        <v>1067</v>
      </c>
      <c r="K157" s="31" t="s">
        <v>1089</v>
      </c>
      <c r="L157" s="31" t="s">
        <v>929</v>
      </c>
      <c r="M157" s="31" t="s">
        <v>1090</v>
      </c>
      <c r="N157" s="31" t="s">
        <v>267</v>
      </c>
      <c r="O157" s="34"/>
      <c r="P157" s="31">
        <v>1.0</v>
      </c>
      <c r="Q157" s="31" t="s">
        <v>307</v>
      </c>
      <c r="R157" s="32">
        <v>36794.0</v>
      </c>
      <c r="S157" s="31" t="s">
        <v>320</v>
      </c>
      <c r="T157" s="31" t="s">
        <v>503</v>
      </c>
      <c r="U157" s="31" t="s">
        <v>352</v>
      </c>
      <c r="V157" s="31" t="s">
        <v>1088</v>
      </c>
      <c r="W157" s="34"/>
    </row>
    <row r="158">
      <c r="A158" s="30">
        <v>153.0</v>
      </c>
      <c r="B158" s="31" t="s">
        <v>1091</v>
      </c>
      <c r="C158" s="31" t="s">
        <v>817</v>
      </c>
      <c r="D158" s="31" t="s">
        <v>506</v>
      </c>
      <c r="E158" s="31" t="s">
        <v>101</v>
      </c>
      <c r="F158" s="32">
        <v>44531.0</v>
      </c>
      <c r="G158" s="32">
        <v>44593.0</v>
      </c>
      <c r="H158" s="31" t="s">
        <v>346</v>
      </c>
      <c r="I158" s="31" t="s">
        <v>275</v>
      </c>
      <c r="J158" s="31" t="s">
        <v>101</v>
      </c>
      <c r="K158" s="31" t="s">
        <v>507</v>
      </c>
      <c r="L158" s="31" t="s">
        <v>508</v>
      </c>
      <c r="M158" s="31" t="s">
        <v>1092</v>
      </c>
      <c r="N158" s="31" t="s">
        <v>267</v>
      </c>
      <c r="O158" s="34"/>
      <c r="P158" s="31">
        <v>5.0</v>
      </c>
      <c r="Q158" s="31" t="s">
        <v>307</v>
      </c>
      <c r="R158" s="32">
        <v>36347.0</v>
      </c>
      <c r="S158" s="31" t="s">
        <v>838</v>
      </c>
      <c r="T158" s="31" t="s">
        <v>1093</v>
      </c>
      <c r="U158" s="31" t="s">
        <v>352</v>
      </c>
      <c r="V158" s="34"/>
      <c r="W158" s="34"/>
    </row>
    <row r="159">
      <c r="A159" s="30">
        <v>154.0</v>
      </c>
      <c r="B159" s="31" t="s">
        <v>1094</v>
      </c>
      <c r="C159" s="31" t="s">
        <v>754</v>
      </c>
      <c r="D159" s="31" t="s">
        <v>260</v>
      </c>
      <c r="E159" s="31" t="s">
        <v>1095</v>
      </c>
      <c r="F159" s="32">
        <v>44260.0</v>
      </c>
      <c r="G159" s="32">
        <v>44321.0</v>
      </c>
      <c r="H159" s="31" t="s">
        <v>346</v>
      </c>
      <c r="I159" s="31" t="s">
        <v>275</v>
      </c>
      <c r="J159" s="31" t="s">
        <v>1067</v>
      </c>
      <c r="K159" s="31" t="s">
        <v>1096</v>
      </c>
      <c r="L159" s="31" t="s">
        <v>945</v>
      </c>
      <c r="M159" s="31" t="s">
        <v>1097</v>
      </c>
      <c r="N159" s="31" t="s">
        <v>267</v>
      </c>
      <c r="O159" s="34"/>
      <c r="P159" s="31">
        <v>3.0</v>
      </c>
      <c r="Q159" s="31" t="s">
        <v>307</v>
      </c>
      <c r="R159" s="32">
        <v>36191.0</v>
      </c>
      <c r="S159" s="31" t="s">
        <v>531</v>
      </c>
      <c r="T159" s="31" t="s">
        <v>503</v>
      </c>
      <c r="U159" s="31" t="s">
        <v>352</v>
      </c>
      <c r="V159" s="31" t="s">
        <v>1095</v>
      </c>
      <c r="W159" s="34"/>
    </row>
    <row r="160">
      <c r="A160" s="30">
        <v>155.0</v>
      </c>
      <c r="B160" s="31" t="s">
        <v>1098</v>
      </c>
      <c r="C160" s="31" t="s">
        <v>1099</v>
      </c>
      <c r="D160" s="31" t="s">
        <v>260</v>
      </c>
      <c r="E160" s="31" t="s">
        <v>1066</v>
      </c>
      <c r="F160" s="35">
        <v>44135.0</v>
      </c>
      <c r="G160" s="35">
        <v>44196.0</v>
      </c>
      <c r="H160" s="31" t="s">
        <v>346</v>
      </c>
      <c r="I160" s="31" t="s">
        <v>275</v>
      </c>
      <c r="J160" s="31" t="s">
        <v>1067</v>
      </c>
      <c r="K160" s="31" t="s">
        <v>1068</v>
      </c>
      <c r="L160" s="31" t="s">
        <v>997</v>
      </c>
      <c r="M160" s="31" t="s">
        <v>1100</v>
      </c>
      <c r="N160" s="31" t="s">
        <v>467</v>
      </c>
      <c r="O160" s="34"/>
      <c r="P160" s="31">
        <v>7.0</v>
      </c>
      <c r="Q160" s="31" t="s">
        <v>307</v>
      </c>
      <c r="R160" s="32">
        <v>35675.0</v>
      </c>
      <c r="S160" s="31" t="s">
        <v>681</v>
      </c>
      <c r="T160" s="31" t="s">
        <v>686</v>
      </c>
      <c r="U160" s="31" t="s">
        <v>352</v>
      </c>
      <c r="V160" s="31" t="s">
        <v>1066</v>
      </c>
      <c r="W160" s="34"/>
    </row>
    <row r="161">
      <c r="A161" s="30">
        <v>156.0</v>
      </c>
      <c r="B161" s="31" t="s">
        <v>1101</v>
      </c>
      <c r="C161" s="31" t="s">
        <v>1102</v>
      </c>
      <c r="D161" s="31" t="s">
        <v>260</v>
      </c>
      <c r="E161" s="31" t="s">
        <v>295</v>
      </c>
      <c r="F161" s="35">
        <v>44188.0</v>
      </c>
      <c r="G161" s="32">
        <v>44250.0</v>
      </c>
      <c r="H161" s="31" t="s">
        <v>346</v>
      </c>
      <c r="I161" s="31" t="s">
        <v>275</v>
      </c>
      <c r="J161" s="31" t="s">
        <v>295</v>
      </c>
      <c r="K161" s="31" t="s">
        <v>1033</v>
      </c>
      <c r="L161" s="31" t="s">
        <v>297</v>
      </c>
      <c r="M161" s="31" t="s">
        <v>1103</v>
      </c>
      <c r="N161" s="31" t="s">
        <v>267</v>
      </c>
      <c r="O161" s="34"/>
      <c r="P161" s="31">
        <v>5.0</v>
      </c>
      <c r="Q161" s="31" t="s">
        <v>307</v>
      </c>
      <c r="R161" s="32">
        <v>36311.0</v>
      </c>
      <c r="S161" s="31" t="s">
        <v>1104</v>
      </c>
      <c r="T161" s="31" t="s">
        <v>744</v>
      </c>
      <c r="U161" s="31" t="s">
        <v>352</v>
      </c>
      <c r="V161" s="34"/>
      <c r="W161" s="34"/>
    </row>
    <row r="162">
      <c r="A162" s="30">
        <v>157.0</v>
      </c>
      <c r="B162" s="31" t="s">
        <v>1105</v>
      </c>
      <c r="C162" s="31" t="s">
        <v>1106</v>
      </c>
      <c r="D162" s="31" t="s">
        <v>260</v>
      </c>
      <c r="E162" s="31" t="s">
        <v>295</v>
      </c>
      <c r="F162" s="35">
        <v>44151.0</v>
      </c>
      <c r="G162" s="32">
        <v>44212.0</v>
      </c>
      <c r="H162" s="31" t="s">
        <v>346</v>
      </c>
      <c r="I162" s="31" t="s">
        <v>275</v>
      </c>
      <c r="J162" s="31" t="s">
        <v>295</v>
      </c>
      <c r="K162" s="31" t="s">
        <v>1033</v>
      </c>
      <c r="L162" s="31" t="s">
        <v>297</v>
      </c>
      <c r="M162" s="31" t="s">
        <v>1107</v>
      </c>
      <c r="N162" s="31" t="s">
        <v>267</v>
      </c>
      <c r="O162" s="34"/>
      <c r="P162" s="31">
        <v>6.0</v>
      </c>
      <c r="Q162" s="31" t="s">
        <v>307</v>
      </c>
      <c r="R162" s="32">
        <v>35832.0</v>
      </c>
      <c r="S162" s="31" t="s">
        <v>1108</v>
      </c>
      <c r="T162" s="31" t="s">
        <v>1109</v>
      </c>
      <c r="U162" s="31" t="s">
        <v>352</v>
      </c>
      <c r="V162" s="34"/>
      <c r="W162" s="34"/>
    </row>
    <row r="163">
      <c r="A163" s="30">
        <v>158.0</v>
      </c>
      <c r="B163" s="31" t="s">
        <v>1110</v>
      </c>
      <c r="C163" s="31" t="s">
        <v>1111</v>
      </c>
      <c r="D163" s="31" t="s">
        <v>260</v>
      </c>
      <c r="E163" s="31" t="s">
        <v>1112</v>
      </c>
      <c r="F163" s="32">
        <v>44217.0</v>
      </c>
      <c r="G163" s="32">
        <v>44276.0</v>
      </c>
      <c r="H163" s="31" t="s">
        <v>346</v>
      </c>
      <c r="I163" s="31" t="s">
        <v>275</v>
      </c>
      <c r="J163" s="31" t="s">
        <v>1067</v>
      </c>
      <c r="K163" s="31" t="s">
        <v>1113</v>
      </c>
      <c r="L163" s="31" t="s">
        <v>1114</v>
      </c>
      <c r="M163" s="31" t="s">
        <v>1115</v>
      </c>
      <c r="N163" s="31" t="s">
        <v>267</v>
      </c>
      <c r="O163" s="34"/>
      <c r="P163" s="31">
        <v>3.0</v>
      </c>
      <c r="Q163" s="31" t="s">
        <v>307</v>
      </c>
      <c r="R163" s="32">
        <v>36431.0</v>
      </c>
      <c r="S163" s="31" t="s">
        <v>1116</v>
      </c>
      <c r="T163" s="31" t="s">
        <v>1117</v>
      </c>
      <c r="U163" s="31" t="s">
        <v>352</v>
      </c>
      <c r="V163" s="31" t="s">
        <v>1112</v>
      </c>
      <c r="W163" s="34"/>
    </row>
    <row r="164">
      <c r="A164" s="30">
        <v>159.0</v>
      </c>
      <c r="B164" s="31" t="s">
        <v>1118</v>
      </c>
      <c r="C164" s="31" t="s">
        <v>1119</v>
      </c>
      <c r="D164" s="31" t="s">
        <v>260</v>
      </c>
      <c r="E164" s="31" t="s">
        <v>295</v>
      </c>
      <c r="F164" s="32">
        <v>44309.0</v>
      </c>
      <c r="G164" s="32">
        <v>44370.0</v>
      </c>
      <c r="H164" s="31" t="s">
        <v>346</v>
      </c>
      <c r="I164" s="31" t="s">
        <v>275</v>
      </c>
      <c r="J164" s="31" t="s">
        <v>295</v>
      </c>
      <c r="K164" s="31" t="s">
        <v>1033</v>
      </c>
      <c r="L164" s="31" t="s">
        <v>297</v>
      </c>
      <c r="M164" s="31" t="s">
        <v>1120</v>
      </c>
      <c r="N164" s="31" t="s">
        <v>267</v>
      </c>
      <c r="O164" s="34"/>
      <c r="P164" s="31">
        <v>5.0</v>
      </c>
      <c r="Q164" s="31" t="s">
        <v>307</v>
      </c>
      <c r="R164" s="32">
        <v>36382.0</v>
      </c>
      <c r="S164" s="31" t="s">
        <v>676</v>
      </c>
      <c r="T164" s="31" t="s">
        <v>778</v>
      </c>
      <c r="U164" s="31" t="s">
        <v>352</v>
      </c>
      <c r="V164" s="34"/>
      <c r="W164" s="34"/>
    </row>
    <row r="165">
      <c r="A165" s="30">
        <v>160.0</v>
      </c>
      <c r="B165" s="31" t="s">
        <v>1121</v>
      </c>
      <c r="C165" s="31" t="s">
        <v>1122</v>
      </c>
      <c r="D165" s="31" t="s">
        <v>506</v>
      </c>
      <c r="E165" s="31" t="s">
        <v>101</v>
      </c>
      <c r="F165" s="35">
        <v>44131.0</v>
      </c>
      <c r="G165" s="35">
        <v>44192.0</v>
      </c>
      <c r="H165" s="31" t="s">
        <v>346</v>
      </c>
      <c r="I165" s="31" t="s">
        <v>275</v>
      </c>
      <c r="J165" s="31" t="s">
        <v>101</v>
      </c>
      <c r="K165" s="31" t="s">
        <v>507</v>
      </c>
      <c r="L165" s="31" t="s">
        <v>508</v>
      </c>
      <c r="M165" s="31" t="s">
        <v>1123</v>
      </c>
      <c r="N165" s="31" t="s">
        <v>267</v>
      </c>
      <c r="O165" s="34"/>
      <c r="P165" s="31">
        <v>8.0</v>
      </c>
      <c r="Q165" s="31" t="s">
        <v>307</v>
      </c>
      <c r="R165" s="32">
        <v>35712.0</v>
      </c>
      <c r="S165" s="31" t="s">
        <v>631</v>
      </c>
      <c r="T165" s="31" t="s">
        <v>999</v>
      </c>
      <c r="U165" s="31" t="s">
        <v>352</v>
      </c>
      <c r="V165" s="34"/>
      <c r="W165" s="34"/>
    </row>
    <row r="166">
      <c r="A166" s="30">
        <v>161.0</v>
      </c>
      <c r="B166" s="31" t="s">
        <v>1124</v>
      </c>
      <c r="C166" s="31" t="s">
        <v>1125</v>
      </c>
      <c r="D166" s="31" t="s">
        <v>260</v>
      </c>
      <c r="E166" s="31" t="s">
        <v>397</v>
      </c>
      <c r="F166" s="32">
        <v>44980.0</v>
      </c>
      <c r="G166" s="32">
        <v>45039.0</v>
      </c>
      <c r="H166" s="31" t="s">
        <v>346</v>
      </c>
      <c r="I166" s="31" t="s">
        <v>112</v>
      </c>
      <c r="J166" s="31" t="s">
        <v>397</v>
      </c>
      <c r="K166" s="31" t="s">
        <v>398</v>
      </c>
      <c r="L166" s="31" t="s">
        <v>392</v>
      </c>
      <c r="M166" s="31" t="s">
        <v>1126</v>
      </c>
      <c r="N166" s="31" t="s">
        <v>267</v>
      </c>
      <c r="O166" s="34"/>
      <c r="P166" s="31">
        <v>2.0</v>
      </c>
      <c r="Q166" s="31" t="s">
        <v>307</v>
      </c>
      <c r="R166" s="32">
        <v>35819.0</v>
      </c>
      <c r="S166" s="31" t="s">
        <v>531</v>
      </c>
      <c r="T166" s="31" t="s">
        <v>1127</v>
      </c>
      <c r="U166" s="31" t="s">
        <v>361</v>
      </c>
      <c r="V166" s="34"/>
      <c r="W166" s="34"/>
    </row>
    <row r="167">
      <c r="A167" s="30">
        <v>162.0</v>
      </c>
      <c r="B167" s="31" t="s">
        <v>1128</v>
      </c>
      <c r="C167" s="31" t="s">
        <v>1129</v>
      </c>
      <c r="D167" s="31" t="s">
        <v>260</v>
      </c>
      <c r="E167" s="31" t="s">
        <v>1130</v>
      </c>
      <c r="F167" s="32">
        <v>44956.0</v>
      </c>
      <c r="G167" s="32">
        <v>45015.0</v>
      </c>
      <c r="H167" s="31" t="s">
        <v>346</v>
      </c>
      <c r="I167" s="31" t="s">
        <v>112</v>
      </c>
      <c r="J167" s="31" t="s">
        <v>1130</v>
      </c>
      <c r="K167" s="31" t="s">
        <v>1131</v>
      </c>
      <c r="L167" s="31" t="s">
        <v>392</v>
      </c>
      <c r="M167" s="31" t="s">
        <v>1132</v>
      </c>
      <c r="N167" s="31" t="s">
        <v>267</v>
      </c>
      <c r="O167" s="34"/>
      <c r="P167" s="31">
        <v>3.0</v>
      </c>
      <c r="Q167" s="31" t="s">
        <v>307</v>
      </c>
      <c r="R167" s="32">
        <v>36996.0</v>
      </c>
      <c r="S167" s="31" t="s">
        <v>526</v>
      </c>
      <c r="T167" s="31" t="s">
        <v>1133</v>
      </c>
      <c r="U167" s="31" t="s">
        <v>361</v>
      </c>
      <c r="V167" s="34"/>
      <c r="W167" s="34"/>
    </row>
    <row r="168">
      <c r="A168" s="30">
        <v>163.0</v>
      </c>
      <c r="B168" s="31" t="s">
        <v>1134</v>
      </c>
      <c r="C168" s="31" t="s">
        <v>1135</v>
      </c>
      <c r="D168" s="31" t="s">
        <v>260</v>
      </c>
      <c r="E168" s="31" t="s">
        <v>283</v>
      </c>
      <c r="F168" s="32">
        <v>44929.0</v>
      </c>
      <c r="G168" s="32">
        <v>44988.0</v>
      </c>
      <c r="H168" s="31" t="s">
        <v>346</v>
      </c>
      <c r="I168" s="31" t="s">
        <v>275</v>
      </c>
      <c r="J168" s="31" t="s">
        <v>283</v>
      </c>
      <c r="K168" s="31" t="s">
        <v>519</v>
      </c>
      <c r="L168" s="31" t="s">
        <v>277</v>
      </c>
      <c r="M168" s="31" t="s">
        <v>1136</v>
      </c>
      <c r="N168" s="31" t="s">
        <v>267</v>
      </c>
      <c r="O168" s="34"/>
      <c r="P168" s="31">
        <v>2.0</v>
      </c>
      <c r="Q168" s="31" t="s">
        <v>307</v>
      </c>
      <c r="R168" s="32">
        <v>36721.0</v>
      </c>
      <c r="S168" s="31" t="s">
        <v>700</v>
      </c>
      <c r="T168" s="31" t="s">
        <v>686</v>
      </c>
      <c r="U168" s="31" t="s">
        <v>352</v>
      </c>
      <c r="V168" s="34"/>
      <c r="W168" s="34"/>
    </row>
    <row r="169">
      <c r="A169" s="30">
        <v>164.0</v>
      </c>
      <c r="B169" s="31" t="s">
        <v>1137</v>
      </c>
      <c r="C169" s="31" t="s">
        <v>1138</v>
      </c>
      <c r="D169" s="31" t="s">
        <v>260</v>
      </c>
      <c r="E169" s="31" t="s">
        <v>1139</v>
      </c>
      <c r="F169" s="35">
        <v>44924.0</v>
      </c>
      <c r="G169" s="32">
        <v>44986.0</v>
      </c>
      <c r="H169" s="31" t="s">
        <v>346</v>
      </c>
      <c r="I169" s="31" t="s">
        <v>112</v>
      </c>
      <c r="J169" s="31" t="s">
        <v>1139</v>
      </c>
      <c r="K169" s="31" t="s">
        <v>1140</v>
      </c>
      <c r="L169" s="31" t="s">
        <v>392</v>
      </c>
      <c r="M169" s="31" t="s">
        <v>1141</v>
      </c>
      <c r="N169" s="31" t="s">
        <v>267</v>
      </c>
      <c r="O169" s="34"/>
      <c r="P169" s="31">
        <v>2.0</v>
      </c>
      <c r="Q169" s="31" t="s">
        <v>307</v>
      </c>
      <c r="R169" s="32">
        <v>35922.0</v>
      </c>
      <c r="S169" s="31" t="s">
        <v>458</v>
      </c>
      <c r="T169" s="31" t="s">
        <v>705</v>
      </c>
      <c r="U169" s="31" t="s">
        <v>361</v>
      </c>
      <c r="V169" s="34"/>
      <c r="W169" s="34"/>
    </row>
    <row r="170">
      <c r="A170" s="30">
        <v>165.0</v>
      </c>
      <c r="B170" s="31" t="s">
        <v>1142</v>
      </c>
      <c r="C170" s="31" t="s">
        <v>1143</v>
      </c>
      <c r="D170" s="31" t="s">
        <v>260</v>
      </c>
      <c r="E170" s="31" t="s">
        <v>397</v>
      </c>
      <c r="F170" s="32">
        <v>44826.0</v>
      </c>
      <c r="G170" s="35">
        <v>44887.0</v>
      </c>
      <c r="H170" s="31" t="s">
        <v>346</v>
      </c>
      <c r="I170" s="31" t="s">
        <v>112</v>
      </c>
      <c r="J170" s="31" t="s">
        <v>397</v>
      </c>
      <c r="K170" s="31" t="s">
        <v>398</v>
      </c>
      <c r="L170" s="31" t="s">
        <v>392</v>
      </c>
      <c r="M170" s="31" t="s">
        <v>1144</v>
      </c>
      <c r="N170" s="31" t="s">
        <v>267</v>
      </c>
      <c r="O170" s="34"/>
      <c r="P170" s="31">
        <v>5.0</v>
      </c>
      <c r="Q170" s="31" t="s">
        <v>307</v>
      </c>
      <c r="R170" s="32">
        <v>36608.0</v>
      </c>
      <c r="S170" s="31" t="s">
        <v>1058</v>
      </c>
      <c r="T170" s="31" t="s">
        <v>1145</v>
      </c>
      <c r="U170" s="31" t="s">
        <v>361</v>
      </c>
      <c r="V170" s="34"/>
      <c r="W170" s="34"/>
    </row>
    <row r="171">
      <c r="A171" s="30">
        <v>166.0</v>
      </c>
      <c r="B171" s="31" t="s">
        <v>1146</v>
      </c>
      <c r="C171" s="31" t="s">
        <v>1147</v>
      </c>
      <c r="D171" s="31" t="s">
        <v>260</v>
      </c>
      <c r="E171" s="31" t="s">
        <v>274</v>
      </c>
      <c r="F171" s="32">
        <v>44743.0</v>
      </c>
      <c r="G171" s="32">
        <v>44805.0</v>
      </c>
      <c r="H171" s="31" t="s">
        <v>346</v>
      </c>
      <c r="I171" s="31" t="s">
        <v>275</v>
      </c>
      <c r="J171" s="31" t="s">
        <v>274</v>
      </c>
      <c r="K171" s="31" t="s">
        <v>424</v>
      </c>
      <c r="L171" s="31" t="s">
        <v>277</v>
      </c>
      <c r="M171" s="31" t="s">
        <v>1148</v>
      </c>
      <c r="N171" s="31" t="s">
        <v>267</v>
      </c>
      <c r="O171" s="34"/>
      <c r="P171" s="31">
        <v>5.0</v>
      </c>
      <c r="Q171" s="31" t="s">
        <v>307</v>
      </c>
      <c r="R171" s="32">
        <v>36644.0</v>
      </c>
      <c r="S171" s="31" t="s">
        <v>1149</v>
      </c>
      <c r="T171" s="31" t="s">
        <v>503</v>
      </c>
      <c r="U171" s="31" t="s">
        <v>352</v>
      </c>
      <c r="V171" s="34"/>
      <c r="W171" s="34"/>
    </row>
    <row r="172">
      <c r="A172" s="30">
        <v>167.0</v>
      </c>
      <c r="B172" s="31" t="s">
        <v>1150</v>
      </c>
      <c r="C172" s="31" t="s">
        <v>1151</v>
      </c>
      <c r="D172" s="31" t="s">
        <v>260</v>
      </c>
      <c r="E172" s="31" t="s">
        <v>274</v>
      </c>
      <c r="F172" s="32">
        <v>44743.0</v>
      </c>
      <c r="G172" s="32">
        <v>44805.0</v>
      </c>
      <c r="H172" s="31" t="s">
        <v>346</v>
      </c>
      <c r="I172" s="31" t="s">
        <v>275</v>
      </c>
      <c r="J172" s="31" t="s">
        <v>274</v>
      </c>
      <c r="K172" s="31" t="s">
        <v>424</v>
      </c>
      <c r="L172" s="31" t="s">
        <v>277</v>
      </c>
      <c r="M172" s="31" t="s">
        <v>1152</v>
      </c>
      <c r="N172" s="31" t="s">
        <v>267</v>
      </c>
      <c r="O172" s="34"/>
      <c r="P172" s="31">
        <v>7.0</v>
      </c>
      <c r="Q172" s="31" t="s">
        <v>307</v>
      </c>
      <c r="R172" s="35">
        <v>37221.0</v>
      </c>
      <c r="S172" s="31" t="s">
        <v>1018</v>
      </c>
      <c r="T172" s="31" t="s">
        <v>934</v>
      </c>
      <c r="U172" s="31" t="s">
        <v>352</v>
      </c>
      <c r="V172" s="34"/>
      <c r="W172" s="34"/>
    </row>
    <row r="173">
      <c r="A173" s="30">
        <v>168.0</v>
      </c>
      <c r="B173" s="31" t="s">
        <v>1153</v>
      </c>
      <c r="C173" s="31" t="s">
        <v>1154</v>
      </c>
      <c r="D173" s="31" t="s">
        <v>260</v>
      </c>
      <c r="E173" s="31" t="s">
        <v>274</v>
      </c>
      <c r="F173" s="32">
        <v>44774.0</v>
      </c>
      <c r="G173" s="32">
        <v>44835.0</v>
      </c>
      <c r="H173" s="31" t="s">
        <v>346</v>
      </c>
      <c r="I173" s="31" t="s">
        <v>275</v>
      </c>
      <c r="J173" s="31" t="s">
        <v>274</v>
      </c>
      <c r="K173" s="31" t="s">
        <v>424</v>
      </c>
      <c r="L173" s="31" t="s">
        <v>277</v>
      </c>
      <c r="M173" s="31" t="s">
        <v>1155</v>
      </c>
      <c r="N173" s="31" t="s">
        <v>267</v>
      </c>
      <c r="O173" s="34"/>
      <c r="P173" s="31">
        <v>3.0</v>
      </c>
      <c r="Q173" s="31" t="s">
        <v>307</v>
      </c>
      <c r="R173" s="32">
        <v>36835.0</v>
      </c>
      <c r="S173" s="31" t="s">
        <v>320</v>
      </c>
      <c r="T173" s="31" t="s">
        <v>1156</v>
      </c>
      <c r="U173" s="31" t="s">
        <v>352</v>
      </c>
      <c r="V173" s="34"/>
      <c r="W173" s="34"/>
    </row>
    <row r="174">
      <c r="A174" s="30">
        <v>169.0</v>
      </c>
      <c r="B174" s="31" t="s">
        <v>1157</v>
      </c>
      <c r="C174" s="31" t="s">
        <v>1158</v>
      </c>
      <c r="D174" s="31" t="s">
        <v>260</v>
      </c>
      <c r="E174" s="31" t="s">
        <v>283</v>
      </c>
      <c r="F174" s="32">
        <v>44708.0</v>
      </c>
      <c r="G174" s="32">
        <v>44769.0</v>
      </c>
      <c r="H174" s="31" t="s">
        <v>346</v>
      </c>
      <c r="I174" s="31" t="s">
        <v>275</v>
      </c>
      <c r="J174" s="31" t="s">
        <v>283</v>
      </c>
      <c r="K174" s="31" t="s">
        <v>519</v>
      </c>
      <c r="L174" s="31" t="s">
        <v>277</v>
      </c>
      <c r="M174" s="31" t="s">
        <v>1159</v>
      </c>
      <c r="N174" s="31" t="s">
        <v>267</v>
      </c>
      <c r="O174" s="34"/>
      <c r="P174" s="31">
        <v>7.0</v>
      </c>
      <c r="Q174" s="31" t="s">
        <v>307</v>
      </c>
      <c r="R174" s="32">
        <v>36246.0</v>
      </c>
      <c r="S174" s="31" t="s">
        <v>1160</v>
      </c>
      <c r="T174" s="31" t="s">
        <v>1161</v>
      </c>
      <c r="U174" s="31" t="s">
        <v>352</v>
      </c>
      <c r="V174" s="34"/>
      <c r="W174" s="34"/>
    </row>
    <row r="175">
      <c r="A175" s="30">
        <v>170.0</v>
      </c>
      <c r="B175" s="31" t="s">
        <v>1162</v>
      </c>
      <c r="C175" s="31" t="s">
        <v>1163</v>
      </c>
      <c r="D175" s="31" t="s">
        <v>260</v>
      </c>
      <c r="E175" s="31" t="s">
        <v>283</v>
      </c>
      <c r="F175" s="32">
        <v>44685.0</v>
      </c>
      <c r="G175" s="32">
        <v>44750.0</v>
      </c>
      <c r="H175" s="31" t="s">
        <v>346</v>
      </c>
      <c r="I175" s="31" t="s">
        <v>275</v>
      </c>
      <c r="J175" s="31" t="s">
        <v>283</v>
      </c>
      <c r="K175" s="31" t="s">
        <v>519</v>
      </c>
      <c r="L175" s="31" t="s">
        <v>277</v>
      </c>
      <c r="M175" s="31" t="s">
        <v>1164</v>
      </c>
      <c r="N175" s="31" t="s">
        <v>267</v>
      </c>
      <c r="O175" s="34"/>
      <c r="P175" s="31">
        <v>4.0</v>
      </c>
      <c r="Q175" s="31" t="s">
        <v>307</v>
      </c>
      <c r="R175" s="32">
        <v>36635.0</v>
      </c>
      <c r="S175" s="31" t="s">
        <v>1165</v>
      </c>
      <c r="T175" s="31" t="s">
        <v>722</v>
      </c>
      <c r="U175" s="31" t="s">
        <v>352</v>
      </c>
      <c r="V175" s="34"/>
      <c r="W175" s="34"/>
    </row>
    <row r="176">
      <c r="A176" s="30">
        <v>171.0</v>
      </c>
      <c r="B176" s="31" t="s">
        <v>1166</v>
      </c>
      <c r="C176" s="31" t="s">
        <v>1167</v>
      </c>
      <c r="D176" s="31" t="s">
        <v>260</v>
      </c>
      <c r="E176" s="31" t="s">
        <v>1139</v>
      </c>
      <c r="F176" s="32">
        <v>43983.0</v>
      </c>
      <c r="G176" s="32">
        <v>44044.0</v>
      </c>
      <c r="H176" s="31" t="s">
        <v>346</v>
      </c>
      <c r="I176" s="31" t="s">
        <v>112</v>
      </c>
      <c r="J176" s="31" t="s">
        <v>1139</v>
      </c>
      <c r="K176" s="31" t="s">
        <v>1140</v>
      </c>
      <c r="L176" s="31" t="s">
        <v>392</v>
      </c>
      <c r="M176" s="31" t="s">
        <v>1168</v>
      </c>
      <c r="N176" s="31" t="s">
        <v>267</v>
      </c>
      <c r="O176" s="34"/>
      <c r="P176" s="31">
        <v>4.0</v>
      </c>
      <c r="Q176" s="31" t="s">
        <v>307</v>
      </c>
      <c r="R176" s="32">
        <v>35598.0</v>
      </c>
      <c r="S176" s="31" t="s">
        <v>729</v>
      </c>
      <c r="T176" s="31" t="s">
        <v>686</v>
      </c>
      <c r="U176" s="31" t="s">
        <v>361</v>
      </c>
      <c r="V176" s="34"/>
      <c r="W176" s="34"/>
    </row>
    <row r="177">
      <c r="A177" s="30">
        <v>172.0</v>
      </c>
      <c r="B177" s="31" t="s">
        <v>1169</v>
      </c>
      <c r="C177" s="31" t="s">
        <v>1170</v>
      </c>
      <c r="D177" s="31" t="s">
        <v>978</v>
      </c>
      <c r="E177" s="31" t="s">
        <v>1130</v>
      </c>
      <c r="F177" s="32">
        <v>43588.0</v>
      </c>
      <c r="G177" s="32">
        <v>43649.0</v>
      </c>
      <c r="H177" s="31" t="s">
        <v>346</v>
      </c>
      <c r="I177" s="31" t="s">
        <v>112</v>
      </c>
      <c r="J177" s="31" t="s">
        <v>1130</v>
      </c>
      <c r="K177" s="31" t="s">
        <v>1131</v>
      </c>
      <c r="L177" s="31" t="s">
        <v>1171</v>
      </c>
      <c r="M177" s="31" t="s">
        <v>1172</v>
      </c>
      <c r="N177" s="31" t="s">
        <v>267</v>
      </c>
      <c r="O177" s="31">
        <v>2.0</v>
      </c>
      <c r="P177" s="31">
        <v>4.0</v>
      </c>
      <c r="Q177" s="31" t="s">
        <v>307</v>
      </c>
      <c r="R177" s="35">
        <v>35055.0</v>
      </c>
      <c r="S177" s="31" t="s">
        <v>1173</v>
      </c>
      <c r="T177" s="31" t="s">
        <v>1174</v>
      </c>
      <c r="U177" s="31" t="s">
        <v>361</v>
      </c>
      <c r="V177" s="34"/>
      <c r="W177" s="34"/>
    </row>
    <row r="178">
      <c r="A178" s="30">
        <v>173.0</v>
      </c>
      <c r="B178" s="31" t="s">
        <v>1175</v>
      </c>
      <c r="C178" s="31" t="s">
        <v>1176</v>
      </c>
      <c r="D178" s="31" t="s">
        <v>978</v>
      </c>
      <c r="E178" s="31" t="s">
        <v>397</v>
      </c>
      <c r="F178" s="32">
        <v>42219.0</v>
      </c>
      <c r="G178" s="32">
        <v>42280.0</v>
      </c>
      <c r="H178" s="31" t="s">
        <v>346</v>
      </c>
      <c r="I178" s="31" t="s">
        <v>112</v>
      </c>
      <c r="J178" s="31" t="s">
        <v>397</v>
      </c>
      <c r="K178" s="31" t="s">
        <v>398</v>
      </c>
      <c r="L178" s="31" t="s">
        <v>1171</v>
      </c>
      <c r="M178" s="31" t="s">
        <v>1177</v>
      </c>
      <c r="N178" s="31" t="s">
        <v>267</v>
      </c>
      <c r="O178" s="31">
        <v>2.0</v>
      </c>
      <c r="P178" s="31">
        <v>2.0</v>
      </c>
      <c r="Q178" s="31" t="s">
        <v>307</v>
      </c>
      <c r="R178" s="35">
        <v>34262.0</v>
      </c>
      <c r="S178" s="31" t="s">
        <v>681</v>
      </c>
      <c r="T178" s="31" t="s">
        <v>1178</v>
      </c>
      <c r="U178" s="31" t="s">
        <v>361</v>
      </c>
      <c r="V178" s="34"/>
      <c r="W178" s="34"/>
    </row>
    <row r="179">
      <c r="A179" s="30">
        <v>174.0</v>
      </c>
      <c r="B179" s="31" t="s">
        <v>1179</v>
      </c>
      <c r="C179" s="31" t="s">
        <v>1180</v>
      </c>
      <c r="D179" s="31" t="s">
        <v>260</v>
      </c>
      <c r="E179" s="31" t="s">
        <v>1139</v>
      </c>
      <c r="F179" s="32">
        <v>43339.0</v>
      </c>
      <c r="G179" s="35">
        <v>43400.0</v>
      </c>
      <c r="H179" s="31" t="s">
        <v>346</v>
      </c>
      <c r="I179" s="31" t="s">
        <v>112</v>
      </c>
      <c r="J179" s="31" t="s">
        <v>1139</v>
      </c>
      <c r="K179" s="31" t="s">
        <v>1140</v>
      </c>
      <c r="L179" s="31" t="s">
        <v>392</v>
      </c>
      <c r="M179" s="31" t="s">
        <v>1181</v>
      </c>
      <c r="N179" s="31" t="s">
        <v>267</v>
      </c>
      <c r="O179" s="34"/>
      <c r="P179" s="31">
        <v>4.0</v>
      </c>
      <c r="Q179" s="31" t="s">
        <v>307</v>
      </c>
      <c r="R179" s="32">
        <v>35252.0</v>
      </c>
      <c r="S179" s="31" t="s">
        <v>626</v>
      </c>
      <c r="T179" s="31" t="s">
        <v>459</v>
      </c>
      <c r="U179" s="31" t="s">
        <v>361</v>
      </c>
      <c r="V179" s="34"/>
      <c r="W179" s="34"/>
    </row>
    <row r="180">
      <c r="A180" s="30">
        <v>175.0</v>
      </c>
      <c r="B180" s="31" t="s">
        <v>1182</v>
      </c>
      <c r="C180" s="31" t="s">
        <v>1183</v>
      </c>
      <c r="D180" s="31" t="s">
        <v>260</v>
      </c>
      <c r="E180" s="31" t="s">
        <v>397</v>
      </c>
      <c r="F180" s="32">
        <v>44245.0</v>
      </c>
      <c r="G180" s="32">
        <v>44304.0</v>
      </c>
      <c r="H180" s="31" t="s">
        <v>346</v>
      </c>
      <c r="I180" s="31" t="s">
        <v>112</v>
      </c>
      <c r="J180" s="31" t="s">
        <v>397</v>
      </c>
      <c r="K180" s="31" t="s">
        <v>398</v>
      </c>
      <c r="L180" s="31" t="s">
        <v>392</v>
      </c>
      <c r="M180" s="31" t="s">
        <v>1184</v>
      </c>
      <c r="N180" s="31" t="s">
        <v>267</v>
      </c>
      <c r="O180" s="34"/>
      <c r="P180" s="31">
        <v>2.0</v>
      </c>
      <c r="Q180" s="31" t="s">
        <v>307</v>
      </c>
      <c r="R180" s="32">
        <v>36048.0</v>
      </c>
      <c r="S180" s="31" t="s">
        <v>700</v>
      </c>
      <c r="T180" s="31" t="s">
        <v>686</v>
      </c>
      <c r="U180" s="31" t="s">
        <v>361</v>
      </c>
      <c r="V180" s="34"/>
      <c r="W180" s="34"/>
    </row>
    <row r="181">
      <c r="A181" s="30">
        <v>176.0</v>
      </c>
      <c r="B181" s="31" t="s">
        <v>1185</v>
      </c>
      <c r="C181" s="31" t="s">
        <v>1186</v>
      </c>
      <c r="D181" s="31" t="s">
        <v>260</v>
      </c>
      <c r="E181" s="31" t="s">
        <v>283</v>
      </c>
      <c r="F181" s="32">
        <v>44398.0</v>
      </c>
      <c r="G181" s="32">
        <v>44460.0</v>
      </c>
      <c r="H181" s="31" t="s">
        <v>346</v>
      </c>
      <c r="I181" s="31" t="s">
        <v>275</v>
      </c>
      <c r="J181" s="31" t="s">
        <v>283</v>
      </c>
      <c r="K181" s="31" t="s">
        <v>519</v>
      </c>
      <c r="L181" s="31" t="s">
        <v>277</v>
      </c>
      <c r="M181" s="31" t="s">
        <v>1187</v>
      </c>
      <c r="N181" s="31" t="s">
        <v>267</v>
      </c>
      <c r="O181" s="34"/>
      <c r="P181" s="31">
        <v>5.0</v>
      </c>
      <c r="Q181" s="31" t="s">
        <v>307</v>
      </c>
      <c r="R181" s="35">
        <v>36445.0</v>
      </c>
      <c r="S181" s="31" t="s">
        <v>531</v>
      </c>
      <c r="T181" s="31" t="s">
        <v>503</v>
      </c>
      <c r="U181" s="31" t="s">
        <v>352</v>
      </c>
      <c r="V181" s="34"/>
      <c r="W181" s="34"/>
    </row>
    <row r="182">
      <c r="A182" s="30">
        <v>177.0</v>
      </c>
      <c r="B182" s="31" t="s">
        <v>1188</v>
      </c>
      <c r="C182" s="31" t="s">
        <v>1189</v>
      </c>
      <c r="D182" s="31" t="s">
        <v>978</v>
      </c>
      <c r="E182" s="31" t="s">
        <v>1139</v>
      </c>
      <c r="F182" s="32">
        <v>42772.0</v>
      </c>
      <c r="G182" s="32">
        <v>42831.0</v>
      </c>
      <c r="H182" s="31" t="s">
        <v>346</v>
      </c>
      <c r="I182" s="31" t="s">
        <v>112</v>
      </c>
      <c r="J182" s="31" t="s">
        <v>1139</v>
      </c>
      <c r="K182" s="31" t="s">
        <v>1140</v>
      </c>
      <c r="L182" s="31" t="s">
        <v>1171</v>
      </c>
      <c r="M182" s="31" t="s">
        <v>1190</v>
      </c>
      <c r="N182" s="31" t="s">
        <v>267</v>
      </c>
      <c r="O182" s="31">
        <v>2.0</v>
      </c>
      <c r="P182" s="31">
        <v>1.0</v>
      </c>
      <c r="Q182" s="31" t="s">
        <v>307</v>
      </c>
      <c r="R182" s="32">
        <v>34704.0</v>
      </c>
      <c r="S182" s="31" t="s">
        <v>733</v>
      </c>
      <c r="T182" s="31" t="s">
        <v>686</v>
      </c>
      <c r="U182" s="31" t="s">
        <v>361</v>
      </c>
      <c r="V182" s="34"/>
      <c r="W182" s="34"/>
    </row>
    <row r="183">
      <c r="A183" s="30">
        <v>178.0</v>
      </c>
      <c r="B183" s="31" t="s">
        <v>1191</v>
      </c>
      <c r="C183" s="31" t="s">
        <v>1192</v>
      </c>
      <c r="D183" s="31" t="s">
        <v>260</v>
      </c>
      <c r="E183" s="31" t="s">
        <v>1139</v>
      </c>
      <c r="F183" s="32">
        <v>40771.0</v>
      </c>
      <c r="G183" s="32">
        <v>40817.0</v>
      </c>
      <c r="H183" s="31" t="s">
        <v>346</v>
      </c>
      <c r="I183" s="31" t="s">
        <v>112</v>
      </c>
      <c r="J183" s="31" t="s">
        <v>1139</v>
      </c>
      <c r="K183" s="31" t="s">
        <v>1140</v>
      </c>
      <c r="L183" s="31" t="s">
        <v>392</v>
      </c>
      <c r="M183" s="31" t="s">
        <v>1193</v>
      </c>
      <c r="N183" s="31" t="s">
        <v>267</v>
      </c>
      <c r="O183" s="34"/>
      <c r="P183" s="31">
        <v>7.0</v>
      </c>
      <c r="Q183" s="31" t="s">
        <v>307</v>
      </c>
      <c r="R183" s="32">
        <v>32542.0</v>
      </c>
      <c r="S183" s="31" t="s">
        <v>1194</v>
      </c>
      <c r="T183" s="31" t="s">
        <v>744</v>
      </c>
      <c r="U183" s="31" t="s">
        <v>361</v>
      </c>
      <c r="V183" s="34"/>
      <c r="W183" s="34"/>
    </row>
    <row r="184">
      <c r="A184" s="30">
        <v>179.0</v>
      </c>
      <c r="B184" s="31" t="s">
        <v>1195</v>
      </c>
      <c r="C184" s="31" t="s">
        <v>833</v>
      </c>
      <c r="D184" s="31" t="s">
        <v>260</v>
      </c>
      <c r="E184" s="31" t="s">
        <v>1139</v>
      </c>
      <c r="F184" s="32">
        <v>43655.0</v>
      </c>
      <c r="G184" s="32">
        <v>43717.0</v>
      </c>
      <c r="H184" s="31" t="s">
        <v>346</v>
      </c>
      <c r="I184" s="31" t="s">
        <v>112</v>
      </c>
      <c r="J184" s="31" t="s">
        <v>1139</v>
      </c>
      <c r="K184" s="31" t="s">
        <v>1140</v>
      </c>
      <c r="L184" s="31" t="s">
        <v>392</v>
      </c>
      <c r="M184" s="31" t="s">
        <v>1196</v>
      </c>
      <c r="N184" s="31" t="s">
        <v>267</v>
      </c>
      <c r="O184" s="34"/>
      <c r="P184" s="31">
        <v>8.0</v>
      </c>
      <c r="Q184" s="31" t="s">
        <v>307</v>
      </c>
      <c r="R184" s="32">
        <v>35453.0</v>
      </c>
      <c r="S184" s="31" t="s">
        <v>1197</v>
      </c>
      <c r="T184" s="31" t="s">
        <v>1198</v>
      </c>
      <c r="U184" s="31" t="s">
        <v>361</v>
      </c>
      <c r="V184" s="34"/>
      <c r="W184" s="34"/>
    </row>
    <row r="185">
      <c r="A185" s="30">
        <v>180.0</v>
      </c>
      <c r="B185" s="31" t="s">
        <v>1199</v>
      </c>
      <c r="C185" s="31" t="s">
        <v>1200</v>
      </c>
      <c r="D185" s="31" t="s">
        <v>260</v>
      </c>
      <c r="E185" s="31" t="s">
        <v>1139</v>
      </c>
      <c r="F185" s="32">
        <v>43993.0</v>
      </c>
      <c r="G185" s="32">
        <v>44054.0</v>
      </c>
      <c r="H185" s="31" t="s">
        <v>346</v>
      </c>
      <c r="I185" s="31" t="s">
        <v>112</v>
      </c>
      <c r="J185" s="31" t="s">
        <v>1139</v>
      </c>
      <c r="K185" s="31" t="s">
        <v>1140</v>
      </c>
      <c r="L185" s="31" t="s">
        <v>392</v>
      </c>
      <c r="M185" s="31" t="s">
        <v>1201</v>
      </c>
      <c r="N185" s="31" t="s">
        <v>267</v>
      </c>
      <c r="O185" s="34"/>
      <c r="P185" s="31">
        <v>1.0</v>
      </c>
      <c r="Q185" s="31" t="s">
        <v>307</v>
      </c>
      <c r="R185" s="32">
        <v>35798.0</v>
      </c>
      <c r="S185" s="31" t="s">
        <v>700</v>
      </c>
      <c r="T185" s="31" t="s">
        <v>686</v>
      </c>
      <c r="U185" s="31" t="s">
        <v>361</v>
      </c>
      <c r="V185" s="34"/>
      <c r="W185" s="34"/>
    </row>
    <row r="186">
      <c r="A186" s="30">
        <v>181.0</v>
      </c>
      <c r="B186" s="31" t="s">
        <v>1202</v>
      </c>
      <c r="C186" s="31" t="s">
        <v>1203</v>
      </c>
      <c r="D186" s="31" t="s">
        <v>260</v>
      </c>
      <c r="E186" s="31" t="s">
        <v>1130</v>
      </c>
      <c r="F186" s="32">
        <v>45063.0</v>
      </c>
      <c r="G186" s="32">
        <v>45124.0</v>
      </c>
      <c r="H186" s="31" t="s">
        <v>346</v>
      </c>
      <c r="I186" s="31" t="s">
        <v>112</v>
      </c>
      <c r="J186" s="31" t="s">
        <v>1130</v>
      </c>
      <c r="K186" s="31" t="s">
        <v>1131</v>
      </c>
      <c r="L186" s="31" t="s">
        <v>392</v>
      </c>
      <c r="M186" s="31" t="s">
        <v>1204</v>
      </c>
      <c r="N186" s="31" t="s">
        <v>467</v>
      </c>
      <c r="O186" s="34"/>
      <c r="P186" s="31">
        <v>2.0</v>
      </c>
      <c r="Q186" s="31" t="s">
        <v>307</v>
      </c>
      <c r="R186" s="32">
        <v>36783.0</v>
      </c>
      <c r="S186" s="31" t="s">
        <v>700</v>
      </c>
      <c r="T186" s="31" t="s">
        <v>1205</v>
      </c>
      <c r="U186" s="31" t="s">
        <v>361</v>
      </c>
      <c r="V186" s="34"/>
      <c r="W186" s="34"/>
    </row>
    <row r="187">
      <c r="A187" s="30">
        <v>182.0</v>
      </c>
      <c r="B187" s="31" t="s">
        <v>1206</v>
      </c>
      <c r="C187" s="31" t="s">
        <v>1207</v>
      </c>
      <c r="D187" s="31" t="s">
        <v>1208</v>
      </c>
      <c r="E187" s="31" t="s">
        <v>1209</v>
      </c>
      <c r="F187" s="32">
        <v>45017.0</v>
      </c>
      <c r="G187" s="32">
        <v>45078.0</v>
      </c>
      <c r="H187" s="31" t="s">
        <v>346</v>
      </c>
      <c r="I187" s="31" t="s">
        <v>1209</v>
      </c>
      <c r="J187" s="34"/>
      <c r="K187" s="31" t="s">
        <v>1210</v>
      </c>
      <c r="L187" s="31" t="s">
        <v>1211</v>
      </c>
      <c r="M187" s="31" t="s">
        <v>1212</v>
      </c>
      <c r="N187" s="31" t="s">
        <v>467</v>
      </c>
      <c r="O187" s="34"/>
      <c r="P187" s="31">
        <v>3.0</v>
      </c>
      <c r="Q187" s="31" t="s">
        <v>307</v>
      </c>
      <c r="R187" s="32">
        <v>34793.0</v>
      </c>
      <c r="S187" s="31" t="s">
        <v>955</v>
      </c>
      <c r="T187" s="31" t="s">
        <v>1213</v>
      </c>
      <c r="U187" s="31" t="s">
        <v>352</v>
      </c>
      <c r="V187" s="34"/>
      <c r="W187" s="34"/>
    </row>
    <row r="188">
      <c r="A188" s="30">
        <v>183.0</v>
      </c>
      <c r="B188" s="31" t="s">
        <v>1214</v>
      </c>
      <c r="C188" s="31" t="s">
        <v>1215</v>
      </c>
      <c r="D188" s="31" t="s">
        <v>260</v>
      </c>
      <c r="E188" s="31" t="s">
        <v>1130</v>
      </c>
      <c r="F188" s="32">
        <v>44956.0</v>
      </c>
      <c r="G188" s="32">
        <v>45015.0</v>
      </c>
      <c r="H188" s="31" t="s">
        <v>346</v>
      </c>
      <c r="I188" s="31" t="s">
        <v>112</v>
      </c>
      <c r="J188" s="31" t="s">
        <v>1130</v>
      </c>
      <c r="K188" s="31" t="s">
        <v>1131</v>
      </c>
      <c r="L188" s="31" t="s">
        <v>392</v>
      </c>
      <c r="M188" s="31" t="s">
        <v>1216</v>
      </c>
      <c r="N188" s="31" t="s">
        <v>267</v>
      </c>
      <c r="O188" s="34"/>
      <c r="P188" s="31">
        <v>5.0</v>
      </c>
      <c r="Q188" s="31" t="s">
        <v>307</v>
      </c>
      <c r="R188" s="32">
        <v>37096.0</v>
      </c>
      <c r="S188" s="31" t="s">
        <v>700</v>
      </c>
      <c r="T188" s="31" t="s">
        <v>757</v>
      </c>
      <c r="U188" s="31" t="s">
        <v>361</v>
      </c>
      <c r="V188" s="34"/>
      <c r="W188" s="34"/>
    </row>
    <row r="189">
      <c r="A189" s="30">
        <v>184.0</v>
      </c>
      <c r="B189" s="31" t="s">
        <v>1217</v>
      </c>
      <c r="C189" s="31" t="s">
        <v>1218</v>
      </c>
      <c r="D189" s="31" t="s">
        <v>1219</v>
      </c>
      <c r="E189" s="31" t="s">
        <v>1220</v>
      </c>
      <c r="F189" s="35">
        <v>44893.0</v>
      </c>
      <c r="G189" s="32">
        <v>44954.0</v>
      </c>
      <c r="H189" s="31" t="s">
        <v>346</v>
      </c>
      <c r="I189" s="31" t="s">
        <v>315</v>
      </c>
      <c r="J189" s="31" t="s">
        <v>1221</v>
      </c>
      <c r="K189" s="31" t="s">
        <v>1222</v>
      </c>
      <c r="L189" s="31" t="s">
        <v>1223</v>
      </c>
      <c r="M189" s="31" t="s">
        <v>1224</v>
      </c>
      <c r="N189" s="31" t="s">
        <v>467</v>
      </c>
      <c r="O189" s="34"/>
      <c r="P189" s="31">
        <v>2.0</v>
      </c>
      <c r="Q189" s="31" t="s">
        <v>307</v>
      </c>
      <c r="R189" s="32">
        <v>36647.0</v>
      </c>
      <c r="S189" s="31" t="s">
        <v>320</v>
      </c>
      <c r="T189" s="31" t="s">
        <v>1225</v>
      </c>
      <c r="U189" s="31" t="s">
        <v>352</v>
      </c>
      <c r="V189" s="31" t="s">
        <v>1220</v>
      </c>
      <c r="W189" s="34"/>
    </row>
    <row r="190">
      <c r="A190" s="30">
        <v>185.0</v>
      </c>
      <c r="B190" s="31" t="s">
        <v>1226</v>
      </c>
      <c r="C190" s="31" t="s">
        <v>1227</v>
      </c>
      <c r="D190" s="31" t="s">
        <v>260</v>
      </c>
      <c r="E190" s="31" t="s">
        <v>403</v>
      </c>
      <c r="F190" s="35">
        <v>44851.0</v>
      </c>
      <c r="G190" s="35">
        <v>44912.0</v>
      </c>
      <c r="H190" s="31" t="s">
        <v>346</v>
      </c>
      <c r="I190" s="31" t="s">
        <v>112</v>
      </c>
      <c r="J190" s="31" t="s">
        <v>403</v>
      </c>
      <c r="K190" s="31" t="s">
        <v>404</v>
      </c>
      <c r="L190" s="31" t="s">
        <v>392</v>
      </c>
      <c r="M190" s="31" t="s">
        <v>1228</v>
      </c>
      <c r="N190" s="31" t="s">
        <v>267</v>
      </c>
      <c r="O190" s="34"/>
      <c r="P190" s="31">
        <v>4.0</v>
      </c>
      <c r="Q190" s="31" t="s">
        <v>307</v>
      </c>
      <c r="R190" s="32">
        <v>36681.0</v>
      </c>
      <c r="S190" s="31" t="s">
        <v>531</v>
      </c>
      <c r="T190" s="31" t="s">
        <v>627</v>
      </c>
      <c r="U190" s="31" t="s">
        <v>361</v>
      </c>
      <c r="V190" s="34"/>
      <c r="W190" s="34"/>
    </row>
    <row r="191">
      <c r="A191" s="30">
        <v>186.0</v>
      </c>
      <c r="B191" s="31" t="s">
        <v>1229</v>
      </c>
      <c r="C191" s="31" t="s">
        <v>1230</v>
      </c>
      <c r="D191" s="31" t="s">
        <v>260</v>
      </c>
      <c r="E191" s="31" t="s">
        <v>390</v>
      </c>
      <c r="F191" s="32">
        <v>44786.0</v>
      </c>
      <c r="G191" s="35">
        <v>44847.0</v>
      </c>
      <c r="H191" s="31" t="s">
        <v>346</v>
      </c>
      <c r="I191" s="31" t="s">
        <v>112</v>
      </c>
      <c r="J191" s="31" t="s">
        <v>390</v>
      </c>
      <c r="K191" s="31" t="s">
        <v>391</v>
      </c>
      <c r="L191" s="31" t="s">
        <v>392</v>
      </c>
      <c r="M191" s="31" t="s">
        <v>1231</v>
      </c>
      <c r="N191" s="31" t="s">
        <v>267</v>
      </c>
      <c r="O191" s="34"/>
      <c r="P191" s="31">
        <v>1.0</v>
      </c>
      <c r="Q191" s="31" t="s">
        <v>307</v>
      </c>
      <c r="R191" s="32">
        <v>36831.0</v>
      </c>
      <c r="S191" s="31" t="s">
        <v>531</v>
      </c>
      <c r="T191" s="31" t="s">
        <v>999</v>
      </c>
      <c r="U191" s="31" t="s">
        <v>361</v>
      </c>
      <c r="V191" s="34"/>
      <c r="W191" s="34"/>
    </row>
    <row r="192">
      <c r="A192" s="30">
        <v>187.0</v>
      </c>
      <c r="B192" s="31" t="s">
        <v>1232</v>
      </c>
      <c r="C192" s="31" t="s">
        <v>1233</v>
      </c>
      <c r="D192" s="31" t="s">
        <v>260</v>
      </c>
      <c r="E192" s="31" t="s">
        <v>1130</v>
      </c>
      <c r="F192" s="32">
        <v>44669.0</v>
      </c>
      <c r="G192" s="32">
        <v>44730.0</v>
      </c>
      <c r="H192" s="31" t="s">
        <v>346</v>
      </c>
      <c r="I192" s="31" t="s">
        <v>112</v>
      </c>
      <c r="J192" s="31" t="s">
        <v>1130</v>
      </c>
      <c r="K192" s="31" t="s">
        <v>1131</v>
      </c>
      <c r="L192" s="31" t="s">
        <v>392</v>
      </c>
      <c r="M192" s="31" t="s">
        <v>1234</v>
      </c>
      <c r="N192" s="31" t="s">
        <v>267</v>
      </c>
      <c r="O192" s="34"/>
      <c r="P192" s="31">
        <v>5.0</v>
      </c>
      <c r="Q192" s="31" t="s">
        <v>307</v>
      </c>
      <c r="R192" s="35">
        <v>36812.0</v>
      </c>
      <c r="S192" s="31" t="s">
        <v>320</v>
      </c>
      <c r="T192" s="31" t="s">
        <v>1235</v>
      </c>
      <c r="U192" s="31" t="s">
        <v>361</v>
      </c>
      <c r="V192" s="34"/>
      <c r="W192" s="34"/>
    </row>
    <row r="193">
      <c r="A193" s="30">
        <v>188.0</v>
      </c>
      <c r="B193" s="31" t="s">
        <v>1236</v>
      </c>
      <c r="C193" s="31" t="s">
        <v>1237</v>
      </c>
      <c r="D193" s="31" t="s">
        <v>1208</v>
      </c>
      <c r="E193" s="31" t="s">
        <v>1209</v>
      </c>
      <c r="F193" s="32">
        <v>44664.0</v>
      </c>
      <c r="G193" s="32">
        <v>44725.0</v>
      </c>
      <c r="H193" s="31" t="s">
        <v>346</v>
      </c>
      <c r="I193" s="31" t="s">
        <v>1209</v>
      </c>
      <c r="J193" s="34"/>
      <c r="K193" s="31" t="s">
        <v>1210</v>
      </c>
      <c r="L193" s="31" t="s">
        <v>1211</v>
      </c>
      <c r="M193" s="31" t="s">
        <v>1238</v>
      </c>
      <c r="N193" s="31" t="s">
        <v>467</v>
      </c>
      <c r="O193" s="34"/>
      <c r="P193" s="31">
        <v>3.0</v>
      </c>
      <c r="Q193" s="31" t="s">
        <v>307</v>
      </c>
      <c r="R193" s="35">
        <v>36873.0</v>
      </c>
      <c r="S193" s="31" t="s">
        <v>681</v>
      </c>
      <c r="T193" s="31" t="s">
        <v>722</v>
      </c>
      <c r="U193" s="31" t="s">
        <v>352</v>
      </c>
      <c r="V193" s="34"/>
      <c r="W193" s="34"/>
    </row>
    <row r="194">
      <c r="A194" s="30">
        <v>189.0</v>
      </c>
      <c r="B194" s="31" t="s">
        <v>1239</v>
      </c>
      <c r="C194" s="31" t="s">
        <v>1240</v>
      </c>
      <c r="D194" s="31" t="s">
        <v>260</v>
      </c>
      <c r="E194" s="31" t="s">
        <v>403</v>
      </c>
      <c r="F194" s="32">
        <v>43734.0</v>
      </c>
      <c r="G194" s="35">
        <v>43796.0</v>
      </c>
      <c r="H194" s="31" t="s">
        <v>346</v>
      </c>
      <c r="I194" s="31" t="s">
        <v>112</v>
      </c>
      <c r="J194" s="31" t="s">
        <v>403</v>
      </c>
      <c r="K194" s="31" t="s">
        <v>404</v>
      </c>
      <c r="L194" s="31" t="s">
        <v>392</v>
      </c>
      <c r="M194" s="31" t="s">
        <v>1241</v>
      </c>
      <c r="N194" s="31" t="s">
        <v>267</v>
      </c>
      <c r="O194" s="34"/>
      <c r="P194" s="31">
        <v>8.0</v>
      </c>
      <c r="Q194" s="31" t="s">
        <v>307</v>
      </c>
      <c r="R194" s="32">
        <v>35675.0</v>
      </c>
      <c r="S194" s="31" t="s">
        <v>531</v>
      </c>
      <c r="T194" s="31" t="s">
        <v>1242</v>
      </c>
      <c r="U194" s="31" t="s">
        <v>361</v>
      </c>
      <c r="V194" s="34"/>
      <c r="W194" s="34"/>
    </row>
    <row r="195">
      <c r="A195" s="30">
        <v>190.0</v>
      </c>
      <c r="B195" s="31" t="s">
        <v>1243</v>
      </c>
      <c r="C195" s="31" t="s">
        <v>1244</v>
      </c>
      <c r="D195" s="31" t="s">
        <v>1208</v>
      </c>
      <c r="E195" s="31" t="s">
        <v>1209</v>
      </c>
      <c r="F195" s="35">
        <v>40527.0</v>
      </c>
      <c r="G195" s="32">
        <v>40575.0</v>
      </c>
      <c r="H195" s="31" t="s">
        <v>346</v>
      </c>
      <c r="I195" s="31" t="s">
        <v>1209</v>
      </c>
      <c r="J195" s="34"/>
      <c r="K195" s="31" t="s">
        <v>1210</v>
      </c>
      <c r="L195" s="31" t="s">
        <v>1211</v>
      </c>
      <c r="M195" s="31" t="s">
        <v>1245</v>
      </c>
      <c r="N195" s="31" t="s">
        <v>267</v>
      </c>
      <c r="O195" s="34"/>
      <c r="P195" s="31">
        <v>10.0</v>
      </c>
      <c r="Q195" s="31" t="s">
        <v>307</v>
      </c>
      <c r="R195" s="32">
        <v>32178.0</v>
      </c>
      <c r="S195" s="31" t="s">
        <v>320</v>
      </c>
      <c r="T195" s="31" t="s">
        <v>744</v>
      </c>
      <c r="U195" s="31" t="s">
        <v>352</v>
      </c>
      <c r="V195" s="34"/>
      <c r="W195" s="34"/>
    </row>
    <row r="196">
      <c r="A196" s="30">
        <v>191.0</v>
      </c>
      <c r="B196" s="31" t="s">
        <v>1246</v>
      </c>
      <c r="C196" s="31" t="s">
        <v>1247</v>
      </c>
      <c r="D196" s="31" t="s">
        <v>1219</v>
      </c>
      <c r="E196" s="31" t="s">
        <v>1220</v>
      </c>
      <c r="F196" s="32">
        <v>40674.0</v>
      </c>
      <c r="G196" s="32">
        <v>40740.0</v>
      </c>
      <c r="H196" s="31" t="s">
        <v>346</v>
      </c>
      <c r="I196" s="31" t="s">
        <v>315</v>
      </c>
      <c r="J196" s="31" t="s">
        <v>1221</v>
      </c>
      <c r="K196" s="31" t="s">
        <v>1222</v>
      </c>
      <c r="L196" s="31" t="s">
        <v>1223</v>
      </c>
      <c r="M196" s="31" t="s">
        <v>1248</v>
      </c>
      <c r="N196" s="31" t="s">
        <v>267</v>
      </c>
      <c r="O196" s="34"/>
      <c r="P196" s="31">
        <v>10.0</v>
      </c>
      <c r="Q196" s="31" t="s">
        <v>307</v>
      </c>
      <c r="R196" s="32">
        <v>32484.0</v>
      </c>
      <c r="S196" s="31" t="s">
        <v>1249</v>
      </c>
      <c r="T196" s="31" t="s">
        <v>682</v>
      </c>
      <c r="U196" s="31" t="s">
        <v>352</v>
      </c>
      <c r="V196" s="31" t="s">
        <v>1220</v>
      </c>
      <c r="W196" s="34"/>
    </row>
    <row r="197">
      <c r="A197" s="30">
        <v>192.0</v>
      </c>
      <c r="B197" s="31" t="s">
        <v>1250</v>
      </c>
      <c r="C197" s="31" t="s">
        <v>1251</v>
      </c>
      <c r="D197" s="31" t="s">
        <v>1208</v>
      </c>
      <c r="E197" s="31" t="s">
        <v>1209</v>
      </c>
      <c r="F197" s="32">
        <v>45203.0</v>
      </c>
      <c r="G197" s="32">
        <v>45263.0</v>
      </c>
      <c r="H197" s="31" t="s">
        <v>346</v>
      </c>
      <c r="I197" s="31" t="s">
        <v>1209</v>
      </c>
      <c r="J197" s="34"/>
      <c r="K197" s="31" t="s">
        <v>1210</v>
      </c>
      <c r="L197" s="31" t="s">
        <v>1211</v>
      </c>
      <c r="M197" s="31" t="s">
        <v>1252</v>
      </c>
      <c r="N197" s="31" t="s">
        <v>467</v>
      </c>
      <c r="O197" s="34"/>
      <c r="P197" s="31">
        <v>1.0</v>
      </c>
      <c r="Q197" s="31" t="s">
        <v>307</v>
      </c>
      <c r="R197" s="32">
        <v>33543.0</v>
      </c>
      <c r="S197" s="31" t="s">
        <v>1253</v>
      </c>
      <c r="T197" s="31" t="s">
        <v>1254</v>
      </c>
      <c r="U197" s="31" t="s">
        <v>352</v>
      </c>
      <c r="V197" s="34"/>
      <c r="W197" s="34"/>
    </row>
    <row r="198">
      <c r="A198" s="30">
        <v>193.0</v>
      </c>
      <c r="B198" s="31" t="s">
        <v>1255</v>
      </c>
      <c r="C198" s="31" t="s">
        <v>1256</v>
      </c>
      <c r="D198" s="31" t="s">
        <v>260</v>
      </c>
      <c r="E198" s="31" t="s">
        <v>403</v>
      </c>
      <c r="F198" s="32">
        <v>44348.0</v>
      </c>
      <c r="G198" s="32">
        <v>44409.0</v>
      </c>
      <c r="H198" s="31" t="s">
        <v>346</v>
      </c>
      <c r="I198" s="31" t="s">
        <v>112</v>
      </c>
      <c r="J198" s="31" t="s">
        <v>403</v>
      </c>
      <c r="K198" s="31" t="s">
        <v>404</v>
      </c>
      <c r="L198" s="31" t="s">
        <v>392</v>
      </c>
      <c r="M198" s="31" t="s">
        <v>1257</v>
      </c>
      <c r="N198" s="31" t="s">
        <v>267</v>
      </c>
      <c r="O198" s="34"/>
      <c r="P198" s="31">
        <v>4.0</v>
      </c>
      <c r="Q198" s="31" t="s">
        <v>307</v>
      </c>
      <c r="R198" s="32">
        <v>36356.0</v>
      </c>
      <c r="S198" s="31" t="s">
        <v>626</v>
      </c>
      <c r="T198" s="31" t="s">
        <v>672</v>
      </c>
      <c r="U198" s="31" t="s">
        <v>361</v>
      </c>
      <c r="V198" s="34"/>
      <c r="W198" s="34"/>
    </row>
    <row r="199">
      <c r="A199" s="30">
        <v>194.0</v>
      </c>
      <c r="B199" s="31" t="s">
        <v>1258</v>
      </c>
      <c r="C199" s="31" t="s">
        <v>1259</v>
      </c>
      <c r="D199" s="31" t="s">
        <v>260</v>
      </c>
      <c r="E199" s="31" t="s">
        <v>1260</v>
      </c>
      <c r="F199" s="32">
        <v>42801.0</v>
      </c>
      <c r="G199" s="32">
        <v>42862.0</v>
      </c>
      <c r="H199" s="31" t="s">
        <v>346</v>
      </c>
      <c r="I199" s="31" t="s">
        <v>112</v>
      </c>
      <c r="J199" s="31" t="s">
        <v>1260</v>
      </c>
      <c r="K199" s="31" t="s">
        <v>1261</v>
      </c>
      <c r="L199" s="31" t="s">
        <v>392</v>
      </c>
      <c r="M199" s="31" t="s">
        <v>1262</v>
      </c>
      <c r="N199" s="31" t="s">
        <v>267</v>
      </c>
      <c r="O199" s="34"/>
      <c r="P199" s="31">
        <v>6.0</v>
      </c>
      <c r="Q199" s="31" t="s">
        <v>307</v>
      </c>
      <c r="R199" s="32">
        <v>34230.0</v>
      </c>
      <c r="S199" s="31" t="s">
        <v>531</v>
      </c>
      <c r="T199" s="31" t="s">
        <v>665</v>
      </c>
      <c r="U199" s="31" t="s">
        <v>361</v>
      </c>
      <c r="V199" s="34"/>
      <c r="W199" s="34"/>
    </row>
    <row r="200">
      <c r="A200" s="30">
        <v>195.0</v>
      </c>
      <c r="B200" s="31" t="s">
        <v>1263</v>
      </c>
      <c r="C200" s="31" t="s">
        <v>1264</v>
      </c>
      <c r="D200" s="31" t="s">
        <v>1208</v>
      </c>
      <c r="E200" s="31" t="s">
        <v>1209</v>
      </c>
      <c r="F200" s="32">
        <v>42976.0</v>
      </c>
      <c r="G200" s="35">
        <v>43037.0</v>
      </c>
      <c r="H200" s="31" t="s">
        <v>346</v>
      </c>
      <c r="I200" s="31" t="s">
        <v>1209</v>
      </c>
      <c r="J200" s="34"/>
      <c r="K200" s="31" t="s">
        <v>1210</v>
      </c>
      <c r="L200" s="31" t="s">
        <v>1211</v>
      </c>
      <c r="M200" s="31" t="s">
        <v>1265</v>
      </c>
      <c r="N200" s="31" t="s">
        <v>267</v>
      </c>
      <c r="O200" s="34"/>
      <c r="P200" s="31">
        <v>8.0</v>
      </c>
      <c r="Q200" s="31" t="s">
        <v>581</v>
      </c>
      <c r="R200" s="32">
        <v>34004.0</v>
      </c>
      <c r="S200" s="31" t="s">
        <v>320</v>
      </c>
      <c r="T200" s="31" t="s">
        <v>503</v>
      </c>
      <c r="U200" s="31" t="s">
        <v>352</v>
      </c>
      <c r="V200" s="34"/>
      <c r="W200" s="34"/>
    </row>
    <row r="201">
      <c r="A201" s="30">
        <v>196.0</v>
      </c>
      <c r="B201" s="31" t="s">
        <v>1266</v>
      </c>
      <c r="C201" s="31" t="s">
        <v>414</v>
      </c>
      <c r="D201" s="31" t="s">
        <v>978</v>
      </c>
      <c r="E201" s="31" t="s">
        <v>390</v>
      </c>
      <c r="F201" s="32">
        <v>41441.0</v>
      </c>
      <c r="G201" s="32">
        <v>41471.0</v>
      </c>
      <c r="H201" s="31" t="s">
        <v>346</v>
      </c>
      <c r="I201" s="31" t="s">
        <v>112</v>
      </c>
      <c r="J201" s="31" t="s">
        <v>390</v>
      </c>
      <c r="K201" s="31" t="s">
        <v>391</v>
      </c>
      <c r="L201" s="31" t="s">
        <v>1171</v>
      </c>
      <c r="M201" s="31" t="s">
        <v>1267</v>
      </c>
      <c r="N201" s="31" t="s">
        <v>267</v>
      </c>
      <c r="O201" s="31">
        <v>2.0</v>
      </c>
      <c r="P201" s="31">
        <v>2.0</v>
      </c>
      <c r="Q201" s="31" t="s">
        <v>307</v>
      </c>
      <c r="R201" s="32">
        <v>33492.0</v>
      </c>
      <c r="S201" s="31" t="s">
        <v>1268</v>
      </c>
      <c r="T201" s="31" t="s">
        <v>1269</v>
      </c>
      <c r="U201" s="31" t="s">
        <v>361</v>
      </c>
      <c r="V201" s="34"/>
      <c r="W201" s="34"/>
    </row>
    <row r="202">
      <c r="A202" s="30">
        <v>197.0</v>
      </c>
      <c r="B202" s="31" t="s">
        <v>1270</v>
      </c>
      <c r="C202" s="31" t="s">
        <v>1271</v>
      </c>
      <c r="D202" s="31" t="s">
        <v>260</v>
      </c>
      <c r="E202" s="31" t="s">
        <v>390</v>
      </c>
      <c r="F202" s="32">
        <v>44274.0</v>
      </c>
      <c r="G202" s="32">
        <v>44335.0</v>
      </c>
      <c r="H202" s="31" t="s">
        <v>346</v>
      </c>
      <c r="I202" s="31" t="s">
        <v>112</v>
      </c>
      <c r="J202" s="31" t="s">
        <v>390</v>
      </c>
      <c r="K202" s="31" t="s">
        <v>391</v>
      </c>
      <c r="L202" s="31" t="s">
        <v>392</v>
      </c>
      <c r="M202" s="31" t="s">
        <v>1272</v>
      </c>
      <c r="N202" s="31" t="s">
        <v>267</v>
      </c>
      <c r="O202" s="34"/>
      <c r="P202" s="31">
        <v>1.0</v>
      </c>
      <c r="Q202" s="31" t="s">
        <v>307</v>
      </c>
      <c r="R202" s="32">
        <v>36470.0</v>
      </c>
      <c r="S202" s="31" t="s">
        <v>320</v>
      </c>
      <c r="T202" s="31" t="s">
        <v>947</v>
      </c>
      <c r="U202" s="31" t="s">
        <v>361</v>
      </c>
      <c r="V202" s="34"/>
      <c r="W202" s="34"/>
    </row>
    <row r="203">
      <c r="A203" s="30">
        <v>198.0</v>
      </c>
      <c r="B203" s="31" t="s">
        <v>1273</v>
      </c>
      <c r="C203" s="31" t="s">
        <v>1274</v>
      </c>
      <c r="D203" s="31" t="s">
        <v>1208</v>
      </c>
      <c r="E203" s="31" t="s">
        <v>1209</v>
      </c>
      <c r="F203" s="32">
        <v>42149.0</v>
      </c>
      <c r="G203" s="32">
        <v>42211.0</v>
      </c>
      <c r="H203" s="31" t="s">
        <v>346</v>
      </c>
      <c r="I203" s="31" t="s">
        <v>1209</v>
      </c>
      <c r="J203" s="34"/>
      <c r="K203" s="31" t="s">
        <v>1210</v>
      </c>
      <c r="L203" s="31" t="s">
        <v>1211</v>
      </c>
      <c r="M203" s="31" t="s">
        <v>1275</v>
      </c>
      <c r="N203" s="31" t="s">
        <v>267</v>
      </c>
      <c r="O203" s="34"/>
      <c r="P203" s="31">
        <v>10.0</v>
      </c>
      <c r="Q203" s="31" t="s">
        <v>307</v>
      </c>
      <c r="R203" s="32">
        <v>34153.0</v>
      </c>
      <c r="S203" s="31" t="s">
        <v>531</v>
      </c>
      <c r="T203" s="31" t="s">
        <v>503</v>
      </c>
      <c r="U203" s="31" t="s">
        <v>352</v>
      </c>
      <c r="V203" s="34"/>
      <c r="W203" s="34"/>
    </row>
    <row r="204">
      <c r="A204" s="30">
        <v>199.0</v>
      </c>
      <c r="B204" s="31" t="s">
        <v>1276</v>
      </c>
      <c r="C204" s="31" t="s">
        <v>1277</v>
      </c>
      <c r="D204" s="31" t="s">
        <v>1278</v>
      </c>
      <c r="E204" s="31" t="s">
        <v>1209</v>
      </c>
      <c r="F204" s="32">
        <v>43808.0</v>
      </c>
      <c r="G204" s="32">
        <v>43870.0</v>
      </c>
      <c r="H204" s="31" t="s">
        <v>346</v>
      </c>
      <c r="I204" s="31" t="s">
        <v>1209</v>
      </c>
      <c r="J204" s="34"/>
      <c r="K204" s="31" t="s">
        <v>1210</v>
      </c>
      <c r="L204" s="31" t="s">
        <v>1279</v>
      </c>
      <c r="M204" s="31" t="s">
        <v>1280</v>
      </c>
      <c r="N204" s="31" t="s">
        <v>267</v>
      </c>
      <c r="O204" s="34"/>
      <c r="P204" s="31">
        <v>6.0</v>
      </c>
      <c r="Q204" s="31" t="s">
        <v>307</v>
      </c>
      <c r="R204" s="32">
        <v>34877.0</v>
      </c>
      <c r="S204" s="31" t="s">
        <v>531</v>
      </c>
      <c r="T204" s="31" t="s">
        <v>1281</v>
      </c>
      <c r="U204" s="31" t="s">
        <v>352</v>
      </c>
      <c r="V204" s="34"/>
      <c r="W204" s="34"/>
    </row>
    <row r="205">
      <c r="A205" s="30">
        <v>200.0</v>
      </c>
      <c r="B205" s="31" t="s">
        <v>1282</v>
      </c>
      <c r="C205" s="31" t="s">
        <v>1283</v>
      </c>
      <c r="D205" s="31" t="s">
        <v>260</v>
      </c>
      <c r="E205" s="31" t="s">
        <v>1130</v>
      </c>
      <c r="F205" s="32">
        <v>44409.0</v>
      </c>
      <c r="G205" s="32">
        <v>44470.0</v>
      </c>
      <c r="H205" s="31" t="s">
        <v>346</v>
      </c>
      <c r="I205" s="31" t="s">
        <v>112</v>
      </c>
      <c r="J205" s="31" t="s">
        <v>1130</v>
      </c>
      <c r="K205" s="31" t="s">
        <v>1131</v>
      </c>
      <c r="L205" s="31" t="s">
        <v>392</v>
      </c>
      <c r="M205" s="31" t="s">
        <v>1284</v>
      </c>
      <c r="N205" s="31" t="s">
        <v>267</v>
      </c>
      <c r="O205" s="34"/>
      <c r="P205" s="31">
        <v>5.0</v>
      </c>
      <c r="Q205" s="31" t="s">
        <v>307</v>
      </c>
      <c r="R205" s="32">
        <v>36271.0</v>
      </c>
      <c r="S205" s="31" t="s">
        <v>700</v>
      </c>
      <c r="T205" s="31" t="s">
        <v>686</v>
      </c>
      <c r="U205" s="31" t="s">
        <v>361</v>
      </c>
      <c r="V205" s="34"/>
      <c r="W205" s="34"/>
    </row>
    <row r="206">
      <c r="A206" s="30">
        <v>201.0</v>
      </c>
      <c r="B206" s="31" t="s">
        <v>1285</v>
      </c>
      <c r="C206" s="31" t="s">
        <v>1286</v>
      </c>
      <c r="D206" s="31" t="s">
        <v>260</v>
      </c>
      <c r="E206" s="31" t="s">
        <v>1130</v>
      </c>
      <c r="F206" s="32">
        <v>42873.0</v>
      </c>
      <c r="G206" s="32">
        <v>42934.0</v>
      </c>
      <c r="H206" s="31" t="s">
        <v>346</v>
      </c>
      <c r="I206" s="31" t="s">
        <v>112</v>
      </c>
      <c r="J206" s="31" t="s">
        <v>1130</v>
      </c>
      <c r="K206" s="31" t="s">
        <v>1131</v>
      </c>
      <c r="L206" s="31" t="s">
        <v>392</v>
      </c>
      <c r="M206" s="31" t="s">
        <v>1287</v>
      </c>
      <c r="N206" s="31" t="s">
        <v>267</v>
      </c>
      <c r="O206" s="34"/>
      <c r="P206" s="31">
        <v>7.0</v>
      </c>
      <c r="Q206" s="31" t="s">
        <v>307</v>
      </c>
      <c r="R206" s="32">
        <v>34482.0</v>
      </c>
      <c r="S206" s="31" t="s">
        <v>700</v>
      </c>
      <c r="T206" s="31" t="s">
        <v>686</v>
      </c>
      <c r="U206" s="31" t="s">
        <v>361</v>
      </c>
      <c r="V206" s="34"/>
      <c r="W206" s="34"/>
    </row>
    <row r="207">
      <c r="A207" s="30">
        <v>202.0</v>
      </c>
      <c r="B207" s="31" t="s">
        <v>1288</v>
      </c>
      <c r="C207" s="31" t="s">
        <v>1289</v>
      </c>
      <c r="D207" s="31" t="s">
        <v>1219</v>
      </c>
      <c r="E207" s="31" t="s">
        <v>1220</v>
      </c>
      <c r="F207" s="32">
        <v>43370.0</v>
      </c>
      <c r="G207" s="35">
        <v>43431.0</v>
      </c>
      <c r="H207" s="31" t="s">
        <v>346</v>
      </c>
      <c r="I207" s="31" t="s">
        <v>315</v>
      </c>
      <c r="J207" s="31" t="s">
        <v>1221</v>
      </c>
      <c r="K207" s="31" t="s">
        <v>1222</v>
      </c>
      <c r="L207" s="31" t="s">
        <v>1223</v>
      </c>
      <c r="M207" s="31" t="s">
        <v>1290</v>
      </c>
      <c r="N207" s="31" t="s">
        <v>467</v>
      </c>
      <c r="O207" s="34"/>
      <c r="P207" s="31">
        <v>6.0</v>
      </c>
      <c r="Q207" s="31" t="s">
        <v>307</v>
      </c>
      <c r="R207" s="32">
        <v>35307.0</v>
      </c>
      <c r="S207" s="31" t="s">
        <v>1291</v>
      </c>
      <c r="T207" s="31" t="s">
        <v>1292</v>
      </c>
      <c r="U207" s="31" t="s">
        <v>352</v>
      </c>
      <c r="V207" s="31" t="s">
        <v>1220</v>
      </c>
      <c r="W207" s="34"/>
    </row>
    <row r="208">
      <c r="A208" s="30">
        <v>203.0</v>
      </c>
      <c r="B208" s="31" t="s">
        <v>1293</v>
      </c>
      <c r="C208" s="31" t="s">
        <v>1294</v>
      </c>
      <c r="D208" s="31" t="s">
        <v>260</v>
      </c>
      <c r="E208" s="31" t="s">
        <v>403</v>
      </c>
      <c r="F208" s="32">
        <v>44274.0</v>
      </c>
      <c r="G208" s="32">
        <v>44335.0</v>
      </c>
      <c r="H208" s="31" t="s">
        <v>346</v>
      </c>
      <c r="I208" s="31" t="s">
        <v>112</v>
      </c>
      <c r="J208" s="31" t="s">
        <v>403</v>
      </c>
      <c r="K208" s="31" t="s">
        <v>404</v>
      </c>
      <c r="L208" s="31" t="s">
        <v>392</v>
      </c>
      <c r="M208" s="31" t="s">
        <v>1295</v>
      </c>
      <c r="N208" s="31" t="s">
        <v>267</v>
      </c>
      <c r="O208" s="34"/>
      <c r="P208" s="31">
        <v>2.0</v>
      </c>
      <c r="Q208" s="31" t="s">
        <v>307</v>
      </c>
      <c r="R208" s="32">
        <v>36232.0</v>
      </c>
      <c r="S208" s="31" t="s">
        <v>676</v>
      </c>
      <c r="T208" s="31" t="s">
        <v>686</v>
      </c>
      <c r="U208" s="31" t="s">
        <v>361</v>
      </c>
      <c r="V208" s="34"/>
      <c r="W208" s="34"/>
    </row>
    <row r="209">
      <c r="A209" s="30">
        <v>204.0</v>
      </c>
      <c r="B209" s="31" t="s">
        <v>1296</v>
      </c>
      <c r="C209" s="31" t="s">
        <v>1297</v>
      </c>
      <c r="D209" s="31" t="s">
        <v>260</v>
      </c>
      <c r="E209" s="31" t="s">
        <v>1260</v>
      </c>
      <c r="F209" s="32">
        <v>44245.0</v>
      </c>
      <c r="G209" s="32">
        <v>44304.0</v>
      </c>
      <c r="H209" s="31" t="s">
        <v>346</v>
      </c>
      <c r="I209" s="31" t="s">
        <v>112</v>
      </c>
      <c r="J209" s="31" t="s">
        <v>1260</v>
      </c>
      <c r="K209" s="31" t="s">
        <v>1261</v>
      </c>
      <c r="L209" s="31" t="s">
        <v>392</v>
      </c>
      <c r="M209" s="31" t="s">
        <v>1298</v>
      </c>
      <c r="N209" s="31" t="s">
        <v>267</v>
      </c>
      <c r="O209" s="34"/>
      <c r="P209" s="31">
        <v>2.0</v>
      </c>
      <c r="Q209" s="31" t="s">
        <v>307</v>
      </c>
      <c r="R209" s="35">
        <v>36454.0</v>
      </c>
      <c r="S209" s="31" t="s">
        <v>700</v>
      </c>
      <c r="T209" s="31" t="s">
        <v>686</v>
      </c>
      <c r="U209" s="31" t="s">
        <v>361</v>
      </c>
      <c r="V209" s="34"/>
      <c r="W209" s="34"/>
    </row>
    <row r="210">
      <c r="A210" s="30">
        <v>205.0</v>
      </c>
      <c r="B210" s="31" t="s">
        <v>1299</v>
      </c>
      <c r="C210" s="31" t="s">
        <v>1300</v>
      </c>
      <c r="D210" s="31" t="s">
        <v>260</v>
      </c>
      <c r="E210" s="31" t="s">
        <v>403</v>
      </c>
      <c r="F210" s="32">
        <v>44095.0</v>
      </c>
      <c r="G210" s="35">
        <v>44156.0</v>
      </c>
      <c r="H210" s="31" t="s">
        <v>346</v>
      </c>
      <c r="I210" s="31" t="s">
        <v>112</v>
      </c>
      <c r="J210" s="31" t="s">
        <v>403</v>
      </c>
      <c r="K210" s="31" t="s">
        <v>404</v>
      </c>
      <c r="L210" s="31" t="s">
        <v>392</v>
      </c>
      <c r="M210" s="31" t="s">
        <v>1301</v>
      </c>
      <c r="N210" s="31" t="s">
        <v>267</v>
      </c>
      <c r="O210" s="34"/>
      <c r="P210" s="31">
        <v>5.0</v>
      </c>
      <c r="Q210" s="31" t="s">
        <v>307</v>
      </c>
      <c r="R210" s="32">
        <v>35831.0</v>
      </c>
      <c r="S210" s="31" t="s">
        <v>531</v>
      </c>
      <c r="T210" s="31" t="s">
        <v>1242</v>
      </c>
      <c r="U210" s="31" t="s">
        <v>361</v>
      </c>
      <c r="V210" s="34"/>
      <c r="W210" s="34"/>
    </row>
    <row r="211">
      <c r="A211" s="30">
        <v>206.0</v>
      </c>
      <c r="B211" s="31" t="s">
        <v>1302</v>
      </c>
      <c r="C211" s="31" t="s">
        <v>1303</v>
      </c>
      <c r="D211" s="31" t="s">
        <v>1208</v>
      </c>
      <c r="E211" s="31" t="s">
        <v>1209</v>
      </c>
      <c r="F211" s="32">
        <v>43557.0</v>
      </c>
      <c r="G211" s="32">
        <v>43618.0</v>
      </c>
      <c r="H211" s="31" t="s">
        <v>346</v>
      </c>
      <c r="I211" s="31" t="s">
        <v>1209</v>
      </c>
      <c r="J211" s="34"/>
      <c r="K211" s="31" t="s">
        <v>1210</v>
      </c>
      <c r="L211" s="31" t="s">
        <v>1211</v>
      </c>
      <c r="M211" s="31" t="s">
        <v>1304</v>
      </c>
      <c r="N211" s="31" t="s">
        <v>267</v>
      </c>
      <c r="O211" s="34"/>
      <c r="P211" s="31">
        <v>5.0</v>
      </c>
      <c r="Q211" s="31" t="s">
        <v>307</v>
      </c>
      <c r="R211" s="32">
        <v>35663.0</v>
      </c>
      <c r="S211" s="31" t="s">
        <v>1305</v>
      </c>
      <c r="T211" s="31" t="s">
        <v>757</v>
      </c>
      <c r="U211" s="31" t="s">
        <v>352</v>
      </c>
      <c r="V211" s="34"/>
      <c r="W211" s="34"/>
    </row>
    <row r="212">
      <c r="A212" s="30">
        <v>207.0</v>
      </c>
      <c r="B212" s="31" t="s">
        <v>1306</v>
      </c>
      <c r="C212" s="31" t="s">
        <v>1307</v>
      </c>
      <c r="D212" s="31" t="s">
        <v>1219</v>
      </c>
      <c r="E212" s="31" t="s">
        <v>1220</v>
      </c>
      <c r="F212" s="35">
        <v>44893.0</v>
      </c>
      <c r="G212" s="32">
        <v>44954.0</v>
      </c>
      <c r="H212" s="31" t="s">
        <v>346</v>
      </c>
      <c r="I212" s="31" t="s">
        <v>315</v>
      </c>
      <c r="J212" s="31" t="s">
        <v>1221</v>
      </c>
      <c r="K212" s="31" t="s">
        <v>1222</v>
      </c>
      <c r="L212" s="31" t="s">
        <v>1223</v>
      </c>
      <c r="M212" s="31" t="s">
        <v>1308</v>
      </c>
      <c r="N212" s="31" t="s">
        <v>467</v>
      </c>
      <c r="O212" s="34"/>
      <c r="P212" s="31">
        <v>2.0</v>
      </c>
      <c r="Q212" s="31" t="s">
        <v>307</v>
      </c>
      <c r="R212" s="32">
        <v>35515.0</v>
      </c>
      <c r="S212" s="31" t="s">
        <v>1309</v>
      </c>
      <c r="T212" s="31" t="s">
        <v>1310</v>
      </c>
      <c r="U212" s="31" t="s">
        <v>352</v>
      </c>
      <c r="V212" s="31" t="s">
        <v>1220</v>
      </c>
      <c r="W212" s="34"/>
    </row>
    <row r="213">
      <c r="A213" s="30">
        <v>208.0</v>
      </c>
      <c r="B213" s="31" t="s">
        <v>1311</v>
      </c>
      <c r="C213" s="31" t="s">
        <v>1312</v>
      </c>
      <c r="D213" s="31" t="s">
        <v>1219</v>
      </c>
      <c r="E213" s="31" t="s">
        <v>1220</v>
      </c>
      <c r="F213" s="35">
        <v>44893.0</v>
      </c>
      <c r="G213" s="32">
        <v>44954.0</v>
      </c>
      <c r="H213" s="31" t="s">
        <v>346</v>
      </c>
      <c r="I213" s="31" t="s">
        <v>315</v>
      </c>
      <c r="J213" s="31" t="s">
        <v>1221</v>
      </c>
      <c r="K213" s="31" t="s">
        <v>1222</v>
      </c>
      <c r="L213" s="31" t="s">
        <v>1223</v>
      </c>
      <c r="M213" s="31" t="s">
        <v>1313</v>
      </c>
      <c r="N213" s="31" t="s">
        <v>267</v>
      </c>
      <c r="O213" s="34"/>
      <c r="P213" s="31">
        <v>2.0</v>
      </c>
      <c r="Q213" s="31" t="s">
        <v>307</v>
      </c>
      <c r="R213" s="32">
        <v>36737.0</v>
      </c>
      <c r="S213" s="31" t="s">
        <v>1314</v>
      </c>
      <c r="T213" s="31" t="s">
        <v>1310</v>
      </c>
      <c r="U213" s="31" t="s">
        <v>352</v>
      </c>
      <c r="V213" s="31" t="s">
        <v>1220</v>
      </c>
      <c r="W213" s="34"/>
    </row>
    <row r="214">
      <c r="A214" s="30">
        <v>209.0</v>
      </c>
      <c r="B214" s="31" t="s">
        <v>1315</v>
      </c>
      <c r="C214" s="31" t="s">
        <v>1316</v>
      </c>
      <c r="D214" s="31" t="s">
        <v>1317</v>
      </c>
      <c r="E214" s="31" t="s">
        <v>1221</v>
      </c>
      <c r="F214" s="32">
        <v>37810.0</v>
      </c>
      <c r="G214" s="32">
        <v>37987.0</v>
      </c>
      <c r="H214" s="31" t="s">
        <v>346</v>
      </c>
      <c r="I214" s="31" t="s">
        <v>315</v>
      </c>
      <c r="J214" s="31" t="s">
        <v>1221</v>
      </c>
      <c r="K214" s="31" t="s">
        <v>1318</v>
      </c>
      <c r="L214" s="31" t="s">
        <v>1319</v>
      </c>
      <c r="M214" s="31" t="s">
        <v>1320</v>
      </c>
      <c r="N214" s="31" t="s">
        <v>267</v>
      </c>
      <c r="O214" s="31">
        <v>2.0</v>
      </c>
      <c r="P214" s="31">
        <v>3.0</v>
      </c>
      <c r="Q214" s="31" t="s">
        <v>307</v>
      </c>
      <c r="R214" s="35">
        <v>29572.0</v>
      </c>
      <c r="S214" s="31" t="s">
        <v>531</v>
      </c>
      <c r="T214" s="31" t="s">
        <v>665</v>
      </c>
      <c r="U214" s="31" t="s">
        <v>352</v>
      </c>
      <c r="V214" s="34"/>
      <c r="W214" s="34"/>
    </row>
    <row r="215">
      <c r="A215" s="30">
        <v>210.0</v>
      </c>
      <c r="B215" s="31" t="s">
        <v>1321</v>
      </c>
      <c r="C215" s="31" t="s">
        <v>1322</v>
      </c>
      <c r="D215" s="31" t="s">
        <v>1219</v>
      </c>
      <c r="E215" s="31" t="s">
        <v>1323</v>
      </c>
      <c r="F215" s="32">
        <v>43599.0</v>
      </c>
      <c r="G215" s="32">
        <v>43660.0</v>
      </c>
      <c r="H215" s="31" t="s">
        <v>346</v>
      </c>
      <c r="I215" s="31" t="s">
        <v>315</v>
      </c>
      <c r="J215" s="31" t="s">
        <v>1221</v>
      </c>
      <c r="K215" s="31" t="s">
        <v>1324</v>
      </c>
      <c r="L215" s="31" t="s">
        <v>1223</v>
      </c>
      <c r="M215" s="31" t="s">
        <v>1325</v>
      </c>
      <c r="N215" s="31" t="s">
        <v>467</v>
      </c>
      <c r="O215" s="34"/>
      <c r="P215" s="31">
        <v>7.0</v>
      </c>
      <c r="Q215" s="31" t="s">
        <v>307</v>
      </c>
      <c r="R215" s="35">
        <v>34256.0</v>
      </c>
      <c r="S215" s="31" t="s">
        <v>531</v>
      </c>
      <c r="T215" s="31" t="s">
        <v>1326</v>
      </c>
      <c r="U215" s="31" t="s">
        <v>352</v>
      </c>
      <c r="V215" s="31" t="s">
        <v>1323</v>
      </c>
      <c r="W215" s="34"/>
    </row>
    <row r="216">
      <c r="A216" s="30">
        <v>211.0</v>
      </c>
      <c r="B216" s="31" t="s">
        <v>1327</v>
      </c>
      <c r="C216" s="31" t="s">
        <v>1328</v>
      </c>
      <c r="D216" s="31" t="s">
        <v>1329</v>
      </c>
      <c r="E216" s="31" t="s">
        <v>1323</v>
      </c>
      <c r="F216" s="32">
        <v>39888.0</v>
      </c>
      <c r="G216" s="32">
        <v>39948.0</v>
      </c>
      <c r="H216" s="31" t="s">
        <v>346</v>
      </c>
      <c r="I216" s="31" t="s">
        <v>315</v>
      </c>
      <c r="J216" s="31" t="s">
        <v>1221</v>
      </c>
      <c r="K216" s="31" t="s">
        <v>1324</v>
      </c>
      <c r="L216" s="31" t="s">
        <v>1330</v>
      </c>
      <c r="M216" s="31" t="s">
        <v>1331</v>
      </c>
      <c r="N216" s="31" t="s">
        <v>267</v>
      </c>
      <c r="O216" s="31">
        <v>1.0</v>
      </c>
      <c r="P216" s="31">
        <v>7.0</v>
      </c>
      <c r="Q216" s="31" t="s">
        <v>307</v>
      </c>
      <c r="R216" s="32">
        <v>31179.0</v>
      </c>
      <c r="S216" s="31" t="s">
        <v>1332</v>
      </c>
      <c r="T216" s="31" t="s">
        <v>686</v>
      </c>
      <c r="U216" s="31" t="s">
        <v>352</v>
      </c>
      <c r="V216" s="31" t="s">
        <v>1323</v>
      </c>
      <c r="W216" s="34"/>
    </row>
    <row r="217">
      <c r="A217" s="30">
        <v>212.0</v>
      </c>
      <c r="B217" s="31" t="s">
        <v>1333</v>
      </c>
      <c r="C217" s="31" t="s">
        <v>1334</v>
      </c>
      <c r="D217" s="31" t="s">
        <v>1219</v>
      </c>
      <c r="E217" s="31" t="s">
        <v>1220</v>
      </c>
      <c r="F217" s="35">
        <v>42662.0</v>
      </c>
      <c r="G217" s="35">
        <v>42723.0</v>
      </c>
      <c r="H217" s="31" t="s">
        <v>346</v>
      </c>
      <c r="I217" s="31" t="s">
        <v>315</v>
      </c>
      <c r="J217" s="31" t="s">
        <v>1221</v>
      </c>
      <c r="K217" s="31" t="s">
        <v>1222</v>
      </c>
      <c r="L217" s="31" t="s">
        <v>1223</v>
      </c>
      <c r="M217" s="31" t="s">
        <v>1335</v>
      </c>
      <c r="N217" s="31" t="s">
        <v>267</v>
      </c>
      <c r="O217" s="34"/>
      <c r="P217" s="31">
        <v>7.0</v>
      </c>
      <c r="Q217" s="31" t="s">
        <v>307</v>
      </c>
      <c r="R217" s="32">
        <v>34203.0</v>
      </c>
      <c r="S217" s="31" t="s">
        <v>531</v>
      </c>
      <c r="T217" s="31" t="s">
        <v>1336</v>
      </c>
      <c r="U217" s="31" t="s">
        <v>352</v>
      </c>
      <c r="V217" s="31" t="s">
        <v>1220</v>
      </c>
      <c r="W217" s="34"/>
    </row>
    <row r="218">
      <c r="A218" s="30">
        <v>213.0</v>
      </c>
      <c r="B218" s="31" t="s">
        <v>1337</v>
      </c>
      <c r="C218" s="31" t="s">
        <v>1338</v>
      </c>
      <c r="D218" s="31" t="s">
        <v>1219</v>
      </c>
      <c r="E218" s="31" t="s">
        <v>1323</v>
      </c>
      <c r="F218" s="32">
        <v>43533.0</v>
      </c>
      <c r="G218" s="32">
        <v>43594.0</v>
      </c>
      <c r="H218" s="31" t="s">
        <v>346</v>
      </c>
      <c r="I218" s="31" t="s">
        <v>315</v>
      </c>
      <c r="J218" s="31" t="s">
        <v>1221</v>
      </c>
      <c r="K218" s="31" t="s">
        <v>1324</v>
      </c>
      <c r="L218" s="31" t="s">
        <v>1223</v>
      </c>
      <c r="M218" s="31" t="s">
        <v>1339</v>
      </c>
      <c r="N218" s="31" t="s">
        <v>467</v>
      </c>
      <c r="O218" s="34"/>
      <c r="P218" s="31">
        <v>7.0</v>
      </c>
      <c r="Q218" s="31" t="s">
        <v>307</v>
      </c>
      <c r="R218" s="32">
        <v>31823.0</v>
      </c>
      <c r="S218" s="31" t="s">
        <v>531</v>
      </c>
      <c r="T218" s="31" t="s">
        <v>1340</v>
      </c>
      <c r="U218" s="31" t="s">
        <v>352</v>
      </c>
      <c r="V218" s="31" t="s">
        <v>1323</v>
      </c>
      <c r="W218" s="34"/>
    </row>
    <row r="219">
      <c r="A219" s="30">
        <v>214.0</v>
      </c>
      <c r="B219" s="31" t="s">
        <v>1341</v>
      </c>
      <c r="C219" s="31" t="s">
        <v>1342</v>
      </c>
      <c r="D219" s="31" t="s">
        <v>1219</v>
      </c>
      <c r="E219" s="31" t="s">
        <v>1220</v>
      </c>
      <c r="F219" s="32">
        <v>43599.0</v>
      </c>
      <c r="G219" s="32">
        <v>43660.0</v>
      </c>
      <c r="H219" s="31" t="s">
        <v>346</v>
      </c>
      <c r="I219" s="31" t="s">
        <v>315</v>
      </c>
      <c r="J219" s="31" t="s">
        <v>1221</v>
      </c>
      <c r="K219" s="31" t="s">
        <v>1222</v>
      </c>
      <c r="L219" s="31" t="s">
        <v>1223</v>
      </c>
      <c r="M219" s="31" t="s">
        <v>1343</v>
      </c>
      <c r="N219" s="31" t="s">
        <v>267</v>
      </c>
      <c r="O219" s="34"/>
      <c r="P219" s="31">
        <v>4.0</v>
      </c>
      <c r="Q219" s="31" t="s">
        <v>307</v>
      </c>
      <c r="R219" s="32">
        <v>34901.0</v>
      </c>
      <c r="S219" s="31" t="s">
        <v>700</v>
      </c>
      <c r="T219" s="31" t="s">
        <v>459</v>
      </c>
      <c r="U219" s="31" t="s">
        <v>352</v>
      </c>
      <c r="V219" s="31" t="s">
        <v>1220</v>
      </c>
      <c r="W219" s="34"/>
    </row>
    <row r="220">
      <c r="A220" s="30">
        <v>215.0</v>
      </c>
      <c r="B220" s="31" t="s">
        <v>1344</v>
      </c>
      <c r="C220" s="31" t="s">
        <v>1345</v>
      </c>
      <c r="D220" s="31" t="s">
        <v>1219</v>
      </c>
      <c r="E220" s="31" t="s">
        <v>1323</v>
      </c>
      <c r="F220" s="32">
        <v>40674.0</v>
      </c>
      <c r="G220" s="32">
        <v>40740.0</v>
      </c>
      <c r="H220" s="31" t="s">
        <v>346</v>
      </c>
      <c r="I220" s="31" t="s">
        <v>315</v>
      </c>
      <c r="J220" s="31" t="s">
        <v>1221</v>
      </c>
      <c r="K220" s="31" t="s">
        <v>1324</v>
      </c>
      <c r="L220" s="31" t="s">
        <v>1223</v>
      </c>
      <c r="M220" s="31" t="s">
        <v>1346</v>
      </c>
      <c r="N220" s="31" t="s">
        <v>267</v>
      </c>
      <c r="O220" s="34"/>
      <c r="P220" s="31">
        <v>9.0</v>
      </c>
      <c r="Q220" s="31" t="s">
        <v>307</v>
      </c>
      <c r="R220" s="32">
        <v>31960.0</v>
      </c>
      <c r="S220" s="31" t="s">
        <v>531</v>
      </c>
      <c r="T220" s="31" t="s">
        <v>1347</v>
      </c>
      <c r="U220" s="31" t="s">
        <v>352</v>
      </c>
      <c r="V220" s="31" t="s">
        <v>1323</v>
      </c>
      <c r="W220" s="34"/>
    </row>
    <row r="221">
      <c r="A221" s="30">
        <v>216.0</v>
      </c>
      <c r="B221" s="31" t="s">
        <v>1348</v>
      </c>
      <c r="C221" s="31" t="s">
        <v>1349</v>
      </c>
      <c r="D221" s="31" t="s">
        <v>1219</v>
      </c>
      <c r="E221" s="31" t="s">
        <v>1323</v>
      </c>
      <c r="F221" s="32">
        <v>43109.0</v>
      </c>
      <c r="G221" s="32">
        <v>43168.0</v>
      </c>
      <c r="H221" s="31" t="s">
        <v>346</v>
      </c>
      <c r="I221" s="31" t="s">
        <v>315</v>
      </c>
      <c r="J221" s="31" t="s">
        <v>1221</v>
      </c>
      <c r="K221" s="31" t="s">
        <v>1324</v>
      </c>
      <c r="L221" s="31" t="s">
        <v>1223</v>
      </c>
      <c r="M221" s="31" t="s">
        <v>1350</v>
      </c>
      <c r="N221" s="31" t="s">
        <v>267</v>
      </c>
      <c r="O221" s="34"/>
      <c r="P221" s="31">
        <v>6.0</v>
      </c>
      <c r="Q221" s="31" t="s">
        <v>307</v>
      </c>
      <c r="R221" s="32">
        <v>35123.0</v>
      </c>
      <c r="S221" s="31" t="s">
        <v>681</v>
      </c>
      <c r="T221" s="31" t="s">
        <v>686</v>
      </c>
      <c r="U221" s="31" t="s">
        <v>352</v>
      </c>
      <c r="V221" s="31" t="s">
        <v>1323</v>
      </c>
      <c r="W221" s="34"/>
    </row>
    <row r="222">
      <c r="A222" s="30">
        <v>217.0</v>
      </c>
      <c r="B222" s="31" t="s">
        <v>1351</v>
      </c>
      <c r="C222" s="31" t="s">
        <v>1352</v>
      </c>
      <c r="D222" s="31" t="s">
        <v>1219</v>
      </c>
      <c r="E222" s="31" t="s">
        <v>1323</v>
      </c>
      <c r="F222" s="32">
        <v>40544.0</v>
      </c>
      <c r="G222" s="32">
        <v>40603.0</v>
      </c>
      <c r="H222" s="31" t="s">
        <v>346</v>
      </c>
      <c r="I222" s="31" t="s">
        <v>315</v>
      </c>
      <c r="J222" s="31" t="s">
        <v>1221</v>
      </c>
      <c r="K222" s="31" t="s">
        <v>1324</v>
      </c>
      <c r="L222" s="31" t="s">
        <v>1223</v>
      </c>
      <c r="M222" s="31" t="s">
        <v>1353</v>
      </c>
      <c r="N222" s="31" t="s">
        <v>267</v>
      </c>
      <c r="O222" s="34"/>
      <c r="P222" s="31">
        <v>8.0</v>
      </c>
      <c r="Q222" s="31" t="s">
        <v>307</v>
      </c>
      <c r="R222" s="32">
        <v>31441.0</v>
      </c>
      <c r="S222" s="31" t="s">
        <v>626</v>
      </c>
      <c r="T222" s="31" t="s">
        <v>1347</v>
      </c>
      <c r="U222" s="31" t="s">
        <v>352</v>
      </c>
      <c r="V222" s="31" t="s">
        <v>1323</v>
      </c>
      <c r="W222" s="34"/>
    </row>
    <row r="223">
      <c r="A223" s="30">
        <v>218.0</v>
      </c>
      <c r="B223" s="31" t="s">
        <v>1354</v>
      </c>
      <c r="C223" s="31" t="s">
        <v>1355</v>
      </c>
      <c r="D223" s="31" t="s">
        <v>1219</v>
      </c>
      <c r="E223" s="31" t="s">
        <v>1323</v>
      </c>
      <c r="F223" s="32">
        <v>42614.0</v>
      </c>
      <c r="G223" s="32">
        <v>42675.0</v>
      </c>
      <c r="H223" s="31" t="s">
        <v>346</v>
      </c>
      <c r="I223" s="31" t="s">
        <v>315</v>
      </c>
      <c r="J223" s="31" t="s">
        <v>1221</v>
      </c>
      <c r="K223" s="31" t="s">
        <v>1324</v>
      </c>
      <c r="L223" s="31" t="s">
        <v>1223</v>
      </c>
      <c r="M223" s="31" t="s">
        <v>1356</v>
      </c>
      <c r="N223" s="31" t="s">
        <v>267</v>
      </c>
      <c r="O223" s="34"/>
      <c r="P223" s="31">
        <v>8.0</v>
      </c>
      <c r="Q223" s="31" t="s">
        <v>307</v>
      </c>
      <c r="R223" s="32">
        <v>34029.0</v>
      </c>
      <c r="S223" s="31" t="s">
        <v>733</v>
      </c>
      <c r="T223" s="31" t="s">
        <v>686</v>
      </c>
      <c r="U223" s="31" t="s">
        <v>352</v>
      </c>
      <c r="V223" s="31" t="s">
        <v>1323</v>
      </c>
      <c r="W223" s="34"/>
    </row>
    <row r="224">
      <c r="A224" s="30">
        <v>219.0</v>
      </c>
      <c r="B224" s="31" t="s">
        <v>1357</v>
      </c>
      <c r="C224" s="31" t="s">
        <v>1358</v>
      </c>
      <c r="D224" s="31" t="s">
        <v>1219</v>
      </c>
      <c r="E224" s="31" t="s">
        <v>1323</v>
      </c>
      <c r="F224" s="32">
        <v>42859.0</v>
      </c>
      <c r="G224" s="32">
        <v>42920.0</v>
      </c>
      <c r="H224" s="31" t="s">
        <v>346</v>
      </c>
      <c r="I224" s="31" t="s">
        <v>315</v>
      </c>
      <c r="J224" s="31" t="s">
        <v>1221</v>
      </c>
      <c r="K224" s="31" t="s">
        <v>1324</v>
      </c>
      <c r="L224" s="31" t="s">
        <v>1223</v>
      </c>
      <c r="M224" s="31" t="s">
        <v>1359</v>
      </c>
      <c r="N224" s="31" t="s">
        <v>267</v>
      </c>
      <c r="O224" s="34"/>
      <c r="P224" s="31">
        <v>8.0</v>
      </c>
      <c r="Q224" s="31" t="s">
        <v>307</v>
      </c>
      <c r="R224" s="32">
        <v>34468.0</v>
      </c>
      <c r="S224" s="31" t="s">
        <v>700</v>
      </c>
      <c r="T224" s="31" t="s">
        <v>686</v>
      </c>
      <c r="U224" s="31" t="s">
        <v>352</v>
      </c>
      <c r="V224" s="31" t="s">
        <v>1323</v>
      </c>
      <c r="W224" s="34"/>
    </row>
    <row r="225">
      <c r="A225" s="30">
        <v>220.0</v>
      </c>
      <c r="B225" s="31" t="s">
        <v>1360</v>
      </c>
      <c r="C225" s="31" t="s">
        <v>1361</v>
      </c>
      <c r="D225" s="31" t="s">
        <v>1219</v>
      </c>
      <c r="E225" s="31" t="s">
        <v>1323</v>
      </c>
      <c r="F225" s="32">
        <v>44327.0</v>
      </c>
      <c r="G225" s="32">
        <v>44327.0</v>
      </c>
      <c r="H225" s="31" t="s">
        <v>346</v>
      </c>
      <c r="I225" s="31" t="s">
        <v>315</v>
      </c>
      <c r="J225" s="31" t="s">
        <v>1221</v>
      </c>
      <c r="K225" s="31" t="s">
        <v>1324</v>
      </c>
      <c r="L225" s="31" t="s">
        <v>1223</v>
      </c>
      <c r="M225" s="31" t="s">
        <v>1362</v>
      </c>
      <c r="N225" s="31" t="s">
        <v>467</v>
      </c>
      <c r="O225" s="34"/>
      <c r="P225" s="31">
        <v>8.0</v>
      </c>
      <c r="Q225" s="31" t="s">
        <v>307</v>
      </c>
      <c r="R225" s="35">
        <v>33219.0</v>
      </c>
      <c r="S225" s="31" t="s">
        <v>531</v>
      </c>
      <c r="T225" s="31" t="s">
        <v>682</v>
      </c>
      <c r="U225" s="31" t="s">
        <v>352</v>
      </c>
      <c r="V225" s="31" t="s">
        <v>1323</v>
      </c>
      <c r="W225" s="34"/>
    </row>
    <row r="226">
      <c r="A226" s="30">
        <v>221.0</v>
      </c>
      <c r="B226" s="31" t="s">
        <v>1363</v>
      </c>
      <c r="C226" s="31" t="s">
        <v>1364</v>
      </c>
      <c r="D226" s="31" t="s">
        <v>1219</v>
      </c>
      <c r="E226" s="31" t="s">
        <v>1365</v>
      </c>
      <c r="F226" s="35">
        <v>43816.0</v>
      </c>
      <c r="G226" s="32">
        <v>43878.0</v>
      </c>
      <c r="H226" s="31" t="s">
        <v>346</v>
      </c>
      <c r="I226" s="31" t="s">
        <v>315</v>
      </c>
      <c r="J226" s="31" t="s">
        <v>1366</v>
      </c>
      <c r="K226" s="31" t="s">
        <v>1367</v>
      </c>
      <c r="L226" s="31" t="s">
        <v>1223</v>
      </c>
      <c r="M226" s="31" t="s">
        <v>1368</v>
      </c>
      <c r="N226" s="31" t="s">
        <v>267</v>
      </c>
      <c r="O226" s="34"/>
      <c r="P226" s="31">
        <v>5.0</v>
      </c>
      <c r="Q226" s="31" t="s">
        <v>307</v>
      </c>
      <c r="R226" s="32">
        <v>34564.0</v>
      </c>
      <c r="S226" s="31" t="s">
        <v>1369</v>
      </c>
      <c r="T226" s="31" t="s">
        <v>1370</v>
      </c>
      <c r="U226" s="31" t="s">
        <v>352</v>
      </c>
      <c r="V226" s="31" t="s">
        <v>1365</v>
      </c>
      <c r="W226" s="34"/>
    </row>
    <row r="227">
      <c r="A227" s="30">
        <v>222.0</v>
      </c>
      <c r="B227" s="31" t="s">
        <v>1371</v>
      </c>
      <c r="C227" s="31" t="s">
        <v>1372</v>
      </c>
      <c r="D227" s="31" t="s">
        <v>1219</v>
      </c>
      <c r="E227" s="31" t="s">
        <v>1323</v>
      </c>
      <c r="F227" s="32">
        <v>39948.0</v>
      </c>
      <c r="G227" s="32">
        <v>40238.0</v>
      </c>
      <c r="H227" s="31" t="s">
        <v>346</v>
      </c>
      <c r="I227" s="31" t="s">
        <v>315</v>
      </c>
      <c r="J227" s="31" t="s">
        <v>1221</v>
      </c>
      <c r="K227" s="31" t="s">
        <v>1324</v>
      </c>
      <c r="L227" s="31" t="s">
        <v>1223</v>
      </c>
      <c r="M227" s="31" t="s">
        <v>1373</v>
      </c>
      <c r="N227" s="31" t="s">
        <v>267</v>
      </c>
      <c r="O227" s="34"/>
      <c r="P227" s="31">
        <v>10.0</v>
      </c>
      <c r="Q227" s="31" t="s">
        <v>307</v>
      </c>
      <c r="R227" s="32">
        <v>31972.0</v>
      </c>
      <c r="S227" s="31" t="s">
        <v>631</v>
      </c>
      <c r="T227" s="31" t="s">
        <v>503</v>
      </c>
      <c r="U227" s="31" t="s">
        <v>352</v>
      </c>
      <c r="V227" s="31" t="s">
        <v>1323</v>
      </c>
      <c r="W227" s="34"/>
    </row>
    <row r="228">
      <c r="A228" s="30">
        <v>223.0</v>
      </c>
      <c r="B228" s="31" t="s">
        <v>1374</v>
      </c>
      <c r="C228" s="31" t="s">
        <v>1375</v>
      </c>
      <c r="D228" s="31" t="s">
        <v>1219</v>
      </c>
      <c r="E228" s="31" t="s">
        <v>1323</v>
      </c>
      <c r="F228" s="32">
        <v>43208.0</v>
      </c>
      <c r="G228" s="32">
        <v>43269.0</v>
      </c>
      <c r="H228" s="31" t="s">
        <v>346</v>
      </c>
      <c r="I228" s="31" t="s">
        <v>315</v>
      </c>
      <c r="J228" s="31" t="s">
        <v>1221</v>
      </c>
      <c r="K228" s="31" t="s">
        <v>1324</v>
      </c>
      <c r="L228" s="31" t="s">
        <v>1223</v>
      </c>
      <c r="M228" s="31" t="s">
        <v>1376</v>
      </c>
      <c r="N228" s="31" t="s">
        <v>467</v>
      </c>
      <c r="O228" s="34"/>
      <c r="P228" s="31">
        <v>8.0</v>
      </c>
      <c r="Q228" s="31" t="s">
        <v>307</v>
      </c>
      <c r="R228" s="32">
        <v>34958.0</v>
      </c>
      <c r="S228" s="31" t="s">
        <v>320</v>
      </c>
      <c r="T228" s="31" t="s">
        <v>1377</v>
      </c>
      <c r="U228" s="31" t="s">
        <v>352</v>
      </c>
      <c r="V228" s="31" t="s">
        <v>1323</v>
      </c>
      <c r="W228" s="34"/>
    </row>
    <row r="229">
      <c r="A229" s="30">
        <v>224.0</v>
      </c>
      <c r="B229" s="31" t="s">
        <v>1378</v>
      </c>
      <c r="C229" s="31" t="s">
        <v>1379</v>
      </c>
      <c r="D229" s="31" t="s">
        <v>1219</v>
      </c>
      <c r="E229" s="31" t="s">
        <v>1220</v>
      </c>
      <c r="F229" s="35">
        <v>43816.0</v>
      </c>
      <c r="G229" s="32">
        <v>43878.0</v>
      </c>
      <c r="H229" s="31" t="s">
        <v>346</v>
      </c>
      <c r="I229" s="31" t="s">
        <v>315</v>
      </c>
      <c r="J229" s="31" t="s">
        <v>1221</v>
      </c>
      <c r="K229" s="31" t="s">
        <v>1222</v>
      </c>
      <c r="L229" s="31" t="s">
        <v>1223</v>
      </c>
      <c r="M229" s="31" t="s">
        <v>1380</v>
      </c>
      <c r="N229" s="31" t="s">
        <v>267</v>
      </c>
      <c r="O229" s="34"/>
      <c r="P229" s="31">
        <v>4.0</v>
      </c>
      <c r="Q229" s="31" t="s">
        <v>307</v>
      </c>
      <c r="R229" s="35">
        <v>35389.0</v>
      </c>
      <c r="S229" s="31" t="s">
        <v>838</v>
      </c>
      <c r="T229" s="31" t="s">
        <v>459</v>
      </c>
      <c r="U229" s="31" t="s">
        <v>352</v>
      </c>
      <c r="V229" s="31" t="s">
        <v>1220</v>
      </c>
      <c r="W229" s="34"/>
    </row>
    <row r="230">
      <c r="A230" s="30">
        <v>225.0</v>
      </c>
      <c r="B230" s="31" t="s">
        <v>1381</v>
      </c>
      <c r="C230" s="31" t="s">
        <v>1382</v>
      </c>
      <c r="D230" s="31" t="s">
        <v>1219</v>
      </c>
      <c r="E230" s="31" t="s">
        <v>1323</v>
      </c>
      <c r="F230" s="32">
        <v>44053.0</v>
      </c>
      <c r="G230" s="35">
        <v>44114.0</v>
      </c>
      <c r="H230" s="31" t="s">
        <v>346</v>
      </c>
      <c r="I230" s="31" t="s">
        <v>315</v>
      </c>
      <c r="J230" s="31" t="s">
        <v>1221</v>
      </c>
      <c r="K230" s="31" t="s">
        <v>1324</v>
      </c>
      <c r="L230" s="31" t="s">
        <v>1223</v>
      </c>
      <c r="M230" s="31" t="s">
        <v>1383</v>
      </c>
      <c r="N230" s="31" t="s">
        <v>267</v>
      </c>
      <c r="O230" s="34"/>
      <c r="P230" s="31">
        <v>6.0</v>
      </c>
      <c r="Q230" s="31" t="s">
        <v>307</v>
      </c>
      <c r="R230" s="32">
        <v>32360.0</v>
      </c>
      <c r="S230" s="31" t="s">
        <v>433</v>
      </c>
      <c r="T230" s="31" t="s">
        <v>778</v>
      </c>
      <c r="U230" s="31" t="s">
        <v>352</v>
      </c>
      <c r="V230" s="31" t="s">
        <v>1323</v>
      </c>
      <c r="W230" s="34"/>
    </row>
    <row r="231">
      <c r="A231" s="30">
        <v>226.0</v>
      </c>
      <c r="B231" s="31" t="s">
        <v>1384</v>
      </c>
      <c r="C231" s="31" t="s">
        <v>1385</v>
      </c>
      <c r="D231" s="31" t="s">
        <v>1219</v>
      </c>
      <c r="E231" s="31" t="s">
        <v>1323</v>
      </c>
      <c r="F231" s="32">
        <v>44718.0</v>
      </c>
      <c r="G231" s="32">
        <v>44779.0</v>
      </c>
      <c r="H231" s="31" t="s">
        <v>346</v>
      </c>
      <c r="I231" s="31" t="s">
        <v>315</v>
      </c>
      <c r="J231" s="31" t="s">
        <v>1221</v>
      </c>
      <c r="K231" s="31" t="s">
        <v>1324</v>
      </c>
      <c r="L231" s="31" t="s">
        <v>1223</v>
      </c>
      <c r="M231" s="31" t="s">
        <v>1386</v>
      </c>
      <c r="N231" s="31" t="s">
        <v>467</v>
      </c>
      <c r="O231" s="34"/>
      <c r="P231" s="31">
        <v>7.0</v>
      </c>
      <c r="Q231" s="31" t="s">
        <v>307</v>
      </c>
      <c r="R231" s="32">
        <v>33344.0</v>
      </c>
      <c r="S231" s="31" t="s">
        <v>502</v>
      </c>
      <c r="T231" s="31" t="s">
        <v>503</v>
      </c>
      <c r="U231" s="31" t="s">
        <v>352</v>
      </c>
      <c r="V231" s="31" t="s">
        <v>1323</v>
      </c>
      <c r="W231" s="34"/>
    </row>
    <row r="232">
      <c r="A232" s="30">
        <v>227.0</v>
      </c>
      <c r="B232" s="31" t="s">
        <v>1387</v>
      </c>
      <c r="C232" s="31" t="s">
        <v>1388</v>
      </c>
      <c r="D232" s="31" t="s">
        <v>1329</v>
      </c>
      <c r="E232" s="31" t="s">
        <v>1220</v>
      </c>
      <c r="F232" s="32">
        <v>40609.0</v>
      </c>
      <c r="G232" s="32">
        <v>40664.0</v>
      </c>
      <c r="H232" s="31" t="s">
        <v>346</v>
      </c>
      <c r="I232" s="31" t="s">
        <v>315</v>
      </c>
      <c r="J232" s="31" t="s">
        <v>1221</v>
      </c>
      <c r="K232" s="31" t="s">
        <v>1222</v>
      </c>
      <c r="L232" s="31" t="s">
        <v>1330</v>
      </c>
      <c r="M232" s="31" t="s">
        <v>1389</v>
      </c>
      <c r="N232" s="31" t="s">
        <v>467</v>
      </c>
      <c r="O232" s="31">
        <v>1.0</v>
      </c>
      <c r="P232" s="31">
        <v>4.0</v>
      </c>
      <c r="Q232" s="31" t="s">
        <v>307</v>
      </c>
      <c r="R232" s="35">
        <v>32436.0</v>
      </c>
      <c r="S232" s="31" t="s">
        <v>681</v>
      </c>
      <c r="T232" s="31" t="s">
        <v>686</v>
      </c>
      <c r="U232" s="31" t="s">
        <v>352</v>
      </c>
      <c r="V232" s="31" t="s">
        <v>1220</v>
      </c>
      <c r="W232" s="34"/>
    </row>
    <row r="233">
      <c r="A233" s="30">
        <v>228.0</v>
      </c>
      <c r="B233" s="31" t="s">
        <v>1390</v>
      </c>
      <c r="C233" s="31" t="s">
        <v>1391</v>
      </c>
      <c r="D233" s="31" t="s">
        <v>1219</v>
      </c>
      <c r="E233" s="31" t="s">
        <v>1323</v>
      </c>
      <c r="F233" s="35">
        <v>42662.0</v>
      </c>
      <c r="G233" s="35">
        <v>42723.0</v>
      </c>
      <c r="H233" s="31" t="s">
        <v>346</v>
      </c>
      <c r="I233" s="31" t="s">
        <v>315</v>
      </c>
      <c r="J233" s="31" t="s">
        <v>1221</v>
      </c>
      <c r="K233" s="31" t="s">
        <v>1324</v>
      </c>
      <c r="L233" s="31" t="s">
        <v>1223</v>
      </c>
      <c r="M233" s="31" t="s">
        <v>1392</v>
      </c>
      <c r="N233" s="31" t="s">
        <v>267</v>
      </c>
      <c r="O233" s="34"/>
      <c r="P233" s="31">
        <v>10.0</v>
      </c>
      <c r="Q233" s="31" t="s">
        <v>307</v>
      </c>
      <c r="R233" s="32">
        <v>34561.0</v>
      </c>
      <c r="S233" s="31" t="s">
        <v>531</v>
      </c>
      <c r="T233" s="31" t="s">
        <v>503</v>
      </c>
      <c r="U233" s="31" t="s">
        <v>352</v>
      </c>
      <c r="V233" s="31" t="s">
        <v>1323</v>
      </c>
      <c r="W233" s="34"/>
    </row>
    <row r="234">
      <c r="A234" s="30">
        <v>229.0</v>
      </c>
      <c r="B234" s="31" t="s">
        <v>1393</v>
      </c>
      <c r="C234" s="31" t="s">
        <v>1394</v>
      </c>
      <c r="D234" s="31" t="s">
        <v>1219</v>
      </c>
      <c r="E234" s="31" t="s">
        <v>1395</v>
      </c>
      <c r="F234" s="35">
        <v>44893.0</v>
      </c>
      <c r="G234" s="32">
        <v>44954.0</v>
      </c>
      <c r="H234" s="31" t="s">
        <v>346</v>
      </c>
      <c r="I234" s="31" t="s">
        <v>315</v>
      </c>
      <c r="J234" s="31" t="s">
        <v>1366</v>
      </c>
      <c r="K234" s="31" t="s">
        <v>1396</v>
      </c>
      <c r="L234" s="31" t="s">
        <v>1223</v>
      </c>
      <c r="M234" s="31" t="s">
        <v>1397</v>
      </c>
      <c r="N234" s="31" t="s">
        <v>467</v>
      </c>
      <c r="O234" s="34"/>
      <c r="P234" s="31">
        <v>2.0</v>
      </c>
      <c r="Q234" s="31" t="s">
        <v>307</v>
      </c>
      <c r="R234" s="32">
        <v>36231.0</v>
      </c>
      <c r="S234" s="31" t="s">
        <v>1398</v>
      </c>
      <c r="T234" s="31" t="s">
        <v>1399</v>
      </c>
      <c r="U234" s="31" t="s">
        <v>352</v>
      </c>
      <c r="V234" s="31" t="s">
        <v>1395</v>
      </c>
      <c r="W234" s="34"/>
    </row>
    <row r="235">
      <c r="A235" s="30">
        <v>230.0</v>
      </c>
      <c r="B235" s="31" t="s">
        <v>1400</v>
      </c>
      <c r="C235" s="31" t="s">
        <v>1401</v>
      </c>
      <c r="D235" s="31" t="s">
        <v>1219</v>
      </c>
      <c r="E235" s="31" t="s">
        <v>1365</v>
      </c>
      <c r="F235" s="35">
        <v>44893.0</v>
      </c>
      <c r="G235" s="32">
        <v>44954.0</v>
      </c>
      <c r="H235" s="31" t="s">
        <v>346</v>
      </c>
      <c r="I235" s="31" t="s">
        <v>315</v>
      </c>
      <c r="J235" s="31" t="s">
        <v>1366</v>
      </c>
      <c r="K235" s="31" t="s">
        <v>1367</v>
      </c>
      <c r="L235" s="31" t="s">
        <v>1223</v>
      </c>
      <c r="M235" s="31" t="s">
        <v>1402</v>
      </c>
      <c r="N235" s="31" t="s">
        <v>267</v>
      </c>
      <c r="O235" s="34"/>
      <c r="P235" s="31">
        <v>2.0</v>
      </c>
      <c r="Q235" s="31" t="s">
        <v>307</v>
      </c>
      <c r="R235" s="32">
        <v>35695.0</v>
      </c>
      <c r="S235" s="31" t="s">
        <v>1403</v>
      </c>
      <c r="T235" s="31" t="s">
        <v>1404</v>
      </c>
      <c r="U235" s="31" t="s">
        <v>352</v>
      </c>
      <c r="V235" s="31" t="s">
        <v>1365</v>
      </c>
      <c r="W235" s="34"/>
    </row>
    <row r="236">
      <c r="A236" s="30">
        <v>231.0</v>
      </c>
      <c r="B236" s="31" t="s">
        <v>1405</v>
      </c>
      <c r="C236" s="31" t="s">
        <v>1406</v>
      </c>
      <c r="D236" s="31" t="s">
        <v>1219</v>
      </c>
      <c r="E236" s="31" t="s">
        <v>1365</v>
      </c>
      <c r="F236" s="35">
        <v>44893.0</v>
      </c>
      <c r="G236" s="32">
        <v>44954.0</v>
      </c>
      <c r="H236" s="31" t="s">
        <v>346</v>
      </c>
      <c r="I236" s="31" t="s">
        <v>315</v>
      </c>
      <c r="J236" s="31" t="s">
        <v>1366</v>
      </c>
      <c r="K236" s="31" t="s">
        <v>1367</v>
      </c>
      <c r="L236" s="31" t="s">
        <v>1223</v>
      </c>
      <c r="M236" s="31" t="s">
        <v>1407</v>
      </c>
      <c r="N236" s="31" t="s">
        <v>467</v>
      </c>
      <c r="O236" s="34"/>
      <c r="P236" s="31">
        <v>2.0</v>
      </c>
      <c r="Q236" s="31" t="s">
        <v>307</v>
      </c>
      <c r="R236" s="35">
        <v>36520.0</v>
      </c>
      <c r="S236" s="31" t="s">
        <v>700</v>
      </c>
      <c r="T236" s="31" t="s">
        <v>1408</v>
      </c>
      <c r="U236" s="31" t="s">
        <v>352</v>
      </c>
      <c r="V236" s="31" t="s">
        <v>1365</v>
      </c>
      <c r="W236" s="34"/>
    </row>
    <row r="237">
      <c r="A237" s="30">
        <v>232.0</v>
      </c>
      <c r="B237" s="31" t="s">
        <v>1409</v>
      </c>
      <c r="C237" s="31" t="s">
        <v>1410</v>
      </c>
      <c r="D237" s="31" t="s">
        <v>1219</v>
      </c>
      <c r="E237" s="31" t="s">
        <v>1365</v>
      </c>
      <c r="F237" s="32">
        <v>44819.0</v>
      </c>
      <c r="G237" s="35">
        <v>44880.0</v>
      </c>
      <c r="H237" s="31" t="s">
        <v>346</v>
      </c>
      <c r="I237" s="31" t="s">
        <v>315</v>
      </c>
      <c r="J237" s="31" t="s">
        <v>1366</v>
      </c>
      <c r="K237" s="31" t="s">
        <v>1367</v>
      </c>
      <c r="L237" s="31" t="s">
        <v>1223</v>
      </c>
      <c r="M237" s="31" t="s">
        <v>1411</v>
      </c>
      <c r="N237" s="31" t="s">
        <v>467</v>
      </c>
      <c r="O237" s="34"/>
      <c r="P237" s="31">
        <v>2.0</v>
      </c>
      <c r="Q237" s="31" t="s">
        <v>307</v>
      </c>
      <c r="R237" s="32">
        <v>36807.0</v>
      </c>
      <c r="S237" s="31" t="s">
        <v>458</v>
      </c>
      <c r="T237" s="31" t="s">
        <v>1412</v>
      </c>
      <c r="U237" s="31" t="s">
        <v>352</v>
      </c>
      <c r="V237" s="31" t="s">
        <v>1365</v>
      </c>
      <c r="W237" s="34"/>
    </row>
    <row r="238">
      <c r="A238" s="30">
        <v>233.0</v>
      </c>
      <c r="B238" s="31" t="s">
        <v>1413</v>
      </c>
      <c r="C238" s="31" t="s">
        <v>1414</v>
      </c>
      <c r="D238" s="31" t="s">
        <v>1219</v>
      </c>
      <c r="E238" s="31" t="s">
        <v>1395</v>
      </c>
      <c r="F238" s="32">
        <v>44796.0</v>
      </c>
      <c r="G238" s="35">
        <v>44857.0</v>
      </c>
      <c r="H238" s="31" t="s">
        <v>346</v>
      </c>
      <c r="I238" s="31" t="s">
        <v>315</v>
      </c>
      <c r="J238" s="31" t="s">
        <v>1366</v>
      </c>
      <c r="K238" s="31" t="s">
        <v>1396</v>
      </c>
      <c r="L238" s="31" t="s">
        <v>1223</v>
      </c>
      <c r="M238" s="31" t="s">
        <v>1415</v>
      </c>
      <c r="N238" s="31" t="s">
        <v>267</v>
      </c>
      <c r="O238" s="34"/>
      <c r="P238" s="31">
        <v>2.0</v>
      </c>
      <c r="Q238" s="31" t="s">
        <v>307</v>
      </c>
      <c r="R238" s="32">
        <v>36660.0</v>
      </c>
      <c r="S238" s="31" t="s">
        <v>1416</v>
      </c>
      <c r="T238" s="31" t="s">
        <v>1417</v>
      </c>
      <c r="U238" s="31" t="s">
        <v>352</v>
      </c>
      <c r="V238" s="31" t="s">
        <v>1395</v>
      </c>
      <c r="W238" s="34"/>
    </row>
    <row r="239">
      <c r="A239" s="30">
        <v>234.0</v>
      </c>
      <c r="B239" s="31" t="s">
        <v>1418</v>
      </c>
      <c r="C239" s="31" t="s">
        <v>1419</v>
      </c>
      <c r="D239" s="31" t="s">
        <v>1219</v>
      </c>
      <c r="E239" s="31" t="s">
        <v>1395</v>
      </c>
      <c r="F239" s="32">
        <v>44796.0</v>
      </c>
      <c r="G239" s="35">
        <v>44857.0</v>
      </c>
      <c r="H239" s="31" t="s">
        <v>346</v>
      </c>
      <c r="I239" s="31" t="s">
        <v>315</v>
      </c>
      <c r="J239" s="31" t="s">
        <v>1366</v>
      </c>
      <c r="K239" s="31" t="s">
        <v>1396</v>
      </c>
      <c r="L239" s="31" t="s">
        <v>1223</v>
      </c>
      <c r="M239" s="31" t="s">
        <v>1420</v>
      </c>
      <c r="N239" s="31" t="s">
        <v>467</v>
      </c>
      <c r="O239" s="34"/>
      <c r="P239" s="31">
        <v>2.0</v>
      </c>
      <c r="Q239" s="31" t="s">
        <v>307</v>
      </c>
      <c r="R239" s="32">
        <v>37104.0</v>
      </c>
      <c r="S239" s="31" t="s">
        <v>472</v>
      </c>
      <c r="T239" s="31" t="s">
        <v>1421</v>
      </c>
      <c r="U239" s="31" t="s">
        <v>352</v>
      </c>
      <c r="V239" s="31" t="s">
        <v>1395</v>
      </c>
      <c r="W239" s="34"/>
    </row>
    <row r="240">
      <c r="A240" s="30">
        <v>235.0</v>
      </c>
      <c r="B240" s="31" t="s">
        <v>1422</v>
      </c>
      <c r="C240" s="31" t="s">
        <v>402</v>
      </c>
      <c r="D240" s="31" t="s">
        <v>1219</v>
      </c>
      <c r="E240" s="31" t="s">
        <v>1395</v>
      </c>
      <c r="F240" s="32">
        <v>44796.0</v>
      </c>
      <c r="G240" s="35">
        <v>44857.0</v>
      </c>
      <c r="H240" s="31" t="s">
        <v>346</v>
      </c>
      <c r="I240" s="31" t="s">
        <v>315</v>
      </c>
      <c r="J240" s="31" t="s">
        <v>1366</v>
      </c>
      <c r="K240" s="31" t="s">
        <v>1396</v>
      </c>
      <c r="L240" s="31" t="s">
        <v>1223</v>
      </c>
      <c r="M240" s="31" t="s">
        <v>1423</v>
      </c>
      <c r="N240" s="31" t="s">
        <v>267</v>
      </c>
      <c r="O240" s="34"/>
      <c r="P240" s="31">
        <v>2.0</v>
      </c>
      <c r="Q240" s="31" t="s">
        <v>307</v>
      </c>
      <c r="R240" s="32">
        <v>36628.0</v>
      </c>
      <c r="S240" s="31" t="s">
        <v>320</v>
      </c>
      <c r="T240" s="31" t="s">
        <v>1424</v>
      </c>
      <c r="U240" s="31" t="s">
        <v>352</v>
      </c>
      <c r="V240" s="31" t="s">
        <v>1395</v>
      </c>
      <c r="W240" s="34"/>
    </row>
    <row r="241">
      <c r="A241" s="30">
        <v>236.0</v>
      </c>
      <c r="B241" s="31" t="s">
        <v>1425</v>
      </c>
      <c r="C241" s="31" t="s">
        <v>1426</v>
      </c>
      <c r="D241" s="31" t="s">
        <v>1219</v>
      </c>
      <c r="E241" s="31" t="s">
        <v>1365</v>
      </c>
      <c r="F241" s="32">
        <v>43599.0</v>
      </c>
      <c r="G241" s="32">
        <v>43660.0</v>
      </c>
      <c r="H241" s="31" t="s">
        <v>346</v>
      </c>
      <c r="I241" s="31" t="s">
        <v>315</v>
      </c>
      <c r="J241" s="31" t="s">
        <v>1366</v>
      </c>
      <c r="K241" s="31" t="s">
        <v>1367</v>
      </c>
      <c r="L241" s="31" t="s">
        <v>1223</v>
      </c>
      <c r="M241" s="31" t="s">
        <v>1427</v>
      </c>
      <c r="N241" s="31" t="s">
        <v>267</v>
      </c>
      <c r="O241" s="34"/>
      <c r="P241" s="31">
        <v>5.0</v>
      </c>
      <c r="Q241" s="31" t="s">
        <v>307</v>
      </c>
      <c r="R241" s="32">
        <v>34456.0</v>
      </c>
      <c r="S241" s="31" t="s">
        <v>531</v>
      </c>
      <c r="T241" s="31" t="s">
        <v>1428</v>
      </c>
      <c r="U241" s="31" t="s">
        <v>352</v>
      </c>
      <c r="V241" s="31" t="s">
        <v>1365</v>
      </c>
      <c r="W241" s="34"/>
    </row>
    <row r="242">
      <c r="A242" s="30">
        <v>237.0</v>
      </c>
      <c r="B242" s="31" t="s">
        <v>1429</v>
      </c>
      <c r="C242" s="31" t="s">
        <v>1430</v>
      </c>
      <c r="D242" s="31" t="s">
        <v>1219</v>
      </c>
      <c r="E242" s="31" t="s">
        <v>1365</v>
      </c>
      <c r="F242" s="32">
        <v>43370.0</v>
      </c>
      <c r="G242" s="35">
        <v>43431.0</v>
      </c>
      <c r="H242" s="31" t="s">
        <v>346</v>
      </c>
      <c r="I242" s="31" t="s">
        <v>315</v>
      </c>
      <c r="J242" s="31" t="s">
        <v>1366</v>
      </c>
      <c r="K242" s="31" t="s">
        <v>1367</v>
      </c>
      <c r="L242" s="31" t="s">
        <v>1223</v>
      </c>
      <c r="M242" s="31" t="s">
        <v>1431</v>
      </c>
      <c r="N242" s="31" t="s">
        <v>467</v>
      </c>
      <c r="O242" s="34"/>
      <c r="P242" s="31">
        <v>7.0</v>
      </c>
      <c r="Q242" s="31" t="s">
        <v>307</v>
      </c>
      <c r="R242" s="32">
        <v>34767.0</v>
      </c>
      <c r="S242" s="31" t="s">
        <v>458</v>
      </c>
      <c r="T242" s="31" t="s">
        <v>1432</v>
      </c>
      <c r="U242" s="31" t="s">
        <v>352</v>
      </c>
      <c r="V242" s="31" t="s">
        <v>1365</v>
      </c>
      <c r="W242" s="34"/>
    </row>
    <row r="243">
      <c r="A243" s="30">
        <v>238.0</v>
      </c>
      <c r="B243" s="31" t="s">
        <v>1433</v>
      </c>
      <c r="C243" s="31" t="s">
        <v>1434</v>
      </c>
      <c r="D243" s="31" t="s">
        <v>1219</v>
      </c>
      <c r="E243" s="31" t="s">
        <v>1395</v>
      </c>
      <c r="F243" s="32">
        <v>43109.0</v>
      </c>
      <c r="G243" s="32">
        <v>43168.0</v>
      </c>
      <c r="H243" s="31" t="s">
        <v>346</v>
      </c>
      <c r="I243" s="31" t="s">
        <v>315</v>
      </c>
      <c r="J243" s="31" t="s">
        <v>1366</v>
      </c>
      <c r="K243" s="31" t="s">
        <v>1396</v>
      </c>
      <c r="L243" s="31" t="s">
        <v>1223</v>
      </c>
      <c r="M243" s="31" t="s">
        <v>1435</v>
      </c>
      <c r="N243" s="31" t="s">
        <v>467</v>
      </c>
      <c r="O243" s="34"/>
      <c r="P243" s="31">
        <v>8.0</v>
      </c>
      <c r="Q243" s="31" t="s">
        <v>307</v>
      </c>
      <c r="R243" s="32">
        <v>33278.0</v>
      </c>
      <c r="S243" s="31" t="s">
        <v>815</v>
      </c>
      <c r="T243" s="31" t="s">
        <v>686</v>
      </c>
      <c r="U243" s="31" t="s">
        <v>352</v>
      </c>
      <c r="V243" s="31" t="s">
        <v>1395</v>
      </c>
      <c r="W243" s="34"/>
    </row>
    <row r="244">
      <c r="A244" s="30">
        <v>239.0</v>
      </c>
      <c r="B244" s="31" t="s">
        <v>1436</v>
      </c>
      <c r="C244" s="31" t="s">
        <v>1437</v>
      </c>
      <c r="D244" s="31" t="s">
        <v>1219</v>
      </c>
      <c r="E244" s="31" t="s">
        <v>1395</v>
      </c>
      <c r="F244" s="32">
        <v>43370.0</v>
      </c>
      <c r="G244" s="35">
        <v>43431.0</v>
      </c>
      <c r="H244" s="31" t="s">
        <v>346</v>
      </c>
      <c r="I244" s="31" t="s">
        <v>315</v>
      </c>
      <c r="J244" s="31" t="s">
        <v>1366</v>
      </c>
      <c r="K244" s="31" t="s">
        <v>1396</v>
      </c>
      <c r="L244" s="31" t="s">
        <v>1223</v>
      </c>
      <c r="M244" s="31" t="s">
        <v>1438</v>
      </c>
      <c r="N244" s="31" t="s">
        <v>267</v>
      </c>
      <c r="O244" s="34"/>
      <c r="P244" s="31">
        <v>5.0</v>
      </c>
      <c r="Q244" s="31" t="s">
        <v>307</v>
      </c>
      <c r="R244" s="32">
        <v>35040.0</v>
      </c>
      <c r="S244" s="31" t="s">
        <v>531</v>
      </c>
      <c r="T244" s="31" t="s">
        <v>999</v>
      </c>
      <c r="U244" s="31" t="s">
        <v>352</v>
      </c>
      <c r="V244" s="31" t="s">
        <v>1395</v>
      </c>
      <c r="W244" s="34"/>
    </row>
    <row r="245">
      <c r="A245" s="30">
        <v>240.0</v>
      </c>
      <c r="B245" s="31" t="s">
        <v>1439</v>
      </c>
      <c r="C245" s="31" t="s">
        <v>1440</v>
      </c>
      <c r="D245" s="31" t="s">
        <v>1219</v>
      </c>
      <c r="E245" s="31" t="s">
        <v>1395</v>
      </c>
      <c r="F245" s="32">
        <v>42625.0</v>
      </c>
      <c r="G245" s="35">
        <v>42686.0</v>
      </c>
      <c r="H245" s="31" t="s">
        <v>346</v>
      </c>
      <c r="I245" s="31" t="s">
        <v>315</v>
      </c>
      <c r="J245" s="31" t="s">
        <v>1366</v>
      </c>
      <c r="K245" s="31" t="s">
        <v>1396</v>
      </c>
      <c r="L245" s="31" t="s">
        <v>1223</v>
      </c>
      <c r="M245" s="31" t="s">
        <v>1441</v>
      </c>
      <c r="N245" s="31" t="s">
        <v>467</v>
      </c>
      <c r="O245" s="34"/>
      <c r="P245" s="31">
        <v>8.0</v>
      </c>
      <c r="Q245" s="31" t="s">
        <v>307</v>
      </c>
      <c r="R245" s="32">
        <v>34200.0</v>
      </c>
      <c r="S245" s="31" t="s">
        <v>1442</v>
      </c>
      <c r="T245" s="31" t="s">
        <v>870</v>
      </c>
      <c r="U245" s="31" t="s">
        <v>352</v>
      </c>
      <c r="V245" s="31" t="s">
        <v>1395</v>
      </c>
      <c r="W245" s="34"/>
    </row>
    <row r="246">
      <c r="A246" s="30">
        <v>241.0</v>
      </c>
      <c r="B246" s="31" t="s">
        <v>1443</v>
      </c>
      <c r="C246" s="31" t="s">
        <v>1444</v>
      </c>
      <c r="D246" s="31" t="s">
        <v>1219</v>
      </c>
      <c r="E246" s="31" t="s">
        <v>1395</v>
      </c>
      <c r="F246" s="32">
        <v>43370.0</v>
      </c>
      <c r="G246" s="35">
        <v>43431.0</v>
      </c>
      <c r="H246" s="31" t="s">
        <v>346</v>
      </c>
      <c r="I246" s="31" t="s">
        <v>315</v>
      </c>
      <c r="J246" s="31" t="s">
        <v>1366</v>
      </c>
      <c r="K246" s="31" t="s">
        <v>1396</v>
      </c>
      <c r="L246" s="31" t="s">
        <v>1223</v>
      </c>
      <c r="M246" s="31" t="s">
        <v>1445</v>
      </c>
      <c r="N246" s="31" t="s">
        <v>467</v>
      </c>
      <c r="O246" s="34"/>
      <c r="P246" s="31">
        <v>6.0</v>
      </c>
      <c r="Q246" s="31" t="s">
        <v>307</v>
      </c>
      <c r="R246" s="35">
        <v>32811.0</v>
      </c>
      <c r="S246" s="31" t="s">
        <v>733</v>
      </c>
      <c r="T246" s="31" t="s">
        <v>686</v>
      </c>
      <c r="U246" s="31" t="s">
        <v>352</v>
      </c>
      <c r="V246" s="31" t="s">
        <v>1395</v>
      </c>
      <c r="W246" s="34"/>
    </row>
    <row r="247">
      <c r="A247" s="30">
        <v>242.0</v>
      </c>
      <c r="B247" s="31" t="s">
        <v>1446</v>
      </c>
      <c r="C247" s="31" t="s">
        <v>1447</v>
      </c>
      <c r="D247" s="31" t="s">
        <v>1219</v>
      </c>
      <c r="E247" s="31" t="s">
        <v>1395</v>
      </c>
      <c r="F247" s="32">
        <v>43599.0</v>
      </c>
      <c r="G247" s="32">
        <v>43660.0</v>
      </c>
      <c r="H247" s="31" t="s">
        <v>346</v>
      </c>
      <c r="I247" s="31" t="s">
        <v>315</v>
      </c>
      <c r="J247" s="31" t="s">
        <v>1366</v>
      </c>
      <c r="K247" s="31" t="s">
        <v>1396</v>
      </c>
      <c r="L247" s="31" t="s">
        <v>1223</v>
      </c>
      <c r="M247" s="31" t="s">
        <v>1448</v>
      </c>
      <c r="N247" s="31" t="s">
        <v>267</v>
      </c>
      <c r="O247" s="34"/>
      <c r="P247" s="31">
        <v>5.0</v>
      </c>
      <c r="Q247" s="31" t="s">
        <v>307</v>
      </c>
      <c r="R247" s="32">
        <v>35437.0</v>
      </c>
      <c r="S247" s="31" t="s">
        <v>531</v>
      </c>
      <c r="T247" s="31" t="s">
        <v>696</v>
      </c>
      <c r="U247" s="31" t="s">
        <v>352</v>
      </c>
      <c r="V247" s="31" t="s">
        <v>1395</v>
      </c>
      <c r="W247" s="34"/>
    </row>
    <row r="248">
      <c r="A248" s="30">
        <v>243.0</v>
      </c>
      <c r="B248" s="31" t="s">
        <v>1449</v>
      </c>
      <c r="C248" s="31" t="s">
        <v>1450</v>
      </c>
      <c r="D248" s="31" t="s">
        <v>1219</v>
      </c>
      <c r="E248" s="31" t="s">
        <v>1365</v>
      </c>
      <c r="F248" s="32">
        <v>43668.0</v>
      </c>
      <c r="G248" s="32">
        <v>43730.0</v>
      </c>
      <c r="H248" s="31" t="s">
        <v>346</v>
      </c>
      <c r="I248" s="31" t="s">
        <v>315</v>
      </c>
      <c r="J248" s="31" t="s">
        <v>1366</v>
      </c>
      <c r="K248" s="31" t="s">
        <v>1367</v>
      </c>
      <c r="L248" s="31" t="s">
        <v>1223</v>
      </c>
      <c r="M248" s="31" t="s">
        <v>1451</v>
      </c>
      <c r="N248" s="31" t="s">
        <v>267</v>
      </c>
      <c r="O248" s="34"/>
      <c r="P248" s="31">
        <v>5.0</v>
      </c>
      <c r="Q248" s="31" t="s">
        <v>307</v>
      </c>
      <c r="R248" s="32">
        <v>35291.0</v>
      </c>
      <c r="S248" s="31" t="s">
        <v>1085</v>
      </c>
      <c r="T248" s="31" t="s">
        <v>686</v>
      </c>
      <c r="U248" s="31" t="s">
        <v>352</v>
      </c>
      <c r="V248" s="31" t="s">
        <v>1365</v>
      </c>
      <c r="W248" s="34"/>
    </row>
    <row r="249">
      <c r="A249" s="30">
        <v>244.0</v>
      </c>
      <c r="B249" s="31" t="s">
        <v>1452</v>
      </c>
      <c r="C249" s="31" t="s">
        <v>1453</v>
      </c>
      <c r="D249" s="31" t="s">
        <v>1219</v>
      </c>
      <c r="E249" s="31" t="s">
        <v>1395</v>
      </c>
      <c r="F249" s="32">
        <v>41792.0</v>
      </c>
      <c r="G249" s="32">
        <v>41852.0</v>
      </c>
      <c r="H249" s="31" t="s">
        <v>346</v>
      </c>
      <c r="I249" s="31" t="s">
        <v>315</v>
      </c>
      <c r="J249" s="31" t="s">
        <v>1366</v>
      </c>
      <c r="K249" s="31" t="s">
        <v>1396</v>
      </c>
      <c r="L249" s="31" t="s">
        <v>1223</v>
      </c>
      <c r="M249" s="31" t="s">
        <v>1454</v>
      </c>
      <c r="N249" s="31" t="s">
        <v>467</v>
      </c>
      <c r="O249" s="34"/>
      <c r="P249" s="31">
        <v>10.0</v>
      </c>
      <c r="Q249" s="31" t="s">
        <v>307</v>
      </c>
      <c r="R249" s="32">
        <v>30079.0</v>
      </c>
      <c r="S249" s="31" t="s">
        <v>495</v>
      </c>
      <c r="T249" s="31" t="s">
        <v>503</v>
      </c>
      <c r="U249" s="31" t="s">
        <v>352</v>
      </c>
      <c r="V249" s="31" t="s">
        <v>1395</v>
      </c>
      <c r="W249" s="34"/>
    </row>
    <row r="250">
      <c r="A250" s="30">
        <v>245.0</v>
      </c>
      <c r="B250" s="31" t="s">
        <v>1455</v>
      </c>
      <c r="C250" s="31" t="s">
        <v>1456</v>
      </c>
      <c r="D250" s="31" t="s">
        <v>1219</v>
      </c>
      <c r="E250" s="31" t="s">
        <v>1395</v>
      </c>
      <c r="F250" s="32">
        <v>43370.0</v>
      </c>
      <c r="G250" s="35">
        <v>43431.0</v>
      </c>
      <c r="H250" s="31" t="s">
        <v>346</v>
      </c>
      <c r="I250" s="31" t="s">
        <v>315</v>
      </c>
      <c r="J250" s="31" t="s">
        <v>1366</v>
      </c>
      <c r="K250" s="31" t="s">
        <v>1396</v>
      </c>
      <c r="L250" s="31" t="s">
        <v>1223</v>
      </c>
      <c r="M250" s="31" t="s">
        <v>1457</v>
      </c>
      <c r="N250" s="31" t="s">
        <v>267</v>
      </c>
      <c r="O250" s="34"/>
      <c r="P250" s="31">
        <v>6.0</v>
      </c>
      <c r="Q250" s="31" t="s">
        <v>307</v>
      </c>
      <c r="R250" s="32">
        <v>34770.0</v>
      </c>
      <c r="S250" s="31" t="s">
        <v>631</v>
      </c>
      <c r="T250" s="31" t="s">
        <v>778</v>
      </c>
      <c r="U250" s="31" t="s">
        <v>352</v>
      </c>
      <c r="V250" s="31" t="s">
        <v>1395</v>
      </c>
      <c r="W250" s="34"/>
    </row>
    <row r="251">
      <c r="A251" s="30">
        <v>246.0</v>
      </c>
      <c r="B251" s="31" t="s">
        <v>1458</v>
      </c>
      <c r="C251" s="31" t="s">
        <v>1459</v>
      </c>
      <c r="D251" s="31" t="s">
        <v>1219</v>
      </c>
      <c r="E251" s="31" t="s">
        <v>1365</v>
      </c>
      <c r="F251" s="35">
        <v>43816.0</v>
      </c>
      <c r="G251" s="32">
        <v>43878.0</v>
      </c>
      <c r="H251" s="31" t="s">
        <v>346</v>
      </c>
      <c r="I251" s="31" t="s">
        <v>315</v>
      </c>
      <c r="J251" s="31" t="s">
        <v>1366</v>
      </c>
      <c r="K251" s="31" t="s">
        <v>1367</v>
      </c>
      <c r="L251" s="31" t="s">
        <v>1223</v>
      </c>
      <c r="M251" s="31" t="s">
        <v>1460</v>
      </c>
      <c r="N251" s="31" t="s">
        <v>267</v>
      </c>
      <c r="O251" s="34"/>
      <c r="P251" s="31">
        <v>5.0</v>
      </c>
      <c r="Q251" s="31" t="s">
        <v>307</v>
      </c>
      <c r="R251" s="32">
        <v>35099.0</v>
      </c>
      <c r="S251" s="31" t="s">
        <v>320</v>
      </c>
      <c r="T251" s="31" t="s">
        <v>1461</v>
      </c>
      <c r="U251" s="31" t="s">
        <v>352</v>
      </c>
      <c r="V251" s="31" t="s">
        <v>1365</v>
      </c>
      <c r="W251" s="34"/>
    </row>
    <row r="252">
      <c r="A252" s="30">
        <v>247.0</v>
      </c>
      <c r="B252" s="31" t="s">
        <v>1462</v>
      </c>
      <c r="C252" s="31" t="s">
        <v>1463</v>
      </c>
      <c r="D252" s="31" t="s">
        <v>1219</v>
      </c>
      <c r="E252" s="31" t="s">
        <v>1395</v>
      </c>
      <c r="F252" s="35">
        <v>43816.0</v>
      </c>
      <c r="G252" s="32">
        <v>43878.0</v>
      </c>
      <c r="H252" s="31" t="s">
        <v>346</v>
      </c>
      <c r="I252" s="31" t="s">
        <v>315</v>
      </c>
      <c r="J252" s="31" t="s">
        <v>1366</v>
      </c>
      <c r="K252" s="31" t="s">
        <v>1396</v>
      </c>
      <c r="L252" s="31" t="s">
        <v>1223</v>
      </c>
      <c r="M252" s="31" t="s">
        <v>1464</v>
      </c>
      <c r="N252" s="31" t="s">
        <v>267</v>
      </c>
      <c r="O252" s="34"/>
      <c r="P252" s="31">
        <v>5.0</v>
      </c>
      <c r="Q252" s="31" t="s">
        <v>307</v>
      </c>
      <c r="R252" s="35">
        <v>36082.0</v>
      </c>
      <c r="S252" s="31" t="s">
        <v>717</v>
      </c>
      <c r="T252" s="31" t="s">
        <v>744</v>
      </c>
      <c r="U252" s="31" t="s">
        <v>352</v>
      </c>
      <c r="V252" s="31" t="s">
        <v>1395</v>
      </c>
      <c r="W252" s="34"/>
    </row>
    <row r="253">
      <c r="A253" s="30">
        <v>248.0</v>
      </c>
      <c r="B253" s="31" t="s">
        <v>1465</v>
      </c>
      <c r="C253" s="31" t="s">
        <v>1466</v>
      </c>
      <c r="D253" s="31" t="s">
        <v>1219</v>
      </c>
      <c r="E253" s="31" t="s">
        <v>1365</v>
      </c>
      <c r="F253" s="35">
        <v>43816.0</v>
      </c>
      <c r="G253" s="32">
        <v>43878.0</v>
      </c>
      <c r="H253" s="31" t="s">
        <v>346</v>
      </c>
      <c r="I253" s="31" t="s">
        <v>315</v>
      </c>
      <c r="J253" s="31" t="s">
        <v>1366</v>
      </c>
      <c r="K253" s="31" t="s">
        <v>1367</v>
      </c>
      <c r="L253" s="31" t="s">
        <v>1223</v>
      </c>
      <c r="M253" s="31" t="s">
        <v>1467</v>
      </c>
      <c r="N253" s="31" t="s">
        <v>467</v>
      </c>
      <c r="O253" s="34"/>
      <c r="P253" s="31">
        <v>5.0</v>
      </c>
      <c r="Q253" s="31" t="s">
        <v>307</v>
      </c>
      <c r="R253" s="32">
        <v>35087.0</v>
      </c>
      <c r="S253" s="31" t="s">
        <v>458</v>
      </c>
      <c r="T253" s="31" t="s">
        <v>1468</v>
      </c>
      <c r="U253" s="31" t="s">
        <v>352</v>
      </c>
      <c r="V253" s="31" t="s">
        <v>1365</v>
      </c>
      <c r="W253" s="34"/>
    </row>
    <row r="254">
      <c r="A254" s="30">
        <v>249.0</v>
      </c>
      <c r="B254" s="31" t="s">
        <v>1469</v>
      </c>
      <c r="C254" s="31" t="s">
        <v>1470</v>
      </c>
      <c r="D254" s="31" t="s">
        <v>1219</v>
      </c>
      <c r="E254" s="31" t="s">
        <v>1365</v>
      </c>
      <c r="F254" s="32">
        <v>44042.0</v>
      </c>
      <c r="G254" s="32">
        <v>44104.0</v>
      </c>
      <c r="H254" s="31" t="s">
        <v>346</v>
      </c>
      <c r="I254" s="31" t="s">
        <v>315</v>
      </c>
      <c r="J254" s="31" t="s">
        <v>1366</v>
      </c>
      <c r="K254" s="31" t="s">
        <v>1367</v>
      </c>
      <c r="L254" s="31" t="s">
        <v>1223</v>
      </c>
      <c r="M254" s="31" t="s">
        <v>1471</v>
      </c>
      <c r="N254" s="31" t="s">
        <v>267</v>
      </c>
      <c r="O254" s="34"/>
      <c r="P254" s="31">
        <v>5.0</v>
      </c>
      <c r="Q254" s="31" t="s">
        <v>307</v>
      </c>
      <c r="R254" s="32">
        <v>36050.0</v>
      </c>
      <c r="S254" s="31" t="s">
        <v>1472</v>
      </c>
      <c r="T254" s="31" t="s">
        <v>778</v>
      </c>
      <c r="U254" s="31" t="s">
        <v>352</v>
      </c>
      <c r="V254" s="31" t="s">
        <v>1365</v>
      </c>
      <c r="W254" s="34"/>
    </row>
    <row r="255">
      <c r="A255" s="30">
        <v>250.0</v>
      </c>
      <c r="B255" s="31" t="s">
        <v>1473</v>
      </c>
      <c r="C255" s="31" t="s">
        <v>1474</v>
      </c>
      <c r="D255" s="31" t="s">
        <v>1329</v>
      </c>
      <c r="E255" s="31" t="s">
        <v>1395</v>
      </c>
      <c r="F255" s="32">
        <v>40303.0</v>
      </c>
      <c r="G255" s="32">
        <v>40360.0</v>
      </c>
      <c r="H255" s="31" t="s">
        <v>346</v>
      </c>
      <c r="I255" s="31" t="s">
        <v>315</v>
      </c>
      <c r="J255" s="31" t="s">
        <v>1366</v>
      </c>
      <c r="K255" s="31" t="s">
        <v>1396</v>
      </c>
      <c r="L255" s="31" t="s">
        <v>1330</v>
      </c>
      <c r="M255" s="31" t="s">
        <v>1475</v>
      </c>
      <c r="N255" s="31" t="s">
        <v>467</v>
      </c>
      <c r="O255" s="31">
        <v>1.0</v>
      </c>
      <c r="P255" s="31">
        <v>6.0</v>
      </c>
      <c r="Q255" s="31" t="s">
        <v>307</v>
      </c>
      <c r="R255" s="35">
        <v>31706.0</v>
      </c>
      <c r="S255" s="31" t="s">
        <v>1332</v>
      </c>
      <c r="T255" s="31" t="s">
        <v>1476</v>
      </c>
      <c r="U255" s="31" t="s">
        <v>352</v>
      </c>
      <c r="V255" s="31" t="s">
        <v>1395</v>
      </c>
      <c r="W255" s="34"/>
    </row>
    <row r="256">
      <c r="A256" s="30">
        <v>251.0</v>
      </c>
      <c r="B256" s="31" t="s">
        <v>1477</v>
      </c>
      <c r="C256" s="31" t="s">
        <v>1478</v>
      </c>
      <c r="D256" s="31" t="s">
        <v>1219</v>
      </c>
      <c r="E256" s="31" t="s">
        <v>1365</v>
      </c>
      <c r="F256" s="32">
        <v>44105.0</v>
      </c>
      <c r="G256" s="32">
        <v>44166.0</v>
      </c>
      <c r="H256" s="31" t="s">
        <v>346</v>
      </c>
      <c r="I256" s="31" t="s">
        <v>315</v>
      </c>
      <c r="J256" s="31" t="s">
        <v>1366</v>
      </c>
      <c r="K256" s="31" t="s">
        <v>1367</v>
      </c>
      <c r="L256" s="31" t="s">
        <v>1223</v>
      </c>
      <c r="M256" s="31" t="s">
        <v>1479</v>
      </c>
      <c r="N256" s="31" t="s">
        <v>467</v>
      </c>
      <c r="O256" s="34"/>
      <c r="P256" s="31">
        <v>5.0</v>
      </c>
      <c r="Q256" s="31" t="s">
        <v>307</v>
      </c>
      <c r="R256" s="32">
        <v>34754.0</v>
      </c>
      <c r="S256" s="31" t="s">
        <v>320</v>
      </c>
      <c r="T256" s="31" t="s">
        <v>1480</v>
      </c>
      <c r="U256" s="31" t="s">
        <v>352</v>
      </c>
      <c r="V256" s="31" t="s">
        <v>1365</v>
      </c>
      <c r="W256" s="34"/>
    </row>
    <row r="257">
      <c r="A257" s="30">
        <v>252.0</v>
      </c>
      <c r="B257" s="31" t="s">
        <v>1481</v>
      </c>
      <c r="C257" s="31" t="s">
        <v>1482</v>
      </c>
      <c r="D257" s="31" t="s">
        <v>1219</v>
      </c>
      <c r="E257" s="31" t="s">
        <v>1395</v>
      </c>
      <c r="F257" s="35">
        <v>43816.0</v>
      </c>
      <c r="G257" s="32">
        <v>43878.0</v>
      </c>
      <c r="H257" s="31" t="s">
        <v>346</v>
      </c>
      <c r="I257" s="31" t="s">
        <v>315</v>
      </c>
      <c r="J257" s="31" t="s">
        <v>1366</v>
      </c>
      <c r="K257" s="31" t="s">
        <v>1396</v>
      </c>
      <c r="L257" s="31" t="s">
        <v>1223</v>
      </c>
      <c r="M257" s="31" t="s">
        <v>1483</v>
      </c>
      <c r="N257" s="31" t="s">
        <v>267</v>
      </c>
      <c r="O257" s="34"/>
      <c r="P257" s="31">
        <v>5.0</v>
      </c>
      <c r="Q257" s="31" t="s">
        <v>307</v>
      </c>
      <c r="R257" s="32">
        <v>35262.0</v>
      </c>
      <c r="S257" s="31" t="s">
        <v>681</v>
      </c>
      <c r="T257" s="31" t="s">
        <v>459</v>
      </c>
      <c r="U257" s="31" t="s">
        <v>352</v>
      </c>
      <c r="V257" s="31" t="s">
        <v>1395</v>
      </c>
      <c r="W257" s="34"/>
    </row>
    <row r="258">
      <c r="A258" s="30">
        <v>253.0</v>
      </c>
      <c r="B258" s="31" t="s">
        <v>1484</v>
      </c>
      <c r="C258" s="31" t="s">
        <v>1485</v>
      </c>
      <c r="D258" s="31" t="s">
        <v>313</v>
      </c>
      <c r="E258" s="31" t="s">
        <v>1486</v>
      </c>
      <c r="F258" s="32">
        <v>45140.0</v>
      </c>
      <c r="G258" s="32">
        <v>45200.0</v>
      </c>
      <c r="H258" s="31" t="s">
        <v>346</v>
      </c>
      <c r="I258" s="31" t="s">
        <v>315</v>
      </c>
      <c r="J258" s="31" t="s">
        <v>1487</v>
      </c>
      <c r="K258" s="31" t="s">
        <v>1488</v>
      </c>
      <c r="L258" s="31" t="s">
        <v>318</v>
      </c>
      <c r="M258" s="31" t="s">
        <v>1489</v>
      </c>
      <c r="N258" s="31" t="s">
        <v>467</v>
      </c>
      <c r="O258" s="34"/>
      <c r="P258" s="31">
        <v>2.0</v>
      </c>
      <c r="Q258" s="31" t="s">
        <v>307</v>
      </c>
      <c r="R258" s="32">
        <v>34932.0</v>
      </c>
      <c r="S258" s="31" t="s">
        <v>286</v>
      </c>
      <c r="T258" s="31" t="s">
        <v>1490</v>
      </c>
      <c r="U258" s="31" t="s">
        <v>352</v>
      </c>
      <c r="V258" s="31" t="s">
        <v>1486</v>
      </c>
      <c r="W258" s="34"/>
    </row>
    <row r="259">
      <c r="A259" s="30">
        <v>254.0</v>
      </c>
      <c r="B259" s="31" t="s">
        <v>1491</v>
      </c>
      <c r="C259" s="31" t="s">
        <v>784</v>
      </c>
      <c r="D259" s="31" t="s">
        <v>313</v>
      </c>
      <c r="E259" s="31" t="s">
        <v>1492</v>
      </c>
      <c r="F259" s="32">
        <v>45140.0</v>
      </c>
      <c r="G259" s="32">
        <v>45200.0</v>
      </c>
      <c r="H259" s="31" t="s">
        <v>346</v>
      </c>
      <c r="I259" s="31" t="s">
        <v>315</v>
      </c>
      <c r="J259" s="31" t="s">
        <v>1493</v>
      </c>
      <c r="K259" s="31" t="s">
        <v>1494</v>
      </c>
      <c r="L259" s="31" t="s">
        <v>1495</v>
      </c>
      <c r="M259" s="31" t="s">
        <v>1496</v>
      </c>
      <c r="N259" s="31" t="s">
        <v>467</v>
      </c>
      <c r="O259" s="34"/>
      <c r="P259" s="31">
        <v>2.0</v>
      </c>
      <c r="Q259" s="31" t="s">
        <v>307</v>
      </c>
      <c r="R259" s="35">
        <v>36512.0</v>
      </c>
      <c r="S259" s="31" t="s">
        <v>1497</v>
      </c>
      <c r="T259" s="31" t="s">
        <v>1498</v>
      </c>
      <c r="U259" s="31" t="s">
        <v>352</v>
      </c>
      <c r="V259" s="31" t="s">
        <v>1492</v>
      </c>
      <c r="W259" s="34"/>
    </row>
    <row r="260">
      <c r="A260" s="30">
        <v>255.0</v>
      </c>
      <c r="B260" s="31" t="s">
        <v>1499</v>
      </c>
      <c r="C260" s="31" t="s">
        <v>1500</v>
      </c>
      <c r="D260" s="31" t="s">
        <v>313</v>
      </c>
      <c r="E260" s="31" t="s">
        <v>1501</v>
      </c>
      <c r="F260" s="32">
        <v>45140.0</v>
      </c>
      <c r="G260" s="32">
        <v>45200.0</v>
      </c>
      <c r="H260" s="31" t="s">
        <v>346</v>
      </c>
      <c r="I260" s="31" t="s">
        <v>315</v>
      </c>
      <c r="J260" s="31" t="s">
        <v>316</v>
      </c>
      <c r="K260" s="31" t="s">
        <v>1502</v>
      </c>
      <c r="L260" s="31" t="s">
        <v>318</v>
      </c>
      <c r="M260" s="31" t="s">
        <v>1503</v>
      </c>
      <c r="N260" s="31" t="s">
        <v>467</v>
      </c>
      <c r="O260" s="34"/>
      <c r="P260" s="31">
        <v>2.0</v>
      </c>
      <c r="Q260" s="31" t="s">
        <v>307</v>
      </c>
      <c r="R260" s="32">
        <v>35685.0</v>
      </c>
      <c r="S260" s="31" t="s">
        <v>526</v>
      </c>
      <c r="T260" s="31" t="s">
        <v>1504</v>
      </c>
      <c r="U260" s="31" t="s">
        <v>352</v>
      </c>
      <c r="V260" s="31" t="s">
        <v>1501</v>
      </c>
      <c r="W260" s="34"/>
    </row>
    <row r="261">
      <c r="A261" s="30">
        <v>256.0</v>
      </c>
      <c r="B261" s="31" t="s">
        <v>1505</v>
      </c>
      <c r="C261" s="31" t="s">
        <v>1506</v>
      </c>
      <c r="D261" s="31" t="s">
        <v>313</v>
      </c>
      <c r="E261" s="31" t="s">
        <v>1507</v>
      </c>
      <c r="F261" s="32">
        <v>45051.0</v>
      </c>
      <c r="G261" s="32">
        <v>45112.0</v>
      </c>
      <c r="H261" s="31" t="s">
        <v>346</v>
      </c>
      <c r="I261" s="31" t="s">
        <v>315</v>
      </c>
      <c r="J261" s="31" t="s">
        <v>1487</v>
      </c>
      <c r="K261" s="31" t="s">
        <v>1508</v>
      </c>
      <c r="L261" s="31" t="s">
        <v>318</v>
      </c>
      <c r="M261" s="31" t="s">
        <v>1509</v>
      </c>
      <c r="N261" s="31" t="s">
        <v>467</v>
      </c>
      <c r="O261" s="34"/>
      <c r="P261" s="31">
        <v>2.0</v>
      </c>
      <c r="Q261" s="31" t="s">
        <v>307</v>
      </c>
      <c r="R261" s="32">
        <v>35810.0</v>
      </c>
      <c r="S261" s="31" t="s">
        <v>1510</v>
      </c>
      <c r="T261" s="31" t="s">
        <v>1511</v>
      </c>
      <c r="U261" s="31" t="s">
        <v>352</v>
      </c>
      <c r="V261" s="31" t="s">
        <v>1507</v>
      </c>
      <c r="W261" s="34"/>
    </row>
    <row r="262">
      <c r="A262" s="30">
        <v>257.0</v>
      </c>
      <c r="B262" s="31" t="s">
        <v>1512</v>
      </c>
      <c r="C262" s="31" t="s">
        <v>1513</v>
      </c>
      <c r="D262" s="31" t="s">
        <v>313</v>
      </c>
      <c r="E262" s="31" t="s">
        <v>1486</v>
      </c>
      <c r="F262" s="32">
        <v>45051.0</v>
      </c>
      <c r="G262" s="32">
        <v>45112.0</v>
      </c>
      <c r="H262" s="31" t="s">
        <v>346</v>
      </c>
      <c r="I262" s="31" t="s">
        <v>315</v>
      </c>
      <c r="J262" s="31" t="s">
        <v>1487</v>
      </c>
      <c r="K262" s="31" t="s">
        <v>1488</v>
      </c>
      <c r="L262" s="31" t="s">
        <v>318</v>
      </c>
      <c r="M262" s="31" t="s">
        <v>1514</v>
      </c>
      <c r="N262" s="31" t="s">
        <v>267</v>
      </c>
      <c r="O262" s="34"/>
      <c r="P262" s="31">
        <v>2.0</v>
      </c>
      <c r="Q262" s="31" t="s">
        <v>307</v>
      </c>
      <c r="R262" s="32">
        <v>36570.0</v>
      </c>
      <c r="S262" s="31" t="s">
        <v>1515</v>
      </c>
      <c r="T262" s="31" t="s">
        <v>1516</v>
      </c>
      <c r="U262" s="31" t="s">
        <v>352</v>
      </c>
      <c r="V262" s="31" t="s">
        <v>1486</v>
      </c>
      <c r="W262" s="34"/>
    </row>
    <row r="263">
      <c r="A263" s="30">
        <v>258.0</v>
      </c>
      <c r="B263" s="31" t="s">
        <v>1517</v>
      </c>
      <c r="C263" s="31" t="s">
        <v>1518</v>
      </c>
      <c r="D263" s="31" t="s">
        <v>313</v>
      </c>
      <c r="E263" s="31" t="s">
        <v>1492</v>
      </c>
      <c r="F263" s="32">
        <v>44635.0</v>
      </c>
      <c r="G263" s="32">
        <v>44693.0</v>
      </c>
      <c r="H263" s="31" t="s">
        <v>346</v>
      </c>
      <c r="I263" s="31" t="s">
        <v>315</v>
      </c>
      <c r="J263" s="31" t="s">
        <v>1493</v>
      </c>
      <c r="K263" s="31" t="s">
        <v>1494</v>
      </c>
      <c r="L263" s="31" t="s">
        <v>1495</v>
      </c>
      <c r="M263" s="31" t="s">
        <v>1519</v>
      </c>
      <c r="N263" s="31" t="s">
        <v>267</v>
      </c>
      <c r="O263" s="34"/>
      <c r="P263" s="31">
        <v>6.0</v>
      </c>
      <c r="Q263" s="31" t="s">
        <v>307</v>
      </c>
      <c r="R263" s="32">
        <v>36667.0</v>
      </c>
      <c r="S263" s="31" t="s">
        <v>737</v>
      </c>
      <c r="T263" s="31" t="s">
        <v>722</v>
      </c>
      <c r="U263" s="31" t="s">
        <v>352</v>
      </c>
      <c r="V263" s="31" t="s">
        <v>1492</v>
      </c>
      <c r="W263" s="34"/>
    </row>
    <row r="264">
      <c r="A264" s="30">
        <v>259.0</v>
      </c>
      <c r="B264" s="31" t="s">
        <v>1520</v>
      </c>
      <c r="C264" s="31" t="s">
        <v>862</v>
      </c>
      <c r="D264" s="31" t="s">
        <v>313</v>
      </c>
      <c r="E264" s="31" t="s">
        <v>1501</v>
      </c>
      <c r="F264" s="32">
        <v>44390.0</v>
      </c>
      <c r="G264" s="32">
        <v>44452.0</v>
      </c>
      <c r="H264" s="31" t="s">
        <v>346</v>
      </c>
      <c r="I264" s="31" t="s">
        <v>315</v>
      </c>
      <c r="J264" s="31" t="s">
        <v>316</v>
      </c>
      <c r="K264" s="31" t="s">
        <v>1502</v>
      </c>
      <c r="L264" s="31" t="s">
        <v>318</v>
      </c>
      <c r="M264" s="31" t="s">
        <v>1521</v>
      </c>
      <c r="N264" s="31" t="s">
        <v>267</v>
      </c>
      <c r="O264" s="34"/>
      <c r="P264" s="31">
        <v>6.0</v>
      </c>
      <c r="Q264" s="31" t="s">
        <v>307</v>
      </c>
      <c r="R264" s="35">
        <v>35755.0</v>
      </c>
      <c r="S264" s="31" t="s">
        <v>1041</v>
      </c>
      <c r="T264" s="31" t="s">
        <v>1522</v>
      </c>
      <c r="U264" s="31" t="s">
        <v>352</v>
      </c>
      <c r="V264" s="31" t="s">
        <v>1501</v>
      </c>
      <c r="W264" s="34"/>
    </row>
    <row r="265">
      <c r="A265" s="30">
        <v>260.0</v>
      </c>
      <c r="B265" s="31" t="s">
        <v>1523</v>
      </c>
      <c r="C265" s="31" t="s">
        <v>1524</v>
      </c>
      <c r="D265" s="31" t="s">
        <v>313</v>
      </c>
      <c r="E265" s="31" t="s">
        <v>1525</v>
      </c>
      <c r="F265" s="32">
        <v>42796.0</v>
      </c>
      <c r="G265" s="32">
        <v>42858.0</v>
      </c>
      <c r="H265" s="31" t="s">
        <v>346</v>
      </c>
      <c r="I265" s="31" t="s">
        <v>315</v>
      </c>
      <c r="J265" s="31" t="s">
        <v>1493</v>
      </c>
      <c r="K265" s="31" t="s">
        <v>1526</v>
      </c>
      <c r="L265" s="31" t="s">
        <v>318</v>
      </c>
      <c r="M265" s="31" t="s">
        <v>1527</v>
      </c>
      <c r="N265" s="31" t="s">
        <v>267</v>
      </c>
      <c r="O265" s="34"/>
      <c r="P265" s="31">
        <v>8.0</v>
      </c>
      <c r="Q265" s="31" t="s">
        <v>581</v>
      </c>
      <c r="R265" s="35">
        <v>34681.0</v>
      </c>
      <c r="S265" s="31" t="s">
        <v>531</v>
      </c>
      <c r="T265" s="31" t="s">
        <v>744</v>
      </c>
      <c r="U265" s="31" t="s">
        <v>352</v>
      </c>
      <c r="V265" s="31" t="s">
        <v>1525</v>
      </c>
      <c r="W265" s="34"/>
    </row>
    <row r="266">
      <c r="A266" s="30">
        <v>261.0</v>
      </c>
      <c r="B266" s="31" t="s">
        <v>1528</v>
      </c>
      <c r="C266" s="31" t="s">
        <v>1529</v>
      </c>
      <c r="D266" s="31" t="s">
        <v>313</v>
      </c>
      <c r="E266" s="31" t="s">
        <v>314</v>
      </c>
      <c r="F266" s="32">
        <v>43557.0</v>
      </c>
      <c r="G266" s="32">
        <v>43618.0</v>
      </c>
      <c r="H266" s="31" t="s">
        <v>346</v>
      </c>
      <c r="I266" s="31" t="s">
        <v>315</v>
      </c>
      <c r="J266" s="31" t="s">
        <v>316</v>
      </c>
      <c r="K266" s="31" t="s">
        <v>1530</v>
      </c>
      <c r="L266" s="31" t="s">
        <v>318</v>
      </c>
      <c r="M266" s="31" t="s">
        <v>1531</v>
      </c>
      <c r="N266" s="31" t="s">
        <v>467</v>
      </c>
      <c r="O266" s="34"/>
      <c r="P266" s="31">
        <v>4.0</v>
      </c>
      <c r="Q266" s="31" t="s">
        <v>307</v>
      </c>
      <c r="R266" s="32">
        <v>34887.0</v>
      </c>
      <c r="S266" s="31" t="s">
        <v>495</v>
      </c>
      <c r="T266" s="31" t="s">
        <v>1532</v>
      </c>
      <c r="U266" s="31" t="s">
        <v>352</v>
      </c>
      <c r="V266" s="31" t="s">
        <v>314</v>
      </c>
      <c r="W266" s="34"/>
    </row>
    <row r="267">
      <c r="A267" s="30">
        <v>262.0</v>
      </c>
      <c r="B267" s="31" t="s">
        <v>1533</v>
      </c>
      <c r="C267" s="31" t="s">
        <v>1534</v>
      </c>
      <c r="D267" s="31" t="s">
        <v>1535</v>
      </c>
      <c r="E267" s="31" t="s">
        <v>1493</v>
      </c>
      <c r="F267" s="32">
        <v>40771.0</v>
      </c>
      <c r="G267" s="35">
        <v>40832.0</v>
      </c>
      <c r="H267" s="31" t="s">
        <v>346</v>
      </c>
      <c r="I267" s="31" t="s">
        <v>315</v>
      </c>
      <c r="J267" s="31" t="s">
        <v>1493</v>
      </c>
      <c r="K267" s="31" t="s">
        <v>1536</v>
      </c>
      <c r="L267" s="31" t="s">
        <v>1537</v>
      </c>
      <c r="M267" s="31" t="s">
        <v>1538</v>
      </c>
      <c r="N267" s="31" t="s">
        <v>267</v>
      </c>
      <c r="O267" s="31">
        <v>2.0</v>
      </c>
      <c r="P267" s="31">
        <v>7.0</v>
      </c>
      <c r="Q267" s="31" t="s">
        <v>307</v>
      </c>
      <c r="R267" s="32">
        <v>32782.0</v>
      </c>
      <c r="S267" s="31" t="s">
        <v>531</v>
      </c>
      <c r="T267" s="31" t="s">
        <v>744</v>
      </c>
      <c r="U267" s="31" t="s">
        <v>352</v>
      </c>
      <c r="V267" s="34"/>
      <c r="W267" s="34"/>
    </row>
    <row r="268">
      <c r="A268" s="30">
        <v>263.0</v>
      </c>
      <c r="B268" s="31" t="s">
        <v>1539</v>
      </c>
      <c r="C268" s="31" t="s">
        <v>1540</v>
      </c>
      <c r="D268" s="31" t="s">
        <v>1541</v>
      </c>
      <c r="E268" s="31" t="s">
        <v>1501</v>
      </c>
      <c r="F268" s="32">
        <v>41609.0</v>
      </c>
      <c r="G268" s="32">
        <v>41671.0</v>
      </c>
      <c r="H268" s="31" t="s">
        <v>346</v>
      </c>
      <c r="I268" s="31" t="s">
        <v>315</v>
      </c>
      <c r="J268" s="31" t="s">
        <v>316</v>
      </c>
      <c r="K268" s="31" t="s">
        <v>1502</v>
      </c>
      <c r="L268" s="31" t="s">
        <v>1542</v>
      </c>
      <c r="M268" s="31" t="s">
        <v>1543</v>
      </c>
      <c r="N268" s="31" t="s">
        <v>467</v>
      </c>
      <c r="O268" s="31">
        <v>1.0</v>
      </c>
      <c r="P268" s="31">
        <v>8.0</v>
      </c>
      <c r="Q268" s="31" t="s">
        <v>307</v>
      </c>
      <c r="R268" s="32">
        <v>33287.0</v>
      </c>
      <c r="S268" s="31" t="s">
        <v>490</v>
      </c>
      <c r="T268" s="31" t="s">
        <v>503</v>
      </c>
      <c r="U268" s="31" t="s">
        <v>352</v>
      </c>
      <c r="V268" s="31" t="s">
        <v>1501</v>
      </c>
      <c r="W268" s="34"/>
    </row>
    <row r="269">
      <c r="A269" s="30">
        <v>264.0</v>
      </c>
      <c r="B269" s="31" t="s">
        <v>1544</v>
      </c>
      <c r="C269" s="31" t="s">
        <v>1545</v>
      </c>
      <c r="D269" s="31" t="s">
        <v>313</v>
      </c>
      <c r="E269" s="31" t="s">
        <v>1486</v>
      </c>
      <c r="F269" s="32">
        <v>43627.0</v>
      </c>
      <c r="G269" s="32">
        <v>43688.0</v>
      </c>
      <c r="H269" s="31" t="s">
        <v>346</v>
      </c>
      <c r="I269" s="31" t="s">
        <v>315</v>
      </c>
      <c r="J269" s="31" t="s">
        <v>1487</v>
      </c>
      <c r="K269" s="31" t="s">
        <v>1488</v>
      </c>
      <c r="L269" s="31" t="s">
        <v>318</v>
      </c>
      <c r="M269" s="31" t="s">
        <v>1546</v>
      </c>
      <c r="N269" s="31" t="s">
        <v>467</v>
      </c>
      <c r="O269" s="34"/>
      <c r="P269" s="31">
        <v>7.0</v>
      </c>
      <c r="Q269" s="31" t="s">
        <v>307</v>
      </c>
      <c r="R269" s="35">
        <v>35015.0</v>
      </c>
      <c r="S269" s="31" t="s">
        <v>1547</v>
      </c>
      <c r="T269" s="31" t="s">
        <v>1428</v>
      </c>
      <c r="U269" s="31" t="s">
        <v>352</v>
      </c>
      <c r="V269" s="31" t="s">
        <v>1486</v>
      </c>
      <c r="W269" s="34"/>
    </row>
    <row r="270">
      <c r="A270" s="30">
        <v>265.0</v>
      </c>
      <c r="B270" s="31" t="s">
        <v>1548</v>
      </c>
      <c r="C270" s="31" t="s">
        <v>1549</v>
      </c>
      <c r="D270" s="31" t="s">
        <v>1317</v>
      </c>
      <c r="E270" s="31" t="s">
        <v>1366</v>
      </c>
      <c r="F270" s="32">
        <v>38965.0</v>
      </c>
      <c r="G270" s="32">
        <v>38965.0</v>
      </c>
      <c r="H270" s="31" t="s">
        <v>346</v>
      </c>
      <c r="I270" s="31" t="s">
        <v>315</v>
      </c>
      <c r="J270" s="31" t="s">
        <v>1366</v>
      </c>
      <c r="K270" s="31" t="s">
        <v>1550</v>
      </c>
      <c r="L270" s="31" t="s">
        <v>1319</v>
      </c>
      <c r="M270" s="31" t="s">
        <v>1551</v>
      </c>
      <c r="N270" s="31" t="s">
        <v>467</v>
      </c>
      <c r="O270" s="31">
        <v>2.0</v>
      </c>
      <c r="P270" s="31">
        <v>4.0</v>
      </c>
      <c r="Q270" s="31" t="s">
        <v>307</v>
      </c>
      <c r="R270" s="32">
        <v>30870.0</v>
      </c>
      <c r="S270" s="31" t="s">
        <v>1249</v>
      </c>
      <c r="T270" s="31" t="s">
        <v>744</v>
      </c>
      <c r="U270" s="31" t="s">
        <v>352</v>
      </c>
      <c r="V270" s="34"/>
      <c r="W270" s="34"/>
    </row>
    <row r="271">
      <c r="A271" s="30">
        <v>266.0</v>
      </c>
      <c r="B271" s="31" t="s">
        <v>1552</v>
      </c>
      <c r="C271" s="31" t="s">
        <v>1553</v>
      </c>
      <c r="D271" s="31" t="s">
        <v>1541</v>
      </c>
      <c r="E271" s="31" t="s">
        <v>1525</v>
      </c>
      <c r="F271" s="32">
        <v>42149.0</v>
      </c>
      <c r="G271" s="32">
        <v>42211.0</v>
      </c>
      <c r="H271" s="31" t="s">
        <v>346</v>
      </c>
      <c r="I271" s="31" t="s">
        <v>315</v>
      </c>
      <c r="J271" s="31" t="s">
        <v>1493</v>
      </c>
      <c r="K271" s="31" t="s">
        <v>1526</v>
      </c>
      <c r="L271" s="31" t="s">
        <v>1542</v>
      </c>
      <c r="M271" s="31" t="s">
        <v>1554</v>
      </c>
      <c r="N271" s="31" t="s">
        <v>267</v>
      </c>
      <c r="O271" s="31">
        <v>1.0</v>
      </c>
      <c r="P271" s="31">
        <v>8.0</v>
      </c>
      <c r="Q271" s="31" t="s">
        <v>581</v>
      </c>
      <c r="R271" s="32">
        <v>34079.0</v>
      </c>
      <c r="S271" s="31" t="s">
        <v>433</v>
      </c>
      <c r="T271" s="31" t="s">
        <v>1555</v>
      </c>
      <c r="U271" s="31" t="s">
        <v>352</v>
      </c>
      <c r="V271" s="31" t="s">
        <v>1525</v>
      </c>
      <c r="W271" s="34"/>
    </row>
    <row r="272">
      <c r="A272" s="30">
        <v>267.0</v>
      </c>
      <c r="B272" s="31" t="s">
        <v>1556</v>
      </c>
      <c r="C272" s="31" t="s">
        <v>1557</v>
      </c>
      <c r="D272" s="31" t="s">
        <v>313</v>
      </c>
      <c r="E272" s="31" t="s">
        <v>314</v>
      </c>
      <c r="F272" s="32">
        <v>41792.0</v>
      </c>
      <c r="G272" s="32">
        <v>41852.0</v>
      </c>
      <c r="H272" s="31" t="s">
        <v>346</v>
      </c>
      <c r="I272" s="31" t="s">
        <v>315</v>
      </c>
      <c r="J272" s="31" t="s">
        <v>316</v>
      </c>
      <c r="K272" s="31" t="s">
        <v>1530</v>
      </c>
      <c r="L272" s="31" t="s">
        <v>318</v>
      </c>
      <c r="M272" s="31" t="s">
        <v>1558</v>
      </c>
      <c r="N272" s="31" t="s">
        <v>467</v>
      </c>
      <c r="O272" s="34"/>
      <c r="P272" s="31">
        <v>10.0</v>
      </c>
      <c r="Q272" s="31" t="s">
        <v>307</v>
      </c>
      <c r="R272" s="32">
        <v>31659.0</v>
      </c>
      <c r="S272" s="31" t="s">
        <v>631</v>
      </c>
      <c r="T272" s="31" t="s">
        <v>778</v>
      </c>
      <c r="U272" s="31" t="s">
        <v>352</v>
      </c>
      <c r="V272" s="31" t="s">
        <v>314</v>
      </c>
      <c r="W272" s="34"/>
    </row>
    <row r="273">
      <c r="A273" s="30">
        <v>268.0</v>
      </c>
      <c r="B273" s="31" t="s">
        <v>1559</v>
      </c>
      <c r="C273" s="31" t="s">
        <v>1560</v>
      </c>
      <c r="D273" s="31" t="s">
        <v>313</v>
      </c>
      <c r="E273" s="31" t="s">
        <v>1525</v>
      </c>
      <c r="F273" s="32">
        <v>43683.0</v>
      </c>
      <c r="G273" s="32">
        <v>43745.0</v>
      </c>
      <c r="H273" s="31" t="s">
        <v>346</v>
      </c>
      <c r="I273" s="31" t="s">
        <v>315</v>
      </c>
      <c r="J273" s="31" t="s">
        <v>1493</v>
      </c>
      <c r="K273" s="31" t="s">
        <v>1526</v>
      </c>
      <c r="L273" s="31" t="s">
        <v>318</v>
      </c>
      <c r="M273" s="31" t="s">
        <v>1561</v>
      </c>
      <c r="N273" s="31" t="s">
        <v>267</v>
      </c>
      <c r="O273" s="34"/>
      <c r="P273" s="31">
        <v>9.0</v>
      </c>
      <c r="Q273" s="31" t="s">
        <v>307</v>
      </c>
      <c r="R273" s="32">
        <v>32985.0</v>
      </c>
      <c r="S273" s="31" t="s">
        <v>531</v>
      </c>
      <c r="T273" s="31" t="s">
        <v>682</v>
      </c>
      <c r="U273" s="31" t="s">
        <v>352</v>
      </c>
      <c r="V273" s="31" t="s">
        <v>1525</v>
      </c>
      <c r="W273" s="34"/>
    </row>
    <row r="274">
      <c r="A274" s="30">
        <v>269.0</v>
      </c>
      <c r="B274" s="31" t="s">
        <v>1562</v>
      </c>
      <c r="C274" s="31" t="s">
        <v>1563</v>
      </c>
      <c r="D274" s="31" t="s">
        <v>313</v>
      </c>
      <c r="E274" s="31" t="s">
        <v>1564</v>
      </c>
      <c r="F274" s="32">
        <v>40674.0</v>
      </c>
      <c r="G274" s="32">
        <v>40740.0</v>
      </c>
      <c r="H274" s="31" t="s">
        <v>346</v>
      </c>
      <c r="I274" s="31" t="s">
        <v>315</v>
      </c>
      <c r="J274" s="31" t="s">
        <v>1493</v>
      </c>
      <c r="K274" s="31" t="s">
        <v>1565</v>
      </c>
      <c r="L274" s="31" t="s">
        <v>318</v>
      </c>
      <c r="M274" s="31" t="s">
        <v>1566</v>
      </c>
      <c r="N274" s="31" t="s">
        <v>467</v>
      </c>
      <c r="O274" s="34"/>
      <c r="P274" s="31">
        <v>10.0</v>
      </c>
      <c r="Q274" s="31" t="s">
        <v>307</v>
      </c>
      <c r="R274" s="32">
        <v>32356.0</v>
      </c>
      <c r="S274" s="31" t="s">
        <v>626</v>
      </c>
      <c r="T274" s="31" t="s">
        <v>1567</v>
      </c>
      <c r="U274" s="31" t="s">
        <v>352</v>
      </c>
      <c r="V274" s="31" t="s">
        <v>1564</v>
      </c>
      <c r="W274" s="34"/>
    </row>
    <row r="275">
      <c r="A275" s="30">
        <v>270.0</v>
      </c>
      <c r="B275" s="31" t="s">
        <v>1568</v>
      </c>
      <c r="C275" s="31" t="s">
        <v>1569</v>
      </c>
      <c r="D275" s="31" t="s">
        <v>313</v>
      </c>
      <c r="E275" s="31" t="s">
        <v>314</v>
      </c>
      <c r="F275" s="32">
        <v>42562.0</v>
      </c>
      <c r="G275" s="32">
        <v>42625.0</v>
      </c>
      <c r="H275" s="31" t="s">
        <v>346</v>
      </c>
      <c r="I275" s="31" t="s">
        <v>315</v>
      </c>
      <c r="J275" s="31" t="s">
        <v>316</v>
      </c>
      <c r="K275" s="31" t="s">
        <v>1530</v>
      </c>
      <c r="L275" s="31" t="s">
        <v>318</v>
      </c>
      <c r="M275" s="31" t="s">
        <v>1570</v>
      </c>
      <c r="N275" s="31" t="s">
        <v>267</v>
      </c>
      <c r="O275" s="34"/>
      <c r="P275" s="31">
        <v>10.0</v>
      </c>
      <c r="Q275" s="31" t="s">
        <v>581</v>
      </c>
      <c r="R275" s="35">
        <v>34636.0</v>
      </c>
      <c r="S275" s="31" t="s">
        <v>700</v>
      </c>
      <c r="T275" s="31" t="s">
        <v>665</v>
      </c>
      <c r="U275" s="31" t="s">
        <v>352</v>
      </c>
      <c r="V275" s="31" t="s">
        <v>314</v>
      </c>
      <c r="W275" s="34"/>
    </row>
    <row r="276">
      <c r="A276" s="30">
        <v>271.0</v>
      </c>
      <c r="B276" s="31" t="s">
        <v>1571</v>
      </c>
      <c r="C276" s="31" t="s">
        <v>1572</v>
      </c>
      <c r="D276" s="31" t="s">
        <v>313</v>
      </c>
      <c r="E276" s="31" t="s">
        <v>1525</v>
      </c>
      <c r="F276" s="32">
        <v>43242.0</v>
      </c>
      <c r="G276" s="32">
        <v>43303.0</v>
      </c>
      <c r="H276" s="31" t="s">
        <v>346</v>
      </c>
      <c r="I276" s="31" t="s">
        <v>315</v>
      </c>
      <c r="J276" s="31" t="s">
        <v>1493</v>
      </c>
      <c r="K276" s="31" t="s">
        <v>1526</v>
      </c>
      <c r="L276" s="31" t="s">
        <v>318</v>
      </c>
      <c r="M276" s="31" t="s">
        <v>1573</v>
      </c>
      <c r="N276" s="31" t="s">
        <v>267</v>
      </c>
      <c r="O276" s="34"/>
      <c r="P276" s="31">
        <v>7.0</v>
      </c>
      <c r="Q276" s="31" t="s">
        <v>307</v>
      </c>
      <c r="R276" s="32">
        <v>34770.0</v>
      </c>
      <c r="S276" s="31" t="s">
        <v>1574</v>
      </c>
      <c r="T276" s="31" t="s">
        <v>459</v>
      </c>
      <c r="U276" s="31" t="s">
        <v>352</v>
      </c>
      <c r="V276" s="31" t="s">
        <v>1525</v>
      </c>
      <c r="W276" s="34"/>
    </row>
    <row r="277">
      <c r="A277" s="30">
        <v>272.0</v>
      </c>
      <c r="B277" s="31" t="s">
        <v>1575</v>
      </c>
      <c r="C277" s="31" t="s">
        <v>1312</v>
      </c>
      <c r="D277" s="31" t="s">
        <v>313</v>
      </c>
      <c r="E277" s="31" t="s">
        <v>1576</v>
      </c>
      <c r="F277" s="32">
        <v>43907.0</v>
      </c>
      <c r="G277" s="32">
        <v>43968.0</v>
      </c>
      <c r="H277" s="31" t="s">
        <v>346</v>
      </c>
      <c r="I277" s="31" t="s">
        <v>315</v>
      </c>
      <c r="J277" s="31" t="s">
        <v>1577</v>
      </c>
      <c r="K277" s="31" t="s">
        <v>1578</v>
      </c>
      <c r="L277" s="31" t="s">
        <v>318</v>
      </c>
      <c r="M277" s="31" t="s">
        <v>1579</v>
      </c>
      <c r="N277" s="31" t="s">
        <v>267</v>
      </c>
      <c r="O277" s="34"/>
      <c r="P277" s="31">
        <v>4.0</v>
      </c>
      <c r="Q277" s="31" t="s">
        <v>307</v>
      </c>
      <c r="R277" s="32">
        <v>34932.0</v>
      </c>
      <c r="S277" s="31" t="s">
        <v>1580</v>
      </c>
      <c r="T277" s="31" t="s">
        <v>744</v>
      </c>
      <c r="U277" s="31" t="s">
        <v>352</v>
      </c>
      <c r="V277" s="31" t="s">
        <v>1576</v>
      </c>
      <c r="W277" s="34"/>
    </row>
    <row r="278">
      <c r="A278" s="30">
        <v>273.0</v>
      </c>
      <c r="B278" s="31" t="s">
        <v>1581</v>
      </c>
      <c r="C278" s="31" t="s">
        <v>1582</v>
      </c>
      <c r="D278" s="31" t="s">
        <v>1541</v>
      </c>
      <c r="E278" s="31" t="s">
        <v>1576</v>
      </c>
      <c r="F278" s="32">
        <v>42514.0</v>
      </c>
      <c r="G278" s="32">
        <v>42575.0</v>
      </c>
      <c r="H278" s="31" t="s">
        <v>346</v>
      </c>
      <c r="I278" s="31" t="s">
        <v>315</v>
      </c>
      <c r="J278" s="31" t="s">
        <v>1577</v>
      </c>
      <c r="K278" s="31" t="s">
        <v>1578</v>
      </c>
      <c r="L278" s="31" t="s">
        <v>1542</v>
      </c>
      <c r="M278" s="31" t="s">
        <v>1583</v>
      </c>
      <c r="N278" s="31" t="s">
        <v>467</v>
      </c>
      <c r="O278" s="31">
        <v>1.0</v>
      </c>
      <c r="P278" s="31">
        <v>8.0</v>
      </c>
      <c r="Q278" s="31" t="s">
        <v>307</v>
      </c>
      <c r="R278" s="32">
        <v>32733.0</v>
      </c>
      <c r="S278" s="31" t="s">
        <v>1584</v>
      </c>
      <c r="T278" s="31" t="s">
        <v>1585</v>
      </c>
      <c r="U278" s="31" t="s">
        <v>352</v>
      </c>
      <c r="V278" s="31" t="s">
        <v>1576</v>
      </c>
      <c r="W278" s="34"/>
    </row>
    <row r="279">
      <c r="A279" s="30">
        <v>274.0</v>
      </c>
      <c r="B279" s="31" t="s">
        <v>1586</v>
      </c>
      <c r="C279" s="31" t="s">
        <v>1587</v>
      </c>
      <c r="D279" s="31" t="s">
        <v>313</v>
      </c>
      <c r="E279" s="31" t="s">
        <v>1576</v>
      </c>
      <c r="F279" s="32">
        <v>43557.0</v>
      </c>
      <c r="G279" s="32">
        <v>43618.0</v>
      </c>
      <c r="H279" s="31" t="s">
        <v>346</v>
      </c>
      <c r="I279" s="31" t="s">
        <v>315</v>
      </c>
      <c r="J279" s="31" t="s">
        <v>1577</v>
      </c>
      <c r="K279" s="31" t="s">
        <v>1578</v>
      </c>
      <c r="L279" s="31" t="s">
        <v>318</v>
      </c>
      <c r="M279" s="31" t="s">
        <v>1588</v>
      </c>
      <c r="N279" s="31" t="s">
        <v>467</v>
      </c>
      <c r="O279" s="34"/>
      <c r="P279" s="31">
        <v>7.0</v>
      </c>
      <c r="Q279" s="31" t="s">
        <v>307</v>
      </c>
      <c r="R279" s="32">
        <v>34742.0</v>
      </c>
      <c r="S279" s="31" t="s">
        <v>815</v>
      </c>
      <c r="T279" s="31" t="s">
        <v>360</v>
      </c>
      <c r="U279" s="31" t="s">
        <v>352</v>
      </c>
      <c r="V279" s="31" t="s">
        <v>1576</v>
      </c>
      <c r="W279" s="34"/>
    </row>
    <row r="280">
      <c r="A280" s="30">
        <v>275.0</v>
      </c>
      <c r="B280" s="31" t="s">
        <v>1589</v>
      </c>
      <c r="C280" s="31" t="s">
        <v>1590</v>
      </c>
      <c r="D280" s="31" t="s">
        <v>313</v>
      </c>
      <c r="E280" s="31" t="s">
        <v>1492</v>
      </c>
      <c r="F280" s="32">
        <v>42828.0</v>
      </c>
      <c r="G280" s="32">
        <v>42889.0</v>
      </c>
      <c r="H280" s="31" t="s">
        <v>346</v>
      </c>
      <c r="I280" s="31" t="s">
        <v>315</v>
      </c>
      <c r="J280" s="31" t="s">
        <v>1493</v>
      </c>
      <c r="K280" s="31" t="s">
        <v>1494</v>
      </c>
      <c r="L280" s="31" t="s">
        <v>318</v>
      </c>
      <c r="M280" s="31" t="s">
        <v>1591</v>
      </c>
      <c r="N280" s="31" t="s">
        <v>267</v>
      </c>
      <c r="O280" s="34"/>
      <c r="P280" s="31">
        <v>6.0</v>
      </c>
      <c r="Q280" s="31" t="s">
        <v>307</v>
      </c>
      <c r="R280" s="32">
        <v>34454.0</v>
      </c>
      <c r="S280" s="31" t="s">
        <v>626</v>
      </c>
      <c r="T280" s="31" t="s">
        <v>686</v>
      </c>
      <c r="U280" s="31" t="s">
        <v>352</v>
      </c>
      <c r="V280" s="31" t="s">
        <v>1492</v>
      </c>
      <c r="W280" s="34"/>
    </row>
    <row r="281">
      <c r="A281" s="30">
        <v>276.0</v>
      </c>
      <c r="B281" s="31" t="s">
        <v>1592</v>
      </c>
      <c r="C281" s="31" t="s">
        <v>1593</v>
      </c>
      <c r="D281" s="31" t="s">
        <v>313</v>
      </c>
      <c r="E281" s="31" t="s">
        <v>1576</v>
      </c>
      <c r="F281" s="32">
        <v>43242.0</v>
      </c>
      <c r="G281" s="32">
        <v>43303.0</v>
      </c>
      <c r="H281" s="31" t="s">
        <v>346</v>
      </c>
      <c r="I281" s="31" t="s">
        <v>315</v>
      </c>
      <c r="J281" s="31" t="s">
        <v>1577</v>
      </c>
      <c r="K281" s="31" t="s">
        <v>1578</v>
      </c>
      <c r="L281" s="31" t="s">
        <v>318</v>
      </c>
      <c r="M281" s="31" t="s">
        <v>1594</v>
      </c>
      <c r="N281" s="31" t="s">
        <v>267</v>
      </c>
      <c r="O281" s="34"/>
      <c r="P281" s="31">
        <v>8.0</v>
      </c>
      <c r="Q281" s="31" t="s">
        <v>307</v>
      </c>
      <c r="R281" s="32">
        <v>34406.0</v>
      </c>
      <c r="S281" s="31" t="s">
        <v>1595</v>
      </c>
      <c r="T281" s="31" t="s">
        <v>682</v>
      </c>
      <c r="U281" s="31" t="s">
        <v>352</v>
      </c>
      <c r="V281" s="31" t="s">
        <v>1576</v>
      </c>
      <c r="W281" s="34"/>
    </row>
    <row r="282">
      <c r="A282" s="30">
        <v>277.0</v>
      </c>
      <c r="B282" s="31" t="s">
        <v>1596</v>
      </c>
      <c r="C282" s="31" t="s">
        <v>1597</v>
      </c>
      <c r="D282" s="31" t="s">
        <v>313</v>
      </c>
      <c r="E282" s="31" t="s">
        <v>1598</v>
      </c>
      <c r="F282" s="32">
        <v>43900.0</v>
      </c>
      <c r="G282" s="32">
        <v>43961.0</v>
      </c>
      <c r="H282" s="31" t="s">
        <v>346</v>
      </c>
      <c r="I282" s="31" t="s">
        <v>315</v>
      </c>
      <c r="J282" s="31" t="s">
        <v>1577</v>
      </c>
      <c r="K282" s="31" t="s">
        <v>1599</v>
      </c>
      <c r="L282" s="31" t="s">
        <v>318</v>
      </c>
      <c r="M282" s="31" t="s">
        <v>1600</v>
      </c>
      <c r="N282" s="31" t="s">
        <v>267</v>
      </c>
      <c r="O282" s="34"/>
      <c r="P282" s="31">
        <v>8.0</v>
      </c>
      <c r="Q282" s="31" t="s">
        <v>307</v>
      </c>
      <c r="R282" s="35">
        <v>36095.0</v>
      </c>
      <c r="S282" s="31" t="s">
        <v>320</v>
      </c>
      <c r="T282" s="31" t="s">
        <v>1522</v>
      </c>
      <c r="U282" s="31" t="s">
        <v>352</v>
      </c>
      <c r="V282" s="31" t="s">
        <v>1598</v>
      </c>
      <c r="W282" s="34"/>
    </row>
    <row r="283">
      <c r="A283" s="30">
        <v>278.0</v>
      </c>
      <c r="B283" s="31" t="s">
        <v>1601</v>
      </c>
      <c r="C283" s="31" t="s">
        <v>1602</v>
      </c>
      <c r="D283" s="31" t="s">
        <v>472</v>
      </c>
      <c r="E283" s="31" t="s">
        <v>60</v>
      </c>
      <c r="F283" s="32">
        <v>44718.0</v>
      </c>
      <c r="G283" s="32">
        <v>44779.0</v>
      </c>
      <c r="H283" s="31" t="s">
        <v>453</v>
      </c>
      <c r="I283" s="31" t="s">
        <v>454</v>
      </c>
      <c r="J283" s="31" t="s">
        <v>58</v>
      </c>
      <c r="K283" s="31" t="s">
        <v>464</v>
      </c>
      <c r="L283" s="31" t="s">
        <v>476</v>
      </c>
      <c r="M283" s="31" t="s">
        <v>1603</v>
      </c>
      <c r="N283" s="31" t="s">
        <v>467</v>
      </c>
      <c r="O283" s="34"/>
      <c r="P283" s="34"/>
      <c r="Q283" s="31" t="s">
        <v>307</v>
      </c>
      <c r="R283" s="32">
        <v>36767.0</v>
      </c>
      <c r="S283" s="31" t="s">
        <v>468</v>
      </c>
      <c r="T283" s="31" t="s">
        <v>1604</v>
      </c>
      <c r="U283" s="31" t="s">
        <v>460</v>
      </c>
      <c r="V283" s="31" t="s">
        <v>60</v>
      </c>
      <c r="W283" s="34"/>
    </row>
    <row r="284">
      <c r="A284" s="30">
        <v>279.0</v>
      </c>
      <c r="B284" s="31" t="s">
        <v>1605</v>
      </c>
      <c r="C284" s="31" t="s">
        <v>1606</v>
      </c>
      <c r="D284" s="31" t="s">
        <v>472</v>
      </c>
      <c r="E284" s="31" t="s">
        <v>60</v>
      </c>
      <c r="F284" s="32">
        <v>44718.0</v>
      </c>
      <c r="G284" s="32">
        <v>44779.0</v>
      </c>
      <c r="H284" s="31" t="s">
        <v>453</v>
      </c>
      <c r="I284" s="31" t="s">
        <v>454</v>
      </c>
      <c r="J284" s="31" t="s">
        <v>58</v>
      </c>
      <c r="K284" s="31" t="s">
        <v>464</v>
      </c>
      <c r="L284" s="31" t="s">
        <v>476</v>
      </c>
      <c r="M284" s="31" t="s">
        <v>1607</v>
      </c>
      <c r="N284" s="31" t="s">
        <v>467</v>
      </c>
      <c r="O284" s="34"/>
      <c r="P284" s="34"/>
      <c r="Q284" s="31" t="s">
        <v>307</v>
      </c>
      <c r="R284" s="32">
        <v>36839.0</v>
      </c>
      <c r="S284" s="34"/>
      <c r="T284" s="31" t="s">
        <v>469</v>
      </c>
      <c r="U284" s="31" t="s">
        <v>460</v>
      </c>
      <c r="V284" s="31" t="s">
        <v>60</v>
      </c>
      <c r="W284" s="34"/>
    </row>
    <row r="285">
      <c r="A285" s="30">
        <v>280.0</v>
      </c>
      <c r="B285" s="31" t="s">
        <v>1608</v>
      </c>
      <c r="C285" s="31" t="s">
        <v>1609</v>
      </c>
      <c r="D285" s="31" t="s">
        <v>472</v>
      </c>
      <c r="E285" s="31" t="s">
        <v>60</v>
      </c>
      <c r="F285" s="32">
        <v>44984.0</v>
      </c>
      <c r="G285" s="32">
        <v>45043.0</v>
      </c>
      <c r="H285" s="31" t="s">
        <v>453</v>
      </c>
      <c r="I285" s="31" t="s">
        <v>454</v>
      </c>
      <c r="J285" s="31" t="s">
        <v>58</v>
      </c>
      <c r="K285" s="31" t="s">
        <v>464</v>
      </c>
      <c r="L285" s="31" t="s">
        <v>476</v>
      </c>
      <c r="M285" s="31" t="s">
        <v>1610</v>
      </c>
      <c r="N285" s="31" t="s">
        <v>467</v>
      </c>
      <c r="O285" s="34"/>
      <c r="P285" s="34"/>
      <c r="Q285" s="31" t="s">
        <v>307</v>
      </c>
      <c r="R285" s="32">
        <v>37200.0</v>
      </c>
      <c r="S285" s="31" t="s">
        <v>560</v>
      </c>
      <c r="T285" s="31" t="s">
        <v>1611</v>
      </c>
      <c r="U285" s="31" t="s">
        <v>460</v>
      </c>
      <c r="V285" s="31" t="s">
        <v>60</v>
      </c>
      <c r="W285" s="34"/>
    </row>
    <row r="286">
      <c r="A286" s="30">
        <v>281.0</v>
      </c>
      <c r="B286" s="31" t="s">
        <v>1612</v>
      </c>
      <c r="C286" s="31" t="s">
        <v>1613</v>
      </c>
      <c r="D286" s="31" t="s">
        <v>472</v>
      </c>
      <c r="E286" s="31" t="s">
        <v>60</v>
      </c>
      <c r="F286" s="32">
        <v>44963.0</v>
      </c>
      <c r="G286" s="32">
        <v>45022.0</v>
      </c>
      <c r="H286" s="31" t="s">
        <v>453</v>
      </c>
      <c r="I286" s="31" t="s">
        <v>454</v>
      </c>
      <c r="J286" s="31" t="s">
        <v>58</v>
      </c>
      <c r="K286" s="31" t="s">
        <v>464</v>
      </c>
      <c r="L286" s="31" t="s">
        <v>476</v>
      </c>
      <c r="M286" s="31" t="s">
        <v>1614</v>
      </c>
      <c r="N286" s="31" t="s">
        <v>467</v>
      </c>
      <c r="O286" s="34"/>
      <c r="P286" s="34"/>
      <c r="Q286" s="31" t="s">
        <v>307</v>
      </c>
      <c r="R286" s="32">
        <v>35483.0</v>
      </c>
      <c r="S286" s="31" t="s">
        <v>560</v>
      </c>
      <c r="T286" s="31" t="s">
        <v>1615</v>
      </c>
      <c r="U286" s="31" t="s">
        <v>460</v>
      </c>
      <c r="V286" s="31" t="s">
        <v>60</v>
      </c>
      <c r="W286" s="34"/>
    </row>
    <row r="287">
      <c r="A287" s="30">
        <v>282.0</v>
      </c>
      <c r="B287" s="31" t="s">
        <v>1616</v>
      </c>
      <c r="C287" s="31" t="s">
        <v>1617</v>
      </c>
      <c r="D287" s="31" t="s">
        <v>472</v>
      </c>
      <c r="E287" s="31" t="s">
        <v>60</v>
      </c>
      <c r="F287" s="32">
        <v>45161.0</v>
      </c>
      <c r="G287" s="35">
        <v>45215.0</v>
      </c>
      <c r="H287" s="31" t="s">
        <v>453</v>
      </c>
      <c r="I287" s="31" t="s">
        <v>454</v>
      </c>
      <c r="J287" s="31" t="s">
        <v>58</v>
      </c>
      <c r="K287" s="31" t="s">
        <v>464</v>
      </c>
      <c r="L287" s="31" t="s">
        <v>476</v>
      </c>
      <c r="M287" s="31" t="s">
        <v>1618</v>
      </c>
      <c r="N287" s="31" t="s">
        <v>467</v>
      </c>
      <c r="O287" s="34"/>
      <c r="P287" s="34"/>
      <c r="Q287" s="31" t="s">
        <v>307</v>
      </c>
      <c r="R287" s="32">
        <v>37028.0</v>
      </c>
      <c r="S287" s="31" t="s">
        <v>560</v>
      </c>
      <c r="T287" s="31" t="s">
        <v>491</v>
      </c>
      <c r="U287" s="31" t="s">
        <v>460</v>
      </c>
      <c r="V287" s="31" t="s">
        <v>60</v>
      </c>
      <c r="W287" s="34"/>
    </row>
    <row r="288">
      <c r="A288" s="30">
        <v>283.0</v>
      </c>
      <c r="B288" s="31" t="s">
        <v>1619</v>
      </c>
      <c r="C288" s="31" t="s">
        <v>1620</v>
      </c>
      <c r="D288" s="31" t="s">
        <v>472</v>
      </c>
      <c r="E288" s="31" t="s">
        <v>60</v>
      </c>
      <c r="F288" s="32">
        <v>44977.0</v>
      </c>
      <c r="G288" s="32">
        <v>45036.0</v>
      </c>
      <c r="H288" s="31" t="s">
        <v>453</v>
      </c>
      <c r="I288" s="31" t="s">
        <v>454</v>
      </c>
      <c r="J288" s="31" t="s">
        <v>58</v>
      </c>
      <c r="K288" s="31" t="s">
        <v>464</v>
      </c>
      <c r="L288" s="31" t="s">
        <v>476</v>
      </c>
      <c r="M288" s="31" t="s">
        <v>1621</v>
      </c>
      <c r="N288" s="31" t="s">
        <v>467</v>
      </c>
      <c r="O288" s="34"/>
      <c r="P288" s="34"/>
      <c r="Q288" s="31" t="s">
        <v>307</v>
      </c>
      <c r="R288" s="32">
        <v>37068.0</v>
      </c>
      <c r="S288" s="31" t="s">
        <v>1622</v>
      </c>
      <c r="T288" s="31" t="s">
        <v>1127</v>
      </c>
      <c r="U288" s="31" t="s">
        <v>460</v>
      </c>
      <c r="V288" s="31" t="s">
        <v>60</v>
      </c>
      <c r="W288" s="34"/>
    </row>
    <row r="289">
      <c r="A289" s="30">
        <v>284.0</v>
      </c>
      <c r="B289" s="31" t="s">
        <v>1623</v>
      </c>
      <c r="C289" s="31" t="s">
        <v>1624</v>
      </c>
      <c r="D289" s="31" t="s">
        <v>1625</v>
      </c>
      <c r="E289" s="31" t="s">
        <v>94</v>
      </c>
      <c r="F289" s="32">
        <v>43040.0</v>
      </c>
      <c r="G289" s="32">
        <v>43101.0</v>
      </c>
      <c r="H289" s="31" t="s">
        <v>346</v>
      </c>
      <c r="I289" s="31" t="s">
        <v>93</v>
      </c>
      <c r="J289" s="31" t="s">
        <v>94</v>
      </c>
      <c r="K289" s="31" t="s">
        <v>1626</v>
      </c>
      <c r="L289" s="31" t="s">
        <v>1627</v>
      </c>
      <c r="M289" s="31" t="s">
        <v>1628</v>
      </c>
      <c r="N289" s="31" t="s">
        <v>467</v>
      </c>
      <c r="O289" s="31">
        <v>3.0</v>
      </c>
      <c r="P289" s="34"/>
      <c r="Q289" s="31" t="s">
        <v>307</v>
      </c>
      <c r="R289" s="32">
        <v>35224.0</v>
      </c>
      <c r="S289" s="31" t="s">
        <v>751</v>
      </c>
      <c r="T289" s="31" t="s">
        <v>503</v>
      </c>
      <c r="U289" s="31" t="s">
        <v>352</v>
      </c>
      <c r="V289" s="34"/>
      <c r="W289" s="34"/>
    </row>
    <row r="290">
      <c r="A290" s="30">
        <v>285.0</v>
      </c>
      <c r="B290" s="31" t="s">
        <v>1629</v>
      </c>
      <c r="C290" s="31" t="s">
        <v>1630</v>
      </c>
      <c r="D290" s="31" t="s">
        <v>1631</v>
      </c>
      <c r="E290" s="31" t="s">
        <v>94</v>
      </c>
      <c r="F290" s="32">
        <v>41745.0</v>
      </c>
      <c r="G290" s="32">
        <v>41821.0</v>
      </c>
      <c r="H290" s="31" t="s">
        <v>346</v>
      </c>
      <c r="I290" s="31" t="s">
        <v>93</v>
      </c>
      <c r="J290" s="31" t="s">
        <v>94</v>
      </c>
      <c r="K290" s="31" t="s">
        <v>1626</v>
      </c>
      <c r="L290" s="31" t="s">
        <v>1632</v>
      </c>
      <c r="M290" s="31" t="s">
        <v>1633</v>
      </c>
      <c r="N290" s="31" t="s">
        <v>267</v>
      </c>
      <c r="O290" s="31">
        <v>3.0</v>
      </c>
      <c r="P290" s="34"/>
      <c r="Q290" s="31" t="s">
        <v>307</v>
      </c>
      <c r="R290" s="35">
        <v>33961.0</v>
      </c>
      <c r="S290" s="31" t="s">
        <v>681</v>
      </c>
      <c r="T290" s="31" t="s">
        <v>744</v>
      </c>
      <c r="U290" s="31" t="s">
        <v>352</v>
      </c>
      <c r="V290" s="34"/>
      <c r="W290" s="34"/>
    </row>
    <row r="291">
      <c r="A291" s="30">
        <v>286.0</v>
      </c>
      <c r="B291" s="31" t="s">
        <v>1634</v>
      </c>
      <c r="C291" s="31" t="s">
        <v>1635</v>
      </c>
      <c r="D291" s="31" t="s">
        <v>648</v>
      </c>
      <c r="E291" s="31" t="s">
        <v>1636</v>
      </c>
      <c r="F291" s="32">
        <v>44837.0</v>
      </c>
      <c r="G291" s="32">
        <v>44898.0</v>
      </c>
      <c r="H291" s="31" t="s">
        <v>262</v>
      </c>
      <c r="I291" s="31" t="s">
        <v>101</v>
      </c>
      <c r="J291" s="31" t="s">
        <v>1636</v>
      </c>
      <c r="K291" s="31" t="s">
        <v>1637</v>
      </c>
      <c r="L291" s="31" t="s">
        <v>651</v>
      </c>
      <c r="M291" s="31" t="s">
        <v>1638</v>
      </c>
      <c r="N291" s="31" t="s">
        <v>267</v>
      </c>
      <c r="O291" s="34"/>
      <c r="P291" s="31">
        <v>2.0</v>
      </c>
      <c r="Q291" s="31" t="s">
        <v>307</v>
      </c>
      <c r="R291" s="32">
        <v>36497.0</v>
      </c>
      <c r="S291" s="31" t="s">
        <v>458</v>
      </c>
      <c r="T291" s="31" t="s">
        <v>1639</v>
      </c>
      <c r="U291" s="31" t="s">
        <v>271</v>
      </c>
      <c r="V291" s="34"/>
      <c r="W291" s="34"/>
    </row>
    <row r="292">
      <c r="A292" s="30">
        <v>287.0</v>
      </c>
      <c r="B292" s="31" t="s">
        <v>1640</v>
      </c>
      <c r="C292" s="31" t="s">
        <v>1641</v>
      </c>
      <c r="D292" s="31" t="s">
        <v>648</v>
      </c>
      <c r="E292" s="31" t="s">
        <v>1636</v>
      </c>
      <c r="F292" s="35">
        <v>44894.0</v>
      </c>
      <c r="G292" s="32">
        <v>44955.0</v>
      </c>
      <c r="H292" s="31" t="s">
        <v>262</v>
      </c>
      <c r="I292" s="31" t="s">
        <v>101</v>
      </c>
      <c r="J292" s="31" t="s">
        <v>1636</v>
      </c>
      <c r="K292" s="31" t="s">
        <v>1637</v>
      </c>
      <c r="L292" s="31" t="s">
        <v>651</v>
      </c>
      <c r="M292" s="31" t="s">
        <v>1642</v>
      </c>
      <c r="N292" s="31" t="s">
        <v>267</v>
      </c>
      <c r="O292" s="34"/>
      <c r="P292" s="31">
        <v>2.0</v>
      </c>
      <c r="Q292" s="31" t="s">
        <v>307</v>
      </c>
      <c r="R292" s="32">
        <v>36526.0</v>
      </c>
      <c r="S292" s="31" t="s">
        <v>681</v>
      </c>
      <c r="T292" s="31" t="s">
        <v>1476</v>
      </c>
      <c r="U292" s="31" t="s">
        <v>271</v>
      </c>
      <c r="V292" s="34"/>
      <c r="W292" s="34"/>
    </row>
    <row r="293">
      <c r="A293" s="30">
        <v>288.0</v>
      </c>
      <c r="B293" s="31" t="s">
        <v>1643</v>
      </c>
      <c r="C293" s="31" t="s">
        <v>1644</v>
      </c>
      <c r="D293" s="31" t="s">
        <v>648</v>
      </c>
      <c r="E293" s="31" t="s">
        <v>1636</v>
      </c>
      <c r="F293" s="32">
        <v>44823.0</v>
      </c>
      <c r="G293" s="35">
        <v>44884.0</v>
      </c>
      <c r="H293" s="31" t="s">
        <v>262</v>
      </c>
      <c r="I293" s="31" t="s">
        <v>101</v>
      </c>
      <c r="J293" s="31" t="s">
        <v>1636</v>
      </c>
      <c r="K293" s="31" t="s">
        <v>1637</v>
      </c>
      <c r="L293" s="31" t="s">
        <v>651</v>
      </c>
      <c r="M293" s="31" t="s">
        <v>1645</v>
      </c>
      <c r="N293" s="31" t="s">
        <v>267</v>
      </c>
      <c r="O293" s="34"/>
      <c r="P293" s="31">
        <v>2.0</v>
      </c>
      <c r="Q293" s="31" t="s">
        <v>307</v>
      </c>
      <c r="R293" s="32">
        <v>36759.0</v>
      </c>
      <c r="S293" s="31" t="s">
        <v>1646</v>
      </c>
      <c r="T293" s="31" t="s">
        <v>1647</v>
      </c>
      <c r="U293" s="31" t="s">
        <v>271</v>
      </c>
      <c r="V293" s="34"/>
      <c r="W293" s="34"/>
    </row>
    <row r="294">
      <c r="A294" s="30">
        <v>289.0</v>
      </c>
      <c r="B294" s="31" t="s">
        <v>1648</v>
      </c>
      <c r="C294" s="31" t="s">
        <v>1649</v>
      </c>
      <c r="D294" s="31" t="s">
        <v>648</v>
      </c>
      <c r="E294" s="31" t="s">
        <v>1636</v>
      </c>
      <c r="F294" s="32">
        <v>44712.0</v>
      </c>
      <c r="G294" s="32">
        <v>44773.0</v>
      </c>
      <c r="H294" s="31" t="s">
        <v>262</v>
      </c>
      <c r="I294" s="31" t="s">
        <v>101</v>
      </c>
      <c r="J294" s="31" t="s">
        <v>1636</v>
      </c>
      <c r="K294" s="31" t="s">
        <v>1637</v>
      </c>
      <c r="L294" s="31" t="s">
        <v>651</v>
      </c>
      <c r="M294" s="31" t="s">
        <v>1650</v>
      </c>
      <c r="N294" s="31" t="s">
        <v>267</v>
      </c>
      <c r="O294" s="34"/>
      <c r="P294" s="31">
        <v>2.0</v>
      </c>
      <c r="Q294" s="31" t="s">
        <v>307</v>
      </c>
      <c r="R294" s="32">
        <v>36333.0</v>
      </c>
      <c r="S294" s="31" t="s">
        <v>681</v>
      </c>
      <c r="T294" s="31" t="s">
        <v>1651</v>
      </c>
      <c r="U294" s="31" t="s">
        <v>271</v>
      </c>
      <c r="V294" s="34"/>
      <c r="W294" s="34"/>
    </row>
    <row r="295">
      <c r="A295" s="30">
        <v>290.0</v>
      </c>
      <c r="B295" s="31" t="s">
        <v>1652</v>
      </c>
      <c r="C295" s="31" t="s">
        <v>1653</v>
      </c>
      <c r="D295" s="31" t="s">
        <v>648</v>
      </c>
      <c r="E295" s="31" t="s">
        <v>1654</v>
      </c>
      <c r="F295" s="32">
        <v>44620.0</v>
      </c>
      <c r="G295" s="32">
        <v>44679.0</v>
      </c>
      <c r="H295" s="31" t="s">
        <v>262</v>
      </c>
      <c r="I295" s="31" t="s">
        <v>101</v>
      </c>
      <c r="J295" s="31" t="s">
        <v>1654</v>
      </c>
      <c r="K295" s="31" t="s">
        <v>1655</v>
      </c>
      <c r="L295" s="31" t="s">
        <v>663</v>
      </c>
      <c r="M295" s="31" t="s">
        <v>1656</v>
      </c>
      <c r="N295" s="31" t="s">
        <v>267</v>
      </c>
      <c r="O295" s="34"/>
      <c r="P295" s="31">
        <v>3.0</v>
      </c>
      <c r="Q295" s="31" t="s">
        <v>307</v>
      </c>
      <c r="R295" s="32">
        <v>36587.0</v>
      </c>
      <c r="S295" s="31" t="s">
        <v>320</v>
      </c>
      <c r="T295" s="31" t="s">
        <v>1657</v>
      </c>
      <c r="U295" s="31" t="s">
        <v>271</v>
      </c>
      <c r="V295" s="34"/>
      <c r="W295" s="34"/>
    </row>
    <row r="296">
      <c r="A296" s="30">
        <v>291.0</v>
      </c>
      <c r="B296" s="31" t="s">
        <v>1658</v>
      </c>
      <c r="C296" s="31" t="s">
        <v>1659</v>
      </c>
      <c r="D296" s="31" t="s">
        <v>760</v>
      </c>
      <c r="E296" s="31" t="s">
        <v>1654</v>
      </c>
      <c r="F296" s="32">
        <v>42860.0</v>
      </c>
      <c r="G296" s="32">
        <v>42921.0</v>
      </c>
      <c r="H296" s="31" t="s">
        <v>262</v>
      </c>
      <c r="I296" s="31" t="s">
        <v>101</v>
      </c>
      <c r="J296" s="31" t="s">
        <v>1654</v>
      </c>
      <c r="K296" s="31" t="s">
        <v>1655</v>
      </c>
      <c r="L296" s="31" t="s">
        <v>1660</v>
      </c>
      <c r="M296" s="31" t="s">
        <v>1661</v>
      </c>
      <c r="N296" s="31" t="s">
        <v>267</v>
      </c>
      <c r="O296" s="31">
        <v>1.0</v>
      </c>
      <c r="P296" s="31">
        <v>5.0</v>
      </c>
      <c r="Q296" s="31" t="s">
        <v>307</v>
      </c>
      <c r="R296" s="32">
        <v>34590.0</v>
      </c>
      <c r="S296" s="31" t="s">
        <v>700</v>
      </c>
      <c r="T296" s="31" t="s">
        <v>1662</v>
      </c>
      <c r="U296" s="31" t="s">
        <v>271</v>
      </c>
      <c r="V296" s="34"/>
      <c r="W296" s="34"/>
    </row>
    <row r="297">
      <c r="A297" s="30">
        <v>292.0</v>
      </c>
      <c r="B297" s="31" t="s">
        <v>1663</v>
      </c>
      <c r="C297" s="31" t="s">
        <v>1664</v>
      </c>
      <c r="D297" s="31" t="s">
        <v>648</v>
      </c>
      <c r="E297" s="31" t="s">
        <v>1654</v>
      </c>
      <c r="F297" s="32">
        <v>44137.0</v>
      </c>
      <c r="G297" s="32">
        <v>44198.0</v>
      </c>
      <c r="H297" s="31" t="s">
        <v>262</v>
      </c>
      <c r="I297" s="31" t="s">
        <v>101</v>
      </c>
      <c r="J297" s="31" t="s">
        <v>1654</v>
      </c>
      <c r="K297" s="31" t="s">
        <v>1655</v>
      </c>
      <c r="L297" s="31" t="s">
        <v>663</v>
      </c>
      <c r="M297" s="31" t="s">
        <v>1665</v>
      </c>
      <c r="N297" s="31" t="s">
        <v>267</v>
      </c>
      <c r="O297" s="34"/>
      <c r="P297" s="31">
        <v>4.0</v>
      </c>
      <c r="Q297" s="31" t="s">
        <v>307</v>
      </c>
      <c r="R297" s="32">
        <v>35967.0</v>
      </c>
      <c r="S297" s="31" t="s">
        <v>320</v>
      </c>
      <c r="T297" s="31" t="s">
        <v>1666</v>
      </c>
      <c r="U297" s="31" t="s">
        <v>271</v>
      </c>
      <c r="V297" s="34"/>
      <c r="W297" s="34"/>
    </row>
    <row r="298">
      <c r="A298" s="30">
        <v>293.0</v>
      </c>
      <c r="B298" s="31" t="s">
        <v>1667</v>
      </c>
      <c r="C298" s="31" t="s">
        <v>1668</v>
      </c>
      <c r="D298" s="31" t="s">
        <v>648</v>
      </c>
      <c r="E298" s="31" t="s">
        <v>1636</v>
      </c>
      <c r="F298" s="32">
        <v>44268.0</v>
      </c>
      <c r="G298" s="32">
        <v>44329.0</v>
      </c>
      <c r="H298" s="31" t="s">
        <v>262</v>
      </c>
      <c r="I298" s="31" t="s">
        <v>101</v>
      </c>
      <c r="J298" s="31" t="s">
        <v>1636</v>
      </c>
      <c r="K298" s="31" t="s">
        <v>1637</v>
      </c>
      <c r="L298" s="31" t="s">
        <v>651</v>
      </c>
      <c r="M298" s="31" t="s">
        <v>1669</v>
      </c>
      <c r="N298" s="31" t="s">
        <v>267</v>
      </c>
      <c r="O298" s="34"/>
      <c r="P298" s="31">
        <v>3.0</v>
      </c>
      <c r="Q298" s="31" t="s">
        <v>307</v>
      </c>
      <c r="R298" s="32">
        <v>36430.0</v>
      </c>
      <c r="S298" s="31" t="s">
        <v>320</v>
      </c>
      <c r="T298" s="31" t="s">
        <v>1670</v>
      </c>
      <c r="U298" s="31" t="s">
        <v>271</v>
      </c>
      <c r="V298" s="34"/>
      <c r="W298" s="34"/>
    </row>
    <row r="299">
      <c r="A299" s="30">
        <v>294.0</v>
      </c>
      <c r="B299" s="31" t="s">
        <v>1671</v>
      </c>
      <c r="C299" s="31" t="s">
        <v>1672</v>
      </c>
      <c r="D299" s="31" t="s">
        <v>760</v>
      </c>
      <c r="E299" s="31" t="s">
        <v>1636</v>
      </c>
      <c r="F299" s="35">
        <v>40527.0</v>
      </c>
      <c r="G299" s="32">
        <v>40589.0</v>
      </c>
      <c r="H299" s="31" t="s">
        <v>262</v>
      </c>
      <c r="I299" s="31" t="s">
        <v>101</v>
      </c>
      <c r="J299" s="31" t="s">
        <v>1636</v>
      </c>
      <c r="K299" s="31" t="s">
        <v>1637</v>
      </c>
      <c r="L299" s="31" t="s">
        <v>1673</v>
      </c>
      <c r="M299" s="31" t="s">
        <v>1674</v>
      </c>
      <c r="N299" s="31" t="s">
        <v>267</v>
      </c>
      <c r="O299" s="31">
        <v>1.0</v>
      </c>
      <c r="P299" s="31">
        <v>8.0</v>
      </c>
      <c r="Q299" s="31" t="s">
        <v>581</v>
      </c>
      <c r="R299" s="32">
        <v>32163.0</v>
      </c>
      <c r="S299" s="31" t="s">
        <v>626</v>
      </c>
      <c r="T299" s="31" t="s">
        <v>1675</v>
      </c>
      <c r="U299" s="31" t="s">
        <v>271</v>
      </c>
      <c r="V299" s="34"/>
      <c r="W299" s="34"/>
    </row>
    <row r="300">
      <c r="A300" s="30">
        <v>295.0</v>
      </c>
      <c r="B300" s="31" t="s">
        <v>1676</v>
      </c>
      <c r="C300" s="31" t="s">
        <v>1677</v>
      </c>
      <c r="D300" s="31" t="s">
        <v>1678</v>
      </c>
      <c r="E300" s="31" t="s">
        <v>101</v>
      </c>
      <c r="F300" s="32">
        <v>38687.0</v>
      </c>
      <c r="G300" s="32">
        <v>38718.0</v>
      </c>
      <c r="H300" s="31" t="s">
        <v>262</v>
      </c>
      <c r="I300" s="31" t="s">
        <v>101</v>
      </c>
      <c r="J300" s="34"/>
      <c r="K300" s="31" t="s">
        <v>1679</v>
      </c>
      <c r="L300" s="31" t="s">
        <v>1680</v>
      </c>
      <c r="M300" s="31" t="s">
        <v>1681</v>
      </c>
      <c r="N300" s="31" t="s">
        <v>267</v>
      </c>
      <c r="O300" s="31">
        <v>2.0</v>
      </c>
      <c r="P300" s="31">
        <v>6.0</v>
      </c>
      <c r="Q300" s="31" t="s">
        <v>307</v>
      </c>
      <c r="R300" s="32">
        <v>29799.0</v>
      </c>
      <c r="S300" s="31" t="s">
        <v>320</v>
      </c>
      <c r="T300" s="31" t="s">
        <v>1682</v>
      </c>
      <c r="U300" s="31" t="s">
        <v>271</v>
      </c>
      <c r="V300" s="34"/>
      <c r="W300" s="34"/>
    </row>
    <row r="301">
      <c r="A301" s="30">
        <v>296.0</v>
      </c>
      <c r="B301" s="31" t="s">
        <v>1683</v>
      </c>
      <c r="C301" s="31" t="s">
        <v>1684</v>
      </c>
      <c r="D301" s="31" t="s">
        <v>648</v>
      </c>
      <c r="E301" s="31" t="s">
        <v>1636</v>
      </c>
      <c r="F301" s="32">
        <v>44370.0</v>
      </c>
      <c r="G301" s="32">
        <v>44431.0</v>
      </c>
      <c r="H301" s="31" t="s">
        <v>262</v>
      </c>
      <c r="I301" s="31" t="s">
        <v>101</v>
      </c>
      <c r="J301" s="31" t="s">
        <v>1636</v>
      </c>
      <c r="K301" s="31" t="s">
        <v>1637</v>
      </c>
      <c r="L301" s="31" t="s">
        <v>651</v>
      </c>
      <c r="M301" s="31" t="s">
        <v>1685</v>
      </c>
      <c r="N301" s="31" t="s">
        <v>267</v>
      </c>
      <c r="O301" s="34"/>
      <c r="P301" s="31">
        <v>5.0</v>
      </c>
      <c r="Q301" s="31" t="s">
        <v>307</v>
      </c>
      <c r="R301" s="32">
        <v>35893.0</v>
      </c>
      <c r="S301" s="31" t="s">
        <v>320</v>
      </c>
      <c r="T301" s="31" t="s">
        <v>1686</v>
      </c>
      <c r="U301" s="31" t="s">
        <v>271</v>
      </c>
      <c r="V301" s="34"/>
      <c r="W301" s="34"/>
    </row>
    <row r="302">
      <c r="A302" s="30">
        <v>297.0</v>
      </c>
      <c r="B302" s="31" t="s">
        <v>1687</v>
      </c>
      <c r="C302" s="31" t="s">
        <v>1688</v>
      </c>
      <c r="D302" s="31" t="s">
        <v>648</v>
      </c>
      <c r="E302" s="31" t="s">
        <v>1654</v>
      </c>
      <c r="F302" s="32">
        <v>43694.0</v>
      </c>
      <c r="G302" s="35">
        <v>43755.0</v>
      </c>
      <c r="H302" s="31" t="s">
        <v>262</v>
      </c>
      <c r="I302" s="31" t="s">
        <v>101</v>
      </c>
      <c r="J302" s="31" t="s">
        <v>1654</v>
      </c>
      <c r="K302" s="31" t="s">
        <v>1655</v>
      </c>
      <c r="L302" s="31" t="s">
        <v>663</v>
      </c>
      <c r="M302" s="31" t="s">
        <v>1689</v>
      </c>
      <c r="N302" s="31" t="s">
        <v>467</v>
      </c>
      <c r="O302" s="34"/>
      <c r="P302" s="31">
        <v>7.0</v>
      </c>
      <c r="Q302" s="31" t="s">
        <v>307</v>
      </c>
      <c r="R302" s="32">
        <v>35488.0</v>
      </c>
      <c r="S302" s="31" t="s">
        <v>531</v>
      </c>
      <c r="T302" s="31" t="s">
        <v>1690</v>
      </c>
      <c r="U302" s="31" t="s">
        <v>271</v>
      </c>
      <c r="V302" s="34"/>
      <c r="W302" s="34"/>
    </row>
    <row r="303">
      <c r="A303" s="30">
        <v>298.0</v>
      </c>
      <c r="B303" s="31" t="s">
        <v>1691</v>
      </c>
      <c r="C303" s="31" t="s">
        <v>1692</v>
      </c>
      <c r="D303" s="31" t="s">
        <v>978</v>
      </c>
      <c r="E303" s="31" t="s">
        <v>1693</v>
      </c>
      <c r="F303" s="35">
        <v>41628.0</v>
      </c>
      <c r="G303" s="32">
        <v>41690.0</v>
      </c>
      <c r="H303" s="31" t="s">
        <v>262</v>
      </c>
      <c r="I303" s="31" t="s">
        <v>263</v>
      </c>
      <c r="J303" s="31" t="s">
        <v>1693</v>
      </c>
      <c r="K303" s="31" t="s">
        <v>1694</v>
      </c>
      <c r="L303" s="31" t="s">
        <v>1695</v>
      </c>
      <c r="M303" s="31" t="s">
        <v>1696</v>
      </c>
      <c r="N303" s="31" t="s">
        <v>467</v>
      </c>
      <c r="O303" s="31">
        <v>2.0</v>
      </c>
      <c r="P303" s="31">
        <v>7.0</v>
      </c>
      <c r="Q303" s="31" t="s">
        <v>307</v>
      </c>
      <c r="R303" s="32">
        <v>32889.0</v>
      </c>
      <c r="S303" s="31" t="s">
        <v>1697</v>
      </c>
      <c r="T303" s="31" t="s">
        <v>1698</v>
      </c>
      <c r="U303" s="31" t="s">
        <v>271</v>
      </c>
      <c r="V303" s="34"/>
      <c r="W303" s="34"/>
    </row>
    <row r="304">
      <c r="A304" s="30">
        <v>299.0</v>
      </c>
      <c r="B304" s="31" t="s">
        <v>1699</v>
      </c>
      <c r="C304" s="31" t="s">
        <v>1700</v>
      </c>
      <c r="D304" s="31" t="s">
        <v>765</v>
      </c>
      <c r="E304" s="31" t="s">
        <v>1701</v>
      </c>
      <c r="F304" s="32">
        <v>42996.0</v>
      </c>
      <c r="G304" s="35">
        <v>43057.0</v>
      </c>
      <c r="H304" s="31" t="s">
        <v>262</v>
      </c>
      <c r="I304" s="31" t="s">
        <v>263</v>
      </c>
      <c r="J304" s="31" t="s">
        <v>767</v>
      </c>
      <c r="K304" s="31" t="s">
        <v>1702</v>
      </c>
      <c r="L304" s="31" t="s">
        <v>769</v>
      </c>
      <c r="M304" s="31" t="s">
        <v>1703</v>
      </c>
      <c r="N304" s="31" t="s">
        <v>267</v>
      </c>
      <c r="O304" s="34"/>
      <c r="P304" s="31">
        <v>2.0</v>
      </c>
      <c r="Q304" s="31" t="s">
        <v>307</v>
      </c>
      <c r="R304" s="32">
        <v>34980.0</v>
      </c>
      <c r="S304" s="31" t="s">
        <v>681</v>
      </c>
      <c r="T304" s="31" t="s">
        <v>1670</v>
      </c>
      <c r="U304" s="31" t="s">
        <v>271</v>
      </c>
      <c r="V304" s="31" t="s">
        <v>1701</v>
      </c>
      <c r="W304" s="34"/>
    </row>
    <row r="305">
      <c r="A305" s="30">
        <v>300.0</v>
      </c>
      <c r="B305" s="31" t="s">
        <v>1704</v>
      </c>
      <c r="C305" s="31" t="s">
        <v>1705</v>
      </c>
      <c r="D305" s="31" t="s">
        <v>260</v>
      </c>
      <c r="E305" s="31" t="s">
        <v>261</v>
      </c>
      <c r="F305" s="32">
        <v>43556.0</v>
      </c>
      <c r="G305" s="32">
        <v>43617.0</v>
      </c>
      <c r="H305" s="31" t="s">
        <v>262</v>
      </c>
      <c r="I305" s="31" t="s">
        <v>263</v>
      </c>
      <c r="J305" s="31" t="s">
        <v>261</v>
      </c>
      <c r="K305" s="31" t="s">
        <v>264</v>
      </c>
      <c r="L305" s="31" t="s">
        <v>265</v>
      </c>
      <c r="M305" s="31" t="s">
        <v>1706</v>
      </c>
      <c r="N305" s="31" t="s">
        <v>267</v>
      </c>
      <c r="O305" s="34"/>
      <c r="P305" s="31">
        <v>1.0</v>
      </c>
      <c r="Q305" s="31" t="s">
        <v>307</v>
      </c>
      <c r="R305" s="32">
        <v>35835.0</v>
      </c>
      <c r="S305" s="31" t="s">
        <v>531</v>
      </c>
      <c r="T305" s="31" t="s">
        <v>1707</v>
      </c>
      <c r="U305" s="31" t="s">
        <v>271</v>
      </c>
      <c r="V305" s="34"/>
      <c r="W305" s="34"/>
    </row>
    <row r="306">
      <c r="A306" s="30">
        <v>301.0</v>
      </c>
      <c r="B306" s="31" t="s">
        <v>1708</v>
      </c>
      <c r="C306" s="31" t="s">
        <v>1709</v>
      </c>
      <c r="D306" s="31" t="s">
        <v>648</v>
      </c>
      <c r="E306" s="31" t="s">
        <v>1636</v>
      </c>
      <c r="F306" s="32">
        <v>42499.0</v>
      </c>
      <c r="G306" s="32">
        <v>42560.0</v>
      </c>
      <c r="H306" s="31" t="s">
        <v>262</v>
      </c>
      <c r="I306" s="31" t="s">
        <v>101</v>
      </c>
      <c r="J306" s="31" t="s">
        <v>1636</v>
      </c>
      <c r="K306" s="31" t="s">
        <v>1637</v>
      </c>
      <c r="L306" s="31" t="s">
        <v>651</v>
      </c>
      <c r="M306" s="31" t="s">
        <v>1710</v>
      </c>
      <c r="N306" s="31" t="s">
        <v>267</v>
      </c>
      <c r="O306" s="34"/>
      <c r="P306" s="31">
        <v>11.0</v>
      </c>
      <c r="Q306" s="31" t="s">
        <v>307</v>
      </c>
      <c r="R306" s="32">
        <v>32667.0</v>
      </c>
      <c r="S306" s="31" t="s">
        <v>531</v>
      </c>
      <c r="T306" s="31" t="s">
        <v>1711</v>
      </c>
      <c r="U306" s="31" t="s">
        <v>271</v>
      </c>
      <c r="V306" s="34"/>
      <c r="W306" s="34"/>
    </row>
    <row r="307">
      <c r="A307" s="30">
        <v>302.0</v>
      </c>
      <c r="B307" s="31" t="s">
        <v>1712</v>
      </c>
      <c r="C307" s="31" t="s">
        <v>1713</v>
      </c>
      <c r="D307" s="31" t="s">
        <v>648</v>
      </c>
      <c r="E307" s="31" t="s">
        <v>1636</v>
      </c>
      <c r="F307" s="32">
        <v>44096.0</v>
      </c>
      <c r="G307" s="35">
        <v>44157.0</v>
      </c>
      <c r="H307" s="31" t="s">
        <v>262</v>
      </c>
      <c r="I307" s="31" t="s">
        <v>101</v>
      </c>
      <c r="J307" s="31" t="s">
        <v>1636</v>
      </c>
      <c r="K307" s="31" t="s">
        <v>1637</v>
      </c>
      <c r="L307" s="31" t="s">
        <v>651</v>
      </c>
      <c r="M307" s="31" t="s">
        <v>1714</v>
      </c>
      <c r="N307" s="31" t="s">
        <v>267</v>
      </c>
      <c r="O307" s="34"/>
      <c r="P307" s="31">
        <v>4.0</v>
      </c>
      <c r="Q307" s="31" t="s">
        <v>307</v>
      </c>
      <c r="R307" s="32">
        <v>35448.0</v>
      </c>
      <c r="S307" s="31" t="s">
        <v>531</v>
      </c>
      <c r="T307" s="31" t="s">
        <v>1666</v>
      </c>
      <c r="U307" s="31" t="s">
        <v>271</v>
      </c>
      <c r="V307" s="34"/>
      <c r="W307" s="34"/>
    </row>
    <row r="308">
      <c r="A308" s="30">
        <v>303.0</v>
      </c>
      <c r="B308" s="31" t="s">
        <v>1715</v>
      </c>
      <c r="C308" s="31" t="s">
        <v>1716</v>
      </c>
      <c r="D308" s="31" t="s">
        <v>260</v>
      </c>
      <c r="E308" s="31" t="s">
        <v>1717</v>
      </c>
      <c r="F308" s="32">
        <v>45139.0</v>
      </c>
      <c r="G308" s="32">
        <v>45199.0</v>
      </c>
      <c r="H308" s="31" t="s">
        <v>262</v>
      </c>
      <c r="I308" s="31" t="s">
        <v>263</v>
      </c>
      <c r="J308" s="31" t="s">
        <v>356</v>
      </c>
      <c r="K308" s="31" t="s">
        <v>1718</v>
      </c>
      <c r="L308" s="31" t="s">
        <v>328</v>
      </c>
      <c r="M308" s="31" t="s">
        <v>1719</v>
      </c>
      <c r="N308" s="31" t="s">
        <v>267</v>
      </c>
      <c r="O308" s="34"/>
      <c r="P308" s="31">
        <v>3.0</v>
      </c>
      <c r="Q308" s="31" t="s">
        <v>307</v>
      </c>
      <c r="R308" s="32">
        <v>35451.0</v>
      </c>
      <c r="S308" s="31" t="s">
        <v>1720</v>
      </c>
      <c r="T308" s="31" t="s">
        <v>1721</v>
      </c>
      <c r="U308" s="31" t="s">
        <v>271</v>
      </c>
      <c r="V308" s="31" t="s">
        <v>1717</v>
      </c>
      <c r="W308" s="34"/>
    </row>
    <row r="309">
      <c r="A309" s="30">
        <v>304.0</v>
      </c>
      <c r="B309" s="31" t="s">
        <v>1722</v>
      </c>
      <c r="C309" s="31" t="s">
        <v>1723</v>
      </c>
      <c r="D309" s="31" t="s">
        <v>260</v>
      </c>
      <c r="E309" s="31" t="s">
        <v>1717</v>
      </c>
      <c r="F309" s="32">
        <v>44927.0</v>
      </c>
      <c r="G309" s="32">
        <v>44986.0</v>
      </c>
      <c r="H309" s="31" t="s">
        <v>262</v>
      </c>
      <c r="I309" s="31" t="s">
        <v>263</v>
      </c>
      <c r="J309" s="31" t="s">
        <v>356</v>
      </c>
      <c r="K309" s="31" t="s">
        <v>1718</v>
      </c>
      <c r="L309" s="31" t="s">
        <v>328</v>
      </c>
      <c r="M309" s="31" t="s">
        <v>1724</v>
      </c>
      <c r="N309" s="31" t="s">
        <v>267</v>
      </c>
      <c r="O309" s="34"/>
      <c r="P309" s="31">
        <v>5.0</v>
      </c>
      <c r="Q309" s="31" t="s">
        <v>307</v>
      </c>
      <c r="R309" s="32">
        <v>36547.0</v>
      </c>
      <c r="S309" s="31" t="s">
        <v>1725</v>
      </c>
      <c r="T309" s="31" t="s">
        <v>1726</v>
      </c>
      <c r="U309" s="31" t="s">
        <v>271</v>
      </c>
      <c r="V309" s="31" t="s">
        <v>1717</v>
      </c>
      <c r="W309" s="34"/>
    </row>
    <row r="310">
      <c r="A310" s="30">
        <v>305.0</v>
      </c>
      <c r="B310" s="31" t="s">
        <v>1727</v>
      </c>
      <c r="C310" s="31" t="s">
        <v>1728</v>
      </c>
      <c r="D310" s="31" t="s">
        <v>260</v>
      </c>
      <c r="E310" s="31" t="s">
        <v>1717</v>
      </c>
      <c r="F310" s="32">
        <v>44823.0</v>
      </c>
      <c r="G310" s="35">
        <v>44884.0</v>
      </c>
      <c r="H310" s="31" t="s">
        <v>262</v>
      </c>
      <c r="I310" s="31" t="s">
        <v>263</v>
      </c>
      <c r="J310" s="31" t="s">
        <v>356</v>
      </c>
      <c r="K310" s="31" t="s">
        <v>1718</v>
      </c>
      <c r="L310" s="31" t="s">
        <v>328</v>
      </c>
      <c r="M310" s="31" t="s">
        <v>1729</v>
      </c>
      <c r="N310" s="31" t="s">
        <v>267</v>
      </c>
      <c r="O310" s="34"/>
      <c r="P310" s="31">
        <v>5.0</v>
      </c>
      <c r="Q310" s="31" t="s">
        <v>307</v>
      </c>
      <c r="R310" s="32">
        <v>35166.0</v>
      </c>
      <c r="S310" s="31" t="s">
        <v>1730</v>
      </c>
      <c r="T310" s="31" t="s">
        <v>1731</v>
      </c>
      <c r="U310" s="31" t="s">
        <v>271</v>
      </c>
      <c r="V310" s="31" t="s">
        <v>1717</v>
      </c>
      <c r="W310" s="34"/>
    </row>
    <row r="311">
      <c r="A311" s="30">
        <v>306.0</v>
      </c>
      <c r="B311" s="31" t="s">
        <v>1732</v>
      </c>
      <c r="C311" s="31" t="s">
        <v>1733</v>
      </c>
      <c r="D311" s="31" t="s">
        <v>260</v>
      </c>
      <c r="E311" s="31" t="s">
        <v>1717</v>
      </c>
      <c r="F311" s="32">
        <v>43984.0</v>
      </c>
      <c r="G311" s="32">
        <v>44045.0</v>
      </c>
      <c r="H311" s="31" t="s">
        <v>262</v>
      </c>
      <c r="I311" s="31" t="s">
        <v>263</v>
      </c>
      <c r="J311" s="31" t="s">
        <v>356</v>
      </c>
      <c r="K311" s="31" t="s">
        <v>1718</v>
      </c>
      <c r="L311" s="31" t="s">
        <v>328</v>
      </c>
      <c r="M311" s="31" t="s">
        <v>1734</v>
      </c>
      <c r="N311" s="31" t="s">
        <v>267</v>
      </c>
      <c r="O311" s="34"/>
      <c r="P311" s="31">
        <v>3.0</v>
      </c>
      <c r="Q311" s="31" t="s">
        <v>307</v>
      </c>
      <c r="R311" s="32">
        <v>35848.0</v>
      </c>
      <c r="S311" s="31" t="s">
        <v>320</v>
      </c>
      <c r="T311" s="31" t="s">
        <v>1698</v>
      </c>
      <c r="U311" s="31" t="s">
        <v>271</v>
      </c>
      <c r="V311" s="31" t="s">
        <v>1717</v>
      </c>
      <c r="W311" s="34"/>
    </row>
    <row r="312">
      <c r="A312" s="30">
        <v>307.0</v>
      </c>
      <c r="B312" s="31" t="s">
        <v>1735</v>
      </c>
      <c r="C312" s="31" t="s">
        <v>1736</v>
      </c>
      <c r="D312" s="31" t="s">
        <v>1737</v>
      </c>
      <c r="E312" s="31" t="s">
        <v>1701</v>
      </c>
      <c r="F312" s="32">
        <v>43629.0</v>
      </c>
      <c r="G312" s="32">
        <v>43690.0</v>
      </c>
      <c r="H312" s="31" t="s">
        <v>262</v>
      </c>
      <c r="I312" s="31" t="s">
        <v>263</v>
      </c>
      <c r="J312" s="31" t="s">
        <v>767</v>
      </c>
      <c r="K312" s="31" t="s">
        <v>1702</v>
      </c>
      <c r="L312" s="31" t="s">
        <v>1738</v>
      </c>
      <c r="M312" s="31" t="s">
        <v>1739</v>
      </c>
      <c r="N312" s="31" t="s">
        <v>467</v>
      </c>
      <c r="O312" s="31">
        <v>2.0</v>
      </c>
      <c r="P312" s="31">
        <v>1.0</v>
      </c>
      <c r="Q312" s="31" t="s">
        <v>307</v>
      </c>
      <c r="R312" s="35">
        <v>36092.0</v>
      </c>
      <c r="S312" s="31" t="s">
        <v>1740</v>
      </c>
      <c r="T312" s="31" t="s">
        <v>1476</v>
      </c>
      <c r="U312" s="31" t="s">
        <v>271</v>
      </c>
      <c r="V312" s="31" t="s">
        <v>1701</v>
      </c>
      <c r="W312" s="34"/>
    </row>
    <row r="313">
      <c r="A313" s="30">
        <v>308.0</v>
      </c>
      <c r="B313" s="31" t="s">
        <v>1741</v>
      </c>
      <c r="C313" s="31" t="s">
        <v>1742</v>
      </c>
      <c r="D313" s="31" t="s">
        <v>260</v>
      </c>
      <c r="E313" s="31" t="s">
        <v>1717</v>
      </c>
      <c r="F313" s="32">
        <v>43770.0</v>
      </c>
      <c r="G313" s="32">
        <v>43831.0</v>
      </c>
      <c r="H313" s="31" t="s">
        <v>262</v>
      </c>
      <c r="I313" s="31" t="s">
        <v>263</v>
      </c>
      <c r="J313" s="31" t="s">
        <v>356</v>
      </c>
      <c r="K313" s="31" t="s">
        <v>1718</v>
      </c>
      <c r="L313" s="31" t="s">
        <v>328</v>
      </c>
      <c r="M313" s="31" t="s">
        <v>1743</v>
      </c>
      <c r="N313" s="31" t="s">
        <v>267</v>
      </c>
      <c r="O313" s="34"/>
      <c r="P313" s="31">
        <v>6.0</v>
      </c>
      <c r="Q313" s="31" t="s">
        <v>307</v>
      </c>
      <c r="R313" s="32">
        <v>35499.0</v>
      </c>
      <c r="S313" s="31" t="s">
        <v>320</v>
      </c>
      <c r="T313" s="31" t="s">
        <v>1690</v>
      </c>
      <c r="U313" s="31" t="s">
        <v>271</v>
      </c>
      <c r="V313" s="31" t="s">
        <v>1717</v>
      </c>
      <c r="W313" s="34"/>
    </row>
    <row r="314">
      <c r="A314" s="30">
        <v>309.0</v>
      </c>
      <c r="B314" s="31" t="s">
        <v>1744</v>
      </c>
      <c r="C314" s="31" t="s">
        <v>1745</v>
      </c>
      <c r="D314" s="31" t="s">
        <v>260</v>
      </c>
      <c r="E314" s="31" t="s">
        <v>1717</v>
      </c>
      <c r="F314" s="32">
        <v>43998.0</v>
      </c>
      <c r="G314" s="32">
        <v>44059.0</v>
      </c>
      <c r="H314" s="31" t="s">
        <v>262</v>
      </c>
      <c r="I314" s="31" t="s">
        <v>263</v>
      </c>
      <c r="J314" s="31" t="s">
        <v>356</v>
      </c>
      <c r="K314" s="31" t="s">
        <v>1718</v>
      </c>
      <c r="L314" s="31" t="s">
        <v>328</v>
      </c>
      <c r="M314" s="31" t="s">
        <v>1746</v>
      </c>
      <c r="N314" s="31" t="s">
        <v>267</v>
      </c>
      <c r="O314" s="34"/>
      <c r="P314" s="31">
        <v>6.0</v>
      </c>
      <c r="Q314" s="31" t="s">
        <v>307</v>
      </c>
      <c r="R314" s="32">
        <v>35662.0</v>
      </c>
      <c r="S314" s="31" t="s">
        <v>1747</v>
      </c>
      <c r="T314" s="31" t="s">
        <v>1377</v>
      </c>
      <c r="U314" s="31" t="s">
        <v>271</v>
      </c>
      <c r="V314" s="31" t="s">
        <v>1717</v>
      </c>
      <c r="W314" s="34"/>
    </row>
    <row r="315">
      <c r="A315" s="30">
        <v>310.0</v>
      </c>
      <c r="B315" s="31" t="s">
        <v>1748</v>
      </c>
      <c r="C315" s="31" t="s">
        <v>1749</v>
      </c>
      <c r="D315" s="31" t="s">
        <v>260</v>
      </c>
      <c r="E315" s="31" t="s">
        <v>1717</v>
      </c>
      <c r="F315" s="35">
        <v>43796.0</v>
      </c>
      <c r="G315" s="32">
        <v>43857.0</v>
      </c>
      <c r="H315" s="31" t="s">
        <v>262</v>
      </c>
      <c r="I315" s="31" t="s">
        <v>263</v>
      </c>
      <c r="J315" s="31" t="s">
        <v>356</v>
      </c>
      <c r="K315" s="31" t="s">
        <v>1718</v>
      </c>
      <c r="L315" s="31" t="s">
        <v>328</v>
      </c>
      <c r="M315" s="31" t="s">
        <v>1750</v>
      </c>
      <c r="N315" s="31" t="s">
        <v>267</v>
      </c>
      <c r="O315" s="34"/>
      <c r="P315" s="31">
        <v>8.0</v>
      </c>
      <c r="Q315" s="31" t="s">
        <v>307</v>
      </c>
      <c r="R315" s="32">
        <v>35531.0</v>
      </c>
      <c r="S315" s="31" t="s">
        <v>676</v>
      </c>
      <c r="T315" s="31" t="s">
        <v>1751</v>
      </c>
      <c r="U315" s="31" t="s">
        <v>271</v>
      </c>
      <c r="V315" s="31" t="s">
        <v>1717</v>
      </c>
      <c r="W315" s="34"/>
    </row>
    <row r="316">
      <c r="A316" s="30">
        <v>311.0</v>
      </c>
      <c r="B316" s="31" t="s">
        <v>1752</v>
      </c>
      <c r="C316" s="31" t="s">
        <v>1753</v>
      </c>
      <c r="D316" s="31" t="s">
        <v>260</v>
      </c>
      <c r="E316" s="31" t="s">
        <v>1717</v>
      </c>
      <c r="F316" s="32">
        <v>43609.0</v>
      </c>
      <c r="G316" s="32">
        <v>43670.0</v>
      </c>
      <c r="H316" s="31" t="s">
        <v>262</v>
      </c>
      <c r="I316" s="31" t="s">
        <v>263</v>
      </c>
      <c r="J316" s="31" t="s">
        <v>356</v>
      </c>
      <c r="K316" s="31" t="s">
        <v>1718</v>
      </c>
      <c r="L316" s="31" t="s">
        <v>328</v>
      </c>
      <c r="M316" s="31" t="s">
        <v>1754</v>
      </c>
      <c r="N316" s="31" t="s">
        <v>267</v>
      </c>
      <c r="O316" s="34"/>
      <c r="P316" s="31">
        <v>7.0</v>
      </c>
      <c r="Q316" s="31" t="s">
        <v>307</v>
      </c>
      <c r="R316" s="32">
        <v>35242.0</v>
      </c>
      <c r="S316" s="31" t="s">
        <v>1755</v>
      </c>
      <c r="T316" s="31" t="s">
        <v>1686</v>
      </c>
      <c r="U316" s="31" t="s">
        <v>271</v>
      </c>
      <c r="V316" s="31" t="s">
        <v>1717</v>
      </c>
      <c r="W316" s="34"/>
    </row>
    <row r="317">
      <c r="A317" s="30">
        <v>312.0</v>
      </c>
      <c r="B317" s="31" t="s">
        <v>1756</v>
      </c>
      <c r="C317" s="31" t="s">
        <v>1757</v>
      </c>
      <c r="D317" s="31" t="s">
        <v>260</v>
      </c>
      <c r="E317" s="31" t="s">
        <v>1717</v>
      </c>
      <c r="F317" s="35">
        <v>43759.0</v>
      </c>
      <c r="G317" s="32">
        <v>43882.0</v>
      </c>
      <c r="H317" s="31" t="s">
        <v>262</v>
      </c>
      <c r="I317" s="31" t="s">
        <v>263</v>
      </c>
      <c r="J317" s="31" t="s">
        <v>356</v>
      </c>
      <c r="K317" s="31" t="s">
        <v>1718</v>
      </c>
      <c r="L317" s="31" t="s">
        <v>328</v>
      </c>
      <c r="M317" s="31" t="s">
        <v>1758</v>
      </c>
      <c r="N317" s="31" t="s">
        <v>267</v>
      </c>
      <c r="O317" s="34"/>
      <c r="P317" s="31">
        <v>8.0</v>
      </c>
      <c r="Q317" s="31" t="s">
        <v>307</v>
      </c>
      <c r="R317" s="32">
        <v>35897.0</v>
      </c>
      <c r="S317" s="31" t="s">
        <v>1740</v>
      </c>
      <c r="T317" s="31" t="s">
        <v>1377</v>
      </c>
      <c r="U317" s="31" t="s">
        <v>271</v>
      </c>
      <c r="V317" s="31" t="s">
        <v>1717</v>
      </c>
      <c r="W317" s="34"/>
    </row>
    <row r="318">
      <c r="A318" s="30">
        <v>313.0</v>
      </c>
      <c r="B318" s="31" t="s">
        <v>1759</v>
      </c>
      <c r="C318" s="31" t="s">
        <v>1760</v>
      </c>
      <c r="D318" s="31" t="s">
        <v>765</v>
      </c>
      <c r="E318" s="31" t="s">
        <v>1701</v>
      </c>
      <c r="F318" s="32">
        <v>42996.0</v>
      </c>
      <c r="G318" s="35">
        <v>43057.0</v>
      </c>
      <c r="H318" s="31" t="s">
        <v>262</v>
      </c>
      <c r="I318" s="31" t="s">
        <v>263</v>
      </c>
      <c r="J318" s="31" t="s">
        <v>767</v>
      </c>
      <c r="K318" s="31" t="s">
        <v>1702</v>
      </c>
      <c r="L318" s="31" t="s">
        <v>769</v>
      </c>
      <c r="M318" s="31" t="s">
        <v>1761</v>
      </c>
      <c r="N318" s="31" t="s">
        <v>267</v>
      </c>
      <c r="O318" s="34"/>
      <c r="P318" s="31">
        <v>1.0</v>
      </c>
      <c r="Q318" s="31" t="s">
        <v>307</v>
      </c>
      <c r="R318" s="32">
        <v>34434.0</v>
      </c>
      <c r="S318" s="31" t="s">
        <v>320</v>
      </c>
      <c r="T318" s="31" t="s">
        <v>1690</v>
      </c>
      <c r="U318" s="31" t="s">
        <v>271</v>
      </c>
      <c r="V318" s="31" t="s">
        <v>1701</v>
      </c>
      <c r="W318" s="34"/>
    </row>
    <row r="319">
      <c r="A319" s="30">
        <v>314.0</v>
      </c>
      <c r="B319" s="31" t="s">
        <v>1762</v>
      </c>
      <c r="C319" s="31" t="s">
        <v>1763</v>
      </c>
      <c r="D319" s="31" t="s">
        <v>876</v>
      </c>
      <c r="E319" s="31" t="s">
        <v>1717</v>
      </c>
      <c r="F319" s="35">
        <v>42669.0</v>
      </c>
      <c r="G319" s="35">
        <v>42730.0</v>
      </c>
      <c r="H319" s="31" t="s">
        <v>262</v>
      </c>
      <c r="I319" s="31" t="s">
        <v>263</v>
      </c>
      <c r="J319" s="31" t="s">
        <v>356</v>
      </c>
      <c r="K319" s="31" t="s">
        <v>1718</v>
      </c>
      <c r="L319" s="31" t="s">
        <v>885</v>
      </c>
      <c r="M319" s="31" t="s">
        <v>1764</v>
      </c>
      <c r="N319" s="31" t="s">
        <v>267</v>
      </c>
      <c r="O319" s="31">
        <v>2.0</v>
      </c>
      <c r="P319" s="31">
        <v>4.0</v>
      </c>
      <c r="Q319" s="31" t="s">
        <v>307</v>
      </c>
      <c r="R319" s="32">
        <v>34453.0</v>
      </c>
      <c r="S319" s="31" t="s">
        <v>320</v>
      </c>
      <c r="T319" s="31" t="s">
        <v>1765</v>
      </c>
      <c r="U319" s="31" t="s">
        <v>271</v>
      </c>
      <c r="V319" s="31" t="s">
        <v>1717</v>
      </c>
      <c r="W319" s="34"/>
    </row>
    <row r="320">
      <c r="A320" s="30">
        <v>315.0</v>
      </c>
      <c r="B320" s="31" t="s">
        <v>1766</v>
      </c>
      <c r="C320" s="31" t="s">
        <v>1767</v>
      </c>
      <c r="D320" s="31" t="s">
        <v>765</v>
      </c>
      <c r="E320" s="31" t="s">
        <v>1701</v>
      </c>
      <c r="F320" s="32">
        <v>43965.0</v>
      </c>
      <c r="G320" s="32">
        <v>44026.0</v>
      </c>
      <c r="H320" s="31" t="s">
        <v>262</v>
      </c>
      <c r="I320" s="31" t="s">
        <v>263</v>
      </c>
      <c r="J320" s="31" t="s">
        <v>767</v>
      </c>
      <c r="K320" s="31" t="s">
        <v>1702</v>
      </c>
      <c r="L320" s="31" t="s">
        <v>769</v>
      </c>
      <c r="M320" s="31" t="s">
        <v>1768</v>
      </c>
      <c r="N320" s="31" t="s">
        <v>267</v>
      </c>
      <c r="O320" s="34"/>
      <c r="P320" s="31">
        <v>1.0</v>
      </c>
      <c r="Q320" s="31" t="s">
        <v>307</v>
      </c>
      <c r="R320" s="32">
        <v>35859.0</v>
      </c>
      <c r="S320" s="31" t="s">
        <v>320</v>
      </c>
      <c r="T320" s="31" t="s">
        <v>1769</v>
      </c>
      <c r="U320" s="31" t="s">
        <v>271</v>
      </c>
      <c r="V320" s="31" t="s">
        <v>1701</v>
      </c>
      <c r="W320" s="34"/>
    </row>
    <row r="321">
      <c r="A321" s="30">
        <v>316.0</v>
      </c>
      <c r="B321" s="31" t="s">
        <v>1770</v>
      </c>
      <c r="C321" s="31" t="s">
        <v>1771</v>
      </c>
      <c r="D321" s="31" t="s">
        <v>260</v>
      </c>
      <c r="E321" s="31" t="s">
        <v>1717</v>
      </c>
      <c r="F321" s="35">
        <v>44119.0</v>
      </c>
      <c r="G321" s="35">
        <v>44180.0</v>
      </c>
      <c r="H321" s="31" t="s">
        <v>262</v>
      </c>
      <c r="I321" s="31" t="s">
        <v>263</v>
      </c>
      <c r="J321" s="31" t="s">
        <v>356</v>
      </c>
      <c r="K321" s="31" t="s">
        <v>1718</v>
      </c>
      <c r="L321" s="31" t="s">
        <v>328</v>
      </c>
      <c r="M321" s="31" t="s">
        <v>1772</v>
      </c>
      <c r="N321" s="31" t="s">
        <v>267</v>
      </c>
      <c r="O321" s="34"/>
      <c r="P321" s="31">
        <v>9.0</v>
      </c>
      <c r="Q321" s="31" t="s">
        <v>307</v>
      </c>
      <c r="R321" s="32">
        <v>36356.0</v>
      </c>
      <c r="S321" s="31" t="s">
        <v>320</v>
      </c>
      <c r="T321" s="31" t="s">
        <v>1773</v>
      </c>
      <c r="U321" s="31" t="s">
        <v>271</v>
      </c>
      <c r="V321" s="31" t="s">
        <v>1717</v>
      </c>
      <c r="W321" s="34"/>
    </row>
    <row r="322">
      <c r="A322" s="30">
        <v>317.0</v>
      </c>
      <c r="B322" s="31" t="s">
        <v>1774</v>
      </c>
      <c r="C322" s="31" t="s">
        <v>1775</v>
      </c>
      <c r="D322" s="31" t="s">
        <v>260</v>
      </c>
      <c r="E322" s="31" t="s">
        <v>1717</v>
      </c>
      <c r="F322" s="35">
        <v>43796.0</v>
      </c>
      <c r="G322" s="32">
        <v>43857.0</v>
      </c>
      <c r="H322" s="31" t="s">
        <v>262</v>
      </c>
      <c r="I322" s="31" t="s">
        <v>263</v>
      </c>
      <c r="J322" s="31" t="s">
        <v>356</v>
      </c>
      <c r="K322" s="31" t="s">
        <v>1718</v>
      </c>
      <c r="L322" s="31" t="s">
        <v>328</v>
      </c>
      <c r="M322" s="31" t="s">
        <v>1776</v>
      </c>
      <c r="N322" s="31" t="s">
        <v>267</v>
      </c>
      <c r="O322" s="34"/>
      <c r="P322" s="31">
        <v>6.0</v>
      </c>
      <c r="Q322" s="31" t="s">
        <v>307</v>
      </c>
      <c r="R322" s="32">
        <v>35338.0</v>
      </c>
      <c r="S322" s="31" t="s">
        <v>1398</v>
      </c>
      <c r="T322" s="31" t="s">
        <v>1777</v>
      </c>
      <c r="U322" s="31" t="s">
        <v>271</v>
      </c>
      <c r="V322" s="31" t="s">
        <v>1717</v>
      </c>
      <c r="W322" s="34"/>
    </row>
    <row r="323">
      <c r="A323" s="30">
        <v>318.0</v>
      </c>
      <c r="B323" s="31" t="s">
        <v>1778</v>
      </c>
      <c r="C323" s="31" t="s">
        <v>1779</v>
      </c>
      <c r="D323" s="31" t="s">
        <v>260</v>
      </c>
      <c r="E323" s="31" t="s">
        <v>1780</v>
      </c>
      <c r="F323" s="32">
        <v>45078.0</v>
      </c>
      <c r="G323" s="32">
        <v>45138.0</v>
      </c>
      <c r="H323" s="31" t="s">
        <v>262</v>
      </c>
      <c r="I323" s="31" t="s">
        <v>263</v>
      </c>
      <c r="J323" s="31" t="s">
        <v>356</v>
      </c>
      <c r="K323" s="31" t="s">
        <v>1781</v>
      </c>
      <c r="L323" s="31" t="s">
        <v>328</v>
      </c>
      <c r="M323" s="31" t="s">
        <v>1782</v>
      </c>
      <c r="N323" s="31" t="s">
        <v>467</v>
      </c>
      <c r="O323" s="34"/>
      <c r="P323" s="31">
        <v>3.0</v>
      </c>
      <c r="Q323" s="31" t="s">
        <v>307</v>
      </c>
      <c r="R323" s="32">
        <v>36689.0</v>
      </c>
      <c r="S323" s="31" t="s">
        <v>320</v>
      </c>
      <c r="T323" s="31" t="s">
        <v>1783</v>
      </c>
      <c r="U323" s="31" t="s">
        <v>271</v>
      </c>
      <c r="V323" s="31" t="s">
        <v>1780</v>
      </c>
      <c r="W323" s="34"/>
    </row>
    <row r="324">
      <c r="A324" s="30">
        <v>319.0</v>
      </c>
      <c r="B324" s="31" t="s">
        <v>1784</v>
      </c>
      <c r="C324" s="31" t="s">
        <v>1785</v>
      </c>
      <c r="D324" s="31" t="s">
        <v>260</v>
      </c>
      <c r="E324" s="31" t="s">
        <v>1786</v>
      </c>
      <c r="F324" s="32">
        <v>44982.0</v>
      </c>
      <c r="G324" s="32">
        <v>45041.0</v>
      </c>
      <c r="H324" s="31" t="s">
        <v>262</v>
      </c>
      <c r="I324" s="31" t="s">
        <v>263</v>
      </c>
      <c r="J324" s="31" t="s">
        <v>356</v>
      </c>
      <c r="K324" s="31" t="s">
        <v>1787</v>
      </c>
      <c r="L324" s="31" t="s">
        <v>328</v>
      </c>
      <c r="M324" s="31" t="s">
        <v>1788</v>
      </c>
      <c r="N324" s="31" t="s">
        <v>467</v>
      </c>
      <c r="O324" s="34"/>
      <c r="P324" s="31">
        <v>3.0</v>
      </c>
      <c r="Q324" s="31" t="s">
        <v>307</v>
      </c>
      <c r="R324" s="32">
        <v>36650.0</v>
      </c>
      <c r="S324" s="31" t="s">
        <v>510</v>
      </c>
      <c r="T324" s="31" t="s">
        <v>1789</v>
      </c>
      <c r="U324" s="31" t="s">
        <v>271</v>
      </c>
      <c r="V324" s="31" t="s">
        <v>1786</v>
      </c>
      <c r="W324" s="34"/>
    </row>
    <row r="325">
      <c r="A325" s="30">
        <v>320.0</v>
      </c>
      <c r="B325" s="31" t="s">
        <v>1790</v>
      </c>
      <c r="C325" s="31" t="s">
        <v>1791</v>
      </c>
      <c r="D325" s="31" t="s">
        <v>260</v>
      </c>
      <c r="E325" s="31" t="s">
        <v>1780</v>
      </c>
      <c r="F325" s="35">
        <v>44879.0</v>
      </c>
      <c r="G325" s="32">
        <v>44940.0</v>
      </c>
      <c r="H325" s="31" t="s">
        <v>262</v>
      </c>
      <c r="I325" s="31" t="s">
        <v>263</v>
      </c>
      <c r="J325" s="31" t="s">
        <v>356</v>
      </c>
      <c r="K325" s="31" t="s">
        <v>1781</v>
      </c>
      <c r="L325" s="31" t="s">
        <v>328</v>
      </c>
      <c r="M325" s="31" t="s">
        <v>1792</v>
      </c>
      <c r="N325" s="31" t="s">
        <v>467</v>
      </c>
      <c r="O325" s="34"/>
      <c r="P325" s="31">
        <v>5.0</v>
      </c>
      <c r="Q325" s="31" t="s">
        <v>307</v>
      </c>
      <c r="R325" s="32">
        <v>36944.0</v>
      </c>
      <c r="S325" s="31" t="s">
        <v>320</v>
      </c>
      <c r="T325" s="31" t="s">
        <v>1476</v>
      </c>
      <c r="U325" s="31" t="s">
        <v>271</v>
      </c>
      <c r="V325" s="31" t="s">
        <v>1780</v>
      </c>
      <c r="W325" s="34"/>
    </row>
    <row r="326">
      <c r="A326" s="30">
        <v>321.0</v>
      </c>
      <c r="B326" s="31" t="s">
        <v>1793</v>
      </c>
      <c r="C326" s="31" t="s">
        <v>1794</v>
      </c>
      <c r="D326" s="31" t="s">
        <v>876</v>
      </c>
      <c r="E326" s="31" t="s">
        <v>1786</v>
      </c>
      <c r="F326" s="32">
        <v>43556.0</v>
      </c>
      <c r="G326" s="32">
        <v>43617.0</v>
      </c>
      <c r="H326" s="31" t="s">
        <v>262</v>
      </c>
      <c r="I326" s="31" t="s">
        <v>263</v>
      </c>
      <c r="J326" s="31" t="s">
        <v>356</v>
      </c>
      <c r="K326" s="31" t="s">
        <v>1787</v>
      </c>
      <c r="L326" s="31" t="s">
        <v>885</v>
      </c>
      <c r="M326" s="31" t="s">
        <v>1795</v>
      </c>
      <c r="N326" s="31" t="s">
        <v>267</v>
      </c>
      <c r="O326" s="31">
        <v>2.0</v>
      </c>
      <c r="P326" s="31">
        <v>3.0</v>
      </c>
      <c r="Q326" s="31" t="s">
        <v>307</v>
      </c>
      <c r="R326" s="32">
        <v>34159.0</v>
      </c>
      <c r="S326" s="31" t="s">
        <v>320</v>
      </c>
      <c r="T326" s="31" t="s">
        <v>1796</v>
      </c>
      <c r="U326" s="31" t="s">
        <v>271</v>
      </c>
      <c r="V326" s="31" t="s">
        <v>1786</v>
      </c>
      <c r="W326" s="34"/>
    </row>
    <row r="327">
      <c r="A327" s="30">
        <v>322.0</v>
      </c>
      <c r="B327" s="31" t="s">
        <v>1797</v>
      </c>
      <c r="C327" s="31" t="s">
        <v>1798</v>
      </c>
      <c r="D327" s="31" t="s">
        <v>260</v>
      </c>
      <c r="E327" s="31" t="s">
        <v>1780</v>
      </c>
      <c r="F327" s="32">
        <v>43894.0</v>
      </c>
      <c r="G327" s="32">
        <v>43955.0</v>
      </c>
      <c r="H327" s="31" t="s">
        <v>262</v>
      </c>
      <c r="I327" s="31" t="s">
        <v>263</v>
      </c>
      <c r="J327" s="31" t="s">
        <v>356</v>
      </c>
      <c r="K327" s="31" t="s">
        <v>1781</v>
      </c>
      <c r="L327" s="31" t="s">
        <v>328</v>
      </c>
      <c r="M327" s="31" t="s">
        <v>1799</v>
      </c>
      <c r="N327" s="31" t="s">
        <v>467</v>
      </c>
      <c r="O327" s="34"/>
      <c r="P327" s="31">
        <v>5.0</v>
      </c>
      <c r="Q327" s="31" t="s">
        <v>307</v>
      </c>
      <c r="R327" s="32">
        <v>35940.0</v>
      </c>
      <c r="S327" s="31" t="s">
        <v>1800</v>
      </c>
      <c r="T327" s="31" t="s">
        <v>1801</v>
      </c>
      <c r="U327" s="31" t="s">
        <v>271</v>
      </c>
      <c r="V327" s="31" t="s">
        <v>1780</v>
      </c>
      <c r="W327" s="34"/>
    </row>
    <row r="328">
      <c r="A328" s="30">
        <v>323.0</v>
      </c>
      <c r="B328" s="31" t="s">
        <v>1802</v>
      </c>
      <c r="C328" s="31" t="s">
        <v>1803</v>
      </c>
      <c r="D328" s="31" t="s">
        <v>260</v>
      </c>
      <c r="E328" s="31" t="s">
        <v>1780</v>
      </c>
      <c r="F328" s="32">
        <v>44137.0</v>
      </c>
      <c r="G328" s="32">
        <v>44198.0</v>
      </c>
      <c r="H328" s="31" t="s">
        <v>262</v>
      </c>
      <c r="I328" s="31" t="s">
        <v>263</v>
      </c>
      <c r="J328" s="31" t="s">
        <v>356</v>
      </c>
      <c r="K328" s="31" t="s">
        <v>1781</v>
      </c>
      <c r="L328" s="31" t="s">
        <v>328</v>
      </c>
      <c r="M328" s="31" t="s">
        <v>1804</v>
      </c>
      <c r="N328" s="31" t="s">
        <v>267</v>
      </c>
      <c r="O328" s="34"/>
      <c r="P328" s="31">
        <v>5.0</v>
      </c>
      <c r="Q328" s="31" t="s">
        <v>307</v>
      </c>
      <c r="R328" s="32">
        <v>35833.0</v>
      </c>
      <c r="S328" s="31" t="s">
        <v>320</v>
      </c>
      <c r="T328" s="31" t="s">
        <v>1805</v>
      </c>
      <c r="U328" s="31" t="s">
        <v>271</v>
      </c>
      <c r="V328" s="31" t="s">
        <v>1780</v>
      </c>
      <c r="W328" s="34"/>
    </row>
    <row r="329">
      <c r="A329" s="30">
        <v>324.0</v>
      </c>
      <c r="B329" s="31" t="s">
        <v>1806</v>
      </c>
      <c r="C329" s="31" t="s">
        <v>1807</v>
      </c>
      <c r="D329" s="31" t="s">
        <v>260</v>
      </c>
      <c r="E329" s="31" t="s">
        <v>1786</v>
      </c>
      <c r="F329" s="32">
        <v>44372.0</v>
      </c>
      <c r="G329" s="32">
        <v>44433.0</v>
      </c>
      <c r="H329" s="31" t="s">
        <v>262</v>
      </c>
      <c r="I329" s="31" t="s">
        <v>263</v>
      </c>
      <c r="J329" s="31" t="s">
        <v>356</v>
      </c>
      <c r="K329" s="31" t="s">
        <v>1787</v>
      </c>
      <c r="L329" s="31" t="s">
        <v>328</v>
      </c>
      <c r="M329" s="31" t="s">
        <v>1808</v>
      </c>
      <c r="N329" s="31" t="s">
        <v>267</v>
      </c>
      <c r="O329" s="34"/>
      <c r="P329" s="31">
        <v>3.0</v>
      </c>
      <c r="Q329" s="31" t="s">
        <v>307</v>
      </c>
      <c r="R329" s="32">
        <v>36060.0</v>
      </c>
      <c r="S329" s="31" t="s">
        <v>1809</v>
      </c>
      <c r="T329" s="31" t="s">
        <v>1810</v>
      </c>
      <c r="U329" s="31" t="s">
        <v>271</v>
      </c>
      <c r="V329" s="31" t="s">
        <v>1786</v>
      </c>
      <c r="W329" s="34"/>
    </row>
    <row r="330">
      <c r="A330" s="30">
        <v>325.0</v>
      </c>
      <c r="B330" s="31" t="s">
        <v>1811</v>
      </c>
      <c r="C330" s="31" t="s">
        <v>1812</v>
      </c>
      <c r="D330" s="31" t="s">
        <v>260</v>
      </c>
      <c r="E330" s="31" t="s">
        <v>1780</v>
      </c>
      <c r="F330" s="35">
        <v>43782.0</v>
      </c>
      <c r="G330" s="32">
        <v>43843.0</v>
      </c>
      <c r="H330" s="31" t="s">
        <v>262</v>
      </c>
      <c r="I330" s="31" t="s">
        <v>263</v>
      </c>
      <c r="J330" s="31" t="s">
        <v>356</v>
      </c>
      <c r="K330" s="31" t="s">
        <v>1781</v>
      </c>
      <c r="L330" s="31" t="s">
        <v>328</v>
      </c>
      <c r="M330" s="31" t="s">
        <v>1813</v>
      </c>
      <c r="N330" s="31" t="s">
        <v>267</v>
      </c>
      <c r="O330" s="34"/>
      <c r="P330" s="31">
        <v>8.0</v>
      </c>
      <c r="Q330" s="31" t="s">
        <v>307</v>
      </c>
      <c r="R330" s="32">
        <v>35873.0</v>
      </c>
      <c r="S330" s="31" t="s">
        <v>320</v>
      </c>
      <c r="T330" s="31" t="s">
        <v>1670</v>
      </c>
      <c r="U330" s="31" t="s">
        <v>271</v>
      </c>
      <c r="V330" s="31" t="s">
        <v>1780</v>
      </c>
      <c r="W330" s="34"/>
    </row>
    <row r="331">
      <c r="A331" s="30">
        <v>326.0</v>
      </c>
      <c r="B331" s="31" t="s">
        <v>1814</v>
      </c>
      <c r="C331" s="31" t="s">
        <v>1815</v>
      </c>
      <c r="D331" s="31" t="s">
        <v>260</v>
      </c>
      <c r="E331" s="31" t="s">
        <v>1780</v>
      </c>
      <c r="F331" s="32">
        <v>44286.0</v>
      </c>
      <c r="G331" s="32">
        <v>44347.0</v>
      </c>
      <c r="H331" s="31" t="s">
        <v>262</v>
      </c>
      <c r="I331" s="31" t="s">
        <v>263</v>
      </c>
      <c r="J331" s="31" t="s">
        <v>356</v>
      </c>
      <c r="K331" s="31" t="s">
        <v>1781</v>
      </c>
      <c r="L331" s="31" t="s">
        <v>328</v>
      </c>
      <c r="M331" s="31" t="s">
        <v>1816</v>
      </c>
      <c r="N331" s="31" t="s">
        <v>267</v>
      </c>
      <c r="O331" s="34"/>
      <c r="P331" s="31">
        <v>6.0</v>
      </c>
      <c r="Q331" s="31" t="s">
        <v>307</v>
      </c>
      <c r="R331" s="32">
        <v>36333.0</v>
      </c>
      <c r="S331" s="31" t="s">
        <v>1817</v>
      </c>
      <c r="T331" s="31" t="s">
        <v>1818</v>
      </c>
      <c r="U331" s="31" t="s">
        <v>271</v>
      </c>
      <c r="V331" s="31" t="s">
        <v>1780</v>
      </c>
      <c r="W331" s="34"/>
    </row>
    <row r="332">
      <c r="A332" s="30">
        <v>327.0</v>
      </c>
      <c r="B332" s="31" t="s">
        <v>1819</v>
      </c>
      <c r="C332" s="31" t="s">
        <v>1820</v>
      </c>
      <c r="D332" s="31" t="s">
        <v>260</v>
      </c>
      <c r="E332" s="31" t="s">
        <v>1786</v>
      </c>
      <c r="F332" s="32">
        <v>40651.0</v>
      </c>
      <c r="G332" s="32">
        <v>40712.0</v>
      </c>
      <c r="H332" s="31" t="s">
        <v>262</v>
      </c>
      <c r="I332" s="31" t="s">
        <v>263</v>
      </c>
      <c r="J332" s="31" t="s">
        <v>356</v>
      </c>
      <c r="K332" s="31" t="s">
        <v>1787</v>
      </c>
      <c r="L332" s="31" t="s">
        <v>328</v>
      </c>
      <c r="M332" s="31" t="s">
        <v>1821</v>
      </c>
      <c r="N332" s="31" t="s">
        <v>267</v>
      </c>
      <c r="O332" s="34"/>
      <c r="P332" s="31">
        <v>10.0</v>
      </c>
      <c r="Q332" s="31" t="s">
        <v>307</v>
      </c>
      <c r="R332" s="32">
        <v>32541.0</v>
      </c>
      <c r="S332" s="31" t="s">
        <v>531</v>
      </c>
      <c r="T332" s="31" t="s">
        <v>1777</v>
      </c>
      <c r="U332" s="31" t="s">
        <v>271</v>
      </c>
      <c r="V332" s="31" t="s">
        <v>1786</v>
      </c>
      <c r="W332" s="34"/>
    </row>
    <row r="333">
      <c r="A333" s="30">
        <v>328.0</v>
      </c>
      <c r="B333" s="31" t="s">
        <v>1822</v>
      </c>
      <c r="C333" s="31" t="s">
        <v>1823</v>
      </c>
      <c r="D333" s="31" t="s">
        <v>876</v>
      </c>
      <c r="E333" s="31" t="s">
        <v>1780</v>
      </c>
      <c r="F333" s="32">
        <v>43222.0</v>
      </c>
      <c r="G333" s="32">
        <v>43283.0</v>
      </c>
      <c r="H333" s="31" t="s">
        <v>262</v>
      </c>
      <c r="I333" s="31" t="s">
        <v>263</v>
      </c>
      <c r="J333" s="31" t="s">
        <v>356</v>
      </c>
      <c r="K333" s="31" t="s">
        <v>1781</v>
      </c>
      <c r="L333" s="31" t="s">
        <v>885</v>
      </c>
      <c r="M333" s="31" t="s">
        <v>1824</v>
      </c>
      <c r="N333" s="31" t="s">
        <v>267</v>
      </c>
      <c r="O333" s="31">
        <v>2.0</v>
      </c>
      <c r="P333" s="31">
        <v>3.0</v>
      </c>
      <c r="Q333" s="31" t="s">
        <v>307</v>
      </c>
      <c r="R333" s="32">
        <v>34921.0</v>
      </c>
      <c r="S333" s="31" t="s">
        <v>893</v>
      </c>
      <c r="T333" s="31" t="s">
        <v>1476</v>
      </c>
      <c r="U333" s="31" t="s">
        <v>271</v>
      </c>
      <c r="V333" s="31" t="s">
        <v>1780</v>
      </c>
      <c r="W333" s="34"/>
    </row>
    <row r="334">
      <c r="A334" s="30">
        <v>329.0</v>
      </c>
      <c r="B334" s="31" t="s">
        <v>1825</v>
      </c>
      <c r="C334" s="31" t="s">
        <v>913</v>
      </c>
      <c r="D334" s="31" t="s">
        <v>260</v>
      </c>
      <c r="E334" s="31" t="s">
        <v>1786</v>
      </c>
      <c r="F334" s="32">
        <v>43973.0</v>
      </c>
      <c r="G334" s="32">
        <v>44034.0</v>
      </c>
      <c r="H334" s="31" t="s">
        <v>262</v>
      </c>
      <c r="I334" s="31" t="s">
        <v>263</v>
      </c>
      <c r="J334" s="31" t="s">
        <v>356</v>
      </c>
      <c r="K334" s="31" t="s">
        <v>1787</v>
      </c>
      <c r="L334" s="31" t="s">
        <v>328</v>
      </c>
      <c r="M334" s="31" t="s">
        <v>1826</v>
      </c>
      <c r="N334" s="31" t="s">
        <v>267</v>
      </c>
      <c r="O334" s="34"/>
      <c r="P334" s="31">
        <v>7.0</v>
      </c>
      <c r="Q334" s="31" t="s">
        <v>307</v>
      </c>
      <c r="R334" s="32">
        <v>35704.0</v>
      </c>
      <c r="S334" s="31" t="s">
        <v>1827</v>
      </c>
      <c r="T334" s="31" t="s">
        <v>1377</v>
      </c>
      <c r="U334" s="31" t="s">
        <v>271</v>
      </c>
      <c r="V334" s="31" t="s">
        <v>1786</v>
      </c>
      <c r="W334" s="34"/>
    </row>
    <row r="335">
      <c r="A335" s="30">
        <v>330.0</v>
      </c>
      <c r="B335" s="31" t="s">
        <v>1828</v>
      </c>
      <c r="C335" s="31" t="s">
        <v>1829</v>
      </c>
      <c r="D335" s="31" t="s">
        <v>260</v>
      </c>
      <c r="E335" s="31" t="s">
        <v>1780</v>
      </c>
      <c r="F335" s="32">
        <v>43661.0</v>
      </c>
      <c r="G335" s="32">
        <v>43723.0</v>
      </c>
      <c r="H335" s="31" t="s">
        <v>262</v>
      </c>
      <c r="I335" s="31" t="s">
        <v>263</v>
      </c>
      <c r="J335" s="31" t="s">
        <v>356</v>
      </c>
      <c r="K335" s="31" t="s">
        <v>1781</v>
      </c>
      <c r="L335" s="31" t="s">
        <v>328</v>
      </c>
      <c r="M335" s="31" t="s">
        <v>1830</v>
      </c>
      <c r="N335" s="31" t="s">
        <v>267</v>
      </c>
      <c r="O335" s="34"/>
      <c r="P335" s="31">
        <v>6.0</v>
      </c>
      <c r="Q335" s="31" t="s">
        <v>307</v>
      </c>
      <c r="R335" s="32">
        <v>36281.0</v>
      </c>
      <c r="S335" s="31" t="s">
        <v>526</v>
      </c>
      <c r="T335" s="31" t="s">
        <v>1831</v>
      </c>
      <c r="U335" s="31" t="s">
        <v>271</v>
      </c>
      <c r="V335" s="31" t="s">
        <v>1780</v>
      </c>
      <c r="W335" s="34"/>
    </row>
    <row r="336">
      <c r="A336" s="30">
        <v>331.0</v>
      </c>
      <c r="B336" s="31" t="s">
        <v>1832</v>
      </c>
      <c r="C336" s="31" t="s">
        <v>1833</v>
      </c>
      <c r="D336" s="31" t="s">
        <v>260</v>
      </c>
      <c r="E336" s="31" t="s">
        <v>1780</v>
      </c>
      <c r="F336" s="32">
        <v>43640.0</v>
      </c>
      <c r="G336" s="32">
        <v>43701.0</v>
      </c>
      <c r="H336" s="31" t="s">
        <v>262</v>
      </c>
      <c r="I336" s="31" t="s">
        <v>263</v>
      </c>
      <c r="J336" s="31" t="s">
        <v>356</v>
      </c>
      <c r="K336" s="31" t="s">
        <v>1781</v>
      </c>
      <c r="L336" s="31" t="s">
        <v>328</v>
      </c>
      <c r="M336" s="31" t="s">
        <v>1834</v>
      </c>
      <c r="N336" s="31" t="s">
        <v>467</v>
      </c>
      <c r="O336" s="34"/>
      <c r="P336" s="31">
        <v>7.0</v>
      </c>
      <c r="Q336" s="31" t="s">
        <v>307</v>
      </c>
      <c r="R336" s="32">
        <v>34196.0</v>
      </c>
      <c r="S336" s="31" t="s">
        <v>515</v>
      </c>
      <c r="T336" s="31" t="s">
        <v>1670</v>
      </c>
      <c r="U336" s="31" t="s">
        <v>271</v>
      </c>
      <c r="V336" s="31" t="s">
        <v>1780</v>
      </c>
      <c r="W336" s="34"/>
    </row>
    <row r="337">
      <c r="A337" s="30">
        <v>332.0</v>
      </c>
      <c r="B337" s="31" t="s">
        <v>1835</v>
      </c>
      <c r="C337" s="31" t="s">
        <v>1836</v>
      </c>
      <c r="D337" s="31" t="s">
        <v>260</v>
      </c>
      <c r="E337" s="31" t="s">
        <v>1780</v>
      </c>
      <c r="F337" s="35">
        <v>44149.0</v>
      </c>
      <c r="G337" s="32">
        <v>44210.0</v>
      </c>
      <c r="H337" s="31" t="s">
        <v>262</v>
      </c>
      <c r="I337" s="31" t="s">
        <v>263</v>
      </c>
      <c r="J337" s="31" t="s">
        <v>356</v>
      </c>
      <c r="K337" s="31" t="s">
        <v>1781</v>
      </c>
      <c r="L337" s="31" t="s">
        <v>328</v>
      </c>
      <c r="M337" s="31" t="s">
        <v>1837</v>
      </c>
      <c r="N337" s="31" t="s">
        <v>267</v>
      </c>
      <c r="O337" s="34"/>
      <c r="P337" s="31">
        <v>5.0</v>
      </c>
      <c r="Q337" s="31" t="s">
        <v>307</v>
      </c>
      <c r="R337" s="35">
        <v>36096.0</v>
      </c>
      <c r="S337" s="31" t="s">
        <v>320</v>
      </c>
      <c r="T337" s="31" t="s">
        <v>1377</v>
      </c>
      <c r="U337" s="31" t="s">
        <v>271</v>
      </c>
      <c r="V337" s="31" t="s">
        <v>1780</v>
      </c>
      <c r="W337" s="34"/>
    </row>
    <row r="338">
      <c r="A338" s="30">
        <v>333.0</v>
      </c>
      <c r="B338" s="31" t="s">
        <v>1838</v>
      </c>
      <c r="C338" s="31" t="s">
        <v>1839</v>
      </c>
      <c r="D338" s="31" t="s">
        <v>260</v>
      </c>
      <c r="E338" s="31" t="s">
        <v>1717</v>
      </c>
      <c r="F338" s="32">
        <v>43510.0</v>
      </c>
      <c r="G338" s="32">
        <v>43569.0</v>
      </c>
      <c r="H338" s="31" t="s">
        <v>262</v>
      </c>
      <c r="I338" s="31" t="s">
        <v>263</v>
      </c>
      <c r="J338" s="31" t="s">
        <v>356</v>
      </c>
      <c r="K338" s="31" t="s">
        <v>1718</v>
      </c>
      <c r="L338" s="31" t="s">
        <v>328</v>
      </c>
      <c r="M338" s="31" t="s">
        <v>1840</v>
      </c>
      <c r="N338" s="31" t="s">
        <v>267</v>
      </c>
      <c r="O338" s="34"/>
      <c r="P338" s="31">
        <v>6.0</v>
      </c>
      <c r="Q338" s="31" t="s">
        <v>307</v>
      </c>
      <c r="R338" s="32">
        <v>35333.0</v>
      </c>
      <c r="S338" s="31" t="s">
        <v>320</v>
      </c>
      <c r="T338" s="31" t="s">
        <v>1666</v>
      </c>
      <c r="U338" s="31" t="s">
        <v>271</v>
      </c>
      <c r="V338" s="31" t="s">
        <v>1717</v>
      </c>
      <c r="W338" s="34"/>
    </row>
    <row r="339">
      <c r="A339" s="30">
        <v>334.0</v>
      </c>
      <c r="B339" s="31" t="s">
        <v>1841</v>
      </c>
      <c r="C339" s="31" t="s">
        <v>1842</v>
      </c>
      <c r="D339" s="31" t="s">
        <v>260</v>
      </c>
      <c r="E339" s="31" t="s">
        <v>1780</v>
      </c>
      <c r="F339" s="32">
        <v>43878.0</v>
      </c>
      <c r="G339" s="32">
        <v>43938.0</v>
      </c>
      <c r="H339" s="31" t="s">
        <v>262</v>
      </c>
      <c r="I339" s="31" t="s">
        <v>263</v>
      </c>
      <c r="J339" s="31" t="s">
        <v>356</v>
      </c>
      <c r="K339" s="31" t="s">
        <v>1781</v>
      </c>
      <c r="L339" s="31" t="s">
        <v>328</v>
      </c>
      <c r="M339" s="31" t="s">
        <v>1843</v>
      </c>
      <c r="N339" s="31" t="s">
        <v>267</v>
      </c>
      <c r="O339" s="34"/>
      <c r="P339" s="31">
        <v>3.0</v>
      </c>
      <c r="Q339" s="31" t="s">
        <v>307</v>
      </c>
      <c r="R339" s="32">
        <v>36002.0</v>
      </c>
      <c r="S339" s="31" t="s">
        <v>531</v>
      </c>
      <c r="T339" s="31" t="s">
        <v>1844</v>
      </c>
      <c r="U339" s="31" t="s">
        <v>271</v>
      </c>
      <c r="V339" s="31" t="s">
        <v>1780</v>
      </c>
      <c r="W339" s="34"/>
    </row>
    <row r="340">
      <c r="A340" s="30">
        <v>335.0</v>
      </c>
      <c r="B340" s="31" t="s">
        <v>1845</v>
      </c>
      <c r="C340" s="31" t="s">
        <v>1846</v>
      </c>
      <c r="D340" s="31" t="s">
        <v>260</v>
      </c>
      <c r="E340" s="31" t="s">
        <v>1786</v>
      </c>
      <c r="F340" s="32">
        <v>43770.0</v>
      </c>
      <c r="G340" s="32">
        <v>43831.0</v>
      </c>
      <c r="H340" s="31" t="s">
        <v>262</v>
      </c>
      <c r="I340" s="31" t="s">
        <v>263</v>
      </c>
      <c r="J340" s="31" t="s">
        <v>356</v>
      </c>
      <c r="K340" s="31" t="s">
        <v>1787</v>
      </c>
      <c r="L340" s="31" t="s">
        <v>328</v>
      </c>
      <c r="M340" s="31" t="s">
        <v>1847</v>
      </c>
      <c r="N340" s="31" t="s">
        <v>267</v>
      </c>
      <c r="O340" s="34"/>
      <c r="P340" s="31">
        <v>5.0</v>
      </c>
      <c r="Q340" s="31" t="s">
        <v>307</v>
      </c>
      <c r="R340" s="32">
        <v>35677.0</v>
      </c>
      <c r="S340" s="31" t="s">
        <v>1740</v>
      </c>
      <c r="T340" s="31" t="s">
        <v>1690</v>
      </c>
      <c r="U340" s="31" t="s">
        <v>271</v>
      </c>
      <c r="V340" s="31" t="s">
        <v>1786</v>
      </c>
      <c r="W340" s="34"/>
    </row>
    <row r="341">
      <c r="A341" s="30">
        <v>336.0</v>
      </c>
      <c r="B341" s="31" t="s">
        <v>1848</v>
      </c>
      <c r="C341" s="31" t="s">
        <v>1849</v>
      </c>
      <c r="D341" s="31" t="s">
        <v>648</v>
      </c>
      <c r="E341" s="31" t="s">
        <v>153</v>
      </c>
      <c r="F341" s="32">
        <v>44816.0</v>
      </c>
      <c r="G341" s="35">
        <v>44877.0</v>
      </c>
      <c r="H341" s="31" t="s">
        <v>262</v>
      </c>
      <c r="I341" s="31" t="s">
        <v>93</v>
      </c>
      <c r="J341" s="31" t="s">
        <v>153</v>
      </c>
      <c r="K341" s="31" t="s">
        <v>1850</v>
      </c>
      <c r="L341" s="31" t="s">
        <v>959</v>
      </c>
      <c r="M341" s="31" t="s">
        <v>1851</v>
      </c>
      <c r="N341" s="31" t="s">
        <v>267</v>
      </c>
      <c r="O341" s="34"/>
      <c r="P341" s="31">
        <v>2.0</v>
      </c>
      <c r="Q341" s="31" t="s">
        <v>307</v>
      </c>
      <c r="R341" s="32">
        <v>36232.0</v>
      </c>
      <c r="S341" s="31" t="s">
        <v>1809</v>
      </c>
      <c r="T341" s="31" t="s">
        <v>1711</v>
      </c>
      <c r="U341" s="31" t="s">
        <v>271</v>
      </c>
      <c r="V341" s="34"/>
      <c r="W341" s="34"/>
    </row>
    <row r="342">
      <c r="A342" s="30">
        <v>337.0</v>
      </c>
      <c r="B342" s="31" t="s">
        <v>1852</v>
      </c>
      <c r="C342" s="31" t="s">
        <v>1853</v>
      </c>
      <c r="D342" s="31" t="s">
        <v>260</v>
      </c>
      <c r="E342" s="31" t="s">
        <v>1854</v>
      </c>
      <c r="F342" s="32">
        <v>44677.0</v>
      </c>
      <c r="G342" s="32">
        <v>44738.0</v>
      </c>
      <c r="H342" s="31" t="s">
        <v>262</v>
      </c>
      <c r="I342" s="31" t="s">
        <v>263</v>
      </c>
      <c r="J342" s="31" t="s">
        <v>123</v>
      </c>
      <c r="K342" s="31" t="s">
        <v>1855</v>
      </c>
      <c r="L342" s="31" t="s">
        <v>431</v>
      </c>
      <c r="M342" s="31" t="s">
        <v>1856</v>
      </c>
      <c r="N342" s="31" t="s">
        <v>267</v>
      </c>
      <c r="O342" s="34"/>
      <c r="P342" s="31">
        <v>3.0</v>
      </c>
      <c r="Q342" s="31" t="s">
        <v>307</v>
      </c>
      <c r="R342" s="35">
        <v>36858.0</v>
      </c>
      <c r="S342" s="31" t="s">
        <v>1116</v>
      </c>
      <c r="T342" s="31" t="s">
        <v>1711</v>
      </c>
      <c r="U342" s="31" t="s">
        <v>271</v>
      </c>
      <c r="V342" s="31" t="s">
        <v>1854</v>
      </c>
      <c r="W342" s="34"/>
    </row>
    <row r="343">
      <c r="A343" s="30">
        <v>338.0</v>
      </c>
      <c r="B343" s="31" t="s">
        <v>1857</v>
      </c>
      <c r="C343" s="31" t="s">
        <v>1858</v>
      </c>
      <c r="D343" s="31" t="s">
        <v>648</v>
      </c>
      <c r="E343" s="31" t="s">
        <v>153</v>
      </c>
      <c r="F343" s="32">
        <v>44571.0</v>
      </c>
      <c r="G343" s="32">
        <v>44630.0</v>
      </c>
      <c r="H343" s="31" t="s">
        <v>262</v>
      </c>
      <c r="I343" s="31" t="s">
        <v>93</v>
      </c>
      <c r="J343" s="31" t="s">
        <v>153</v>
      </c>
      <c r="K343" s="31" t="s">
        <v>1850</v>
      </c>
      <c r="L343" s="31" t="s">
        <v>959</v>
      </c>
      <c r="M343" s="31" t="s">
        <v>1859</v>
      </c>
      <c r="N343" s="31" t="s">
        <v>267</v>
      </c>
      <c r="O343" s="34"/>
      <c r="P343" s="31">
        <v>3.0</v>
      </c>
      <c r="Q343" s="31" t="s">
        <v>307</v>
      </c>
      <c r="R343" s="35">
        <v>36817.0</v>
      </c>
      <c r="S343" s="31" t="s">
        <v>1041</v>
      </c>
      <c r="T343" s="31" t="s">
        <v>1783</v>
      </c>
      <c r="U343" s="31" t="s">
        <v>271</v>
      </c>
      <c r="V343" s="34"/>
      <c r="W343" s="34"/>
    </row>
    <row r="344">
      <c r="A344" s="30">
        <v>339.0</v>
      </c>
      <c r="B344" s="31" t="s">
        <v>1860</v>
      </c>
      <c r="C344" s="31" t="s">
        <v>1861</v>
      </c>
      <c r="D344" s="31" t="s">
        <v>260</v>
      </c>
      <c r="E344" s="31" t="s">
        <v>1862</v>
      </c>
      <c r="F344" s="32">
        <v>43973.0</v>
      </c>
      <c r="G344" s="32">
        <v>44034.0</v>
      </c>
      <c r="H344" s="31" t="s">
        <v>262</v>
      </c>
      <c r="I344" s="31" t="s">
        <v>263</v>
      </c>
      <c r="J344" s="31" t="s">
        <v>123</v>
      </c>
      <c r="K344" s="31" t="s">
        <v>1863</v>
      </c>
      <c r="L344" s="31" t="s">
        <v>431</v>
      </c>
      <c r="M344" s="31" t="s">
        <v>1864</v>
      </c>
      <c r="N344" s="31" t="s">
        <v>467</v>
      </c>
      <c r="O344" s="34"/>
      <c r="P344" s="31">
        <v>3.0</v>
      </c>
      <c r="Q344" s="31" t="s">
        <v>307</v>
      </c>
      <c r="R344" s="32">
        <v>34336.0</v>
      </c>
      <c r="S344" s="31" t="s">
        <v>526</v>
      </c>
      <c r="T344" s="31" t="s">
        <v>1865</v>
      </c>
      <c r="U344" s="31" t="s">
        <v>271</v>
      </c>
      <c r="V344" s="31" t="s">
        <v>1862</v>
      </c>
      <c r="W344" s="34"/>
    </row>
    <row r="345">
      <c r="A345" s="30">
        <v>340.0</v>
      </c>
      <c r="B345" s="31" t="s">
        <v>1866</v>
      </c>
      <c r="C345" s="31" t="s">
        <v>1867</v>
      </c>
      <c r="D345" s="31" t="s">
        <v>648</v>
      </c>
      <c r="E345" s="31" t="s">
        <v>153</v>
      </c>
      <c r="F345" s="35">
        <v>44158.0</v>
      </c>
      <c r="G345" s="32">
        <v>44219.0</v>
      </c>
      <c r="H345" s="31" t="s">
        <v>262</v>
      </c>
      <c r="I345" s="31" t="s">
        <v>93</v>
      </c>
      <c r="J345" s="31" t="s">
        <v>153</v>
      </c>
      <c r="K345" s="31" t="s">
        <v>1850</v>
      </c>
      <c r="L345" s="31" t="s">
        <v>959</v>
      </c>
      <c r="M345" s="31" t="s">
        <v>1868</v>
      </c>
      <c r="N345" s="31" t="s">
        <v>467</v>
      </c>
      <c r="O345" s="34"/>
      <c r="P345" s="31">
        <v>5.0</v>
      </c>
      <c r="Q345" s="31" t="s">
        <v>307</v>
      </c>
      <c r="R345" s="35">
        <v>35393.0</v>
      </c>
      <c r="S345" s="31" t="s">
        <v>531</v>
      </c>
      <c r="T345" s="31" t="s">
        <v>1869</v>
      </c>
      <c r="U345" s="31" t="s">
        <v>271</v>
      </c>
      <c r="V345" s="34"/>
      <c r="W345" s="34"/>
    </row>
    <row r="346">
      <c r="A346" s="30">
        <v>341.0</v>
      </c>
      <c r="B346" s="31" t="s">
        <v>1870</v>
      </c>
      <c r="C346" s="31" t="s">
        <v>1871</v>
      </c>
      <c r="D346" s="31" t="s">
        <v>260</v>
      </c>
      <c r="E346" s="31" t="s">
        <v>1854</v>
      </c>
      <c r="F346" s="32">
        <v>44228.0</v>
      </c>
      <c r="G346" s="32">
        <v>44287.0</v>
      </c>
      <c r="H346" s="31" t="s">
        <v>262</v>
      </c>
      <c r="I346" s="31" t="s">
        <v>263</v>
      </c>
      <c r="J346" s="31" t="s">
        <v>123</v>
      </c>
      <c r="K346" s="31" t="s">
        <v>1855</v>
      </c>
      <c r="L346" s="31" t="s">
        <v>431</v>
      </c>
      <c r="M346" s="31" t="s">
        <v>1872</v>
      </c>
      <c r="N346" s="31" t="s">
        <v>467</v>
      </c>
      <c r="O346" s="34"/>
      <c r="P346" s="31">
        <v>4.0</v>
      </c>
      <c r="Q346" s="31" t="s">
        <v>307</v>
      </c>
      <c r="R346" s="32">
        <v>35639.0</v>
      </c>
      <c r="S346" s="31" t="s">
        <v>320</v>
      </c>
      <c r="T346" s="31" t="s">
        <v>1777</v>
      </c>
      <c r="U346" s="31" t="s">
        <v>271</v>
      </c>
      <c r="V346" s="31" t="s">
        <v>1854</v>
      </c>
      <c r="W346" s="34"/>
    </row>
    <row r="347">
      <c r="A347" s="30">
        <v>342.0</v>
      </c>
      <c r="B347" s="31" t="s">
        <v>1873</v>
      </c>
      <c r="C347" s="31" t="s">
        <v>1874</v>
      </c>
      <c r="D347" s="31" t="s">
        <v>260</v>
      </c>
      <c r="E347" s="31" t="s">
        <v>1862</v>
      </c>
      <c r="F347" s="32">
        <v>44103.0</v>
      </c>
      <c r="G347" s="35">
        <v>44164.0</v>
      </c>
      <c r="H347" s="31" t="s">
        <v>262</v>
      </c>
      <c r="I347" s="31" t="s">
        <v>263</v>
      </c>
      <c r="J347" s="31" t="s">
        <v>123</v>
      </c>
      <c r="K347" s="31" t="s">
        <v>1863</v>
      </c>
      <c r="L347" s="31" t="s">
        <v>431</v>
      </c>
      <c r="M347" s="31" t="s">
        <v>1875</v>
      </c>
      <c r="N347" s="31" t="s">
        <v>267</v>
      </c>
      <c r="O347" s="34"/>
      <c r="P347" s="31">
        <v>6.0</v>
      </c>
      <c r="Q347" s="31" t="s">
        <v>307</v>
      </c>
      <c r="R347" s="35">
        <v>36080.0</v>
      </c>
      <c r="S347" s="31" t="s">
        <v>1876</v>
      </c>
      <c r="T347" s="31" t="s">
        <v>1877</v>
      </c>
      <c r="U347" s="31" t="s">
        <v>271</v>
      </c>
      <c r="V347" s="31" t="s">
        <v>1862</v>
      </c>
      <c r="W347" s="34"/>
    </row>
    <row r="348">
      <c r="A348" s="30">
        <v>343.0</v>
      </c>
      <c r="B348" s="31" t="s">
        <v>1878</v>
      </c>
      <c r="C348" s="31" t="s">
        <v>1879</v>
      </c>
      <c r="D348" s="31" t="s">
        <v>648</v>
      </c>
      <c r="E348" s="31" t="s">
        <v>153</v>
      </c>
      <c r="F348" s="35">
        <v>44188.0</v>
      </c>
      <c r="G348" s="32">
        <v>44250.0</v>
      </c>
      <c r="H348" s="31" t="s">
        <v>262</v>
      </c>
      <c r="I348" s="31" t="s">
        <v>93</v>
      </c>
      <c r="J348" s="31" t="s">
        <v>153</v>
      </c>
      <c r="K348" s="31" t="s">
        <v>1850</v>
      </c>
      <c r="L348" s="31" t="s">
        <v>959</v>
      </c>
      <c r="M348" s="31" t="s">
        <v>1880</v>
      </c>
      <c r="N348" s="31" t="s">
        <v>267</v>
      </c>
      <c r="O348" s="34"/>
      <c r="P348" s="31">
        <v>4.0</v>
      </c>
      <c r="Q348" s="31" t="s">
        <v>307</v>
      </c>
      <c r="R348" s="32">
        <v>34517.0</v>
      </c>
      <c r="S348" s="31" t="s">
        <v>1755</v>
      </c>
      <c r="T348" s="31" t="s">
        <v>1881</v>
      </c>
      <c r="U348" s="31" t="s">
        <v>271</v>
      </c>
      <c r="V348" s="34"/>
      <c r="W348" s="34"/>
    </row>
    <row r="349">
      <c r="A349" s="30">
        <v>344.0</v>
      </c>
      <c r="B349" s="31" t="s">
        <v>1882</v>
      </c>
      <c r="C349" s="31" t="s">
        <v>1883</v>
      </c>
      <c r="D349" s="31" t="s">
        <v>260</v>
      </c>
      <c r="E349" s="31" t="s">
        <v>1854</v>
      </c>
      <c r="F349" s="35">
        <v>43069.0</v>
      </c>
      <c r="G349" s="32">
        <v>43130.0</v>
      </c>
      <c r="H349" s="31" t="s">
        <v>262</v>
      </c>
      <c r="I349" s="31" t="s">
        <v>263</v>
      </c>
      <c r="J349" s="31" t="s">
        <v>123</v>
      </c>
      <c r="K349" s="31" t="s">
        <v>1855</v>
      </c>
      <c r="L349" s="31" t="s">
        <v>431</v>
      </c>
      <c r="M349" s="31" t="s">
        <v>1884</v>
      </c>
      <c r="N349" s="31" t="s">
        <v>267</v>
      </c>
      <c r="O349" s="34"/>
      <c r="P349" s="31">
        <v>2.0</v>
      </c>
      <c r="Q349" s="31" t="s">
        <v>307</v>
      </c>
      <c r="R349" s="32">
        <v>35065.0</v>
      </c>
      <c r="S349" s="31" t="s">
        <v>320</v>
      </c>
      <c r="T349" s="31" t="s">
        <v>1377</v>
      </c>
      <c r="U349" s="31" t="s">
        <v>271</v>
      </c>
      <c r="V349" s="31" t="s">
        <v>1854</v>
      </c>
      <c r="W349" s="34"/>
    </row>
    <row r="350">
      <c r="A350" s="30">
        <v>345.0</v>
      </c>
      <c r="B350" s="31" t="s">
        <v>1885</v>
      </c>
      <c r="C350" s="31" t="s">
        <v>1886</v>
      </c>
      <c r="D350" s="31" t="s">
        <v>260</v>
      </c>
      <c r="E350" s="31" t="s">
        <v>1786</v>
      </c>
      <c r="F350" s="32">
        <v>43435.0</v>
      </c>
      <c r="G350" s="32">
        <v>43497.0</v>
      </c>
      <c r="H350" s="31" t="s">
        <v>262</v>
      </c>
      <c r="I350" s="31" t="s">
        <v>263</v>
      </c>
      <c r="J350" s="31" t="s">
        <v>356</v>
      </c>
      <c r="K350" s="31" t="s">
        <v>1787</v>
      </c>
      <c r="L350" s="31" t="s">
        <v>328</v>
      </c>
      <c r="M350" s="31" t="s">
        <v>1887</v>
      </c>
      <c r="N350" s="31" t="s">
        <v>267</v>
      </c>
      <c r="O350" s="34"/>
      <c r="P350" s="31">
        <v>5.0</v>
      </c>
      <c r="Q350" s="31" t="s">
        <v>307</v>
      </c>
      <c r="R350" s="32">
        <v>34109.0</v>
      </c>
      <c r="S350" s="31" t="s">
        <v>320</v>
      </c>
      <c r="T350" s="31" t="s">
        <v>1888</v>
      </c>
      <c r="U350" s="31" t="s">
        <v>271</v>
      </c>
      <c r="V350" s="31" t="s">
        <v>1786</v>
      </c>
      <c r="W350" s="34"/>
    </row>
    <row r="351">
      <c r="A351" s="30">
        <v>346.0</v>
      </c>
      <c r="B351" s="31" t="s">
        <v>1889</v>
      </c>
      <c r="C351" s="31" t="s">
        <v>1890</v>
      </c>
      <c r="D351" s="31" t="s">
        <v>260</v>
      </c>
      <c r="E351" s="31" t="s">
        <v>1786</v>
      </c>
      <c r="F351" s="32">
        <v>43510.0</v>
      </c>
      <c r="G351" s="32">
        <v>43569.0</v>
      </c>
      <c r="H351" s="31" t="s">
        <v>262</v>
      </c>
      <c r="I351" s="31" t="s">
        <v>263</v>
      </c>
      <c r="J351" s="31" t="s">
        <v>356</v>
      </c>
      <c r="K351" s="31" t="s">
        <v>1787</v>
      </c>
      <c r="L351" s="31" t="s">
        <v>328</v>
      </c>
      <c r="M351" s="31" t="s">
        <v>1891</v>
      </c>
      <c r="N351" s="31" t="s">
        <v>267</v>
      </c>
      <c r="O351" s="34"/>
      <c r="P351" s="31">
        <v>5.0</v>
      </c>
      <c r="Q351" s="31" t="s">
        <v>307</v>
      </c>
      <c r="R351" s="32">
        <v>35337.0</v>
      </c>
      <c r="S351" s="31" t="s">
        <v>320</v>
      </c>
      <c r="T351" s="31" t="s">
        <v>1686</v>
      </c>
      <c r="U351" s="31" t="s">
        <v>271</v>
      </c>
      <c r="V351" s="31" t="s">
        <v>1786</v>
      </c>
      <c r="W351" s="34"/>
    </row>
    <row r="352">
      <c r="A352" s="30">
        <v>347.0</v>
      </c>
      <c r="B352" s="31" t="s">
        <v>1892</v>
      </c>
      <c r="C352" s="31" t="s">
        <v>1893</v>
      </c>
      <c r="D352" s="31" t="s">
        <v>260</v>
      </c>
      <c r="E352" s="31" t="s">
        <v>1862</v>
      </c>
      <c r="F352" s="32">
        <v>43941.0</v>
      </c>
      <c r="G352" s="32">
        <v>44002.0</v>
      </c>
      <c r="H352" s="31" t="s">
        <v>262</v>
      </c>
      <c r="I352" s="31" t="s">
        <v>263</v>
      </c>
      <c r="J352" s="31" t="s">
        <v>123</v>
      </c>
      <c r="K352" s="31" t="s">
        <v>1863</v>
      </c>
      <c r="L352" s="31" t="s">
        <v>431</v>
      </c>
      <c r="M352" s="31" t="s">
        <v>1894</v>
      </c>
      <c r="N352" s="31" t="s">
        <v>267</v>
      </c>
      <c r="O352" s="34"/>
      <c r="P352" s="31">
        <v>6.0</v>
      </c>
      <c r="Q352" s="31" t="s">
        <v>307</v>
      </c>
      <c r="R352" s="32">
        <v>35959.0</v>
      </c>
      <c r="S352" s="31" t="s">
        <v>526</v>
      </c>
      <c r="T352" s="31" t="s">
        <v>1895</v>
      </c>
      <c r="U352" s="31" t="s">
        <v>271</v>
      </c>
      <c r="V352" s="31" t="s">
        <v>1862</v>
      </c>
      <c r="W352" s="34"/>
    </row>
    <row r="353">
      <c r="A353" s="30">
        <v>348.0</v>
      </c>
      <c r="B353" s="31" t="s">
        <v>1896</v>
      </c>
      <c r="C353" s="31" t="s">
        <v>1897</v>
      </c>
      <c r="D353" s="31" t="s">
        <v>760</v>
      </c>
      <c r="E353" s="31" t="s">
        <v>153</v>
      </c>
      <c r="F353" s="32">
        <v>42471.0</v>
      </c>
      <c r="G353" s="32">
        <v>42532.0</v>
      </c>
      <c r="H353" s="31" t="s">
        <v>262</v>
      </c>
      <c r="I353" s="31" t="s">
        <v>93</v>
      </c>
      <c r="J353" s="31" t="s">
        <v>153</v>
      </c>
      <c r="K353" s="31" t="s">
        <v>1850</v>
      </c>
      <c r="L353" s="31" t="s">
        <v>1898</v>
      </c>
      <c r="M353" s="31" t="s">
        <v>1899</v>
      </c>
      <c r="N353" s="31" t="s">
        <v>467</v>
      </c>
      <c r="O353" s="31">
        <v>1.0</v>
      </c>
      <c r="P353" s="31">
        <v>5.0</v>
      </c>
      <c r="Q353" s="31" t="s">
        <v>307</v>
      </c>
      <c r="R353" s="32">
        <v>33634.0</v>
      </c>
      <c r="S353" s="31" t="s">
        <v>320</v>
      </c>
      <c r="T353" s="31" t="s">
        <v>1476</v>
      </c>
      <c r="U353" s="31" t="s">
        <v>271</v>
      </c>
      <c r="V353" s="34"/>
      <c r="W353" s="34"/>
    </row>
    <row r="354">
      <c r="A354" s="30">
        <v>349.0</v>
      </c>
      <c r="B354" s="31" t="s">
        <v>1900</v>
      </c>
      <c r="C354" s="31" t="s">
        <v>1901</v>
      </c>
      <c r="D354" s="31" t="s">
        <v>260</v>
      </c>
      <c r="E354" s="31" t="s">
        <v>1786</v>
      </c>
      <c r="F354" s="32">
        <v>43606.0</v>
      </c>
      <c r="G354" s="32">
        <v>43667.0</v>
      </c>
      <c r="H354" s="31" t="s">
        <v>262</v>
      </c>
      <c r="I354" s="31" t="s">
        <v>263</v>
      </c>
      <c r="J354" s="31" t="s">
        <v>356</v>
      </c>
      <c r="K354" s="31" t="s">
        <v>1787</v>
      </c>
      <c r="L354" s="31" t="s">
        <v>328</v>
      </c>
      <c r="M354" s="31" t="s">
        <v>1902</v>
      </c>
      <c r="N354" s="31" t="s">
        <v>267</v>
      </c>
      <c r="O354" s="34"/>
      <c r="P354" s="31">
        <v>10.0</v>
      </c>
      <c r="Q354" s="31" t="s">
        <v>307</v>
      </c>
      <c r="R354" s="35">
        <v>35398.0</v>
      </c>
      <c r="S354" s="31" t="s">
        <v>1740</v>
      </c>
      <c r="T354" s="31" t="s">
        <v>1666</v>
      </c>
      <c r="U354" s="31" t="s">
        <v>271</v>
      </c>
      <c r="V354" s="31" t="s">
        <v>1786</v>
      </c>
      <c r="W354" s="34"/>
    </row>
    <row r="355">
      <c r="A355" s="30">
        <v>350.0</v>
      </c>
      <c r="B355" s="31" t="s">
        <v>1903</v>
      </c>
      <c r="C355" s="31" t="s">
        <v>1904</v>
      </c>
      <c r="D355" s="31" t="s">
        <v>260</v>
      </c>
      <c r="E355" s="31" t="s">
        <v>1854</v>
      </c>
      <c r="F355" s="32">
        <v>43770.0</v>
      </c>
      <c r="G355" s="32">
        <v>43831.0</v>
      </c>
      <c r="H355" s="31" t="s">
        <v>262</v>
      </c>
      <c r="I355" s="31" t="s">
        <v>263</v>
      </c>
      <c r="J355" s="31" t="s">
        <v>123</v>
      </c>
      <c r="K355" s="31" t="s">
        <v>1855</v>
      </c>
      <c r="L355" s="31" t="s">
        <v>431</v>
      </c>
      <c r="M355" s="31" t="s">
        <v>1905</v>
      </c>
      <c r="N355" s="31" t="s">
        <v>267</v>
      </c>
      <c r="O355" s="34"/>
      <c r="P355" s="31">
        <v>3.0</v>
      </c>
      <c r="Q355" s="31" t="s">
        <v>307</v>
      </c>
      <c r="R355" s="32">
        <v>34558.0</v>
      </c>
      <c r="S355" s="31" t="s">
        <v>320</v>
      </c>
      <c r="T355" s="31" t="s">
        <v>1690</v>
      </c>
      <c r="U355" s="31" t="s">
        <v>271</v>
      </c>
      <c r="V355" s="31" t="s">
        <v>1854</v>
      </c>
      <c r="W355" s="34"/>
    </row>
    <row r="356">
      <c r="A356" s="30">
        <v>351.0</v>
      </c>
      <c r="B356" s="31" t="s">
        <v>1906</v>
      </c>
      <c r="C356" s="31" t="s">
        <v>1907</v>
      </c>
      <c r="D356" s="31" t="s">
        <v>260</v>
      </c>
      <c r="E356" s="31" t="s">
        <v>1854</v>
      </c>
      <c r="F356" s="35">
        <v>42290.0</v>
      </c>
      <c r="G356" s="35">
        <v>42350.0</v>
      </c>
      <c r="H356" s="31" t="s">
        <v>262</v>
      </c>
      <c r="I356" s="31" t="s">
        <v>263</v>
      </c>
      <c r="J356" s="31" t="s">
        <v>123</v>
      </c>
      <c r="K356" s="31" t="s">
        <v>1855</v>
      </c>
      <c r="L356" s="31" t="s">
        <v>431</v>
      </c>
      <c r="M356" s="31" t="s">
        <v>1908</v>
      </c>
      <c r="N356" s="31" t="s">
        <v>467</v>
      </c>
      <c r="O356" s="34"/>
      <c r="P356" s="31">
        <v>6.0</v>
      </c>
      <c r="Q356" s="31" t="s">
        <v>307</v>
      </c>
      <c r="R356" s="32">
        <v>33500.0</v>
      </c>
      <c r="S356" s="31" t="s">
        <v>320</v>
      </c>
      <c r="T356" s="31" t="s">
        <v>1909</v>
      </c>
      <c r="U356" s="31" t="s">
        <v>271</v>
      </c>
      <c r="V356" s="31" t="s">
        <v>1854</v>
      </c>
      <c r="W356" s="34"/>
    </row>
    <row r="357">
      <c r="A357" s="30">
        <v>352.0</v>
      </c>
      <c r="B357" s="31" t="s">
        <v>1910</v>
      </c>
      <c r="C357" s="31" t="s">
        <v>1911</v>
      </c>
      <c r="D357" s="31" t="s">
        <v>364</v>
      </c>
      <c r="E357" s="31" t="s">
        <v>365</v>
      </c>
      <c r="F357" s="35">
        <v>44851.0</v>
      </c>
      <c r="G357" s="35">
        <v>44912.0</v>
      </c>
      <c r="H357" s="31" t="s">
        <v>262</v>
      </c>
      <c r="I357" s="31" t="s">
        <v>93</v>
      </c>
      <c r="J357" s="31" t="s">
        <v>1912</v>
      </c>
      <c r="K357" s="31" t="s">
        <v>1913</v>
      </c>
      <c r="L357" s="31" t="s">
        <v>368</v>
      </c>
      <c r="M357" s="31" t="s">
        <v>1914</v>
      </c>
      <c r="N357" s="31" t="s">
        <v>267</v>
      </c>
      <c r="O357" s="34"/>
      <c r="P357" s="31">
        <v>2.0</v>
      </c>
      <c r="Q357" s="31" t="s">
        <v>307</v>
      </c>
      <c r="R357" s="32">
        <v>37169.0</v>
      </c>
      <c r="S357" s="31" t="s">
        <v>320</v>
      </c>
      <c r="T357" s="31" t="s">
        <v>1915</v>
      </c>
      <c r="U357" s="31" t="s">
        <v>271</v>
      </c>
      <c r="V357" s="31" t="s">
        <v>365</v>
      </c>
      <c r="W357" s="34"/>
    </row>
    <row r="358">
      <c r="A358" s="30">
        <v>353.0</v>
      </c>
      <c r="B358" s="31" t="s">
        <v>1916</v>
      </c>
      <c r="C358" s="31" t="s">
        <v>1917</v>
      </c>
      <c r="D358" s="31" t="s">
        <v>260</v>
      </c>
      <c r="E358" s="31" t="s">
        <v>914</v>
      </c>
      <c r="F358" s="32">
        <v>44832.0</v>
      </c>
      <c r="G358" s="35">
        <v>44893.0</v>
      </c>
      <c r="H358" s="31" t="s">
        <v>262</v>
      </c>
      <c r="I358" s="31" t="s">
        <v>93</v>
      </c>
      <c r="J358" s="31" t="s">
        <v>1918</v>
      </c>
      <c r="K358" s="31" t="s">
        <v>1919</v>
      </c>
      <c r="L358" s="31" t="s">
        <v>905</v>
      </c>
      <c r="M358" s="31" t="s">
        <v>1920</v>
      </c>
      <c r="N358" s="31" t="s">
        <v>467</v>
      </c>
      <c r="O358" s="34"/>
      <c r="P358" s="31">
        <v>2.0</v>
      </c>
      <c r="Q358" s="31" t="s">
        <v>307</v>
      </c>
      <c r="R358" s="32">
        <v>37380.0</v>
      </c>
      <c r="S358" s="31" t="s">
        <v>526</v>
      </c>
      <c r="T358" s="31" t="s">
        <v>1921</v>
      </c>
      <c r="U358" s="31" t="s">
        <v>271</v>
      </c>
      <c r="V358" s="31" t="s">
        <v>914</v>
      </c>
      <c r="W358" s="34"/>
    </row>
    <row r="359">
      <c r="A359" s="30">
        <v>354.0</v>
      </c>
      <c r="B359" s="31" t="s">
        <v>1922</v>
      </c>
      <c r="C359" s="31" t="s">
        <v>1923</v>
      </c>
      <c r="D359" s="31" t="s">
        <v>648</v>
      </c>
      <c r="E359" s="31" t="s">
        <v>153</v>
      </c>
      <c r="F359" s="32">
        <v>44753.0</v>
      </c>
      <c r="G359" s="32">
        <v>44815.0</v>
      </c>
      <c r="H359" s="31" t="s">
        <v>262</v>
      </c>
      <c r="I359" s="31" t="s">
        <v>93</v>
      </c>
      <c r="J359" s="31" t="s">
        <v>153</v>
      </c>
      <c r="K359" s="31" t="s">
        <v>1850</v>
      </c>
      <c r="L359" s="31" t="s">
        <v>959</v>
      </c>
      <c r="M359" s="31" t="s">
        <v>1924</v>
      </c>
      <c r="N359" s="31" t="s">
        <v>467</v>
      </c>
      <c r="O359" s="34"/>
      <c r="P359" s="31">
        <v>2.0</v>
      </c>
      <c r="Q359" s="31" t="s">
        <v>307</v>
      </c>
      <c r="R359" s="32">
        <v>36760.0</v>
      </c>
      <c r="S359" s="31" t="s">
        <v>681</v>
      </c>
      <c r="T359" s="31" t="s">
        <v>1789</v>
      </c>
      <c r="U359" s="31" t="s">
        <v>271</v>
      </c>
      <c r="V359" s="34"/>
      <c r="W359" s="34"/>
    </row>
    <row r="360">
      <c r="A360" s="30">
        <v>355.0</v>
      </c>
      <c r="B360" s="31" t="s">
        <v>1925</v>
      </c>
      <c r="C360" s="31" t="s">
        <v>1926</v>
      </c>
      <c r="D360" s="31" t="s">
        <v>260</v>
      </c>
      <c r="E360" s="31" t="s">
        <v>914</v>
      </c>
      <c r="F360" s="32">
        <v>44742.0</v>
      </c>
      <c r="G360" s="32">
        <v>44803.0</v>
      </c>
      <c r="H360" s="31" t="s">
        <v>262</v>
      </c>
      <c r="I360" s="31" t="s">
        <v>93</v>
      </c>
      <c r="J360" s="31" t="s">
        <v>1918</v>
      </c>
      <c r="K360" s="31" t="s">
        <v>1919</v>
      </c>
      <c r="L360" s="31" t="s">
        <v>905</v>
      </c>
      <c r="M360" s="31" t="s">
        <v>1927</v>
      </c>
      <c r="N360" s="31" t="s">
        <v>267</v>
      </c>
      <c r="O360" s="34"/>
      <c r="P360" s="31">
        <v>1.0</v>
      </c>
      <c r="Q360" s="31" t="s">
        <v>307</v>
      </c>
      <c r="R360" s="32">
        <v>36557.0</v>
      </c>
      <c r="S360" s="31" t="s">
        <v>320</v>
      </c>
      <c r="T360" s="31" t="s">
        <v>1657</v>
      </c>
      <c r="U360" s="31" t="s">
        <v>271</v>
      </c>
      <c r="V360" s="31" t="s">
        <v>914</v>
      </c>
      <c r="W360" s="34"/>
    </row>
    <row r="361">
      <c r="A361" s="30">
        <v>356.0</v>
      </c>
      <c r="B361" s="31" t="s">
        <v>1928</v>
      </c>
      <c r="C361" s="31" t="s">
        <v>1929</v>
      </c>
      <c r="D361" s="31" t="s">
        <v>648</v>
      </c>
      <c r="E361" s="31" t="s">
        <v>153</v>
      </c>
      <c r="F361" s="35">
        <v>44116.0</v>
      </c>
      <c r="G361" s="35">
        <v>44177.0</v>
      </c>
      <c r="H361" s="31" t="s">
        <v>262</v>
      </c>
      <c r="I361" s="31" t="s">
        <v>93</v>
      </c>
      <c r="J361" s="31" t="s">
        <v>153</v>
      </c>
      <c r="K361" s="31" t="s">
        <v>1850</v>
      </c>
      <c r="L361" s="31" t="s">
        <v>959</v>
      </c>
      <c r="M361" s="31" t="s">
        <v>1930</v>
      </c>
      <c r="N361" s="31" t="s">
        <v>267</v>
      </c>
      <c r="O361" s="34"/>
      <c r="P361" s="31">
        <v>4.0</v>
      </c>
      <c r="Q361" s="31" t="s">
        <v>307</v>
      </c>
      <c r="R361" s="32">
        <v>36105.0</v>
      </c>
      <c r="S361" s="31" t="s">
        <v>320</v>
      </c>
      <c r="T361" s="31" t="s">
        <v>1810</v>
      </c>
      <c r="U361" s="31" t="s">
        <v>271</v>
      </c>
      <c r="V361" s="34"/>
      <c r="W361" s="34"/>
    </row>
    <row r="362">
      <c r="A362" s="30">
        <v>357.0</v>
      </c>
      <c r="B362" s="31" t="s">
        <v>1931</v>
      </c>
      <c r="C362" s="31" t="s">
        <v>1932</v>
      </c>
      <c r="D362" s="31" t="s">
        <v>978</v>
      </c>
      <c r="E362" s="31" t="s">
        <v>365</v>
      </c>
      <c r="F362" s="32">
        <v>43290.0</v>
      </c>
      <c r="G362" s="32">
        <v>43352.0</v>
      </c>
      <c r="H362" s="31" t="s">
        <v>262</v>
      </c>
      <c r="I362" s="31" t="s">
        <v>93</v>
      </c>
      <c r="J362" s="31" t="s">
        <v>1912</v>
      </c>
      <c r="K362" s="31" t="s">
        <v>1913</v>
      </c>
      <c r="L362" s="31" t="s">
        <v>979</v>
      </c>
      <c r="M362" s="31" t="s">
        <v>1933</v>
      </c>
      <c r="N362" s="31" t="s">
        <v>467</v>
      </c>
      <c r="O362" s="31">
        <v>2.0</v>
      </c>
      <c r="P362" s="31">
        <v>3.0</v>
      </c>
      <c r="Q362" s="31" t="s">
        <v>307</v>
      </c>
      <c r="R362" s="32">
        <v>33382.0</v>
      </c>
      <c r="S362" s="31" t="s">
        <v>320</v>
      </c>
      <c r="T362" s="31" t="s">
        <v>1934</v>
      </c>
      <c r="U362" s="31" t="s">
        <v>271</v>
      </c>
      <c r="V362" s="31" t="s">
        <v>365</v>
      </c>
      <c r="W362" s="34"/>
    </row>
    <row r="363">
      <c r="A363" s="30">
        <v>358.0</v>
      </c>
      <c r="B363" s="31" t="s">
        <v>1935</v>
      </c>
      <c r="C363" s="31" t="s">
        <v>1936</v>
      </c>
      <c r="D363" s="31" t="s">
        <v>260</v>
      </c>
      <c r="E363" s="31" t="s">
        <v>889</v>
      </c>
      <c r="F363" s="32">
        <v>43894.0</v>
      </c>
      <c r="G363" s="32">
        <v>43955.0</v>
      </c>
      <c r="H363" s="31" t="s">
        <v>262</v>
      </c>
      <c r="I363" s="31" t="s">
        <v>93</v>
      </c>
      <c r="J363" s="31" t="s">
        <v>889</v>
      </c>
      <c r="K363" s="31" t="s">
        <v>1937</v>
      </c>
      <c r="L363" s="31" t="s">
        <v>891</v>
      </c>
      <c r="M363" s="31" t="s">
        <v>1938</v>
      </c>
      <c r="N363" s="31" t="s">
        <v>267</v>
      </c>
      <c r="O363" s="34"/>
      <c r="P363" s="31">
        <v>2.0</v>
      </c>
      <c r="Q363" s="31" t="s">
        <v>307</v>
      </c>
      <c r="R363" s="32">
        <v>35493.0</v>
      </c>
      <c r="S363" s="31" t="s">
        <v>1369</v>
      </c>
      <c r="T363" s="31" t="s">
        <v>1690</v>
      </c>
      <c r="U363" s="31" t="s">
        <v>271</v>
      </c>
      <c r="V363" s="34"/>
      <c r="W363" s="34"/>
    </row>
    <row r="364">
      <c r="A364" s="30">
        <v>359.0</v>
      </c>
      <c r="B364" s="31" t="s">
        <v>1939</v>
      </c>
      <c r="C364" s="31" t="s">
        <v>1940</v>
      </c>
      <c r="D364" s="31" t="s">
        <v>364</v>
      </c>
      <c r="E364" s="31" t="s">
        <v>365</v>
      </c>
      <c r="F364" s="32">
        <v>43708.0</v>
      </c>
      <c r="G364" s="35">
        <v>43769.0</v>
      </c>
      <c r="H364" s="31" t="s">
        <v>262</v>
      </c>
      <c r="I364" s="31" t="s">
        <v>93</v>
      </c>
      <c r="J364" s="31" t="s">
        <v>1912</v>
      </c>
      <c r="K364" s="31" t="s">
        <v>1913</v>
      </c>
      <c r="L364" s="31" t="s">
        <v>368</v>
      </c>
      <c r="M364" s="31" t="s">
        <v>1941</v>
      </c>
      <c r="N364" s="31" t="s">
        <v>267</v>
      </c>
      <c r="O364" s="34"/>
      <c r="P364" s="31">
        <v>1.0</v>
      </c>
      <c r="Q364" s="31" t="s">
        <v>307</v>
      </c>
      <c r="R364" s="32">
        <v>35799.0</v>
      </c>
      <c r="S364" s="31" t="s">
        <v>320</v>
      </c>
      <c r="T364" s="31" t="s">
        <v>1686</v>
      </c>
      <c r="U364" s="31" t="s">
        <v>271</v>
      </c>
      <c r="V364" s="31" t="s">
        <v>365</v>
      </c>
      <c r="W364" s="34"/>
    </row>
    <row r="365">
      <c r="A365" s="30">
        <v>360.0</v>
      </c>
      <c r="B365" s="31" t="s">
        <v>1942</v>
      </c>
      <c r="C365" s="31" t="s">
        <v>1943</v>
      </c>
      <c r="D365" s="31" t="s">
        <v>364</v>
      </c>
      <c r="E365" s="31" t="s">
        <v>365</v>
      </c>
      <c r="F365" s="32">
        <v>42632.0</v>
      </c>
      <c r="G365" s="35">
        <v>42693.0</v>
      </c>
      <c r="H365" s="31" t="s">
        <v>262</v>
      </c>
      <c r="I365" s="31" t="s">
        <v>93</v>
      </c>
      <c r="J365" s="31" t="s">
        <v>1912</v>
      </c>
      <c r="K365" s="31" t="s">
        <v>1913</v>
      </c>
      <c r="L365" s="31" t="s">
        <v>368</v>
      </c>
      <c r="M365" s="31" t="s">
        <v>1944</v>
      </c>
      <c r="N365" s="31" t="s">
        <v>267</v>
      </c>
      <c r="O365" s="34"/>
      <c r="P365" s="31">
        <v>7.0</v>
      </c>
      <c r="Q365" s="31" t="s">
        <v>307</v>
      </c>
      <c r="R365" s="32">
        <v>30541.0</v>
      </c>
      <c r="S365" s="31" t="s">
        <v>1945</v>
      </c>
      <c r="T365" s="31" t="s">
        <v>1881</v>
      </c>
      <c r="U365" s="31" t="s">
        <v>271</v>
      </c>
      <c r="V365" s="31" t="s">
        <v>365</v>
      </c>
      <c r="W365" s="34"/>
    </row>
    <row r="366">
      <c r="A366" s="30">
        <v>361.0</v>
      </c>
      <c r="B366" s="31" t="s">
        <v>1946</v>
      </c>
      <c r="C366" s="31" t="s">
        <v>1947</v>
      </c>
      <c r="D366" s="31" t="s">
        <v>364</v>
      </c>
      <c r="E366" s="31" t="s">
        <v>365</v>
      </c>
      <c r="F366" s="32">
        <v>42914.0</v>
      </c>
      <c r="G366" s="32">
        <v>42975.0</v>
      </c>
      <c r="H366" s="31" t="s">
        <v>262</v>
      </c>
      <c r="I366" s="31" t="s">
        <v>93</v>
      </c>
      <c r="J366" s="31" t="s">
        <v>1912</v>
      </c>
      <c r="K366" s="31" t="s">
        <v>1913</v>
      </c>
      <c r="L366" s="31" t="s">
        <v>368</v>
      </c>
      <c r="M366" s="31" t="s">
        <v>1948</v>
      </c>
      <c r="N366" s="31" t="s">
        <v>267</v>
      </c>
      <c r="O366" s="34"/>
      <c r="P366" s="31">
        <v>7.0</v>
      </c>
      <c r="Q366" s="31" t="s">
        <v>307</v>
      </c>
      <c r="R366" s="32">
        <v>34454.0</v>
      </c>
      <c r="S366" s="31" t="s">
        <v>681</v>
      </c>
      <c r="T366" s="31" t="s">
        <v>1662</v>
      </c>
      <c r="U366" s="31" t="s">
        <v>271</v>
      </c>
      <c r="V366" s="31" t="s">
        <v>365</v>
      </c>
      <c r="W366" s="34"/>
    </row>
    <row r="367">
      <c r="A367" s="30">
        <v>362.0</v>
      </c>
      <c r="B367" s="31" t="s">
        <v>1949</v>
      </c>
      <c r="C367" s="31" t="s">
        <v>1950</v>
      </c>
      <c r="D367" s="31" t="s">
        <v>260</v>
      </c>
      <c r="E367" s="31" t="s">
        <v>889</v>
      </c>
      <c r="F367" s="32">
        <v>43894.0</v>
      </c>
      <c r="G367" s="32">
        <v>43955.0</v>
      </c>
      <c r="H367" s="31" t="s">
        <v>262</v>
      </c>
      <c r="I367" s="31" t="s">
        <v>93</v>
      </c>
      <c r="J367" s="31" t="s">
        <v>889</v>
      </c>
      <c r="K367" s="31" t="s">
        <v>1937</v>
      </c>
      <c r="L367" s="31" t="s">
        <v>891</v>
      </c>
      <c r="M367" s="31" t="s">
        <v>1951</v>
      </c>
      <c r="N367" s="31" t="s">
        <v>267</v>
      </c>
      <c r="O367" s="34"/>
      <c r="P367" s="31">
        <v>1.0</v>
      </c>
      <c r="Q367" s="31" t="s">
        <v>307</v>
      </c>
      <c r="R367" s="32">
        <v>35828.0</v>
      </c>
      <c r="S367" s="31" t="s">
        <v>1369</v>
      </c>
      <c r="T367" s="31" t="s">
        <v>1698</v>
      </c>
      <c r="U367" s="31" t="s">
        <v>271</v>
      </c>
      <c r="V367" s="34"/>
      <c r="W367" s="34"/>
    </row>
    <row r="368">
      <c r="A368" s="30">
        <v>363.0</v>
      </c>
      <c r="B368" s="31" t="s">
        <v>1952</v>
      </c>
      <c r="C368" s="31" t="s">
        <v>1953</v>
      </c>
      <c r="D368" s="31" t="s">
        <v>260</v>
      </c>
      <c r="E368" s="31" t="s">
        <v>889</v>
      </c>
      <c r="F368" s="32">
        <v>43907.0</v>
      </c>
      <c r="G368" s="32">
        <v>43968.0</v>
      </c>
      <c r="H368" s="31" t="s">
        <v>262</v>
      </c>
      <c r="I368" s="31" t="s">
        <v>93</v>
      </c>
      <c r="J368" s="31" t="s">
        <v>889</v>
      </c>
      <c r="K368" s="31" t="s">
        <v>1937</v>
      </c>
      <c r="L368" s="31" t="s">
        <v>891</v>
      </c>
      <c r="M368" s="31" t="s">
        <v>1954</v>
      </c>
      <c r="N368" s="31" t="s">
        <v>267</v>
      </c>
      <c r="O368" s="34"/>
      <c r="P368" s="31">
        <v>3.0</v>
      </c>
      <c r="Q368" s="31" t="s">
        <v>307</v>
      </c>
      <c r="R368" s="32">
        <v>35945.0</v>
      </c>
      <c r="S368" s="31" t="s">
        <v>1955</v>
      </c>
      <c r="T368" s="31" t="s">
        <v>1686</v>
      </c>
      <c r="U368" s="31" t="s">
        <v>271</v>
      </c>
      <c r="V368" s="34"/>
      <c r="W368" s="34"/>
    </row>
    <row r="369">
      <c r="A369" s="30">
        <v>364.0</v>
      </c>
      <c r="B369" s="31" t="s">
        <v>1956</v>
      </c>
      <c r="C369" s="31" t="s">
        <v>1957</v>
      </c>
      <c r="D369" s="31" t="s">
        <v>364</v>
      </c>
      <c r="E369" s="31" t="s">
        <v>365</v>
      </c>
      <c r="F369" s="32">
        <v>44285.0</v>
      </c>
      <c r="G369" s="32">
        <v>44346.0</v>
      </c>
      <c r="H369" s="31" t="s">
        <v>262</v>
      </c>
      <c r="I369" s="31" t="s">
        <v>93</v>
      </c>
      <c r="J369" s="31" t="s">
        <v>1912</v>
      </c>
      <c r="K369" s="31" t="s">
        <v>1913</v>
      </c>
      <c r="L369" s="31" t="s">
        <v>368</v>
      </c>
      <c r="M369" s="31" t="s">
        <v>1958</v>
      </c>
      <c r="N369" s="31" t="s">
        <v>267</v>
      </c>
      <c r="O369" s="34"/>
      <c r="P369" s="31">
        <v>3.0</v>
      </c>
      <c r="Q369" s="31" t="s">
        <v>307</v>
      </c>
      <c r="R369" s="35">
        <v>36157.0</v>
      </c>
      <c r="S369" s="31" t="s">
        <v>320</v>
      </c>
      <c r="T369" s="31" t="s">
        <v>1959</v>
      </c>
      <c r="U369" s="31" t="s">
        <v>271</v>
      </c>
      <c r="V369" s="31" t="s">
        <v>365</v>
      </c>
      <c r="W369" s="34"/>
    </row>
    <row r="370">
      <c r="A370" s="30">
        <v>365.0</v>
      </c>
      <c r="B370" s="31" t="s">
        <v>1960</v>
      </c>
      <c r="C370" s="31" t="s">
        <v>1961</v>
      </c>
      <c r="D370" s="31" t="s">
        <v>260</v>
      </c>
      <c r="E370" s="31" t="s">
        <v>1962</v>
      </c>
      <c r="F370" s="32">
        <v>44137.0</v>
      </c>
      <c r="G370" s="32">
        <v>44198.0</v>
      </c>
      <c r="H370" s="31" t="s">
        <v>303</v>
      </c>
      <c r="I370" s="31" t="s">
        <v>335</v>
      </c>
      <c r="J370" s="31" t="s">
        <v>1963</v>
      </c>
      <c r="K370" s="31" t="s">
        <v>1964</v>
      </c>
      <c r="L370" s="31" t="s">
        <v>1965</v>
      </c>
      <c r="M370" s="31" t="s">
        <v>1966</v>
      </c>
      <c r="N370" s="31" t="s">
        <v>267</v>
      </c>
      <c r="O370" s="34"/>
      <c r="P370" s="31">
        <v>4.0</v>
      </c>
      <c r="Q370" s="31" t="s">
        <v>307</v>
      </c>
      <c r="R370" s="32">
        <v>36104.0</v>
      </c>
      <c r="S370" s="31" t="s">
        <v>320</v>
      </c>
      <c r="T370" s="31" t="s">
        <v>1666</v>
      </c>
      <c r="U370" s="31" t="s">
        <v>271</v>
      </c>
      <c r="V370" s="31" t="s">
        <v>1962</v>
      </c>
      <c r="W370" s="34"/>
    </row>
    <row r="371">
      <c r="A371" s="30">
        <v>366.0</v>
      </c>
      <c r="B371" s="31" t="s">
        <v>1967</v>
      </c>
      <c r="C371" s="31" t="s">
        <v>1968</v>
      </c>
      <c r="D371" s="31" t="s">
        <v>260</v>
      </c>
      <c r="E371" s="31" t="s">
        <v>914</v>
      </c>
      <c r="F371" s="32">
        <v>44270.0</v>
      </c>
      <c r="G371" s="32">
        <v>44331.0</v>
      </c>
      <c r="H371" s="31" t="s">
        <v>262</v>
      </c>
      <c r="I371" s="31" t="s">
        <v>93</v>
      </c>
      <c r="J371" s="31" t="s">
        <v>1918</v>
      </c>
      <c r="K371" s="31" t="s">
        <v>1919</v>
      </c>
      <c r="L371" s="31" t="s">
        <v>905</v>
      </c>
      <c r="M371" s="31" t="s">
        <v>1969</v>
      </c>
      <c r="N371" s="31" t="s">
        <v>467</v>
      </c>
      <c r="O371" s="34"/>
      <c r="P371" s="31">
        <v>3.0</v>
      </c>
      <c r="Q371" s="31" t="s">
        <v>307</v>
      </c>
      <c r="R371" s="32">
        <v>35796.0</v>
      </c>
      <c r="S371" s="31" t="s">
        <v>917</v>
      </c>
      <c r="T371" s="31" t="s">
        <v>1970</v>
      </c>
      <c r="U371" s="31" t="s">
        <v>271</v>
      </c>
      <c r="V371" s="31" t="s">
        <v>914</v>
      </c>
      <c r="W371" s="34"/>
    </row>
    <row r="372">
      <c r="A372" s="30">
        <v>367.0</v>
      </c>
      <c r="B372" s="31" t="s">
        <v>1971</v>
      </c>
      <c r="C372" s="31" t="s">
        <v>1972</v>
      </c>
      <c r="D372" s="31" t="s">
        <v>364</v>
      </c>
      <c r="E372" s="31" t="s">
        <v>365</v>
      </c>
      <c r="F372" s="35">
        <v>43790.0</v>
      </c>
      <c r="G372" s="32">
        <v>43851.0</v>
      </c>
      <c r="H372" s="31" t="s">
        <v>262</v>
      </c>
      <c r="I372" s="31" t="s">
        <v>93</v>
      </c>
      <c r="J372" s="31" t="s">
        <v>1912</v>
      </c>
      <c r="K372" s="31" t="s">
        <v>1913</v>
      </c>
      <c r="L372" s="31" t="s">
        <v>368</v>
      </c>
      <c r="M372" s="31" t="s">
        <v>1973</v>
      </c>
      <c r="N372" s="31" t="s">
        <v>267</v>
      </c>
      <c r="O372" s="34"/>
      <c r="P372" s="31">
        <v>2.0</v>
      </c>
      <c r="Q372" s="31" t="s">
        <v>307</v>
      </c>
      <c r="R372" s="35">
        <v>36091.0</v>
      </c>
      <c r="S372" s="31" t="s">
        <v>526</v>
      </c>
      <c r="T372" s="31" t="s">
        <v>1698</v>
      </c>
      <c r="U372" s="31" t="s">
        <v>271</v>
      </c>
      <c r="V372" s="31" t="s">
        <v>365</v>
      </c>
      <c r="W372" s="34"/>
    </row>
    <row r="373">
      <c r="A373" s="30">
        <v>368.0</v>
      </c>
      <c r="B373" s="31" t="s">
        <v>1974</v>
      </c>
      <c r="C373" s="31" t="s">
        <v>1975</v>
      </c>
      <c r="D373" s="31" t="s">
        <v>364</v>
      </c>
      <c r="E373" s="31" t="s">
        <v>365</v>
      </c>
      <c r="F373" s="32">
        <v>43684.0</v>
      </c>
      <c r="G373" s="32">
        <v>43745.0</v>
      </c>
      <c r="H373" s="31" t="s">
        <v>262</v>
      </c>
      <c r="I373" s="31" t="s">
        <v>93</v>
      </c>
      <c r="J373" s="31" t="s">
        <v>1912</v>
      </c>
      <c r="K373" s="31" t="s">
        <v>1913</v>
      </c>
      <c r="L373" s="31" t="s">
        <v>368</v>
      </c>
      <c r="M373" s="31" t="s">
        <v>1976</v>
      </c>
      <c r="N373" s="31" t="s">
        <v>467</v>
      </c>
      <c r="O373" s="34"/>
      <c r="P373" s="31">
        <v>6.0</v>
      </c>
      <c r="Q373" s="31" t="s">
        <v>307</v>
      </c>
      <c r="R373" s="35">
        <v>35733.0</v>
      </c>
      <c r="S373" s="31" t="s">
        <v>1955</v>
      </c>
      <c r="T373" s="31" t="s">
        <v>1977</v>
      </c>
      <c r="U373" s="31" t="s">
        <v>271</v>
      </c>
      <c r="V373" s="31" t="s">
        <v>365</v>
      </c>
      <c r="W373" s="34"/>
    </row>
    <row r="374">
      <c r="A374" s="30">
        <v>369.0</v>
      </c>
      <c r="B374" s="31" t="s">
        <v>1978</v>
      </c>
      <c r="C374" s="31" t="s">
        <v>1979</v>
      </c>
      <c r="D374" s="31" t="s">
        <v>260</v>
      </c>
      <c r="E374" s="31" t="s">
        <v>889</v>
      </c>
      <c r="F374" s="32">
        <v>43770.0</v>
      </c>
      <c r="G374" s="32">
        <v>43831.0</v>
      </c>
      <c r="H374" s="31" t="s">
        <v>262</v>
      </c>
      <c r="I374" s="31" t="s">
        <v>93</v>
      </c>
      <c r="J374" s="31" t="s">
        <v>889</v>
      </c>
      <c r="K374" s="31" t="s">
        <v>1937</v>
      </c>
      <c r="L374" s="31" t="s">
        <v>891</v>
      </c>
      <c r="M374" s="31" t="s">
        <v>1980</v>
      </c>
      <c r="N374" s="31" t="s">
        <v>467</v>
      </c>
      <c r="O374" s="34"/>
      <c r="P374" s="31">
        <v>2.0</v>
      </c>
      <c r="Q374" s="31" t="s">
        <v>307</v>
      </c>
      <c r="R374" s="32">
        <v>35471.0</v>
      </c>
      <c r="S374" s="31" t="s">
        <v>560</v>
      </c>
      <c r="T374" s="31" t="s">
        <v>1773</v>
      </c>
      <c r="U374" s="31" t="s">
        <v>271</v>
      </c>
      <c r="V374" s="34"/>
      <c r="W374" s="34"/>
    </row>
    <row r="375">
      <c r="A375" s="30">
        <v>370.0</v>
      </c>
      <c r="B375" s="31" t="s">
        <v>1981</v>
      </c>
      <c r="C375" s="31" t="s">
        <v>1982</v>
      </c>
      <c r="D375" s="31" t="s">
        <v>260</v>
      </c>
      <c r="E375" s="31" t="s">
        <v>889</v>
      </c>
      <c r="F375" s="32">
        <v>43647.0</v>
      </c>
      <c r="G375" s="32">
        <v>43709.0</v>
      </c>
      <c r="H375" s="31" t="s">
        <v>262</v>
      </c>
      <c r="I375" s="31" t="s">
        <v>93</v>
      </c>
      <c r="J375" s="31" t="s">
        <v>889</v>
      </c>
      <c r="K375" s="31" t="s">
        <v>1937</v>
      </c>
      <c r="L375" s="31" t="s">
        <v>891</v>
      </c>
      <c r="M375" s="31" t="s">
        <v>1983</v>
      </c>
      <c r="N375" s="31" t="s">
        <v>267</v>
      </c>
      <c r="O375" s="34"/>
      <c r="P375" s="31">
        <v>1.0</v>
      </c>
      <c r="Q375" s="31" t="s">
        <v>307</v>
      </c>
      <c r="R375" s="32">
        <v>35740.0</v>
      </c>
      <c r="S375" s="31" t="s">
        <v>320</v>
      </c>
      <c r="T375" s="31" t="s">
        <v>1657</v>
      </c>
      <c r="U375" s="31" t="s">
        <v>271</v>
      </c>
      <c r="V375" s="34"/>
      <c r="W375" s="34"/>
    </row>
    <row r="376">
      <c r="A376" s="30">
        <v>371.0</v>
      </c>
      <c r="B376" s="31" t="s">
        <v>1984</v>
      </c>
      <c r="C376" s="31" t="s">
        <v>333</v>
      </c>
      <c r="D376" s="31" t="s">
        <v>925</v>
      </c>
      <c r="E376" s="31" t="s">
        <v>1985</v>
      </c>
      <c r="F376" s="32">
        <v>45005.0</v>
      </c>
      <c r="G376" s="32">
        <v>45066.0</v>
      </c>
      <c r="H376" s="31" t="s">
        <v>262</v>
      </c>
      <c r="I376" s="31" t="s">
        <v>275</v>
      </c>
      <c r="J376" s="31" t="s">
        <v>1986</v>
      </c>
      <c r="K376" s="31" t="s">
        <v>1987</v>
      </c>
      <c r="L376" s="31" t="s">
        <v>929</v>
      </c>
      <c r="M376" s="31" t="s">
        <v>1988</v>
      </c>
      <c r="N376" s="31" t="s">
        <v>267</v>
      </c>
      <c r="O376" s="34"/>
      <c r="P376" s="31">
        <v>4.0</v>
      </c>
      <c r="Q376" s="31" t="s">
        <v>307</v>
      </c>
      <c r="R376" s="32">
        <v>36312.0</v>
      </c>
      <c r="S376" s="31" t="s">
        <v>1755</v>
      </c>
      <c r="T376" s="31" t="s">
        <v>1686</v>
      </c>
      <c r="U376" s="31" t="s">
        <v>271</v>
      </c>
      <c r="V376" s="31" t="s">
        <v>1985</v>
      </c>
      <c r="W376" s="34"/>
    </row>
    <row r="377">
      <c r="A377" s="30">
        <v>372.0</v>
      </c>
      <c r="B377" s="31" t="s">
        <v>1989</v>
      </c>
      <c r="C377" s="31" t="s">
        <v>1990</v>
      </c>
      <c r="D377" s="31" t="s">
        <v>260</v>
      </c>
      <c r="E377" s="31" t="s">
        <v>1991</v>
      </c>
      <c r="F377" s="35">
        <v>44914.0</v>
      </c>
      <c r="G377" s="32">
        <v>44976.0</v>
      </c>
      <c r="H377" s="31" t="s">
        <v>262</v>
      </c>
      <c r="I377" s="31" t="s">
        <v>93</v>
      </c>
      <c r="J377" s="31" t="s">
        <v>1918</v>
      </c>
      <c r="K377" s="31" t="s">
        <v>1992</v>
      </c>
      <c r="L377" s="31" t="s">
        <v>905</v>
      </c>
      <c r="M377" s="31" t="s">
        <v>1993</v>
      </c>
      <c r="N377" s="31" t="s">
        <v>467</v>
      </c>
      <c r="O377" s="34"/>
      <c r="P377" s="31">
        <v>1.0</v>
      </c>
      <c r="Q377" s="31" t="s">
        <v>307</v>
      </c>
      <c r="R377" s="32">
        <v>36975.0</v>
      </c>
      <c r="S377" s="31" t="s">
        <v>1994</v>
      </c>
      <c r="T377" s="31" t="s">
        <v>1995</v>
      </c>
      <c r="U377" s="31" t="s">
        <v>271</v>
      </c>
      <c r="V377" s="31" t="s">
        <v>1991</v>
      </c>
      <c r="W377" s="34"/>
    </row>
    <row r="378">
      <c r="A378" s="30">
        <v>373.0</v>
      </c>
      <c r="B378" s="31" t="s">
        <v>1996</v>
      </c>
      <c r="C378" s="31" t="s">
        <v>1997</v>
      </c>
      <c r="D378" s="31" t="s">
        <v>925</v>
      </c>
      <c r="E378" s="31" t="s">
        <v>1985</v>
      </c>
      <c r="F378" s="32">
        <v>44796.0</v>
      </c>
      <c r="G378" s="35">
        <v>44857.0</v>
      </c>
      <c r="H378" s="31" t="s">
        <v>262</v>
      </c>
      <c r="I378" s="31" t="s">
        <v>275</v>
      </c>
      <c r="J378" s="31" t="s">
        <v>1986</v>
      </c>
      <c r="K378" s="31" t="s">
        <v>1987</v>
      </c>
      <c r="L378" s="31" t="s">
        <v>929</v>
      </c>
      <c r="M378" s="31" t="s">
        <v>1998</v>
      </c>
      <c r="N378" s="31" t="s">
        <v>267</v>
      </c>
      <c r="O378" s="34"/>
      <c r="P378" s="31">
        <v>4.0</v>
      </c>
      <c r="Q378" s="31" t="s">
        <v>307</v>
      </c>
      <c r="R378" s="35">
        <v>36443.0</v>
      </c>
      <c r="S378" s="31" t="s">
        <v>526</v>
      </c>
      <c r="T378" s="31" t="s">
        <v>1999</v>
      </c>
      <c r="U378" s="31" t="s">
        <v>271</v>
      </c>
      <c r="V378" s="31" t="s">
        <v>1985</v>
      </c>
      <c r="W378" s="34"/>
    </row>
    <row r="379">
      <c r="A379" s="30">
        <v>374.0</v>
      </c>
      <c r="B379" s="31" t="s">
        <v>2000</v>
      </c>
      <c r="C379" s="31" t="s">
        <v>2001</v>
      </c>
      <c r="D379" s="31" t="s">
        <v>925</v>
      </c>
      <c r="E379" s="31" t="s">
        <v>1985</v>
      </c>
      <c r="F379" s="32">
        <v>44785.0</v>
      </c>
      <c r="G379" s="35">
        <v>44846.0</v>
      </c>
      <c r="H379" s="31" t="s">
        <v>262</v>
      </c>
      <c r="I379" s="31" t="s">
        <v>275</v>
      </c>
      <c r="J379" s="31" t="s">
        <v>1986</v>
      </c>
      <c r="K379" s="31" t="s">
        <v>1987</v>
      </c>
      <c r="L379" s="31" t="s">
        <v>929</v>
      </c>
      <c r="M379" s="31" t="s">
        <v>2002</v>
      </c>
      <c r="N379" s="31" t="s">
        <v>267</v>
      </c>
      <c r="O379" s="34"/>
      <c r="P379" s="31">
        <v>5.0</v>
      </c>
      <c r="Q379" s="31" t="s">
        <v>307</v>
      </c>
      <c r="R379" s="32">
        <v>36777.0</v>
      </c>
      <c r="S379" s="31" t="s">
        <v>531</v>
      </c>
      <c r="T379" s="31" t="s">
        <v>1810</v>
      </c>
      <c r="U379" s="31" t="s">
        <v>271</v>
      </c>
      <c r="V379" s="31" t="s">
        <v>1985</v>
      </c>
      <c r="W379" s="34"/>
    </row>
    <row r="380">
      <c r="A380" s="30">
        <v>375.0</v>
      </c>
      <c r="B380" s="31" t="s">
        <v>2003</v>
      </c>
      <c r="C380" s="31" t="s">
        <v>2004</v>
      </c>
      <c r="D380" s="31" t="s">
        <v>260</v>
      </c>
      <c r="E380" s="31" t="s">
        <v>902</v>
      </c>
      <c r="F380" s="32">
        <v>44782.0</v>
      </c>
      <c r="G380" s="32">
        <v>44843.0</v>
      </c>
      <c r="H380" s="31" t="s">
        <v>262</v>
      </c>
      <c r="I380" s="31" t="s">
        <v>93</v>
      </c>
      <c r="J380" s="31" t="s">
        <v>1918</v>
      </c>
      <c r="K380" s="31" t="s">
        <v>2005</v>
      </c>
      <c r="L380" s="31" t="s">
        <v>905</v>
      </c>
      <c r="M380" s="31" t="s">
        <v>2006</v>
      </c>
      <c r="N380" s="31" t="s">
        <v>267</v>
      </c>
      <c r="O380" s="34"/>
      <c r="P380" s="31">
        <v>1.0</v>
      </c>
      <c r="Q380" s="31" t="s">
        <v>307</v>
      </c>
      <c r="R380" s="32">
        <v>36633.0</v>
      </c>
      <c r="S380" s="31" t="s">
        <v>320</v>
      </c>
      <c r="T380" s="31" t="s">
        <v>2007</v>
      </c>
      <c r="U380" s="31" t="s">
        <v>271</v>
      </c>
      <c r="V380" s="31" t="s">
        <v>902</v>
      </c>
      <c r="W380" s="34"/>
    </row>
    <row r="381">
      <c r="A381" s="30">
        <v>376.0</v>
      </c>
      <c r="B381" s="31" t="s">
        <v>2008</v>
      </c>
      <c r="C381" s="31" t="s">
        <v>2009</v>
      </c>
      <c r="D381" s="31" t="s">
        <v>925</v>
      </c>
      <c r="E381" s="31" t="s">
        <v>1985</v>
      </c>
      <c r="F381" s="32">
        <v>44767.0</v>
      </c>
      <c r="G381" s="32">
        <v>44829.0</v>
      </c>
      <c r="H381" s="31" t="s">
        <v>262</v>
      </c>
      <c r="I381" s="31" t="s">
        <v>275</v>
      </c>
      <c r="J381" s="31" t="s">
        <v>1986</v>
      </c>
      <c r="K381" s="31" t="s">
        <v>1987</v>
      </c>
      <c r="L381" s="31" t="s">
        <v>929</v>
      </c>
      <c r="M381" s="31" t="s">
        <v>2010</v>
      </c>
      <c r="N381" s="31" t="s">
        <v>267</v>
      </c>
      <c r="O381" s="34"/>
      <c r="P381" s="31">
        <v>3.0</v>
      </c>
      <c r="Q381" s="31" t="s">
        <v>307</v>
      </c>
      <c r="R381" s="32">
        <v>36240.0</v>
      </c>
      <c r="S381" s="31" t="s">
        <v>1041</v>
      </c>
      <c r="T381" s="31" t="s">
        <v>1651</v>
      </c>
      <c r="U381" s="31" t="s">
        <v>271</v>
      </c>
      <c r="V381" s="31" t="s">
        <v>1985</v>
      </c>
      <c r="W381" s="34"/>
    </row>
    <row r="382">
      <c r="A382" s="30">
        <v>377.0</v>
      </c>
      <c r="B382" s="31" t="s">
        <v>2011</v>
      </c>
      <c r="C382" s="31" t="s">
        <v>2012</v>
      </c>
      <c r="D382" s="31" t="s">
        <v>364</v>
      </c>
      <c r="E382" s="31" t="s">
        <v>365</v>
      </c>
      <c r="F382" s="32">
        <v>44651.0</v>
      </c>
      <c r="G382" s="32">
        <v>44712.0</v>
      </c>
      <c r="H382" s="31" t="s">
        <v>262</v>
      </c>
      <c r="I382" s="31" t="s">
        <v>93</v>
      </c>
      <c r="J382" s="31" t="s">
        <v>1912</v>
      </c>
      <c r="K382" s="31" t="s">
        <v>1913</v>
      </c>
      <c r="L382" s="31" t="s">
        <v>368</v>
      </c>
      <c r="M382" s="31" t="s">
        <v>2013</v>
      </c>
      <c r="N382" s="31" t="s">
        <v>267</v>
      </c>
      <c r="O382" s="34"/>
      <c r="P382" s="31">
        <v>4.0</v>
      </c>
      <c r="Q382" s="31" t="s">
        <v>307</v>
      </c>
      <c r="R382" s="32">
        <v>36862.0</v>
      </c>
      <c r="S382" s="31" t="s">
        <v>955</v>
      </c>
      <c r="T382" s="31" t="s">
        <v>2014</v>
      </c>
      <c r="U382" s="31" t="s">
        <v>271</v>
      </c>
      <c r="V382" s="31" t="s">
        <v>365</v>
      </c>
      <c r="W382" s="34"/>
    </row>
    <row r="383">
      <c r="A383" s="30">
        <v>378.0</v>
      </c>
      <c r="B383" s="31" t="s">
        <v>2015</v>
      </c>
      <c r="C383" s="31" t="s">
        <v>2016</v>
      </c>
      <c r="D383" s="31" t="s">
        <v>260</v>
      </c>
      <c r="E383" s="31" t="s">
        <v>1991</v>
      </c>
      <c r="F383" s="32">
        <v>44651.0</v>
      </c>
      <c r="G383" s="32">
        <v>44712.0</v>
      </c>
      <c r="H383" s="31" t="s">
        <v>262</v>
      </c>
      <c r="I383" s="31" t="s">
        <v>93</v>
      </c>
      <c r="J383" s="31" t="s">
        <v>1918</v>
      </c>
      <c r="K383" s="31" t="s">
        <v>1992</v>
      </c>
      <c r="L383" s="31" t="s">
        <v>905</v>
      </c>
      <c r="M383" s="31" t="s">
        <v>2017</v>
      </c>
      <c r="N383" s="31" t="s">
        <v>467</v>
      </c>
      <c r="O383" s="34"/>
      <c r="P383" s="31">
        <v>3.0</v>
      </c>
      <c r="Q383" s="31" t="s">
        <v>307</v>
      </c>
      <c r="R383" s="32">
        <v>37157.0</v>
      </c>
      <c r="S383" s="31" t="s">
        <v>2018</v>
      </c>
      <c r="T383" s="31" t="s">
        <v>1686</v>
      </c>
      <c r="U383" s="31" t="s">
        <v>271</v>
      </c>
      <c r="V383" s="31" t="s">
        <v>1991</v>
      </c>
      <c r="W383" s="34"/>
    </row>
    <row r="384">
      <c r="A384" s="30">
        <v>379.0</v>
      </c>
      <c r="B384" s="31" t="s">
        <v>2019</v>
      </c>
      <c r="C384" s="31" t="s">
        <v>2020</v>
      </c>
      <c r="D384" s="31" t="s">
        <v>260</v>
      </c>
      <c r="E384" s="31" t="s">
        <v>2021</v>
      </c>
      <c r="F384" s="35">
        <v>44550.0</v>
      </c>
      <c r="G384" s="32">
        <v>44562.0</v>
      </c>
      <c r="H384" s="31" t="s">
        <v>262</v>
      </c>
      <c r="I384" s="31" t="s">
        <v>275</v>
      </c>
      <c r="J384" s="31" t="s">
        <v>1986</v>
      </c>
      <c r="K384" s="31" t="s">
        <v>2022</v>
      </c>
      <c r="L384" s="31" t="s">
        <v>945</v>
      </c>
      <c r="M384" s="31" t="s">
        <v>2023</v>
      </c>
      <c r="N384" s="31" t="s">
        <v>467</v>
      </c>
      <c r="O384" s="34"/>
      <c r="P384" s="31">
        <v>3.0</v>
      </c>
      <c r="Q384" s="31" t="s">
        <v>307</v>
      </c>
      <c r="R384" s="35">
        <v>36844.0</v>
      </c>
      <c r="S384" s="31" t="s">
        <v>320</v>
      </c>
      <c r="T384" s="31" t="s">
        <v>1476</v>
      </c>
      <c r="U384" s="31" t="s">
        <v>271</v>
      </c>
      <c r="V384" s="31" t="s">
        <v>2021</v>
      </c>
      <c r="W384" s="34"/>
    </row>
    <row r="385">
      <c r="A385" s="30">
        <v>380.0</v>
      </c>
      <c r="B385" s="31" t="s">
        <v>2024</v>
      </c>
      <c r="C385" s="31" t="s">
        <v>2025</v>
      </c>
      <c r="D385" s="31" t="s">
        <v>260</v>
      </c>
      <c r="E385" s="31" t="s">
        <v>902</v>
      </c>
      <c r="F385" s="32">
        <v>44971.0</v>
      </c>
      <c r="G385" s="32">
        <v>45030.0</v>
      </c>
      <c r="H385" s="31" t="s">
        <v>262</v>
      </c>
      <c r="I385" s="31" t="s">
        <v>93</v>
      </c>
      <c r="J385" s="31" t="s">
        <v>1918</v>
      </c>
      <c r="K385" s="31" t="s">
        <v>2005</v>
      </c>
      <c r="L385" s="31" t="s">
        <v>905</v>
      </c>
      <c r="M385" s="31" t="s">
        <v>2026</v>
      </c>
      <c r="N385" s="31" t="s">
        <v>467</v>
      </c>
      <c r="O385" s="34"/>
      <c r="P385" s="31">
        <v>2.0</v>
      </c>
      <c r="Q385" s="31" t="s">
        <v>307</v>
      </c>
      <c r="R385" s="32">
        <v>33459.0</v>
      </c>
      <c r="S385" s="31" t="s">
        <v>320</v>
      </c>
      <c r="T385" s="31" t="s">
        <v>1698</v>
      </c>
      <c r="U385" s="31" t="s">
        <v>271</v>
      </c>
      <c r="V385" s="31" t="s">
        <v>902</v>
      </c>
      <c r="W385" s="34"/>
    </row>
    <row r="386">
      <c r="A386" s="30">
        <v>381.0</v>
      </c>
      <c r="B386" s="31" t="s">
        <v>2027</v>
      </c>
      <c r="C386" s="31" t="s">
        <v>2028</v>
      </c>
      <c r="D386" s="31" t="s">
        <v>260</v>
      </c>
      <c r="E386" s="31" t="s">
        <v>2021</v>
      </c>
      <c r="F386" s="35">
        <v>44148.0</v>
      </c>
      <c r="G386" s="32">
        <v>44209.0</v>
      </c>
      <c r="H386" s="31" t="s">
        <v>262</v>
      </c>
      <c r="I386" s="31" t="s">
        <v>275</v>
      </c>
      <c r="J386" s="31" t="s">
        <v>2029</v>
      </c>
      <c r="K386" s="31" t="s">
        <v>2030</v>
      </c>
      <c r="L386" s="31" t="s">
        <v>945</v>
      </c>
      <c r="M386" s="31" t="s">
        <v>2031</v>
      </c>
      <c r="N386" s="31" t="s">
        <v>267</v>
      </c>
      <c r="O386" s="34"/>
      <c r="P386" s="31">
        <v>3.0</v>
      </c>
      <c r="Q386" s="31" t="s">
        <v>307</v>
      </c>
      <c r="R386" s="32">
        <v>35935.0</v>
      </c>
      <c r="S386" s="31" t="s">
        <v>1740</v>
      </c>
      <c r="T386" s="31" t="s">
        <v>1810</v>
      </c>
      <c r="U386" s="31" t="s">
        <v>271</v>
      </c>
      <c r="V386" s="31" t="s">
        <v>2021</v>
      </c>
      <c r="W386" s="34"/>
    </row>
    <row r="387">
      <c r="A387" s="30">
        <v>382.0</v>
      </c>
      <c r="B387" s="31" t="s">
        <v>2032</v>
      </c>
      <c r="C387" s="31" t="s">
        <v>2033</v>
      </c>
      <c r="D387" s="31" t="s">
        <v>260</v>
      </c>
      <c r="E387" s="31" t="s">
        <v>2034</v>
      </c>
      <c r="F387" s="32">
        <v>42271.0</v>
      </c>
      <c r="G387" s="35">
        <v>42332.0</v>
      </c>
      <c r="H387" s="31" t="s">
        <v>262</v>
      </c>
      <c r="I387" s="31" t="s">
        <v>275</v>
      </c>
      <c r="J387" s="31" t="s">
        <v>1986</v>
      </c>
      <c r="K387" s="31" t="s">
        <v>2035</v>
      </c>
      <c r="L387" s="31" t="s">
        <v>2036</v>
      </c>
      <c r="M387" s="31" t="s">
        <v>2037</v>
      </c>
      <c r="N387" s="31" t="s">
        <v>267</v>
      </c>
      <c r="O387" s="34"/>
      <c r="P387" s="31">
        <v>6.0</v>
      </c>
      <c r="Q387" s="31" t="s">
        <v>307</v>
      </c>
      <c r="R387" s="32">
        <v>33342.0</v>
      </c>
      <c r="S387" s="31" t="s">
        <v>2038</v>
      </c>
      <c r="T387" s="31" t="s">
        <v>1690</v>
      </c>
      <c r="U387" s="31" t="s">
        <v>271</v>
      </c>
      <c r="V387" s="31" t="s">
        <v>2034</v>
      </c>
      <c r="W387" s="34"/>
    </row>
    <row r="388">
      <c r="A388" s="30">
        <v>383.0</v>
      </c>
      <c r="B388" s="31" t="s">
        <v>2039</v>
      </c>
      <c r="C388" s="31" t="s">
        <v>2040</v>
      </c>
      <c r="D388" s="31" t="s">
        <v>260</v>
      </c>
      <c r="E388" s="31" t="s">
        <v>902</v>
      </c>
      <c r="F388" s="32">
        <v>44013.0</v>
      </c>
      <c r="G388" s="32">
        <v>44075.0</v>
      </c>
      <c r="H388" s="31" t="s">
        <v>262</v>
      </c>
      <c r="I388" s="31" t="s">
        <v>93</v>
      </c>
      <c r="J388" s="31" t="s">
        <v>1918</v>
      </c>
      <c r="K388" s="31" t="s">
        <v>2005</v>
      </c>
      <c r="L388" s="31" t="s">
        <v>905</v>
      </c>
      <c r="M388" s="31" t="s">
        <v>2041</v>
      </c>
      <c r="N388" s="31" t="s">
        <v>267</v>
      </c>
      <c r="O388" s="34"/>
      <c r="P388" s="31">
        <v>3.0</v>
      </c>
      <c r="Q388" s="31" t="s">
        <v>307</v>
      </c>
      <c r="R388" s="35">
        <v>35729.0</v>
      </c>
      <c r="S388" s="31" t="s">
        <v>320</v>
      </c>
      <c r="T388" s="31" t="s">
        <v>2042</v>
      </c>
      <c r="U388" s="31" t="s">
        <v>271</v>
      </c>
      <c r="V388" s="31" t="s">
        <v>902</v>
      </c>
      <c r="W388" s="34"/>
    </row>
    <row r="389">
      <c r="A389" s="30">
        <v>384.0</v>
      </c>
      <c r="B389" s="31" t="s">
        <v>2043</v>
      </c>
      <c r="C389" s="31" t="s">
        <v>2044</v>
      </c>
      <c r="D389" s="31" t="s">
        <v>260</v>
      </c>
      <c r="E389" s="31" t="s">
        <v>1991</v>
      </c>
      <c r="F389" s="32">
        <v>42632.0</v>
      </c>
      <c r="G389" s="35">
        <v>42693.0</v>
      </c>
      <c r="H389" s="31" t="s">
        <v>262</v>
      </c>
      <c r="I389" s="31" t="s">
        <v>93</v>
      </c>
      <c r="J389" s="31" t="s">
        <v>1918</v>
      </c>
      <c r="K389" s="31" t="s">
        <v>1992</v>
      </c>
      <c r="L389" s="31" t="s">
        <v>905</v>
      </c>
      <c r="M389" s="31" t="s">
        <v>2045</v>
      </c>
      <c r="N389" s="31" t="s">
        <v>467</v>
      </c>
      <c r="O389" s="34"/>
      <c r="P389" s="31">
        <v>8.0</v>
      </c>
      <c r="Q389" s="31" t="s">
        <v>307</v>
      </c>
      <c r="R389" s="35">
        <v>29947.0</v>
      </c>
      <c r="S389" s="31" t="s">
        <v>320</v>
      </c>
      <c r="T389" s="31" t="s">
        <v>1476</v>
      </c>
      <c r="U389" s="31" t="s">
        <v>271</v>
      </c>
      <c r="V389" s="31" t="s">
        <v>1991</v>
      </c>
      <c r="W389" s="34"/>
    </row>
    <row r="390">
      <c r="A390" s="30">
        <v>385.0</v>
      </c>
      <c r="B390" s="31" t="s">
        <v>2046</v>
      </c>
      <c r="C390" s="31" t="s">
        <v>2047</v>
      </c>
      <c r="D390" s="31" t="s">
        <v>260</v>
      </c>
      <c r="E390" s="31" t="s">
        <v>1991</v>
      </c>
      <c r="F390" s="32">
        <v>43381.0</v>
      </c>
      <c r="G390" s="32">
        <v>43442.0</v>
      </c>
      <c r="H390" s="31" t="s">
        <v>262</v>
      </c>
      <c r="I390" s="31" t="s">
        <v>93</v>
      </c>
      <c r="J390" s="31" t="s">
        <v>1918</v>
      </c>
      <c r="K390" s="31" t="s">
        <v>1992</v>
      </c>
      <c r="L390" s="31" t="s">
        <v>905</v>
      </c>
      <c r="M390" s="31" t="s">
        <v>2048</v>
      </c>
      <c r="N390" s="31" t="s">
        <v>467</v>
      </c>
      <c r="O390" s="34"/>
      <c r="P390" s="31">
        <v>3.0</v>
      </c>
      <c r="Q390" s="31" t="s">
        <v>307</v>
      </c>
      <c r="R390" s="32">
        <v>34732.0</v>
      </c>
      <c r="S390" s="31" t="s">
        <v>320</v>
      </c>
      <c r="T390" s="31" t="s">
        <v>1751</v>
      </c>
      <c r="U390" s="31" t="s">
        <v>271</v>
      </c>
      <c r="V390" s="31" t="s">
        <v>1991</v>
      </c>
      <c r="W390" s="34"/>
    </row>
    <row r="391">
      <c r="A391" s="30">
        <v>386.0</v>
      </c>
      <c r="B391" s="31" t="s">
        <v>2049</v>
      </c>
      <c r="C391" s="31" t="s">
        <v>2050</v>
      </c>
      <c r="D391" s="31" t="s">
        <v>260</v>
      </c>
      <c r="E391" s="31" t="s">
        <v>2051</v>
      </c>
      <c r="F391" s="32">
        <v>42486.0</v>
      </c>
      <c r="G391" s="32">
        <v>42547.0</v>
      </c>
      <c r="H391" s="31" t="s">
        <v>262</v>
      </c>
      <c r="I391" s="31" t="s">
        <v>275</v>
      </c>
      <c r="J391" s="31" t="s">
        <v>1986</v>
      </c>
      <c r="K391" s="31" t="s">
        <v>2052</v>
      </c>
      <c r="L391" s="31" t="s">
        <v>997</v>
      </c>
      <c r="M391" s="31" t="s">
        <v>2053</v>
      </c>
      <c r="N391" s="31" t="s">
        <v>267</v>
      </c>
      <c r="O391" s="34"/>
      <c r="P391" s="31">
        <v>5.0</v>
      </c>
      <c r="Q391" s="31" t="s">
        <v>307</v>
      </c>
      <c r="R391" s="32">
        <v>32747.0</v>
      </c>
      <c r="S391" s="31" t="s">
        <v>681</v>
      </c>
      <c r="T391" s="31" t="s">
        <v>1476</v>
      </c>
      <c r="U391" s="31" t="s">
        <v>271</v>
      </c>
      <c r="V391" s="31" t="s">
        <v>2051</v>
      </c>
      <c r="W391" s="34"/>
    </row>
    <row r="392">
      <c r="A392" s="30">
        <v>387.0</v>
      </c>
      <c r="B392" s="31" t="s">
        <v>2054</v>
      </c>
      <c r="C392" s="31" t="s">
        <v>2055</v>
      </c>
      <c r="D392" s="31" t="s">
        <v>260</v>
      </c>
      <c r="E392" s="31" t="s">
        <v>2021</v>
      </c>
      <c r="F392" s="32">
        <v>44244.0</v>
      </c>
      <c r="G392" s="32">
        <v>44303.0</v>
      </c>
      <c r="H392" s="31" t="s">
        <v>262</v>
      </c>
      <c r="I392" s="31" t="s">
        <v>275</v>
      </c>
      <c r="J392" s="31" t="s">
        <v>2029</v>
      </c>
      <c r="K392" s="31" t="s">
        <v>2030</v>
      </c>
      <c r="L392" s="31" t="s">
        <v>945</v>
      </c>
      <c r="M392" s="31" t="s">
        <v>2056</v>
      </c>
      <c r="N392" s="31" t="s">
        <v>467</v>
      </c>
      <c r="O392" s="34"/>
      <c r="P392" s="31">
        <v>5.0</v>
      </c>
      <c r="Q392" s="31" t="s">
        <v>307</v>
      </c>
      <c r="R392" s="35">
        <v>36478.0</v>
      </c>
      <c r="S392" s="31" t="s">
        <v>2057</v>
      </c>
      <c r="T392" s="31" t="s">
        <v>1476</v>
      </c>
      <c r="U392" s="31" t="s">
        <v>271</v>
      </c>
      <c r="V392" s="31" t="s">
        <v>2021</v>
      </c>
      <c r="W392" s="34"/>
    </row>
    <row r="393">
      <c r="A393" s="30">
        <v>388.0</v>
      </c>
      <c r="B393" s="31" t="s">
        <v>2058</v>
      </c>
      <c r="C393" s="31" t="s">
        <v>2059</v>
      </c>
      <c r="D393" s="31" t="s">
        <v>260</v>
      </c>
      <c r="E393" s="31" t="s">
        <v>2060</v>
      </c>
      <c r="F393" s="35">
        <v>44127.0</v>
      </c>
      <c r="G393" s="35">
        <v>44188.0</v>
      </c>
      <c r="H393" s="31" t="s">
        <v>262</v>
      </c>
      <c r="I393" s="31" t="s">
        <v>275</v>
      </c>
      <c r="J393" s="31" t="s">
        <v>1986</v>
      </c>
      <c r="K393" s="31" t="s">
        <v>2061</v>
      </c>
      <c r="L393" s="31" t="s">
        <v>1114</v>
      </c>
      <c r="M393" s="31" t="s">
        <v>2062</v>
      </c>
      <c r="N393" s="31" t="s">
        <v>267</v>
      </c>
      <c r="O393" s="34"/>
      <c r="P393" s="31">
        <v>3.0</v>
      </c>
      <c r="Q393" s="31" t="s">
        <v>307</v>
      </c>
      <c r="R393" s="35">
        <v>36142.0</v>
      </c>
      <c r="S393" s="31" t="s">
        <v>2063</v>
      </c>
      <c r="T393" s="31" t="s">
        <v>2064</v>
      </c>
      <c r="U393" s="31" t="s">
        <v>271</v>
      </c>
      <c r="V393" s="31" t="s">
        <v>2060</v>
      </c>
      <c r="W393" s="34"/>
    </row>
    <row r="394">
      <c r="A394" s="30">
        <v>389.0</v>
      </c>
      <c r="B394" s="31" t="s">
        <v>2065</v>
      </c>
      <c r="C394" s="31" t="s">
        <v>2066</v>
      </c>
      <c r="D394" s="31" t="s">
        <v>260</v>
      </c>
      <c r="E394" s="31" t="s">
        <v>914</v>
      </c>
      <c r="F394" s="32">
        <v>43381.0</v>
      </c>
      <c r="G394" s="32">
        <v>43442.0</v>
      </c>
      <c r="H394" s="31" t="s">
        <v>262</v>
      </c>
      <c r="I394" s="31" t="s">
        <v>93</v>
      </c>
      <c r="J394" s="31" t="s">
        <v>1918</v>
      </c>
      <c r="K394" s="31" t="s">
        <v>1919</v>
      </c>
      <c r="L394" s="31" t="s">
        <v>905</v>
      </c>
      <c r="M394" s="31" t="s">
        <v>2067</v>
      </c>
      <c r="N394" s="31" t="s">
        <v>467</v>
      </c>
      <c r="O394" s="34"/>
      <c r="P394" s="31">
        <v>5.0</v>
      </c>
      <c r="Q394" s="31" t="s">
        <v>307</v>
      </c>
      <c r="R394" s="32">
        <v>35619.0</v>
      </c>
      <c r="S394" s="31" t="s">
        <v>320</v>
      </c>
      <c r="T394" s="31" t="s">
        <v>1995</v>
      </c>
      <c r="U394" s="31" t="s">
        <v>271</v>
      </c>
      <c r="V394" s="31" t="s">
        <v>914</v>
      </c>
      <c r="W394" s="34"/>
    </row>
    <row r="395">
      <c r="A395" s="30">
        <v>390.0</v>
      </c>
      <c r="B395" s="31" t="s">
        <v>2068</v>
      </c>
      <c r="C395" s="31" t="s">
        <v>2069</v>
      </c>
      <c r="D395" s="31" t="s">
        <v>925</v>
      </c>
      <c r="E395" s="31" t="s">
        <v>1985</v>
      </c>
      <c r="F395" s="32">
        <v>45174.0</v>
      </c>
      <c r="G395" s="32">
        <v>45234.0</v>
      </c>
      <c r="H395" s="31" t="s">
        <v>262</v>
      </c>
      <c r="I395" s="31" t="s">
        <v>275</v>
      </c>
      <c r="J395" s="31" t="s">
        <v>2029</v>
      </c>
      <c r="K395" s="31" t="s">
        <v>2070</v>
      </c>
      <c r="L395" s="31" t="s">
        <v>929</v>
      </c>
      <c r="M395" s="31" t="s">
        <v>2071</v>
      </c>
      <c r="N395" s="31" t="s">
        <v>267</v>
      </c>
      <c r="O395" s="34"/>
      <c r="P395" s="31">
        <v>3.0</v>
      </c>
      <c r="Q395" s="31" t="s">
        <v>307</v>
      </c>
      <c r="R395" s="35">
        <v>37210.0</v>
      </c>
      <c r="S395" s="31" t="s">
        <v>2072</v>
      </c>
      <c r="T395" s="31" t="s">
        <v>2073</v>
      </c>
      <c r="U395" s="31" t="s">
        <v>271</v>
      </c>
      <c r="V395" s="31" t="s">
        <v>1985</v>
      </c>
      <c r="W395" s="34"/>
    </row>
    <row r="396">
      <c r="A396" s="30">
        <v>391.0</v>
      </c>
      <c r="B396" s="31" t="s">
        <v>2074</v>
      </c>
      <c r="C396" s="31" t="s">
        <v>2075</v>
      </c>
      <c r="D396" s="31" t="s">
        <v>925</v>
      </c>
      <c r="E396" s="31" t="s">
        <v>1985</v>
      </c>
      <c r="F396" s="32">
        <v>45159.0</v>
      </c>
      <c r="G396" s="35">
        <v>45219.0</v>
      </c>
      <c r="H396" s="31" t="s">
        <v>262</v>
      </c>
      <c r="I396" s="31" t="s">
        <v>275</v>
      </c>
      <c r="J396" s="31" t="s">
        <v>2029</v>
      </c>
      <c r="K396" s="31" t="s">
        <v>2070</v>
      </c>
      <c r="L396" s="31" t="s">
        <v>929</v>
      </c>
      <c r="M396" s="31" t="s">
        <v>2076</v>
      </c>
      <c r="N396" s="31" t="s">
        <v>267</v>
      </c>
      <c r="O396" s="34"/>
      <c r="P396" s="31">
        <v>2.0</v>
      </c>
      <c r="Q396" s="31" t="s">
        <v>307</v>
      </c>
      <c r="R396" s="32">
        <v>37410.0</v>
      </c>
      <c r="S396" s="31" t="s">
        <v>320</v>
      </c>
      <c r="T396" s="31" t="s">
        <v>1476</v>
      </c>
      <c r="U396" s="31" t="s">
        <v>271</v>
      </c>
      <c r="V396" s="31" t="s">
        <v>1985</v>
      </c>
      <c r="W396" s="34"/>
    </row>
    <row r="397">
      <c r="A397" s="30">
        <v>392.0</v>
      </c>
      <c r="B397" s="31" t="s">
        <v>2077</v>
      </c>
      <c r="C397" s="31" t="s">
        <v>2078</v>
      </c>
      <c r="D397" s="31" t="s">
        <v>506</v>
      </c>
      <c r="E397" s="31" t="s">
        <v>2079</v>
      </c>
      <c r="F397" s="32">
        <v>45096.0</v>
      </c>
      <c r="G397" s="32">
        <v>45156.0</v>
      </c>
      <c r="H397" s="31" t="s">
        <v>262</v>
      </c>
      <c r="I397" s="31" t="s">
        <v>275</v>
      </c>
      <c r="J397" s="31" t="s">
        <v>2079</v>
      </c>
      <c r="K397" s="31" t="s">
        <v>2080</v>
      </c>
      <c r="L397" s="31" t="s">
        <v>2081</v>
      </c>
      <c r="M397" s="31" t="s">
        <v>2082</v>
      </c>
      <c r="N397" s="31" t="s">
        <v>267</v>
      </c>
      <c r="O397" s="34"/>
      <c r="P397" s="31">
        <v>2.0</v>
      </c>
      <c r="Q397" s="31" t="s">
        <v>307</v>
      </c>
      <c r="R397" s="32">
        <v>36776.0</v>
      </c>
      <c r="S397" s="31" t="s">
        <v>458</v>
      </c>
      <c r="T397" s="31" t="s">
        <v>2083</v>
      </c>
      <c r="U397" s="31" t="s">
        <v>271</v>
      </c>
      <c r="V397" s="34"/>
      <c r="W397" s="34"/>
    </row>
    <row r="398">
      <c r="A398" s="30">
        <v>393.0</v>
      </c>
      <c r="B398" s="31" t="s">
        <v>2084</v>
      </c>
      <c r="C398" s="31" t="s">
        <v>2085</v>
      </c>
      <c r="D398" s="31" t="s">
        <v>925</v>
      </c>
      <c r="E398" s="31" t="s">
        <v>1985</v>
      </c>
      <c r="F398" s="32">
        <v>45083.0</v>
      </c>
      <c r="G398" s="32">
        <v>45143.0</v>
      </c>
      <c r="H398" s="31" t="s">
        <v>262</v>
      </c>
      <c r="I398" s="31" t="s">
        <v>275</v>
      </c>
      <c r="J398" s="31" t="s">
        <v>2029</v>
      </c>
      <c r="K398" s="31" t="s">
        <v>2070</v>
      </c>
      <c r="L398" s="31" t="s">
        <v>929</v>
      </c>
      <c r="M398" s="31" t="s">
        <v>2086</v>
      </c>
      <c r="N398" s="31" t="s">
        <v>467</v>
      </c>
      <c r="O398" s="34"/>
      <c r="P398" s="31">
        <v>3.0</v>
      </c>
      <c r="Q398" s="31" t="s">
        <v>307</v>
      </c>
      <c r="R398" s="32">
        <v>37130.0</v>
      </c>
      <c r="S398" s="31" t="s">
        <v>320</v>
      </c>
      <c r="T398" s="31" t="s">
        <v>2087</v>
      </c>
      <c r="U398" s="31" t="s">
        <v>271</v>
      </c>
      <c r="V398" s="31" t="s">
        <v>1985</v>
      </c>
      <c r="W398" s="34"/>
    </row>
    <row r="399">
      <c r="A399" s="30">
        <v>394.0</v>
      </c>
      <c r="B399" s="31" t="s">
        <v>2088</v>
      </c>
      <c r="C399" s="31" t="s">
        <v>2089</v>
      </c>
      <c r="D399" s="31" t="s">
        <v>260</v>
      </c>
      <c r="E399" s="31" t="s">
        <v>2090</v>
      </c>
      <c r="F399" s="32">
        <v>45005.0</v>
      </c>
      <c r="G399" s="32">
        <v>45066.0</v>
      </c>
      <c r="H399" s="31" t="s">
        <v>262</v>
      </c>
      <c r="I399" s="31" t="s">
        <v>275</v>
      </c>
      <c r="J399" s="31" t="s">
        <v>2090</v>
      </c>
      <c r="K399" s="31" t="s">
        <v>2091</v>
      </c>
      <c r="L399" s="31" t="s">
        <v>277</v>
      </c>
      <c r="M399" s="31" t="s">
        <v>2092</v>
      </c>
      <c r="N399" s="31" t="s">
        <v>467</v>
      </c>
      <c r="O399" s="34"/>
      <c r="P399" s="31">
        <v>1.0</v>
      </c>
      <c r="Q399" s="31" t="s">
        <v>307</v>
      </c>
      <c r="R399" s="35">
        <v>37222.0</v>
      </c>
      <c r="S399" s="31" t="s">
        <v>893</v>
      </c>
      <c r="T399" s="31" t="s">
        <v>1476</v>
      </c>
      <c r="U399" s="31" t="s">
        <v>271</v>
      </c>
      <c r="V399" s="34"/>
      <c r="W399" s="34"/>
    </row>
    <row r="400">
      <c r="A400" s="30">
        <v>395.0</v>
      </c>
      <c r="B400" s="31" t="s">
        <v>2093</v>
      </c>
      <c r="C400" s="31" t="s">
        <v>2094</v>
      </c>
      <c r="D400" s="31" t="s">
        <v>506</v>
      </c>
      <c r="E400" s="31" t="s">
        <v>2079</v>
      </c>
      <c r="F400" s="32">
        <v>44965.0</v>
      </c>
      <c r="G400" s="32">
        <v>45024.0</v>
      </c>
      <c r="H400" s="31" t="s">
        <v>262</v>
      </c>
      <c r="I400" s="31" t="s">
        <v>275</v>
      </c>
      <c r="J400" s="31" t="s">
        <v>2079</v>
      </c>
      <c r="K400" s="31" t="s">
        <v>2080</v>
      </c>
      <c r="L400" s="31" t="s">
        <v>2095</v>
      </c>
      <c r="M400" s="31" t="s">
        <v>2096</v>
      </c>
      <c r="N400" s="31" t="s">
        <v>267</v>
      </c>
      <c r="O400" s="34"/>
      <c r="P400" s="31">
        <v>2.0</v>
      </c>
      <c r="Q400" s="31" t="s">
        <v>307</v>
      </c>
      <c r="R400" s="32">
        <v>37002.0</v>
      </c>
      <c r="S400" s="31" t="s">
        <v>717</v>
      </c>
      <c r="T400" s="31" t="s">
        <v>2097</v>
      </c>
      <c r="U400" s="31" t="s">
        <v>271</v>
      </c>
      <c r="V400" s="34"/>
      <c r="W400" s="34"/>
    </row>
    <row r="401">
      <c r="A401" s="30">
        <v>396.0</v>
      </c>
      <c r="B401" s="31" t="s">
        <v>2098</v>
      </c>
      <c r="C401" s="31" t="s">
        <v>2099</v>
      </c>
      <c r="D401" s="31" t="s">
        <v>506</v>
      </c>
      <c r="E401" s="31" t="s">
        <v>2079</v>
      </c>
      <c r="F401" s="32">
        <v>44965.0</v>
      </c>
      <c r="G401" s="32">
        <v>45024.0</v>
      </c>
      <c r="H401" s="31" t="s">
        <v>262</v>
      </c>
      <c r="I401" s="31" t="s">
        <v>275</v>
      </c>
      <c r="J401" s="31" t="s">
        <v>2079</v>
      </c>
      <c r="K401" s="31" t="s">
        <v>2080</v>
      </c>
      <c r="L401" s="31" t="s">
        <v>2095</v>
      </c>
      <c r="M401" s="31" t="s">
        <v>2100</v>
      </c>
      <c r="N401" s="31" t="s">
        <v>267</v>
      </c>
      <c r="O401" s="34"/>
      <c r="P401" s="31">
        <v>2.0</v>
      </c>
      <c r="Q401" s="31" t="s">
        <v>307</v>
      </c>
      <c r="R401" s="32">
        <v>36775.0</v>
      </c>
      <c r="S401" s="31" t="s">
        <v>531</v>
      </c>
      <c r="T401" s="31" t="s">
        <v>2101</v>
      </c>
      <c r="U401" s="31" t="s">
        <v>271</v>
      </c>
      <c r="V401" s="34"/>
      <c r="W401" s="34"/>
    </row>
    <row r="402">
      <c r="A402" s="30">
        <v>397.0</v>
      </c>
      <c r="B402" s="31" t="s">
        <v>2102</v>
      </c>
      <c r="C402" s="31" t="s">
        <v>2103</v>
      </c>
      <c r="D402" s="31" t="s">
        <v>260</v>
      </c>
      <c r="E402" s="31" t="s">
        <v>2090</v>
      </c>
      <c r="F402" s="32">
        <v>44965.0</v>
      </c>
      <c r="G402" s="32">
        <v>45024.0</v>
      </c>
      <c r="H402" s="31" t="s">
        <v>262</v>
      </c>
      <c r="I402" s="31" t="s">
        <v>275</v>
      </c>
      <c r="J402" s="31" t="s">
        <v>2090</v>
      </c>
      <c r="K402" s="31" t="s">
        <v>2091</v>
      </c>
      <c r="L402" s="31" t="s">
        <v>277</v>
      </c>
      <c r="M402" s="31" t="s">
        <v>2104</v>
      </c>
      <c r="N402" s="31" t="s">
        <v>267</v>
      </c>
      <c r="O402" s="34"/>
      <c r="P402" s="31">
        <v>1.0</v>
      </c>
      <c r="Q402" s="31" t="s">
        <v>307</v>
      </c>
      <c r="R402" s="32">
        <v>37016.0</v>
      </c>
      <c r="S402" s="31" t="s">
        <v>626</v>
      </c>
      <c r="T402" s="31" t="s">
        <v>1476</v>
      </c>
      <c r="U402" s="31" t="s">
        <v>271</v>
      </c>
      <c r="V402" s="34"/>
      <c r="W402" s="34"/>
    </row>
    <row r="403">
      <c r="A403" s="30">
        <v>398.0</v>
      </c>
      <c r="B403" s="31" t="s">
        <v>2105</v>
      </c>
      <c r="C403" s="31" t="s">
        <v>2106</v>
      </c>
      <c r="D403" s="31" t="s">
        <v>506</v>
      </c>
      <c r="E403" s="31" t="s">
        <v>2079</v>
      </c>
      <c r="F403" s="32">
        <v>44819.0</v>
      </c>
      <c r="G403" s="35">
        <v>44880.0</v>
      </c>
      <c r="H403" s="31" t="s">
        <v>262</v>
      </c>
      <c r="I403" s="31" t="s">
        <v>275</v>
      </c>
      <c r="J403" s="31" t="s">
        <v>2079</v>
      </c>
      <c r="K403" s="31" t="s">
        <v>2080</v>
      </c>
      <c r="L403" s="31" t="s">
        <v>2081</v>
      </c>
      <c r="M403" s="31" t="s">
        <v>2107</v>
      </c>
      <c r="N403" s="31" t="s">
        <v>267</v>
      </c>
      <c r="O403" s="34"/>
      <c r="P403" s="31">
        <v>2.0</v>
      </c>
      <c r="Q403" s="31" t="s">
        <v>307</v>
      </c>
      <c r="R403" s="32">
        <v>36911.0</v>
      </c>
      <c r="S403" s="31" t="s">
        <v>2108</v>
      </c>
      <c r="T403" s="31" t="s">
        <v>2109</v>
      </c>
      <c r="U403" s="31" t="s">
        <v>271</v>
      </c>
      <c r="V403" s="34"/>
      <c r="W403" s="34"/>
    </row>
    <row r="404">
      <c r="A404" s="30">
        <v>399.0</v>
      </c>
      <c r="B404" s="31" t="s">
        <v>2110</v>
      </c>
      <c r="C404" s="31" t="s">
        <v>2111</v>
      </c>
      <c r="D404" s="31" t="s">
        <v>925</v>
      </c>
      <c r="E404" s="31" t="s">
        <v>1985</v>
      </c>
      <c r="F404" s="32">
        <v>44796.0</v>
      </c>
      <c r="G404" s="35">
        <v>44858.0</v>
      </c>
      <c r="H404" s="31" t="s">
        <v>262</v>
      </c>
      <c r="I404" s="31" t="s">
        <v>275</v>
      </c>
      <c r="J404" s="31" t="s">
        <v>2029</v>
      </c>
      <c r="K404" s="31" t="s">
        <v>2070</v>
      </c>
      <c r="L404" s="31" t="s">
        <v>929</v>
      </c>
      <c r="M404" s="31" t="s">
        <v>2112</v>
      </c>
      <c r="N404" s="31" t="s">
        <v>267</v>
      </c>
      <c r="O404" s="34"/>
      <c r="P404" s="31">
        <v>6.0</v>
      </c>
      <c r="Q404" s="31" t="s">
        <v>307</v>
      </c>
      <c r="R404" s="32">
        <v>36413.0</v>
      </c>
      <c r="S404" s="31" t="s">
        <v>515</v>
      </c>
      <c r="T404" s="31" t="s">
        <v>1711</v>
      </c>
      <c r="U404" s="31" t="s">
        <v>271</v>
      </c>
      <c r="V404" s="31" t="s">
        <v>1985</v>
      </c>
      <c r="W404" s="34"/>
    </row>
    <row r="405">
      <c r="A405" s="30">
        <v>400.0</v>
      </c>
      <c r="B405" s="31" t="s">
        <v>2113</v>
      </c>
      <c r="C405" s="31" t="s">
        <v>2114</v>
      </c>
      <c r="D405" s="31" t="s">
        <v>506</v>
      </c>
      <c r="E405" s="31" t="s">
        <v>2079</v>
      </c>
      <c r="F405" s="32">
        <v>44734.0</v>
      </c>
      <c r="G405" s="32">
        <v>44795.0</v>
      </c>
      <c r="H405" s="31" t="s">
        <v>262</v>
      </c>
      <c r="I405" s="31" t="s">
        <v>275</v>
      </c>
      <c r="J405" s="31" t="s">
        <v>2079</v>
      </c>
      <c r="K405" s="31" t="s">
        <v>2080</v>
      </c>
      <c r="L405" s="31" t="s">
        <v>2081</v>
      </c>
      <c r="M405" s="31" t="s">
        <v>2115</v>
      </c>
      <c r="N405" s="31" t="s">
        <v>467</v>
      </c>
      <c r="O405" s="34"/>
      <c r="P405" s="31">
        <v>5.0</v>
      </c>
      <c r="Q405" s="31" t="s">
        <v>307</v>
      </c>
      <c r="R405" s="32">
        <v>36749.0</v>
      </c>
      <c r="S405" s="31" t="s">
        <v>320</v>
      </c>
      <c r="T405" s="31" t="s">
        <v>2014</v>
      </c>
      <c r="U405" s="31" t="s">
        <v>271</v>
      </c>
      <c r="V405" s="34"/>
      <c r="W405" s="34"/>
    </row>
    <row r="406">
      <c r="A406" s="30">
        <v>401.0</v>
      </c>
      <c r="B406" s="31" t="s">
        <v>2116</v>
      </c>
      <c r="C406" s="31" t="s">
        <v>2117</v>
      </c>
      <c r="D406" s="31" t="s">
        <v>260</v>
      </c>
      <c r="E406" s="31" t="s">
        <v>2090</v>
      </c>
      <c r="F406" s="32">
        <v>44720.0</v>
      </c>
      <c r="G406" s="32">
        <v>44781.0</v>
      </c>
      <c r="H406" s="31" t="s">
        <v>262</v>
      </c>
      <c r="I406" s="31" t="s">
        <v>275</v>
      </c>
      <c r="J406" s="31" t="s">
        <v>2090</v>
      </c>
      <c r="K406" s="31" t="s">
        <v>2091</v>
      </c>
      <c r="L406" s="31" t="s">
        <v>277</v>
      </c>
      <c r="M406" s="31" t="s">
        <v>2118</v>
      </c>
      <c r="N406" s="31" t="s">
        <v>467</v>
      </c>
      <c r="O406" s="34"/>
      <c r="P406" s="31">
        <v>6.0</v>
      </c>
      <c r="Q406" s="31" t="s">
        <v>307</v>
      </c>
      <c r="R406" s="35">
        <v>37244.0</v>
      </c>
      <c r="S406" s="31" t="s">
        <v>700</v>
      </c>
      <c r="T406" s="31" t="s">
        <v>1476</v>
      </c>
      <c r="U406" s="31" t="s">
        <v>271</v>
      </c>
      <c r="V406" s="34"/>
      <c r="W406" s="34"/>
    </row>
    <row r="407">
      <c r="A407" s="30">
        <v>402.0</v>
      </c>
      <c r="B407" s="31" t="s">
        <v>2119</v>
      </c>
      <c r="C407" s="31" t="s">
        <v>2120</v>
      </c>
      <c r="D407" s="31" t="s">
        <v>925</v>
      </c>
      <c r="E407" s="31" t="s">
        <v>1985</v>
      </c>
      <c r="F407" s="32">
        <v>44712.0</v>
      </c>
      <c r="G407" s="32">
        <v>44773.0</v>
      </c>
      <c r="H407" s="31" t="s">
        <v>262</v>
      </c>
      <c r="I407" s="31" t="s">
        <v>275</v>
      </c>
      <c r="J407" s="31" t="s">
        <v>2029</v>
      </c>
      <c r="K407" s="31" t="s">
        <v>2070</v>
      </c>
      <c r="L407" s="31" t="s">
        <v>929</v>
      </c>
      <c r="M407" s="31" t="s">
        <v>2121</v>
      </c>
      <c r="N407" s="31" t="s">
        <v>267</v>
      </c>
      <c r="O407" s="34"/>
      <c r="P407" s="31">
        <v>3.0</v>
      </c>
      <c r="Q407" s="31" t="s">
        <v>307</v>
      </c>
      <c r="R407" s="32">
        <v>36376.0</v>
      </c>
      <c r="S407" s="31" t="s">
        <v>955</v>
      </c>
      <c r="T407" s="31" t="s">
        <v>321</v>
      </c>
      <c r="U407" s="31" t="s">
        <v>271</v>
      </c>
      <c r="V407" s="31" t="s">
        <v>1985</v>
      </c>
      <c r="W407" s="34"/>
    </row>
    <row r="408">
      <c r="A408" s="30">
        <v>403.0</v>
      </c>
      <c r="B408" s="31" t="s">
        <v>2122</v>
      </c>
      <c r="C408" s="31" t="s">
        <v>2123</v>
      </c>
      <c r="D408" s="31" t="s">
        <v>506</v>
      </c>
      <c r="E408" s="31" t="s">
        <v>2079</v>
      </c>
      <c r="F408" s="32">
        <v>44712.0</v>
      </c>
      <c r="G408" s="32">
        <v>44773.0</v>
      </c>
      <c r="H408" s="31" t="s">
        <v>262</v>
      </c>
      <c r="I408" s="31" t="s">
        <v>275</v>
      </c>
      <c r="J408" s="31" t="s">
        <v>2079</v>
      </c>
      <c r="K408" s="31" t="s">
        <v>2080</v>
      </c>
      <c r="L408" s="31" t="s">
        <v>2081</v>
      </c>
      <c r="M408" s="31" t="s">
        <v>2124</v>
      </c>
      <c r="N408" s="31" t="s">
        <v>267</v>
      </c>
      <c r="O408" s="34"/>
      <c r="P408" s="31">
        <v>4.0</v>
      </c>
      <c r="Q408" s="31" t="s">
        <v>307</v>
      </c>
      <c r="R408" s="32">
        <v>36761.0</v>
      </c>
      <c r="S408" s="31" t="s">
        <v>531</v>
      </c>
      <c r="T408" s="31" t="s">
        <v>1789</v>
      </c>
      <c r="U408" s="31" t="s">
        <v>271</v>
      </c>
      <c r="V408" s="34"/>
      <c r="W408" s="34"/>
    </row>
    <row r="409">
      <c r="A409" s="30">
        <v>404.0</v>
      </c>
      <c r="B409" s="31" t="s">
        <v>2125</v>
      </c>
      <c r="C409" s="31" t="s">
        <v>2126</v>
      </c>
      <c r="D409" s="31" t="s">
        <v>925</v>
      </c>
      <c r="E409" s="31" t="s">
        <v>1985</v>
      </c>
      <c r="F409" s="35">
        <v>44550.0</v>
      </c>
      <c r="G409" s="32">
        <v>44612.0</v>
      </c>
      <c r="H409" s="31" t="s">
        <v>262</v>
      </c>
      <c r="I409" s="31" t="s">
        <v>275</v>
      </c>
      <c r="J409" s="31" t="s">
        <v>2029</v>
      </c>
      <c r="K409" s="31" t="s">
        <v>2070</v>
      </c>
      <c r="L409" s="31" t="s">
        <v>929</v>
      </c>
      <c r="M409" s="31" t="s">
        <v>2127</v>
      </c>
      <c r="N409" s="31" t="s">
        <v>267</v>
      </c>
      <c r="O409" s="34"/>
      <c r="P409" s="31">
        <v>8.0</v>
      </c>
      <c r="Q409" s="31" t="s">
        <v>307</v>
      </c>
      <c r="R409" s="32">
        <v>36213.0</v>
      </c>
      <c r="S409" s="31" t="s">
        <v>320</v>
      </c>
      <c r="T409" s="31" t="s">
        <v>2128</v>
      </c>
      <c r="U409" s="31" t="s">
        <v>271</v>
      </c>
      <c r="V409" s="31" t="s">
        <v>1985</v>
      </c>
      <c r="W409" s="34"/>
    </row>
    <row r="410">
      <c r="A410" s="30">
        <v>405.0</v>
      </c>
      <c r="B410" s="31" t="s">
        <v>2129</v>
      </c>
      <c r="C410" s="31" t="s">
        <v>2130</v>
      </c>
      <c r="D410" s="31" t="s">
        <v>260</v>
      </c>
      <c r="E410" s="31" t="s">
        <v>2051</v>
      </c>
      <c r="F410" s="32">
        <v>44004.0</v>
      </c>
      <c r="G410" s="32">
        <v>44065.0</v>
      </c>
      <c r="H410" s="31" t="s">
        <v>262</v>
      </c>
      <c r="I410" s="31" t="s">
        <v>275</v>
      </c>
      <c r="J410" s="31" t="s">
        <v>2029</v>
      </c>
      <c r="K410" s="31" t="s">
        <v>2131</v>
      </c>
      <c r="L410" s="31" t="s">
        <v>997</v>
      </c>
      <c r="M410" s="31" t="s">
        <v>2132</v>
      </c>
      <c r="N410" s="31" t="s">
        <v>467</v>
      </c>
      <c r="O410" s="34"/>
      <c r="P410" s="31">
        <v>1.0</v>
      </c>
      <c r="Q410" s="31" t="s">
        <v>307</v>
      </c>
      <c r="R410" s="32">
        <v>35821.0</v>
      </c>
      <c r="S410" s="31" t="s">
        <v>531</v>
      </c>
      <c r="T410" s="31" t="s">
        <v>1476</v>
      </c>
      <c r="U410" s="31" t="s">
        <v>271</v>
      </c>
      <c r="V410" s="31" t="s">
        <v>2051</v>
      </c>
      <c r="W410" s="34"/>
    </row>
    <row r="411">
      <c r="A411" s="30">
        <v>406.0</v>
      </c>
      <c r="B411" s="31" t="s">
        <v>2133</v>
      </c>
      <c r="C411" s="31" t="s">
        <v>2134</v>
      </c>
      <c r="D411" s="31" t="s">
        <v>506</v>
      </c>
      <c r="E411" s="31" t="s">
        <v>2079</v>
      </c>
      <c r="F411" s="32">
        <v>43367.0</v>
      </c>
      <c r="G411" s="35">
        <v>43428.0</v>
      </c>
      <c r="H411" s="31" t="s">
        <v>262</v>
      </c>
      <c r="I411" s="31" t="s">
        <v>275</v>
      </c>
      <c r="J411" s="31" t="s">
        <v>2079</v>
      </c>
      <c r="K411" s="31" t="s">
        <v>2080</v>
      </c>
      <c r="L411" s="31" t="s">
        <v>2081</v>
      </c>
      <c r="M411" s="31" t="s">
        <v>2135</v>
      </c>
      <c r="N411" s="31" t="s">
        <v>267</v>
      </c>
      <c r="O411" s="34"/>
      <c r="P411" s="31">
        <v>8.0</v>
      </c>
      <c r="Q411" s="31" t="s">
        <v>307</v>
      </c>
      <c r="R411" s="32">
        <v>34532.0</v>
      </c>
      <c r="S411" s="31" t="s">
        <v>531</v>
      </c>
      <c r="T411" s="31" t="s">
        <v>1783</v>
      </c>
      <c r="U411" s="31" t="s">
        <v>271</v>
      </c>
      <c r="V411" s="34"/>
      <c r="W411" s="34"/>
    </row>
    <row r="412">
      <c r="A412" s="30">
        <v>407.0</v>
      </c>
      <c r="B412" s="31" t="s">
        <v>2136</v>
      </c>
      <c r="C412" s="31" t="s">
        <v>1410</v>
      </c>
      <c r="D412" s="31" t="s">
        <v>925</v>
      </c>
      <c r="E412" s="31" t="s">
        <v>1985</v>
      </c>
      <c r="F412" s="32">
        <v>43621.0</v>
      </c>
      <c r="G412" s="32">
        <v>43682.0</v>
      </c>
      <c r="H412" s="31" t="s">
        <v>262</v>
      </c>
      <c r="I412" s="31" t="s">
        <v>275</v>
      </c>
      <c r="J412" s="31" t="s">
        <v>2029</v>
      </c>
      <c r="K412" s="31" t="s">
        <v>2070</v>
      </c>
      <c r="L412" s="31" t="s">
        <v>929</v>
      </c>
      <c r="M412" s="31" t="s">
        <v>2137</v>
      </c>
      <c r="N412" s="31" t="s">
        <v>467</v>
      </c>
      <c r="O412" s="34"/>
      <c r="P412" s="31">
        <v>6.0</v>
      </c>
      <c r="Q412" s="31" t="s">
        <v>307</v>
      </c>
      <c r="R412" s="32">
        <v>35695.0</v>
      </c>
      <c r="S412" s="31" t="s">
        <v>2138</v>
      </c>
      <c r="T412" s="31" t="s">
        <v>1895</v>
      </c>
      <c r="U412" s="31" t="s">
        <v>271</v>
      </c>
      <c r="V412" s="31" t="s">
        <v>1985</v>
      </c>
      <c r="W412" s="34"/>
    </row>
    <row r="413">
      <c r="A413" s="30">
        <v>408.0</v>
      </c>
      <c r="B413" s="31" t="s">
        <v>2139</v>
      </c>
      <c r="C413" s="31" t="s">
        <v>2140</v>
      </c>
      <c r="D413" s="31" t="s">
        <v>506</v>
      </c>
      <c r="E413" s="31" t="s">
        <v>2079</v>
      </c>
      <c r="F413" s="32">
        <v>43592.0</v>
      </c>
      <c r="G413" s="32">
        <v>43653.0</v>
      </c>
      <c r="H413" s="31" t="s">
        <v>262</v>
      </c>
      <c r="I413" s="31" t="s">
        <v>275</v>
      </c>
      <c r="J413" s="31" t="s">
        <v>2079</v>
      </c>
      <c r="K413" s="31" t="s">
        <v>2080</v>
      </c>
      <c r="L413" s="31" t="s">
        <v>2081</v>
      </c>
      <c r="M413" s="31" t="s">
        <v>2141</v>
      </c>
      <c r="N413" s="31" t="s">
        <v>467</v>
      </c>
      <c r="O413" s="34"/>
      <c r="P413" s="31">
        <v>10.0</v>
      </c>
      <c r="Q413" s="31" t="s">
        <v>307</v>
      </c>
      <c r="R413" s="35">
        <v>34262.0</v>
      </c>
      <c r="S413" s="31" t="s">
        <v>681</v>
      </c>
      <c r="T413" s="31" t="s">
        <v>1476</v>
      </c>
      <c r="U413" s="31" t="s">
        <v>271</v>
      </c>
      <c r="V413" s="34"/>
      <c r="W413" s="34"/>
    </row>
    <row r="414">
      <c r="A414" s="30">
        <v>409.0</v>
      </c>
      <c r="B414" s="31" t="s">
        <v>2142</v>
      </c>
      <c r="C414" s="31" t="s">
        <v>2143</v>
      </c>
      <c r="D414" s="31" t="s">
        <v>506</v>
      </c>
      <c r="E414" s="31" t="s">
        <v>2079</v>
      </c>
      <c r="F414" s="32">
        <v>44170.0</v>
      </c>
      <c r="G414" s="32">
        <v>44232.0</v>
      </c>
      <c r="H414" s="31" t="s">
        <v>262</v>
      </c>
      <c r="I414" s="31" t="s">
        <v>275</v>
      </c>
      <c r="J414" s="31" t="s">
        <v>2079</v>
      </c>
      <c r="K414" s="31" t="s">
        <v>2080</v>
      </c>
      <c r="L414" s="31" t="s">
        <v>2081</v>
      </c>
      <c r="M414" s="31" t="s">
        <v>2144</v>
      </c>
      <c r="N414" s="31" t="s">
        <v>267</v>
      </c>
      <c r="O414" s="34"/>
      <c r="P414" s="31">
        <v>7.0</v>
      </c>
      <c r="Q414" s="31" t="s">
        <v>307</v>
      </c>
      <c r="R414" s="32">
        <v>36046.0</v>
      </c>
      <c r="S414" s="31" t="s">
        <v>531</v>
      </c>
      <c r="T414" s="31" t="s">
        <v>1657</v>
      </c>
      <c r="U414" s="31" t="s">
        <v>271</v>
      </c>
      <c r="V414" s="34"/>
      <c r="W414" s="34"/>
    </row>
    <row r="415">
      <c r="A415" s="30">
        <v>410.0</v>
      </c>
      <c r="B415" s="31" t="s">
        <v>2145</v>
      </c>
      <c r="C415" s="31" t="s">
        <v>2146</v>
      </c>
      <c r="D415" s="31" t="s">
        <v>260</v>
      </c>
      <c r="E415" s="31" t="s">
        <v>436</v>
      </c>
      <c r="F415" s="32">
        <v>45174.0</v>
      </c>
      <c r="G415" s="32">
        <v>45234.0</v>
      </c>
      <c r="H415" s="31" t="s">
        <v>262</v>
      </c>
      <c r="I415" s="31" t="s">
        <v>275</v>
      </c>
      <c r="J415" s="31" t="s">
        <v>436</v>
      </c>
      <c r="K415" s="31" t="s">
        <v>2147</v>
      </c>
      <c r="L415" s="31" t="s">
        <v>438</v>
      </c>
      <c r="M415" s="31" t="s">
        <v>2148</v>
      </c>
      <c r="N415" s="31" t="s">
        <v>267</v>
      </c>
      <c r="O415" s="34"/>
      <c r="P415" s="31">
        <v>2.0</v>
      </c>
      <c r="Q415" s="31" t="s">
        <v>307</v>
      </c>
      <c r="R415" s="32">
        <v>37390.0</v>
      </c>
      <c r="S415" s="31" t="s">
        <v>1876</v>
      </c>
      <c r="T415" s="31" t="s">
        <v>1915</v>
      </c>
      <c r="U415" s="31" t="s">
        <v>271</v>
      </c>
      <c r="V415" s="34"/>
      <c r="W415" s="34"/>
    </row>
    <row r="416">
      <c r="A416" s="30">
        <v>411.0</v>
      </c>
      <c r="B416" s="31" t="s">
        <v>2149</v>
      </c>
      <c r="C416" s="31" t="s">
        <v>2150</v>
      </c>
      <c r="D416" s="31" t="s">
        <v>260</v>
      </c>
      <c r="E416" s="31" t="s">
        <v>436</v>
      </c>
      <c r="F416" s="32">
        <v>45096.0</v>
      </c>
      <c r="G416" s="32">
        <v>45156.0</v>
      </c>
      <c r="H416" s="31" t="s">
        <v>262</v>
      </c>
      <c r="I416" s="31" t="s">
        <v>275</v>
      </c>
      <c r="J416" s="31" t="s">
        <v>436</v>
      </c>
      <c r="K416" s="31" t="s">
        <v>2147</v>
      </c>
      <c r="L416" s="31" t="s">
        <v>438</v>
      </c>
      <c r="M416" s="31" t="s">
        <v>2151</v>
      </c>
      <c r="N416" s="31" t="s">
        <v>267</v>
      </c>
      <c r="O416" s="34"/>
      <c r="P416" s="31">
        <v>3.0</v>
      </c>
      <c r="Q416" s="31" t="s">
        <v>307</v>
      </c>
      <c r="R416" s="32">
        <v>36696.0</v>
      </c>
      <c r="S416" s="31" t="s">
        <v>1041</v>
      </c>
      <c r="T416" s="31" t="s">
        <v>1765</v>
      </c>
      <c r="U416" s="31" t="s">
        <v>271</v>
      </c>
      <c r="V416" s="34"/>
      <c r="W416" s="34"/>
    </row>
    <row r="417">
      <c r="A417" s="30">
        <v>412.0</v>
      </c>
      <c r="B417" s="31" t="s">
        <v>2152</v>
      </c>
      <c r="C417" s="31" t="s">
        <v>2153</v>
      </c>
      <c r="D417" s="31" t="s">
        <v>260</v>
      </c>
      <c r="E417" s="31" t="s">
        <v>436</v>
      </c>
      <c r="F417" s="32">
        <v>45027.0</v>
      </c>
      <c r="G417" s="32">
        <v>45088.0</v>
      </c>
      <c r="H417" s="31" t="s">
        <v>262</v>
      </c>
      <c r="I417" s="31" t="s">
        <v>275</v>
      </c>
      <c r="J417" s="31" t="s">
        <v>436</v>
      </c>
      <c r="K417" s="31" t="s">
        <v>2147</v>
      </c>
      <c r="L417" s="31" t="s">
        <v>438</v>
      </c>
      <c r="M417" s="31" t="s">
        <v>2154</v>
      </c>
      <c r="N417" s="31" t="s">
        <v>267</v>
      </c>
      <c r="O417" s="34"/>
      <c r="P417" s="31">
        <v>3.0</v>
      </c>
      <c r="Q417" s="31" t="s">
        <v>307</v>
      </c>
      <c r="R417" s="32">
        <v>35872.0</v>
      </c>
      <c r="S417" s="31" t="s">
        <v>526</v>
      </c>
      <c r="T417" s="31" t="s">
        <v>1711</v>
      </c>
      <c r="U417" s="31" t="s">
        <v>271</v>
      </c>
      <c r="V417" s="34"/>
      <c r="W417" s="34"/>
    </row>
    <row r="418">
      <c r="A418" s="30">
        <v>413.0</v>
      </c>
      <c r="B418" s="31" t="s">
        <v>2155</v>
      </c>
      <c r="C418" s="31" t="s">
        <v>2156</v>
      </c>
      <c r="D418" s="31" t="s">
        <v>506</v>
      </c>
      <c r="E418" s="31" t="s">
        <v>2079</v>
      </c>
      <c r="F418" s="32">
        <v>44900.0</v>
      </c>
      <c r="G418" s="32">
        <v>44962.0</v>
      </c>
      <c r="H418" s="31" t="s">
        <v>262</v>
      </c>
      <c r="I418" s="31" t="s">
        <v>275</v>
      </c>
      <c r="J418" s="31" t="s">
        <v>2079</v>
      </c>
      <c r="K418" s="31" t="s">
        <v>2080</v>
      </c>
      <c r="L418" s="31" t="s">
        <v>2081</v>
      </c>
      <c r="M418" s="31" t="s">
        <v>2157</v>
      </c>
      <c r="N418" s="31" t="s">
        <v>467</v>
      </c>
      <c r="O418" s="34"/>
      <c r="P418" s="31">
        <v>3.0</v>
      </c>
      <c r="Q418" s="31" t="s">
        <v>307</v>
      </c>
      <c r="R418" s="35">
        <v>37192.0</v>
      </c>
      <c r="S418" s="31" t="s">
        <v>531</v>
      </c>
      <c r="T418" s="31" t="s">
        <v>1639</v>
      </c>
      <c r="U418" s="31" t="s">
        <v>271</v>
      </c>
      <c r="V418" s="34"/>
      <c r="W418" s="34"/>
    </row>
    <row r="419">
      <c r="A419" s="30">
        <v>414.0</v>
      </c>
      <c r="B419" s="31" t="s">
        <v>2158</v>
      </c>
      <c r="C419" s="31" t="s">
        <v>2159</v>
      </c>
      <c r="D419" s="31" t="s">
        <v>506</v>
      </c>
      <c r="E419" s="31" t="s">
        <v>2079</v>
      </c>
      <c r="F419" s="32">
        <v>44803.0</v>
      </c>
      <c r="G419" s="35">
        <v>44864.0</v>
      </c>
      <c r="H419" s="31" t="s">
        <v>262</v>
      </c>
      <c r="I419" s="31" t="s">
        <v>275</v>
      </c>
      <c r="J419" s="31" t="s">
        <v>2079</v>
      </c>
      <c r="K419" s="31" t="s">
        <v>2080</v>
      </c>
      <c r="L419" s="31" t="s">
        <v>2081</v>
      </c>
      <c r="M419" s="31" t="s">
        <v>2160</v>
      </c>
      <c r="N419" s="31" t="s">
        <v>267</v>
      </c>
      <c r="O419" s="34"/>
      <c r="P419" s="31">
        <v>4.0</v>
      </c>
      <c r="Q419" s="31" t="s">
        <v>307</v>
      </c>
      <c r="R419" s="32">
        <v>36975.0</v>
      </c>
      <c r="S419" s="31" t="s">
        <v>626</v>
      </c>
      <c r="T419" s="31" t="s">
        <v>1476</v>
      </c>
      <c r="U419" s="31" t="s">
        <v>271</v>
      </c>
      <c r="V419" s="34"/>
      <c r="W419" s="34"/>
    </row>
    <row r="420">
      <c r="A420" s="30">
        <v>415.0</v>
      </c>
      <c r="B420" s="31" t="s">
        <v>2161</v>
      </c>
      <c r="C420" s="31" t="s">
        <v>2162</v>
      </c>
      <c r="D420" s="31" t="s">
        <v>260</v>
      </c>
      <c r="E420" s="31" t="s">
        <v>436</v>
      </c>
      <c r="F420" s="32">
        <v>44767.0</v>
      </c>
      <c r="G420" s="32">
        <v>44829.0</v>
      </c>
      <c r="H420" s="31" t="s">
        <v>262</v>
      </c>
      <c r="I420" s="31" t="s">
        <v>275</v>
      </c>
      <c r="J420" s="31" t="s">
        <v>436</v>
      </c>
      <c r="K420" s="31" t="s">
        <v>2147</v>
      </c>
      <c r="L420" s="31" t="s">
        <v>438</v>
      </c>
      <c r="M420" s="31" t="s">
        <v>2163</v>
      </c>
      <c r="N420" s="31" t="s">
        <v>467</v>
      </c>
      <c r="O420" s="34"/>
      <c r="P420" s="31">
        <v>6.0</v>
      </c>
      <c r="Q420" s="31" t="s">
        <v>307</v>
      </c>
      <c r="R420" s="32">
        <v>37049.0</v>
      </c>
      <c r="S420" s="31" t="s">
        <v>320</v>
      </c>
      <c r="T420" s="31" t="s">
        <v>2014</v>
      </c>
      <c r="U420" s="31" t="s">
        <v>271</v>
      </c>
      <c r="V420" s="34"/>
      <c r="W420" s="34"/>
    </row>
    <row r="421">
      <c r="A421" s="30">
        <v>416.0</v>
      </c>
      <c r="B421" s="31" t="s">
        <v>2164</v>
      </c>
      <c r="C421" s="31" t="s">
        <v>2165</v>
      </c>
      <c r="D421" s="31" t="s">
        <v>260</v>
      </c>
      <c r="E421" s="31" t="s">
        <v>436</v>
      </c>
      <c r="F421" s="35">
        <v>44550.0</v>
      </c>
      <c r="G421" s="32">
        <v>44612.0</v>
      </c>
      <c r="H421" s="31" t="s">
        <v>262</v>
      </c>
      <c r="I421" s="31" t="s">
        <v>275</v>
      </c>
      <c r="J421" s="31" t="s">
        <v>436</v>
      </c>
      <c r="K421" s="31" t="s">
        <v>2147</v>
      </c>
      <c r="L421" s="31" t="s">
        <v>438</v>
      </c>
      <c r="M421" s="31" t="s">
        <v>2166</v>
      </c>
      <c r="N421" s="31" t="s">
        <v>267</v>
      </c>
      <c r="O421" s="34"/>
      <c r="P421" s="31">
        <v>1.0</v>
      </c>
      <c r="Q421" s="31" t="s">
        <v>307</v>
      </c>
      <c r="R421" s="32">
        <v>36339.0</v>
      </c>
      <c r="S421" s="31" t="s">
        <v>955</v>
      </c>
      <c r="T421" s="31" t="s">
        <v>1647</v>
      </c>
      <c r="U421" s="31" t="s">
        <v>271</v>
      </c>
      <c r="V421" s="34"/>
      <c r="W421" s="34"/>
    </row>
    <row r="422">
      <c r="A422" s="30">
        <v>417.0</v>
      </c>
      <c r="B422" s="31" t="s">
        <v>2167</v>
      </c>
      <c r="C422" s="31" t="s">
        <v>2168</v>
      </c>
      <c r="D422" s="31" t="s">
        <v>260</v>
      </c>
      <c r="E422" s="31" t="s">
        <v>436</v>
      </c>
      <c r="F422" s="35">
        <v>44550.0</v>
      </c>
      <c r="G422" s="32">
        <v>44562.0</v>
      </c>
      <c r="H422" s="31" t="s">
        <v>262</v>
      </c>
      <c r="I422" s="31" t="s">
        <v>275</v>
      </c>
      <c r="J422" s="31" t="s">
        <v>436</v>
      </c>
      <c r="K422" s="31" t="s">
        <v>2147</v>
      </c>
      <c r="L422" s="31" t="s">
        <v>438</v>
      </c>
      <c r="M422" s="31" t="s">
        <v>2169</v>
      </c>
      <c r="N422" s="31" t="s">
        <v>267</v>
      </c>
      <c r="O422" s="34"/>
      <c r="P422" s="31">
        <v>7.0</v>
      </c>
      <c r="Q422" s="31" t="s">
        <v>307</v>
      </c>
      <c r="R422" s="32">
        <v>36204.0</v>
      </c>
      <c r="S422" s="31" t="s">
        <v>320</v>
      </c>
      <c r="T422" s="31" t="s">
        <v>1639</v>
      </c>
      <c r="U422" s="31" t="s">
        <v>271</v>
      </c>
      <c r="V422" s="34"/>
      <c r="W422" s="34"/>
    </row>
    <row r="423">
      <c r="A423" s="30">
        <v>418.0</v>
      </c>
      <c r="B423" s="31" t="s">
        <v>2170</v>
      </c>
      <c r="C423" s="31" t="s">
        <v>2171</v>
      </c>
      <c r="D423" s="31" t="s">
        <v>2172</v>
      </c>
      <c r="E423" s="31" t="s">
        <v>436</v>
      </c>
      <c r="F423" s="35">
        <v>44135.0</v>
      </c>
      <c r="G423" s="35">
        <v>44196.0</v>
      </c>
      <c r="H423" s="31" t="s">
        <v>262</v>
      </c>
      <c r="I423" s="31" t="s">
        <v>275</v>
      </c>
      <c r="J423" s="31" t="s">
        <v>436</v>
      </c>
      <c r="K423" s="31" t="s">
        <v>2147</v>
      </c>
      <c r="L423" s="31" t="s">
        <v>2173</v>
      </c>
      <c r="M423" s="31" t="s">
        <v>2174</v>
      </c>
      <c r="N423" s="31" t="s">
        <v>467</v>
      </c>
      <c r="O423" s="31">
        <v>2.0</v>
      </c>
      <c r="P423" s="31">
        <v>1.0</v>
      </c>
      <c r="Q423" s="31" t="s">
        <v>307</v>
      </c>
      <c r="R423" s="32">
        <v>35802.0</v>
      </c>
      <c r="S423" s="31" t="s">
        <v>308</v>
      </c>
      <c r="T423" s="31" t="s">
        <v>1783</v>
      </c>
      <c r="U423" s="31" t="s">
        <v>271</v>
      </c>
      <c r="V423" s="34"/>
      <c r="W423" s="34"/>
    </row>
    <row r="424">
      <c r="A424" s="30">
        <v>419.0</v>
      </c>
      <c r="B424" s="31" t="s">
        <v>2175</v>
      </c>
      <c r="C424" s="31" t="s">
        <v>2176</v>
      </c>
      <c r="D424" s="31" t="s">
        <v>260</v>
      </c>
      <c r="E424" s="31" t="s">
        <v>274</v>
      </c>
      <c r="F424" s="32">
        <v>43957.0</v>
      </c>
      <c r="G424" s="32">
        <v>44018.0</v>
      </c>
      <c r="H424" s="31" t="s">
        <v>262</v>
      </c>
      <c r="I424" s="31" t="s">
        <v>275</v>
      </c>
      <c r="J424" s="31" t="s">
        <v>274</v>
      </c>
      <c r="K424" s="31" t="s">
        <v>276</v>
      </c>
      <c r="L424" s="31" t="s">
        <v>277</v>
      </c>
      <c r="M424" s="31" t="s">
        <v>2177</v>
      </c>
      <c r="N424" s="31" t="s">
        <v>267</v>
      </c>
      <c r="O424" s="34"/>
      <c r="P424" s="31">
        <v>2.0</v>
      </c>
      <c r="Q424" s="31" t="s">
        <v>307</v>
      </c>
      <c r="R424" s="32">
        <v>35502.0</v>
      </c>
      <c r="S424" s="31" t="s">
        <v>526</v>
      </c>
      <c r="T424" s="31" t="s">
        <v>2178</v>
      </c>
      <c r="U424" s="31" t="s">
        <v>271</v>
      </c>
      <c r="V424" s="34"/>
      <c r="W424" s="34"/>
    </row>
    <row r="425">
      <c r="A425" s="30">
        <v>420.0</v>
      </c>
      <c r="B425" s="31" t="s">
        <v>2179</v>
      </c>
      <c r="C425" s="31" t="s">
        <v>2180</v>
      </c>
      <c r="D425" s="31" t="s">
        <v>506</v>
      </c>
      <c r="E425" s="31" t="s">
        <v>2079</v>
      </c>
      <c r="F425" s="32">
        <v>43727.0</v>
      </c>
      <c r="G425" s="35">
        <v>43788.0</v>
      </c>
      <c r="H425" s="31" t="s">
        <v>262</v>
      </c>
      <c r="I425" s="31" t="s">
        <v>275</v>
      </c>
      <c r="J425" s="31" t="s">
        <v>2079</v>
      </c>
      <c r="K425" s="31" t="s">
        <v>2080</v>
      </c>
      <c r="L425" s="31" t="s">
        <v>2081</v>
      </c>
      <c r="M425" s="31" t="s">
        <v>2181</v>
      </c>
      <c r="N425" s="31" t="s">
        <v>267</v>
      </c>
      <c r="O425" s="34"/>
      <c r="P425" s="31">
        <v>9.0</v>
      </c>
      <c r="Q425" s="31" t="s">
        <v>307</v>
      </c>
      <c r="R425" s="32">
        <v>35579.0</v>
      </c>
      <c r="S425" s="31" t="s">
        <v>838</v>
      </c>
      <c r="T425" s="31" t="s">
        <v>321</v>
      </c>
      <c r="U425" s="31" t="s">
        <v>271</v>
      </c>
      <c r="V425" s="34"/>
      <c r="W425" s="34"/>
    </row>
    <row r="426">
      <c r="A426" s="30">
        <v>421.0</v>
      </c>
      <c r="B426" s="31" t="s">
        <v>2182</v>
      </c>
      <c r="C426" s="31" t="s">
        <v>2183</v>
      </c>
      <c r="D426" s="31" t="s">
        <v>260</v>
      </c>
      <c r="E426" s="31" t="s">
        <v>374</v>
      </c>
      <c r="F426" s="32">
        <v>44382.0</v>
      </c>
      <c r="G426" s="32">
        <v>44444.0</v>
      </c>
      <c r="H426" s="31" t="s">
        <v>262</v>
      </c>
      <c r="I426" s="31" t="s">
        <v>275</v>
      </c>
      <c r="J426" s="31" t="s">
        <v>374</v>
      </c>
      <c r="K426" s="31" t="s">
        <v>2184</v>
      </c>
      <c r="L426" s="31" t="s">
        <v>376</v>
      </c>
      <c r="M426" s="31" t="s">
        <v>2185</v>
      </c>
      <c r="N426" s="31" t="s">
        <v>267</v>
      </c>
      <c r="O426" s="34"/>
      <c r="P426" s="31">
        <v>9.0</v>
      </c>
      <c r="Q426" s="31" t="s">
        <v>307</v>
      </c>
      <c r="R426" s="32">
        <v>36002.0</v>
      </c>
      <c r="S426" s="31" t="s">
        <v>526</v>
      </c>
      <c r="T426" s="31" t="s">
        <v>1959</v>
      </c>
      <c r="U426" s="31" t="s">
        <v>271</v>
      </c>
      <c r="V426" s="34"/>
      <c r="W426" s="34"/>
    </row>
    <row r="427">
      <c r="A427" s="30">
        <v>422.0</v>
      </c>
      <c r="B427" s="31" t="s">
        <v>2186</v>
      </c>
      <c r="C427" s="31" t="s">
        <v>2187</v>
      </c>
      <c r="D427" s="31" t="s">
        <v>978</v>
      </c>
      <c r="E427" s="31" t="s">
        <v>374</v>
      </c>
      <c r="F427" s="32">
        <v>43957.0</v>
      </c>
      <c r="G427" s="32">
        <v>44018.0</v>
      </c>
      <c r="H427" s="31" t="s">
        <v>262</v>
      </c>
      <c r="I427" s="31" t="s">
        <v>275</v>
      </c>
      <c r="J427" s="31" t="s">
        <v>374</v>
      </c>
      <c r="K427" s="31" t="s">
        <v>2184</v>
      </c>
      <c r="L427" s="31" t="s">
        <v>2188</v>
      </c>
      <c r="M427" s="31" t="s">
        <v>2189</v>
      </c>
      <c r="N427" s="31" t="s">
        <v>467</v>
      </c>
      <c r="O427" s="31">
        <v>2.0</v>
      </c>
      <c r="P427" s="31">
        <v>2.0</v>
      </c>
      <c r="Q427" s="31" t="s">
        <v>307</v>
      </c>
      <c r="R427" s="32">
        <v>35519.0</v>
      </c>
      <c r="S427" s="31" t="s">
        <v>676</v>
      </c>
      <c r="T427" s="31" t="s">
        <v>1670</v>
      </c>
      <c r="U427" s="31" t="s">
        <v>271</v>
      </c>
      <c r="V427" s="34"/>
      <c r="W427" s="34"/>
    </row>
    <row r="428">
      <c r="A428" s="30">
        <v>423.0</v>
      </c>
      <c r="B428" s="31" t="s">
        <v>2190</v>
      </c>
      <c r="C428" s="31" t="s">
        <v>2191</v>
      </c>
      <c r="D428" s="31" t="s">
        <v>1678</v>
      </c>
      <c r="E428" s="31" t="s">
        <v>2079</v>
      </c>
      <c r="F428" s="32">
        <v>40091.0</v>
      </c>
      <c r="G428" s="32">
        <v>40152.0</v>
      </c>
      <c r="H428" s="31" t="s">
        <v>262</v>
      </c>
      <c r="I428" s="31" t="s">
        <v>275</v>
      </c>
      <c r="J428" s="31" t="s">
        <v>2079</v>
      </c>
      <c r="K428" s="31" t="s">
        <v>2080</v>
      </c>
      <c r="L428" s="31" t="s">
        <v>2192</v>
      </c>
      <c r="M428" s="31" t="s">
        <v>2193</v>
      </c>
      <c r="N428" s="31" t="s">
        <v>267</v>
      </c>
      <c r="O428" s="31">
        <v>2.0</v>
      </c>
      <c r="P428" s="31">
        <v>10.0</v>
      </c>
      <c r="Q428" s="31" t="s">
        <v>307</v>
      </c>
      <c r="R428" s="32">
        <v>31821.0</v>
      </c>
      <c r="S428" s="31" t="s">
        <v>1249</v>
      </c>
      <c r="T428" s="31" t="s">
        <v>1796</v>
      </c>
      <c r="U428" s="31" t="s">
        <v>271</v>
      </c>
      <c r="V428" s="34"/>
      <c r="W428" s="34"/>
    </row>
    <row r="429">
      <c r="A429" s="30">
        <v>424.0</v>
      </c>
      <c r="B429" s="31" t="s">
        <v>2194</v>
      </c>
      <c r="C429" s="31" t="s">
        <v>2195</v>
      </c>
      <c r="D429" s="31" t="s">
        <v>506</v>
      </c>
      <c r="E429" s="31" t="s">
        <v>2079</v>
      </c>
      <c r="F429" s="32">
        <v>44278.0</v>
      </c>
      <c r="G429" s="32">
        <v>44339.0</v>
      </c>
      <c r="H429" s="31" t="s">
        <v>262</v>
      </c>
      <c r="I429" s="31" t="s">
        <v>275</v>
      </c>
      <c r="J429" s="31" t="s">
        <v>2079</v>
      </c>
      <c r="K429" s="31" t="s">
        <v>2080</v>
      </c>
      <c r="L429" s="31" t="s">
        <v>2081</v>
      </c>
      <c r="M429" s="31" t="s">
        <v>2196</v>
      </c>
      <c r="N429" s="31" t="s">
        <v>267</v>
      </c>
      <c r="O429" s="34"/>
      <c r="P429" s="31">
        <v>5.0</v>
      </c>
      <c r="Q429" s="31" t="s">
        <v>307</v>
      </c>
      <c r="R429" s="32">
        <v>35940.0</v>
      </c>
      <c r="S429" s="31" t="s">
        <v>526</v>
      </c>
      <c r="T429" s="31" t="s">
        <v>1895</v>
      </c>
      <c r="U429" s="31" t="s">
        <v>271</v>
      </c>
      <c r="V429" s="34"/>
      <c r="W429" s="34"/>
    </row>
    <row r="430">
      <c r="A430" s="30">
        <v>425.0</v>
      </c>
      <c r="B430" s="31" t="s">
        <v>2197</v>
      </c>
      <c r="C430" s="31" t="s">
        <v>2198</v>
      </c>
      <c r="D430" s="31" t="s">
        <v>260</v>
      </c>
      <c r="E430" s="31" t="s">
        <v>274</v>
      </c>
      <c r="F430" s="32">
        <v>44382.0</v>
      </c>
      <c r="G430" s="32">
        <v>44444.0</v>
      </c>
      <c r="H430" s="31" t="s">
        <v>262</v>
      </c>
      <c r="I430" s="31" t="s">
        <v>275</v>
      </c>
      <c r="J430" s="31" t="s">
        <v>274</v>
      </c>
      <c r="K430" s="31" t="s">
        <v>276</v>
      </c>
      <c r="L430" s="31" t="s">
        <v>277</v>
      </c>
      <c r="M430" s="31" t="s">
        <v>2199</v>
      </c>
      <c r="N430" s="31" t="s">
        <v>267</v>
      </c>
      <c r="O430" s="34"/>
      <c r="P430" s="31">
        <v>7.0</v>
      </c>
      <c r="Q430" s="31" t="s">
        <v>307</v>
      </c>
      <c r="R430" s="35">
        <v>36824.0</v>
      </c>
      <c r="S430" s="31" t="s">
        <v>1104</v>
      </c>
      <c r="T430" s="31" t="s">
        <v>1686</v>
      </c>
      <c r="U430" s="31" t="s">
        <v>271</v>
      </c>
      <c r="V430" s="34"/>
      <c r="W430" s="34"/>
    </row>
    <row r="431">
      <c r="A431" s="30">
        <v>426.0</v>
      </c>
      <c r="B431" s="31" t="s">
        <v>2200</v>
      </c>
      <c r="C431" s="31" t="s">
        <v>2201</v>
      </c>
      <c r="D431" s="31" t="s">
        <v>260</v>
      </c>
      <c r="E431" s="31" t="s">
        <v>374</v>
      </c>
      <c r="F431" s="32">
        <v>44305.0</v>
      </c>
      <c r="G431" s="32">
        <v>44366.0</v>
      </c>
      <c r="H431" s="31" t="s">
        <v>262</v>
      </c>
      <c r="I431" s="31" t="s">
        <v>275</v>
      </c>
      <c r="J431" s="31" t="s">
        <v>374</v>
      </c>
      <c r="K431" s="31" t="s">
        <v>2184</v>
      </c>
      <c r="L431" s="31" t="s">
        <v>376</v>
      </c>
      <c r="M431" s="31" t="s">
        <v>2202</v>
      </c>
      <c r="N431" s="31" t="s">
        <v>267</v>
      </c>
      <c r="O431" s="34"/>
      <c r="P431" s="31">
        <v>4.0</v>
      </c>
      <c r="Q431" s="31" t="s">
        <v>307</v>
      </c>
      <c r="R431" s="32">
        <v>35602.0</v>
      </c>
      <c r="S431" s="31" t="s">
        <v>320</v>
      </c>
      <c r="T431" s="31" t="s">
        <v>1726</v>
      </c>
      <c r="U431" s="31" t="s">
        <v>271</v>
      </c>
      <c r="V431" s="34"/>
      <c r="W431" s="34"/>
    </row>
    <row r="432">
      <c r="A432" s="30">
        <v>427.0</v>
      </c>
      <c r="B432" s="31" t="s">
        <v>2203</v>
      </c>
      <c r="C432" s="31" t="s">
        <v>2204</v>
      </c>
      <c r="D432" s="31" t="s">
        <v>506</v>
      </c>
      <c r="E432" s="31" t="s">
        <v>2079</v>
      </c>
      <c r="F432" s="32">
        <v>42933.0</v>
      </c>
      <c r="G432" s="32">
        <v>42995.0</v>
      </c>
      <c r="H432" s="31" t="s">
        <v>262</v>
      </c>
      <c r="I432" s="31" t="s">
        <v>275</v>
      </c>
      <c r="J432" s="31" t="s">
        <v>2079</v>
      </c>
      <c r="K432" s="31" t="s">
        <v>2080</v>
      </c>
      <c r="L432" s="31" t="s">
        <v>2081</v>
      </c>
      <c r="M432" s="31" t="s">
        <v>2205</v>
      </c>
      <c r="N432" s="31" t="s">
        <v>267</v>
      </c>
      <c r="O432" s="34"/>
      <c r="P432" s="31">
        <v>9.0</v>
      </c>
      <c r="Q432" s="31" t="s">
        <v>307</v>
      </c>
      <c r="R432" s="32">
        <v>34565.0</v>
      </c>
      <c r="S432" s="31" t="s">
        <v>531</v>
      </c>
      <c r="T432" s="31" t="s">
        <v>1765</v>
      </c>
      <c r="U432" s="31" t="s">
        <v>271</v>
      </c>
      <c r="V432" s="34"/>
      <c r="W432" s="34"/>
    </row>
    <row r="433">
      <c r="A433" s="30">
        <v>428.0</v>
      </c>
      <c r="B433" s="31" t="s">
        <v>2206</v>
      </c>
      <c r="C433" s="31" t="s">
        <v>2207</v>
      </c>
      <c r="D433" s="31" t="s">
        <v>260</v>
      </c>
      <c r="E433" s="31" t="s">
        <v>295</v>
      </c>
      <c r="F433" s="32">
        <v>44309.0</v>
      </c>
      <c r="G433" s="32">
        <v>44370.0</v>
      </c>
      <c r="H433" s="31" t="s">
        <v>262</v>
      </c>
      <c r="I433" s="31" t="s">
        <v>275</v>
      </c>
      <c r="J433" s="31" t="s">
        <v>295</v>
      </c>
      <c r="K433" s="31" t="s">
        <v>296</v>
      </c>
      <c r="L433" s="31" t="s">
        <v>297</v>
      </c>
      <c r="M433" s="31" t="s">
        <v>2208</v>
      </c>
      <c r="N433" s="31" t="s">
        <v>267</v>
      </c>
      <c r="O433" s="34"/>
      <c r="P433" s="31">
        <v>9.0</v>
      </c>
      <c r="Q433" s="31" t="s">
        <v>581</v>
      </c>
      <c r="R433" s="35">
        <v>35744.0</v>
      </c>
      <c r="S433" s="31" t="s">
        <v>2057</v>
      </c>
      <c r="T433" s="31" t="s">
        <v>2209</v>
      </c>
      <c r="U433" s="31" t="s">
        <v>271</v>
      </c>
      <c r="V433" s="34"/>
      <c r="W433" s="34"/>
    </row>
    <row r="434">
      <c r="A434" s="30">
        <v>429.0</v>
      </c>
      <c r="B434" s="31" t="s">
        <v>2210</v>
      </c>
      <c r="C434" s="31" t="s">
        <v>2211</v>
      </c>
      <c r="D434" s="31" t="s">
        <v>260</v>
      </c>
      <c r="E434" s="31" t="s">
        <v>274</v>
      </c>
      <c r="F434" s="32">
        <v>44278.0</v>
      </c>
      <c r="G434" s="32">
        <v>44339.0</v>
      </c>
      <c r="H434" s="31" t="s">
        <v>262</v>
      </c>
      <c r="I434" s="31" t="s">
        <v>275</v>
      </c>
      <c r="J434" s="31" t="s">
        <v>274</v>
      </c>
      <c r="K434" s="31" t="s">
        <v>276</v>
      </c>
      <c r="L434" s="31" t="s">
        <v>277</v>
      </c>
      <c r="M434" s="31" t="s">
        <v>2212</v>
      </c>
      <c r="N434" s="31" t="s">
        <v>267</v>
      </c>
      <c r="O434" s="34"/>
      <c r="P434" s="31">
        <v>6.0</v>
      </c>
      <c r="Q434" s="31" t="s">
        <v>307</v>
      </c>
      <c r="R434" s="32">
        <v>36196.0</v>
      </c>
      <c r="S434" s="31" t="s">
        <v>526</v>
      </c>
      <c r="T434" s="31" t="s">
        <v>1959</v>
      </c>
      <c r="U434" s="31" t="s">
        <v>271</v>
      </c>
      <c r="V434" s="34"/>
      <c r="W434" s="34"/>
    </row>
    <row r="435">
      <c r="A435" s="30">
        <v>430.0</v>
      </c>
      <c r="B435" s="31" t="s">
        <v>2213</v>
      </c>
      <c r="C435" s="31" t="s">
        <v>2214</v>
      </c>
      <c r="D435" s="31" t="s">
        <v>978</v>
      </c>
      <c r="E435" s="31" t="s">
        <v>274</v>
      </c>
      <c r="F435" s="32">
        <v>42618.0</v>
      </c>
      <c r="G435" s="32">
        <v>42679.0</v>
      </c>
      <c r="H435" s="31" t="s">
        <v>262</v>
      </c>
      <c r="I435" s="31" t="s">
        <v>275</v>
      </c>
      <c r="J435" s="31" t="s">
        <v>274</v>
      </c>
      <c r="K435" s="31" t="s">
        <v>276</v>
      </c>
      <c r="L435" s="31" t="s">
        <v>2215</v>
      </c>
      <c r="M435" s="31" t="s">
        <v>2216</v>
      </c>
      <c r="N435" s="31" t="s">
        <v>267</v>
      </c>
      <c r="O435" s="31">
        <v>2.0</v>
      </c>
      <c r="P435" s="31">
        <v>1.0</v>
      </c>
      <c r="Q435" s="31" t="s">
        <v>307</v>
      </c>
      <c r="R435" s="32">
        <v>34237.0</v>
      </c>
      <c r="S435" s="31" t="s">
        <v>320</v>
      </c>
      <c r="T435" s="31" t="s">
        <v>1690</v>
      </c>
      <c r="U435" s="31" t="s">
        <v>271</v>
      </c>
      <c r="V435" s="34"/>
      <c r="W435" s="34"/>
    </row>
    <row r="436">
      <c r="A436" s="30">
        <v>431.0</v>
      </c>
      <c r="B436" s="31" t="s">
        <v>2217</v>
      </c>
      <c r="C436" s="31" t="s">
        <v>2218</v>
      </c>
      <c r="D436" s="31" t="s">
        <v>260</v>
      </c>
      <c r="E436" s="31" t="s">
        <v>1139</v>
      </c>
      <c r="F436" s="32">
        <v>45013.0</v>
      </c>
      <c r="G436" s="32">
        <v>45074.0</v>
      </c>
      <c r="H436" s="31" t="s">
        <v>262</v>
      </c>
      <c r="I436" s="31" t="s">
        <v>2219</v>
      </c>
      <c r="J436" s="31" t="s">
        <v>1139</v>
      </c>
      <c r="K436" s="31" t="s">
        <v>2220</v>
      </c>
      <c r="L436" s="31" t="s">
        <v>392</v>
      </c>
      <c r="M436" s="31" t="s">
        <v>2221</v>
      </c>
      <c r="N436" s="31" t="s">
        <v>467</v>
      </c>
      <c r="O436" s="34"/>
      <c r="P436" s="31">
        <v>2.0</v>
      </c>
      <c r="Q436" s="31" t="s">
        <v>307</v>
      </c>
      <c r="R436" s="32">
        <v>37146.0</v>
      </c>
      <c r="S436" s="31" t="s">
        <v>320</v>
      </c>
      <c r="T436" s="31" t="s">
        <v>1711</v>
      </c>
      <c r="U436" s="31" t="s">
        <v>271</v>
      </c>
      <c r="V436" s="34"/>
      <c r="W436" s="34"/>
    </row>
    <row r="437">
      <c r="A437" s="30">
        <v>432.0</v>
      </c>
      <c r="B437" s="31" t="s">
        <v>2222</v>
      </c>
      <c r="C437" s="31" t="s">
        <v>2223</v>
      </c>
      <c r="D437" s="31" t="s">
        <v>260</v>
      </c>
      <c r="E437" s="31" t="s">
        <v>274</v>
      </c>
      <c r="F437" s="32">
        <v>44767.0</v>
      </c>
      <c r="G437" s="32">
        <v>44829.0</v>
      </c>
      <c r="H437" s="31" t="s">
        <v>262</v>
      </c>
      <c r="I437" s="31" t="s">
        <v>275</v>
      </c>
      <c r="J437" s="31" t="s">
        <v>274</v>
      </c>
      <c r="K437" s="31" t="s">
        <v>276</v>
      </c>
      <c r="L437" s="31" t="s">
        <v>277</v>
      </c>
      <c r="M437" s="31" t="s">
        <v>2224</v>
      </c>
      <c r="N437" s="31" t="s">
        <v>267</v>
      </c>
      <c r="O437" s="34"/>
      <c r="P437" s="31">
        <v>3.0</v>
      </c>
      <c r="Q437" s="31" t="s">
        <v>307</v>
      </c>
      <c r="R437" s="32">
        <v>37087.0</v>
      </c>
      <c r="S437" s="31" t="s">
        <v>320</v>
      </c>
      <c r="T437" s="31" t="s">
        <v>1476</v>
      </c>
      <c r="U437" s="31" t="s">
        <v>271</v>
      </c>
      <c r="V437" s="34"/>
      <c r="W437" s="34"/>
    </row>
    <row r="438">
      <c r="A438" s="30">
        <v>433.0</v>
      </c>
      <c r="B438" s="31" t="s">
        <v>2225</v>
      </c>
      <c r="C438" s="31" t="s">
        <v>2226</v>
      </c>
      <c r="D438" s="31" t="s">
        <v>260</v>
      </c>
      <c r="E438" s="31" t="s">
        <v>403</v>
      </c>
      <c r="F438" s="32">
        <v>44620.0</v>
      </c>
      <c r="G438" s="32">
        <v>44679.0</v>
      </c>
      <c r="H438" s="31" t="s">
        <v>262</v>
      </c>
      <c r="I438" s="31" t="s">
        <v>2219</v>
      </c>
      <c r="J438" s="31" t="s">
        <v>403</v>
      </c>
      <c r="K438" s="31" t="s">
        <v>2227</v>
      </c>
      <c r="L438" s="31" t="s">
        <v>392</v>
      </c>
      <c r="M438" s="31" t="s">
        <v>2228</v>
      </c>
      <c r="N438" s="31" t="s">
        <v>267</v>
      </c>
      <c r="O438" s="34"/>
      <c r="P438" s="31">
        <v>3.0</v>
      </c>
      <c r="Q438" s="31" t="s">
        <v>307</v>
      </c>
      <c r="R438" s="32">
        <v>36597.0</v>
      </c>
      <c r="S438" s="31" t="s">
        <v>2057</v>
      </c>
      <c r="T438" s="31" t="s">
        <v>1476</v>
      </c>
      <c r="U438" s="31" t="s">
        <v>271</v>
      </c>
      <c r="V438" s="34"/>
      <c r="W438" s="34"/>
    </row>
    <row r="439">
      <c r="A439" s="30">
        <v>434.0</v>
      </c>
      <c r="B439" s="31" t="s">
        <v>2229</v>
      </c>
      <c r="C439" s="31" t="s">
        <v>2230</v>
      </c>
      <c r="D439" s="31" t="s">
        <v>260</v>
      </c>
      <c r="E439" s="31" t="s">
        <v>2231</v>
      </c>
      <c r="F439" s="35">
        <v>44561.0</v>
      </c>
      <c r="G439" s="32">
        <v>44621.0</v>
      </c>
      <c r="H439" s="31" t="s">
        <v>262</v>
      </c>
      <c r="I439" s="31" t="s">
        <v>2219</v>
      </c>
      <c r="J439" s="31" t="s">
        <v>2231</v>
      </c>
      <c r="K439" s="31" t="s">
        <v>2232</v>
      </c>
      <c r="L439" s="31" t="s">
        <v>392</v>
      </c>
      <c r="M439" s="31" t="s">
        <v>2233</v>
      </c>
      <c r="N439" s="31" t="s">
        <v>267</v>
      </c>
      <c r="O439" s="34"/>
      <c r="P439" s="31">
        <v>3.0</v>
      </c>
      <c r="Q439" s="31" t="s">
        <v>307</v>
      </c>
      <c r="R439" s="32">
        <v>36638.0</v>
      </c>
      <c r="S439" s="31" t="s">
        <v>2057</v>
      </c>
      <c r="T439" s="31" t="s">
        <v>1476</v>
      </c>
      <c r="U439" s="31" t="s">
        <v>271</v>
      </c>
      <c r="V439" s="34"/>
      <c r="W439" s="34"/>
    </row>
    <row r="440">
      <c r="A440" s="30">
        <v>435.0</v>
      </c>
      <c r="B440" s="31" t="s">
        <v>2234</v>
      </c>
      <c r="C440" s="31" t="s">
        <v>2235</v>
      </c>
      <c r="D440" s="31" t="s">
        <v>260</v>
      </c>
      <c r="E440" s="31" t="s">
        <v>1130</v>
      </c>
      <c r="F440" s="32">
        <v>44589.0</v>
      </c>
      <c r="G440" s="32">
        <v>44648.0</v>
      </c>
      <c r="H440" s="31" t="s">
        <v>262</v>
      </c>
      <c r="I440" s="31" t="s">
        <v>2219</v>
      </c>
      <c r="J440" s="31" t="s">
        <v>1130</v>
      </c>
      <c r="K440" s="31" t="s">
        <v>2236</v>
      </c>
      <c r="L440" s="31" t="s">
        <v>392</v>
      </c>
      <c r="M440" s="31" t="s">
        <v>2237</v>
      </c>
      <c r="N440" s="31" t="s">
        <v>267</v>
      </c>
      <c r="O440" s="34"/>
      <c r="P440" s="31">
        <v>2.0</v>
      </c>
      <c r="Q440" s="31" t="s">
        <v>307</v>
      </c>
      <c r="R440" s="32">
        <v>37123.0</v>
      </c>
      <c r="S440" s="31" t="s">
        <v>320</v>
      </c>
      <c r="T440" s="31" t="s">
        <v>1995</v>
      </c>
      <c r="U440" s="31" t="s">
        <v>271</v>
      </c>
      <c r="V440" s="34"/>
      <c r="W440" s="34"/>
    </row>
    <row r="441">
      <c r="A441" s="30">
        <v>436.0</v>
      </c>
      <c r="B441" s="31" t="s">
        <v>2238</v>
      </c>
      <c r="C441" s="31" t="s">
        <v>2239</v>
      </c>
      <c r="D441" s="31" t="s">
        <v>978</v>
      </c>
      <c r="E441" s="31" t="s">
        <v>403</v>
      </c>
      <c r="F441" s="32">
        <v>42837.0</v>
      </c>
      <c r="G441" s="32">
        <v>42899.0</v>
      </c>
      <c r="H441" s="31" t="s">
        <v>262</v>
      </c>
      <c r="I441" s="31" t="s">
        <v>2219</v>
      </c>
      <c r="J441" s="31" t="s">
        <v>403</v>
      </c>
      <c r="K441" s="31" t="s">
        <v>2227</v>
      </c>
      <c r="L441" s="31" t="s">
        <v>1171</v>
      </c>
      <c r="M441" s="31" t="s">
        <v>2240</v>
      </c>
      <c r="N441" s="31" t="s">
        <v>467</v>
      </c>
      <c r="O441" s="31">
        <v>2.0</v>
      </c>
      <c r="P441" s="31">
        <v>2.0</v>
      </c>
      <c r="Q441" s="31" t="s">
        <v>307</v>
      </c>
      <c r="R441" s="32">
        <v>34427.0</v>
      </c>
      <c r="S441" s="31" t="s">
        <v>681</v>
      </c>
      <c r="T441" s="31" t="s">
        <v>1647</v>
      </c>
      <c r="U441" s="31" t="s">
        <v>271</v>
      </c>
      <c r="V441" s="34"/>
      <c r="W441" s="34"/>
    </row>
    <row r="442">
      <c r="A442" s="30">
        <v>437.0</v>
      </c>
      <c r="B442" s="31" t="s">
        <v>2241</v>
      </c>
      <c r="C442" s="31" t="s">
        <v>2242</v>
      </c>
      <c r="D442" s="31" t="s">
        <v>978</v>
      </c>
      <c r="E442" s="31" t="s">
        <v>283</v>
      </c>
      <c r="F442" s="32">
        <v>42107.0</v>
      </c>
      <c r="G442" s="32">
        <v>42168.0</v>
      </c>
      <c r="H442" s="31" t="s">
        <v>262</v>
      </c>
      <c r="I442" s="31" t="s">
        <v>275</v>
      </c>
      <c r="J442" s="31" t="s">
        <v>283</v>
      </c>
      <c r="K442" s="31" t="s">
        <v>284</v>
      </c>
      <c r="L442" s="31" t="s">
        <v>2215</v>
      </c>
      <c r="M442" s="31" t="s">
        <v>2243</v>
      </c>
      <c r="N442" s="31" t="s">
        <v>267</v>
      </c>
      <c r="O442" s="31">
        <v>2.0</v>
      </c>
      <c r="P442" s="31">
        <v>4.0</v>
      </c>
      <c r="Q442" s="31" t="s">
        <v>307</v>
      </c>
      <c r="R442" s="32">
        <v>32448.0</v>
      </c>
      <c r="S442" s="31" t="s">
        <v>631</v>
      </c>
      <c r="T442" s="31" t="s">
        <v>1476</v>
      </c>
      <c r="U442" s="31" t="s">
        <v>271</v>
      </c>
      <c r="V442" s="34"/>
      <c r="W442" s="34"/>
    </row>
    <row r="443">
      <c r="A443" s="30">
        <v>438.0</v>
      </c>
      <c r="B443" s="31" t="s">
        <v>2244</v>
      </c>
      <c r="C443" s="31" t="s">
        <v>2245</v>
      </c>
      <c r="D443" s="31" t="s">
        <v>260</v>
      </c>
      <c r="E443" s="31" t="s">
        <v>283</v>
      </c>
      <c r="F443" s="32">
        <v>42919.0</v>
      </c>
      <c r="G443" s="32">
        <v>42981.0</v>
      </c>
      <c r="H443" s="31" t="s">
        <v>262</v>
      </c>
      <c r="I443" s="31" t="s">
        <v>275</v>
      </c>
      <c r="J443" s="31" t="s">
        <v>283</v>
      </c>
      <c r="K443" s="31" t="s">
        <v>284</v>
      </c>
      <c r="L443" s="31" t="s">
        <v>277</v>
      </c>
      <c r="M443" s="31" t="s">
        <v>2246</v>
      </c>
      <c r="N443" s="31" t="s">
        <v>267</v>
      </c>
      <c r="O443" s="34"/>
      <c r="P443" s="31">
        <v>10.0</v>
      </c>
      <c r="Q443" s="31" t="s">
        <v>307</v>
      </c>
      <c r="R443" s="32">
        <v>34967.0</v>
      </c>
      <c r="S443" s="31" t="s">
        <v>2057</v>
      </c>
      <c r="T443" s="31" t="s">
        <v>1476</v>
      </c>
      <c r="U443" s="31" t="s">
        <v>271</v>
      </c>
      <c r="V443" s="34"/>
      <c r="W443" s="34"/>
    </row>
    <row r="444">
      <c r="A444" s="30">
        <v>439.0</v>
      </c>
      <c r="B444" s="31" t="s">
        <v>2247</v>
      </c>
      <c r="C444" s="31" t="s">
        <v>2248</v>
      </c>
      <c r="D444" s="31" t="s">
        <v>260</v>
      </c>
      <c r="E444" s="31" t="s">
        <v>283</v>
      </c>
      <c r="F444" s="32">
        <v>43998.0</v>
      </c>
      <c r="G444" s="32">
        <v>44059.0</v>
      </c>
      <c r="H444" s="31" t="s">
        <v>262</v>
      </c>
      <c r="I444" s="31" t="s">
        <v>275</v>
      </c>
      <c r="J444" s="31" t="s">
        <v>283</v>
      </c>
      <c r="K444" s="31" t="s">
        <v>284</v>
      </c>
      <c r="L444" s="31" t="s">
        <v>277</v>
      </c>
      <c r="M444" s="31" t="s">
        <v>2249</v>
      </c>
      <c r="N444" s="31" t="s">
        <v>267</v>
      </c>
      <c r="O444" s="34"/>
      <c r="P444" s="31">
        <v>9.0</v>
      </c>
      <c r="Q444" s="31" t="s">
        <v>307</v>
      </c>
      <c r="R444" s="32">
        <v>35738.0</v>
      </c>
      <c r="S444" s="31" t="s">
        <v>526</v>
      </c>
      <c r="T444" s="31" t="s">
        <v>1686</v>
      </c>
      <c r="U444" s="31" t="s">
        <v>271</v>
      </c>
      <c r="V444" s="34"/>
      <c r="W444" s="34"/>
    </row>
    <row r="445">
      <c r="A445" s="30">
        <v>440.0</v>
      </c>
      <c r="B445" s="31" t="s">
        <v>2250</v>
      </c>
      <c r="C445" s="31" t="s">
        <v>2251</v>
      </c>
      <c r="D445" s="31" t="s">
        <v>260</v>
      </c>
      <c r="E445" s="31" t="s">
        <v>1139</v>
      </c>
      <c r="F445" s="32">
        <v>43587.0</v>
      </c>
      <c r="G445" s="32">
        <v>43648.0</v>
      </c>
      <c r="H445" s="31" t="s">
        <v>262</v>
      </c>
      <c r="I445" s="31" t="s">
        <v>2219</v>
      </c>
      <c r="J445" s="31" t="s">
        <v>1139</v>
      </c>
      <c r="K445" s="31" t="s">
        <v>2220</v>
      </c>
      <c r="L445" s="31" t="s">
        <v>392</v>
      </c>
      <c r="M445" s="31" t="s">
        <v>2252</v>
      </c>
      <c r="N445" s="31" t="s">
        <v>267</v>
      </c>
      <c r="O445" s="34"/>
      <c r="P445" s="31">
        <v>4.0</v>
      </c>
      <c r="Q445" s="31" t="s">
        <v>307</v>
      </c>
      <c r="R445" s="32">
        <v>35267.0</v>
      </c>
      <c r="S445" s="31" t="s">
        <v>681</v>
      </c>
      <c r="T445" s="31" t="s">
        <v>1476</v>
      </c>
      <c r="U445" s="31" t="s">
        <v>271</v>
      </c>
      <c r="V445" s="34"/>
      <c r="W445" s="34"/>
    </row>
    <row r="446">
      <c r="A446" s="30">
        <v>441.0</v>
      </c>
      <c r="B446" s="31" t="s">
        <v>2253</v>
      </c>
      <c r="C446" s="31" t="s">
        <v>2254</v>
      </c>
      <c r="D446" s="31" t="s">
        <v>260</v>
      </c>
      <c r="E446" s="31" t="s">
        <v>403</v>
      </c>
      <c r="F446" s="32">
        <v>44222.0</v>
      </c>
      <c r="G446" s="32">
        <v>44281.0</v>
      </c>
      <c r="H446" s="31" t="s">
        <v>262</v>
      </c>
      <c r="I446" s="31" t="s">
        <v>2219</v>
      </c>
      <c r="J446" s="31" t="s">
        <v>403</v>
      </c>
      <c r="K446" s="31" t="s">
        <v>2227</v>
      </c>
      <c r="L446" s="31" t="s">
        <v>392</v>
      </c>
      <c r="M446" s="31" t="s">
        <v>2255</v>
      </c>
      <c r="N446" s="31" t="s">
        <v>267</v>
      </c>
      <c r="O446" s="34"/>
      <c r="P446" s="31">
        <v>1.0</v>
      </c>
      <c r="Q446" s="31" t="s">
        <v>307</v>
      </c>
      <c r="R446" s="32">
        <v>36378.0</v>
      </c>
      <c r="S446" s="31" t="s">
        <v>2057</v>
      </c>
      <c r="T446" s="31" t="s">
        <v>1476</v>
      </c>
      <c r="U446" s="31" t="s">
        <v>271</v>
      </c>
      <c r="V446" s="34"/>
      <c r="W446" s="34"/>
    </row>
    <row r="447">
      <c r="A447" s="30">
        <v>442.0</v>
      </c>
      <c r="B447" s="31" t="s">
        <v>2256</v>
      </c>
      <c r="C447" s="31" t="s">
        <v>2257</v>
      </c>
      <c r="D447" s="31" t="s">
        <v>260</v>
      </c>
      <c r="E447" s="31" t="s">
        <v>1130</v>
      </c>
      <c r="F447" s="32">
        <v>44072.0</v>
      </c>
      <c r="G447" s="35">
        <v>44133.0</v>
      </c>
      <c r="H447" s="31" t="s">
        <v>262</v>
      </c>
      <c r="I447" s="31" t="s">
        <v>2219</v>
      </c>
      <c r="J447" s="31" t="s">
        <v>1130</v>
      </c>
      <c r="K447" s="31" t="s">
        <v>2236</v>
      </c>
      <c r="L447" s="31" t="s">
        <v>392</v>
      </c>
      <c r="M447" s="31" t="s">
        <v>2258</v>
      </c>
      <c r="N447" s="31" t="s">
        <v>467</v>
      </c>
      <c r="O447" s="34"/>
      <c r="P447" s="31">
        <v>5.0</v>
      </c>
      <c r="Q447" s="31" t="s">
        <v>307</v>
      </c>
      <c r="R447" s="32">
        <v>35065.0</v>
      </c>
      <c r="S447" s="31" t="s">
        <v>531</v>
      </c>
      <c r="T447" s="31" t="s">
        <v>1707</v>
      </c>
      <c r="U447" s="31" t="s">
        <v>271</v>
      </c>
      <c r="V447" s="34"/>
      <c r="W447" s="34"/>
    </row>
    <row r="448">
      <c r="A448" s="30">
        <v>443.0</v>
      </c>
      <c r="B448" s="31" t="s">
        <v>2259</v>
      </c>
      <c r="C448" s="31" t="s">
        <v>2260</v>
      </c>
      <c r="D448" s="31" t="s">
        <v>978</v>
      </c>
      <c r="E448" s="31" t="s">
        <v>1139</v>
      </c>
      <c r="F448" s="32">
        <v>42821.0</v>
      </c>
      <c r="G448" s="32">
        <v>42882.0</v>
      </c>
      <c r="H448" s="31" t="s">
        <v>262</v>
      </c>
      <c r="I448" s="31" t="s">
        <v>2219</v>
      </c>
      <c r="J448" s="31" t="s">
        <v>1139</v>
      </c>
      <c r="K448" s="31" t="s">
        <v>2220</v>
      </c>
      <c r="L448" s="31" t="s">
        <v>1171</v>
      </c>
      <c r="M448" s="31" t="s">
        <v>2261</v>
      </c>
      <c r="N448" s="31" t="s">
        <v>467</v>
      </c>
      <c r="O448" s="31">
        <v>2.0</v>
      </c>
      <c r="P448" s="31">
        <v>1.0</v>
      </c>
      <c r="Q448" s="31" t="s">
        <v>307</v>
      </c>
      <c r="R448" s="32">
        <v>34360.0</v>
      </c>
      <c r="S448" s="31" t="s">
        <v>626</v>
      </c>
      <c r="T448" s="31" t="s">
        <v>1662</v>
      </c>
      <c r="U448" s="31" t="s">
        <v>271</v>
      </c>
      <c r="V448" s="34"/>
      <c r="W448" s="34"/>
    </row>
    <row r="449">
      <c r="A449" s="30">
        <v>444.0</v>
      </c>
      <c r="B449" s="31" t="s">
        <v>2262</v>
      </c>
      <c r="C449" s="31" t="s">
        <v>2263</v>
      </c>
      <c r="D449" s="31" t="s">
        <v>260</v>
      </c>
      <c r="E449" s="31" t="s">
        <v>1130</v>
      </c>
      <c r="F449" s="32">
        <v>44096.0</v>
      </c>
      <c r="G449" s="35">
        <v>44157.0</v>
      </c>
      <c r="H449" s="31" t="s">
        <v>262</v>
      </c>
      <c r="I449" s="31" t="s">
        <v>2219</v>
      </c>
      <c r="J449" s="31" t="s">
        <v>1130</v>
      </c>
      <c r="K449" s="31" t="s">
        <v>2236</v>
      </c>
      <c r="L449" s="31" t="s">
        <v>392</v>
      </c>
      <c r="M449" s="31" t="s">
        <v>2264</v>
      </c>
      <c r="N449" s="31" t="s">
        <v>267</v>
      </c>
      <c r="O449" s="34"/>
      <c r="P449" s="31">
        <v>3.0</v>
      </c>
      <c r="Q449" s="31" t="s">
        <v>307</v>
      </c>
      <c r="R449" s="32">
        <v>35228.0</v>
      </c>
      <c r="S449" s="31" t="s">
        <v>898</v>
      </c>
      <c r="T449" s="31" t="s">
        <v>2265</v>
      </c>
      <c r="U449" s="31" t="s">
        <v>271</v>
      </c>
      <c r="V449" s="34"/>
      <c r="W449" s="34"/>
    </row>
    <row r="450">
      <c r="A450" s="30">
        <v>445.0</v>
      </c>
      <c r="B450" s="31" t="s">
        <v>2266</v>
      </c>
      <c r="C450" s="31" t="s">
        <v>2267</v>
      </c>
      <c r="D450" s="31" t="s">
        <v>260</v>
      </c>
      <c r="E450" s="31" t="s">
        <v>1139</v>
      </c>
      <c r="F450" s="32">
        <v>43629.0</v>
      </c>
      <c r="G450" s="32">
        <v>43690.0</v>
      </c>
      <c r="H450" s="31" t="s">
        <v>262</v>
      </c>
      <c r="I450" s="31" t="s">
        <v>2219</v>
      </c>
      <c r="J450" s="31" t="s">
        <v>1139</v>
      </c>
      <c r="K450" s="31" t="s">
        <v>2220</v>
      </c>
      <c r="L450" s="31" t="s">
        <v>392</v>
      </c>
      <c r="M450" s="31" t="s">
        <v>2268</v>
      </c>
      <c r="N450" s="31" t="s">
        <v>267</v>
      </c>
      <c r="O450" s="34"/>
      <c r="P450" s="31">
        <v>4.0</v>
      </c>
      <c r="Q450" s="31" t="s">
        <v>307</v>
      </c>
      <c r="R450" s="35">
        <v>35722.0</v>
      </c>
      <c r="S450" s="31" t="s">
        <v>531</v>
      </c>
      <c r="T450" s="31" t="s">
        <v>1476</v>
      </c>
      <c r="U450" s="31" t="s">
        <v>271</v>
      </c>
      <c r="V450" s="34"/>
      <c r="W450" s="34"/>
    </row>
    <row r="451">
      <c r="A451" s="30">
        <v>446.0</v>
      </c>
      <c r="B451" s="31" t="s">
        <v>2269</v>
      </c>
      <c r="C451" s="31" t="s">
        <v>2270</v>
      </c>
      <c r="D451" s="31" t="s">
        <v>260</v>
      </c>
      <c r="E451" s="31" t="s">
        <v>1139</v>
      </c>
      <c r="F451" s="35">
        <v>44890.0</v>
      </c>
      <c r="G451" s="32">
        <v>44951.0</v>
      </c>
      <c r="H451" s="31" t="s">
        <v>262</v>
      </c>
      <c r="I451" s="31" t="s">
        <v>2219</v>
      </c>
      <c r="J451" s="31" t="s">
        <v>1139</v>
      </c>
      <c r="K451" s="31" t="s">
        <v>2220</v>
      </c>
      <c r="L451" s="31" t="s">
        <v>392</v>
      </c>
      <c r="M451" s="31" t="s">
        <v>2271</v>
      </c>
      <c r="N451" s="31" t="s">
        <v>267</v>
      </c>
      <c r="O451" s="34"/>
      <c r="P451" s="31">
        <v>6.0</v>
      </c>
      <c r="Q451" s="31" t="s">
        <v>307</v>
      </c>
      <c r="R451" s="35">
        <v>34262.0</v>
      </c>
      <c r="S451" s="31" t="s">
        <v>626</v>
      </c>
      <c r="T451" s="31" t="s">
        <v>2272</v>
      </c>
      <c r="U451" s="31" t="s">
        <v>271</v>
      </c>
      <c r="V451" s="34"/>
      <c r="W451" s="34"/>
    </row>
    <row r="452">
      <c r="A452" s="30">
        <v>447.0</v>
      </c>
      <c r="B452" s="31" t="s">
        <v>2273</v>
      </c>
      <c r="C452" s="31" t="s">
        <v>2274</v>
      </c>
      <c r="D452" s="31" t="s">
        <v>260</v>
      </c>
      <c r="E452" s="31" t="s">
        <v>1139</v>
      </c>
      <c r="F452" s="32">
        <v>44392.0</v>
      </c>
      <c r="G452" s="32">
        <v>44454.0</v>
      </c>
      <c r="H452" s="31" t="s">
        <v>262</v>
      </c>
      <c r="I452" s="31" t="s">
        <v>2219</v>
      </c>
      <c r="J452" s="31" t="s">
        <v>1139</v>
      </c>
      <c r="K452" s="31" t="s">
        <v>2220</v>
      </c>
      <c r="L452" s="31" t="s">
        <v>392</v>
      </c>
      <c r="M452" s="31" t="s">
        <v>2275</v>
      </c>
      <c r="N452" s="31" t="s">
        <v>267</v>
      </c>
      <c r="O452" s="34"/>
      <c r="P452" s="31">
        <v>3.0</v>
      </c>
      <c r="Q452" s="31" t="s">
        <v>307</v>
      </c>
      <c r="R452" s="32">
        <v>36388.0</v>
      </c>
      <c r="S452" s="31" t="s">
        <v>320</v>
      </c>
      <c r="T452" s="31" t="s">
        <v>1810</v>
      </c>
      <c r="U452" s="31" t="s">
        <v>271</v>
      </c>
      <c r="V452" s="34"/>
      <c r="W452" s="34"/>
    </row>
    <row r="453">
      <c r="A453" s="30">
        <v>448.0</v>
      </c>
      <c r="B453" s="31" t="s">
        <v>2276</v>
      </c>
      <c r="C453" s="31" t="s">
        <v>2277</v>
      </c>
      <c r="D453" s="31" t="s">
        <v>260</v>
      </c>
      <c r="E453" s="31" t="s">
        <v>403</v>
      </c>
      <c r="F453" s="32">
        <v>44109.0</v>
      </c>
      <c r="G453" s="32">
        <v>44170.0</v>
      </c>
      <c r="H453" s="31" t="s">
        <v>262</v>
      </c>
      <c r="I453" s="31" t="s">
        <v>2219</v>
      </c>
      <c r="J453" s="31" t="s">
        <v>403</v>
      </c>
      <c r="K453" s="31" t="s">
        <v>2227</v>
      </c>
      <c r="L453" s="31" t="s">
        <v>392</v>
      </c>
      <c r="M453" s="31" t="s">
        <v>2278</v>
      </c>
      <c r="N453" s="31" t="s">
        <v>267</v>
      </c>
      <c r="O453" s="34"/>
      <c r="P453" s="31">
        <v>4.0</v>
      </c>
      <c r="Q453" s="31" t="s">
        <v>307</v>
      </c>
      <c r="R453" s="32">
        <v>35939.0</v>
      </c>
      <c r="S453" s="31" t="s">
        <v>531</v>
      </c>
      <c r="T453" s="31" t="s">
        <v>1959</v>
      </c>
      <c r="U453" s="31" t="s">
        <v>271</v>
      </c>
      <c r="V453" s="34"/>
      <c r="W453" s="34"/>
    </row>
    <row r="454">
      <c r="A454" s="30">
        <v>449.0</v>
      </c>
      <c r="B454" s="31" t="s">
        <v>2279</v>
      </c>
      <c r="C454" s="31" t="s">
        <v>2280</v>
      </c>
      <c r="D454" s="31" t="s">
        <v>260</v>
      </c>
      <c r="E454" s="31" t="s">
        <v>1260</v>
      </c>
      <c r="F454" s="32">
        <v>45040.0</v>
      </c>
      <c r="G454" s="32">
        <v>45101.0</v>
      </c>
      <c r="H454" s="31" t="s">
        <v>262</v>
      </c>
      <c r="I454" s="31" t="s">
        <v>2219</v>
      </c>
      <c r="J454" s="31" t="s">
        <v>1260</v>
      </c>
      <c r="K454" s="31" t="s">
        <v>2281</v>
      </c>
      <c r="L454" s="31" t="s">
        <v>392</v>
      </c>
      <c r="M454" s="31" t="s">
        <v>2282</v>
      </c>
      <c r="N454" s="31" t="s">
        <v>467</v>
      </c>
      <c r="O454" s="34"/>
      <c r="P454" s="31">
        <v>2.0</v>
      </c>
      <c r="Q454" s="31" t="s">
        <v>307</v>
      </c>
      <c r="R454" s="32">
        <v>36892.0</v>
      </c>
      <c r="S454" s="31" t="s">
        <v>526</v>
      </c>
      <c r="T454" s="31" t="s">
        <v>1670</v>
      </c>
      <c r="U454" s="31" t="s">
        <v>271</v>
      </c>
      <c r="V454" s="34"/>
      <c r="W454" s="34"/>
    </row>
    <row r="455">
      <c r="A455" s="30">
        <v>450.0</v>
      </c>
      <c r="B455" s="31" t="s">
        <v>2283</v>
      </c>
      <c r="C455" s="31" t="s">
        <v>2284</v>
      </c>
      <c r="D455" s="31" t="s">
        <v>260</v>
      </c>
      <c r="E455" s="31" t="s">
        <v>2285</v>
      </c>
      <c r="F455" s="32">
        <v>44638.0</v>
      </c>
      <c r="G455" s="32">
        <v>44699.0</v>
      </c>
      <c r="H455" s="31" t="s">
        <v>262</v>
      </c>
      <c r="I455" s="31" t="s">
        <v>2219</v>
      </c>
      <c r="J455" s="31" t="s">
        <v>2285</v>
      </c>
      <c r="K455" s="31" t="s">
        <v>2286</v>
      </c>
      <c r="L455" s="31" t="s">
        <v>392</v>
      </c>
      <c r="M455" s="31" t="s">
        <v>2287</v>
      </c>
      <c r="N455" s="31" t="s">
        <v>267</v>
      </c>
      <c r="O455" s="34"/>
      <c r="P455" s="31">
        <v>3.0</v>
      </c>
      <c r="Q455" s="31" t="s">
        <v>307</v>
      </c>
      <c r="R455" s="32">
        <v>36190.0</v>
      </c>
      <c r="S455" s="31" t="s">
        <v>1041</v>
      </c>
      <c r="T455" s="31" t="s">
        <v>1639</v>
      </c>
      <c r="U455" s="31" t="s">
        <v>271</v>
      </c>
      <c r="V455" s="34"/>
      <c r="W455" s="34"/>
    </row>
    <row r="456">
      <c r="A456" s="30">
        <v>451.0</v>
      </c>
      <c r="B456" s="31" t="s">
        <v>2288</v>
      </c>
      <c r="C456" s="31" t="s">
        <v>2289</v>
      </c>
      <c r="D456" s="31" t="s">
        <v>260</v>
      </c>
      <c r="E456" s="31" t="s">
        <v>390</v>
      </c>
      <c r="F456" s="32">
        <v>43374.0</v>
      </c>
      <c r="G456" s="32">
        <v>43435.0</v>
      </c>
      <c r="H456" s="31" t="s">
        <v>262</v>
      </c>
      <c r="I456" s="31" t="s">
        <v>2219</v>
      </c>
      <c r="J456" s="31" t="s">
        <v>390</v>
      </c>
      <c r="K456" s="31" t="s">
        <v>2290</v>
      </c>
      <c r="L456" s="31" t="s">
        <v>392</v>
      </c>
      <c r="M456" s="31" t="s">
        <v>2291</v>
      </c>
      <c r="N456" s="31" t="s">
        <v>467</v>
      </c>
      <c r="O456" s="34"/>
      <c r="P456" s="31">
        <v>3.0</v>
      </c>
      <c r="Q456" s="31" t="s">
        <v>307</v>
      </c>
      <c r="R456" s="32">
        <v>34437.0</v>
      </c>
      <c r="S456" s="31" t="s">
        <v>531</v>
      </c>
      <c r="T456" s="31" t="s">
        <v>1698</v>
      </c>
      <c r="U456" s="31" t="s">
        <v>271</v>
      </c>
      <c r="V456" s="34"/>
      <c r="W456" s="34"/>
    </row>
    <row r="457">
      <c r="A457" s="30">
        <v>452.0</v>
      </c>
      <c r="B457" s="31" t="s">
        <v>2292</v>
      </c>
      <c r="C457" s="31" t="s">
        <v>2293</v>
      </c>
      <c r="D457" s="31" t="s">
        <v>260</v>
      </c>
      <c r="E457" s="31" t="s">
        <v>390</v>
      </c>
      <c r="F457" s="32">
        <v>44066.0</v>
      </c>
      <c r="G457" s="35">
        <v>44127.0</v>
      </c>
      <c r="H457" s="31" t="s">
        <v>262</v>
      </c>
      <c r="I457" s="31" t="s">
        <v>2219</v>
      </c>
      <c r="J457" s="31" t="s">
        <v>390</v>
      </c>
      <c r="K457" s="31" t="s">
        <v>2290</v>
      </c>
      <c r="L457" s="31" t="s">
        <v>392</v>
      </c>
      <c r="M457" s="31" t="s">
        <v>2294</v>
      </c>
      <c r="N457" s="31" t="s">
        <v>267</v>
      </c>
      <c r="O457" s="34"/>
      <c r="P457" s="31">
        <v>1.0</v>
      </c>
      <c r="Q457" s="31" t="s">
        <v>307</v>
      </c>
      <c r="R457" s="32">
        <v>35091.0</v>
      </c>
      <c r="S457" s="31" t="s">
        <v>531</v>
      </c>
      <c r="T457" s="31" t="s">
        <v>2295</v>
      </c>
      <c r="U457" s="31" t="s">
        <v>271</v>
      </c>
      <c r="V457" s="34"/>
      <c r="W457" s="34"/>
    </row>
    <row r="458">
      <c r="A458" s="30">
        <v>453.0</v>
      </c>
      <c r="B458" s="31" t="s">
        <v>2296</v>
      </c>
      <c r="C458" s="31" t="s">
        <v>2297</v>
      </c>
      <c r="D458" s="31" t="s">
        <v>260</v>
      </c>
      <c r="E458" s="31" t="s">
        <v>390</v>
      </c>
      <c r="F458" s="32">
        <v>44019.0</v>
      </c>
      <c r="G458" s="32">
        <v>44081.0</v>
      </c>
      <c r="H458" s="31" t="s">
        <v>262</v>
      </c>
      <c r="I458" s="31" t="s">
        <v>2219</v>
      </c>
      <c r="J458" s="31" t="s">
        <v>390</v>
      </c>
      <c r="K458" s="31" t="s">
        <v>2290</v>
      </c>
      <c r="L458" s="31" t="s">
        <v>392</v>
      </c>
      <c r="M458" s="31" t="s">
        <v>2298</v>
      </c>
      <c r="N458" s="31" t="s">
        <v>267</v>
      </c>
      <c r="O458" s="34"/>
      <c r="P458" s="31">
        <v>6.0</v>
      </c>
      <c r="Q458" s="31" t="s">
        <v>307</v>
      </c>
      <c r="R458" s="35">
        <v>36080.0</v>
      </c>
      <c r="S458" s="31" t="s">
        <v>2299</v>
      </c>
      <c r="T458" s="31" t="s">
        <v>1686</v>
      </c>
      <c r="U458" s="31" t="s">
        <v>271</v>
      </c>
      <c r="V458" s="34"/>
      <c r="W458" s="34"/>
    </row>
    <row r="459">
      <c r="A459" s="30">
        <v>454.0</v>
      </c>
      <c r="B459" s="31" t="s">
        <v>2300</v>
      </c>
      <c r="C459" s="31" t="s">
        <v>2301</v>
      </c>
      <c r="D459" s="31" t="s">
        <v>978</v>
      </c>
      <c r="E459" s="31" t="s">
        <v>390</v>
      </c>
      <c r="F459" s="35">
        <v>42290.0</v>
      </c>
      <c r="G459" s="35">
        <v>42350.0</v>
      </c>
      <c r="H459" s="31" t="s">
        <v>262</v>
      </c>
      <c r="I459" s="31" t="s">
        <v>2219</v>
      </c>
      <c r="J459" s="31" t="s">
        <v>390</v>
      </c>
      <c r="K459" s="31" t="s">
        <v>2290</v>
      </c>
      <c r="L459" s="31" t="s">
        <v>1171</v>
      </c>
      <c r="M459" s="31" t="s">
        <v>2302</v>
      </c>
      <c r="N459" s="31" t="s">
        <v>467</v>
      </c>
      <c r="O459" s="31">
        <v>2.0</v>
      </c>
      <c r="P459" s="31">
        <v>1.0</v>
      </c>
      <c r="Q459" s="31" t="s">
        <v>307</v>
      </c>
      <c r="R459" s="32">
        <v>34488.0</v>
      </c>
      <c r="S459" s="31" t="s">
        <v>626</v>
      </c>
      <c r="T459" s="31" t="s">
        <v>1662</v>
      </c>
      <c r="U459" s="31" t="s">
        <v>271</v>
      </c>
      <c r="V459" s="34"/>
      <c r="W459" s="34"/>
    </row>
    <row r="460">
      <c r="A460" s="30">
        <v>455.0</v>
      </c>
      <c r="B460" s="31" t="s">
        <v>2303</v>
      </c>
      <c r="C460" s="31" t="s">
        <v>2304</v>
      </c>
      <c r="D460" s="31" t="s">
        <v>1208</v>
      </c>
      <c r="E460" s="31" t="s">
        <v>1209</v>
      </c>
      <c r="F460" s="32">
        <v>43441.0</v>
      </c>
      <c r="G460" s="32">
        <v>43503.0</v>
      </c>
      <c r="H460" s="31" t="s">
        <v>262</v>
      </c>
      <c r="I460" s="31" t="s">
        <v>1209</v>
      </c>
      <c r="J460" s="34"/>
      <c r="K460" s="31" t="s">
        <v>2305</v>
      </c>
      <c r="L460" s="31" t="s">
        <v>1211</v>
      </c>
      <c r="M460" s="31" t="s">
        <v>2306</v>
      </c>
      <c r="N460" s="31" t="s">
        <v>267</v>
      </c>
      <c r="O460" s="34"/>
      <c r="P460" s="31">
        <v>4.0</v>
      </c>
      <c r="Q460" s="31" t="s">
        <v>307</v>
      </c>
      <c r="R460" s="32">
        <v>35432.0</v>
      </c>
      <c r="S460" s="31" t="s">
        <v>320</v>
      </c>
      <c r="T460" s="31" t="s">
        <v>1377</v>
      </c>
      <c r="U460" s="31" t="s">
        <v>271</v>
      </c>
      <c r="V460" s="34"/>
      <c r="W460" s="34"/>
    </row>
    <row r="461">
      <c r="A461" s="30">
        <v>456.0</v>
      </c>
      <c r="B461" s="31" t="s">
        <v>2307</v>
      </c>
      <c r="C461" s="31" t="s">
        <v>2308</v>
      </c>
      <c r="D461" s="31" t="s">
        <v>1208</v>
      </c>
      <c r="E461" s="31" t="s">
        <v>1209</v>
      </c>
      <c r="F461" s="32">
        <v>43374.0</v>
      </c>
      <c r="G461" s="32">
        <v>43435.0</v>
      </c>
      <c r="H461" s="31" t="s">
        <v>262</v>
      </c>
      <c r="I461" s="31" t="s">
        <v>1209</v>
      </c>
      <c r="J461" s="34"/>
      <c r="K461" s="31" t="s">
        <v>2305</v>
      </c>
      <c r="L461" s="31" t="s">
        <v>1211</v>
      </c>
      <c r="M461" s="31" t="s">
        <v>2309</v>
      </c>
      <c r="N461" s="31" t="s">
        <v>467</v>
      </c>
      <c r="O461" s="34"/>
      <c r="P461" s="31">
        <v>3.0</v>
      </c>
      <c r="Q461" s="31" t="s">
        <v>307</v>
      </c>
      <c r="R461" s="32">
        <v>34201.0</v>
      </c>
      <c r="S461" s="31" t="s">
        <v>320</v>
      </c>
      <c r="T461" s="31" t="s">
        <v>1476</v>
      </c>
      <c r="U461" s="31" t="s">
        <v>271</v>
      </c>
      <c r="V461" s="34"/>
      <c r="W461" s="34"/>
    </row>
    <row r="462">
      <c r="A462" s="30">
        <v>457.0</v>
      </c>
      <c r="B462" s="31" t="s">
        <v>2310</v>
      </c>
      <c r="C462" s="31" t="s">
        <v>2311</v>
      </c>
      <c r="D462" s="31" t="s">
        <v>260</v>
      </c>
      <c r="E462" s="31" t="s">
        <v>2285</v>
      </c>
      <c r="F462" s="32">
        <v>44096.0</v>
      </c>
      <c r="G462" s="35">
        <v>44157.0</v>
      </c>
      <c r="H462" s="31" t="s">
        <v>262</v>
      </c>
      <c r="I462" s="31" t="s">
        <v>2219</v>
      </c>
      <c r="J462" s="31" t="s">
        <v>2285</v>
      </c>
      <c r="K462" s="31" t="s">
        <v>2286</v>
      </c>
      <c r="L462" s="31" t="s">
        <v>392</v>
      </c>
      <c r="M462" s="31" t="s">
        <v>2312</v>
      </c>
      <c r="N462" s="31" t="s">
        <v>267</v>
      </c>
      <c r="O462" s="34"/>
      <c r="P462" s="31">
        <v>4.0</v>
      </c>
      <c r="Q462" s="31" t="s">
        <v>307</v>
      </c>
      <c r="R462" s="35">
        <v>36109.0</v>
      </c>
      <c r="S462" s="31" t="s">
        <v>320</v>
      </c>
      <c r="T462" s="31" t="s">
        <v>1666</v>
      </c>
      <c r="U462" s="31" t="s">
        <v>271</v>
      </c>
      <c r="V462" s="34"/>
      <c r="W462" s="34"/>
    </row>
    <row r="463">
      <c r="A463" s="30">
        <v>458.0</v>
      </c>
      <c r="B463" s="31" t="s">
        <v>2313</v>
      </c>
      <c r="C463" s="31" t="s">
        <v>2314</v>
      </c>
      <c r="D463" s="31" t="s">
        <v>260</v>
      </c>
      <c r="E463" s="31" t="s">
        <v>1260</v>
      </c>
      <c r="F463" s="32">
        <v>44392.0</v>
      </c>
      <c r="G463" s="32">
        <v>44454.0</v>
      </c>
      <c r="H463" s="31" t="s">
        <v>262</v>
      </c>
      <c r="I463" s="31" t="s">
        <v>2219</v>
      </c>
      <c r="J463" s="31" t="s">
        <v>1260</v>
      </c>
      <c r="K463" s="31" t="s">
        <v>2281</v>
      </c>
      <c r="L463" s="31" t="s">
        <v>392</v>
      </c>
      <c r="M463" s="31" t="s">
        <v>2315</v>
      </c>
      <c r="N463" s="31" t="s">
        <v>467</v>
      </c>
      <c r="O463" s="34"/>
      <c r="P463" s="31">
        <v>2.0</v>
      </c>
      <c r="Q463" s="31" t="s">
        <v>307</v>
      </c>
      <c r="R463" s="32">
        <v>36595.0</v>
      </c>
      <c r="S463" s="31" t="s">
        <v>320</v>
      </c>
      <c r="T463" s="31" t="s">
        <v>1476</v>
      </c>
      <c r="U463" s="31" t="s">
        <v>271</v>
      </c>
      <c r="V463" s="34"/>
      <c r="W463" s="34"/>
    </row>
    <row r="464">
      <c r="A464" s="30">
        <v>459.0</v>
      </c>
      <c r="B464" s="31" t="s">
        <v>2316</v>
      </c>
      <c r="C464" s="31" t="s">
        <v>2204</v>
      </c>
      <c r="D464" s="31" t="s">
        <v>260</v>
      </c>
      <c r="E464" s="31" t="s">
        <v>2285</v>
      </c>
      <c r="F464" s="32">
        <v>43650.0</v>
      </c>
      <c r="G464" s="32">
        <v>43712.0</v>
      </c>
      <c r="H464" s="31" t="s">
        <v>262</v>
      </c>
      <c r="I464" s="31" t="s">
        <v>2219</v>
      </c>
      <c r="J464" s="31" t="s">
        <v>2285</v>
      </c>
      <c r="K464" s="31" t="s">
        <v>2286</v>
      </c>
      <c r="L464" s="31" t="s">
        <v>392</v>
      </c>
      <c r="M464" s="31" t="s">
        <v>2317</v>
      </c>
      <c r="N464" s="31" t="s">
        <v>267</v>
      </c>
      <c r="O464" s="34"/>
      <c r="P464" s="31">
        <v>4.0</v>
      </c>
      <c r="Q464" s="31" t="s">
        <v>307</v>
      </c>
      <c r="R464" s="32">
        <v>36034.0</v>
      </c>
      <c r="S464" s="31" t="s">
        <v>1041</v>
      </c>
      <c r="T464" s="31" t="s">
        <v>1476</v>
      </c>
      <c r="U464" s="31" t="s">
        <v>271</v>
      </c>
      <c r="V464" s="34"/>
      <c r="W464" s="34"/>
    </row>
    <row r="465">
      <c r="A465" s="30">
        <v>460.0</v>
      </c>
      <c r="B465" s="31" t="s">
        <v>2318</v>
      </c>
      <c r="C465" s="31" t="s">
        <v>2319</v>
      </c>
      <c r="D465" s="31" t="s">
        <v>260</v>
      </c>
      <c r="E465" s="31" t="s">
        <v>2285</v>
      </c>
      <c r="F465" s="32">
        <v>44382.0</v>
      </c>
      <c r="G465" s="32">
        <v>44444.0</v>
      </c>
      <c r="H465" s="31" t="s">
        <v>262</v>
      </c>
      <c r="I465" s="31" t="s">
        <v>2219</v>
      </c>
      <c r="J465" s="31" t="s">
        <v>2285</v>
      </c>
      <c r="K465" s="31" t="s">
        <v>2286</v>
      </c>
      <c r="L465" s="31" t="s">
        <v>392</v>
      </c>
      <c r="M465" s="31" t="s">
        <v>2320</v>
      </c>
      <c r="N465" s="31" t="s">
        <v>267</v>
      </c>
      <c r="O465" s="34"/>
      <c r="P465" s="31">
        <v>3.0</v>
      </c>
      <c r="Q465" s="31" t="s">
        <v>307</v>
      </c>
      <c r="R465" s="32">
        <v>35944.0</v>
      </c>
      <c r="S465" s="31" t="s">
        <v>2321</v>
      </c>
      <c r="T465" s="31" t="s">
        <v>1686</v>
      </c>
      <c r="U465" s="31" t="s">
        <v>271</v>
      </c>
      <c r="V465" s="34"/>
      <c r="W465" s="34"/>
    </row>
    <row r="466">
      <c r="A466" s="30">
        <v>461.0</v>
      </c>
      <c r="B466" s="31" t="s">
        <v>2322</v>
      </c>
      <c r="C466" s="31" t="s">
        <v>2323</v>
      </c>
      <c r="D466" s="31" t="s">
        <v>260</v>
      </c>
      <c r="E466" s="31" t="s">
        <v>403</v>
      </c>
      <c r="F466" s="32">
        <v>44072.0</v>
      </c>
      <c r="G466" s="35">
        <v>44133.0</v>
      </c>
      <c r="H466" s="31" t="s">
        <v>262</v>
      </c>
      <c r="I466" s="31" t="s">
        <v>2219</v>
      </c>
      <c r="J466" s="31" t="s">
        <v>403</v>
      </c>
      <c r="K466" s="31" t="s">
        <v>2227</v>
      </c>
      <c r="L466" s="31" t="s">
        <v>392</v>
      </c>
      <c r="M466" s="31" t="s">
        <v>2324</v>
      </c>
      <c r="N466" s="31" t="s">
        <v>267</v>
      </c>
      <c r="O466" s="34"/>
      <c r="P466" s="31">
        <v>3.0</v>
      </c>
      <c r="Q466" s="31" t="s">
        <v>307</v>
      </c>
      <c r="R466" s="32">
        <v>36015.0</v>
      </c>
      <c r="S466" s="31" t="s">
        <v>531</v>
      </c>
      <c r="T466" s="31" t="s">
        <v>1959</v>
      </c>
      <c r="U466" s="31" t="s">
        <v>271</v>
      </c>
      <c r="V466" s="34"/>
      <c r="W466" s="34"/>
    </row>
    <row r="467">
      <c r="A467" s="30">
        <v>462.0</v>
      </c>
      <c r="B467" s="31" t="s">
        <v>2325</v>
      </c>
      <c r="C467" s="31" t="s">
        <v>2326</v>
      </c>
      <c r="D467" s="31" t="s">
        <v>260</v>
      </c>
      <c r="E467" s="31" t="s">
        <v>1260</v>
      </c>
      <c r="F467" s="32">
        <v>43440.0</v>
      </c>
      <c r="G467" s="32">
        <v>43502.0</v>
      </c>
      <c r="H467" s="31" t="s">
        <v>262</v>
      </c>
      <c r="I467" s="31" t="s">
        <v>2219</v>
      </c>
      <c r="J467" s="31" t="s">
        <v>1260</v>
      </c>
      <c r="K467" s="31" t="s">
        <v>2281</v>
      </c>
      <c r="L467" s="31" t="s">
        <v>392</v>
      </c>
      <c r="M467" s="31" t="s">
        <v>2327</v>
      </c>
      <c r="N467" s="31" t="s">
        <v>267</v>
      </c>
      <c r="O467" s="34"/>
      <c r="P467" s="31">
        <v>1.0</v>
      </c>
      <c r="Q467" s="31" t="s">
        <v>307</v>
      </c>
      <c r="R467" s="32">
        <v>34845.0</v>
      </c>
      <c r="S467" s="31" t="s">
        <v>320</v>
      </c>
      <c r="T467" s="31" t="s">
        <v>1686</v>
      </c>
      <c r="U467" s="31" t="s">
        <v>271</v>
      </c>
      <c r="V467" s="34"/>
      <c r="W467" s="34"/>
    </row>
    <row r="468">
      <c r="A468" s="30">
        <v>463.0</v>
      </c>
      <c r="B468" s="31" t="s">
        <v>2328</v>
      </c>
      <c r="C468" s="31" t="s">
        <v>2329</v>
      </c>
      <c r="D468" s="31" t="s">
        <v>260</v>
      </c>
      <c r="E468" s="31" t="s">
        <v>1139</v>
      </c>
      <c r="F468" s="32">
        <v>44979.0</v>
      </c>
      <c r="G468" s="32">
        <v>45038.0</v>
      </c>
      <c r="H468" s="31" t="s">
        <v>262</v>
      </c>
      <c r="I468" s="31" t="s">
        <v>2219</v>
      </c>
      <c r="J468" s="31" t="s">
        <v>1139</v>
      </c>
      <c r="K468" s="31" t="s">
        <v>2220</v>
      </c>
      <c r="L468" s="31" t="s">
        <v>392</v>
      </c>
      <c r="M468" s="31" t="s">
        <v>2330</v>
      </c>
      <c r="N468" s="31" t="s">
        <v>467</v>
      </c>
      <c r="O468" s="34"/>
      <c r="P468" s="31">
        <v>6.0</v>
      </c>
      <c r="Q468" s="31" t="s">
        <v>307</v>
      </c>
      <c r="R468" s="32">
        <v>35591.0</v>
      </c>
      <c r="S468" s="31" t="s">
        <v>681</v>
      </c>
      <c r="T468" s="31" t="s">
        <v>1476</v>
      </c>
      <c r="U468" s="31" t="s">
        <v>271</v>
      </c>
      <c r="V468" s="34"/>
      <c r="W468" s="34"/>
    </row>
    <row r="469">
      <c r="A469" s="30">
        <v>464.0</v>
      </c>
      <c r="B469" s="31" t="s">
        <v>2331</v>
      </c>
      <c r="C469" s="31" t="s">
        <v>2332</v>
      </c>
      <c r="D469" s="31" t="s">
        <v>1219</v>
      </c>
      <c r="E469" s="31" t="s">
        <v>1323</v>
      </c>
      <c r="F469" s="32">
        <v>45149.0</v>
      </c>
      <c r="G469" s="35">
        <v>45209.0</v>
      </c>
      <c r="H469" s="31" t="s">
        <v>262</v>
      </c>
      <c r="I469" s="31" t="s">
        <v>315</v>
      </c>
      <c r="J469" s="31" t="s">
        <v>86</v>
      </c>
      <c r="K469" s="31" t="s">
        <v>2333</v>
      </c>
      <c r="L469" s="31" t="s">
        <v>1223</v>
      </c>
      <c r="M469" s="31" t="s">
        <v>2334</v>
      </c>
      <c r="N469" s="31" t="s">
        <v>467</v>
      </c>
      <c r="O469" s="34"/>
      <c r="P469" s="31">
        <v>2.0</v>
      </c>
      <c r="Q469" s="31" t="s">
        <v>307</v>
      </c>
      <c r="R469" s="35">
        <v>36825.0</v>
      </c>
      <c r="S469" s="31" t="s">
        <v>681</v>
      </c>
      <c r="T469" s="31" t="s">
        <v>1476</v>
      </c>
      <c r="U469" s="31" t="s">
        <v>271</v>
      </c>
      <c r="V469" s="31" t="s">
        <v>1323</v>
      </c>
      <c r="W469" s="34"/>
    </row>
    <row r="470">
      <c r="A470" s="30">
        <v>465.0</v>
      </c>
      <c r="B470" s="31" t="s">
        <v>2335</v>
      </c>
      <c r="C470" s="31" t="s">
        <v>2336</v>
      </c>
      <c r="D470" s="31" t="s">
        <v>1278</v>
      </c>
      <c r="E470" s="31" t="s">
        <v>1209</v>
      </c>
      <c r="F470" s="32">
        <v>45050.0</v>
      </c>
      <c r="G470" s="32">
        <v>45111.0</v>
      </c>
      <c r="H470" s="31" t="s">
        <v>262</v>
      </c>
      <c r="I470" s="31" t="s">
        <v>1209</v>
      </c>
      <c r="J470" s="34"/>
      <c r="K470" s="31" t="s">
        <v>2305</v>
      </c>
      <c r="L470" s="31" t="s">
        <v>1279</v>
      </c>
      <c r="M470" s="31" t="s">
        <v>2337</v>
      </c>
      <c r="N470" s="31" t="s">
        <v>267</v>
      </c>
      <c r="O470" s="34"/>
      <c r="P470" s="31">
        <v>2.0</v>
      </c>
      <c r="Q470" s="31" t="s">
        <v>307</v>
      </c>
      <c r="R470" s="32">
        <v>36754.0</v>
      </c>
      <c r="S470" s="31" t="s">
        <v>531</v>
      </c>
      <c r="T470" s="31" t="s">
        <v>1639</v>
      </c>
      <c r="U470" s="31" t="s">
        <v>271</v>
      </c>
      <c r="V470" s="34"/>
      <c r="W470" s="34"/>
    </row>
    <row r="471">
      <c r="A471" s="30">
        <v>466.0</v>
      </c>
      <c r="B471" s="31" t="s">
        <v>2338</v>
      </c>
      <c r="C471" s="31" t="s">
        <v>2339</v>
      </c>
      <c r="D471" s="31" t="s">
        <v>1219</v>
      </c>
      <c r="E471" s="31" t="s">
        <v>1323</v>
      </c>
      <c r="F471" s="32">
        <v>44896.0</v>
      </c>
      <c r="G471" s="32">
        <v>44958.0</v>
      </c>
      <c r="H471" s="31" t="s">
        <v>262</v>
      </c>
      <c r="I471" s="31" t="s">
        <v>315</v>
      </c>
      <c r="J471" s="31" t="s">
        <v>86</v>
      </c>
      <c r="K471" s="31" t="s">
        <v>2333</v>
      </c>
      <c r="L471" s="31" t="s">
        <v>1223</v>
      </c>
      <c r="M471" s="31" t="s">
        <v>2340</v>
      </c>
      <c r="N471" s="31" t="s">
        <v>467</v>
      </c>
      <c r="O471" s="34"/>
      <c r="P471" s="31">
        <v>2.0</v>
      </c>
      <c r="Q471" s="31" t="s">
        <v>307</v>
      </c>
      <c r="R471" s="35">
        <v>36815.0</v>
      </c>
      <c r="S471" s="31" t="s">
        <v>2341</v>
      </c>
      <c r="T471" s="31" t="s">
        <v>2342</v>
      </c>
      <c r="U471" s="31" t="s">
        <v>271</v>
      </c>
      <c r="V471" s="31" t="s">
        <v>1323</v>
      </c>
      <c r="W471" s="34"/>
    </row>
    <row r="472">
      <c r="A472" s="30">
        <v>467.0</v>
      </c>
      <c r="B472" s="31" t="s">
        <v>2343</v>
      </c>
      <c r="C472" s="31" t="s">
        <v>2344</v>
      </c>
      <c r="D472" s="31" t="s">
        <v>1219</v>
      </c>
      <c r="E472" s="31" t="s">
        <v>1323</v>
      </c>
      <c r="F472" s="32">
        <v>44792.0</v>
      </c>
      <c r="G472" s="35">
        <v>44853.0</v>
      </c>
      <c r="H472" s="31" t="s">
        <v>262</v>
      </c>
      <c r="I472" s="31" t="s">
        <v>315</v>
      </c>
      <c r="J472" s="31" t="s">
        <v>86</v>
      </c>
      <c r="K472" s="31" t="s">
        <v>2333</v>
      </c>
      <c r="L472" s="31" t="s">
        <v>1223</v>
      </c>
      <c r="M472" s="31" t="s">
        <v>2345</v>
      </c>
      <c r="N472" s="31" t="s">
        <v>467</v>
      </c>
      <c r="O472" s="34"/>
      <c r="P472" s="31">
        <v>2.0</v>
      </c>
      <c r="Q472" s="31" t="s">
        <v>307</v>
      </c>
      <c r="R472" s="32">
        <v>36892.0</v>
      </c>
      <c r="S472" s="31" t="s">
        <v>320</v>
      </c>
      <c r="T472" s="31" t="s">
        <v>1476</v>
      </c>
      <c r="U472" s="31" t="s">
        <v>271</v>
      </c>
      <c r="V472" s="31" t="s">
        <v>1323</v>
      </c>
      <c r="W472" s="34"/>
    </row>
    <row r="473">
      <c r="A473" s="30">
        <v>468.0</v>
      </c>
      <c r="B473" s="31" t="s">
        <v>2346</v>
      </c>
      <c r="C473" s="31" t="s">
        <v>2347</v>
      </c>
      <c r="D473" s="31" t="s">
        <v>1219</v>
      </c>
      <c r="E473" s="31" t="s">
        <v>1365</v>
      </c>
      <c r="F473" s="32">
        <v>44734.0</v>
      </c>
      <c r="G473" s="32">
        <v>44795.0</v>
      </c>
      <c r="H473" s="31" t="s">
        <v>262</v>
      </c>
      <c r="I473" s="31" t="s">
        <v>315</v>
      </c>
      <c r="J473" s="31" t="s">
        <v>86</v>
      </c>
      <c r="K473" s="31" t="s">
        <v>2348</v>
      </c>
      <c r="L473" s="31" t="s">
        <v>1223</v>
      </c>
      <c r="M473" s="31" t="s">
        <v>2349</v>
      </c>
      <c r="N473" s="31" t="s">
        <v>467</v>
      </c>
      <c r="O473" s="34"/>
      <c r="P473" s="31">
        <v>2.0</v>
      </c>
      <c r="Q473" s="31" t="s">
        <v>307</v>
      </c>
      <c r="R473" s="32">
        <v>36602.0</v>
      </c>
      <c r="S473" s="31" t="s">
        <v>2350</v>
      </c>
      <c r="T473" s="31" t="s">
        <v>1476</v>
      </c>
      <c r="U473" s="31" t="s">
        <v>271</v>
      </c>
      <c r="V473" s="31" t="s">
        <v>1365</v>
      </c>
      <c r="W473" s="34"/>
    </row>
    <row r="474">
      <c r="A474" s="30">
        <v>469.0</v>
      </c>
      <c r="B474" s="31" t="s">
        <v>2351</v>
      </c>
      <c r="C474" s="31" t="s">
        <v>2352</v>
      </c>
      <c r="D474" s="31" t="s">
        <v>1219</v>
      </c>
      <c r="E474" s="31" t="s">
        <v>1365</v>
      </c>
      <c r="F474" s="32">
        <v>44712.0</v>
      </c>
      <c r="G474" s="32">
        <v>44773.0</v>
      </c>
      <c r="H474" s="31" t="s">
        <v>262</v>
      </c>
      <c r="I474" s="31" t="s">
        <v>315</v>
      </c>
      <c r="J474" s="31" t="s">
        <v>86</v>
      </c>
      <c r="K474" s="31" t="s">
        <v>2348</v>
      </c>
      <c r="L474" s="31" t="s">
        <v>1223</v>
      </c>
      <c r="M474" s="31" t="s">
        <v>2353</v>
      </c>
      <c r="N474" s="31" t="s">
        <v>267</v>
      </c>
      <c r="O474" s="34"/>
      <c r="P474" s="31">
        <v>3.0</v>
      </c>
      <c r="Q474" s="31" t="s">
        <v>307</v>
      </c>
      <c r="R474" s="32">
        <v>36537.0</v>
      </c>
      <c r="S474" s="31" t="s">
        <v>893</v>
      </c>
      <c r="T474" s="31" t="s">
        <v>1476</v>
      </c>
      <c r="U474" s="31" t="s">
        <v>271</v>
      </c>
      <c r="V474" s="31" t="s">
        <v>1365</v>
      </c>
      <c r="W474" s="34"/>
    </row>
    <row r="475">
      <c r="A475" s="30">
        <v>470.0</v>
      </c>
      <c r="B475" s="31" t="s">
        <v>2354</v>
      </c>
      <c r="C475" s="31" t="s">
        <v>2355</v>
      </c>
      <c r="D475" s="31" t="s">
        <v>1219</v>
      </c>
      <c r="E475" s="31" t="s">
        <v>1323</v>
      </c>
      <c r="F475" s="35">
        <v>44541.0</v>
      </c>
      <c r="G475" s="32">
        <v>44603.0</v>
      </c>
      <c r="H475" s="31" t="s">
        <v>262</v>
      </c>
      <c r="I475" s="31" t="s">
        <v>315</v>
      </c>
      <c r="J475" s="31" t="s">
        <v>86</v>
      </c>
      <c r="K475" s="31" t="s">
        <v>2333</v>
      </c>
      <c r="L475" s="31" t="s">
        <v>1223</v>
      </c>
      <c r="M475" s="31" t="s">
        <v>2356</v>
      </c>
      <c r="N475" s="31" t="s">
        <v>467</v>
      </c>
      <c r="O475" s="34"/>
      <c r="P475" s="31">
        <v>2.0</v>
      </c>
      <c r="Q475" s="31" t="s">
        <v>307</v>
      </c>
      <c r="R475" s="35">
        <v>36115.0</v>
      </c>
      <c r="S475" s="31" t="s">
        <v>320</v>
      </c>
      <c r="T475" s="31" t="s">
        <v>1647</v>
      </c>
      <c r="U475" s="31" t="s">
        <v>271</v>
      </c>
      <c r="V475" s="31" t="s">
        <v>1323</v>
      </c>
      <c r="W475" s="34"/>
    </row>
    <row r="476">
      <c r="A476" s="30">
        <v>471.0</v>
      </c>
      <c r="B476" s="31" t="s">
        <v>2357</v>
      </c>
      <c r="C476" s="31" t="s">
        <v>2358</v>
      </c>
      <c r="D476" s="31" t="s">
        <v>1219</v>
      </c>
      <c r="E476" s="31" t="s">
        <v>1220</v>
      </c>
      <c r="F476" s="32">
        <v>43665.0</v>
      </c>
      <c r="G476" s="32">
        <v>43727.0</v>
      </c>
      <c r="H476" s="31" t="s">
        <v>262</v>
      </c>
      <c r="I476" s="31" t="s">
        <v>315</v>
      </c>
      <c r="J476" s="31" t="s">
        <v>86</v>
      </c>
      <c r="K476" s="31" t="s">
        <v>2359</v>
      </c>
      <c r="L476" s="31" t="s">
        <v>1223</v>
      </c>
      <c r="M476" s="31" t="s">
        <v>2360</v>
      </c>
      <c r="N476" s="31" t="s">
        <v>267</v>
      </c>
      <c r="O476" s="34"/>
      <c r="P476" s="31">
        <v>4.0</v>
      </c>
      <c r="Q476" s="31" t="s">
        <v>307</v>
      </c>
      <c r="R476" s="32">
        <v>34962.0</v>
      </c>
      <c r="S476" s="31" t="s">
        <v>320</v>
      </c>
      <c r="T476" s="31" t="s">
        <v>1666</v>
      </c>
      <c r="U476" s="31" t="s">
        <v>271</v>
      </c>
      <c r="V476" s="31" t="s">
        <v>1220</v>
      </c>
      <c r="W476" s="34"/>
    </row>
    <row r="477">
      <c r="A477" s="30">
        <v>472.0</v>
      </c>
      <c r="B477" s="31" t="s">
        <v>2361</v>
      </c>
      <c r="C477" s="31" t="s">
        <v>2362</v>
      </c>
      <c r="D477" s="31" t="s">
        <v>1219</v>
      </c>
      <c r="E477" s="31" t="s">
        <v>1220</v>
      </c>
      <c r="F477" s="32">
        <v>44366.0</v>
      </c>
      <c r="G477" s="32">
        <v>44427.0</v>
      </c>
      <c r="H477" s="31" t="s">
        <v>262</v>
      </c>
      <c r="I477" s="31" t="s">
        <v>315</v>
      </c>
      <c r="J477" s="31" t="s">
        <v>86</v>
      </c>
      <c r="K477" s="31" t="s">
        <v>2359</v>
      </c>
      <c r="L477" s="31" t="s">
        <v>1223</v>
      </c>
      <c r="M477" s="31" t="s">
        <v>2363</v>
      </c>
      <c r="N477" s="31" t="s">
        <v>467</v>
      </c>
      <c r="O477" s="34"/>
      <c r="P477" s="31">
        <v>3.0</v>
      </c>
      <c r="Q477" s="31" t="s">
        <v>307</v>
      </c>
      <c r="R477" s="32">
        <v>35085.0</v>
      </c>
      <c r="S477" s="31" t="s">
        <v>893</v>
      </c>
      <c r="T477" s="31" t="s">
        <v>1476</v>
      </c>
      <c r="U477" s="31" t="s">
        <v>271</v>
      </c>
      <c r="V477" s="31" t="s">
        <v>1220</v>
      </c>
      <c r="W477" s="34"/>
    </row>
    <row r="478">
      <c r="A478" s="30">
        <v>473.0</v>
      </c>
      <c r="B478" s="31" t="s">
        <v>2364</v>
      </c>
      <c r="C478" s="31" t="s">
        <v>2365</v>
      </c>
      <c r="D478" s="31" t="s">
        <v>1208</v>
      </c>
      <c r="E478" s="31" t="s">
        <v>1209</v>
      </c>
      <c r="F478" s="32">
        <v>43633.0</v>
      </c>
      <c r="G478" s="32">
        <v>43694.0</v>
      </c>
      <c r="H478" s="31" t="s">
        <v>262</v>
      </c>
      <c r="I478" s="31" t="s">
        <v>1209</v>
      </c>
      <c r="J478" s="34"/>
      <c r="K478" s="31" t="s">
        <v>2305</v>
      </c>
      <c r="L478" s="31" t="s">
        <v>1211</v>
      </c>
      <c r="M478" s="31" t="s">
        <v>2366</v>
      </c>
      <c r="N478" s="31" t="s">
        <v>467</v>
      </c>
      <c r="O478" s="34"/>
      <c r="P478" s="31">
        <v>4.0</v>
      </c>
      <c r="Q478" s="31" t="s">
        <v>307</v>
      </c>
      <c r="R478" s="35">
        <v>35062.0</v>
      </c>
      <c r="S478" s="31" t="s">
        <v>320</v>
      </c>
      <c r="T478" s="31" t="s">
        <v>1690</v>
      </c>
      <c r="U478" s="31" t="s">
        <v>271</v>
      </c>
      <c r="V478" s="34"/>
      <c r="W478" s="34"/>
    </row>
    <row r="479">
      <c r="A479" s="30">
        <v>474.0</v>
      </c>
      <c r="B479" s="31" t="s">
        <v>2367</v>
      </c>
      <c r="C479" s="31" t="s">
        <v>2368</v>
      </c>
      <c r="D479" s="31" t="s">
        <v>1208</v>
      </c>
      <c r="E479" s="31" t="s">
        <v>1209</v>
      </c>
      <c r="F479" s="32">
        <v>43048.0</v>
      </c>
      <c r="G479" s="32">
        <v>43109.0</v>
      </c>
      <c r="H479" s="31" t="s">
        <v>262</v>
      </c>
      <c r="I479" s="31" t="s">
        <v>1209</v>
      </c>
      <c r="J479" s="34"/>
      <c r="K479" s="31" t="s">
        <v>2305</v>
      </c>
      <c r="L479" s="31" t="s">
        <v>1211</v>
      </c>
      <c r="M479" s="31" t="s">
        <v>2369</v>
      </c>
      <c r="N479" s="31" t="s">
        <v>467</v>
      </c>
      <c r="O479" s="34"/>
      <c r="P479" s="31">
        <v>3.0</v>
      </c>
      <c r="Q479" s="31" t="s">
        <v>307</v>
      </c>
      <c r="R479" s="32">
        <v>34044.0</v>
      </c>
      <c r="S479" s="31" t="s">
        <v>320</v>
      </c>
      <c r="T479" s="31" t="s">
        <v>1476</v>
      </c>
      <c r="U479" s="31" t="s">
        <v>271</v>
      </c>
      <c r="V479" s="34"/>
      <c r="W479" s="34"/>
    </row>
    <row r="480">
      <c r="A480" s="30">
        <v>475.0</v>
      </c>
      <c r="B480" s="31" t="s">
        <v>2370</v>
      </c>
      <c r="C480" s="31" t="s">
        <v>2371</v>
      </c>
      <c r="D480" s="31" t="s">
        <v>1219</v>
      </c>
      <c r="E480" s="31" t="s">
        <v>1365</v>
      </c>
      <c r="F480" s="32">
        <v>44366.0</v>
      </c>
      <c r="G480" s="32">
        <v>44427.0</v>
      </c>
      <c r="H480" s="31" t="s">
        <v>262</v>
      </c>
      <c r="I480" s="31" t="s">
        <v>315</v>
      </c>
      <c r="J480" s="31" t="s">
        <v>86</v>
      </c>
      <c r="K480" s="31" t="s">
        <v>2348</v>
      </c>
      <c r="L480" s="31" t="s">
        <v>1223</v>
      </c>
      <c r="M480" s="31" t="s">
        <v>2372</v>
      </c>
      <c r="N480" s="31" t="s">
        <v>467</v>
      </c>
      <c r="O480" s="34"/>
      <c r="P480" s="31">
        <v>3.0</v>
      </c>
      <c r="Q480" s="31" t="s">
        <v>307</v>
      </c>
      <c r="R480" s="35">
        <v>36830.0</v>
      </c>
      <c r="S480" s="31" t="s">
        <v>729</v>
      </c>
      <c r="T480" s="31" t="s">
        <v>1476</v>
      </c>
      <c r="U480" s="31" t="s">
        <v>271</v>
      </c>
      <c r="V480" s="31" t="s">
        <v>1365</v>
      </c>
      <c r="W480" s="34"/>
    </row>
    <row r="481">
      <c r="A481" s="30">
        <v>476.0</v>
      </c>
      <c r="B481" s="31" t="s">
        <v>2373</v>
      </c>
      <c r="C481" s="31" t="s">
        <v>2374</v>
      </c>
      <c r="D481" s="31" t="s">
        <v>1208</v>
      </c>
      <c r="E481" s="31" t="s">
        <v>1209</v>
      </c>
      <c r="F481" s="32">
        <v>41885.0</v>
      </c>
      <c r="G481" s="32">
        <v>41946.0</v>
      </c>
      <c r="H481" s="31" t="s">
        <v>262</v>
      </c>
      <c r="I481" s="31" t="s">
        <v>1209</v>
      </c>
      <c r="J481" s="34"/>
      <c r="K481" s="31" t="s">
        <v>2305</v>
      </c>
      <c r="L481" s="31" t="s">
        <v>1211</v>
      </c>
      <c r="M481" s="31" t="s">
        <v>2375</v>
      </c>
      <c r="N481" s="31" t="s">
        <v>267</v>
      </c>
      <c r="O481" s="34"/>
      <c r="P481" s="31">
        <v>6.0</v>
      </c>
      <c r="Q481" s="31" t="s">
        <v>307</v>
      </c>
      <c r="R481" s="32">
        <v>33695.0</v>
      </c>
      <c r="S481" s="31" t="s">
        <v>320</v>
      </c>
      <c r="T481" s="31" t="s">
        <v>1698</v>
      </c>
      <c r="U481" s="31" t="s">
        <v>271</v>
      </c>
      <c r="V481" s="34"/>
      <c r="W481" s="34"/>
    </row>
    <row r="482">
      <c r="A482" s="30">
        <v>477.0</v>
      </c>
      <c r="B482" s="31" t="s">
        <v>2376</v>
      </c>
      <c r="C482" s="31" t="s">
        <v>2254</v>
      </c>
      <c r="D482" s="31" t="s">
        <v>2377</v>
      </c>
      <c r="E482" s="31" t="s">
        <v>1209</v>
      </c>
      <c r="F482" s="32">
        <v>42499.0</v>
      </c>
      <c r="G482" s="32">
        <v>42560.0</v>
      </c>
      <c r="H482" s="31" t="s">
        <v>262</v>
      </c>
      <c r="I482" s="31" t="s">
        <v>1209</v>
      </c>
      <c r="J482" s="34"/>
      <c r="K482" s="31" t="s">
        <v>2305</v>
      </c>
      <c r="L482" s="31" t="s">
        <v>2378</v>
      </c>
      <c r="M482" s="31" t="s">
        <v>2379</v>
      </c>
      <c r="N482" s="31" t="s">
        <v>267</v>
      </c>
      <c r="O482" s="31">
        <v>2.0</v>
      </c>
      <c r="P482" s="31">
        <v>3.0</v>
      </c>
      <c r="Q482" s="31" t="s">
        <v>307</v>
      </c>
      <c r="R482" s="35">
        <v>34617.0</v>
      </c>
      <c r="S482" s="31" t="s">
        <v>2380</v>
      </c>
      <c r="T482" s="31" t="s">
        <v>1686</v>
      </c>
      <c r="U482" s="31" t="s">
        <v>271</v>
      </c>
      <c r="V482" s="34"/>
      <c r="W482" s="34"/>
    </row>
    <row r="483">
      <c r="A483" s="30">
        <v>478.0</v>
      </c>
      <c r="B483" s="31" t="s">
        <v>2381</v>
      </c>
      <c r="C483" s="31" t="s">
        <v>2382</v>
      </c>
      <c r="D483" s="31" t="s">
        <v>1219</v>
      </c>
      <c r="E483" s="31" t="s">
        <v>1323</v>
      </c>
      <c r="F483" s="32">
        <v>42842.0</v>
      </c>
      <c r="G483" s="32">
        <v>42904.0</v>
      </c>
      <c r="H483" s="31" t="s">
        <v>262</v>
      </c>
      <c r="I483" s="31" t="s">
        <v>315</v>
      </c>
      <c r="J483" s="31" t="s">
        <v>86</v>
      </c>
      <c r="K483" s="31" t="s">
        <v>2333</v>
      </c>
      <c r="L483" s="31" t="s">
        <v>1223</v>
      </c>
      <c r="M483" s="31" t="s">
        <v>2383</v>
      </c>
      <c r="N483" s="31" t="s">
        <v>467</v>
      </c>
      <c r="O483" s="34"/>
      <c r="P483" s="31">
        <v>6.0</v>
      </c>
      <c r="Q483" s="31" t="s">
        <v>307</v>
      </c>
      <c r="R483" s="32">
        <v>34029.0</v>
      </c>
      <c r="S483" s="31" t="s">
        <v>893</v>
      </c>
      <c r="T483" s="31" t="s">
        <v>1476</v>
      </c>
      <c r="U483" s="31" t="s">
        <v>271</v>
      </c>
      <c r="V483" s="31" t="s">
        <v>1323</v>
      </c>
      <c r="W483" s="34"/>
    </row>
    <row r="484">
      <c r="A484" s="30">
        <v>479.0</v>
      </c>
      <c r="B484" s="31" t="s">
        <v>2384</v>
      </c>
      <c r="C484" s="31" t="s">
        <v>2385</v>
      </c>
      <c r="D484" s="31" t="s">
        <v>1219</v>
      </c>
      <c r="E484" s="31" t="s">
        <v>1395</v>
      </c>
      <c r="F484" s="32">
        <v>45149.0</v>
      </c>
      <c r="G484" s="35">
        <v>45209.0</v>
      </c>
      <c r="H484" s="31" t="s">
        <v>262</v>
      </c>
      <c r="I484" s="31" t="s">
        <v>315</v>
      </c>
      <c r="J484" s="31" t="s">
        <v>86</v>
      </c>
      <c r="K484" s="31" t="s">
        <v>2386</v>
      </c>
      <c r="L484" s="31" t="s">
        <v>1223</v>
      </c>
      <c r="M484" s="31" t="s">
        <v>2387</v>
      </c>
      <c r="N484" s="31" t="s">
        <v>467</v>
      </c>
      <c r="O484" s="34"/>
      <c r="P484" s="31">
        <v>1.0</v>
      </c>
      <c r="Q484" s="31" t="s">
        <v>307</v>
      </c>
      <c r="R484" s="32">
        <v>37338.0</v>
      </c>
      <c r="S484" s="31" t="s">
        <v>893</v>
      </c>
      <c r="T484" s="31" t="s">
        <v>1476</v>
      </c>
      <c r="U484" s="31" t="s">
        <v>271</v>
      </c>
      <c r="V484" s="31" t="s">
        <v>1395</v>
      </c>
      <c r="W484" s="34"/>
    </row>
    <row r="485">
      <c r="A485" s="30">
        <v>480.0</v>
      </c>
      <c r="B485" s="31" t="s">
        <v>2388</v>
      </c>
      <c r="C485" s="31" t="s">
        <v>2389</v>
      </c>
      <c r="D485" s="31" t="s">
        <v>313</v>
      </c>
      <c r="E485" s="31" t="s">
        <v>1507</v>
      </c>
      <c r="F485" s="32">
        <v>45098.0</v>
      </c>
      <c r="G485" s="32">
        <v>45158.0</v>
      </c>
      <c r="H485" s="31" t="s">
        <v>262</v>
      </c>
      <c r="I485" s="31" t="s">
        <v>315</v>
      </c>
      <c r="J485" s="31" t="s">
        <v>316</v>
      </c>
      <c r="K485" s="31" t="s">
        <v>2390</v>
      </c>
      <c r="L485" s="31" t="s">
        <v>318</v>
      </c>
      <c r="M485" s="31" t="s">
        <v>2391</v>
      </c>
      <c r="N485" s="31" t="s">
        <v>267</v>
      </c>
      <c r="O485" s="34"/>
      <c r="P485" s="31">
        <v>2.0</v>
      </c>
      <c r="Q485" s="31" t="s">
        <v>307</v>
      </c>
      <c r="R485" s="32">
        <v>36943.0</v>
      </c>
      <c r="S485" s="31" t="s">
        <v>537</v>
      </c>
      <c r="T485" s="31" t="s">
        <v>1915</v>
      </c>
      <c r="U485" s="31" t="s">
        <v>271</v>
      </c>
      <c r="V485" s="31" t="s">
        <v>1507</v>
      </c>
      <c r="W485" s="34"/>
    </row>
    <row r="486">
      <c r="A486" s="30">
        <v>481.0</v>
      </c>
      <c r="B486" s="31" t="s">
        <v>2392</v>
      </c>
      <c r="C486" s="31" t="s">
        <v>2393</v>
      </c>
      <c r="D486" s="31" t="s">
        <v>313</v>
      </c>
      <c r="E486" s="31" t="s">
        <v>1486</v>
      </c>
      <c r="F486" s="32">
        <v>45073.0</v>
      </c>
      <c r="G486" s="32">
        <v>45133.0</v>
      </c>
      <c r="H486" s="31" t="s">
        <v>262</v>
      </c>
      <c r="I486" s="31" t="s">
        <v>315</v>
      </c>
      <c r="J486" s="31" t="s">
        <v>316</v>
      </c>
      <c r="K486" s="31" t="s">
        <v>2394</v>
      </c>
      <c r="L486" s="31" t="s">
        <v>318</v>
      </c>
      <c r="M486" s="31" t="s">
        <v>2395</v>
      </c>
      <c r="N486" s="31" t="s">
        <v>267</v>
      </c>
      <c r="O486" s="34"/>
      <c r="P486" s="31">
        <v>2.0</v>
      </c>
      <c r="Q486" s="31" t="s">
        <v>307</v>
      </c>
      <c r="R486" s="35">
        <v>36842.0</v>
      </c>
      <c r="S486" s="31" t="s">
        <v>526</v>
      </c>
      <c r="T486" s="31" t="s">
        <v>2083</v>
      </c>
      <c r="U486" s="31" t="s">
        <v>271</v>
      </c>
      <c r="V486" s="31" t="s">
        <v>1486</v>
      </c>
      <c r="W486" s="34"/>
    </row>
    <row r="487">
      <c r="A487" s="30">
        <v>482.0</v>
      </c>
      <c r="B487" s="31" t="s">
        <v>2396</v>
      </c>
      <c r="C487" s="31" t="s">
        <v>2397</v>
      </c>
      <c r="D487" s="31" t="s">
        <v>1219</v>
      </c>
      <c r="E487" s="31" t="s">
        <v>1395</v>
      </c>
      <c r="F487" s="32">
        <v>45013.0</v>
      </c>
      <c r="G487" s="32">
        <v>45074.0</v>
      </c>
      <c r="H487" s="31" t="s">
        <v>262</v>
      </c>
      <c r="I487" s="31" t="s">
        <v>315</v>
      </c>
      <c r="J487" s="31" t="s">
        <v>86</v>
      </c>
      <c r="K487" s="31" t="s">
        <v>2386</v>
      </c>
      <c r="L487" s="31" t="s">
        <v>1223</v>
      </c>
      <c r="M487" s="31" t="s">
        <v>2398</v>
      </c>
      <c r="N487" s="31" t="s">
        <v>467</v>
      </c>
      <c r="O487" s="34"/>
      <c r="P487" s="31">
        <v>2.0</v>
      </c>
      <c r="Q487" s="31" t="s">
        <v>307</v>
      </c>
      <c r="R487" s="32">
        <v>36612.0</v>
      </c>
      <c r="S487" s="31" t="s">
        <v>681</v>
      </c>
      <c r="T487" s="31" t="s">
        <v>1810</v>
      </c>
      <c r="U487" s="31" t="s">
        <v>271</v>
      </c>
      <c r="V487" s="31" t="s">
        <v>1395</v>
      </c>
      <c r="W487" s="34"/>
    </row>
    <row r="488">
      <c r="A488" s="30">
        <v>483.0</v>
      </c>
      <c r="B488" s="31" t="s">
        <v>2399</v>
      </c>
      <c r="C488" s="31" t="s">
        <v>2400</v>
      </c>
      <c r="D488" s="31" t="s">
        <v>313</v>
      </c>
      <c r="E488" s="31" t="s">
        <v>314</v>
      </c>
      <c r="F488" s="32">
        <v>44896.0</v>
      </c>
      <c r="G488" s="32">
        <v>44958.0</v>
      </c>
      <c r="H488" s="31" t="s">
        <v>262</v>
      </c>
      <c r="I488" s="31" t="s">
        <v>315</v>
      </c>
      <c r="J488" s="31" t="s">
        <v>316</v>
      </c>
      <c r="K488" s="31" t="s">
        <v>317</v>
      </c>
      <c r="L488" s="31" t="s">
        <v>318</v>
      </c>
      <c r="M488" s="31" t="s">
        <v>2401</v>
      </c>
      <c r="N488" s="31" t="s">
        <v>267</v>
      </c>
      <c r="O488" s="34"/>
      <c r="P488" s="31">
        <v>2.0</v>
      </c>
      <c r="Q488" s="31" t="s">
        <v>307</v>
      </c>
      <c r="R488" s="32">
        <v>36650.0</v>
      </c>
      <c r="S488" s="31" t="s">
        <v>681</v>
      </c>
      <c r="T488" s="31" t="s">
        <v>321</v>
      </c>
      <c r="U488" s="31" t="s">
        <v>271</v>
      </c>
      <c r="V488" s="31" t="s">
        <v>314</v>
      </c>
      <c r="W488" s="34"/>
    </row>
    <row r="489">
      <c r="A489" s="30">
        <v>484.0</v>
      </c>
      <c r="B489" s="31" t="s">
        <v>2402</v>
      </c>
      <c r="C489" s="31" t="s">
        <v>2403</v>
      </c>
      <c r="D489" s="31" t="s">
        <v>313</v>
      </c>
      <c r="E489" s="31" t="s">
        <v>1486</v>
      </c>
      <c r="F489" s="35">
        <v>44884.0</v>
      </c>
      <c r="G489" s="32">
        <v>44945.0</v>
      </c>
      <c r="H489" s="31" t="s">
        <v>262</v>
      </c>
      <c r="I489" s="31" t="s">
        <v>315</v>
      </c>
      <c r="J489" s="31" t="s">
        <v>316</v>
      </c>
      <c r="K489" s="31" t="s">
        <v>2394</v>
      </c>
      <c r="L489" s="31" t="s">
        <v>318</v>
      </c>
      <c r="M489" s="31" t="s">
        <v>2404</v>
      </c>
      <c r="N489" s="31" t="s">
        <v>267</v>
      </c>
      <c r="O489" s="34"/>
      <c r="P489" s="31">
        <v>3.0</v>
      </c>
      <c r="Q489" s="31" t="s">
        <v>307</v>
      </c>
      <c r="R489" s="35">
        <v>37244.0</v>
      </c>
      <c r="S489" s="31" t="s">
        <v>320</v>
      </c>
      <c r="T489" s="31" t="s">
        <v>1647</v>
      </c>
      <c r="U489" s="31" t="s">
        <v>271</v>
      </c>
      <c r="V489" s="31" t="s">
        <v>1486</v>
      </c>
      <c r="W489" s="34"/>
    </row>
    <row r="490">
      <c r="A490" s="30">
        <v>485.0</v>
      </c>
      <c r="B490" s="31" t="s">
        <v>2405</v>
      </c>
      <c r="C490" s="31" t="s">
        <v>2406</v>
      </c>
      <c r="D490" s="31" t="s">
        <v>1219</v>
      </c>
      <c r="E490" s="31" t="s">
        <v>1395</v>
      </c>
      <c r="F490" s="32">
        <v>44742.0</v>
      </c>
      <c r="G490" s="32">
        <v>44803.0</v>
      </c>
      <c r="H490" s="31" t="s">
        <v>262</v>
      </c>
      <c r="I490" s="31" t="s">
        <v>315</v>
      </c>
      <c r="J490" s="31" t="s">
        <v>86</v>
      </c>
      <c r="K490" s="31" t="s">
        <v>2386</v>
      </c>
      <c r="L490" s="31" t="s">
        <v>1223</v>
      </c>
      <c r="M490" s="31" t="s">
        <v>2407</v>
      </c>
      <c r="N490" s="31" t="s">
        <v>267</v>
      </c>
      <c r="O490" s="34"/>
      <c r="P490" s="31">
        <v>3.0</v>
      </c>
      <c r="Q490" s="31" t="s">
        <v>307</v>
      </c>
      <c r="R490" s="32">
        <v>36420.0</v>
      </c>
      <c r="S490" s="31" t="s">
        <v>531</v>
      </c>
      <c r="T490" s="31" t="s">
        <v>2408</v>
      </c>
      <c r="U490" s="31" t="s">
        <v>271</v>
      </c>
      <c r="V490" s="31" t="s">
        <v>1395</v>
      </c>
      <c r="W490" s="34"/>
    </row>
    <row r="491">
      <c r="A491" s="30">
        <v>486.0</v>
      </c>
      <c r="B491" s="31" t="s">
        <v>2409</v>
      </c>
      <c r="C491" s="31" t="s">
        <v>2410</v>
      </c>
      <c r="D491" s="31" t="s">
        <v>313</v>
      </c>
      <c r="E491" s="31" t="s">
        <v>1507</v>
      </c>
      <c r="F491" s="32">
        <v>44734.0</v>
      </c>
      <c r="G491" s="32">
        <v>44795.0</v>
      </c>
      <c r="H491" s="31" t="s">
        <v>262</v>
      </c>
      <c r="I491" s="31" t="s">
        <v>315</v>
      </c>
      <c r="J491" s="31" t="s">
        <v>316</v>
      </c>
      <c r="K491" s="31" t="s">
        <v>2390</v>
      </c>
      <c r="L491" s="31" t="s">
        <v>318</v>
      </c>
      <c r="M491" s="31" t="s">
        <v>2411</v>
      </c>
      <c r="N491" s="31" t="s">
        <v>267</v>
      </c>
      <c r="O491" s="34"/>
      <c r="P491" s="31">
        <v>4.0</v>
      </c>
      <c r="Q491" s="31" t="s">
        <v>307</v>
      </c>
      <c r="R491" s="32">
        <v>36472.0</v>
      </c>
      <c r="S491" s="31" t="s">
        <v>308</v>
      </c>
      <c r="T491" s="31" t="s">
        <v>2412</v>
      </c>
      <c r="U491" s="31" t="s">
        <v>271</v>
      </c>
      <c r="V491" s="31" t="s">
        <v>1507</v>
      </c>
      <c r="W491" s="34"/>
    </row>
    <row r="492">
      <c r="A492" s="30">
        <v>487.0</v>
      </c>
      <c r="B492" s="31" t="s">
        <v>2413</v>
      </c>
      <c r="C492" s="31" t="s">
        <v>2414</v>
      </c>
      <c r="D492" s="31" t="s">
        <v>1219</v>
      </c>
      <c r="E492" s="31" t="s">
        <v>1395</v>
      </c>
      <c r="F492" s="32">
        <v>44672.0</v>
      </c>
      <c r="G492" s="32">
        <v>44733.0</v>
      </c>
      <c r="H492" s="31" t="s">
        <v>262</v>
      </c>
      <c r="I492" s="31" t="s">
        <v>315</v>
      </c>
      <c r="J492" s="31" t="s">
        <v>86</v>
      </c>
      <c r="K492" s="31" t="s">
        <v>2386</v>
      </c>
      <c r="L492" s="31" t="s">
        <v>1223</v>
      </c>
      <c r="M492" s="31" t="s">
        <v>2415</v>
      </c>
      <c r="N492" s="31" t="s">
        <v>467</v>
      </c>
      <c r="O492" s="34"/>
      <c r="P492" s="31">
        <v>2.0</v>
      </c>
      <c r="Q492" s="31" t="s">
        <v>307</v>
      </c>
      <c r="R492" s="32">
        <v>36549.0</v>
      </c>
      <c r="S492" s="31" t="s">
        <v>320</v>
      </c>
      <c r="T492" s="31" t="s">
        <v>2416</v>
      </c>
      <c r="U492" s="31" t="s">
        <v>271</v>
      </c>
      <c r="V492" s="31" t="s">
        <v>1395</v>
      </c>
      <c r="W492" s="34"/>
    </row>
    <row r="493">
      <c r="A493" s="30">
        <v>488.0</v>
      </c>
      <c r="B493" s="31" t="s">
        <v>2417</v>
      </c>
      <c r="C493" s="31" t="s">
        <v>2418</v>
      </c>
      <c r="D493" s="31" t="s">
        <v>313</v>
      </c>
      <c r="E493" s="31" t="s">
        <v>1507</v>
      </c>
      <c r="F493" s="32">
        <v>43645.0</v>
      </c>
      <c r="G493" s="32">
        <v>43706.0</v>
      </c>
      <c r="H493" s="31" t="s">
        <v>262</v>
      </c>
      <c r="I493" s="31" t="s">
        <v>315</v>
      </c>
      <c r="J493" s="31" t="s">
        <v>316</v>
      </c>
      <c r="K493" s="31" t="s">
        <v>2390</v>
      </c>
      <c r="L493" s="31" t="s">
        <v>318</v>
      </c>
      <c r="M493" s="31" t="s">
        <v>2419</v>
      </c>
      <c r="N493" s="31" t="s">
        <v>467</v>
      </c>
      <c r="O493" s="34"/>
      <c r="P493" s="31">
        <v>5.0</v>
      </c>
      <c r="Q493" s="31" t="s">
        <v>307</v>
      </c>
      <c r="R493" s="32">
        <v>35536.0</v>
      </c>
      <c r="S493" s="31" t="s">
        <v>1104</v>
      </c>
      <c r="T493" s="31" t="s">
        <v>1831</v>
      </c>
      <c r="U493" s="31" t="s">
        <v>271</v>
      </c>
      <c r="V493" s="31" t="s">
        <v>1507</v>
      </c>
      <c r="W493" s="34"/>
    </row>
    <row r="494">
      <c r="A494" s="30">
        <v>489.0</v>
      </c>
      <c r="B494" s="31" t="s">
        <v>2420</v>
      </c>
      <c r="C494" s="31" t="s">
        <v>2421</v>
      </c>
      <c r="D494" s="31" t="s">
        <v>2422</v>
      </c>
      <c r="E494" s="31" t="s">
        <v>38</v>
      </c>
      <c r="F494" s="32">
        <v>40330.0</v>
      </c>
      <c r="G494" s="32">
        <v>40391.0</v>
      </c>
      <c r="H494" s="31" t="s">
        <v>262</v>
      </c>
      <c r="I494" s="31" t="s">
        <v>38</v>
      </c>
      <c r="J494" s="34"/>
      <c r="K494" s="31" t="s">
        <v>2423</v>
      </c>
      <c r="L494" s="31" t="s">
        <v>2424</v>
      </c>
      <c r="M494" s="31" t="s">
        <v>2425</v>
      </c>
      <c r="N494" s="31" t="s">
        <v>267</v>
      </c>
      <c r="O494" s="34"/>
      <c r="P494" s="31">
        <v>8.0</v>
      </c>
      <c r="Q494" s="31" t="s">
        <v>307</v>
      </c>
      <c r="R494" s="35">
        <v>32074.0</v>
      </c>
      <c r="S494" s="31" t="s">
        <v>2426</v>
      </c>
      <c r="T494" s="31" t="s">
        <v>1042</v>
      </c>
      <c r="U494" s="31" t="s">
        <v>271</v>
      </c>
      <c r="V494" s="34"/>
      <c r="W494" s="34"/>
    </row>
    <row r="495">
      <c r="A495" s="30">
        <v>490.0</v>
      </c>
      <c r="B495" s="31" t="s">
        <v>2427</v>
      </c>
      <c r="C495" s="31" t="s">
        <v>2428</v>
      </c>
      <c r="D495" s="31" t="s">
        <v>2429</v>
      </c>
      <c r="E495" s="31" t="s">
        <v>2430</v>
      </c>
      <c r="F495" s="32">
        <v>44222.0</v>
      </c>
      <c r="G495" s="32">
        <v>44281.0</v>
      </c>
      <c r="H495" s="31" t="s">
        <v>262</v>
      </c>
      <c r="I495" s="31" t="s">
        <v>2430</v>
      </c>
      <c r="J495" s="34"/>
      <c r="K495" s="31" t="s">
        <v>2431</v>
      </c>
      <c r="L495" s="31" t="s">
        <v>2432</v>
      </c>
      <c r="M495" s="31" t="s">
        <v>2433</v>
      </c>
      <c r="N495" s="31" t="s">
        <v>267</v>
      </c>
      <c r="O495" s="34"/>
      <c r="P495" s="31">
        <v>11.0</v>
      </c>
      <c r="Q495" s="31" t="s">
        <v>307</v>
      </c>
      <c r="R495" s="32">
        <v>36501.0</v>
      </c>
      <c r="S495" s="31" t="s">
        <v>458</v>
      </c>
      <c r="T495" s="31" t="s">
        <v>1959</v>
      </c>
      <c r="U495" s="31" t="s">
        <v>271</v>
      </c>
      <c r="V495" s="34"/>
      <c r="W495" s="34"/>
    </row>
    <row r="496">
      <c r="A496" s="30">
        <v>491.0</v>
      </c>
      <c r="B496" s="31" t="s">
        <v>2434</v>
      </c>
      <c r="C496" s="31" t="s">
        <v>2435</v>
      </c>
      <c r="D496" s="31" t="s">
        <v>2422</v>
      </c>
      <c r="E496" s="31" t="s">
        <v>38</v>
      </c>
      <c r="F496" s="32">
        <v>42768.0</v>
      </c>
      <c r="G496" s="32">
        <v>42828.0</v>
      </c>
      <c r="H496" s="31" t="s">
        <v>262</v>
      </c>
      <c r="I496" s="31" t="s">
        <v>38</v>
      </c>
      <c r="J496" s="34"/>
      <c r="K496" s="31" t="s">
        <v>2423</v>
      </c>
      <c r="L496" s="31" t="s">
        <v>2424</v>
      </c>
      <c r="M496" s="31" t="s">
        <v>2436</v>
      </c>
      <c r="N496" s="31" t="s">
        <v>267</v>
      </c>
      <c r="O496" s="34"/>
      <c r="P496" s="31">
        <v>8.0</v>
      </c>
      <c r="Q496" s="31" t="s">
        <v>307</v>
      </c>
      <c r="R496" s="32">
        <v>33021.0</v>
      </c>
      <c r="S496" s="31" t="s">
        <v>320</v>
      </c>
      <c r="T496" s="31" t="s">
        <v>1881</v>
      </c>
      <c r="U496" s="31" t="s">
        <v>271</v>
      </c>
      <c r="V496" s="34"/>
      <c r="W496" s="34"/>
    </row>
    <row r="497">
      <c r="A497" s="30">
        <v>492.0</v>
      </c>
      <c r="B497" s="31" t="s">
        <v>2437</v>
      </c>
      <c r="C497" s="31" t="s">
        <v>2438</v>
      </c>
      <c r="D497" s="31" t="s">
        <v>1541</v>
      </c>
      <c r="E497" s="31" t="s">
        <v>2439</v>
      </c>
      <c r="F497" s="35">
        <v>44133.0</v>
      </c>
      <c r="G497" s="35">
        <v>44194.0</v>
      </c>
      <c r="H497" s="31" t="s">
        <v>262</v>
      </c>
      <c r="I497" s="31" t="s">
        <v>315</v>
      </c>
      <c r="J497" s="31" t="s">
        <v>1577</v>
      </c>
      <c r="K497" s="31" t="s">
        <v>2440</v>
      </c>
      <c r="L497" s="31" t="s">
        <v>1542</v>
      </c>
      <c r="M497" s="31" t="s">
        <v>2441</v>
      </c>
      <c r="N497" s="31" t="s">
        <v>267</v>
      </c>
      <c r="O497" s="31">
        <v>1.0</v>
      </c>
      <c r="P497" s="31">
        <v>10.0</v>
      </c>
      <c r="Q497" s="31" t="s">
        <v>307</v>
      </c>
      <c r="R497" s="32">
        <v>35707.0</v>
      </c>
      <c r="S497" s="31" t="s">
        <v>681</v>
      </c>
      <c r="T497" s="31" t="s">
        <v>2442</v>
      </c>
      <c r="U497" s="31" t="s">
        <v>271</v>
      </c>
      <c r="V497" s="31" t="s">
        <v>2439</v>
      </c>
      <c r="W497" s="34"/>
    </row>
    <row r="498">
      <c r="A498" s="30">
        <v>493.0</v>
      </c>
      <c r="B498" s="31" t="s">
        <v>2443</v>
      </c>
      <c r="C498" s="31" t="s">
        <v>2444</v>
      </c>
      <c r="D498" s="31" t="s">
        <v>1219</v>
      </c>
      <c r="E498" s="31" t="s">
        <v>1395</v>
      </c>
      <c r="F498" s="32">
        <v>43208.0</v>
      </c>
      <c r="G498" s="32">
        <v>43269.0</v>
      </c>
      <c r="H498" s="31" t="s">
        <v>262</v>
      </c>
      <c r="I498" s="31" t="s">
        <v>315</v>
      </c>
      <c r="J498" s="31" t="s">
        <v>86</v>
      </c>
      <c r="K498" s="31" t="s">
        <v>2386</v>
      </c>
      <c r="L498" s="31" t="s">
        <v>1223</v>
      </c>
      <c r="M498" s="31" t="s">
        <v>2445</v>
      </c>
      <c r="N498" s="31" t="s">
        <v>467</v>
      </c>
      <c r="O498" s="34"/>
      <c r="P498" s="31">
        <v>6.0</v>
      </c>
      <c r="Q498" s="31" t="s">
        <v>307</v>
      </c>
      <c r="R498" s="32">
        <v>35115.0</v>
      </c>
      <c r="S498" s="31" t="s">
        <v>893</v>
      </c>
      <c r="T498" s="31" t="s">
        <v>1476</v>
      </c>
      <c r="U498" s="31" t="s">
        <v>271</v>
      </c>
      <c r="V498" s="31" t="s">
        <v>1395</v>
      </c>
      <c r="W498" s="34"/>
    </row>
    <row r="499">
      <c r="A499" s="30">
        <v>494.0</v>
      </c>
      <c r="B499" s="31" t="s">
        <v>2446</v>
      </c>
      <c r="C499" s="31" t="s">
        <v>2447</v>
      </c>
      <c r="D499" s="31" t="s">
        <v>313</v>
      </c>
      <c r="E499" s="31" t="s">
        <v>314</v>
      </c>
      <c r="F499" s="32">
        <v>44015.0</v>
      </c>
      <c r="G499" s="32">
        <v>44077.0</v>
      </c>
      <c r="H499" s="31" t="s">
        <v>262</v>
      </c>
      <c r="I499" s="31" t="s">
        <v>315</v>
      </c>
      <c r="J499" s="31" t="s">
        <v>316</v>
      </c>
      <c r="K499" s="31" t="s">
        <v>317</v>
      </c>
      <c r="L499" s="31" t="s">
        <v>318</v>
      </c>
      <c r="M499" s="31" t="s">
        <v>2448</v>
      </c>
      <c r="N499" s="31" t="s">
        <v>267</v>
      </c>
      <c r="O499" s="34"/>
      <c r="P499" s="31">
        <v>4.0</v>
      </c>
      <c r="Q499" s="31" t="s">
        <v>307</v>
      </c>
      <c r="R499" s="32">
        <v>36298.0</v>
      </c>
      <c r="S499" s="31" t="s">
        <v>320</v>
      </c>
      <c r="T499" s="31" t="s">
        <v>1690</v>
      </c>
      <c r="U499" s="31" t="s">
        <v>271</v>
      </c>
      <c r="V499" s="31" t="s">
        <v>314</v>
      </c>
      <c r="W499" s="34"/>
    </row>
    <row r="500">
      <c r="A500" s="30">
        <v>495.0</v>
      </c>
      <c r="B500" s="31" t="s">
        <v>2449</v>
      </c>
      <c r="C500" s="31" t="s">
        <v>2450</v>
      </c>
      <c r="D500" s="31" t="s">
        <v>2451</v>
      </c>
      <c r="E500" s="31" t="s">
        <v>36</v>
      </c>
      <c r="F500" s="32">
        <v>44896.0</v>
      </c>
      <c r="G500" s="32">
        <v>44958.0</v>
      </c>
      <c r="H500" s="31" t="s">
        <v>262</v>
      </c>
      <c r="I500" s="31" t="s">
        <v>36</v>
      </c>
      <c r="J500" s="34"/>
      <c r="K500" s="31" t="s">
        <v>2452</v>
      </c>
      <c r="L500" s="31" t="s">
        <v>2453</v>
      </c>
      <c r="M500" s="31" t="s">
        <v>2454</v>
      </c>
      <c r="N500" s="31" t="s">
        <v>267</v>
      </c>
      <c r="O500" s="34"/>
      <c r="P500" s="31">
        <v>3.0</v>
      </c>
      <c r="Q500" s="31" t="s">
        <v>307</v>
      </c>
      <c r="R500" s="32">
        <v>37081.0</v>
      </c>
      <c r="S500" s="31" t="s">
        <v>2455</v>
      </c>
      <c r="T500" s="31" t="s">
        <v>1970</v>
      </c>
      <c r="U500" s="31" t="s">
        <v>271</v>
      </c>
      <c r="V500" s="34"/>
      <c r="W500" s="34"/>
    </row>
    <row r="501">
      <c r="A501" s="30">
        <v>496.0</v>
      </c>
      <c r="B501" s="31" t="s">
        <v>2456</v>
      </c>
      <c r="C501" s="31" t="s">
        <v>2457</v>
      </c>
      <c r="D501" s="31" t="s">
        <v>2451</v>
      </c>
      <c r="E501" s="31" t="s">
        <v>36</v>
      </c>
      <c r="F501" s="32">
        <v>44755.0</v>
      </c>
      <c r="G501" s="32">
        <v>44817.0</v>
      </c>
      <c r="H501" s="31" t="s">
        <v>262</v>
      </c>
      <c r="I501" s="31" t="s">
        <v>36</v>
      </c>
      <c r="J501" s="34"/>
      <c r="K501" s="31" t="s">
        <v>2452</v>
      </c>
      <c r="L501" s="31" t="s">
        <v>2453</v>
      </c>
      <c r="M501" s="31" t="s">
        <v>2458</v>
      </c>
      <c r="N501" s="31" t="s">
        <v>267</v>
      </c>
      <c r="O501" s="34"/>
      <c r="P501" s="31">
        <v>4.0</v>
      </c>
      <c r="Q501" s="31" t="s">
        <v>307</v>
      </c>
      <c r="R501" s="32">
        <v>35871.0</v>
      </c>
      <c r="S501" s="31" t="s">
        <v>2459</v>
      </c>
      <c r="T501" s="31" t="s">
        <v>1810</v>
      </c>
      <c r="U501" s="31" t="s">
        <v>271</v>
      </c>
      <c r="V501" s="34"/>
      <c r="W501" s="34"/>
    </row>
    <row r="502">
      <c r="A502" s="30">
        <v>497.0</v>
      </c>
      <c r="B502" s="31" t="s">
        <v>2460</v>
      </c>
      <c r="C502" s="31" t="s">
        <v>2461</v>
      </c>
      <c r="D502" s="31" t="s">
        <v>2462</v>
      </c>
      <c r="E502" s="31" t="s">
        <v>2463</v>
      </c>
      <c r="F502" s="32">
        <v>44746.0</v>
      </c>
      <c r="G502" s="32">
        <v>44808.0</v>
      </c>
      <c r="H502" s="31" t="s">
        <v>262</v>
      </c>
      <c r="I502" s="31" t="s">
        <v>2463</v>
      </c>
      <c r="J502" s="34"/>
      <c r="K502" s="31" t="s">
        <v>2464</v>
      </c>
      <c r="L502" s="31" t="s">
        <v>2465</v>
      </c>
      <c r="M502" s="31" t="s">
        <v>2466</v>
      </c>
      <c r="N502" s="31" t="s">
        <v>467</v>
      </c>
      <c r="O502" s="34"/>
      <c r="P502" s="31">
        <v>7.0</v>
      </c>
      <c r="Q502" s="31" t="s">
        <v>307</v>
      </c>
      <c r="R502" s="32">
        <v>35664.0</v>
      </c>
      <c r="S502" s="31" t="s">
        <v>2467</v>
      </c>
      <c r="T502" s="31" t="s">
        <v>1604</v>
      </c>
      <c r="U502" s="31" t="s">
        <v>271</v>
      </c>
      <c r="V502" s="34"/>
      <c r="W502" s="34"/>
    </row>
    <row r="503">
      <c r="A503" s="30">
        <v>498.0</v>
      </c>
      <c r="B503" s="31" t="s">
        <v>2468</v>
      </c>
      <c r="C503" s="31" t="s">
        <v>2469</v>
      </c>
      <c r="D503" s="31" t="s">
        <v>2451</v>
      </c>
      <c r="E503" s="31" t="s">
        <v>36</v>
      </c>
      <c r="F503" s="32">
        <v>43295.0</v>
      </c>
      <c r="G503" s="32">
        <v>43357.0</v>
      </c>
      <c r="H503" s="31" t="s">
        <v>262</v>
      </c>
      <c r="I503" s="31" t="s">
        <v>36</v>
      </c>
      <c r="J503" s="34"/>
      <c r="K503" s="31" t="s">
        <v>2452</v>
      </c>
      <c r="L503" s="31" t="s">
        <v>2453</v>
      </c>
      <c r="M503" s="31" t="s">
        <v>2470</v>
      </c>
      <c r="N503" s="31" t="s">
        <v>467</v>
      </c>
      <c r="O503" s="34"/>
      <c r="P503" s="31">
        <v>10.0</v>
      </c>
      <c r="Q503" s="31" t="s">
        <v>307</v>
      </c>
      <c r="R503" s="32">
        <v>34896.0</v>
      </c>
      <c r="S503" s="31" t="s">
        <v>1800</v>
      </c>
      <c r="T503" s="31" t="s">
        <v>2471</v>
      </c>
      <c r="U503" s="31" t="s">
        <v>271</v>
      </c>
      <c r="V503" s="34"/>
      <c r="W503" s="34"/>
    </row>
    <row r="504">
      <c r="A504" s="30">
        <v>499.0</v>
      </c>
      <c r="B504" s="31" t="s">
        <v>2472</v>
      </c>
      <c r="C504" s="31" t="s">
        <v>2473</v>
      </c>
      <c r="D504" s="31" t="s">
        <v>1197</v>
      </c>
      <c r="E504" s="31" t="s">
        <v>2474</v>
      </c>
      <c r="F504" s="32">
        <v>43885.0</v>
      </c>
      <c r="G504" s="32">
        <v>43945.0</v>
      </c>
      <c r="H504" s="31" t="s">
        <v>262</v>
      </c>
      <c r="I504" s="31" t="s">
        <v>2474</v>
      </c>
      <c r="J504" s="34"/>
      <c r="K504" s="31" t="s">
        <v>2475</v>
      </c>
      <c r="L504" s="31" t="s">
        <v>2476</v>
      </c>
      <c r="M504" s="31" t="s">
        <v>2477</v>
      </c>
      <c r="N504" s="31" t="s">
        <v>267</v>
      </c>
      <c r="O504" s="34"/>
      <c r="P504" s="31">
        <v>10.0</v>
      </c>
      <c r="Q504" s="31" t="s">
        <v>307</v>
      </c>
      <c r="R504" s="32">
        <v>32414.0</v>
      </c>
      <c r="S504" s="31" t="s">
        <v>681</v>
      </c>
      <c r="T504" s="31" t="s">
        <v>1476</v>
      </c>
      <c r="U504" s="31" t="s">
        <v>271</v>
      </c>
      <c r="V504" s="34"/>
      <c r="W504" s="34"/>
    </row>
    <row r="505">
      <c r="A505" s="30">
        <v>500.0</v>
      </c>
      <c r="B505" s="31" t="s">
        <v>2478</v>
      </c>
      <c r="C505" s="31" t="s">
        <v>2479</v>
      </c>
      <c r="D505" s="31" t="s">
        <v>2480</v>
      </c>
      <c r="E505" s="31" t="s">
        <v>2474</v>
      </c>
      <c r="F505" s="32">
        <v>44334.0</v>
      </c>
      <c r="G505" s="32">
        <v>44395.0</v>
      </c>
      <c r="H505" s="31" t="s">
        <v>262</v>
      </c>
      <c r="I505" s="31" t="s">
        <v>2474</v>
      </c>
      <c r="J505" s="34"/>
      <c r="K505" s="31" t="s">
        <v>2475</v>
      </c>
      <c r="L505" s="31" t="s">
        <v>2481</v>
      </c>
      <c r="M505" s="31" t="s">
        <v>2482</v>
      </c>
      <c r="N505" s="31" t="s">
        <v>267</v>
      </c>
      <c r="O505" s="34"/>
      <c r="P505" s="31">
        <v>4.0</v>
      </c>
      <c r="Q505" s="31" t="s">
        <v>307</v>
      </c>
      <c r="R505" s="35">
        <v>34293.0</v>
      </c>
      <c r="S505" s="31" t="s">
        <v>531</v>
      </c>
      <c r="T505" s="31" t="s">
        <v>1476</v>
      </c>
      <c r="U505" s="31" t="s">
        <v>271</v>
      </c>
      <c r="V505" s="34"/>
      <c r="W505" s="34"/>
    </row>
    <row r="506">
      <c r="A506" s="30">
        <v>501.0</v>
      </c>
      <c r="B506" s="31" t="s">
        <v>2483</v>
      </c>
      <c r="C506" s="31" t="s">
        <v>2484</v>
      </c>
      <c r="D506" s="31" t="s">
        <v>2462</v>
      </c>
      <c r="E506" s="31" t="s">
        <v>2463</v>
      </c>
      <c r="F506" s="32">
        <v>42881.0</v>
      </c>
      <c r="G506" s="32">
        <v>42942.0</v>
      </c>
      <c r="H506" s="31" t="s">
        <v>262</v>
      </c>
      <c r="I506" s="31" t="s">
        <v>2463</v>
      </c>
      <c r="J506" s="34"/>
      <c r="K506" s="31" t="s">
        <v>2464</v>
      </c>
      <c r="L506" s="31" t="s">
        <v>2465</v>
      </c>
      <c r="M506" s="31" t="s">
        <v>2485</v>
      </c>
      <c r="N506" s="31" t="s">
        <v>467</v>
      </c>
      <c r="O506" s="34"/>
      <c r="P506" s="31">
        <v>10.0</v>
      </c>
      <c r="Q506" s="31" t="s">
        <v>307</v>
      </c>
      <c r="R506" s="35">
        <v>32106.0</v>
      </c>
      <c r="S506" s="31" t="s">
        <v>2486</v>
      </c>
      <c r="T506" s="31" t="s">
        <v>2487</v>
      </c>
      <c r="U506" s="31" t="s">
        <v>271</v>
      </c>
      <c r="V506" s="34"/>
      <c r="W506" s="34"/>
    </row>
    <row r="507">
      <c r="A507" s="30">
        <v>502.0</v>
      </c>
      <c r="B507" s="31" t="s">
        <v>2488</v>
      </c>
      <c r="C507" s="31" t="s">
        <v>2489</v>
      </c>
      <c r="D507" s="31" t="s">
        <v>506</v>
      </c>
      <c r="E507" s="31" t="s">
        <v>2079</v>
      </c>
      <c r="F507" s="32">
        <v>45414.0</v>
      </c>
      <c r="G507" s="33"/>
      <c r="H507" s="31" t="s">
        <v>262</v>
      </c>
      <c r="I507" s="31" t="s">
        <v>275</v>
      </c>
      <c r="J507" s="31" t="s">
        <v>2079</v>
      </c>
      <c r="K507" s="31" t="s">
        <v>2080</v>
      </c>
      <c r="L507" s="31" t="s">
        <v>2095</v>
      </c>
      <c r="M507" s="31" t="s">
        <v>2490</v>
      </c>
      <c r="N507" s="31" t="s">
        <v>467</v>
      </c>
      <c r="O507" s="34"/>
      <c r="P507" s="31">
        <v>1.0</v>
      </c>
      <c r="Q507" s="31" t="s">
        <v>268</v>
      </c>
      <c r="R507" s="32">
        <v>37595.0</v>
      </c>
      <c r="S507" s="31" t="s">
        <v>1876</v>
      </c>
      <c r="T507" s="31" t="s">
        <v>2491</v>
      </c>
      <c r="U507" s="31" t="s">
        <v>271</v>
      </c>
      <c r="V507" s="34"/>
      <c r="W507" s="34"/>
    </row>
    <row r="508">
      <c r="A508" s="30">
        <v>503.0</v>
      </c>
      <c r="B508" s="31" t="s">
        <v>2492</v>
      </c>
      <c r="C508" s="31" t="s">
        <v>2493</v>
      </c>
      <c r="D508" s="31" t="s">
        <v>506</v>
      </c>
      <c r="E508" s="31" t="s">
        <v>2079</v>
      </c>
      <c r="F508" s="32">
        <v>45414.0</v>
      </c>
      <c r="G508" s="33"/>
      <c r="H508" s="31" t="s">
        <v>262</v>
      </c>
      <c r="I508" s="31" t="s">
        <v>275</v>
      </c>
      <c r="J508" s="31" t="s">
        <v>2079</v>
      </c>
      <c r="K508" s="31" t="s">
        <v>2080</v>
      </c>
      <c r="L508" s="31" t="s">
        <v>2081</v>
      </c>
      <c r="M508" s="31" t="s">
        <v>2494</v>
      </c>
      <c r="N508" s="31" t="s">
        <v>467</v>
      </c>
      <c r="O508" s="34"/>
      <c r="P508" s="31">
        <v>1.0</v>
      </c>
      <c r="Q508" s="31" t="s">
        <v>268</v>
      </c>
      <c r="R508" s="32">
        <v>37869.0</v>
      </c>
      <c r="S508" s="31" t="s">
        <v>2495</v>
      </c>
      <c r="T508" s="31" t="s">
        <v>299</v>
      </c>
      <c r="U508" s="31" t="s">
        <v>271</v>
      </c>
      <c r="V508" s="34"/>
      <c r="W508" s="34"/>
    </row>
    <row r="509">
      <c r="A509" s="30">
        <v>504.0</v>
      </c>
      <c r="B509" s="31" t="s">
        <v>2496</v>
      </c>
      <c r="C509" s="31" t="s">
        <v>2497</v>
      </c>
      <c r="D509" s="31" t="s">
        <v>260</v>
      </c>
      <c r="E509" s="31" t="s">
        <v>2498</v>
      </c>
      <c r="F509" s="32">
        <v>45231.0</v>
      </c>
      <c r="G509" s="35">
        <v>45291.0</v>
      </c>
      <c r="H509" s="31" t="s">
        <v>303</v>
      </c>
      <c r="I509" s="31" t="s">
        <v>335</v>
      </c>
      <c r="J509" s="31" t="s">
        <v>2499</v>
      </c>
      <c r="K509" s="31" t="s">
        <v>2500</v>
      </c>
      <c r="L509" s="31" t="s">
        <v>2501</v>
      </c>
      <c r="M509" s="31" t="s">
        <v>2502</v>
      </c>
      <c r="N509" s="31" t="s">
        <v>467</v>
      </c>
      <c r="O509" s="34"/>
      <c r="P509" s="31">
        <v>1.0</v>
      </c>
      <c r="Q509" s="31" t="s">
        <v>307</v>
      </c>
      <c r="R509" s="35">
        <v>36080.0</v>
      </c>
      <c r="S509" s="31" t="s">
        <v>286</v>
      </c>
      <c r="T509" s="31" t="s">
        <v>1476</v>
      </c>
      <c r="U509" s="31" t="s">
        <v>271</v>
      </c>
      <c r="V509" s="31" t="s">
        <v>2498</v>
      </c>
      <c r="W509" s="34"/>
    </row>
    <row r="510">
      <c r="A510" s="30">
        <v>505.0</v>
      </c>
      <c r="B510" s="31" t="s">
        <v>2503</v>
      </c>
      <c r="C510" s="31" t="s">
        <v>2504</v>
      </c>
      <c r="D510" s="31" t="s">
        <v>260</v>
      </c>
      <c r="E510" s="31" t="s">
        <v>2498</v>
      </c>
      <c r="F510" s="32">
        <v>44982.0</v>
      </c>
      <c r="G510" s="32">
        <v>45041.0</v>
      </c>
      <c r="H510" s="31" t="s">
        <v>303</v>
      </c>
      <c r="I510" s="31" t="s">
        <v>335</v>
      </c>
      <c r="J510" s="31" t="s">
        <v>2499</v>
      </c>
      <c r="K510" s="31" t="s">
        <v>2500</v>
      </c>
      <c r="L510" s="31" t="s">
        <v>2501</v>
      </c>
      <c r="M510" s="31" t="s">
        <v>2505</v>
      </c>
      <c r="N510" s="31" t="s">
        <v>267</v>
      </c>
      <c r="O510" s="34"/>
      <c r="P510" s="31">
        <v>1.0</v>
      </c>
      <c r="Q510" s="31" t="s">
        <v>307</v>
      </c>
      <c r="R510" s="32">
        <v>36663.0</v>
      </c>
      <c r="S510" s="31" t="s">
        <v>537</v>
      </c>
      <c r="T510" s="31" t="s">
        <v>2506</v>
      </c>
      <c r="U510" s="31" t="s">
        <v>271</v>
      </c>
      <c r="V510" s="31" t="s">
        <v>2498</v>
      </c>
      <c r="W510" s="34"/>
    </row>
    <row r="511">
      <c r="A511" s="30">
        <v>506.0</v>
      </c>
      <c r="B511" s="31" t="s">
        <v>2507</v>
      </c>
      <c r="C511" s="31" t="s">
        <v>2508</v>
      </c>
      <c r="D511" s="31" t="s">
        <v>260</v>
      </c>
      <c r="E511" s="31" t="s">
        <v>2509</v>
      </c>
      <c r="F511" s="32">
        <v>44929.0</v>
      </c>
      <c r="G511" s="32">
        <v>44988.0</v>
      </c>
      <c r="H511" s="31" t="s">
        <v>303</v>
      </c>
      <c r="I511" s="31" t="s">
        <v>335</v>
      </c>
      <c r="J511" s="31" t="s">
        <v>2510</v>
      </c>
      <c r="K511" s="31" t="s">
        <v>2511</v>
      </c>
      <c r="L511" s="31" t="s">
        <v>2512</v>
      </c>
      <c r="M511" s="31" t="s">
        <v>2513</v>
      </c>
      <c r="N511" s="31" t="s">
        <v>467</v>
      </c>
      <c r="O511" s="34"/>
      <c r="P511" s="31">
        <v>1.0</v>
      </c>
      <c r="Q511" s="31" t="s">
        <v>307</v>
      </c>
      <c r="R511" s="32">
        <v>36950.0</v>
      </c>
      <c r="S511" s="31" t="s">
        <v>2514</v>
      </c>
      <c r="T511" s="31" t="s">
        <v>2515</v>
      </c>
      <c r="U511" s="31" t="s">
        <v>352</v>
      </c>
      <c r="V511" s="31" t="s">
        <v>2509</v>
      </c>
      <c r="W511" s="34"/>
    </row>
    <row r="512">
      <c r="A512" s="30">
        <v>507.0</v>
      </c>
      <c r="B512" s="31" t="s">
        <v>2516</v>
      </c>
      <c r="C512" s="31" t="s">
        <v>2517</v>
      </c>
      <c r="D512" s="31" t="s">
        <v>260</v>
      </c>
      <c r="E512" s="31" t="s">
        <v>1962</v>
      </c>
      <c r="F512" s="32">
        <v>44756.0</v>
      </c>
      <c r="G512" s="32">
        <v>44818.0</v>
      </c>
      <c r="H512" s="31" t="s">
        <v>303</v>
      </c>
      <c r="I512" s="31" t="s">
        <v>335</v>
      </c>
      <c r="J512" s="31" t="s">
        <v>1963</v>
      </c>
      <c r="K512" s="31" t="s">
        <v>1964</v>
      </c>
      <c r="L512" s="31" t="s">
        <v>1965</v>
      </c>
      <c r="M512" s="31" t="s">
        <v>2518</v>
      </c>
      <c r="N512" s="31" t="s">
        <v>467</v>
      </c>
      <c r="O512" s="34"/>
      <c r="P512" s="31">
        <v>3.0</v>
      </c>
      <c r="Q512" s="31" t="s">
        <v>307</v>
      </c>
      <c r="R512" s="35">
        <v>34997.0</v>
      </c>
      <c r="S512" s="31" t="s">
        <v>681</v>
      </c>
      <c r="T512" s="31" t="s">
        <v>722</v>
      </c>
      <c r="U512" s="31" t="s">
        <v>352</v>
      </c>
      <c r="V512" s="31" t="s">
        <v>1962</v>
      </c>
      <c r="W512" s="34"/>
    </row>
    <row r="513">
      <c r="A513" s="30">
        <v>508.0</v>
      </c>
      <c r="B513" s="31" t="s">
        <v>2519</v>
      </c>
      <c r="C513" s="31" t="s">
        <v>2520</v>
      </c>
      <c r="D513" s="31" t="s">
        <v>260</v>
      </c>
      <c r="E513" s="31" t="s">
        <v>1962</v>
      </c>
      <c r="F513" s="32">
        <v>44610.0</v>
      </c>
      <c r="G513" s="32">
        <v>44669.0</v>
      </c>
      <c r="H513" s="31" t="s">
        <v>303</v>
      </c>
      <c r="I513" s="31" t="s">
        <v>335</v>
      </c>
      <c r="J513" s="31" t="s">
        <v>1963</v>
      </c>
      <c r="K513" s="31" t="s">
        <v>1964</v>
      </c>
      <c r="L513" s="31" t="s">
        <v>1965</v>
      </c>
      <c r="M513" s="31" t="s">
        <v>2521</v>
      </c>
      <c r="N513" s="31" t="s">
        <v>267</v>
      </c>
      <c r="O513" s="34"/>
      <c r="P513" s="31">
        <v>3.0</v>
      </c>
      <c r="Q513" s="31" t="s">
        <v>307</v>
      </c>
      <c r="R513" s="32">
        <v>36805.0</v>
      </c>
      <c r="S513" s="31" t="s">
        <v>700</v>
      </c>
      <c r="T513" s="31" t="s">
        <v>1081</v>
      </c>
      <c r="U513" s="31" t="s">
        <v>352</v>
      </c>
      <c r="V513" s="31" t="s">
        <v>1962</v>
      </c>
      <c r="W513" s="34"/>
    </row>
    <row r="514">
      <c r="A514" s="30">
        <v>509.0</v>
      </c>
      <c r="B514" s="31" t="s">
        <v>2522</v>
      </c>
      <c r="C514" s="31" t="s">
        <v>2523</v>
      </c>
      <c r="D514" s="31" t="s">
        <v>260</v>
      </c>
      <c r="E514" s="31" t="s">
        <v>1962</v>
      </c>
      <c r="F514" s="35">
        <v>44543.0</v>
      </c>
      <c r="G514" s="32">
        <v>44605.0</v>
      </c>
      <c r="H514" s="31" t="s">
        <v>303</v>
      </c>
      <c r="I514" s="31" t="s">
        <v>335</v>
      </c>
      <c r="J514" s="31" t="s">
        <v>1963</v>
      </c>
      <c r="K514" s="31" t="s">
        <v>1964</v>
      </c>
      <c r="L514" s="31" t="s">
        <v>1965</v>
      </c>
      <c r="M514" s="31" t="s">
        <v>2524</v>
      </c>
      <c r="N514" s="31" t="s">
        <v>267</v>
      </c>
      <c r="O514" s="34"/>
      <c r="P514" s="31">
        <v>2.0</v>
      </c>
      <c r="Q514" s="31" t="s">
        <v>307</v>
      </c>
      <c r="R514" s="35">
        <v>36514.0</v>
      </c>
      <c r="S514" s="31" t="s">
        <v>681</v>
      </c>
      <c r="T514" s="31" t="s">
        <v>744</v>
      </c>
      <c r="U514" s="31" t="s">
        <v>352</v>
      </c>
      <c r="V514" s="31" t="s">
        <v>1962</v>
      </c>
      <c r="W514" s="34"/>
    </row>
    <row r="515">
      <c r="A515" s="30">
        <v>510.0</v>
      </c>
      <c r="B515" s="31" t="s">
        <v>2525</v>
      </c>
      <c r="C515" s="31" t="s">
        <v>2526</v>
      </c>
      <c r="D515" s="31" t="s">
        <v>260</v>
      </c>
      <c r="E515" s="31" t="s">
        <v>2498</v>
      </c>
      <c r="F515" s="32">
        <v>44019.0</v>
      </c>
      <c r="G515" s="32">
        <v>44081.0</v>
      </c>
      <c r="H515" s="31" t="s">
        <v>303</v>
      </c>
      <c r="I515" s="31" t="s">
        <v>335</v>
      </c>
      <c r="J515" s="31" t="s">
        <v>2499</v>
      </c>
      <c r="K515" s="31" t="s">
        <v>2500</v>
      </c>
      <c r="L515" s="31" t="s">
        <v>2501</v>
      </c>
      <c r="M515" s="31" t="s">
        <v>2527</v>
      </c>
      <c r="N515" s="31" t="s">
        <v>467</v>
      </c>
      <c r="O515" s="34"/>
      <c r="P515" s="31">
        <v>2.0</v>
      </c>
      <c r="Q515" s="31" t="s">
        <v>307</v>
      </c>
      <c r="R515" s="32">
        <v>35893.0</v>
      </c>
      <c r="S515" s="31" t="s">
        <v>2528</v>
      </c>
      <c r="T515" s="31" t="s">
        <v>1476</v>
      </c>
      <c r="U515" s="31" t="s">
        <v>271</v>
      </c>
      <c r="V515" s="31" t="s">
        <v>2498</v>
      </c>
      <c r="W515" s="34"/>
    </row>
    <row r="516">
      <c r="A516" s="30">
        <v>511.0</v>
      </c>
      <c r="B516" s="31" t="s">
        <v>2529</v>
      </c>
      <c r="C516" s="31" t="s">
        <v>2530</v>
      </c>
      <c r="D516" s="31" t="s">
        <v>2531</v>
      </c>
      <c r="E516" s="31" t="s">
        <v>148</v>
      </c>
      <c r="F516" s="32">
        <v>44258.0</v>
      </c>
      <c r="G516" s="32">
        <v>44319.0</v>
      </c>
      <c r="H516" s="31" t="s">
        <v>303</v>
      </c>
      <c r="I516" s="31" t="s">
        <v>335</v>
      </c>
      <c r="J516" s="31" t="s">
        <v>336</v>
      </c>
      <c r="K516" s="31" t="s">
        <v>2532</v>
      </c>
      <c r="L516" s="31" t="s">
        <v>2533</v>
      </c>
      <c r="M516" s="31" t="s">
        <v>2534</v>
      </c>
      <c r="N516" s="31" t="s">
        <v>267</v>
      </c>
      <c r="O516" s="34"/>
      <c r="P516" s="31">
        <v>1.0</v>
      </c>
      <c r="Q516" s="31" t="s">
        <v>307</v>
      </c>
      <c r="R516" s="32">
        <v>36748.0</v>
      </c>
      <c r="S516" s="31" t="s">
        <v>320</v>
      </c>
      <c r="T516" s="31" t="s">
        <v>1666</v>
      </c>
      <c r="U516" s="31" t="s">
        <v>271</v>
      </c>
      <c r="V516" s="31" t="s">
        <v>148</v>
      </c>
      <c r="W516" s="34"/>
    </row>
    <row r="517">
      <c r="A517" s="30">
        <v>512.0</v>
      </c>
      <c r="B517" s="31" t="s">
        <v>2535</v>
      </c>
      <c r="C517" s="31" t="s">
        <v>2536</v>
      </c>
      <c r="D517" s="31" t="s">
        <v>260</v>
      </c>
      <c r="E517" s="31" t="s">
        <v>1962</v>
      </c>
      <c r="F517" s="32">
        <v>43640.0</v>
      </c>
      <c r="G517" s="32">
        <v>43701.0</v>
      </c>
      <c r="H517" s="31" t="s">
        <v>303</v>
      </c>
      <c r="I517" s="31" t="s">
        <v>335</v>
      </c>
      <c r="J517" s="31" t="s">
        <v>1963</v>
      </c>
      <c r="K517" s="31" t="s">
        <v>1964</v>
      </c>
      <c r="L517" s="31" t="s">
        <v>1965</v>
      </c>
      <c r="M517" s="31" t="s">
        <v>2537</v>
      </c>
      <c r="N517" s="31" t="s">
        <v>267</v>
      </c>
      <c r="O517" s="34"/>
      <c r="P517" s="31">
        <v>1.0</v>
      </c>
      <c r="Q517" s="31" t="s">
        <v>307</v>
      </c>
      <c r="R517" s="35">
        <v>35728.0</v>
      </c>
      <c r="S517" s="31" t="s">
        <v>320</v>
      </c>
      <c r="T517" s="31" t="s">
        <v>1995</v>
      </c>
      <c r="U517" s="31" t="s">
        <v>271</v>
      </c>
      <c r="V517" s="31" t="s">
        <v>1962</v>
      </c>
      <c r="W517" s="34"/>
    </row>
    <row r="518">
      <c r="A518" s="30">
        <v>513.0</v>
      </c>
      <c r="B518" s="31" t="s">
        <v>2538</v>
      </c>
      <c r="C518" s="31" t="s">
        <v>2539</v>
      </c>
      <c r="D518" s="31" t="s">
        <v>260</v>
      </c>
      <c r="E518" s="31" t="s">
        <v>1962</v>
      </c>
      <c r="F518" s="32">
        <v>43894.0</v>
      </c>
      <c r="G518" s="32">
        <v>43955.0</v>
      </c>
      <c r="H518" s="31" t="s">
        <v>303</v>
      </c>
      <c r="I518" s="31" t="s">
        <v>335</v>
      </c>
      <c r="J518" s="31" t="s">
        <v>1963</v>
      </c>
      <c r="K518" s="31" t="s">
        <v>1964</v>
      </c>
      <c r="L518" s="31" t="s">
        <v>1965</v>
      </c>
      <c r="M518" s="31" t="s">
        <v>2540</v>
      </c>
      <c r="N518" s="31" t="s">
        <v>267</v>
      </c>
      <c r="O518" s="34"/>
      <c r="P518" s="31">
        <v>2.0</v>
      </c>
      <c r="Q518" s="31" t="s">
        <v>307</v>
      </c>
      <c r="R518" s="32">
        <v>35915.0</v>
      </c>
      <c r="S518" s="31" t="s">
        <v>526</v>
      </c>
      <c r="T518" s="31" t="s">
        <v>1670</v>
      </c>
      <c r="U518" s="31" t="s">
        <v>271</v>
      </c>
      <c r="V518" s="31" t="s">
        <v>1962</v>
      </c>
      <c r="W518" s="34"/>
    </row>
    <row r="519">
      <c r="A519" s="30">
        <v>514.0</v>
      </c>
      <c r="B519" s="31" t="s">
        <v>2541</v>
      </c>
      <c r="C519" s="31" t="s">
        <v>2542</v>
      </c>
      <c r="D519" s="31" t="s">
        <v>260</v>
      </c>
      <c r="E519" s="31" t="s">
        <v>2509</v>
      </c>
      <c r="F519" s="32">
        <v>43998.0</v>
      </c>
      <c r="G519" s="32">
        <v>44059.0</v>
      </c>
      <c r="H519" s="31" t="s">
        <v>303</v>
      </c>
      <c r="I519" s="31" t="s">
        <v>335</v>
      </c>
      <c r="J519" s="31" t="s">
        <v>2510</v>
      </c>
      <c r="K519" s="31" t="s">
        <v>2511</v>
      </c>
      <c r="L519" s="31" t="s">
        <v>2512</v>
      </c>
      <c r="M519" s="31" t="s">
        <v>2543</v>
      </c>
      <c r="N519" s="31" t="s">
        <v>267</v>
      </c>
      <c r="O519" s="34"/>
      <c r="P519" s="31">
        <v>1.0</v>
      </c>
      <c r="Q519" s="31" t="s">
        <v>581</v>
      </c>
      <c r="R519" s="35">
        <v>35784.0</v>
      </c>
      <c r="S519" s="31" t="s">
        <v>1876</v>
      </c>
      <c r="T519" s="31" t="s">
        <v>321</v>
      </c>
      <c r="U519" s="31" t="s">
        <v>271</v>
      </c>
      <c r="V519" s="31" t="s">
        <v>2509</v>
      </c>
      <c r="W519" s="34"/>
    </row>
    <row r="520">
      <c r="A520" s="30">
        <v>515.0</v>
      </c>
      <c r="B520" s="31" t="s">
        <v>2544</v>
      </c>
      <c r="C520" s="31" t="s">
        <v>2545</v>
      </c>
      <c r="D520" s="31" t="s">
        <v>260</v>
      </c>
      <c r="E520" s="31" t="s">
        <v>2498</v>
      </c>
      <c r="F520" s="35">
        <v>45240.0</v>
      </c>
      <c r="G520" s="32">
        <v>45300.0</v>
      </c>
      <c r="H520" s="31" t="s">
        <v>303</v>
      </c>
      <c r="I520" s="31" t="s">
        <v>335</v>
      </c>
      <c r="J520" s="31" t="s">
        <v>2499</v>
      </c>
      <c r="K520" s="31" t="s">
        <v>2500</v>
      </c>
      <c r="L520" s="31" t="s">
        <v>2501</v>
      </c>
      <c r="M520" s="31" t="s">
        <v>2546</v>
      </c>
      <c r="N520" s="31" t="s">
        <v>267</v>
      </c>
      <c r="O520" s="34"/>
      <c r="P520" s="31">
        <v>1.0</v>
      </c>
      <c r="Q520" s="31" t="s">
        <v>307</v>
      </c>
      <c r="R520" s="32">
        <v>36635.0</v>
      </c>
      <c r="S520" s="31" t="s">
        <v>804</v>
      </c>
      <c r="T520" s="31" t="s">
        <v>2547</v>
      </c>
      <c r="U520" s="31" t="s">
        <v>271</v>
      </c>
      <c r="V520" s="31" t="s">
        <v>2498</v>
      </c>
      <c r="W520" s="34"/>
    </row>
    <row r="521">
      <c r="A521" s="30">
        <v>516.0</v>
      </c>
      <c r="B521" s="31" t="s">
        <v>2548</v>
      </c>
      <c r="C521" s="31" t="s">
        <v>2549</v>
      </c>
      <c r="D521" s="31" t="s">
        <v>260</v>
      </c>
      <c r="E521" s="31" t="s">
        <v>2550</v>
      </c>
      <c r="F521" s="32">
        <v>45098.0</v>
      </c>
      <c r="G521" s="32">
        <v>45158.0</v>
      </c>
      <c r="H521" s="31" t="s">
        <v>303</v>
      </c>
      <c r="I521" s="31" t="s">
        <v>335</v>
      </c>
      <c r="J521" s="31" t="s">
        <v>2499</v>
      </c>
      <c r="K521" s="31" t="s">
        <v>2551</v>
      </c>
      <c r="L521" s="31" t="s">
        <v>2501</v>
      </c>
      <c r="M521" s="31" t="s">
        <v>2552</v>
      </c>
      <c r="N521" s="31" t="s">
        <v>267</v>
      </c>
      <c r="O521" s="34"/>
      <c r="P521" s="31">
        <v>2.0</v>
      </c>
      <c r="Q521" s="31" t="s">
        <v>307</v>
      </c>
      <c r="R521" s="32">
        <v>36172.0</v>
      </c>
      <c r="S521" s="31" t="s">
        <v>2553</v>
      </c>
      <c r="T521" s="31" t="s">
        <v>1651</v>
      </c>
      <c r="U521" s="31" t="s">
        <v>352</v>
      </c>
      <c r="V521" s="31" t="s">
        <v>2550</v>
      </c>
      <c r="W521" s="34"/>
    </row>
    <row r="522">
      <c r="A522" s="30">
        <v>517.0</v>
      </c>
      <c r="B522" s="31" t="s">
        <v>2554</v>
      </c>
      <c r="C522" s="31" t="s">
        <v>2555</v>
      </c>
      <c r="D522" s="31" t="s">
        <v>260</v>
      </c>
      <c r="E522" s="31" t="s">
        <v>2550</v>
      </c>
      <c r="F522" s="32">
        <v>45080.0</v>
      </c>
      <c r="G522" s="32">
        <v>45140.0</v>
      </c>
      <c r="H522" s="31" t="s">
        <v>303</v>
      </c>
      <c r="I522" s="31" t="s">
        <v>335</v>
      </c>
      <c r="J522" s="31" t="s">
        <v>2499</v>
      </c>
      <c r="K522" s="31" t="s">
        <v>2551</v>
      </c>
      <c r="L522" s="31" t="s">
        <v>2501</v>
      </c>
      <c r="M522" s="31" t="s">
        <v>2556</v>
      </c>
      <c r="N522" s="31" t="s">
        <v>267</v>
      </c>
      <c r="O522" s="34"/>
      <c r="P522" s="31">
        <v>2.0</v>
      </c>
      <c r="Q522" s="31" t="s">
        <v>307</v>
      </c>
      <c r="R522" s="35">
        <v>37191.0</v>
      </c>
      <c r="S522" s="31" t="s">
        <v>2557</v>
      </c>
      <c r="T522" s="31" t="s">
        <v>801</v>
      </c>
      <c r="U522" s="31" t="s">
        <v>352</v>
      </c>
      <c r="V522" s="31" t="s">
        <v>2550</v>
      </c>
      <c r="W522" s="34"/>
    </row>
    <row r="523">
      <c r="A523" s="30">
        <v>518.0</v>
      </c>
      <c r="B523" s="31" t="s">
        <v>2558</v>
      </c>
      <c r="C523" s="31" t="s">
        <v>2559</v>
      </c>
      <c r="D523" s="31" t="s">
        <v>260</v>
      </c>
      <c r="E523" s="31" t="s">
        <v>2498</v>
      </c>
      <c r="F523" s="32">
        <v>44977.0</v>
      </c>
      <c r="G523" s="32">
        <v>45036.0</v>
      </c>
      <c r="H523" s="31" t="s">
        <v>303</v>
      </c>
      <c r="I523" s="31" t="s">
        <v>335</v>
      </c>
      <c r="J523" s="31" t="s">
        <v>2499</v>
      </c>
      <c r="K523" s="31" t="s">
        <v>2500</v>
      </c>
      <c r="L523" s="31" t="s">
        <v>2501</v>
      </c>
      <c r="M523" s="31" t="s">
        <v>2560</v>
      </c>
      <c r="N523" s="31" t="s">
        <v>267</v>
      </c>
      <c r="O523" s="34"/>
      <c r="P523" s="31">
        <v>1.0</v>
      </c>
      <c r="Q523" s="31" t="s">
        <v>307</v>
      </c>
      <c r="R523" s="32">
        <v>36661.0</v>
      </c>
      <c r="S523" s="31" t="s">
        <v>1041</v>
      </c>
      <c r="T523" s="31" t="s">
        <v>1881</v>
      </c>
      <c r="U523" s="31" t="s">
        <v>271</v>
      </c>
      <c r="V523" s="31" t="s">
        <v>2498</v>
      </c>
      <c r="W523" s="34"/>
    </row>
    <row r="524">
      <c r="A524" s="30">
        <v>519.0</v>
      </c>
      <c r="B524" s="31" t="s">
        <v>2561</v>
      </c>
      <c r="C524" s="31" t="s">
        <v>2562</v>
      </c>
      <c r="D524" s="31" t="s">
        <v>260</v>
      </c>
      <c r="E524" s="31" t="s">
        <v>2498</v>
      </c>
      <c r="F524" s="32">
        <v>44837.0</v>
      </c>
      <c r="G524" s="32">
        <v>44898.0</v>
      </c>
      <c r="H524" s="31" t="s">
        <v>303</v>
      </c>
      <c r="I524" s="31" t="s">
        <v>335</v>
      </c>
      <c r="J524" s="31" t="s">
        <v>2499</v>
      </c>
      <c r="K524" s="31" t="s">
        <v>2500</v>
      </c>
      <c r="L524" s="31" t="s">
        <v>2501</v>
      </c>
      <c r="M524" s="31" t="s">
        <v>2563</v>
      </c>
      <c r="N524" s="31" t="s">
        <v>267</v>
      </c>
      <c r="O524" s="34"/>
      <c r="P524" s="31">
        <v>2.0</v>
      </c>
      <c r="Q524" s="31" t="s">
        <v>307</v>
      </c>
      <c r="R524" s="32">
        <v>37012.0</v>
      </c>
      <c r="S524" s="31" t="s">
        <v>526</v>
      </c>
      <c r="T524" s="31" t="s">
        <v>2564</v>
      </c>
      <c r="U524" s="31" t="s">
        <v>271</v>
      </c>
      <c r="V524" s="31" t="s">
        <v>2498</v>
      </c>
      <c r="W524" s="34"/>
    </row>
    <row r="525">
      <c r="A525" s="30">
        <v>520.0</v>
      </c>
      <c r="B525" s="31" t="s">
        <v>2565</v>
      </c>
      <c r="C525" s="31" t="s">
        <v>2566</v>
      </c>
      <c r="D525" s="31" t="s">
        <v>260</v>
      </c>
      <c r="E525" s="31" t="s">
        <v>2550</v>
      </c>
      <c r="F525" s="32">
        <v>44629.0</v>
      </c>
      <c r="G525" s="32">
        <v>44690.0</v>
      </c>
      <c r="H525" s="31" t="s">
        <v>303</v>
      </c>
      <c r="I525" s="31" t="s">
        <v>335</v>
      </c>
      <c r="J525" s="31" t="s">
        <v>2499</v>
      </c>
      <c r="K525" s="31" t="s">
        <v>2551</v>
      </c>
      <c r="L525" s="31" t="s">
        <v>2501</v>
      </c>
      <c r="M525" s="31" t="s">
        <v>2567</v>
      </c>
      <c r="N525" s="31" t="s">
        <v>267</v>
      </c>
      <c r="O525" s="34"/>
      <c r="P525" s="31">
        <v>4.0</v>
      </c>
      <c r="Q525" s="31" t="s">
        <v>307</v>
      </c>
      <c r="R525" s="32">
        <v>36017.0</v>
      </c>
      <c r="S525" s="31" t="s">
        <v>1403</v>
      </c>
      <c r="T525" s="31" t="s">
        <v>839</v>
      </c>
      <c r="U525" s="31" t="s">
        <v>352</v>
      </c>
      <c r="V525" s="31" t="s">
        <v>2550</v>
      </c>
      <c r="W525" s="34"/>
    </row>
    <row r="526">
      <c r="A526" s="30">
        <v>521.0</v>
      </c>
      <c r="B526" s="31" t="s">
        <v>2568</v>
      </c>
      <c r="C526" s="31" t="s">
        <v>2569</v>
      </c>
      <c r="D526" s="31" t="s">
        <v>260</v>
      </c>
      <c r="E526" s="31" t="s">
        <v>2498</v>
      </c>
      <c r="F526" s="32">
        <v>41163.0</v>
      </c>
      <c r="G526" s="35">
        <v>41254.0</v>
      </c>
      <c r="H526" s="31" t="s">
        <v>303</v>
      </c>
      <c r="I526" s="31" t="s">
        <v>335</v>
      </c>
      <c r="J526" s="31" t="s">
        <v>2499</v>
      </c>
      <c r="K526" s="31" t="s">
        <v>2500</v>
      </c>
      <c r="L526" s="31" t="s">
        <v>2501</v>
      </c>
      <c r="M526" s="31" t="s">
        <v>2570</v>
      </c>
      <c r="N526" s="31" t="s">
        <v>467</v>
      </c>
      <c r="O526" s="34"/>
      <c r="P526" s="31">
        <v>5.0</v>
      </c>
      <c r="Q526" s="31" t="s">
        <v>307</v>
      </c>
      <c r="R526" s="32">
        <v>33146.0</v>
      </c>
      <c r="S526" s="31" t="s">
        <v>2571</v>
      </c>
      <c r="T526" s="31" t="s">
        <v>1698</v>
      </c>
      <c r="U526" s="31" t="s">
        <v>271</v>
      </c>
      <c r="V526" s="31" t="s">
        <v>2498</v>
      </c>
      <c r="W526" s="34"/>
    </row>
    <row r="527">
      <c r="A527" s="30">
        <v>522.0</v>
      </c>
      <c r="B527" s="31" t="s">
        <v>2572</v>
      </c>
      <c r="C527" s="31" t="s">
        <v>2573</v>
      </c>
      <c r="D527" s="31" t="s">
        <v>260</v>
      </c>
      <c r="E527" s="31" t="s">
        <v>2550</v>
      </c>
      <c r="F527" s="32">
        <v>43557.0</v>
      </c>
      <c r="G527" s="32">
        <v>43618.0</v>
      </c>
      <c r="H527" s="31" t="s">
        <v>303</v>
      </c>
      <c r="I527" s="31" t="s">
        <v>335</v>
      </c>
      <c r="J527" s="31" t="s">
        <v>2499</v>
      </c>
      <c r="K527" s="31" t="s">
        <v>2551</v>
      </c>
      <c r="L527" s="31" t="s">
        <v>2501</v>
      </c>
      <c r="M527" s="31" t="s">
        <v>2574</v>
      </c>
      <c r="N527" s="31" t="s">
        <v>267</v>
      </c>
      <c r="O527" s="34"/>
      <c r="P527" s="31">
        <v>4.0</v>
      </c>
      <c r="Q527" s="31" t="s">
        <v>307</v>
      </c>
      <c r="R527" s="32">
        <v>35576.0</v>
      </c>
      <c r="S527" s="31" t="s">
        <v>531</v>
      </c>
      <c r="T527" s="31" t="s">
        <v>705</v>
      </c>
      <c r="U527" s="31" t="s">
        <v>352</v>
      </c>
      <c r="V527" s="31" t="s">
        <v>2550</v>
      </c>
      <c r="W527" s="34"/>
    </row>
    <row r="528">
      <c r="A528" s="30">
        <v>523.0</v>
      </c>
      <c r="B528" s="31" t="s">
        <v>2575</v>
      </c>
      <c r="C528" s="31" t="s">
        <v>2576</v>
      </c>
      <c r="D528" s="31" t="s">
        <v>260</v>
      </c>
      <c r="E528" s="31" t="s">
        <v>2550</v>
      </c>
      <c r="F528" s="32">
        <v>41030.0</v>
      </c>
      <c r="G528" s="32">
        <v>41061.0</v>
      </c>
      <c r="H528" s="31" t="s">
        <v>303</v>
      </c>
      <c r="I528" s="31" t="s">
        <v>335</v>
      </c>
      <c r="J528" s="31" t="s">
        <v>2499</v>
      </c>
      <c r="K528" s="31" t="s">
        <v>2551</v>
      </c>
      <c r="L528" s="31" t="s">
        <v>2501</v>
      </c>
      <c r="M528" s="31" t="s">
        <v>2577</v>
      </c>
      <c r="N528" s="31" t="s">
        <v>467</v>
      </c>
      <c r="O528" s="34"/>
      <c r="P528" s="31">
        <v>4.0</v>
      </c>
      <c r="Q528" s="31" t="s">
        <v>307</v>
      </c>
      <c r="R528" s="32">
        <v>31747.0</v>
      </c>
      <c r="S528" s="31" t="s">
        <v>681</v>
      </c>
      <c r="T528" s="31" t="s">
        <v>686</v>
      </c>
      <c r="U528" s="31" t="s">
        <v>352</v>
      </c>
      <c r="V528" s="31" t="s">
        <v>2550</v>
      </c>
      <c r="W528" s="34"/>
    </row>
    <row r="529">
      <c r="A529" s="30">
        <v>524.0</v>
      </c>
      <c r="B529" s="31" t="s">
        <v>2578</v>
      </c>
      <c r="C529" s="31" t="s">
        <v>2579</v>
      </c>
      <c r="D529" s="31" t="s">
        <v>260</v>
      </c>
      <c r="E529" s="31" t="s">
        <v>2550</v>
      </c>
      <c r="F529" s="32">
        <v>43949.0</v>
      </c>
      <c r="G529" s="32">
        <v>44010.0</v>
      </c>
      <c r="H529" s="31" t="s">
        <v>303</v>
      </c>
      <c r="I529" s="31" t="s">
        <v>335</v>
      </c>
      <c r="J529" s="31" t="s">
        <v>2499</v>
      </c>
      <c r="K529" s="31" t="s">
        <v>2551</v>
      </c>
      <c r="L529" s="31" t="s">
        <v>2501</v>
      </c>
      <c r="M529" s="31" t="s">
        <v>2580</v>
      </c>
      <c r="N529" s="31" t="s">
        <v>267</v>
      </c>
      <c r="O529" s="34"/>
      <c r="P529" s="31">
        <v>3.0</v>
      </c>
      <c r="Q529" s="31" t="s">
        <v>307</v>
      </c>
      <c r="R529" s="32">
        <v>35678.0</v>
      </c>
      <c r="S529" s="31" t="s">
        <v>531</v>
      </c>
      <c r="T529" s="31" t="s">
        <v>2581</v>
      </c>
      <c r="U529" s="31" t="s">
        <v>352</v>
      </c>
      <c r="V529" s="31" t="s">
        <v>2550</v>
      </c>
      <c r="W529" s="34"/>
    </row>
    <row r="530">
      <c r="A530" s="30">
        <v>525.0</v>
      </c>
      <c r="B530" s="31" t="s">
        <v>2582</v>
      </c>
      <c r="C530" s="31" t="s">
        <v>2583</v>
      </c>
      <c r="D530" s="31" t="s">
        <v>260</v>
      </c>
      <c r="E530" s="31" t="s">
        <v>2498</v>
      </c>
      <c r="F530" s="32">
        <v>43621.0</v>
      </c>
      <c r="G530" s="32">
        <v>43682.0</v>
      </c>
      <c r="H530" s="31" t="s">
        <v>303</v>
      </c>
      <c r="I530" s="31" t="s">
        <v>335</v>
      </c>
      <c r="J530" s="31" t="s">
        <v>2499</v>
      </c>
      <c r="K530" s="31" t="s">
        <v>2500</v>
      </c>
      <c r="L530" s="31" t="s">
        <v>2501</v>
      </c>
      <c r="M530" s="31" t="s">
        <v>2584</v>
      </c>
      <c r="N530" s="31" t="s">
        <v>267</v>
      </c>
      <c r="O530" s="34"/>
      <c r="P530" s="31">
        <v>2.0</v>
      </c>
      <c r="Q530" s="31" t="s">
        <v>307</v>
      </c>
      <c r="R530" s="35">
        <v>34982.0</v>
      </c>
      <c r="S530" s="31" t="s">
        <v>308</v>
      </c>
      <c r="T530" s="31" t="s">
        <v>2585</v>
      </c>
      <c r="U530" s="31" t="s">
        <v>271</v>
      </c>
      <c r="V530" s="31" t="s">
        <v>2498</v>
      </c>
      <c r="W530" s="34"/>
    </row>
    <row r="531">
      <c r="A531" s="30">
        <v>526.0</v>
      </c>
      <c r="B531" s="31" t="s">
        <v>2586</v>
      </c>
      <c r="C531" s="31" t="s">
        <v>2587</v>
      </c>
      <c r="D531" s="31" t="s">
        <v>2172</v>
      </c>
      <c r="E531" s="31" t="s">
        <v>2498</v>
      </c>
      <c r="F531" s="32">
        <v>42639.0</v>
      </c>
      <c r="G531" s="35">
        <v>42700.0</v>
      </c>
      <c r="H531" s="31" t="s">
        <v>303</v>
      </c>
      <c r="I531" s="31" t="s">
        <v>335</v>
      </c>
      <c r="J531" s="31" t="s">
        <v>2499</v>
      </c>
      <c r="K531" s="31" t="s">
        <v>2500</v>
      </c>
      <c r="L531" s="31" t="s">
        <v>2588</v>
      </c>
      <c r="M531" s="31" t="s">
        <v>2589</v>
      </c>
      <c r="N531" s="31" t="s">
        <v>267</v>
      </c>
      <c r="O531" s="31">
        <v>2.0</v>
      </c>
      <c r="P531" s="31">
        <v>1.0</v>
      </c>
      <c r="Q531" s="31" t="s">
        <v>307</v>
      </c>
      <c r="R531" s="32">
        <v>34139.0</v>
      </c>
      <c r="S531" s="31" t="s">
        <v>700</v>
      </c>
      <c r="T531" s="31" t="s">
        <v>1662</v>
      </c>
      <c r="U531" s="31" t="s">
        <v>271</v>
      </c>
      <c r="V531" s="31" t="s">
        <v>2498</v>
      </c>
      <c r="W531" s="34"/>
    </row>
    <row r="532">
      <c r="A532" s="30">
        <v>527.0</v>
      </c>
      <c r="B532" s="31" t="s">
        <v>2590</v>
      </c>
      <c r="C532" s="31" t="s">
        <v>2555</v>
      </c>
      <c r="D532" s="31" t="s">
        <v>260</v>
      </c>
      <c r="E532" s="31" t="s">
        <v>2550</v>
      </c>
      <c r="F532" s="32">
        <v>42739.0</v>
      </c>
      <c r="G532" s="32">
        <v>42810.0</v>
      </c>
      <c r="H532" s="31" t="s">
        <v>303</v>
      </c>
      <c r="I532" s="31" t="s">
        <v>335</v>
      </c>
      <c r="J532" s="31" t="s">
        <v>2499</v>
      </c>
      <c r="K532" s="31" t="s">
        <v>2551</v>
      </c>
      <c r="L532" s="31" t="s">
        <v>2501</v>
      </c>
      <c r="M532" s="31" t="s">
        <v>2591</v>
      </c>
      <c r="N532" s="31" t="s">
        <v>267</v>
      </c>
      <c r="O532" s="34"/>
      <c r="P532" s="31">
        <v>5.0</v>
      </c>
      <c r="Q532" s="31" t="s">
        <v>307</v>
      </c>
      <c r="R532" s="32">
        <v>34641.0</v>
      </c>
      <c r="S532" s="31" t="s">
        <v>531</v>
      </c>
      <c r="T532" s="31" t="s">
        <v>1242</v>
      </c>
      <c r="U532" s="31" t="s">
        <v>352</v>
      </c>
      <c r="V532" s="31" t="s">
        <v>2550</v>
      </c>
      <c r="W532" s="34"/>
    </row>
    <row r="533">
      <c r="A533" s="30">
        <v>528.0</v>
      </c>
      <c r="B533" s="31" t="s">
        <v>2592</v>
      </c>
      <c r="C533" s="31" t="s">
        <v>2593</v>
      </c>
      <c r="D533" s="31" t="s">
        <v>260</v>
      </c>
      <c r="E533" s="31" t="s">
        <v>2550</v>
      </c>
      <c r="F533" s="32">
        <v>44013.0</v>
      </c>
      <c r="G533" s="32">
        <v>44075.0</v>
      </c>
      <c r="H533" s="31" t="s">
        <v>303</v>
      </c>
      <c r="I533" s="31" t="s">
        <v>335</v>
      </c>
      <c r="J533" s="31" t="s">
        <v>2499</v>
      </c>
      <c r="K533" s="31" t="s">
        <v>2551</v>
      </c>
      <c r="L533" s="31" t="s">
        <v>2501</v>
      </c>
      <c r="M533" s="31" t="s">
        <v>2594</v>
      </c>
      <c r="N533" s="31" t="s">
        <v>267</v>
      </c>
      <c r="O533" s="34"/>
      <c r="P533" s="31">
        <v>3.0</v>
      </c>
      <c r="Q533" s="31" t="s">
        <v>307</v>
      </c>
      <c r="R533" s="32">
        <v>35607.0</v>
      </c>
      <c r="S533" s="31" t="s">
        <v>2595</v>
      </c>
      <c r="T533" s="31" t="s">
        <v>459</v>
      </c>
      <c r="U533" s="31" t="s">
        <v>352</v>
      </c>
      <c r="V533" s="31" t="s">
        <v>2550</v>
      </c>
      <c r="W533" s="34"/>
    </row>
    <row r="534">
      <c r="A534" s="30">
        <v>529.0</v>
      </c>
      <c r="B534" s="31" t="s">
        <v>2596</v>
      </c>
      <c r="C534" s="31" t="s">
        <v>2597</v>
      </c>
      <c r="D534" s="31" t="s">
        <v>260</v>
      </c>
      <c r="E534" s="31" t="s">
        <v>2498</v>
      </c>
      <c r="F534" s="32">
        <v>42909.0</v>
      </c>
      <c r="G534" s="32">
        <v>42970.0</v>
      </c>
      <c r="H534" s="31" t="s">
        <v>303</v>
      </c>
      <c r="I534" s="31" t="s">
        <v>335</v>
      </c>
      <c r="J534" s="31" t="s">
        <v>2499</v>
      </c>
      <c r="K534" s="31" t="s">
        <v>2500</v>
      </c>
      <c r="L534" s="31" t="s">
        <v>2501</v>
      </c>
      <c r="M534" s="31" t="s">
        <v>2598</v>
      </c>
      <c r="N534" s="31" t="s">
        <v>467</v>
      </c>
      <c r="O534" s="34"/>
      <c r="P534" s="31">
        <v>7.0</v>
      </c>
      <c r="Q534" s="31" t="s">
        <v>307</v>
      </c>
      <c r="R534" s="32">
        <v>34606.0</v>
      </c>
      <c r="S534" s="31" t="s">
        <v>955</v>
      </c>
      <c r="T534" s="31" t="s">
        <v>1698</v>
      </c>
      <c r="U534" s="31" t="s">
        <v>271</v>
      </c>
      <c r="V534" s="31" t="s">
        <v>2498</v>
      </c>
      <c r="W534" s="34"/>
    </row>
    <row r="535">
      <c r="A535" s="30">
        <v>530.0</v>
      </c>
      <c r="B535" s="31" t="s">
        <v>2599</v>
      </c>
      <c r="C535" s="31" t="s">
        <v>2600</v>
      </c>
      <c r="D535" s="31" t="s">
        <v>260</v>
      </c>
      <c r="E535" s="31" t="s">
        <v>2550</v>
      </c>
      <c r="F535" s="35">
        <v>42661.0</v>
      </c>
      <c r="G535" s="35">
        <v>42722.0</v>
      </c>
      <c r="H535" s="31" t="s">
        <v>303</v>
      </c>
      <c r="I535" s="31" t="s">
        <v>335</v>
      </c>
      <c r="J535" s="31" t="s">
        <v>2499</v>
      </c>
      <c r="K535" s="31" t="s">
        <v>2551</v>
      </c>
      <c r="L535" s="31" t="s">
        <v>2501</v>
      </c>
      <c r="M535" s="31" t="s">
        <v>2601</v>
      </c>
      <c r="N535" s="31" t="s">
        <v>267</v>
      </c>
      <c r="O535" s="34"/>
      <c r="P535" s="31">
        <v>3.0</v>
      </c>
      <c r="Q535" s="31" t="s">
        <v>307</v>
      </c>
      <c r="R535" s="32">
        <v>34459.0</v>
      </c>
      <c r="S535" s="31" t="s">
        <v>1194</v>
      </c>
      <c r="T535" s="31" t="s">
        <v>744</v>
      </c>
      <c r="U535" s="31" t="s">
        <v>352</v>
      </c>
      <c r="V535" s="31" t="s">
        <v>2550</v>
      </c>
      <c r="W535" s="34"/>
    </row>
    <row r="536">
      <c r="A536" s="30">
        <v>531.0</v>
      </c>
      <c r="B536" s="31" t="s">
        <v>2602</v>
      </c>
      <c r="C536" s="31" t="s">
        <v>2603</v>
      </c>
      <c r="D536" s="31" t="s">
        <v>260</v>
      </c>
      <c r="E536" s="31" t="s">
        <v>2550</v>
      </c>
      <c r="F536" s="32">
        <v>42873.0</v>
      </c>
      <c r="G536" s="32">
        <v>42934.0</v>
      </c>
      <c r="H536" s="31" t="s">
        <v>303</v>
      </c>
      <c r="I536" s="31" t="s">
        <v>335</v>
      </c>
      <c r="J536" s="31" t="s">
        <v>2499</v>
      </c>
      <c r="K536" s="31" t="s">
        <v>2551</v>
      </c>
      <c r="L536" s="31" t="s">
        <v>2501</v>
      </c>
      <c r="M536" s="31" t="s">
        <v>2604</v>
      </c>
      <c r="N536" s="31" t="s">
        <v>267</v>
      </c>
      <c r="O536" s="34"/>
      <c r="P536" s="31">
        <v>3.0</v>
      </c>
      <c r="Q536" s="31" t="s">
        <v>307</v>
      </c>
      <c r="R536" s="32">
        <v>34612.0</v>
      </c>
      <c r="S536" s="31" t="s">
        <v>700</v>
      </c>
      <c r="T536" s="31" t="s">
        <v>686</v>
      </c>
      <c r="U536" s="31" t="s">
        <v>352</v>
      </c>
      <c r="V536" s="31" t="s">
        <v>2550</v>
      </c>
      <c r="W536" s="34"/>
    </row>
    <row r="537">
      <c r="A537" s="30">
        <v>532.0</v>
      </c>
      <c r="B537" s="31" t="s">
        <v>2605</v>
      </c>
      <c r="C537" s="31" t="s">
        <v>2606</v>
      </c>
      <c r="D537" s="31" t="s">
        <v>260</v>
      </c>
      <c r="E537" s="31" t="s">
        <v>2607</v>
      </c>
      <c r="F537" s="35">
        <v>45245.0</v>
      </c>
      <c r="G537" s="32">
        <v>45305.0</v>
      </c>
      <c r="H537" s="31" t="s">
        <v>303</v>
      </c>
      <c r="I537" s="31" t="s">
        <v>335</v>
      </c>
      <c r="J537" s="31" t="s">
        <v>2608</v>
      </c>
      <c r="K537" s="31" t="s">
        <v>2609</v>
      </c>
      <c r="L537" s="31" t="s">
        <v>2610</v>
      </c>
      <c r="M537" s="31" t="s">
        <v>2611</v>
      </c>
      <c r="N537" s="31" t="s">
        <v>467</v>
      </c>
      <c r="O537" s="34"/>
      <c r="P537" s="31">
        <v>1.0</v>
      </c>
      <c r="Q537" s="31" t="s">
        <v>307</v>
      </c>
      <c r="R537" s="35">
        <v>37186.0</v>
      </c>
      <c r="S537" s="31" t="s">
        <v>2612</v>
      </c>
      <c r="T537" s="31" t="s">
        <v>2613</v>
      </c>
      <c r="U537" s="31" t="s">
        <v>352</v>
      </c>
      <c r="V537" s="31" t="s">
        <v>2607</v>
      </c>
      <c r="W537" s="34"/>
    </row>
    <row r="538">
      <c r="A538" s="30">
        <v>533.0</v>
      </c>
      <c r="B538" s="31" t="s">
        <v>2614</v>
      </c>
      <c r="C538" s="31" t="s">
        <v>2615</v>
      </c>
      <c r="D538" s="31" t="s">
        <v>260</v>
      </c>
      <c r="E538" s="31" t="s">
        <v>2607</v>
      </c>
      <c r="F538" s="32">
        <v>44978.0</v>
      </c>
      <c r="G538" s="32">
        <v>45037.0</v>
      </c>
      <c r="H538" s="31" t="s">
        <v>303</v>
      </c>
      <c r="I538" s="31" t="s">
        <v>335</v>
      </c>
      <c r="J538" s="31" t="s">
        <v>2608</v>
      </c>
      <c r="K538" s="31" t="s">
        <v>2609</v>
      </c>
      <c r="L538" s="31" t="s">
        <v>2610</v>
      </c>
      <c r="M538" s="31" t="s">
        <v>2616</v>
      </c>
      <c r="N538" s="31" t="s">
        <v>267</v>
      </c>
      <c r="O538" s="34"/>
      <c r="P538" s="31">
        <v>2.0</v>
      </c>
      <c r="Q538" s="31" t="s">
        <v>307</v>
      </c>
      <c r="R538" s="32">
        <v>37079.0</v>
      </c>
      <c r="S538" s="31" t="s">
        <v>2617</v>
      </c>
      <c r="T538" s="31" t="s">
        <v>2618</v>
      </c>
      <c r="U538" s="31" t="s">
        <v>352</v>
      </c>
      <c r="V538" s="31" t="s">
        <v>2607</v>
      </c>
      <c r="W538" s="34"/>
    </row>
    <row r="539">
      <c r="A539" s="30">
        <v>534.0</v>
      </c>
      <c r="B539" s="31" t="s">
        <v>2619</v>
      </c>
      <c r="C539" s="31" t="s">
        <v>2620</v>
      </c>
      <c r="D539" s="31" t="s">
        <v>260</v>
      </c>
      <c r="E539" s="31" t="s">
        <v>1962</v>
      </c>
      <c r="F539" s="32">
        <v>44620.0</v>
      </c>
      <c r="G539" s="32">
        <v>44679.0</v>
      </c>
      <c r="H539" s="31" t="s">
        <v>303</v>
      </c>
      <c r="I539" s="31" t="s">
        <v>335</v>
      </c>
      <c r="J539" s="31" t="s">
        <v>1963</v>
      </c>
      <c r="K539" s="31" t="s">
        <v>1964</v>
      </c>
      <c r="L539" s="31" t="s">
        <v>1965</v>
      </c>
      <c r="M539" s="31" t="s">
        <v>2621</v>
      </c>
      <c r="N539" s="31" t="s">
        <v>267</v>
      </c>
      <c r="O539" s="34"/>
      <c r="P539" s="31">
        <v>1.0</v>
      </c>
      <c r="Q539" s="31" t="s">
        <v>307</v>
      </c>
      <c r="R539" s="35">
        <v>35748.0</v>
      </c>
      <c r="S539" s="31" t="s">
        <v>531</v>
      </c>
      <c r="T539" s="31" t="s">
        <v>2412</v>
      </c>
      <c r="U539" s="31" t="s">
        <v>271</v>
      </c>
      <c r="V539" s="31" t="s">
        <v>1962</v>
      </c>
      <c r="W539" s="34"/>
    </row>
    <row r="540">
      <c r="A540" s="30">
        <v>535.0</v>
      </c>
      <c r="B540" s="31" t="s">
        <v>2622</v>
      </c>
      <c r="C540" s="31" t="s">
        <v>2623</v>
      </c>
      <c r="D540" s="31" t="s">
        <v>260</v>
      </c>
      <c r="E540" s="31" t="s">
        <v>1962</v>
      </c>
      <c r="F540" s="32">
        <v>43308.0</v>
      </c>
      <c r="G540" s="32">
        <v>43370.0</v>
      </c>
      <c r="H540" s="31" t="s">
        <v>303</v>
      </c>
      <c r="I540" s="31" t="s">
        <v>335</v>
      </c>
      <c r="J540" s="31" t="s">
        <v>1963</v>
      </c>
      <c r="K540" s="31" t="s">
        <v>1964</v>
      </c>
      <c r="L540" s="31" t="s">
        <v>1965</v>
      </c>
      <c r="M540" s="31" t="s">
        <v>2624</v>
      </c>
      <c r="N540" s="31" t="s">
        <v>467</v>
      </c>
      <c r="O540" s="34"/>
      <c r="P540" s="31">
        <v>2.0</v>
      </c>
      <c r="Q540" s="31" t="s">
        <v>307</v>
      </c>
      <c r="R540" s="32">
        <v>35133.0</v>
      </c>
      <c r="S540" s="31" t="s">
        <v>2625</v>
      </c>
      <c r="T540" s="31" t="s">
        <v>2626</v>
      </c>
      <c r="U540" s="31" t="s">
        <v>352</v>
      </c>
      <c r="V540" s="31" t="s">
        <v>1962</v>
      </c>
      <c r="W540" s="34"/>
    </row>
    <row r="541">
      <c r="A541" s="30">
        <v>536.0</v>
      </c>
      <c r="B541" s="31" t="s">
        <v>2627</v>
      </c>
      <c r="C541" s="31" t="s">
        <v>2628</v>
      </c>
      <c r="D541" s="31" t="s">
        <v>978</v>
      </c>
      <c r="E541" s="31" t="s">
        <v>2629</v>
      </c>
      <c r="F541" s="32">
        <v>42597.0</v>
      </c>
      <c r="G541" s="35">
        <v>42659.0</v>
      </c>
      <c r="H541" s="31" t="s">
        <v>303</v>
      </c>
      <c r="I541" s="31" t="s">
        <v>335</v>
      </c>
      <c r="J541" s="31" t="s">
        <v>2629</v>
      </c>
      <c r="K541" s="31" t="s">
        <v>2630</v>
      </c>
      <c r="L541" s="31" t="s">
        <v>2631</v>
      </c>
      <c r="M541" s="31" t="s">
        <v>2632</v>
      </c>
      <c r="N541" s="31" t="s">
        <v>267</v>
      </c>
      <c r="O541" s="31">
        <v>2.0</v>
      </c>
      <c r="P541" s="31">
        <v>1.0</v>
      </c>
      <c r="Q541" s="31" t="s">
        <v>307</v>
      </c>
      <c r="R541" s="32">
        <v>34363.0</v>
      </c>
      <c r="S541" s="31" t="s">
        <v>1085</v>
      </c>
      <c r="T541" s="31" t="s">
        <v>686</v>
      </c>
      <c r="U541" s="31" t="s">
        <v>352</v>
      </c>
      <c r="V541" s="34"/>
      <c r="W541" s="34"/>
    </row>
    <row r="542">
      <c r="A542" s="30">
        <v>537.0</v>
      </c>
      <c r="B542" s="31" t="s">
        <v>2633</v>
      </c>
      <c r="C542" s="31" t="s">
        <v>2634</v>
      </c>
      <c r="D542" s="31" t="s">
        <v>260</v>
      </c>
      <c r="E542" s="31" t="s">
        <v>2550</v>
      </c>
      <c r="F542" s="32">
        <v>43671.0</v>
      </c>
      <c r="G542" s="32">
        <v>43733.0</v>
      </c>
      <c r="H542" s="31" t="s">
        <v>303</v>
      </c>
      <c r="I542" s="31" t="s">
        <v>335</v>
      </c>
      <c r="J542" s="31" t="s">
        <v>2499</v>
      </c>
      <c r="K542" s="31" t="s">
        <v>2551</v>
      </c>
      <c r="L542" s="31" t="s">
        <v>2501</v>
      </c>
      <c r="M542" s="31" t="s">
        <v>2635</v>
      </c>
      <c r="N542" s="31" t="s">
        <v>267</v>
      </c>
      <c r="O542" s="34"/>
      <c r="P542" s="31">
        <v>7.0</v>
      </c>
      <c r="Q542" s="31" t="s">
        <v>581</v>
      </c>
      <c r="R542" s="32">
        <v>35524.0</v>
      </c>
      <c r="S542" s="31" t="s">
        <v>526</v>
      </c>
      <c r="T542" s="31" t="s">
        <v>686</v>
      </c>
      <c r="U542" s="31" t="s">
        <v>352</v>
      </c>
      <c r="V542" s="31" t="s">
        <v>2550</v>
      </c>
      <c r="W542" s="34"/>
    </row>
    <row r="543">
      <c r="A543" s="30">
        <v>538.0</v>
      </c>
      <c r="B543" s="31" t="s">
        <v>2636</v>
      </c>
      <c r="C543" s="31" t="s">
        <v>2637</v>
      </c>
      <c r="D543" s="31" t="s">
        <v>260</v>
      </c>
      <c r="E543" s="31" t="s">
        <v>2607</v>
      </c>
      <c r="F543" s="32">
        <v>43192.0</v>
      </c>
      <c r="G543" s="32">
        <v>43253.0</v>
      </c>
      <c r="H543" s="31" t="s">
        <v>303</v>
      </c>
      <c r="I543" s="31" t="s">
        <v>335</v>
      </c>
      <c r="J543" s="31" t="s">
        <v>2608</v>
      </c>
      <c r="K543" s="31" t="s">
        <v>2609</v>
      </c>
      <c r="L543" s="31" t="s">
        <v>2610</v>
      </c>
      <c r="M543" s="31" t="s">
        <v>2638</v>
      </c>
      <c r="N543" s="31" t="s">
        <v>467</v>
      </c>
      <c r="O543" s="34"/>
      <c r="P543" s="31">
        <v>3.0</v>
      </c>
      <c r="Q543" s="31" t="s">
        <v>307</v>
      </c>
      <c r="R543" s="32">
        <v>33030.0</v>
      </c>
      <c r="S543" s="31" t="s">
        <v>717</v>
      </c>
      <c r="T543" s="31" t="s">
        <v>1698</v>
      </c>
      <c r="U543" s="31" t="s">
        <v>271</v>
      </c>
      <c r="V543" s="31" t="s">
        <v>2607</v>
      </c>
      <c r="W543" s="34"/>
    </row>
    <row r="544">
      <c r="A544" s="30">
        <v>539.0</v>
      </c>
      <c r="B544" s="31" t="s">
        <v>2639</v>
      </c>
      <c r="C544" s="31" t="s">
        <v>2640</v>
      </c>
      <c r="D544" s="31" t="s">
        <v>260</v>
      </c>
      <c r="E544" s="31" t="s">
        <v>2550</v>
      </c>
      <c r="F544" s="32">
        <v>43557.0</v>
      </c>
      <c r="G544" s="32">
        <v>43618.0</v>
      </c>
      <c r="H544" s="31" t="s">
        <v>303</v>
      </c>
      <c r="I544" s="31" t="s">
        <v>335</v>
      </c>
      <c r="J544" s="31" t="s">
        <v>2499</v>
      </c>
      <c r="K544" s="31" t="s">
        <v>2551</v>
      </c>
      <c r="L544" s="31" t="s">
        <v>2501</v>
      </c>
      <c r="M544" s="31" t="s">
        <v>2641</v>
      </c>
      <c r="N544" s="31" t="s">
        <v>267</v>
      </c>
      <c r="O544" s="34"/>
      <c r="P544" s="31">
        <v>3.0</v>
      </c>
      <c r="Q544" s="31" t="s">
        <v>307</v>
      </c>
      <c r="R544" s="32">
        <v>35570.0</v>
      </c>
      <c r="S544" s="31" t="s">
        <v>320</v>
      </c>
      <c r="T544" s="31" t="s">
        <v>744</v>
      </c>
      <c r="U544" s="31" t="s">
        <v>352</v>
      </c>
      <c r="V544" s="31" t="s">
        <v>2550</v>
      </c>
      <c r="W544" s="34"/>
    </row>
    <row r="545">
      <c r="A545" s="30">
        <v>540.0</v>
      </c>
      <c r="B545" s="31" t="s">
        <v>2642</v>
      </c>
      <c r="C545" s="31" t="s">
        <v>2643</v>
      </c>
      <c r="D545" s="31" t="s">
        <v>978</v>
      </c>
      <c r="E545" s="31" t="s">
        <v>2550</v>
      </c>
      <c r="F545" s="32">
        <v>42739.0</v>
      </c>
      <c r="G545" s="32">
        <v>42810.0</v>
      </c>
      <c r="H545" s="31" t="s">
        <v>303</v>
      </c>
      <c r="I545" s="31" t="s">
        <v>335</v>
      </c>
      <c r="J545" s="31" t="s">
        <v>2499</v>
      </c>
      <c r="K545" s="31" t="s">
        <v>2551</v>
      </c>
      <c r="L545" s="31" t="s">
        <v>2644</v>
      </c>
      <c r="M545" s="31" t="s">
        <v>2645</v>
      </c>
      <c r="N545" s="31" t="s">
        <v>267</v>
      </c>
      <c r="O545" s="31">
        <v>2.0</v>
      </c>
      <c r="P545" s="31">
        <v>2.0</v>
      </c>
      <c r="Q545" s="31" t="s">
        <v>307</v>
      </c>
      <c r="R545" s="35">
        <v>34678.0</v>
      </c>
      <c r="S545" s="31" t="s">
        <v>531</v>
      </c>
      <c r="T545" s="31" t="s">
        <v>1242</v>
      </c>
      <c r="U545" s="31" t="s">
        <v>352</v>
      </c>
      <c r="V545" s="31" t="s">
        <v>2550</v>
      </c>
      <c r="W545" s="34"/>
    </row>
    <row r="546">
      <c r="A546" s="30">
        <v>541.0</v>
      </c>
      <c r="B546" s="31" t="s">
        <v>2646</v>
      </c>
      <c r="C546" s="31" t="s">
        <v>2647</v>
      </c>
      <c r="D546" s="31" t="s">
        <v>260</v>
      </c>
      <c r="E546" s="31" t="s">
        <v>1962</v>
      </c>
      <c r="F546" s="32">
        <v>43887.0</v>
      </c>
      <c r="G546" s="32">
        <v>43947.0</v>
      </c>
      <c r="H546" s="31" t="s">
        <v>303</v>
      </c>
      <c r="I546" s="31" t="s">
        <v>335</v>
      </c>
      <c r="J546" s="31" t="s">
        <v>1963</v>
      </c>
      <c r="K546" s="31" t="s">
        <v>1964</v>
      </c>
      <c r="L546" s="31" t="s">
        <v>1965</v>
      </c>
      <c r="M546" s="31" t="s">
        <v>2648</v>
      </c>
      <c r="N546" s="31" t="s">
        <v>267</v>
      </c>
      <c r="O546" s="34"/>
      <c r="P546" s="31">
        <v>1.0</v>
      </c>
      <c r="Q546" s="31" t="s">
        <v>307</v>
      </c>
      <c r="R546" s="32">
        <v>35799.0</v>
      </c>
      <c r="S546" s="31" t="s">
        <v>320</v>
      </c>
      <c r="T546" s="31" t="s">
        <v>1377</v>
      </c>
      <c r="U546" s="31" t="s">
        <v>271</v>
      </c>
      <c r="V546" s="31" t="s">
        <v>1962</v>
      </c>
      <c r="W546" s="34"/>
    </row>
    <row r="547">
      <c r="A547" s="30">
        <v>542.0</v>
      </c>
      <c r="B547" s="31" t="s">
        <v>2649</v>
      </c>
      <c r="C547" s="31" t="s">
        <v>2650</v>
      </c>
      <c r="D547" s="31" t="s">
        <v>553</v>
      </c>
      <c r="E547" s="31" t="s">
        <v>2651</v>
      </c>
      <c r="F547" s="32">
        <v>45391.0</v>
      </c>
      <c r="G547" s="33"/>
      <c r="H547" s="31" t="s">
        <v>453</v>
      </c>
      <c r="I547" s="31" t="s">
        <v>566</v>
      </c>
      <c r="J547" s="31" t="s">
        <v>567</v>
      </c>
      <c r="K547" s="31" t="s">
        <v>2652</v>
      </c>
      <c r="L547" s="31" t="s">
        <v>558</v>
      </c>
      <c r="M547" s="31" t="s">
        <v>2653</v>
      </c>
      <c r="N547" s="31" t="s">
        <v>267</v>
      </c>
      <c r="O547" s="34"/>
      <c r="P547" s="34"/>
      <c r="Q547" s="31" t="s">
        <v>268</v>
      </c>
      <c r="R547" s="32">
        <v>36470.0</v>
      </c>
      <c r="S547" s="31" t="s">
        <v>502</v>
      </c>
      <c r="T547" s="31" t="s">
        <v>627</v>
      </c>
      <c r="U547" s="31" t="s">
        <v>480</v>
      </c>
      <c r="V547" s="31" t="s">
        <v>2651</v>
      </c>
      <c r="W547" s="34"/>
    </row>
    <row r="548">
      <c r="A548" s="30">
        <v>543.0</v>
      </c>
      <c r="B548" s="31" t="s">
        <v>2654</v>
      </c>
      <c r="C548" s="31" t="s">
        <v>2655</v>
      </c>
      <c r="D548" s="31" t="s">
        <v>622</v>
      </c>
      <c r="E548" s="31" t="s">
        <v>41</v>
      </c>
      <c r="F548" s="32">
        <v>45383.0</v>
      </c>
      <c r="G548" s="33"/>
      <c r="H548" s="31" t="s">
        <v>453</v>
      </c>
      <c r="I548" s="31" t="s">
        <v>41</v>
      </c>
      <c r="J548" s="34"/>
      <c r="K548" s="31" t="s">
        <v>623</v>
      </c>
      <c r="L548" s="31" t="s">
        <v>624</v>
      </c>
      <c r="M548" s="31" t="s">
        <v>2656</v>
      </c>
      <c r="N548" s="31" t="s">
        <v>267</v>
      </c>
      <c r="O548" s="34"/>
      <c r="P548" s="34"/>
      <c r="Q548" s="31" t="s">
        <v>268</v>
      </c>
      <c r="R548" s="32">
        <v>37538.0</v>
      </c>
      <c r="S548" s="31" t="s">
        <v>717</v>
      </c>
      <c r="T548" s="31" t="s">
        <v>985</v>
      </c>
      <c r="U548" s="31" t="s">
        <v>480</v>
      </c>
      <c r="V548" s="34"/>
      <c r="W548" s="34"/>
    </row>
    <row r="549">
      <c r="A549" s="30">
        <v>544.0</v>
      </c>
      <c r="B549" s="31" t="s">
        <v>2657</v>
      </c>
      <c r="C549" s="31" t="s">
        <v>2658</v>
      </c>
      <c r="D549" s="31" t="s">
        <v>622</v>
      </c>
      <c r="E549" s="31" t="s">
        <v>41</v>
      </c>
      <c r="F549" s="32">
        <v>45383.0</v>
      </c>
      <c r="G549" s="33"/>
      <c r="H549" s="31" t="s">
        <v>453</v>
      </c>
      <c r="I549" s="31" t="s">
        <v>41</v>
      </c>
      <c r="J549" s="34"/>
      <c r="K549" s="31" t="s">
        <v>623</v>
      </c>
      <c r="L549" s="31" t="s">
        <v>624</v>
      </c>
      <c r="M549" s="31" t="s">
        <v>2659</v>
      </c>
      <c r="N549" s="31" t="s">
        <v>267</v>
      </c>
      <c r="O549" s="34"/>
      <c r="P549" s="34"/>
      <c r="Q549" s="31" t="s">
        <v>268</v>
      </c>
      <c r="R549" s="32">
        <v>35219.0</v>
      </c>
      <c r="S549" s="31" t="s">
        <v>717</v>
      </c>
      <c r="T549" s="31" t="s">
        <v>1059</v>
      </c>
      <c r="U549" s="31" t="s">
        <v>480</v>
      </c>
      <c r="V549" s="34"/>
      <c r="W549" s="34"/>
    </row>
    <row r="550">
      <c r="A550" s="30">
        <v>545.0</v>
      </c>
      <c r="B550" s="31" t="s">
        <v>2660</v>
      </c>
      <c r="C550" s="31" t="s">
        <v>2661</v>
      </c>
      <c r="D550" s="31" t="s">
        <v>2662</v>
      </c>
      <c r="E550" s="31" t="s">
        <v>122</v>
      </c>
      <c r="F550" s="32">
        <v>42541.0</v>
      </c>
      <c r="G550" s="32">
        <v>42602.0</v>
      </c>
      <c r="H550" s="31" t="s">
        <v>346</v>
      </c>
      <c r="I550" s="31" t="s">
        <v>263</v>
      </c>
      <c r="J550" s="31" t="s">
        <v>122</v>
      </c>
      <c r="K550" s="31" t="s">
        <v>2663</v>
      </c>
      <c r="L550" s="31" t="s">
        <v>2664</v>
      </c>
      <c r="M550" s="31" t="s">
        <v>2665</v>
      </c>
      <c r="N550" s="31" t="s">
        <v>267</v>
      </c>
      <c r="O550" s="31">
        <v>3.0</v>
      </c>
      <c r="P550" s="34"/>
      <c r="Q550" s="31" t="s">
        <v>307</v>
      </c>
      <c r="R550" s="32">
        <v>34382.0</v>
      </c>
      <c r="S550" s="31" t="s">
        <v>531</v>
      </c>
      <c r="T550" s="31" t="s">
        <v>999</v>
      </c>
      <c r="U550" s="31" t="s">
        <v>361</v>
      </c>
      <c r="V550" s="34"/>
      <c r="W550" s="34"/>
    </row>
    <row r="551">
      <c r="A551" s="30">
        <v>546.0</v>
      </c>
      <c r="B551" s="31" t="s">
        <v>2666</v>
      </c>
      <c r="C551" s="31" t="s">
        <v>2667</v>
      </c>
      <c r="D551" s="31" t="s">
        <v>472</v>
      </c>
      <c r="E551" s="31" t="s">
        <v>2668</v>
      </c>
      <c r="F551" s="32">
        <v>45341.0</v>
      </c>
      <c r="G551" s="32">
        <v>45401.0</v>
      </c>
      <c r="H551" s="31" t="s">
        <v>453</v>
      </c>
      <c r="I551" s="31" t="s">
        <v>454</v>
      </c>
      <c r="J551" s="31" t="s">
        <v>2669</v>
      </c>
      <c r="K551" s="31" t="s">
        <v>2670</v>
      </c>
      <c r="L551" s="31" t="s">
        <v>476</v>
      </c>
      <c r="M551" s="31" t="s">
        <v>2671</v>
      </c>
      <c r="N551" s="31" t="s">
        <v>467</v>
      </c>
      <c r="O551" s="34"/>
      <c r="P551" s="34"/>
      <c r="Q551" s="31" t="s">
        <v>307</v>
      </c>
      <c r="R551" s="32">
        <v>37427.0</v>
      </c>
      <c r="S551" s="31" t="s">
        <v>490</v>
      </c>
      <c r="T551" s="31" t="s">
        <v>2672</v>
      </c>
      <c r="U551" s="31" t="s">
        <v>480</v>
      </c>
      <c r="V551" s="31" t="s">
        <v>2668</v>
      </c>
      <c r="W551" s="34"/>
    </row>
    <row r="552">
      <c r="A552" s="30">
        <v>547.0</v>
      </c>
      <c r="B552" s="31" t="s">
        <v>2673</v>
      </c>
      <c r="C552" s="31" t="s">
        <v>2674</v>
      </c>
      <c r="D552" s="31" t="s">
        <v>472</v>
      </c>
      <c r="E552" s="31" t="s">
        <v>2675</v>
      </c>
      <c r="F552" s="32">
        <v>45341.0</v>
      </c>
      <c r="G552" s="32">
        <v>45401.0</v>
      </c>
      <c r="H552" s="31" t="s">
        <v>453</v>
      </c>
      <c r="I552" s="31" t="s">
        <v>454</v>
      </c>
      <c r="J552" s="31" t="s">
        <v>2676</v>
      </c>
      <c r="K552" s="31" t="s">
        <v>2677</v>
      </c>
      <c r="L552" s="31" t="s">
        <v>476</v>
      </c>
      <c r="M552" s="31" t="s">
        <v>2678</v>
      </c>
      <c r="N552" s="31" t="s">
        <v>467</v>
      </c>
      <c r="O552" s="34"/>
      <c r="P552" s="34"/>
      <c r="Q552" s="31" t="s">
        <v>307</v>
      </c>
      <c r="R552" s="32">
        <v>36664.0</v>
      </c>
      <c r="S552" s="31" t="s">
        <v>560</v>
      </c>
      <c r="T552" s="31" t="s">
        <v>2672</v>
      </c>
      <c r="U552" s="31" t="s">
        <v>480</v>
      </c>
      <c r="V552" s="31" t="s">
        <v>2675</v>
      </c>
      <c r="W552" s="34"/>
    </row>
    <row r="553">
      <c r="A553" s="30">
        <v>548.0</v>
      </c>
      <c r="B553" s="31" t="s">
        <v>2679</v>
      </c>
      <c r="C553" s="31" t="s">
        <v>2680</v>
      </c>
      <c r="D553" s="31" t="s">
        <v>472</v>
      </c>
      <c r="E553" s="31" t="s">
        <v>2681</v>
      </c>
      <c r="F553" s="32">
        <v>45341.0</v>
      </c>
      <c r="G553" s="32">
        <v>45401.0</v>
      </c>
      <c r="H553" s="31" t="s">
        <v>453</v>
      </c>
      <c r="I553" s="31" t="s">
        <v>454</v>
      </c>
      <c r="J553" s="31" t="s">
        <v>2682</v>
      </c>
      <c r="K553" s="31" t="s">
        <v>2683</v>
      </c>
      <c r="L553" s="31" t="s">
        <v>476</v>
      </c>
      <c r="M553" s="31" t="s">
        <v>2684</v>
      </c>
      <c r="N553" s="31" t="s">
        <v>467</v>
      </c>
      <c r="O553" s="34"/>
      <c r="P553" s="34"/>
      <c r="Q553" s="31" t="s">
        <v>307</v>
      </c>
      <c r="R553" s="32">
        <v>37133.0</v>
      </c>
      <c r="S553" s="31" t="s">
        <v>560</v>
      </c>
      <c r="T553" s="31" t="s">
        <v>2685</v>
      </c>
      <c r="U553" s="31" t="s">
        <v>480</v>
      </c>
      <c r="V553" s="31" t="s">
        <v>2681</v>
      </c>
      <c r="W553" s="34"/>
    </row>
    <row r="554">
      <c r="A554" s="30">
        <v>549.0</v>
      </c>
      <c r="B554" s="31" t="s">
        <v>2686</v>
      </c>
      <c r="C554" s="31" t="s">
        <v>2687</v>
      </c>
      <c r="D554" s="31" t="s">
        <v>472</v>
      </c>
      <c r="E554" s="31" t="s">
        <v>2651</v>
      </c>
      <c r="F554" s="32">
        <v>45341.0</v>
      </c>
      <c r="G554" s="32">
        <v>45401.0</v>
      </c>
      <c r="H554" s="31" t="s">
        <v>453</v>
      </c>
      <c r="I554" s="31" t="s">
        <v>566</v>
      </c>
      <c r="J554" s="31" t="s">
        <v>567</v>
      </c>
      <c r="K554" s="31" t="s">
        <v>2652</v>
      </c>
      <c r="L554" s="31" t="s">
        <v>476</v>
      </c>
      <c r="M554" s="31" t="s">
        <v>2688</v>
      </c>
      <c r="N554" s="31" t="s">
        <v>467</v>
      </c>
      <c r="O554" s="34"/>
      <c r="P554" s="34"/>
      <c r="Q554" s="31" t="s">
        <v>307</v>
      </c>
      <c r="R554" s="32">
        <v>37512.0</v>
      </c>
      <c r="S554" s="31" t="s">
        <v>490</v>
      </c>
      <c r="T554" s="31" t="s">
        <v>642</v>
      </c>
      <c r="U554" s="31" t="s">
        <v>480</v>
      </c>
      <c r="V554" s="31" t="s">
        <v>2651</v>
      </c>
      <c r="W554" s="34"/>
    </row>
    <row r="555">
      <c r="A555" s="30">
        <v>550.0</v>
      </c>
      <c r="B555" s="31" t="s">
        <v>2689</v>
      </c>
      <c r="C555" s="31" t="s">
        <v>2690</v>
      </c>
      <c r="D555" s="31" t="s">
        <v>472</v>
      </c>
      <c r="E555" s="31" t="s">
        <v>2668</v>
      </c>
      <c r="F555" s="32">
        <v>45341.0</v>
      </c>
      <c r="G555" s="32">
        <v>45401.0</v>
      </c>
      <c r="H555" s="31" t="s">
        <v>453</v>
      </c>
      <c r="I555" s="31" t="s">
        <v>454</v>
      </c>
      <c r="J555" s="31" t="s">
        <v>2669</v>
      </c>
      <c r="K555" s="31" t="s">
        <v>2670</v>
      </c>
      <c r="L555" s="31" t="s">
        <v>476</v>
      </c>
      <c r="M555" s="31" t="s">
        <v>2691</v>
      </c>
      <c r="N555" s="31" t="s">
        <v>467</v>
      </c>
      <c r="O555" s="34"/>
      <c r="P555" s="34"/>
      <c r="Q555" s="31" t="s">
        <v>307</v>
      </c>
      <c r="R555" s="32">
        <v>37536.0</v>
      </c>
      <c r="S555" s="31" t="s">
        <v>2692</v>
      </c>
      <c r="T555" s="31" t="s">
        <v>2693</v>
      </c>
      <c r="U555" s="31" t="s">
        <v>480</v>
      </c>
      <c r="V555" s="31" t="s">
        <v>2668</v>
      </c>
      <c r="W555" s="34"/>
    </row>
    <row r="556">
      <c r="A556" s="30">
        <v>551.0</v>
      </c>
      <c r="B556" s="31" t="s">
        <v>2694</v>
      </c>
      <c r="C556" s="31" t="s">
        <v>2695</v>
      </c>
      <c r="D556" s="31" t="s">
        <v>472</v>
      </c>
      <c r="E556" s="31" t="s">
        <v>2696</v>
      </c>
      <c r="F556" s="32">
        <v>45341.0</v>
      </c>
      <c r="G556" s="32">
        <v>45401.0</v>
      </c>
      <c r="H556" s="31" t="s">
        <v>453</v>
      </c>
      <c r="I556" s="31" t="s">
        <v>607</v>
      </c>
      <c r="J556" s="31" t="s">
        <v>2697</v>
      </c>
      <c r="K556" s="31" t="s">
        <v>2698</v>
      </c>
      <c r="L556" s="31" t="s">
        <v>476</v>
      </c>
      <c r="M556" s="31" t="s">
        <v>2699</v>
      </c>
      <c r="N556" s="31" t="s">
        <v>467</v>
      </c>
      <c r="O556" s="34"/>
      <c r="P556" s="34"/>
      <c r="Q556" s="31" t="s">
        <v>307</v>
      </c>
      <c r="R556" s="32">
        <v>37280.0</v>
      </c>
      <c r="S556" s="31" t="s">
        <v>2700</v>
      </c>
      <c r="T556" s="31" t="s">
        <v>2693</v>
      </c>
      <c r="U556" s="31" t="s">
        <v>643</v>
      </c>
      <c r="V556" s="31" t="s">
        <v>2696</v>
      </c>
      <c r="W556" s="34"/>
    </row>
    <row r="557">
      <c r="A557" s="30">
        <v>552.0</v>
      </c>
      <c r="B557" s="31" t="s">
        <v>2701</v>
      </c>
      <c r="C557" s="31" t="s">
        <v>2702</v>
      </c>
      <c r="D557" s="31" t="s">
        <v>636</v>
      </c>
      <c r="E557" s="31" t="s">
        <v>637</v>
      </c>
      <c r="F557" s="32">
        <v>45341.0</v>
      </c>
      <c r="G557" s="32">
        <v>45401.0</v>
      </c>
      <c r="H557" s="31" t="s">
        <v>453</v>
      </c>
      <c r="I557" s="31" t="s">
        <v>52</v>
      </c>
      <c r="J557" s="31" t="s">
        <v>638</v>
      </c>
      <c r="K557" s="31" t="s">
        <v>639</v>
      </c>
      <c r="L557" s="31" t="s">
        <v>640</v>
      </c>
      <c r="M557" s="31" t="s">
        <v>2703</v>
      </c>
      <c r="N557" s="31" t="s">
        <v>267</v>
      </c>
      <c r="O557" s="34"/>
      <c r="P557" s="34"/>
      <c r="Q557" s="31" t="s">
        <v>307</v>
      </c>
      <c r="R557" s="32">
        <v>35290.0</v>
      </c>
      <c r="S557" s="31" t="s">
        <v>502</v>
      </c>
      <c r="T557" s="31" t="s">
        <v>2685</v>
      </c>
      <c r="U557" s="31" t="s">
        <v>643</v>
      </c>
      <c r="V557" s="31" t="s">
        <v>637</v>
      </c>
      <c r="W557" s="34"/>
    </row>
    <row r="558">
      <c r="A558" s="30">
        <v>553.0</v>
      </c>
      <c r="B558" s="31" t="s">
        <v>2704</v>
      </c>
      <c r="C558" s="31" t="s">
        <v>2705</v>
      </c>
      <c r="D558" s="31" t="s">
        <v>472</v>
      </c>
      <c r="E558" s="31" t="s">
        <v>606</v>
      </c>
      <c r="F558" s="32">
        <v>45341.0</v>
      </c>
      <c r="G558" s="32">
        <v>45401.0</v>
      </c>
      <c r="H558" s="31" t="s">
        <v>453</v>
      </c>
      <c r="I558" s="31" t="s">
        <v>607</v>
      </c>
      <c r="J558" s="31" t="s">
        <v>608</v>
      </c>
      <c r="K558" s="31" t="s">
        <v>609</v>
      </c>
      <c r="L558" s="31" t="s">
        <v>476</v>
      </c>
      <c r="M558" s="31" t="s">
        <v>2706</v>
      </c>
      <c r="N558" s="31" t="s">
        <v>467</v>
      </c>
      <c r="O558" s="34"/>
      <c r="P558" s="34"/>
      <c r="Q558" s="31" t="s">
        <v>307</v>
      </c>
      <c r="R558" s="32">
        <v>37330.0</v>
      </c>
      <c r="S558" s="31" t="s">
        <v>490</v>
      </c>
      <c r="T558" s="31" t="s">
        <v>2672</v>
      </c>
      <c r="U558" s="31" t="s">
        <v>480</v>
      </c>
      <c r="V558" s="31" t="s">
        <v>606</v>
      </c>
      <c r="W558" s="34"/>
    </row>
    <row r="559">
      <c r="A559" s="30">
        <v>554.0</v>
      </c>
      <c r="B559" s="31" t="s">
        <v>2707</v>
      </c>
      <c r="C559" s="31" t="s">
        <v>2708</v>
      </c>
      <c r="D559" s="31" t="s">
        <v>2709</v>
      </c>
      <c r="E559" s="31" t="s">
        <v>335</v>
      </c>
      <c r="F559" s="32">
        <v>45414.0</v>
      </c>
      <c r="G559" s="33"/>
      <c r="H559" s="31" t="s">
        <v>303</v>
      </c>
      <c r="I559" s="31" t="s">
        <v>335</v>
      </c>
      <c r="J559" s="34"/>
      <c r="K559" s="31" t="s">
        <v>2710</v>
      </c>
      <c r="L559" s="31" t="s">
        <v>2711</v>
      </c>
      <c r="M559" s="31" t="s">
        <v>2712</v>
      </c>
      <c r="N559" s="31" t="s">
        <v>467</v>
      </c>
      <c r="O559" s="31">
        <v>1.0</v>
      </c>
      <c r="P559" s="34"/>
      <c r="Q559" s="31" t="s">
        <v>268</v>
      </c>
      <c r="R559" s="32">
        <v>35640.0</v>
      </c>
      <c r="S559" s="31" t="s">
        <v>560</v>
      </c>
      <c r="T559" s="31" t="s">
        <v>2713</v>
      </c>
      <c r="U559" s="31" t="s">
        <v>342</v>
      </c>
      <c r="V559" s="34"/>
      <c r="W559" s="34"/>
    </row>
    <row r="560">
      <c r="A560" s="30">
        <v>555.0</v>
      </c>
      <c r="B560" s="31" t="s">
        <v>2714</v>
      </c>
      <c r="C560" s="31" t="s">
        <v>2715</v>
      </c>
      <c r="D560" s="31" t="s">
        <v>2716</v>
      </c>
      <c r="E560" s="31" t="s">
        <v>38</v>
      </c>
      <c r="F560" s="32">
        <v>43381.0</v>
      </c>
      <c r="G560" s="32">
        <v>43442.0</v>
      </c>
      <c r="H560" s="31" t="s">
        <v>453</v>
      </c>
      <c r="I560" s="31" t="s">
        <v>2717</v>
      </c>
      <c r="J560" s="31" t="s">
        <v>38</v>
      </c>
      <c r="K560" s="31" t="s">
        <v>2718</v>
      </c>
      <c r="L560" s="31" t="s">
        <v>2719</v>
      </c>
      <c r="M560" s="31" t="s">
        <v>2720</v>
      </c>
      <c r="N560" s="31" t="s">
        <v>267</v>
      </c>
      <c r="O560" s="34"/>
      <c r="P560" s="34"/>
      <c r="Q560" s="31" t="s">
        <v>307</v>
      </c>
      <c r="R560" s="35">
        <v>28775.0</v>
      </c>
      <c r="S560" s="31" t="s">
        <v>681</v>
      </c>
      <c r="T560" s="31" t="s">
        <v>2721</v>
      </c>
      <c r="U560" s="31" t="s">
        <v>480</v>
      </c>
      <c r="V560" s="34"/>
      <c r="W560" s="34"/>
    </row>
    <row r="561">
      <c r="A561" s="30">
        <v>556.0</v>
      </c>
      <c r="B561" s="31" t="s">
        <v>2722</v>
      </c>
      <c r="C561" s="31" t="s">
        <v>2723</v>
      </c>
      <c r="D561" s="31" t="s">
        <v>260</v>
      </c>
      <c r="E561" s="31" t="s">
        <v>547</v>
      </c>
      <c r="F561" s="32">
        <v>45414.0</v>
      </c>
      <c r="G561" s="33"/>
      <c r="H561" s="31" t="s">
        <v>346</v>
      </c>
      <c r="I561" s="31" t="s">
        <v>263</v>
      </c>
      <c r="J561" s="31" t="s">
        <v>356</v>
      </c>
      <c r="K561" s="31" t="s">
        <v>548</v>
      </c>
      <c r="L561" s="31" t="s">
        <v>328</v>
      </c>
      <c r="M561" s="31" t="s">
        <v>2724</v>
      </c>
      <c r="N561" s="31" t="s">
        <v>267</v>
      </c>
      <c r="O561" s="34"/>
      <c r="P561" s="31">
        <v>1.0</v>
      </c>
      <c r="Q561" s="31" t="s">
        <v>268</v>
      </c>
      <c r="R561" s="32">
        <v>37625.0</v>
      </c>
      <c r="S561" s="31" t="s">
        <v>2725</v>
      </c>
      <c r="T561" s="31" t="s">
        <v>427</v>
      </c>
      <c r="U561" s="31" t="s">
        <v>361</v>
      </c>
      <c r="V561" s="31" t="s">
        <v>547</v>
      </c>
      <c r="W561" s="34"/>
    </row>
    <row r="562">
      <c r="A562" s="30">
        <v>557.0</v>
      </c>
      <c r="B562" s="31" t="s">
        <v>2726</v>
      </c>
      <c r="C562" s="31" t="s">
        <v>2727</v>
      </c>
      <c r="D562" s="31" t="s">
        <v>260</v>
      </c>
      <c r="E562" s="31" t="s">
        <v>540</v>
      </c>
      <c r="F562" s="32">
        <v>45414.0</v>
      </c>
      <c r="G562" s="33"/>
      <c r="H562" s="31" t="s">
        <v>346</v>
      </c>
      <c r="I562" s="31" t="s">
        <v>263</v>
      </c>
      <c r="J562" s="31" t="s">
        <v>356</v>
      </c>
      <c r="K562" s="31" t="s">
        <v>541</v>
      </c>
      <c r="L562" s="31" t="s">
        <v>328</v>
      </c>
      <c r="M562" s="31" t="s">
        <v>2728</v>
      </c>
      <c r="N562" s="31" t="s">
        <v>467</v>
      </c>
      <c r="O562" s="34"/>
      <c r="P562" s="31">
        <v>1.0</v>
      </c>
      <c r="Q562" s="31" t="s">
        <v>268</v>
      </c>
      <c r="R562" s="35">
        <v>36514.0</v>
      </c>
      <c r="S562" s="31" t="s">
        <v>1584</v>
      </c>
      <c r="T562" s="31" t="s">
        <v>2729</v>
      </c>
      <c r="U562" s="31" t="s">
        <v>352</v>
      </c>
      <c r="V562" s="31" t="s">
        <v>540</v>
      </c>
      <c r="W562" s="34"/>
    </row>
    <row r="563">
      <c r="A563" s="30">
        <v>558.0</v>
      </c>
      <c r="B563" s="31" t="s">
        <v>2730</v>
      </c>
      <c r="C563" s="31" t="s">
        <v>2731</v>
      </c>
      <c r="D563" s="31" t="s">
        <v>260</v>
      </c>
      <c r="E563" s="31" t="s">
        <v>324</v>
      </c>
      <c r="F563" s="32">
        <v>44320.0</v>
      </c>
      <c r="G563" s="32">
        <v>44381.0</v>
      </c>
      <c r="H563" s="31" t="s">
        <v>2732</v>
      </c>
      <c r="I563" s="31" t="s">
        <v>326</v>
      </c>
      <c r="J563" s="31" t="s">
        <v>324</v>
      </c>
      <c r="K563" s="31" t="s">
        <v>2733</v>
      </c>
      <c r="L563" s="31" t="s">
        <v>328</v>
      </c>
      <c r="M563" s="31" t="s">
        <v>2734</v>
      </c>
      <c r="N563" s="31" t="s">
        <v>267</v>
      </c>
      <c r="O563" s="34"/>
      <c r="P563" s="31">
        <v>4.0</v>
      </c>
      <c r="Q563" s="31" t="s">
        <v>307</v>
      </c>
      <c r="R563" s="32">
        <v>35175.0</v>
      </c>
      <c r="S563" s="31" t="s">
        <v>320</v>
      </c>
      <c r="T563" s="31" t="s">
        <v>1657</v>
      </c>
      <c r="U563" s="31" t="s">
        <v>2735</v>
      </c>
      <c r="V563" s="34"/>
      <c r="W563" s="34"/>
    </row>
    <row r="564">
      <c r="A564" s="30">
        <v>559.0</v>
      </c>
      <c r="B564" s="31" t="s">
        <v>2736</v>
      </c>
      <c r="C564" s="31" t="s">
        <v>1794</v>
      </c>
      <c r="D564" s="31" t="s">
        <v>260</v>
      </c>
      <c r="E564" s="31" t="s">
        <v>2737</v>
      </c>
      <c r="F564" s="32">
        <v>43195.0</v>
      </c>
      <c r="G564" s="32">
        <v>43257.0</v>
      </c>
      <c r="H564" s="31" t="s">
        <v>2732</v>
      </c>
      <c r="I564" s="31" t="s">
        <v>326</v>
      </c>
      <c r="J564" s="31" t="s">
        <v>2737</v>
      </c>
      <c r="K564" s="31" t="s">
        <v>2738</v>
      </c>
      <c r="L564" s="31" t="s">
        <v>431</v>
      </c>
      <c r="M564" s="31" t="s">
        <v>2739</v>
      </c>
      <c r="N564" s="31" t="s">
        <v>267</v>
      </c>
      <c r="O564" s="34"/>
      <c r="P564" s="31">
        <v>5.0</v>
      </c>
      <c r="Q564" s="31" t="s">
        <v>581</v>
      </c>
      <c r="R564" s="32">
        <v>34949.0</v>
      </c>
      <c r="S564" s="31" t="s">
        <v>320</v>
      </c>
      <c r="T564" s="31" t="s">
        <v>2740</v>
      </c>
      <c r="U564" s="31" t="s">
        <v>2735</v>
      </c>
      <c r="V564" s="34"/>
      <c r="W564" s="34"/>
    </row>
    <row r="565">
      <c r="A565" s="30">
        <v>560.0</v>
      </c>
      <c r="B565" s="31" t="s">
        <v>2741</v>
      </c>
      <c r="C565" s="31" t="s">
        <v>2742</v>
      </c>
      <c r="D565" s="31" t="s">
        <v>260</v>
      </c>
      <c r="E565" s="31" t="s">
        <v>324</v>
      </c>
      <c r="F565" s="32">
        <v>43860.0</v>
      </c>
      <c r="G565" s="32">
        <v>43920.0</v>
      </c>
      <c r="H565" s="31" t="s">
        <v>325</v>
      </c>
      <c r="I565" s="31" t="s">
        <v>326</v>
      </c>
      <c r="J565" s="31" t="s">
        <v>324</v>
      </c>
      <c r="K565" s="31" t="s">
        <v>327</v>
      </c>
      <c r="L565" s="31" t="s">
        <v>328</v>
      </c>
      <c r="M565" s="31" t="s">
        <v>2743</v>
      </c>
      <c r="N565" s="31" t="s">
        <v>267</v>
      </c>
      <c r="O565" s="34"/>
      <c r="P565" s="31">
        <v>3.0</v>
      </c>
      <c r="Q565" s="31" t="s">
        <v>307</v>
      </c>
      <c r="R565" s="32">
        <v>35796.0</v>
      </c>
      <c r="S565" s="31" t="s">
        <v>526</v>
      </c>
      <c r="T565" s="31" t="s">
        <v>2744</v>
      </c>
      <c r="U565" s="31" t="s">
        <v>331</v>
      </c>
      <c r="V565" s="34"/>
      <c r="W565" s="34"/>
    </row>
    <row r="566">
      <c r="A566" s="30">
        <v>561.0</v>
      </c>
      <c r="B566" s="31" t="s">
        <v>2745</v>
      </c>
      <c r="C566" s="31" t="s">
        <v>2746</v>
      </c>
      <c r="D566" s="31" t="s">
        <v>260</v>
      </c>
      <c r="E566" s="31" t="s">
        <v>324</v>
      </c>
      <c r="F566" s="35">
        <v>44914.0</v>
      </c>
      <c r="G566" s="32">
        <v>44976.0</v>
      </c>
      <c r="H566" s="31" t="s">
        <v>325</v>
      </c>
      <c r="I566" s="31" t="s">
        <v>326</v>
      </c>
      <c r="J566" s="31" t="s">
        <v>324</v>
      </c>
      <c r="K566" s="31" t="s">
        <v>327</v>
      </c>
      <c r="L566" s="31" t="s">
        <v>328</v>
      </c>
      <c r="M566" s="31" t="s">
        <v>2747</v>
      </c>
      <c r="N566" s="31" t="s">
        <v>267</v>
      </c>
      <c r="O566" s="34"/>
      <c r="P566" s="31">
        <v>3.0</v>
      </c>
      <c r="Q566" s="31" t="s">
        <v>307</v>
      </c>
      <c r="R566" s="32">
        <v>37018.0</v>
      </c>
      <c r="S566" s="31" t="s">
        <v>2057</v>
      </c>
      <c r="T566" s="31" t="s">
        <v>2748</v>
      </c>
      <c r="U566" s="31" t="s">
        <v>331</v>
      </c>
      <c r="V566" s="34"/>
      <c r="W566" s="34"/>
    </row>
    <row r="567">
      <c r="A567" s="30">
        <v>562.0</v>
      </c>
      <c r="B567" s="31" t="s">
        <v>2749</v>
      </c>
      <c r="C567" s="31" t="s">
        <v>2750</v>
      </c>
      <c r="D567" s="31" t="s">
        <v>260</v>
      </c>
      <c r="E567" s="31" t="s">
        <v>324</v>
      </c>
      <c r="F567" s="32">
        <v>44929.0</v>
      </c>
      <c r="G567" s="32">
        <v>44988.0</v>
      </c>
      <c r="H567" s="31" t="s">
        <v>325</v>
      </c>
      <c r="I567" s="31" t="s">
        <v>326</v>
      </c>
      <c r="J567" s="31" t="s">
        <v>324</v>
      </c>
      <c r="K567" s="31" t="s">
        <v>327</v>
      </c>
      <c r="L567" s="31" t="s">
        <v>328</v>
      </c>
      <c r="M567" s="31" t="s">
        <v>2751</v>
      </c>
      <c r="N567" s="31" t="s">
        <v>267</v>
      </c>
      <c r="O567" s="34"/>
      <c r="P567" s="31">
        <v>3.0</v>
      </c>
      <c r="Q567" s="31" t="s">
        <v>307</v>
      </c>
      <c r="R567" s="32">
        <v>37152.0</v>
      </c>
      <c r="S567" s="31" t="s">
        <v>2752</v>
      </c>
      <c r="T567" s="31" t="s">
        <v>2744</v>
      </c>
      <c r="U567" s="31" t="s">
        <v>331</v>
      </c>
      <c r="V567" s="34"/>
      <c r="W567" s="34"/>
    </row>
    <row r="568">
      <c r="A568" s="30">
        <v>563.0</v>
      </c>
      <c r="B568" s="31" t="s">
        <v>2753</v>
      </c>
      <c r="C568" s="31" t="s">
        <v>2754</v>
      </c>
      <c r="D568" s="31" t="s">
        <v>260</v>
      </c>
      <c r="E568" s="31" t="s">
        <v>2737</v>
      </c>
      <c r="F568" s="35">
        <v>44914.0</v>
      </c>
      <c r="G568" s="32">
        <v>44976.0</v>
      </c>
      <c r="H568" s="31" t="s">
        <v>325</v>
      </c>
      <c r="I568" s="31" t="s">
        <v>326</v>
      </c>
      <c r="J568" s="31" t="s">
        <v>2737</v>
      </c>
      <c r="K568" s="31" t="s">
        <v>2755</v>
      </c>
      <c r="L568" s="31" t="s">
        <v>431</v>
      </c>
      <c r="M568" s="31" t="s">
        <v>2756</v>
      </c>
      <c r="N568" s="31" t="s">
        <v>267</v>
      </c>
      <c r="O568" s="34"/>
      <c r="P568" s="31">
        <v>3.0</v>
      </c>
      <c r="Q568" s="31" t="s">
        <v>307</v>
      </c>
      <c r="R568" s="32">
        <v>37083.0</v>
      </c>
      <c r="S568" s="31" t="s">
        <v>2757</v>
      </c>
      <c r="T568" s="31" t="s">
        <v>2748</v>
      </c>
      <c r="U568" s="31" t="s">
        <v>331</v>
      </c>
      <c r="V568" s="34"/>
      <c r="W568" s="34"/>
    </row>
    <row r="569">
      <c r="A569" s="30">
        <v>564.0</v>
      </c>
      <c r="B569" s="31" t="s">
        <v>2758</v>
      </c>
      <c r="C569" s="31" t="s">
        <v>2759</v>
      </c>
      <c r="D569" s="31" t="s">
        <v>260</v>
      </c>
      <c r="E569" s="31" t="s">
        <v>2760</v>
      </c>
      <c r="F569" s="32">
        <v>43558.0</v>
      </c>
      <c r="G569" s="32">
        <v>43619.0</v>
      </c>
      <c r="H569" s="31" t="s">
        <v>325</v>
      </c>
      <c r="I569" s="31" t="s">
        <v>2761</v>
      </c>
      <c r="J569" s="31" t="s">
        <v>2760</v>
      </c>
      <c r="K569" s="31" t="s">
        <v>2762</v>
      </c>
      <c r="L569" s="31" t="s">
        <v>891</v>
      </c>
      <c r="M569" s="31" t="s">
        <v>2763</v>
      </c>
      <c r="N569" s="31" t="s">
        <v>467</v>
      </c>
      <c r="O569" s="34"/>
      <c r="P569" s="31">
        <v>3.0</v>
      </c>
      <c r="Q569" s="31" t="s">
        <v>307</v>
      </c>
      <c r="R569" s="35">
        <v>32127.0</v>
      </c>
      <c r="S569" s="31" t="s">
        <v>560</v>
      </c>
      <c r="T569" s="31" t="s">
        <v>2764</v>
      </c>
      <c r="U569" s="31" t="s">
        <v>331</v>
      </c>
      <c r="V569" s="34"/>
      <c r="W569" s="34"/>
    </row>
    <row r="570">
      <c r="A570" s="30">
        <v>565.0</v>
      </c>
      <c r="B570" s="31" t="s">
        <v>2765</v>
      </c>
      <c r="C570" s="31" t="s">
        <v>2766</v>
      </c>
      <c r="D570" s="31" t="s">
        <v>260</v>
      </c>
      <c r="E570" s="31" t="s">
        <v>2767</v>
      </c>
      <c r="F570" s="32">
        <v>44669.0</v>
      </c>
      <c r="G570" s="32">
        <v>44743.0</v>
      </c>
      <c r="H570" s="31" t="s">
        <v>325</v>
      </c>
      <c r="I570" s="31" t="s">
        <v>2768</v>
      </c>
      <c r="J570" s="31" t="s">
        <v>2767</v>
      </c>
      <c r="K570" s="31" t="s">
        <v>2769</v>
      </c>
      <c r="L570" s="31" t="s">
        <v>392</v>
      </c>
      <c r="M570" s="31" t="s">
        <v>2770</v>
      </c>
      <c r="N570" s="31" t="s">
        <v>267</v>
      </c>
      <c r="O570" s="34"/>
      <c r="P570" s="31">
        <v>3.0</v>
      </c>
      <c r="Q570" s="31" t="s">
        <v>307</v>
      </c>
      <c r="R570" s="32">
        <v>36738.0</v>
      </c>
      <c r="S570" s="31" t="s">
        <v>1041</v>
      </c>
      <c r="T570" s="31" t="s">
        <v>2744</v>
      </c>
      <c r="U570" s="31" t="s">
        <v>331</v>
      </c>
      <c r="V570" s="34"/>
      <c r="W570" s="34"/>
    </row>
    <row r="571">
      <c r="A571" s="30">
        <v>566.0</v>
      </c>
      <c r="B571" s="31" t="s">
        <v>2771</v>
      </c>
      <c r="C571" s="31" t="s">
        <v>2772</v>
      </c>
      <c r="D571" s="31" t="s">
        <v>260</v>
      </c>
      <c r="E571" s="31" t="s">
        <v>2767</v>
      </c>
      <c r="F571" s="32">
        <v>44614.0</v>
      </c>
      <c r="G571" s="32">
        <v>44720.0</v>
      </c>
      <c r="H571" s="31" t="s">
        <v>325</v>
      </c>
      <c r="I571" s="31" t="s">
        <v>2768</v>
      </c>
      <c r="J571" s="31" t="s">
        <v>2767</v>
      </c>
      <c r="K571" s="31" t="s">
        <v>2769</v>
      </c>
      <c r="L571" s="31" t="s">
        <v>392</v>
      </c>
      <c r="M571" s="31" t="s">
        <v>2773</v>
      </c>
      <c r="N571" s="31" t="s">
        <v>267</v>
      </c>
      <c r="O571" s="34"/>
      <c r="P571" s="31">
        <v>3.0</v>
      </c>
      <c r="Q571" s="31" t="s">
        <v>307</v>
      </c>
      <c r="R571" s="35">
        <v>36812.0</v>
      </c>
      <c r="S571" s="31" t="s">
        <v>2774</v>
      </c>
      <c r="T571" s="31" t="s">
        <v>1895</v>
      </c>
      <c r="U571" s="31" t="s">
        <v>331</v>
      </c>
      <c r="V571" s="34"/>
      <c r="W571" s="34"/>
    </row>
    <row r="572">
      <c r="A572" s="30">
        <v>567.0</v>
      </c>
      <c r="B572" s="31" t="s">
        <v>2775</v>
      </c>
      <c r="C572" s="31" t="s">
        <v>2776</v>
      </c>
      <c r="D572" s="31" t="s">
        <v>760</v>
      </c>
      <c r="E572" s="31" t="s">
        <v>153</v>
      </c>
      <c r="F572" s="32">
        <v>43266.0</v>
      </c>
      <c r="G572" s="32">
        <v>43327.0</v>
      </c>
      <c r="H572" s="31" t="s">
        <v>325</v>
      </c>
      <c r="I572" s="31" t="s">
        <v>153</v>
      </c>
      <c r="J572" s="34"/>
      <c r="K572" s="31" t="s">
        <v>2777</v>
      </c>
      <c r="L572" s="31" t="s">
        <v>761</v>
      </c>
      <c r="M572" s="31" t="s">
        <v>2778</v>
      </c>
      <c r="N572" s="31" t="s">
        <v>267</v>
      </c>
      <c r="O572" s="31">
        <v>1.0</v>
      </c>
      <c r="P572" s="31">
        <v>3.0</v>
      </c>
      <c r="Q572" s="31" t="s">
        <v>307</v>
      </c>
      <c r="R572" s="32">
        <v>35065.0</v>
      </c>
      <c r="S572" s="31" t="s">
        <v>864</v>
      </c>
      <c r="T572" s="31" t="s">
        <v>2744</v>
      </c>
      <c r="U572" s="31" t="s">
        <v>331</v>
      </c>
      <c r="V572" s="34"/>
      <c r="W572" s="34"/>
    </row>
    <row r="573">
      <c r="A573" s="30">
        <v>568.0</v>
      </c>
      <c r="B573" s="31" t="s">
        <v>2779</v>
      </c>
      <c r="C573" s="31" t="s">
        <v>2780</v>
      </c>
      <c r="D573" s="31" t="s">
        <v>648</v>
      </c>
      <c r="E573" s="31" t="s">
        <v>2781</v>
      </c>
      <c r="F573" s="35">
        <v>43748.0</v>
      </c>
      <c r="G573" s="35">
        <v>43812.0</v>
      </c>
      <c r="H573" s="31" t="s">
        <v>325</v>
      </c>
      <c r="I573" s="31" t="s">
        <v>153</v>
      </c>
      <c r="J573" s="31" t="s">
        <v>2781</v>
      </c>
      <c r="K573" s="31" t="s">
        <v>2782</v>
      </c>
      <c r="L573" s="31" t="s">
        <v>663</v>
      </c>
      <c r="M573" s="31" t="s">
        <v>2783</v>
      </c>
      <c r="N573" s="31" t="s">
        <v>267</v>
      </c>
      <c r="O573" s="34"/>
      <c r="P573" s="31">
        <v>6.0</v>
      </c>
      <c r="Q573" s="31" t="s">
        <v>307</v>
      </c>
      <c r="R573" s="32">
        <v>35637.0</v>
      </c>
      <c r="S573" s="31" t="s">
        <v>2784</v>
      </c>
      <c r="T573" s="31" t="s">
        <v>1895</v>
      </c>
      <c r="U573" s="31" t="s">
        <v>331</v>
      </c>
      <c r="V573" s="34"/>
      <c r="W573" s="34"/>
    </row>
    <row r="574">
      <c r="A574" s="30">
        <v>569.0</v>
      </c>
      <c r="B574" s="31" t="s">
        <v>2785</v>
      </c>
      <c r="C574" s="31" t="s">
        <v>2786</v>
      </c>
      <c r="D574" s="31" t="s">
        <v>648</v>
      </c>
      <c r="E574" s="31" t="s">
        <v>1636</v>
      </c>
      <c r="F574" s="32">
        <v>44565.0</v>
      </c>
      <c r="G574" s="32">
        <v>44624.0</v>
      </c>
      <c r="H574" s="31" t="s">
        <v>325</v>
      </c>
      <c r="I574" s="31" t="s">
        <v>153</v>
      </c>
      <c r="J574" s="31" t="s">
        <v>1636</v>
      </c>
      <c r="K574" s="31" t="s">
        <v>2787</v>
      </c>
      <c r="L574" s="31" t="s">
        <v>651</v>
      </c>
      <c r="M574" s="31" t="s">
        <v>2788</v>
      </c>
      <c r="N574" s="31" t="s">
        <v>267</v>
      </c>
      <c r="O574" s="34"/>
      <c r="P574" s="31">
        <v>4.0</v>
      </c>
      <c r="Q574" s="31" t="s">
        <v>307</v>
      </c>
      <c r="R574" s="32">
        <v>36294.0</v>
      </c>
      <c r="S574" s="31" t="s">
        <v>531</v>
      </c>
      <c r="T574" s="31" t="s">
        <v>1895</v>
      </c>
      <c r="U574" s="31" t="s">
        <v>331</v>
      </c>
      <c r="V574" s="34"/>
      <c r="W574" s="34"/>
    </row>
    <row r="575">
      <c r="A575" s="30">
        <v>570.0</v>
      </c>
      <c r="B575" s="31" t="s">
        <v>2789</v>
      </c>
      <c r="C575" s="31" t="s">
        <v>2790</v>
      </c>
      <c r="D575" s="31" t="s">
        <v>1208</v>
      </c>
      <c r="E575" s="31" t="s">
        <v>2791</v>
      </c>
      <c r="F575" s="32">
        <v>42948.0</v>
      </c>
      <c r="G575" s="32">
        <v>43009.0</v>
      </c>
      <c r="H575" s="31" t="s">
        <v>325</v>
      </c>
      <c r="I575" s="31" t="s">
        <v>2791</v>
      </c>
      <c r="J575" s="34"/>
      <c r="K575" s="31" t="s">
        <v>2792</v>
      </c>
      <c r="L575" s="31" t="s">
        <v>1211</v>
      </c>
      <c r="M575" s="31" t="s">
        <v>2793</v>
      </c>
      <c r="N575" s="31" t="s">
        <v>267</v>
      </c>
      <c r="O575" s="34"/>
      <c r="P575" s="31">
        <v>2.0</v>
      </c>
      <c r="Q575" s="31" t="s">
        <v>307</v>
      </c>
      <c r="R575" s="32">
        <v>34856.0</v>
      </c>
      <c r="S575" s="31" t="s">
        <v>864</v>
      </c>
      <c r="T575" s="31" t="s">
        <v>1895</v>
      </c>
      <c r="U575" s="31" t="s">
        <v>331</v>
      </c>
      <c r="V575" s="34"/>
      <c r="W575" s="34"/>
    </row>
    <row r="576">
      <c r="A576" s="30">
        <v>571.0</v>
      </c>
      <c r="B576" s="31" t="s">
        <v>2794</v>
      </c>
      <c r="C576" s="31" t="s">
        <v>2795</v>
      </c>
      <c r="D576" s="31" t="s">
        <v>1219</v>
      </c>
      <c r="E576" s="31" t="s">
        <v>2796</v>
      </c>
      <c r="F576" s="32">
        <v>44623.0</v>
      </c>
      <c r="G576" s="32">
        <v>44683.0</v>
      </c>
      <c r="H576" s="31" t="s">
        <v>2732</v>
      </c>
      <c r="I576" s="31" t="s">
        <v>2797</v>
      </c>
      <c r="J576" s="31" t="s">
        <v>2796</v>
      </c>
      <c r="K576" s="31" t="s">
        <v>2798</v>
      </c>
      <c r="L576" s="31" t="s">
        <v>1223</v>
      </c>
      <c r="M576" s="31" t="s">
        <v>2799</v>
      </c>
      <c r="N576" s="31" t="s">
        <v>267</v>
      </c>
      <c r="O576" s="34"/>
      <c r="P576" s="31">
        <v>2.0</v>
      </c>
      <c r="Q576" s="31" t="s">
        <v>307</v>
      </c>
      <c r="R576" s="32">
        <v>36062.0</v>
      </c>
      <c r="S576" s="31" t="s">
        <v>320</v>
      </c>
      <c r="T576" s="31" t="s">
        <v>2800</v>
      </c>
      <c r="U576" s="31" t="s">
        <v>2735</v>
      </c>
      <c r="V576" s="34"/>
      <c r="W576" s="34"/>
    </row>
    <row r="577">
      <c r="A577" s="30">
        <v>572.0</v>
      </c>
      <c r="B577" s="31" t="s">
        <v>2801</v>
      </c>
      <c r="C577" s="31" t="s">
        <v>2802</v>
      </c>
      <c r="D577" s="31" t="s">
        <v>260</v>
      </c>
      <c r="E577" s="31" t="s">
        <v>2767</v>
      </c>
      <c r="F577" s="35">
        <v>44135.0</v>
      </c>
      <c r="G577" s="32">
        <v>44197.0</v>
      </c>
      <c r="H577" s="31" t="s">
        <v>325</v>
      </c>
      <c r="I577" s="31" t="s">
        <v>2768</v>
      </c>
      <c r="J577" s="31" t="s">
        <v>2767</v>
      </c>
      <c r="K577" s="31" t="s">
        <v>2769</v>
      </c>
      <c r="L577" s="31" t="s">
        <v>392</v>
      </c>
      <c r="M577" s="31" t="s">
        <v>2803</v>
      </c>
      <c r="N577" s="31" t="s">
        <v>467</v>
      </c>
      <c r="O577" s="34"/>
      <c r="P577" s="31">
        <v>3.0</v>
      </c>
      <c r="Q577" s="31" t="s">
        <v>307</v>
      </c>
      <c r="R577" s="35">
        <v>36082.0</v>
      </c>
      <c r="S577" s="31" t="s">
        <v>917</v>
      </c>
      <c r="T577" s="31" t="s">
        <v>2764</v>
      </c>
      <c r="U577" s="31" t="s">
        <v>331</v>
      </c>
      <c r="V577" s="34"/>
      <c r="W577" s="34"/>
    </row>
    <row r="578">
      <c r="A578" s="30">
        <v>573.0</v>
      </c>
      <c r="B578" s="31" t="s">
        <v>2804</v>
      </c>
      <c r="C578" s="31" t="s">
        <v>2805</v>
      </c>
      <c r="D578" s="31" t="s">
        <v>925</v>
      </c>
      <c r="E578" s="31" t="s">
        <v>1985</v>
      </c>
      <c r="F578" s="32">
        <v>45414.0</v>
      </c>
      <c r="G578" s="33"/>
      <c r="H578" s="31" t="s">
        <v>262</v>
      </c>
      <c r="I578" s="31" t="s">
        <v>275</v>
      </c>
      <c r="J578" s="31" t="s">
        <v>2029</v>
      </c>
      <c r="K578" s="31" t="s">
        <v>2070</v>
      </c>
      <c r="L578" s="31" t="s">
        <v>929</v>
      </c>
      <c r="M578" s="31" t="s">
        <v>2806</v>
      </c>
      <c r="N578" s="31" t="s">
        <v>267</v>
      </c>
      <c r="O578" s="34"/>
      <c r="P578" s="31">
        <v>1.0</v>
      </c>
      <c r="Q578" s="31" t="s">
        <v>268</v>
      </c>
      <c r="R578" s="32">
        <v>35565.0</v>
      </c>
      <c r="S578" s="31" t="s">
        <v>2380</v>
      </c>
      <c r="T578" s="31" t="s">
        <v>2807</v>
      </c>
      <c r="U578" s="31" t="s">
        <v>271</v>
      </c>
      <c r="V578" s="31" t="s">
        <v>1985</v>
      </c>
      <c r="W578" s="34"/>
    </row>
    <row r="579">
      <c r="A579" s="30">
        <v>574.0</v>
      </c>
      <c r="B579" s="31" t="s">
        <v>2808</v>
      </c>
      <c r="C579" s="31" t="s">
        <v>2809</v>
      </c>
      <c r="D579" s="31" t="s">
        <v>506</v>
      </c>
      <c r="E579" s="31" t="s">
        <v>2810</v>
      </c>
      <c r="F579" s="32">
        <v>44363.0</v>
      </c>
      <c r="G579" s="32">
        <v>44508.0</v>
      </c>
      <c r="H579" s="31" t="s">
        <v>2811</v>
      </c>
      <c r="I579" s="31" t="s">
        <v>2810</v>
      </c>
      <c r="J579" s="34"/>
      <c r="K579" s="31" t="s">
        <v>2812</v>
      </c>
      <c r="L579" s="31" t="s">
        <v>508</v>
      </c>
      <c r="M579" s="31" t="s">
        <v>2813</v>
      </c>
      <c r="N579" s="31" t="s">
        <v>267</v>
      </c>
      <c r="O579" s="34"/>
      <c r="P579" s="31">
        <v>3.0</v>
      </c>
      <c r="Q579" s="31" t="s">
        <v>307</v>
      </c>
      <c r="R579" s="32">
        <v>35683.0</v>
      </c>
      <c r="S579" s="31" t="s">
        <v>531</v>
      </c>
      <c r="T579" s="31" t="s">
        <v>947</v>
      </c>
      <c r="U579" s="31" t="s">
        <v>583</v>
      </c>
      <c r="V579" s="34"/>
      <c r="W579" s="34"/>
    </row>
    <row r="580">
      <c r="A580" s="30">
        <v>575.0</v>
      </c>
      <c r="B580" s="31" t="s">
        <v>2814</v>
      </c>
      <c r="C580" s="31" t="s">
        <v>2815</v>
      </c>
      <c r="D580" s="31" t="s">
        <v>574</v>
      </c>
      <c r="E580" s="31" t="s">
        <v>2816</v>
      </c>
      <c r="F580" s="32">
        <v>43238.0</v>
      </c>
      <c r="G580" s="32">
        <v>43299.0</v>
      </c>
      <c r="H580" s="31" t="s">
        <v>576</v>
      </c>
      <c r="I580" s="31" t="s">
        <v>2817</v>
      </c>
      <c r="J580" s="31" t="s">
        <v>2816</v>
      </c>
      <c r="K580" s="31" t="s">
        <v>2818</v>
      </c>
      <c r="L580" s="31" t="s">
        <v>579</v>
      </c>
      <c r="M580" s="31" t="s">
        <v>2819</v>
      </c>
      <c r="N580" s="31" t="s">
        <v>267</v>
      </c>
      <c r="O580" s="34"/>
      <c r="P580" s="31">
        <v>6.0</v>
      </c>
      <c r="Q580" s="31" t="s">
        <v>307</v>
      </c>
      <c r="R580" s="32">
        <v>33770.0</v>
      </c>
      <c r="S580" s="31" t="s">
        <v>531</v>
      </c>
      <c r="T580" s="31" t="s">
        <v>2820</v>
      </c>
      <c r="U580" s="31" t="s">
        <v>2821</v>
      </c>
      <c r="V580" s="34"/>
      <c r="W580" s="34"/>
    </row>
    <row r="581">
      <c r="A581" s="30">
        <v>576.0</v>
      </c>
      <c r="B581" s="31" t="s">
        <v>2822</v>
      </c>
      <c r="C581" s="31" t="s">
        <v>2823</v>
      </c>
      <c r="D581" s="31" t="s">
        <v>260</v>
      </c>
      <c r="E581" s="31" t="s">
        <v>1780</v>
      </c>
      <c r="F581" s="32">
        <v>45406.0</v>
      </c>
      <c r="G581" s="33"/>
      <c r="H581" s="31" t="s">
        <v>262</v>
      </c>
      <c r="I581" s="31" t="s">
        <v>263</v>
      </c>
      <c r="J581" s="31" t="s">
        <v>356</v>
      </c>
      <c r="K581" s="31" t="s">
        <v>1781</v>
      </c>
      <c r="L581" s="31" t="s">
        <v>328</v>
      </c>
      <c r="M581" s="31" t="s">
        <v>2824</v>
      </c>
      <c r="N581" s="31" t="s">
        <v>267</v>
      </c>
      <c r="O581" s="34"/>
      <c r="P581" s="31">
        <v>1.0</v>
      </c>
      <c r="Q581" s="31" t="s">
        <v>268</v>
      </c>
      <c r="R581" s="32">
        <v>36978.0</v>
      </c>
      <c r="S581" s="31" t="s">
        <v>320</v>
      </c>
      <c r="T581" s="31" t="s">
        <v>527</v>
      </c>
      <c r="U581" s="31" t="s">
        <v>271</v>
      </c>
      <c r="V581" s="31" t="s">
        <v>1780</v>
      </c>
      <c r="W581" s="34"/>
    </row>
    <row r="582">
      <c r="A582" s="30">
        <v>577.0</v>
      </c>
      <c r="B582" s="31" t="s">
        <v>2825</v>
      </c>
      <c r="C582" s="31" t="s">
        <v>2826</v>
      </c>
      <c r="D582" s="31" t="s">
        <v>260</v>
      </c>
      <c r="E582" s="31" t="s">
        <v>295</v>
      </c>
      <c r="F582" s="32">
        <v>45414.0</v>
      </c>
      <c r="G582" s="33"/>
      <c r="H582" s="31" t="s">
        <v>262</v>
      </c>
      <c r="I582" s="31" t="s">
        <v>275</v>
      </c>
      <c r="J582" s="31" t="s">
        <v>295</v>
      </c>
      <c r="K582" s="31" t="s">
        <v>296</v>
      </c>
      <c r="L582" s="31" t="s">
        <v>297</v>
      </c>
      <c r="M582" s="31" t="s">
        <v>2827</v>
      </c>
      <c r="N582" s="31" t="s">
        <v>467</v>
      </c>
      <c r="O582" s="34"/>
      <c r="P582" s="34"/>
      <c r="Q582" s="31" t="s">
        <v>268</v>
      </c>
      <c r="R582" s="32">
        <v>37346.0</v>
      </c>
      <c r="S582" s="31" t="s">
        <v>286</v>
      </c>
      <c r="T582" s="31" t="s">
        <v>2491</v>
      </c>
      <c r="U582" s="31" t="s">
        <v>271</v>
      </c>
      <c r="V582" s="34"/>
      <c r="W582" s="34"/>
    </row>
    <row r="583">
      <c r="A583" s="30">
        <v>578.0</v>
      </c>
      <c r="B583" s="31" t="s">
        <v>2828</v>
      </c>
      <c r="C583" s="31" t="s">
        <v>862</v>
      </c>
      <c r="D583" s="31" t="s">
        <v>260</v>
      </c>
      <c r="E583" s="31" t="s">
        <v>295</v>
      </c>
      <c r="F583" s="32">
        <v>45406.0</v>
      </c>
      <c r="G583" s="33"/>
      <c r="H583" s="31" t="s">
        <v>262</v>
      </c>
      <c r="I583" s="31" t="s">
        <v>275</v>
      </c>
      <c r="J583" s="31" t="s">
        <v>295</v>
      </c>
      <c r="K583" s="31" t="s">
        <v>296</v>
      </c>
      <c r="L583" s="31" t="s">
        <v>297</v>
      </c>
      <c r="M583" s="31" t="s">
        <v>2829</v>
      </c>
      <c r="N583" s="31" t="s">
        <v>267</v>
      </c>
      <c r="O583" s="34"/>
      <c r="P583" s="31">
        <v>1.0</v>
      </c>
      <c r="Q583" s="31" t="s">
        <v>268</v>
      </c>
      <c r="R583" s="32">
        <v>37537.0</v>
      </c>
      <c r="S583" s="31" t="s">
        <v>2830</v>
      </c>
      <c r="T583" s="31" t="s">
        <v>2831</v>
      </c>
      <c r="U583" s="31" t="s">
        <v>271</v>
      </c>
      <c r="V583" s="34"/>
      <c r="W583" s="34"/>
    </row>
    <row r="584">
      <c r="A584" s="30">
        <v>579.0</v>
      </c>
      <c r="B584" s="31" t="s">
        <v>2832</v>
      </c>
      <c r="C584" s="31" t="s">
        <v>2833</v>
      </c>
      <c r="D584" s="31" t="s">
        <v>472</v>
      </c>
      <c r="E584" s="31" t="s">
        <v>2834</v>
      </c>
      <c r="F584" s="32">
        <v>45355.0</v>
      </c>
      <c r="G584" s="32">
        <v>45415.0</v>
      </c>
      <c r="H584" s="31" t="s">
        <v>453</v>
      </c>
      <c r="I584" s="31" t="s">
        <v>2835</v>
      </c>
      <c r="J584" s="31" t="s">
        <v>2836</v>
      </c>
      <c r="K584" s="31" t="s">
        <v>2837</v>
      </c>
      <c r="L584" s="31" t="s">
        <v>476</v>
      </c>
      <c r="M584" s="31" t="s">
        <v>2838</v>
      </c>
      <c r="N584" s="31" t="s">
        <v>467</v>
      </c>
      <c r="O584" s="34"/>
      <c r="P584" s="34"/>
      <c r="Q584" s="31" t="s">
        <v>307</v>
      </c>
      <c r="R584" s="32">
        <v>36135.0</v>
      </c>
      <c r="S584" s="31" t="s">
        <v>502</v>
      </c>
      <c r="T584" s="31" t="s">
        <v>469</v>
      </c>
      <c r="U584" s="31" t="s">
        <v>480</v>
      </c>
      <c r="V584" s="31" t="s">
        <v>2834</v>
      </c>
      <c r="W584" s="34"/>
    </row>
    <row r="585">
      <c r="A585" s="30">
        <v>580.0</v>
      </c>
      <c r="B585" s="31" t="s">
        <v>2839</v>
      </c>
      <c r="C585" s="31" t="s">
        <v>1482</v>
      </c>
      <c r="D585" s="31" t="s">
        <v>2840</v>
      </c>
      <c r="E585" s="31" t="s">
        <v>2841</v>
      </c>
      <c r="F585" s="32">
        <v>40302.0</v>
      </c>
      <c r="G585" s="32">
        <v>40363.0</v>
      </c>
      <c r="H585" s="31" t="s">
        <v>453</v>
      </c>
      <c r="I585" s="31" t="s">
        <v>2841</v>
      </c>
      <c r="J585" s="34"/>
      <c r="K585" s="31" t="s">
        <v>2842</v>
      </c>
      <c r="L585" s="31" t="s">
        <v>2843</v>
      </c>
      <c r="M585" s="31" t="s">
        <v>2844</v>
      </c>
      <c r="N585" s="31" t="s">
        <v>267</v>
      </c>
      <c r="O585" s="34"/>
      <c r="P585" s="34"/>
      <c r="Q585" s="31" t="s">
        <v>581</v>
      </c>
      <c r="R585" s="35">
        <v>32131.0</v>
      </c>
      <c r="S585" s="31" t="s">
        <v>1332</v>
      </c>
      <c r="T585" s="31" t="s">
        <v>2845</v>
      </c>
      <c r="U585" s="31" t="s">
        <v>271</v>
      </c>
      <c r="V585" s="34"/>
      <c r="W585" s="34"/>
    </row>
    <row r="586">
      <c r="A586" s="30">
        <v>581.0</v>
      </c>
      <c r="B586" s="31" t="s">
        <v>2846</v>
      </c>
      <c r="C586" s="31" t="s">
        <v>2847</v>
      </c>
      <c r="D586" s="31" t="s">
        <v>574</v>
      </c>
      <c r="E586" s="31" t="s">
        <v>2848</v>
      </c>
      <c r="F586" s="32">
        <v>45376.0</v>
      </c>
      <c r="G586" s="33"/>
      <c r="H586" s="31" t="s">
        <v>576</v>
      </c>
      <c r="I586" s="31" t="s">
        <v>2817</v>
      </c>
      <c r="J586" s="31" t="s">
        <v>2848</v>
      </c>
      <c r="K586" s="31" t="s">
        <v>2849</v>
      </c>
      <c r="L586" s="31" t="s">
        <v>579</v>
      </c>
      <c r="M586" s="31" t="s">
        <v>2850</v>
      </c>
      <c r="N586" s="31" t="s">
        <v>267</v>
      </c>
      <c r="O586" s="34"/>
      <c r="P586" s="31">
        <v>1.0</v>
      </c>
      <c r="Q586" s="31" t="s">
        <v>268</v>
      </c>
      <c r="R586" s="35">
        <v>37619.0</v>
      </c>
      <c r="S586" s="31" t="s">
        <v>2851</v>
      </c>
      <c r="T586" s="31" t="s">
        <v>839</v>
      </c>
      <c r="U586" s="31" t="s">
        <v>2821</v>
      </c>
      <c r="V586" s="34"/>
      <c r="W586" s="34"/>
    </row>
    <row r="587">
      <c r="A587" s="30">
        <v>582.0</v>
      </c>
      <c r="B587" s="31" t="s">
        <v>2852</v>
      </c>
      <c r="C587" s="31" t="s">
        <v>2853</v>
      </c>
      <c r="D587" s="31" t="s">
        <v>574</v>
      </c>
      <c r="E587" s="31" t="s">
        <v>2816</v>
      </c>
      <c r="F587" s="32">
        <v>43664.0</v>
      </c>
      <c r="G587" s="32">
        <v>43726.0</v>
      </c>
      <c r="H587" s="31" t="s">
        <v>576</v>
      </c>
      <c r="I587" s="31" t="s">
        <v>2817</v>
      </c>
      <c r="J587" s="31" t="s">
        <v>2816</v>
      </c>
      <c r="K587" s="31" t="s">
        <v>2818</v>
      </c>
      <c r="L587" s="31" t="s">
        <v>579</v>
      </c>
      <c r="M587" s="31" t="s">
        <v>2854</v>
      </c>
      <c r="N587" s="31" t="s">
        <v>267</v>
      </c>
      <c r="O587" s="34"/>
      <c r="P587" s="31">
        <v>6.0</v>
      </c>
      <c r="Q587" s="31" t="s">
        <v>307</v>
      </c>
      <c r="R587" s="32">
        <v>35653.0</v>
      </c>
      <c r="S587" s="31" t="s">
        <v>531</v>
      </c>
      <c r="T587" s="31" t="s">
        <v>2855</v>
      </c>
      <c r="U587" s="31" t="s">
        <v>2821</v>
      </c>
      <c r="V587" s="34"/>
      <c r="W587" s="34"/>
    </row>
    <row r="588">
      <c r="A588" s="30">
        <v>583.0</v>
      </c>
      <c r="B588" s="31" t="s">
        <v>2856</v>
      </c>
      <c r="C588" s="31" t="s">
        <v>2857</v>
      </c>
      <c r="D588" s="31" t="s">
        <v>260</v>
      </c>
      <c r="E588" s="31" t="s">
        <v>2858</v>
      </c>
      <c r="F588" s="32">
        <v>45385.0</v>
      </c>
      <c r="G588" s="33"/>
      <c r="H588" s="31" t="s">
        <v>2732</v>
      </c>
      <c r="I588" s="31" t="s">
        <v>2768</v>
      </c>
      <c r="J588" s="31" t="s">
        <v>2858</v>
      </c>
      <c r="K588" s="31" t="s">
        <v>2859</v>
      </c>
      <c r="L588" s="31" t="s">
        <v>392</v>
      </c>
      <c r="M588" s="31" t="s">
        <v>2860</v>
      </c>
      <c r="N588" s="31" t="s">
        <v>267</v>
      </c>
      <c r="O588" s="34"/>
      <c r="P588" s="31">
        <v>1.0</v>
      </c>
      <c r="Q588" s="31" t="s">
        <v>268</v>
      </c>
      <c r="R588" s="32">
        <v>36015.0</v>
      </c>
      <c r="S588" s="31" t="s">
        <v>320</v>
      </c>
      <c r="T588" s="31" t="s">
        <v>292</v>
      </c>
      <c r="U588" s="31" t="s">
        <v>2735</v>
      </c>
      <c r="V588" s="34"/>
      <c r="W588" s="34"/>
    </row>
    <row r="589">
      <c r="A589" s="30">
        <v>584.0</v>
      </c>
      <c r="B589" s="31" t="s">
        <v>2861</v>
      </c>
      <c r="C589" s="31" t="s">
        <v>2862</v>
      </c>
      <c r="D589" s="31" t="s">
        <v>260</v>
      </c>
      <c r="E589" s="31" t="s">
        <v>902</v>
      </c>
      <c r="F589" s="32">
        <v>45348.0</v>
      </c>
      <c r="G589" s="32">
        <v>45408.0</v>
      </c>
      <c r="H589" s="31" t="s">
        <v>346</v>
      </c>
      <c r="I589" s="31" t="s">
        <v>93</v>
      </c>
      <c r="J589" s="31" t="s">
        <v>903</v>
      </c>
      <c r="K589" s="31" t="s">
        <v>904</v>
      </c>
      <c r="L589" s="31" t="s">
        <v>905</v>
      </c>
      <c r="M589" s="31" t="s">
        <v>2863</v>
      </c>
      <c r="N589" s="31" t="s">
        <v>467</v>
      </c>
      <c r="O589" s="34"/>
      <c r="P589" s="31">
        <v>1.0</v>
      </c>
      <c r="Q589" s="31" t="s">
        <v>307</v>
      </c>
      <c r="R589" s="32">
        <v>36314.0</v>
      </c>
      <c r="S589" s="31" t="s">
        <v>917</v>
      </c>
      <c r="T589" s="31" t="s">
        <v>2864</v>
      </c>
      <c r="U589" s="31" t="s">
        <v>352</v>
      </c>
      <c r="V589" s="31" t="s">
        <v>902</v>
      </c>
      <c r="W589" s="34"/>
    </row>
    <row r="590">
      <c r="A590" s="30">
        <v>585.0</v>
      </c>
      <c r="B590" s="31" t="s">
        <v>2865</v>
      </c>
      <c r="C590" s="31" t="s">
        <v>2866</v>
      </c>
      <c r="D590" s="31" t="s">
        <v>2867</v>
      </c>
      <c r="E590" s="31" t="s">
        <v>2463</v>
      </c>
      <c r="F590" s="32">
        <v>45352.0</v>
      </c>
      <c r="G590" s="32">
        <v>45412.0</v>
      </c>
      <c r="H590" s="31" t="s">
        <v>303</v>
      </c>
      <c r="I590" s="31" t="s">
        <v>2463</v>
      </c>
      <c r="J590" s="34"/>
      <c r="K590" s="31" t="s">
        <v>2868</v>
      </c>
      <c r="L590" s="31" t="s">
        <v>2869</v>
      </c>
      <c r="M590" s="31" t="s">
        <v>2870</v>
      </c>
      <c r="N590" s="31" t="s">
        <v>467</v>
      </c>
      <c r="O590" s="34"/>
      <c r="P590" s="34"/>
      <c r="Q590" s="31" t="s">
        <v>307</v>
      </c>
      <c r="R590" s="32">
        <v>28568.0</v>
      </c>
      <c r="S590" s="34"/>
      <c r="T590" s="31" t="s">
        <v>2871</v>
      </c>
      <c r="U590" s="31" t="s">
        <v>310</v>
      </c>
      <c r="V590" s="34"/>
      <c r="W590" s="34"/>
    </row>
    <row r="591">
      <c r="A591" s="30">
        <v>586.0</v>
      </c>
      <c r="B591" s="31" t="s">
        <v>2872</v>
      </c>
      <c r="C591" s="31" t="s">
        <v>2873</v>
      </c>
      <c r="D591" s="31" t="s">
        <v>472</v>
      </c>
      <c r="E591" s="31" t="s">
        <v>2874</v>
      </c>
      <c r="F591" s="32">
        <v>45391.0</v>
      </c>
      <c r="G591" s="33"/>
      <c r="H591" s="31" t="s">
        <v>453</v>
      </c>
      <c r="I591" s="31" t="s">
        <v>52</v>
      </c>
      <c r="J591" s="31" t="s">
        <v>2874</v>
      </c>
      <c r="K591" s="31" t="s">
        <v>2875</v>
      </c>
      <c r="L591" s="31" t="s">
        <v>476</v>
      </c>
      <c r="M591" s="31" t="s">
        <v>2876</v>
      </c>
      <c r="N591" s="31" t="s">
        <v>467</v>
      </c>
      <c r="O591" s="34"/>
      <c r="P591" s="34"/>
      <c r="Q591" s="31" t="s">
        <v>268</v>
      </c>
      <c r="R591" s="35">
        <v>37588.0</v>
      </c>
      <c r="S591" s="31" t="s">
        <v>591</v>
      </c>
      <c r="T591" s="31" t="s">
        <v>2877</v>
      </c>
      <c r="U591" s="31" t="s">
        <v>643</v>
      </c>
      <c r="V591" s="34"/>
      <c r="W591" s="34"/>
    </row>
    <row r="592">
      <c r="A592" s="30">
        <v>587.0</v>
      </c>
      <c r="B592" s="31" t="s">
        <v>2878</v>
      </c>
      <c r="C592" s="31" t="s">
        <v>2879</v>
      </c>
      <c r="D592" s="31" t="s">
        <v>472</v>
      </c>
      <c r="E592" s="31" t="s">
        <v>2874</v>
      </c>
      <c r="F592" s="32">
        <v>45391.0</v>
      </c>
      <c r="G592" s="33"/>
      <c r="H592" s="31" t="s">
        <v>453</v>
      </c>
      <c r="I592" s="31" t="s">
        <v>52</v>
      </c>
      <c r="J592" s="31" t="s">
        <v>2874</v>
      </c>
      <c r="K592" s="31" t="s">
        <v>2875</v>
      </c>
      <c r="L592" s="31" t="s">
        <v>476</v>
      </c>
      <c r="M592" s="31" t="s">
        <v>2880</v>
      </c>
      <c r="N592" s="31" t="s">
        <v>467</v>
      </c>
      <c r="O592" s="34"/>
      <c r="P592" s="34"/>
      <c r="Q592" s="31" t="s">
        <v>268</v>
      </c>
      <c r="R592" s="32">
        <v>35826.0</v>
      </c>
      <c r="S592" s="31" t="s">
        <v>1622</v>
      </c>
      <c r="T592" s="31" t="s">
        <v>1421</v>
      </c>
      <c r="U592" s="31" t="s">
        <v>643</v>
      </c>
      <c r="V592" s="34"/>
      <c r="W592" s="34"/>
    </row>
    <row r="593">
      <c r="A593" s="30">
        <v>588.0</v>
      </c>
      <c r="B593" s="31" t="s">
        <v>2881</v>
      </c>
      <c r="C593" s="31" t="s">
        <v>2882</v>
      </c>
      <c r="D593" s="31" t="s">
        <v>472</v>
      </c>
      <c r="E593" s="31" t="s">
        <v>554</v>
      </c>
      <c r="F593" s="32">
        <v>45391.0</v>
      </c>
      <c r="G593" s="33"/>
      <c r="H593" s="31" t="s">
        <v>453</v>
      </c>
      <c r="I593" s="31" t="s">
        <v>555</v>
      </c>
      <c r="J593" s="31" t="s">
        <v>556</v>
      </c>
      <c r="K593" s="31" t="s">
        <v>557</v>
      </c>
      <c r="L593" s="31" t="s">
        <v>476</v>
      </c>
      <c r="M593" s="31" t="s">
        <v>2883</v>
      </c>
      <c r="N593" s="31" t="s">
        <v>467</v>
      </c>
      <c r="O593" s="34"/>
      <c r="P593" s="34"/>
      <c r="Q593" s="31" t="s">
        <v>268</v>
      </c>
      <c r="R593" s="32">
        <v>37312.0</v>
      </c>
      <c r="S593" s="31" t="s">
        <v>2884</v>
      </c>
      <c r="T593" s="31" t="s">
        <v>642</v>
      </c>
      <c r="U593" s="31" t="s">
        <v>480</v>
      </c>
      <c r="V593" s="31" t="s">
        <v>554</v>
      </c>
      <c r="W593" s="34"/>
    </row>
    <row r="594">
      <c r="A594" s="30">
        <v>589.0</v>
      </c>
      <c r="B594" s="31" t="s">
        <v>2885</v>
      </c>
      <c r="C594" s="31" t="s">
        <v>2886</v>
      </c>
      <c r="D594" s="31" t="s">
        <v>452</v>
      </c>
      <c r="E594" s="31" t="s">
        <v>2887</v>
      </c>
      <c r="F594" s="32">
        <v>45376.0</v>
      </c>
      <c r="G594" s="33"/>
      <c r="H594" s="31" t="s">
        <v>453</v>
      </c>
      <c r="I594" s="31" t="s">
        <v>566</v>
      </c>
      <c r="J594" s="31" t="s">
        <v>2888</v>
      </c>
      <c r="K594" s="31" t="s">
        <v>2889</v>
      </c>
      <c r="L594" s="31" t="s">
        <v>456</v>
      </c>
      <c r="M594" s="31" t="s">
        <v>2890</v>
      </c>
      <c r="N594" s="31" t="s">
        <v>267</v>
      </c>
      <c r="O594" s="34"/>
      <c r="P594" s="34"/>
      <c r="Q594" s="31" t="s">
        <v>268</v>
      </c>
      <c r="R594" s="32">
        <v>36694.0</v>
      </c>
      <c r="S594" s="31" t="s">
        <v>515</v>
      </c>
      <c r="T594" s="31" t="s">
        <v>496</v>
      </c>
      <c r="U594" s="31" t="s">
        <v>480</v>
      </c>
      <c r="V594" s="31" t="s">
        <v>2887</v>
      </c>
      <c r="W594" s="34"/>
    </row>
    <row r="595">
      <c r="A595" s="30">
        <v>590.0</v>
      </c>
      <c r="B595" s="31" t="s">
        <v>2891</v>
      </c>
      <c r="C595" s="31" t="s">
        <v>2892</v>
      </c>
      <c r="D595" s="31" t="s">
        <v>472</v>
      </c>
      <c r="E595" s="31" t="s">
        <v>2893</v>
      </c>
      <c r="F595" s="32">
        <v>45355.0</v>
      </c>
      <c r="G595" s="32">
        <v>45415.0</v>
      </c>
      <c r="H595" s="31" t="s">
        <v>453</v>
      </c>
      <c r="I595" s="31" t="s">
        <v>566</v>
      </c>
      <c r="J595" s="31" t="s">
        <v>2888</v>
      </c>
      <c r="K595" s="31" t="s">
        <v>2894</v>
      </c>
      <c r="L595" s="31" t="s">
        <v>476</v>
      </c>
      <c r="M595" s="31" t="s">
        <v>2895</v>
      </c>
      <c r="N595" s="31" t="s">
        <v>467</v>
      </c>
      <c r="O595" s="34"/>
      <c r="P595" s="34"/>
      <c r="Q595" s="31" t="s">
        <v>307</v>
      </c>
      <c r="R595" s="35">
        <v>37586.0</v>
      </c>
      <c r="S595" s="31" t="s">
        <v>2896</v>
      </c>
      <c r="T595" s="31" t="s">
        <v>592</v>
      </c>
      <c r="U595" s="31" t="s">
        <v>480</v>
      </c>
      <c r="V595" s="31" t="s">
        <v>2893</v>
      </c>
      <c r="W595" s="34"/>
    </row>
    <row r="596">
      <c r="A596" s="30">
        <v>591.0</v>
      </c>
      <c r="B596" s="31" t="s">
        <v>2897</v>
      </c>
      <c r="C596" s="31" t="s">
        <v>2898</v>
      </c>
      <c r="D596" s="31" t="s">
        <v>499</v>
      </c>
      <c r="E596" s="31" t="s">
        <v>2893</v>
      </c>
      <c r="F596" s="32">
        <v>44203.0</v>
      </c>
      <c r="G596" s="32">
        <v>44262.0</v>
      </c>
      <c r="H596" s="31" t="s">
        <v>453</v>
      </c>
      <c r="I596" s="31" t="s">
        <v>566</v>
      </c>
      <c r="J596" s="31" t="s">
        <v>2888</v>
      </c>
      <c r="K596" s="31" t="s">
        <v>2894</v>
      </c>
      <c r="L596" s="31" t="s">
        <v>500</v>
      </c>
      <c r="M596" s="31" t="s">
        <v>2899</v>
      </c>
      <c r="N596" s="31" t="s">
        <v>467</v>
      </c>
      <c r="O596" s="31">
        <v>1.0</v>
      </c>
      <c r="P596" s="34"/>
      <c r="Q596" s="31" t="s">
        <v>307</v>
      </c>
      <c r="R596" s="32">
        <v>36060.0</v>
      </c>
      <c r="S596" s="31" t="s">
        <v>591</v>
      </c>
      <c r="T596" s="31" t="s">
        <v>961</v>
      </c>
      <c r="U596" s="31" t="s">
        <v>480</v>
      </c>
      <c r="V596" s="31" t="s">
        <v>2893</v>
      </c>
      <c r="W596" s="34"/>
    </row>
    <row r="597">
      <c r="A597" s="30">
        <v>592.0</v>
      </c>
      <c r="B597" s="31" t="s">
        <v>2900</v>
      </c>
      <c r="C597" s="31" t="s">
        <v>2901</v>
      </c>
      <c r="D597" s="31" t="s">
        <v>463</v>
      </c>
      <c r="E597" s="31" t="s">
        <v>2902</v>
      </c>
      <c r="F597" s="32">
        <v>40053.0</v>
      </c>
      <c r="G597" s="35">
        <v>40114.0</v>
      </c>
      <c r="H597" s="31" t="s">
        <v>453</v>
      </c>
      <c r="I597" s="31" t="s">
        <v>454</v>
      </c>
      <c r="J597" s="31" t="s">
        <v>2903</v>
      </c>
      <c r="K597" s="31" t="s">
        <v>2904</v>
      </c>
      <c r="L597" s="31" t="s">
        <v>465</v>
      </c>
      <c r="M597" s="31" t="s">
        <v>2905</v>
      </c>
      <c r="N597" s="31" t="s">
        <v>467</v>
      </c>
      <c r="O597" s="31">
        <v>2.0</v>
      </c>
      <c r="P597" s="34"/>
      <c r="Q597" s="31" t="s">
        <v>307</v>
      </c>
      <c r="R597" s="32">
        <v>32005.0</v>
      </c>
      <c r="S597" s="31" t="s">
        <v>560</v>
      </c>
      <c r="T597" s="31" t="s">
        <v>1532</v>
      </c>
      <c r="U597" s="31" t="s">
        <v>480</v>
      </c>
      <c r="V597" s="31" t="s">
        <v>2902</v>
      </c>
      <c r="W597" s="34"/>
    </row>
    <row r="598">
      <c r="A598" s="30">
        <v>593.0</v>
      </c>
      <c r="B598" s="31" t="s">
        <v>2906</v>
      </c>
      <c r="C598" s="31" t="s">
        <v>2907</v>
      </c>
      <c r="D598" s="31" t="s">
        <v>260</v>
      </c>
      <c r="E598" s="31" t="s">
        <v>2908</v>
      </c>
      <c r="F598" s="32">
        <v>45383.0</v>
      </c>
      <c r="G598" s="33"/>
      <c r="H598" s="31" t="s">
        <v>2811</v>
      </c>
      <c r="I598" s="31" t="s">
        <v>2909</v>
      </c>
      <c r="J598" s="31" t="s">
        <v>2908</v>
      </c>
      <c r="K598" s="31" t="s">
        <v>2910</v>
      </c>
      <c r="L598" s="31" t="s">
        <v>905</v>
      </c>
      <c r="M598" s="31" t="s">
        <v>2911</v>
      </c>
      <c r="N598" s="31" t="s">
        <v>267</v>
      </c>
      <c r="O598" s="34"/>
      <c r="P598" s="31">
        <v>1.0</v>
      </c>
      <c r="Q598" s="31" t="s">
        <v>268</v>
      </c>
      <c r="R598" s="35">
        <v>37245.0</v>
      </c>
      <c r="S598" s="31" t="s">
        <v>2912</v>
      </c>
      <c r="T598" s="31" t="s">
        <v>2913</v>
      </c>
      <c r="U598" s="31" t="s">
        <v>2914</v>
      </c>
      <c r="V598" s="34"/>
      <c r="W598" s="34"/>
    </row>
    <row r="599">
      <c r="A599" s="30">
        <v>594.0</v>
      </c>
      <c r="B599" s="31" t="s">
        <v>2915</v>
      </c>
      <c r="C599" s="31" t="s">
        <v>2916</v>
      </c>
      <c r="D599" s="31" t="s">
        <v>2917</v>
      </c>
      <c r="E599" s="31" t="s">
        <v>228</v>
      </c>
      <c r="F599" s="32">
        <v>44942.0</v>
      </c>
      <c r="G599" s="32">
        <v>45001.0</v>
      </c>
      <c r="H599" s="31" t="s">
        <v>303</v>
      </c>
      <c r="I599" s="31" t="s">
        <v>228</v>
      </c>
      <c r="J599" s="34"/>
      <c r="K599" s="31" t="s">
        <v>304</v>
      </c>
      <c r="L599" s="31" t="s">
        <v>2918</v>
      </c>
      <c r="M599" s="31" t="s">
        <v>2919</v>
      </c>
      <c r="N599" s="31" t="s">
        <v>467</v>
      </c>
      <c r="O599" s="34"/>
      <c r="P599" s="34"/>
      <c r="Q599" s="31" t="s">
        <v>307</v>
      </c>
      <c r="R599" s="32">
        <v>36912.0</v>
      </c>
      <c r="S599" s="31" t="s">
        <v>1398</v>
      </c>
      <c r="T599" s="31" t="s">
        <v>2920</v>
      </c>
      <c r="U599" s="31" t="s">
        <v>310</v>
      </c>
      <c r="V599" s="34"/>
      <c r="W599" s="34"/>
    </row>
    <row r="600">
      <c r="A600" s="30">
        <v>595.0</v>
      </c>
      <c r="B600" s="31" t="s">
        <v>2921</v>
      </c>
      <c r="C600" s="31" t="s">
        <v>2922</v>
      </c>
      <c r="D600" s="31" t="s">
        <v>2923</v>
      </c>
      <c r="E600" s="31" t="s">
        <v>34</v>
      </c>
      <c r="F600" s="32">
        <v>45174.0</v>
      </c>
      <c r="G600" s="32">
        <v>45234.0</v>
      </c>
      <c r="H600" s="31" t="s">
        <v>2924</v>
      </c>
      <c r="I600" s="31" t="s">
        <v>34</v>
      </c>
      <c r="J600" s="34"/>
      <c r="K600" s="31" t="s">
        <v>2925</v>
      </c>
      <c r="L600" s="31" t="s">
        <v>2926</v>
      </c>
      <c r="M600" s="31" t="s">
        <v>2927</v>
      </c>
      <c r="N600" s="31" t="s">
        <v>467</v>
      </c>
      <c r="O600" s="34"/>
      <c r="P600" s="31">
        <v>1.0</v>
      </c>
      <c r="Q600" s="31" t="s">
        <v>307</v>
      </c>
      <c r="R600" s="32">
        <v>36193.0</v>
      </c>
      <c r="S600" s="31" t="s">
        <v>2928</v>
      </c>
      <c r="T600" s="31" t="s">
        <v>2929</v>
      </c>
      <c r="U600" s="31" t="s">
        <v>460</v>
      </c>
      <c r="V600" s="34"/>
      <c r="W600" s="34"/>
    </row>
    <row r="601">
      <c r="A601" s="30">
        <v>596.0</v>
      </c>
      <c r="B601" s="31" t="s">
        <v>2930</v>
      </c>
      <c r="C601" s="31" t="s">
        <v>2931</v>
      </c>
      <c r="D601" s="31" t="s">
        <v>2932</v>
      </c>
      <c r="E601" s="31" t="s">
        <v>2933</v>
      </c>
      <c r="F601" s="32">
        <v>42934.0</v>
      </c>
      <c r="G601" s="32">
        <v>42996.0</v>
      </c>
      <c r="H601" s="31" t="s">
        <v>576</v>
      </c>
      <c r="I601" s="31" t="s">
        <v>2934</v>
      </c>
      <c r="J601" s="31" t="s">
        <v>2933</v>
      </c>
      <c r="K601" s="31" t="s">
        <v>2935</v>
      </c>
      <c r="L601" s="31" t="s">
        <v>2936</v>
      </c>
      <c r="M601" s="31" t="s">
        <v>2937</v>
      </c>
      <c r="N601" s="31" t="s">
        <v>267</v>
      </c>
      <c r="O601" s="34"/>
      <c r="P601" s="31">
        <v>7.0</v>
      </c>
      <c r="Q601" s="31" t="s">
        <v>581</v>
      </c>
      <c r="R601" s="32">
        <v>34827.0</v>
      </c>
      <c r="S601" s="31" t="s">
        <v>2938</v>
      </c>
      <c r="T601" s="31" t="s">
        <v>686</v>
      </c>
      <c r="U601" s="31" t="s">
        <v>633</v>
      </c>
      <c r="V601" s="34"/>
      <c r="W601" s="34"/>
    </row>
    <row r="602">
      <c r="A602" s="30">
        <v>597.0</v>
      </c>
      <c r="B602" s="31" t="s">
        <v>2939</v>
      </c>
      <c r="C602" s="31" t="s">
        <v>2940</v>
      </c>
      <c r="D602" s="31" t="s">
        <v>925</v>
      </c>
      <c r="E602" s="31" t="s">
        <v>1985</v>
      </c>
      <c r="F602" s="32">
        <v>45406.0</v>
      </c>
      <c r="G602" s="33"/>
      <c r="H602" s="31" t="s">
        <v>262</v>
      </c>
      <c r="I602" s="31" t="s">
        <v>275</v>
      </c>
      <c r="J602" s="31" t="s">
        <v>1986</v>
      </c>
      <c r="K602" s="31" t="s">
        <v>1987</v>
      </c>
      <c r="L602" s="31" t="s">
        <v>929</v>
      </c>
      <c r="M602" s="31" t="s">
        <v>2941</v>
      </c>
      <c r="N602" s="31" t="s">
        <v>267</v>
      </c>
      <c r="O602" s="34"/>
      <c r="P602" s="31">
        <v>1.0</v>
      </c>
      <c r="Q602" s="31" t="s">
        <v>268</v>
      </c>
      <c r="R602" s="32">
        <v>35988.0</v>
      </c>
      <c r="S602" s="31" t="s">
        <v>526</v>
      </c>
      <c r="T602" s="31" t="s">
        <v>2942</v>
      </c>
      <c r="U602" s="31" t="s">
        <v>271</v>
      </c>
      <c r="V602" s="31" t="s">
        <v>1985</v>
      </c>
      <c r="W602" s="34"/>
    </row>
    <row r="603">
      <c r="A603" s="30">
        <v>598.0</v>
      </c>
      <c r="B603" s="31" t="s">
        <v>2943</v>
      </c>
      <c r="C603" s="31" t="s">
        <v>2944</v>
      </c>
      <c r="D603" s="31" t="s">
        <v>260</v>
      </c>
      <c r="E603" s="31" t="s">
        <v>914</v>
      </c>
      <c r="F603" s="32">
        <v>45341.0</v>
      </c>
      <c r="G603" s="32">
        <v>45401.0</v>
      </c>
      <c r="H603" s="31" t="s">
        <v>346</v>
      </c>
      <c r="I603" s="31" t="s">
        <v>93</v>
      </c>
      <c r="J603" s="31" t="s">
        <v>903</v>
      </c>
      <c r="K603" s="31" t="s">
        <v>915</v>
      </c>
      <c r="L603" s="31" t="s">
        <v>905</v>
      </c>
      <c r="M603" s="31" t="s">
        <v>2945</v>
      </c>
      <c r="N603" s="31" t="s">
        <v>467</v>
      </c>
      <c r="O603" s="34"/>
      <c r="P603" s="31">
        <v>1.0</v>
      </c>
      <c r="Q603" s="31" t="s">
        <v>307</v>
      </c>
      <c r="R603" s="32">
        <v>35403.0</v>
      </c>
      <c r="S603" s="31" t="s">
        <v>2946</v>
      </c>
      <c r="T603" s="31" t="s">
        <v>2947</v>
      </c>
      <c r="U603" s="31" t="s">
        <v>352</v>
      </c>
      <c r="V603" s="31" t="s">
        <v>914</v>
      </c>
      <c r="W603" s="34"/>
    </row>
    <row r="604">
      <c r="A604" s="30">
        <v>599.0</v>
      </c>
      <c r="B604" s="31" t="s">
        <v>2948</v>
      </c>
      <c r="C604" s="31" t="s">
        <v>2949</v>
      </c>
      <c r="D604" s="31" t="s">
        <v>260</v>
      </c>
      <c r="E604" s="31" t="s">
        <v>1139</v>
      </c>
      <c r="F604" s="32">
        <v>45341.0</v>
      </c>
      <c r="G604" s="32">
        <v>45401.0</v>
      </c>
      <c r="H604" s="31" t="s">
        <v>346</v>
      </c>
      <c r="I604" s="31" t="s">
        <v>112</v>
      </c>
      <c r="J604" s="31" t="s">
        <v>1139</v>
      </c>
      <c r="K604" s="31" t="s">
        <v>1140</v>
      </c>
      <c r="L604" s="31" t="s">
        <v>392</v>
      </c>
      <c r="M604" s="31" t="s">
        <v>2950</v>
      </c>
      <c r="N604" s="31" t="s">
        <v>467</v>
      </c>
      <c r="O604" s="34"/>
      <c r="P604" s="31">
        <v>1.0</v>
      </c>
      <c r="Q604" s="31" t="s">
        <v>307</v>
      </c>
      <c r="R604" s="32">
        <v>37415.0</v>
      </c>
      <c r="S604" s="31" t="s">
        <v>804</v>
      </c>
      <c r="T604" s="31" t="s">
        <v>627</v>
      </c>
      <c r="U604" s="31" t="s">
        <v>361</v>
      </c>
      <c r="V604" s="34"/>
      <c r="W604" s="34"/>
    </row>
    <row r="605">
      <c r="A605" s="30">
        <v>600.0</v>
      </c>
      <c r="B605" s="31" t="s">
        <v>2951</v>
      </c>
      <c r="C605" s="31" t="s">
        <v>2952</v>
      </c>
      <c r="D605" s="31" t="s">
        <v>260</v>
      </c>
      <c r="E605" s="31" t="s">
        <v>274</v>
      </c>
      <c r="F605" s="32">
        <v>45341.0</v>
      </c>
      <c r="G605" s="32">
        <v>45401.0</v>
      </c>
      <c r="H605" s="31" t="s">
        <v>346</v>
      </c>
      <c r="I605" s="31" t="s">
        <v>275</v>
      </c>
      <c r="J605" s="31" t="s">
        <v>274</v>
      </c>
      <c r="K605" s="31" t="s">
        <v>424</v>
      </c>
      <c r="L605" s="31" t="s">
        <v>277</v>
      </c>
      <c r="M605" s="31" t="s">
        <v>2953</v>
      </c>
      <c r="N605" s="31" t="s">
        <v>267</v>
      </c>
      <c r="O605" s="34"/>
      <c r="P605" s="31">
        <v>1.0</v>
      </c>
      <c r="Q605" s="31" t="s">
        <v>307</v>
      </c>
      <c r="R605" s="32">
        <v>37290.0</v>
      </c>
      <c r="S605" s="31" t="s">
        <v>2954</v>
      </c>
      <c r="T605" s="31" t="s">
        <v>2613</v>
      </c>
      <c r="U605" s="31" t="s">
        <v>352</v>
      </c>
      <c r="V605" s="34"/>
      <c r="W605" s="34"/>
    </row>
    <row r="606">
      <c r="A606" s="30">
        <v>601.0</v>
      </c>
      <c r="B606" s="31" t="s">
        <v>2955</v>
      </c>
      <c r="C606" s="31" t="s">
        <v>2956</v>
      </c>
      <c r="D606" s="31" t="s">
        <v>925</v>
      </c>
      <c r="E606" s="31" t="s">
        <v>1985</v>
      </c>
      <c r="F606" s="32">
        <v>45406.0</v>
      </c>
      <c r="G606" s="33"/>
      <c r="H606" s="31" t="s">
        <v>262</v>
      </c>
      <c r="I606" s="31" t="s">
        <v>275</v>
      </c>
      <c r="J606" s="31" t="s">
        <v>1986</v>
      </c>
      <c r="K606" s="31" t="s">
        <v>1987</v>
      </c>
      <c r="L606" s="31" t="s">
        <v>929</v>
      </c>
      <c r="M606" s="31" t="s">
        <v>2957</v>
      </c>
      <c r="N606" s="31" t="s">
        <v>267</v>
      </c>
      <c r="O606" s="34"/>
      <c r="P606" s="31">
        <v>1.0</v>
      </c>
      <c r="Q606" s="31" t="s">
        <v>268</v>
      </c>
      <c r="R606" s="35">
        <v>36827.0</v>
      </c>
      <c r="S606" s="31" t="s">
        <v>286</v>
      </c>
      <c r="T606" s="31" t="s">
        <v>287</v>
      </c>
      <c r="U606" s="31" t="s">
        <v>271</v>
      </c>
      <c r="V606" s="31" t="s">
        <v>1985</v>
      </c>
      <c r="W606" s="34"/>
    </row>
    <row r="607">
      <c r="A607" s="30">
        <v>602.0</v>
      </c>
      <c r="B607" s="31" t="s">
        <v>2958</v>
      </c>
      <c r="C607" s="31" t="s">
        <v>2959</v>
      </c>
      <c r="D607" s="31" t="s">
        <v>925</v>
      </c>
      <c r="E607" s="31" t="s">
        <v>1985</v>
      </c>
      <c r="F607" s="32">
        <v>45406.0</v>
      </c>
      <c r="G607" s="33"/>
      <c r="H607" s="31" t="s">
        <v>262</v>
      </c>
      <c r="I607" s="31" t="s">
        <v>275</v>
      </c>
      <c r="J607" s="31" t="s">
        <v>2029</v>
      </c>
      <c r="K607" s="31" t="s">
        <v>2070</v>
      </c>
      <c r="L607" s="31" t="s">
        <v>929</v>
      </c>
      <c r="M607" s="31" t="s">
        <v>2960</v>
      </c>
      <c r="N607" s="31" t="s">
        <v>267</v>
      </c>
      <c r="O607" s="34"/>
      <c r="P607" s="31">
        <v>1.0</v>
      </c>
      <c r="Q607" s="31" t="s">
        <v>268</v>
      </c>
      <c r="R607" s="32">
        <v>37080.0</v>
      </c>
      <c r="S607" s="31" t="s">
        <v>2961</v>
      </c>
      <c r="T607" s="31" t="s">
        <v>280</v>
      </c>
      <c r="U607" s="31" t="s">
        <v>271</v>
      </c>
      <c r="V607" s="31" t="s">
        <v>1985</v>
      </c>
      <c r="W607" s="34"/>
    </row>
    <row r="608">
      <c r="A608" s="30">
        <v>603.0</v>
      </c>
      <c r="B608" s="31" t="s">
        <v>2962</v>
      </c>
      <c r="C608" s="31" t="s">
        <v>2963</v>
      </c>
      <c r="D608" s="31" t="s">
        <v>260</v>
      </c>
      <c r="E608" s="31" t="s">
        <v>2810</v>
      </c>
      <c r="F608" s="32">
        <v>44623.0</v>
      </c>
      <c r="G608" s="32">
        <v>44683.0</v>
      </c>
      <c r="H608" s="31" t="s">
        <v>2732</v>
      </c>
      <c r="I608" s="31" t="s">
        <v>2810</v>
      </c>
      <c r="J608" s="34"/>
      <c r="K608" s="31" t="s">
        <v>2964</v>
      </c>
      <c r="L608" s="31" t="s">
        <v>2965</v>
      </c>
      <c r="M608" s="31" t="s">
        <v>2966</v>
      </c>
      <c r="N608" s="31" t="s">
        <v>267</v>
      </c>
      <c r="O608" s="34"/>
      <c r="P608" s="31">
        <v>4.0</v>
      </c>
      <c r="Q608" s="31" t="s">
        <v>307</v>
      </c>
      <c r="R608" s="32">
        <v>36591.0</v>
      </c>
      <c r="S608" s="31" t="s">
        <v>1041</v>
      </c>
      <c r="T608" s="31" t="s">
        <v>2967</v>
      </c>
      <c r="U608" s="31" t="s">
        <v>2735</v>
      </c>
      <c r="V608" s="34"/>
      <c r="W608" s="34"/>
    </row>
    <row r="609">
      <c r="A609" s="30">
        <v>604.0</v>
      </c>
      <c r="B609" s="31" t="s">
        <v>2968</v>
      </c>
      <c r="C609" s="31" t="s">
        <v>2969</v>
      </c>
      <c r="D609" s="31" t="s">
        <v>2970</v>
      </c>
      <c r="E609" s="31" t="s">
        <v>2971</v>
      </c>
      <c r="F609" s="32">
        <v>45385.0</v>
      </c>
      <c r="G609" s="33"/>
      <c r="H609" s="31" t="s">
        <v>303</v>
      </c>
      <c r="I609" s="31" t="s">
        <v>2971</v>
      </c>
      <c r="J609" s="34"/>
      <c r="K609" s="31" t="s">
        <v>2972</v>
      </c>
      <c r="L609" s="31" t="s">
        <v>2973</v>
      </c>
      <c r="M609" s="31" t="s">
        <v>2974</v>
      </c>
      <c r="N609" s="31" t="s">
        <v>267</v>
      </c>
      <c r="O609" s="34"/>
      <c r="P609" s="31">
        <v>1.0</v>
      </c>
      <c r="Q609" s="31" t="s">
        <v>268</v>
      </c>
      <c r="R609" s="32">
        <v>37477.0</v>
      </c>
      <c r="S609" s="31" t="s">
        <v>320</v>
      </c>
      <c r="T609" s="31" t="s">
        <v>2613</v>
      </c>
      <c r="U609" s="31" t="s">
        <v>480</v>
      </c>
      <c r="V609" s="34"/>
      <c r="W609" s="34"/>
    </row>
    <row r="610">
      <c r="A610" s="30">
        <v>605.0</v>
      </c>
      <c r="B610" s="31" t="s">
        <v>2975</v>
      </c>
      <c r="C610" s="31" t="s">
        <v>2976</v>
      </c>
      <c r="D610" s="31" t="s">
        <v>2977</v>
      </c>
      <c r="E610" s="31" t="s">
        <v>2978</v>
      </c>
      <c r="F610" s="32">
        <v>45383.0</v>
      </c>
      <c r="G610" s="33"/>
      <c r="H610" s="31" t="s">
        <v>303</v>
      </c>
      <c r="I610" s="31" t="s">
        <v>2978</v>
      </c>
      <c r="J610" s="34"/>
      <c r="K610" s="31" t="s">
        <v>2979</v>
      </c>
      <c r="L610" s="31" t="s">
        <v>2980</v>
      </c>
      <c r="M610" s="31" t="s">
        <v>2981</v>
      </c>
      <c r="N610" s="31" t="s">
        <v>467</v>
      </c>
      <c r="O610" s="34"/>
      <c r="P610" s="31">
        <v>1.0</v>
      </c>
      <c r="Q610" s="31" t="s">
        <v>268</v>
      </c>
      <c r="R610" s="32">
        <v>34427.0</v>
      </c>
      <c r="S610" s="31" t="s">
        <v>2982</v>
      </c>
      <c r="T610" s="31" t="s">
        <v>2983</v>
      </c>
      <c r="U610" s="31" t="s">
        <v>271</v>
      </c>
      <c r="V610" s="34"/>
      <c r="W610" s="34"/>
    </row>
    <row r="611">
      <c r="A611" s="30">
        <v>606.0</v>
      </c>
      <c r="B611" s="31" t="s">
        <v>2984</v>
      </c>
      <c r="C611" s="31" t="s">
        <v>2985</v>
      </c>
      <c r="D611" s="31" t="s">
        <v>925</v>
      </c>
      <c r="E611" s="31" t="s">
        <v>1985</v>
      </c>
      <c r="F611" s="32">
        <v>45406.0</v>
      </c>
      <c r="G611" s="33"/>
      <c r="H611" s="31" t="s">
        <v>262</v>
      </c>
      <c r="I611" s="31" t="s">
        <v>275</v>
      </c>
      <c r="J611" s="31" t="s">
        <v>1986</v>
      </c>
      <c r="K611" s="31" t="s">
        <v>1987</v>
      </c>
      <c r="L611" s="31" t="s">
        <v>929</v>
      </c>
      <c r="M611" s="31" t="s">
        <v>2986</v>
      </c>
      <c r="N611" s="31" t="s">
        <v>267</v>
      </c>
      <c r="O611" s="34"/>
      <c r="P611" s="31">
        <v>1.0</v>
      </c>
      <c r="Q611" s="31" t="s">
        <v>268</v>
      </c>
      <c r="R611" s="32">
        <v>37281.0</v>
      </c>
      <c r="S611" s="31" t="s">
        <v>955</v>
      </c>
      <c r="T611" s="31" t="s">
        <v>2987</v>
      </c>
      <c r="U611" s="31" t="s">
        <v>271</v>
      </c>
      <c r="V611" s="31" t="s">
        <v>1985</v>
      </c>
      <c r="W611" s="34"/>
    </row>
    <row r="612">
      <c r="A612" s="30">
        <v>607.0</v>
      </c>
      <c r="B612" s="31" t="s">
        <v>2988</v>
      </c>
      <c r="C612" s="31" t="s">
        <v>2989</v>
      </c>
      <c r="D612" s="31" t="s">
        <v>302</v>
      </c>
      <c r="E612" s="31" t="s">
        <v>228</v>
      </c>
      <c r="F612" s="32">
        <v>45404.0</v>
      </c>
      <c r="G612" s="33"/>
      <c r="H612" s="31" t="s">
        <v>303</v>
      </c>
      <c r="I612" s="31" t="s">
        <v>228</v>
      </c>
      <c r="J612" s="34"/>
      <c r="K612" s="31" t="s">
        <v>304</v>
      </c>
      <c r="L612" s="31" t="s">
        <v>305</v>
      </c>
      <c r="M612" s="31" t="s">
        <v>2990</v>
      </c>
      <c r="N612" s="31" t="s">
        <v>267</v>
      </c>
      <c r="O612" s="34"/>
      <c r="P612" s="34"/>
      <c r="Q612" s="31" t="s">
        <v>268</v>
      </c>
      <c r="R612" s="32">
        <v>33611.0</v>
      </c>
      <c r="S612" s="31" t="s">
        <v>2991</v>
      </c>
      <c r="T612" s="31" t="s">
        <v>2992</v>
      </c>
      <c r="U612" s="31" t="s">
        <v>310</v>
      </c>
      <c r="V612" s="34"/>
      <c r="W612" s="34"/>
    </row>
    <row r="613">
      <c r="A613" s="30">
        <v>608.0</v>
      </c>
      <c r="B613" s="31" t="s">
        <v>2993</v>
      </c>
      <c r="C613" s="31" t="s">
        <v>2994</v>
      </c>
      <c r="D613" s="31" t="s">
        <v>615</v>
      </c>
      <c r="E613" s="31" t="s">
        <v>2995</v>
      </c>
      <c r="F613" s="32">
        <v>44760.0</v>
      </c>
      <c r="G613" s="32">
        <v>44822.0</v>
      </c>
      <c r="H613" s="31" t="s">
        <v>453</v>
      </c>
      <c r="I613" s="31" t="s">
        <v>555</v>
      </c>
      <c r="J613" s="31" t="s">
        <v>556</v>
      </c>
      <c r="K613" s="31" t="s">
        <v>2996</v>
      </c>
      <c r="L613" s="31" t="s">
        <v>618</v>
      </c>
      <c r="M613" s="31" t="s">
        <v>2997</v>
      </c>
      <c r="N613" s="31" t="s">
        <v>467</v>
      </c>
      <c r="O613" s="34"/>
      <c r="P613" s="34"/>
      <c r="Q613" s="31" t="s">
        <v>307</v>
      </c>
      <c r="R613" s="32">
        <v>35448.0</v>
      </c>
      <c r="S613" s="31" t="s">
        <v>2998</v>
      </c>
      <c r="T613" s="31" t="s">
        <v>1156</v>
      </c>
      <c r="U613" s="31" t="s">
        <v>480</v>
      </c>
      <c r="V613" s="31" t="s">
        <v>2995</v>
      </c>
      <c r="W613" s="34"/>
    </row>
    <row r="614">
      <c r="A614" s="30">
        <v>609.0</v>
      </c>
      <c r="B614" s="31" t="s">
        <v>2999</v>
      </c>
      <c r="C614" s="31" t="s">
        <v>3000</v>
      </c>
      <c r="D614" s="31" t="s">
        <v>452</v>
      </c>
      <c r="E614" s="31" t="s">
        <v>2995</v>
      </c>
      <c r="F614" s="32">
        <v>43920.0</v>
      </c>
      <c r="G614" s="32">
        <v>43981.0</v>
      </c>
      <c r="H614" s="31" t="s">
        <v>453</v>
      </c>
      <c r="I614" s="31" t="s">
        <v>555</v>
      </c>
      <c r="J614" s="31" t="s">
        <v>556</v>
      </c>
      <c r="K614" s="31" t="s">
        <v>2996</v>
      </c>
      <c r="L614" s="31" t="s">
        <v>456</v>
      </c>
      <c r="M614" s="31" t="s">
        <v>3001</v>
      </c>
      <c r="N614" s="31" t="s">
        <v>267</v>
      </c>
      <c r="O614" s="34"/>
      <c r="P614" s="34"/>
      <c r="Q614" s="31" t="s">
        <v>307</v>
      </c>
      <c r="R614" s="32">
        <v>35857.0</v>
      </c>
      <c r="S614" s="31" t="s">
        <v>626</v>
      </c>
      <c r="T614" s="31" t="s">
        <v>686</v>
      </c>
      <c r="U614" s="31" t="s">
        <v>480</v>
      </c>
      <c r="V614" s="31" t="s">
        <v>2995</v>
      </c>
      <c r="W614" s="34"/>
    </row>
    <row r="615">
      <c r="A615" s="30">
        <v>610.0</v>
      </c>
      <c r="B615" s="31" t="s">
        <v>3002</v>
      </c>
      <c r="C615" s="31" t="s">
        <v>3003</v>
      </c>
      <c r="D615" s="31" t="s">
        <v>345</v>
      </c>
      <c r="E615" s="31" t="s">
        <v>38</v>
      </c>
      <c r="F615" s="32">
        <v>45404.0</v>
      </c>
      <c r="G615" s="33"/>
      <c r="H615" s="31" t="s">
        <v>262</v>
      </c>
      <c r="I615" s="31" t="s">
        <v>38</v>
      </c>
      <c r="J615" s="34"/>
      <c r="K615" s="31" t="s">
        <v>2423</v>
      </c>
      <c r="L615" s="31" t="s">
        <v>348</v>
      </c>
      <c r="M615" s="31" t="s">
        <v>3004</v>
      </c>
      <c r="N615" s="31" t="s">
        <v>467</v>
      </c>
      <c r="O615" s="34"/>
      <c r="P615" s="34"/>
      <c r="Q615" s="31" t="s">
        <v>268</v>
      </c>
      <c r="R615" s="32">
        <v>36728.0</v>
      </c>
      <c r="S615" s="31" t="s">
        <v>3005</v>
      </c>
      <c r="T615" s="31" t="s">
        <v>3006</v>
      </c>
      <c r="U615" s="31" t="s">
        <v>271</v>
      </c>
      <c r="V615" s="34"/>
      <c r="W615" s="34"/>
    </row>
    <row r="616">
      <c r="A616" s="30">
        <v>611.0</v>
      </c>
      <c r="B616" s="31" t="s">
        <v>3007</v>
      </c>
      <c r="C616" s="31" t="s">
        <v>3008</v>
      </c>
      <c r="D616" s="31" t="s">
        <v>260</v>
      </c>
      <c r="E616" s="31" t="s">
        <v>2858</v>
      </c>
      <c r="F616" s="32">
        <v>45352.0</v>
      </c>
      <c r="G616" s="32">
        <v>45412.0</v>
      </c>
      <c r="H616" s="31" t="s">
        <v>2732</v>
      </c>
      <c r="I616" s="31" t="s">
        <v>2768</v>
      </c>
      <c r="J616" s="31" t="s">
        <v>2858</v>
      </c>
      <c r="K616" s="31" t="s">
        <v>2859</v>
      </c>
      <c r="L616" s="31" t="s">
        <v>392</v>
      </c>
      <c r="M616" s="31" t="s">
        <v>3009</v>
      </c>
      <c r="N616" s="31" t="s">
        <v>467</v>
      </c>
      <c r="O616" s="34"/>
      <c r="P616" s="31">
        <v>1.0</v>
      </c>
      <c r="Q616" s="31" t="s">
        <v>307</v>
      </c>
      <c r="R616" s="35">
        <v>36815.0</v>
      </c>
      <c r="S616" s="31" t="s">
        <v>3010</v>
      </c>
      <c r="T616" s="31" t="s">
        <v>3011</v>
      </c>
      <c r="U616" s="31" t="s">
        <v>2735</v>
      </c>
      <c r="V616" s="34"/>
      <c r="W616" s="34"/>
    </row>
    <row r="617">
      <c r="A617" s="30">
        <v>612.0</v>
      </c>
      <c r="B617" s="31" t="s">
        <v>3012</v>
      </c>
      <c r="C617" s="31" t="s">
        <v>1943</v>
      </c>
      <c r="D617" s="31" t="s">
        <v>3013</v>
      </c>
      <c r="E617" s="31" t="s">
        <v>36</v>
      </c>
      <c r="F617" s="32">
        <v>44798.0</v>
      </c>
      <c r="G617" s="35">
        <v>44859.0</v>
      </c>
      <c r="H617" s="31" t="s">
        <v>303</v>
      </c>
      <c r="I617" s="31" t="s">
        <v>36</v>
      </c>
      <c r="J617" s="34"/>
      <c r="K617" s="31" t="s">
        <v>3014</v>
      </c>
      <c r="L617" s="31" t="s">
        <v>3015</v>
      </c>
      <c r="M617" s="31" t="s">
        <v>3016</v>
      </c>
      <c r="N617" s="31" t="s">
        <v>267</v>
      </c>
      <c r="O617" s="34"/>
      <c r="P617" s="34"/>
      <c r="Q617" s="31" t="s">
        <v>307</v>
      </c>
      <c r="R617" s="32">
        <v>36838.0</v>
      </c>
      <c r="S617" s="31" t="s">
        <v>3017</v>
      </c>
      <c r="T617" s="31" t="s">
        <v>3018</v>
      </c>
      <c r="U617" s="31" t="s">
        <v>310</v>
      </c>
      <c r="V617" s="34"/>
      <c r="W617" s="34"/>
    </row>
    <row r="618">
      <c r="A618" s="30">
        <v>613.0</v>
      </c>
      <c r="B618" s="31" t="s">
        <v>3019</v>
      </c>
      <c r="C618" s="31" t="s">
        <v>3020</v>
      </c>
      <c r="D618" s="31" t="s">
        <v>3021</v>
      </c>
      <c r="E618" s="31" t="s">
        <v>355</v>
      </c>
      <c r="F618" s="32">
        <v>44298.0</v>
      </c>
      <c r="G618" s="32">
        <v>44359.0</v>
      </c>
      <c r="H618" s="31" t="s">
        <v>346</v>
      </c>
      <c r="I618" s="31" t="s">
        <v>263</v>
      </c>
      <c r="J618" s="31" t="s">
        <v>356</v>
      </c>
      <c r="K618" s="31" t="s">
        <v>357</v>
      </c>
      <c r="L618" s="31" t="s">
        <v>3022</v>
      </c>
      <c r="M618" s="31" t="s">
        <v>3023</v>
      </c>
      <c r="N618" s="31" t="s">
        <v>267</v>
      </c>
      <c r="O618" s="31">
        <v>2.0</v>
      </c>
      <c r="P618" s="31">
        <v>7.0</v>
      </c>
      <c r="Q618" s="31" t="s">
        <v>307</v>
      </c>
      <c r="R618" s="32">
        <v>36229.0</v>
      </c>
      <c r="S618" s="31" t="s">
        <v>1369</v>
      </c>
      <c r="T618" s="31" t="s">
        <v>459</v>
      </c>
      <c r="U618" s="31" t="s">
        <v>361</v>
      </c>
      <c r="V618" s="31" t="s">
        <v>355</v>
      </c>
      <c r="W618" s="34"/>
    </row>
    <row r="619">
      <c r="A619" s="30">
        <v>614.0</v>
      </c>
      <c r="B619" s="31" t="s">
        <v>3024</v>
      </c>
      <c r="C619" s="31" t="s">
        <v>3025</v>
      </c>
      <c r="D619" s="31" t="s">
        <v>3026</v>
      </c>
      <c r="E619" s="31" t="s">
        <v>3027</v>
      </c>
      <c r="F619" s="32">
        <v>40564.0</v>
      </c>
      <c r="G619" s="32">
        <v>40623.0</v>
      </c>
      <c r="H619" s="31" t="s">
        <v>576</v>
      </c>
      <c r="I619" s="31" t="s">
        <v>577</v>
      </c>
      <c r="J619" s="31" t="s">
        <v>3027</v>
      </c>
      <c r="K619" s="31" t="s">
        <v>3028</v>
      </c>
      <c r="L619" s="31" t="s">
        <v>3029</v>
      </c>
      <c r="M619" s="31" t="s">
        <v>3030</v>
      </c>
      <c r="N619" s="31" t="s">
        <v>267</v>
      </c>
      <c r="O619" s="31">
        <v>1.0</v>
      </c>
      <c r="P619" s="31" t="s">
        <v>3031</v>
      </c>
      <c r="Q619" s="31" t="s">
        <v>581</v>
      </c>
      <c r="R619" s="32">
        <v>32849.0</v>
      </c>
      <c r="S619" s="31" t="s">
        <v>626</v>
      </c>
      <c r="T619" s="31" t="s">
        <v>1476</v>
      </c>
      <c r="U619" s="31" t="s">
        <v>583</v>
      </c>
      <c r="V619" s="34"/>
      <c r="W619" s="34"/>
    </row>
    <row r="620">
      <c r="A620" s="30">
        <v>615.0</v>
      </c>
      <c r="B620" s="31" t="s">
        <v>3032</v>
      </c>
      <c r="C620" s="31" t="s">
        <v>3033</v>
      </c>
      <c r="D620" s="31" t="s">
        <v>452</v>
      </c>
      <c r="E620" s="31" t="s">
        <v>3034</v>
      </c>
      <c r="F620" s="32">
        <v>44308.0</v>
      </c>
      <c r="G620" s="32">
        <v>44369.0</v>
      </c>
      <c r="H620" s="31" t="s">
        <v>453</v>
      </c>
      <c r="I620" s="31" t="s">
        <v>607</v>
      </c>
      <c r="J620" s="31" t="s">
        <v>3035</v>
      </c>
      <c r="K620" s="31" t="s">
        <v>3036</v>
      </c>
      <c r="L620" s="31" t="s">
        <v>456</v>
      </c>
      <c r="M620" s="31" t="s">
        <v>3037</v>
      </c>
      <c r="N620" s="31" t="s">
        <v>267</v>
      </c>
      <c r="O620" s="34"/>
      <c r="P620" s="34"/>
      <c r="Q620" s="31" t="s">
        <v>307</v>
      </c>
      <c r="R620" s="35">
        <v>35727.0</v>
      </c>
      <c r="S620" s="31" t="s">
        <v>676</v>
      </c>
      <c r="T620" s="31" t="s">
        <v>459</v>
      </c>
      <c r="U620" s="31" t="s">
        <v>480</v>
      </c>
      <c r="V620" s="31" t="s">
        <v>3034</v>
      </c>
      <c r="W620" s="34"/>
    </row>
    <row r="621">
      <c r="A621" s="30">
        <v>616.0</v>
      </c>
      <c r="B621" s="31" t="s">
        <v>3038</v>
      </c>
      <c r="C621" s="31" t="s">
        <v>3039</v>
      </c>
      <c r="D621" s="31" t="s">
        <v>452</v>
      </c>
      <c r="E621" s="31" t="s">
        <v>3040</v>
      </c>
      <c r="F621" s="32">
        <v>44746.0</v>
      </c>
      <c r="G621" s="32">
        <v>44808.0</v>
      </c>
      <c r="H621" s="31" t="s">
        <v>453</v>
      </c>
      <c r="I621" s="31" t="s">
        <v>454</v>
      </c>
      <c r="J621" s="31" t="s">
        <v>3041</v>
      </c>
      <c r="K621" s="31" t="s">
        <v>3042</v>
      </c>
      <c r="L621" s="31" t="s">
        <v>456</v>
      </c>
      <c r="M621" s="31" t="s">
        <v>3043</v>
      </c>
      <c r="N621" s="31" t="s">
        <v>267</v>
      </c>
      <c r="O621" s="34"/>
      <c r="P621" s="34"/>
      <c r="Q621" s="31" t="s">
        <v>307</v>
      </c>
      <c r="R621" s="35">
        <v>36508.0</v>
      </c>
      <c r="S621" s="31" t="s">
        <v>3044</v>
      </c>
      <c r="T621" s="31" t="s">
        <v>985</v>
      </c>
      <c r="U621" s="31" t="s">
        <v>480</v>
      </c>
      <c r="V621" s="31" t="s">
        <v>3040</v>
      </c>
      <c r="W621" s="34"/>
    </row>
    <row r="622">
      <c r="A622" s="30">
        <v>617.0</v>
      </c>
      <c r="B622" s="31" t="s">
        <v>3045</v>
      </c>
      <c r="C622" s="31" t="s">
        <v>3046</v>
      </c>
      <c r="D622" s="31" t="s">
        <v>472</v>
      </c>
      <c r="E622" s="31" t="s">
        <v>3047</v>
      </c>
      <c r="F622" s="32">
        <v>43525.0</v>
      </c>
      <c r="G622" s="32">
        <v>43586.0</v>
      </c>
      <c r="H622" s="31" t="s">
        <v>453</v>
      </c>
      <c r="I622" s="31" t="s">
        <v>454</v>
      </c>
      <c r="J622" s="31" t="s">
        <v>3048</v>
      </c>
      <c r="K622" s="31" t="s">
        <v>3049</v>
      </c>
      <c r="L622" s="31" t="s">
        <v>3050</v>
      </c>
      <c r="M622" s="31" t="s">
        <v>3051</v>
      </c>
      <c r="N622" s="31" t="s">
        <v>467</v>
      </c>
      <c r="O622" s="34"/>
      <c r="P622" s="34"/>
      <c r="Q622" s="31" t="s">
        <v>307</v>
      </c>
      <c r="R622" s="32">
        <v>34804.0</v>
      </c>
      <c r="S622" s="31" t="s">
        <v>560</v>
      </c>
      <c r="T622" s="31" t="s">
        <v>3052</v>
      </c>
      <c r="U622" s="31" t="s">
        <v>480</v>
      </c>
      <c r="V622" s="31" t="s">
        <v>3047</v>
      </c>
      <c r="W622" s="34"/>
    </row>
    <row r="623">
      <c r="A623" s="30">
        <v>618.0</v>
      </c>
      <c r="B623" s="31" t="s">
        <v>3053</v>
      </c>
      <c r="C623" s="31" t="s">
        <v>3054</v>
      </c>
      <c r="D623" s="31" t="s">
        <v>472</v>
      </c>
      <c r="E623" s="31" t="s">
        <v>3055</v>
      </c>
      <c r="F623" s="32">
        <v>45341.0</v>
      </c>
      <c r="G623" s="32">
        <v>45401.0</v>
      </c>
      <c r="H623" s="31" t="s">
        <v>453</v>
      </c>
      <c r="I623" s="31" t="s">
        <v>555</v>
      </c>
      <c r="J623" s="31" t="s">
        <v>556</v>
      </c>
      <c r="K623" s="31" t="s">
        <v>3056</v>
      </c>
      <c r="L623" s="31" t="s">
        <v>476</v>
      </c>
      <c r="M623" s="31" t="s">
        <v>3057</v>
      </c>
      <c r="N623" s="31" t="s">
        <v>467</v>
      </c>
      <c r="O623" s="34"/>
      <c r="P623" s="34"/>
      <c r="Q623" s="31" t="s">
        <v>307</v>
      </c>
      <c r="R623" s="32">
        <v>37455.0</v>
      </c>
      <c r="S623" s="31" t="s">
        <v>560</v>
      </c>
      <c r="T623" s="31" t="s">
        <v>592</v>
      </c>
      <c r="U623" s="31" t="s">
        <v>480</v>
      </c>
      <c r="V623" s="31" t="s">
        <v>3055</v>
      </c>
      <c r="W623" s="34"/>
    </row>
    <row r="624">
      <c r="A624" s="30">
        <v>619.0</v>
      </c>
      <c r="B624" s="31" t="s">
        <v>3058</v>
      </c>
      <c r="C624" s="31" t="s">
        <v>333</v>
      </c>
      <c r="D624" s="31" t="s">
        <v>260</v>
      </c>
      <c r="E624" s="31" t="s">
        <v>2090</v>
      </c>
      <c r="F624" s="32">
        <v>45397.0</v>
      </c>
      <c r="G624" s="33"/>
      <c r="H624" s="31" t="s">
        <v>262</v>
      </c>
      <c r="I624" s="31" t="s">
        <v>275</v>
      </c>
      <c r="J624" s="31" t="s">
        <v>2090</v>
      </c>
      <c r="K624" s="31" t="s">
        <v>2091</v>
      </c>
      <c r="L624" s="31" t="s">
        <v>277</v>
      </c>
      <c r="M624" s="31" t="s">
        <v>3059</v>
      </c>
      <c r="N624" s="31" t="s">
        <v>267</v>
      </c>
      <c r="O624" s="34"/>
      <c r="P624" s="31">
        <v>1.0</v>
      </c>
      <c r="Q624" s="31" t="s">
        <v>268</v>
      </c>
      <c r="R624" s="32">
        <v>37486.0</v>
      </c>
      <c r="S624" s="31" t="s">
        <v>320</v>
      </c>
      <c r="T624" s="31" t="s">
        <v>3060</v>
      </c>
      <c r="U624" s="31" t="s">
        <v>271</v>
      </c>
      <c r="V624" s="34"/>
      <c r="W624" s="34"/>
    </row>
    <row r="625">
      <c r="A625" s="30">
        <v>620.0</v>
      </c>
      <c r="B625" s="31" t="s">
        <v>3061</v>
      </c>
      <c r="C625" s="31" t="s">
        <v>3062</v>
      </c>
      <c r="D625" s="31" t="s">
        <v>506</v>
      </c>
      <c r="E625" s="31" t="s">
        <v>2079</v>
      </c>
      <c r="F625" s="32">
        <v>45397.0</v>
      </c>
      <c r="G625" s="33"/>
      <c r="H625" s="31" t="s">
        <v>262</v>
      </c>
      <c r="I625" s="31" t="s">
        <v>275</v>
      </c>
      <c r="J625" s="31" t="s">
        <v>2079</v>
      </c>
      <c r="K625" s="31" t="s">
        <v>2080</v>
      </c>
      <c r="L625" s="31" t="s">
        <v>2081</v>
      </c>
      <c r="M625" s="31" t="s">
        <v>3063</v>
      </c>
      <c r="N625" s="31" t="s">
        <v>267</v>
      </c>
      <c r="O625" s="34"/>
      <c r="P625" s="31">
        <v>1.0</v>
      </c>
      <c r="Q625" s="31" t="s">
        <v>268</v>
      </c>
      <c r="R625" s="32">
        <v>37046.0</v>
      </c>
      <c r="S625" s="31" t="s">
        <v>3064</v>
      </c>
      <c r="T625" s="31" t="s">
        <v>3065</v>
      </c>
      <c r="U625" s="31" t="s">
        <v>271</v>
      </c>
      <c r="V625" s="34"/>
      <c r="W625" s="34"/>
    </row>
    <row r="626">
      <c r="A626" s="30">
        <v>621.0</v>
      </c>
      <c r="B626" s="31" t="s">
        <v>3066</v>
      </c>
      <c r="C626" s="31" t="s">
        <v>3067</v>
      </c>
      <c r="D626" s="31" t="s">
        <v>313</v>
      </c>
      <c r="E626" s="31" t="s">
        <v>3068</v>
      </c>
      <c r="F626" s="32">
        <v>45397.0</v>
      </c>
      <c r="G626" s="33"/>
      <c r="H626" s="31" t="s">
        <v>2811</v>
      </c>
      <c r="I626" s="31" t="s">
        <v>2797</v>
      </c>
      <c r="J626" s="31" t="s">
        <v>3068</v>
      </c>
      <c r="K626" s="31" t="s">
        <v>3069</v>
      </c>
      <c r="L626" s="31" t="s">
        <v>318</v>
      </c>
      <c r="M626" s="31" t="s">
        <v>3070</v>
      </c>
      <c r="N626" s="31" t="s">
        <v>267</v>
      </c>
      <c r="O626" s="34"/>
      <c r="P626" s="31">
        <v>1.0</v>
      </c>
      <c r="Q626" s="31" t="s">
        <v>268</v>
      </c>
      <c r="R626" s="32">
        <v>37509.0</v>
      </c>
      <c r="S626" s="31" t="s">
        <v>320</v>
      </c>
      <c r="T626" s="31" t="s">
        <v>3071</v>
      </c>
      <c r="U626" s="31" t="s">
        <v>2914</v>
      </c>
      <c r="V626" s="34"/>
      <c r="W626" s="34"/>
    </row>
    <row r="627">
      <c r="A627" s="30">
        <v>622.0</v>
      </c>
      <c r="B627" s="31" t="s">
        <v>3072</v>
      </c>
      <c r="C627" s="31" t="s">
        <v>3073</v>
      </c>
      <c r="D627" s="31" t="s">
        <v>260</v>
      </c>
      <c r="E627" s="31" t="s">
        <v>2858</v>
      </c>
      <c r="F627" s="32">
        <v>45398.0</v>
      </c>
      <c r="G627" s="33"/>
      <c r="H627" s="31" t="s">
        <v>2811</v>
      </c>
      <c r="I627" s="31" t="s">
        <v>2768</v>
      </c>
      <c r="J627" s="31" t="s">
        <v>2858</v>
      </c>
      <c r="K627" s="31" t="s">
        <v>3074</v>
      </c>
      <c r="L627" s="31" t="s">
        <v>392</v>
      </c>
      <c r="M627" s="31" t="s">
        <v>3075</v>
      </c>
      <c r="N627" s="31" t="s">
        <v>267</v>
      </c>
      <c r="O627" s="34"/>
      <c r="P627" s="31">
        <v>1.0</v>
      </c>
      <c r="Q627" s="31" t="s">
        <v>268</v>
      </c>
      <c r="R627" s="32">
        <v>36308.0</v>
      </c>
      <c r="S627" s="31" t="s">
        <v>3076</v>
      </c>
      <c r="T627" s="31" t="s">
        <v>3077</v>
      </c>
      <c r="U627" s="31" t="s">
        <v>2914</v>
      </c>
      <c r="V627" s="34"/>
      <c r="W627" s="34"/>
    </row>
    <row r="628">
      <c r="A628" s="30">
        <v>623.0</v>
      </c>
      <c r="B628" s="31" t="s">
        <v>3078</v>
      </c>
      <c r="C628" s="31" t="s">
        <v>3079</v>
      </c>
      <c r="D628" s="31" t="s">
        <v>260</v>
      </c>
      <c r="E628" s="31" t="s">
        <v>2767</v>
      </c>
      <c r="F628" s="32">
        <v>45398.0</v>
      </c>
      <c r="G628" s="33"/>
      <c r="H628" s="31" t="s">
        <v>2811</v>
      </c>
      <c r="I628" s="31" t="s">
        <v>2768</v>
      </c>
      <c r="J628" s="31" t="s">
        <v>2767</v>
      </c>
      <c r="K628" s="31" t="s">
        <v>3080</v>
      </c>
      <c r="L628" s="31" t="s">
        <v>392</v>
      </c>
      <c r="M628" s="31" t="s">
        <v>3081</v>
      </c>
      <c r="N628" s="31" t="s">
        <v>267</v>
      </c>
      <c r="O628" s="34"/>
      <c r="P628" s="31">
        <v>1.0</v>
      </c>
      <c r="Q628" s="31" t="s">
        <v>268</v>
      </c>
      <c r="R628" s="32">
        <v>34862.0</v>
      </c>
      <c r="S628" s="31" t="s">
        <v>3082</v>
      </c>
      <c r="T628" s="31" t="s">
        <v>2913</v>
      </c>
      <c r="U628" s="31" t="s">
        <v>2914</v>
      </c>
      <c r="V628" s="34"/>
      <c r="W628" s="34"/>
    </row>
    <row r="629">
      <c r="A629" s="30">
        <v>624.0</v>
      </c>
      <c r="B629" s="31" t="s">
        <v>3083</v>
      </c>
      <c r="C629" s="31" t="s">
        <v>3084</v>
      </c>
      <c r="D629" s="31" t="s">
        <v>472</v>
      </c>
      <c r="E629" s="31" t="s">
        <v>3085</v>
      </c>
      <c r="F629" s="35">
        <v>44886.0</v>
      </c>
      <c r="G629" s="32">
        <v>44947.0</v>
      </c>
      <c r="H629" s="31" t="s">
        <v>2924</v>
      </c>
      <c r="I629" s="31" t="s">
        <v>75</v>
      </c>
      <c r="J629" s="31" t="s">
        <v>3086</v>
      </c>
      <c r="K629" s="31" t="s">
        <v>3087</v>
      </c>
      <c r="L629" s="31" t="s">
        <v>3088</v>
      </c>
      <c r="M629" s="31" t="s">
        <v>3089</v>
      </c>
      <c r="N629" s="31" t="s">
        <v>467</v>
      </c>
      <c r="O629" s="34"/>
      <c r="P629" s="34"/>
      <c r="Q629" s="31" t="s">
        <v>307</v>
      </c>
      <c r="R629" s="32">
        <v>36770.0</v>
      </c>
      <c r="S629" s="31" t="s">
        <v>591</v>
      </c>
      <c r="T629" s="31" t="s">
        <v>3090</v>
      </c>
      <c r="U629" s="31" t="s">
        <v>460</v>
      </c>
      <c r="V629" s="31" t="s">
        <v>3085</v>
      </c>
      <c r="W629" s="34"/>
    </row>
    <row r="630">
      <c r="A630" s="30">
        <v>625.0</v>
      </c>
      <c r="B630" s="31" t="s">
        <v>3091</v>
      </c>
      <c r="C630" s="31" t="s">
        <v>939</v>
      </c>
      <c r="D630" s="31" t="s">
        <v>3092</v>
      </c>
      <c r="E630" s="31" t="s">
        <v>75</v>
      </c>
      <c r="F630" s="32">
        <v>44600.0</v>
      </c>
      <c r="G630" s="32">
        <v>44659.0</v>
      </c>
      <c r="H630" s="31" t="s">
        <v>2924</v>
      </c>
      <c r="I630" s="31" t="s">
        <v>75</v>
      </c>
      <c r="J630" s="34"/>
      <c r="K630" s="31" t="s">
        <v>3093</v>
      </c>
      <c r="L630" s="31" t="s">
        <v>3094</v>
      </c>
      <c r="M630" s="31" t="s">
        <v>3095</v>
      </c>
      <c r="N630" s="31" t="s">
        <v>267</v>
      </c>
      <c r="O630" s="34"/>
      <c r="P630" s="34"/>
      <c r="Q630" s="31" t="s">
        <v>307</v>
      </c>
      <c r="R630" s="35">
        <v>33893.0</v>
      </c>
      <c r="S630" s="31" t="s">
        <v>3096</v>
      </c>
      <c r="T630" s="31" t="s">
        <v>469</v>
      </c>
      <c r="U630" s="31" t="s">
        <v>460</v>
      </c>
      <c r="V630" s="34"/>
      <c r="W630" s="34"/>
    </row>
    <row r="631">
      <c r="A631" s="30">
        <v>626.0</v>
      </c>
      <c r="B631" s="31" t="s">
        <v>3097</v>
      </c>
      <c r="C631" s="31" t="s">
        <v>3098</v>
      </c>
      <c r="D631" s="31" t="s">
        <v>452</v>
      </c>
      <c r="E631" s="31" t="s">
        <v>3099</v>
      </c>
      <c r="F631" s="32">
        <v>44293.0</v>
      </c>
      <c r="G631" s="32">
        <v>44354.0</v>
      </c>
      <c r="H631" s="31" t="s">
        <v>2924</v>
      </c>
      <c r="I631" s="31" t="s">
        <v>75</v>
      </c>
      <c r="J631" s="31" t="s">
        <v>3100</v>
      </c>
      <c r="K631" s="31" t="s">
        <v>3101</v>
      </c>
      <c r="L631" s="31" t="s">
        <v>3102</v>
      </c>
      <c r="M631" s="31" t="s">
        <v>3103</v>
      </c>
      <c r="N631" s="31" t="s">
        <v>267</v>
      </c>
      <c r="O631" s="34"/>
      <c r="P631" s="34"/>
      <c r="Q631" s="31" t="s">
        <v>307</v>
      </c>
      <c r="R631" s="32">
        <v>34780.0</v>
      </c>
      <c r="S631" s="31" t="s">
        <v>458</v>
      </c>
      <c r="T631" s="31" t="s">
        <v>778</v>
      </c>
      <c r="U631" s="31" t="s">
        <v>460</v>
      </c>
      <c r="V631" s="31" t="s">
        <v>3099</v>
      </c>
      <c r="W631" s="34"/>
    </row>
    <row r="632">
      <c r="A632" s="30">
        <v>627.0</v>
      </c>
      <c r="B632" s="31" t="s">
        <v>3104</v>
      </c>
      <c r="C632" s="31" t="s">
        <v>3105</v>
      </c>
      <c r="D632" s="31" t="s">
        <v>3106</v>
      </c>
      <c r="E632" s="31" t="s">
        <v>75</v>
      </c>
      <c r="F632" s="32">
        <v>43881.0</v>
      </c>
      <c r="G632" s="32">
        <v>43941.0</v>
      </c>
      <c r="H632" s="31" t="s">
        <v>2924</v>
      </c>
      <c r="I632" s="31" t="s">
        <v>75</v>
      </c>
      <c r="J632" s="34"/>
      <c r="K632" s="31" t="s">
        <v>3093</v>
      </c>
      <c r="L632" s="31" t="s">
        <v>3107</v>
      </c>
      <c r="M632" s="31" t="s">
        <v>3108</v>
      </c>
      <c r="N632" s="31" t="s">
        <v>467</v>
      </c>
      <c r="O632" s="34"/>
      <c r="P632" s="34"/>
      <c r="Q632" s="31" t="s">
        <v>307</v>
      </c>
      <c r="R632" s="32">
        <v>36267.0</v>
      </c>
      <c r="S632" s="31" t="s">
        <v>560</v>
      </c>
      <c r="T632" s="31" t="s">
        <v>479</v>
      </c>
      <c r="U632" s="31" t="s">
        <v>460</v>
      </c>
      <c r="V632" s="34"/>
      <c r="W632" s="34"/>
    </row>
    <row r="633">
      <c r="A633" s="30">
        <v>628.0</v>
      </c>
      <c r="B633" s="31" t="s">
        <v>3109</v>
      </c>
      <c r="C633" s="31" t="s">
        <v>3110</v>
      </c>
      <c r="D633" s="31" t="s">
        <v>3111</v>
      </c>
      <c r="E633" s="31" t="s">
        <v>3112</v>
      </c>
      <c r="F633" s="32">
        <v>43325.0</v>
      </c>
      <c r="G633" s="35">
        <v>43386.0</v>
      </c>
      <c r="H633" s="31" t="s">
        <v>2924</v>
      </c>
      <c r="I633" s="31" t="s">
        <v>187</v>
      </c>
      <c r="J633" s="31" t="s">
        <v>3112</v>
      </c>
      <c r="K633" s="31" t="s">
        <v>3113</v>
      </c>
      <c r="L633" s="31" t="s">
        <v>3114</v>
      </c>
      <c r="M633" s="31" t="s">
        <v>3115</v>
      </c>
      <c r="N633" s="31" t="s">
        <v>267</v>
      </c>
      <c r="O633" s="34"/>
      <c r="P633" s="34"/>
      <c r="Q633" s="31" t="s">
        <v>307</v>
      </c>
      <c r="R633" s="32">
        <v>34767.0</v>
      </c>
      <c r="S633" s="31" t="s">
        <v>1800</v>
      </c>
      <c r="T633" s="31" t="s">
        <v>3116</v>
      </c>
      <c r="U633" s="31" t="s">
        <v>460</v>
      </c>
      <c r="V633" s="34"/>
      <c r="W633" s="34"/>
    </row>
    <row r="634">
      <c r="A634" s="30">
        <v>629.0</v>
      </c>
      <c r="B634" s="31" t="s">
        <v>3117</v>
      </c>
      <c r="C634" s="31" t="s">
        <v>3118</v>
      </c>
      <c r="D634" s="31" t="s">
        <v>472</v>
      </c>
      <c r="E634" s="31" t="s">
        <v>3099</v>
      </c>
      <c r="F634" s="32">
        <v>44809.0</v>
      </c>
      <c r="G634" s="32">
        <v>44870.0</v>
      </c>
      <c r="H634" s="31" t="s">
        <v>2924</v>
      </c>
      <c r="I634" s="31" t="s">
        <v>75</v>
      </c>
      <c r="J634" s="31" t="s">
        <v>3100</v>
      </c>
      <c r="K634" s="31" t="s">
        <v>3101</v>
      </c>
      <c r="L634" s="31" t="s">
        <v>3088</v>
      </c>
      <c r="M634" s="31" t="s">
        <v>3119</v>
      </c>
      <c r="N634" s="31" t="s">
        <v>467</v>
      </c>
      <c r="O634" s="34"/>
      <c r="P634" s="34"/>
      <c r="Q634" s="31" t="s">
        <v>307</v>
      </c>
      <c r="R634" s="32">
        <v>37139.0</v>
      </c>
      <c r="S634" s="31" t="s">
        <v>560</v>
      </c>
      <c r="T634" s="31" t="s">
        <v>1127</v>
      </c>
      <c r="U634" s="31" t="s">
        <v>460</v>
      </c>
      <c r="V634" s="31" t="s">
        <v>3099</v>
      </c>
      <c r="W634" s="34"/>
    </row>
    <row r="635">
      <c r="A635" s="30">
        <v>630.0</v>
      </c>
      <c r="B635" s="31" t="s">
        <v>3120</v>
      </c>
      <c r="C635" s="31" t="s">
        <v>3121</v>
      </c>
      <c r="D635" s="31" t="s">
        <v>3122</v>
      </c>
      <c r="E635" s="31" t="s">
        <v>75</v>
      </c>
      <c r="F635" s="32">
        <v>42676.0</v>
      </c>
      <c r="G635" s="32">
        <v>42737.0</v>
      </c>
      <c r="H635" s="31" t="s">
        <v>2924</v>
      </c>
      <c r="I635" s="31" t="s">
        <v>75</v>
      </c>
      <c r="J635" s="34"/>
      <c r="K635" s="31" t="s">
        <v>3093</v>
      </c>
      <c r="L635" s="31" t="s">
        <v>3123</v>
      </c>
      <c r="M635" s="31" t="s">
        <v>3124</v>
      </c>
      <c r="N635" s="31" t="s">
        <v>267</v>
      </c>
      <c r="O635" s="34"/>
      <c r="P635" s="34"/>
      <c r="Q635" s="31" t="s">
        <v>307</v>
      </c>
      <c r="R635" s="35">
        <v>31339.0</v>
      </c>
      <c r="S635" s="31" t="s">
        <v>490</v>
      </c>
      <c r="T635" s="31" t="s">
        <v>3125</v>
      </c>
      <c r="U635" s="31" t="s">
        <v>460</v>
      </c>
      <c r="V635" s="34"/>
      <c r="W635" s="34"/>
    </row>
    <row r="636">
      <c r="A636" s="30">
        <v>631.0</v>
      </c>
      <c r="B636" s="31" t="s">
        <v>3126</v>
      </c>
      <c r="C636" s="31" t="s">
        <v>3127</v>
      </c>
      <c r="D636" s="31" t="s">
        <v>463</v>
      </c>
      <c r="E636" s="31" t="s">
        <v>3085</v>
      </c>
      <c r="F636" s="32">
        <v>43171.0</v>
      </c>
      <c r="G636" s="32">
        <v>43171.0</v>
      </c>
      <c r="H636" s="31" t="s">
        <v>2924</v>
      </c>
      <c r="I636" s="31" t="s">
        <v>75</v>
      </c>
      <c r="J636" s="31" t="s">
        <v>3086</v>
      </c>
      <c r="K636" s="31" t="s">
        <v>3087</v>
      </c>
      <c r="L636" s="31" t="s">
        <v>3128</v>
      </c>
      <c r="M636" s="31" t="s">
        <v>3129</v>
      </c>
      <c r="N636" s="31" t="s">
        <v>467</v>
      </c>
      <c r="O636" s="31">
        <v>2.0</v>
      </c>
      <c r="P636" s="34"/>
      <c r="Q636" s="31" t="s">
        <v>307</v>
      </c>
      <c r="R636" s="32">
        <v>35288.0</v>
      </c>
      <c r="S636" s="31" t="s">
        <v>560</v>
      </c>
      <c r="T636" s="31" t="s">
        <v>479</v>
      </c>
      <c r="U636" s="31" t="s">
        <v>460</v>
      </c>
      <c r="V636" s="31" t="s">
        <v>3085</v>
      </c>
      <c r="W636" s="34"/>
    </row>
    <row r="637">
      <c r="A637" s="30">
        <v>632.0</v>
      </c>
      <c r="B637" s="31" t="s">
        <v>3130</v>
      </c>
      <c r="C637" s="31" t="s">
        <v>3131</v>
      </c>
      <c r="D637" s="31" t="s">
        <v>3132</v>
      </c>
      <c r="E637" s="31" t="s">
        <v>3133</v>
      </c>
      <c r="F637" s="32">
        <v>44035.0</v>
      </c>
      <c r="G637" s="32">
        <v>44097.0</v>
      </c>
      <c r="H637" s="31" t="s">
        <v>2924</v>
      </c>
      <c r="I637" s="31" t="s">
        <v>75</v>
      </c>
      <c r="J637" s="31" t="s">
        <v>3086</v>
      </c>
      <c r="K637" s="31" t="s">
        <v>3134</v>
      </c>
      <c r="L637" s="31" t="s">
        <v>3135</v>
      </c>
      <c r="M637" s="31" t="s">
        <v>3136</v>
      </c>
      <c r="N637" s="31" t="s">
        <v>267</v>
      </c>
      <c r="O637" s="31">
        <v>2.0</v>
      </c>
      <c r="P637" s="34"/>
      <c r="Q637" s="31" t="s">
        <v>307</v>
      </c>
      <c r="R637" s="35">
        <v>34268.0</v>
      </c>
      <c r="S637" s="31" t="s">
        <v>458</v>
      </c>
      <c r="T637" s="31" t="s">
        <v>686</v>
      </c>
      <c r="U637" s="31" t="s">
        <v>460</v>
      </c>
      <c r="V637" s="31" t="s">
        <v>3133</v>
      </c>
      <c r="W637" s="34"/>
    </row>
    <row r="638">
      <c r="A638" s="30">
        <v>633.0</v>
      </c>
      <c r="B638" s="31" t="s">
        <v>3137</v>
      </c>
      <c r="C638" s="31" t="s">
        <v>3138</v>
      </c>
      <c r="D638" s="31" t="s">
        <v>472</v>
      </c>
      <c r="E638" s="31" t="s">
        <v>3085</v>
      </c>
      <c r="F638" s="32">
        <v>44327.0</v>
      </c>
      <c r="G638" s="32">
        <v>44388.0</v>
      </c>
      <c r="H638" s="31" t="s">
        <v>2924</v>
      </c>
      <c r="I638" s="31" t="s">
        <v>75</v>
      </c>
      <c r="J638" s="31" t="s">
        <v>3086</v>
      </c>
      <c r="K638" s="31" t="s">
        <v>3087</v>
      </c>
      <c r="L638" s="31" t="s">
        <v>3088</v>
      </c>
      <c r="M638" s="31" t="s">
        <v>3139</v>
      </c>
      <c r="N638" s="31" t="s">
        <v>467</v>
      </c>
      <c r="O638" s="34"/>
      <c r="P638" s="34"/>
      <c r="Q638" s="31" t="s">
        <v>307</v>
      </c>
      <c r="R638" s="35">
        <v>36889.0</v>
      </c>
      <c r="S638" s="31" t="s">
        <v>472</v>
      </c>
      <c r="T638" s="31" t="s">
        <v>3140</v>
      </c>
      <c r="U638" s="31" t="s">
        <v>460</v>
      </c>
      <c r="V638" s="31" t="s">
        <v>3085</v>
      </c>
      <c r="W638" s="34"/>
    </row>
    <row r="639">
      <c r="A639" s="30">
        <v>634.0</v>
      </c>
      <c r="B639" s="31" t="s">
        <v>3141</v>
      </c>
      <c r="C639" s="31" t="s">
        <v>3142</v>
      </c>
      <c r="D639" s="31" t="s">
        <v>472</v>
      </c>
      <c r="E639" s="31" t="s">
        <v>3085</v>
      </c>
      <c r="F639" s="32">
        <v>44228.0</v>
      </c>
      <c r="G639" s="32">
        <v>44287.0</v>
      </c>
      <c r="H639" s="31" t="s">
        <v>2924</v>
      </c>
      <c r="I639" s="31" t="s">
        <v>75</v>
      </c>
      <c r="J639" s="31" t="s">
        <v>3086</v>
      </c>
      <c r="K639" s="31" t="s">
        <v>3087</v>
      </c>
      <c r="L639" s="31" t="s">
        <v>3088</v>
      </c>
      <c r="M639" s="31" t="s">
        <v>3143</v>
      </c>
      <c r="N639" s="31" t="s">
        <v>467</v>
      </c>
      <c r="O639" s="34"/>
      <c r="P639" s="34"/>
      <c r="Q639" s="31" t="s">
        <v>307</v>
      </c>
      <c r="R639" s="32">
        <v>36437.0</v>
      </c>
      <c r="S639" s="31" t="s">
        <v>560</v>
      </c>
      <c r="T639" s="31" t="s">
        <v>503</v>
      </c>
      <c r="U639" s="31" t="s">
        <v>460</v>
      </c>
      <c r="V639" s="31" t="s">
        <v>3085</v>
      </c>
      <c r="W639" s="34"/>
    </row>
    <row r="640">
      <c r="A640" s="30">
        <v>635.0</v>
      </c>
      <c r="B640" s="31" t="s">
        <v>3144</v>
      </c>
      <c r="C640" s="31" t="s">
        <v>3145</v>
      </c>
      <c r="D640" s="31" t="s">
        <v>472</v>
      </c>
      <c r="E640" s="31" t="s">
        <v>3085</v>
      </c>
      <c r="F640" s="32">
        <v>44470.0</v>
      </c>
      <c r="G640" s="32">
        <v>44531.0</v>
      </c>
      <c r="H640" s="31" t="s">
        <v>2924</v>
      </c>
      <c r="I640" s="31" t="s">
        <v>75</v>
      </c>
      <c r="J640" s="31" t="s">
        <v>3086</v>
      </c>
      <c r="K640" s="31" t="s">
        <v>3087</v>
      </c>
      <c r="L640" s="31" t="s">
        <v>3088</v>
      </c>
      <c r="M640" s="31" t="s">
        <v>3146</v>
      </c>
      <c r="N640" s="31" t="s">
        <v>267</v>
      </c>
      <c r="O640" s="34"/>
      <c r="P640" s="34"/>
      <c r="Q640" s="31" t="s">
        <v>307</v>
      </c>
      <c r="R640" s="32">
        <v>36788.0</v>
      </c>
      <c r="S640" s="31" t="s">
        <v>560</v>
      </c>
      <c r="T640" s="31" t="s">
        <v>3147</v>
      </c>
      <c r="U640" s="31" t="s">
        <v>460</v>
      </c>
      <c r="V640" s="31" t="s">
        <v>3085</v>
      </c>
      <c r="W640" s="34"/>
    </row>
    <row r="641">
      <c r="A641" s="30">
        <v>636.0</v>
      </c>
      <c r="B641" s="31" t="s">
        <v>3148</v>
      </c>
      <c r="C641" s="31" t="s">
        <v>3149</v>
      </c>
      <c r="D641" s="31" t="s">
        <v>452</v>
      </c>
      <c r="E641" s="31" t="s">
        <v>3133</v>
      </c>
      <c r="F641" s="32">
        <v>44648.0</v>
      </c>
      <c r="G641" s="32">
        <v>44709.0</v>
      </c>
      <c r="H641" s="31" t="s">
        <v>2924</v>
      </c>
      <c r="I641" s="31" t="s">
        <v>75</v>
      </c>
      <c r="J641" s="31" t="s">
        <v>3086</v>
      </c>
      <c r="K641" s="31" t="s">
        <v>3134</v>
      </c>
      <c r="L641" s="31" t="s">
        <v>3102</v>
      </c>
      <c r="M641" s="31" t="s">
        <v>3150</v>
      </c>
      <c r="N641" s="31" t="s">
        <v>267</v>
      </c>
      <c r="O641" s="34"/>
      <c r="P641" s="34"/>
      <c r="Q641" s="31" t="s">
        <v>307</v>
      </c>
      <c r="R641" s="32">
        <v>34112.0</v>
      </c>
      <c r="S641" s="31" t="s">
        <v>3151</v>
      </c>
      <c r="T641" s="31" t="s">
        <v>686</v>
      </c>
      <c r="U641" s="31" t="s">
        <v>460</v>
      </c>
      <c r="V641" s="31" t="s">
        <v>3133</v>
      </c>
      <c r="W641" s="34"/>
    </row>
    <row r="642">
      <c r="A642" s="30">
        <v>637.0</v>
      </c>
      <c r="B642" s="31" t="s">
        <v>3152</v>
      </c>
      <c r="C642" s="31" t="s">
        <v>3153</v>
      </c>
      <c r="D642" s="31" t="s">
        <v>472</v>
      </c>
      <c r="E642" s="31" t="s">
        <v>3085</v>
      </c>
      <c r="F642" s="32">
        <v>44802.0</v>
      </c>
      <c r="G642" s="35">
        <v>44863.0</v>
      </c>
      <c r="H642" s="31" t="s">
        <v>2924</v>
      </c>
      <c r="I642" s="31" t="s">
        <v>75</v>
      </c>
      <c r="J642" s="31" t="s">
        <v>3086</v>
      </c>
      <c r="K642" s="31" t="s">
        <v>3087</v>
      </c>
      <c r="L642" s="31" t="s">
        <v>3088</v>
      </c>
      <c r="M642" s="31" t="s">
        <v>3154</v>
      </c>
      <c r="N642" s="31" t="s">
        <v>467</v>
      </c>
      <c r="O642" s="34"/>
      <c r="P642" s="34"/>
      <c r="Q642" s="31" t="s">
        <v>307</v>
      </c>
      <c r="R642" s="32">
        <v>36535.0</v>
      </c>
      <c r="S642" s="31" t="s">
        <v>560</v>
      </c>
      <c r="T642" s="31" t="s">
        <v>3155</v>
      </c>
      <c r="U642" s="31" t="s">
        <v>460</v>
      </c>
      <c r="V642" s="31" t="s">
        <v>3085</v>
      </c>
      <c r="W642" s="34"/>
    </row>
    <row r="643">
      <c r="A643" s="30">
        <v>638.0</v>
      </c>
      <c r="B643" s="31" t="s">
        <v>3156</v>
      </c>
      <c r="C643" s="31" t="s">
        <v>3157</v>
      </c>
      <c r="D643" s="31" t="s">
        <v>452</v>
      </c>
      <c r="E643" s="31" t="s">
        <v>3133</v>
      </c>
      <c r="F643" s="32">
        <v>44838.0</v>
      </c>
      <c r="G643" s="32">
        <v>44899.0</v>
      </c>
      <c r="H643" s="31" t="s">
        <v>2924</v>
      </c>
      <c r="I643" s="31" t="s">
        <v>75</v>
      </c>
      <c r="J643" s="31" t="s">
        <v>3086</v>
      </c>
      <c r="K643" s="31" t="s">
        <v>3134</v>
      </c>
      <c r="L643" s="31" t="s">
        <v>3102</v>
      </c>
      <c r="M643" s="31" t="s">
        <v>3158</v>
      </c>
      <c r="N643" s="31" t="s">
        <v>467</v>
      </c>
      <c r="O643" s="34"/>
      <c r="P643" s="34"/>
      <c r="Q643" s="31" t="s">
        <v>307</v>
      </c>
      <c r="R643" s="35">
        <v>37246.0</v>
      </c>
      <c r="S643" s="31" t="s">
        <v>717</v>
      </c>
      <c r="T643" s="31" t="s">
        <v>3159</v>
      </c>
      <c r="U643" s="31" t="s">
        <v>460</v>
      </c>
      <c r="V643" s="31" t="s">
        <v>3133</v>
      </c>
      <c r="W643" s="34"/>
    </row>
    <row r="644">
      <c r="A644" s="30">
        <v>639.0</v>
      </c>
      <c r="B644" s="31" t="s">
        <v>3160</v>
      </c>
      <c r="C644" s="31" t="s">
        <v>3161</v>
      </c>
      <c r="D644" s="31" t="s">
        <v>3162</v>
      </c>
      <c r="E644" s="31" t="s">
        <v>3163</v>
      </c>
      <c r="F644" s="32">
        <v>44998.0</v>
      </c>
      <c r="G644" s="32">
        <v>45059.0</v>
      </c>
      <c r="H644" s="31" t="s">
        <v>453</v>
      </c>
      <c r="I644" s="31" t="s">
        <v>454</v>
      </c>
      <c r="J644" s="31" t="s">
        <v>3163</v>
      </c>
      <c r="K644" s="31" t="s">
        <v>3164</v>
      </c>
      <c r="L644" s="31" t="s">
        <v>3165</v>
      </c>
      <c r="M644" s="31" t="s">
        <v>3166</v>
      </c>
      <c r="N644" s="31" t="s">
        <v>267</v>
      </c>
      <c r="O644" s="34"/>
      <c r="P644" s="34"/>
      <c r="Q644" s="31" t="s">
        <v>307</v>
      </c>
      <c r="R644" s="32">
        <v>35099.0</v>
      </c>
      <c r="S644" s="31" t="s">
        <v>560</v>
      </c>
      <c r="T644" s="31" t="s">
        <v>3167</v>
      </c>
      <c r="U644" s="31" t="s">
        <v>460</v>
      </c>
      <c r="V644" s="34"/>
      <c r="W644" s="34"/>
    </row>
    <row r="645">
      <c r="A645" s="30">
        <v>640.0</v>
      </c>
      <c r="B645" s="31" t="s">
        <v>3168</v>
      </c>
      <c r="C645" s="31" t="s">
        <v>3169</v>
      </c>
      <c r="D645" s="31" t="s">
        <v>452</v>
      </c>
      <c r="E645" s="31" t="s">
        <v>3133</v>
      </c>
      <c r="F645" s="32">
        <v>44838.0</v>
      </c>
      <c r="G645" s="32">
        <v>44899.0</v>
      </c>
      <c r="H645" s="31" t="s">
        <v>2924</v>
      </c>
      <c r="I645" s="31" t="s">
        <v>75</v>
      </c>
      <c r="J645" s="31" t="s">
        <v>3086</v>
      </c>
      <c r="K645" s="31" t="s">
        <v>3134</v>
      </c>
      <c r="L645" s="31" t="s">
        <v>3102</v>
      </c>
      <c r="M645" s="31" t="s">
        <v>3170</v>
      </c>
      <c r="N645" s="31" t="s">
        <v>267</v>
      </c>
      <c r="O645" s="34"/>
      <c r="P645" s="34"/>
      <c r="Q645" s="31" t="s">
        <v>307</v>
      </c>
      <c r="R645" s="32">
        <v>37100.0</v>
      </c>
      <c r="S645" s="31" t="s">
        <v>320</v>
      </c>
      <c r="T645" s="31" t="s">
        <v>778</v>
      </c>
      <c r="U645" s="31" t="s">
        <v>460</v>
      </c>
      <c r="V645" s="31" t="s">
        <v>3133</v>
      </c>
      <c r="W645" s="34"/>
    </row>
    <row r="646">
      <c r="A646" s="30">
        <v>641.0</v>
      </c>
      <c r="B646" s="31" t="s">
        <v>3171</v>
      </c>
      <c r="C646" s="31" t="s">
        <v>3172</v>
      </c>
      <c r="D646" s="31" t="s">
        <v>472</v>
      </c>
      <c r="E646" s="31" t="s">
        <v>3085</v>
      </c>
      <c r="F646" s="35">
        <v>44886.0</v>
      </c>
      <c r="G646" s="32">
        <v>44947.0</v>
      </c>
      <c r="H646" s="31" t="s">
        <v>2924</v>
      </c>
      <c r="I646" s="31" t="s">
        <v>75</v>
      </c>
      <c r="J646" s="31" t="s">
        <v>3086</v>
      </c>
      <c r="K646" s="31" t="s">
        <v>3087</v>
      </c>
      <c r="L646" s="31" t="s">
        <v>3088</v>
      </c>
      <c r="M646" s="31" t="s">
        <v>3173</v>
      </c>
      <c r="N646" s="31" t="s">
        <v>467</v>
      </c>
      <c r="O646" s="34"/>
      <c r="P646" s="34"/>
      <c r="Q646" s="31" t="s">
        <v>307</v>
      </c>
      <c r="R646" s="32">
        <v>36805.0</v>
      </c>
      <c r="S646" s="34"/>
      <c r="T646" s="31" t="s">
        <v>3174</v>
      </c>
      <c r="U646" s="31" t="s">
        <v>460</v>
      </c>
      <c r="V646" s="31" t="s">
        <v>3085</v>
      </c>
      <c r="W646" s="34"/>
    </row>
    <row r="647">
      <c r="A647" s="30">
        <v>642.0</v>
      </c>
      <c r="B647" s="31" t="s">
        <v>3175</v>
      </c>
      <c r="C647" s="31" t="s">
        <v>3176</v>
      </c>
      <c r="D647" s="31" t="s">
        <v>472</v>
      </c>
      <c r="E647" s="31" t="s">
        <v>3085</v>
      </c>
      <c r="F647" s="32">
        <v>44802.0</v>
      </c>
      <c r="G647" s="35">
        <v>44863.0</v>
      </c>
      <c r="H647" s="31" t="s">
        <v>2924</v>
      </c>
      <c r="I647" s="31" t="s">
        <v>75</v>
      </c>
      <c r="J647" s="31" t="s">
        <v>3086</v>
      </c>
      <c r="K647" s="31" t="s">
        <v>3087</v>
      </c>
      <c r="L647" s="31" t="s">
        <v>3088</v>
      </c>
      <c r="M647" s="31" t="s">
        <v>3177</v>
      </c>
      <c r="N647" s="31" t="s">
        <v>467</v>
      </c>
      <c r="O647" s="34"/>
      <c r="P647" s="34"/>
      <c r="Q647" s="31" t="s">
        <v>307</v>
      </c>
      <c r="R647" s="32">
        <v>36767.0</v>
      </c>
      <c r="S647" s="31" t="s">
        <v>490</v>
      </c>
      <c r="T647" s="31" t="s">
        <v>3178</v>
      </c>
      <c r="U647" s="31" t="s">
        <v>460</v>
      </c>
      <c r="V647" s="31" t="s">
        <v>3085</v>
      </c>
      <c r="W647" s="34"/>
    </row>
    <row r="648">
      <c r="A648" s="30">
        <v>643.0</v>
      </c>
      <c r="B648" s="31" t="s">
        <v>3179</v>
      </c>
      <c r="C648" s="31" t="s">
        <v>3180</v>
      </c>
      <c r="D648" s="31" t="s">
        <v>3181</v>
      </c>
      <c r="E648" s="31" t="s">
        <v>1492</v>
      </c>
      <c r="F648" s="32">
        <v>42796.0</v>
      </c>
      <c r="G648" s="32">
        <v>42858.0</v>
      </c>
      <c r="H648" s="31" t="s">
        <v>346</v>
      </c>
      <c r="I648" s="31" t="s">
        <v>315</v>
      </c>
      <c r="J648" s="31" t="s">
        <v>1493</v>
      </c>
      <c r="K648" s="31" t="s">
        <v>1494</v>
      </c>
      <c r="L648" s="31" t="s">
        <v>3182</v>
      </c>
      <c r="M648" s="31" t="s">
        <v>3183</v>
      </c>
      <c r="N648" s="31" t="s">
        <v>467</v>
      </c>
      <c r="O648" s="31">
        <v>1.0</v>
      </c>
      <c r="P648" s="31">
        <v>10.0</v>
      </c>
      <c r="Q648" s="31" t="s">
        <v>307</v>
      </c>
      <c r="R648" s="32">
        <v>32768.0</v>
      </c>
      <c r="S648" s="31" t="s">
        <v>320</v>
      </c>
      <c r="T648" s="31" t="s">
        <v>3184</v>
      </c>
      <c r="U648" s="31" t="s">
        <v>352</v>
      </c>
      <c r="V648" s="31" t="s">
        <v>1492</v>
      </c>
      <c r="W648" s="34"/>
    </row>
    <row r="649">
      <c r="A649" s="30">
        <v>644.0</v>
      </c>
      <c r="B649" s="31" t="s">
        <v>3185</v>
      </c>
      <c r="C649" s="31" t="s">
        <v>3186</v>
      </c>
      <c r="D649" s="31" t="s">
        <v>615</v>
      </c>
      <c r="E649" s="31" t="s">
        <v>3187</v>
      </c>
      <c r="F649" s="32">
        <v>45117.0</v>
      </c>
      <c r="G649" s="32">
        <v>45177.0</v>
      </c>
      <c r="H649" s="31" t="s">
        <v>453</v>
      </c>
      <c r="I649" s="31" t="s">
        <v>454</v>
      </c>
      <c r="J649" s="31" t="s">
        <v>3188</v>
      </c>
      <c r="K649" s="31" t="s">
        <v>3189</v>
      </c>
      <c r="L649" s="31" t="s">
        <v>618</v>
      </c>
      <c r="M649" s="31" t="s">
        <v>3190</v>
      </c>
      <c r="N649" s="31" t="s">
        <v>467</v>
      </c>
      <c r="O649" s="34"/>
      <c r="P649" s="34"/>
      <c r="Q649" s="31" t="s">
        <v>307</v>
      </c>
      <c r="R649" s="32">
        <v>33916.0</v>
      </c>
      <c r="S649" s="31" t="s">
        <v>490</v>
      </c>
      <c r="T649" s="31" t="s">
        <v>596</v>
      </c>
      <c r="U649" s="31" t="s">
        <v>460</v>
      </c>
      <c r="V649" s="31" t="s">
        <v>3187</v>
      </c>
      <c r="W649" s="34"/>
    </row>
    <row r="650">
      <c r="A650" s="30">
        <v>645.0</v>
      </c>
      <c r="B650" s="31" t="s">
        <v>3191</v>
      </c>
      <c r="C650" s="31" t="s">
        <v>3192</v>
      </c>
      <c r="D650" s="31" t="s">
        <v>472</v>
      </c>
      <c r="E650" s="31" t="s">
        <v>3055</v>
      </c>
      <c r="F650" s="32">
        <v>43844.0</v>
      </c>
      <c r="G650" s="32">
        <v>43904.0</v>
      </c>
      <c r="H650" s="31" t="s">
        <v>453</v>
      </c>
      <c r="I650" s="31" t="s">
        <v>555</v>
      </c>
      <c r="J650" s="31" t="s">
        <v>556</v>
      </c>
      <c r="K650" s="31" t="s">
        <v>3056</v>
      </c>
      <c r="L650" s="31" t="s">
        <v>476</v>
      </c>
      <c r="M650" s="31" t="s">
        <v>3193</v>
      </c>
      <c r="N650" s="31" t="s">
        <v>267</v>
      </c>
      <c r="O650" s="34"/>
      <c r="P650" s="34"/>
      <c r="Q650" s="31" t="s">
        <v>307</v>
      </c>
      <c r="R650" s="32">
        <v>36053.0</v>
      </c>
      <c r="S650" s="31" t="s">
        <v>560</v>
      </c>
      <c r="T650" s="31" t="s">
        <v>496</v>
      </c>
      <c r="U650" s="31" t="s">
        <v>480</v>
      </c>
      <c r="V650" s="31" t="s">
        <v>3055</v>
      </c>
      <c r="W650" s="34"/>
    </row>
    <row r="651">
      <c r="A651" s="30">
        <v>646.0</v>
      </c>
      <c r="B651" s="31" t="s">
        <v>3194</v>
      </c>
      <c r="C651" s="31" t="s">
        <v>3195</v>
      </c>
      <c r="D651" s="31" t="s">
        <v>472</v>
      </c>
      <c r="E651" s="31" t="s">
        <v>554</v>
      </c>
      <c r="F651" s="32">
        <v>43549.0</v>
      </c>
      <c r="G651" s="32">
        <v>43610.0</v>
      </c>
      <c r="H651" s="31" t="s">
        <v>453</v>
      </c>
      <c r="I651" s="31" t="s">
        <v>555</v>
      </c>
      <c r="J651" s="31" t="s">
        <v>556</v>
      </c>
      <c r="K651" s="31" t="s">
        <v>557</v>
      </c>
      <c r="L651" s="31" t="s">
        <v>476</v>
      </c>
      <c r="M651" s="31" t="s">
        <v>3196</v>
      </c>
      <c r="N651" s="31" t="s">
        <v>467</v>
      </c>
      <c r="O651" s="34"/>
      <c r="P651" s="34"/>
      <c r="Q651" s="31" t="s">
        <v>307</v>
      </c>
      <c r="R651" s="32">
        <v>35662.0</v>
      </c>
      <c r="S651" s="31" t="s">
        <v>3197</v>
      </c>
      <c r="T651" s="31" t="s">
        <v>3198</v>
      </c>
      <c r="U651" s="31" t="s">
        <v>480</v>
      </c>
      <c r="V651" s="31" t="s">
        <v>554</v>
      </c>
      <c r="W651" s="34"/>
    </row>
    <row r="652">
      <c r="A652" s="30">
        <v>647.0</v>
      </c>
      <c r="B652" s="31" t="s">
        <v>3199</v>
      </c>
      <c r="C652" s="31" t="s">
        <v>3200</v>
      </c>
      <c r="D652" s="31" t="s">
        <v>260</v>
      </c>
      <c r="E652" s="31" t="s">
        <v>261</v>
      </c>
      <c r="F652" s="32">
        <v>45013.0</v>
      </c>
      <c r="G652" s="32">
        <v>45074.0</v>
      </c>
      <c r="H652" s="31" t="s">
        <v>262</v>
      </c>
      <c r="I652" s="31" t="s">
        <v>263</v>
      </c>
      <c r="J652" s="31" t="s">
        <v>261</v>
      </c>
      <c r="K652" s="31" t="s">
        <v>264</v>
      </c>
      <c r="L652" s="31" t="s">
        <v>265</v>
      </c>
      <c r="M652" s="31" t="s">
        <v>3201</v>
      </c>
      <c r="N652" s="31" t="s">
        <v>267</v>
      </c>
      <c r="O652" s="34"/>
      <c r="P652" s="31">
        <v>1.0</v>
      </c>
      <c r="Q652" s="31" t="s">
        <v>307</v>
      </c>
      <c r="R652" s="32">
        <v>37074.0</v>
      </c>
      <c r="S652" s="31" t="s">
        <v>510</v>
      </c>
      <c r="T652" s="31" t="s">
        <v>1789</v>
      </c>
      <c r="U652" s="31" t="s">
        <v>271</v>
      </c>
      <c r="V652" s="34"/>
      <c r="W652" s="34"/>
    </row>
    <row r="653">
      <c r="A653" s="30">
        <v>648.0</v>
      </c>
      <c r="B653" s="31" t="s">
        <v>3202</v>
      </c>
      <c r="C653" s="31" t="s">
        <v>1375</v>
      </c>
      <c r="D653" s="31" t="s">
        <v>472</v>
      </c>
      <c r="E653" s="31" t="s">
        <v>3047</v>
      </c>
      <c r="F653" s="32">
        <v>41946.0</v>
      </c>
      <c r="G653" s="32">
        <v>42007.0</v>
      </c>
      <c r="H653" s="31" t="s">
        <v>453</v>
      </c>
      <c r="I653" s="31" t="s">
        <v>454</v>
      </c>
      <c r="J653" s="31" t="s">
        <v>3048</v>
      </c>
      <c r="K653" s="31" t="s">
        <v>3049</v>
      </c>
      <c r="L653" s="31" t="s">
        <v>3203</v>
      </c>
      <c r="M653" s="31" t="s">
        <v>3204</v>
      </c>
      <c r="N653" s="31" t="s">
        <v>467</v>
      </c>
      <c r="O653" s="34"/>
      <c r="P653" s="34"/>
      <c r="Q653" s="31" t="s">
        <v>307</v>
      </c>
      <c r="R653" s="32">
        <v>32780.0</v>
      </c>
      <c r="S653" s="31" t="s">
        <v>3205</v>
      </c>
      <c r="T653" s="31" t="s">
        <v>496</v>
      </c>
      <c r="U653" s="31" t="s">
        <v>480</v>
      </c>
      <c r="V653" s="31" t="s">
        <v>3047</v>
      </c>
      <c r="W653" s="34"/>
    </row>
    <row r="654">
      <c r="A654" s="30">
        <v>649.0</v>
      </c>
      <c r="B654" s="31" t="s">
        <v>3206</v>
      </c>
      <c r="C654" s="31" t="s">
        <v>3207</v>
      </c>
      <c r="D654" s="31" t="s">
        <v>472</v>
      </c>
      <c r="E654" s="31" t="s">
        <v>3055</v>
      </c>
      <c r="F654" s="32">
        <v>42625.0</v>
      </c>
      <c r="G654" s="35">
        <v>42686.0</v>
      </c>
      <c r="H654" s="31" t="s">
        <v>453</v>
      </c>
      <c r="I654" s="31" t="s">
        <v>555</v>
      </c>
      <c r="J654" s="31" t="s">
        <v>556</v>
      </c>
      <c r="K654" s="31" t="s">
        <v>3056</v>
      </c>
      <c r="L654" s="31" t="s">
        <v>476</v>
      </c>
      <c r="M654" s="31" t="s">
        <v>3208</v>
      </c>
      <c r="N654" s="31" t="s">
        <v>467</v>
      </c>
      <c r="O654" s="34"/>
      <c r="P654" s="34"/>
      <c r="Q654" s="31" t="s">
        <v>307</v>
      </c>
      <c r="R654" s="32">
        <v>34503.0</v>
      </c>
      <c r="S654" s="31" t="s">
        <v>468</v>
      </c>
      <c r="T654" s="31" t="s">
        <v>3209</v>
      </c>
      <c r="U654" s="31" t="s">
        <v>480</v>
      </c>
      <c r="V654" s="31" t="s">
        <v>3055</v>
      </c>
      <c r="W654" s="34"/>
    </row>
    <row r="655">
      <c r="A655" s="30">
        <v>650.0</v>
      </c>
      <c r="B655" s="31" t="s">
        <v>3210</v>
      </c>
      <c r="C655" s="31" t="s">
        <v>3211</v>
      </c>
      <c r="D655" s="31" t="s">
        <v>506</v>
      </c>
      <c r="E655" s="31" t="s">
        <v>2079</v>
      </c>
      <c r="F655" s="32">
        <v>45337.0</v>
      </c>
      <c r="G655" s="32">
        <v>45397.0</v>
      </c>
      <c r="H655" s="31" t="s">
        <v>262</v>
      </c>
      <c r="I655" s="31" t="s">
        <v>275</v>
      </c>
      <c r="J655" s="31" t="s">
        <v>2079</v>
      </c>
      <c r="K655" s="31" t="s">
        <v>2080</v>
      </c>
      <c r="L655" s="31" t="s">
        <v>508</v>
      </c>
      <c r="M655" s="31" t="s">
        <v>3212</v>
      </c>
      <c r="N655" s="31" t="s">
        <v>267</v>
      </c>
      <c r="O655" s="34"/>
      <c r="P655" s="31">
        <v>1.0</v>
      </c>
      <c r="Q655" s="31" t="s">
        <v>307</v>
      </c>
      <c r="R655" s="32">
        <v>37376.0</v>
      </c>
      <c r="S655" s="31" t="s">
        <v>3213</v>
      </c>
      <c r="T655" s="31" t="s">
        <v>1915</v>
      </c>
      <c r="U655" s="31" t="s">
        <v>271</v>
      </c>
      <c r="V655" s="34"/>
      <c r="W655" s="34"/>
    </row>
    <row r="656">
      <c r="A656" s="30">
        <v>651.0</v>
      </c>
      <c r="B656" s="31" t="s">
        <v>3214</v>
      </c>
      <c r="C656" s="31" t="s">
        <v>3215</v>
      </c>
      <c r="D656" s="31" t="s">
        <v>452</v>
      </c>
      <c r="E656" s="31" t="s">
        <v>3216</v>
      </c>
      <c r="F656" s="32">
        <v>44326.0</v>
      </c>
      <c r="G656" s="32">
        <v>44387.0</v>
      </c>
      <c r="H656" s="31" t="s">
        <v>453</v>
      </c>
      <c r="I656" s="31" t="s">
        <v>454</v>
      </c>
      <c r="J656" s="31" t="s">
        <v>3217</v>
      </c>
      <c r="K656" s="31" t="s">
        <v>3218</v>
      </c>
      <c r="L656" s="31" t="s">
        <v>456</v>
      </c>
      <c r="M656" s="31" t="s">
        <v>3219</v>
      </c>
      <c r="N656" s="31" t="s">
        <v>467</v>
      </c>
      <c r="O656" s="34"/>
      <c r="P656" s="34"/>
      <c r="Q656" s="31" t="s">
        <v>307</v>
      </c>
      <c r="R656" s="32">
        <v>35105.0</v>
      </c>
      <c r="S656" s="31" t="s">
        <v>502</v>
      </c>
      <c r="T656" s="31" t="s">
        <v>961</v>
      </c>
      <c r="U656" s="31" t="s">
        <v>480</v>
      </c>
      <c r="V656" s="31" t="s">
        <v>3216</v>
      </c>
      <c r="W656" s="34"/>
    </row>
    <row r="657">
      <c r="A657" s="30">
        <v>652.0</v>
      </c>
      <c r="B657" s="31" t="s">
        <v>3220</v>
      </c>
      <c r="C657" s="31" t="s">
        <v>3221</v>
      </c>
      <c r="D657" s="31" t="s">
        <v>3222</v>
      </c>
      <c r="E657" s="31" t="s">
        <v>616</v>
      </c>
      <c r="F657" s="35">
        <v>44490.0</v>
      </c>
      <c r="G657" s="35">
        <v>44551.0</v>
      </c>
      <c r="H657" s="31" t="s">
        <v>453</v>
      </c>
      <c r="I657" s="31" t="s">
        <v>555</v>
      </c>
      <c r="J657" s="31" t="s">
        <v>556</v>
      </c>
      <c r="K657" s="31" t="s">
        <v>617</v>
      </c>
      <c r="L657" s="31" t="s">
        <v>3223</v>
      </c>
      <c r="M657" s="31" t="s">
        <v>3224</v>
      </c>
      <c r="N657" s="31" t="s">
        <v>267</v>
      </c>
      <c r="O657" s="34"/>
      <c r="P657" s="34"/>
      <c r="Q657" s="31" t="s">
        <v>581</v>
      </c>
      <c r="R657" s="35">
        <v>35416.0</v>
      </c>
      <c r="S657" s="31" t="s">
        <v>1104</v>
      </c>
      <c r="T657" s="31" t="s">
        <v>3225</v>
      </c>
      <c r="U657" s="31" t="s">
        <v>480</v>
      </c>
      <c r="V657" s="31" t="s">
        <v>616</v>
      </c>
      <c r="W657" s="34"/>
    </row>
    <row r="658">
      <c r="A658" s="30">
        <v>653.0</v>
      </c>
      <c r="B658" s="31" t="s">
        <v>3226</v>
      </c>
      <c r="C658" s="31" t="s">
        <v>3227</v>
      </c>
      <c r="D658" s="31" t="s">
        <v>648</v>
      </c>
      <c r="E658" s="31" t="s">
        <v>661</v>
      </c>
      <c r="F658" s="32">
        <v>39264.0</v>
      </c>
      <c r="G658" s="32">
        <v>39356.0</v>
      </c>
      <c r="H658" s="31" t="s">
        <v>346</v>
      </c>
      <c r="I658" s="31" t="s">
        <v>101</v>
      </c>
      <c r="J658" s="31" t="s">
        <v>661</v>
      </c>
      <c r="K658" s="31" t="s">
        <v>662</v>
      </c>
      <c r="L658" s="31" t="s">
        <v>663</v>
      </c>
      <c r="M658" s="31" t="s">
        <v>3228</v>
      </c>
      <c r="N658" s="31" t="s">
        <v>267</v>
      </c>
      <c r="O658" s="34"/>
      <c r="P658" s="34"/>
      <c r="Q658" s="31" t="s">
        <v>307</v>
      </c>
      <c r="R658" s="32">
        <v>31048.0</v>
      </c>
      <c r="S658" s="31" t="s">
        <v>531</v>
      </c>
      <c r="T658" s="31" t="s">
        <v>2014</v>
      </c>
      <c r="U658" s="31" t="s">
        <v>361</v>
      </c>
      <c r="V658" s="34"/>
      <c r="W658" s="34"/>
    </row>
    <row r="659">
      <c r="A659" s="30">
        <v>654.0</v>
      </c>
      <c r="B659" s="31" t="s">
        <v>3229</v>
      </c>
      <c r="C659" s="31" t="s">
        <v>3230</v>
      </c>
      <c r="D659" s="31" t="s">
        <v>260</v>
      </c>
      <c r="E659" s="31" t="s">
        <v>3231</v>
      </c>
      <c r="F659" s="32">
        <v>45079.0</v>
      </c>
      <c r="G659" s="32">
        <v>45139.0</v>
      </c>
      <c r="H659" s="31" t="s">
        <v>346</v>
      </c>
      <c r="I659" s="31" t="s">
        <v>275</v>
      </c>
      <c r="J659" s="31" t="s">
        <v>1012</v>
      </c>
      <c r="K659" s="31" t="s">
        <v>3232</v>
      </c>
      <c r="L659" s="31" t="s">
        <v>945</v>
      </c>
      <c r="M659" s="31" t="s">
        <v>3233</v>
      </c>
      <c r="N659" s="31" t="s">
        <v>267</v>
      </c>
      <c r="O659" s="34"/>
      <c r="P659" s="31">
        <v>1.0</v>
      </c>
      <c r="Q659" s="31" t="s">
        <v>307</v>
      </c>
      <c r="R659" s="35">
        <v>35785.0</v>
      </c>
      <c r="S659" s="31" t="s">
        <v>1018</v>
      </c>
      <c r="T659" s="31" t="s">
        <v>3234</v>
      </c>
      <c r="U659" s="31" t="s">
        <v>352</v>
      </c>
      <c r="V659" s="31" t="s">
        <v>3231</v>
      </c>
      <c r="W659" s="34"/>
    </row>
    <row r="660">
      <c r="A660" s="30">
        <v>655.0</v>
      </c>
      <c r="B660" s="31" t="s">
        <v>3235</v>
      </c>
      <c r="C660" s="31" t="s">
        <v>3236</v>
      </c>
      <c r="D660" s="31" t="s">
        <v>3237</v>
      </c>
      <c r="E660" s="31" t="s">
        <v>3238</v>
      </c>
      <c r="F660" s="32">
        <v>42626.0</v>
      </c>
      <c r="G660" s="35">
        <v>42690.0</v>
      </c>
      <c r="H660" s="31" t="s">
        <v>576</v>
      </c>
      <c r="I660" s="31" t="s">
        <v>3239</v>
      </c>
      <c r="J660" s="31" t="s">
        <v>3238</v>
      </c>
      <c r="K660" s="31" t="s">
        <v>3240</v>
      </c>
      <c r="L660" s="31" t="s">
        <v>3241</v>
      </c>
      <c r="M660" s="31" t="s">
        <v>3242</v>
      </c>
      <c r="N660" s="31" t="s">
        <v>267</v>
      </c>
      <c r="O660" s="34"/>
      <c r="P660" s="31">
        <v>6.0</v>
      </c>
      <c r="Q660" s="31" t="s">
        <v>307</v>
      </c>
      <c r="R660" s="32">
        <v>34452.0</v>
      </c>
      <c r="S660" s="31" t="s">
        <v>700</v>
      </c>
      <c r="T660" s="31" t="s">
        <v>3243</v>
      </c>
      <c r="U660" s="31" t="s">
        <v>633</v>
      </c>
      <c r="V660" s="34"/>
      <c r="W660" s="34"/>
    </row>
    <row r="661">
      <c r="A661" s="30">
        <v>656.0</v>
      </c>
      <c r="B661" s="31" t="s">
        <v>3244</v>
      </c>
      <c r="C661" s="31" t="s">
        <v>3245</v>
      </c>
      <c r="D661" s="31" t="s">
        <v>553</v>
      </c>
      <c r="E661" s="31" t="s">
        <v>3246</v>
      </c>
      <c r="F661" s="32">
        <v>43542.0</v>
      </c>
      <c r="G661" s="32">
        <v>43603.0</v>
      </c>
      <c r="H661" s="31" t="s">
        <v>453</v>
      </c>
      <c r="I661" s="31" t="s">
        <v>607</v>
      </c>
      <c r="J661" s="31" t="s">
        <v>3247</v>
      </c>
      <c r="K661" s="31" t="s">
        <v>3248</v>
      </c>
      <c r="L661" s="31" t="s">
        <v>558</v>
      </c>
      <c r="M661" s="31" t="s">
        <v>3249</v>
      </c>
      <c r="N661" s="31" t="s">
        <v>267</v>
      </c>
      <c r="O661" s="34"/>
      <c r="P661" s="34"/>
      <c r="Q661" s="31" t="s">
        <v>581</v>
      </c>
      <c r="R661" s="32">
        <v>34645.0</v>
      </c>
      <c r="S661" s="31" t="s">
        <v>515</v>
      </c>
      <c r="T661" s="31" t="s">
        <v>3250</v>
      </c>
      <c r="U661" s="31" t="s">
        <v>480</v>
      </c>
      <c r="V661" s="31" t="s">
        <v>3246</v>
      </c>
      <c r="W661" s="34"/>
    </row>
    <row r="662">
      <c r="A662" s="30">
        <v>657.0</v>
      </c>
      <c r="B662" s="31" t="s">
        <v>3251</v>
      </c>
      <c r="C662" s="31" t="s">
        <v>3252</v>
      </c>
      <c r="D662" s="31" t="s">
        <v>260</v>
      </c>
      <c r="E662" s="31" t="s">
        <v>295</v>
      </c>
      <c r="F662" s="32">
        <v>45390.0</v>
      </c>
      <c r="G662" s="33"/>
      <c r="H662" s="31" t="s">
        <v>262</v>
      </c>
      <c r="I662" s="31" t="s">
        <v>275</v>
      </c>
      <c r="J662" s="31" t="s">
        <v>295</v>
      </c>
      <c r="K662" s="31" t="s">
        <v>296</v>
      </c>
      <c r="L662" s="31" t="s">
        <v>297</v>
      </c>
      <c r="M662" s="31" t="s">
        <v>3253</v>
      </c>
      <c r="N662" s="31" t="s">
        <v>267</v>
      </c>
      <c r="O662" s="34"/>
      <c r="P662" s="31">
        <v>1.0</v>
      </c>
      <c r="Q662" s="31" t="s">
        <v>268</v>
      </c>
      <c r="R662" s="35">
        <v>36857.0</v>
      </c>
      <c r="S662" s="31" t="s">
        <v>320</v>
      </c>
      <c r="T662" s="31" t="s">
        <v>2101</v>
      </c>
      <c r="U662" s="31" t="s">
        <v>271</v>
      </c>
      <c r="V662" s="34"/>
      <c r="W662" s="34"/>
    </row>
    <row r="663">
      <c r="A663" s="30">
        <v>658.0</v>
      </c>
      <c r="B663" s="31" t="s">
        <v>3254</v>
      </c>
      <c r="C663" s="31" t="s">
        <v>3255</v>
      </c>
      <c r="D663" s="31" t="s">
        <v>2932</v>
      </c>
      <c r="E663" s="31" t="s">
        <v>3256</v>
      </c>
      <c r="F663" s="32">
        <v>44764.0</v>
      </c>
      <c r="G663" s="32">
        <v>44826.0</v>
      </c>
      <c r="H663" s="31" t="s">
        <v>576</v>
      </c>
      <c r="I663" s="31" t="s">
        <v>3257</v>
      </c>
      <c r="J663" s="31" t="s">
        <v>3256</v>
      </c>
      <c r="K663" s="31" t="s">
        <v>3258</v>
      </c>
      <c r="L663" s="31" t="s">
        <v>2936</v>
      </c>
      <c r="M663" s="31" t="s">
        <v>3259</v>
      </c>
      <c r="N663" s="31" t="s">
        <v>467</v>
      </c>
      <c r="O663" s="34"/>
      <c r="P663" s="31">
        <v>3.0</v>
      </c>
      <c r="Q663" s="31" t="s">
        <v>307</v>
      </c>
      <c r="R663" s="32">
        <v>35448.0</v>
      </c>
      <c r="S663" s="31" t="s">
        <v>531</v>
      </c>
      <c r="T663" s="31" t="s">
        <v>3260</v>
      </c>
      <c r="U663" s="31" t="s">
        <v>271</v>
      </c>
      <c r="V663" s="34"/>
      <c r="W663" s="34"/>
    </row>
    <row r="664">
      <c r="A664" s="30">
        <v>659.0</v>
      </c>
      <c r="B664" s="31" t="s">
        <v>3261</v>
      </c>
      <c r="C664" s="31" t="s">
        <v>3262</v>
      </c>
      <c r="D664" s="31" t="s">
        <v>260</v>
      </c>
      <c r="E664" s="31" t="s">
        <v>283</v>
      </c>
      <c r="F664" s="32">
        <v>45397.0</v>
      </c>
      <c r="G664" s="33"/>
      <c r="H664" s="31" t="s">
        <v>262</v>
      </c>
      <c r="I664" s="31" t="s">
        <v>275</v>
      </c>
      <c r="J664" s="31" t="s">
        <v>283</v>
      </c>
      <c r="K664" s="31" t="s">
        <v>284</v>
      </c>
      <c r="L664" s="31" t="s">
        <v>277</v>
      </c>
      <c r="M664" s="31" t="s">
        <v>3263</v>
      </c>
      <c r="N664" s="31" t="s">
        <v>267</v>
      </c>
      <c r="O664" s="34"/>
      <c r="P664" s="31">
        <v>1.0</v>
      </c>
      <c r="Q664" s="31" t="s">
        <v>268</v>
      </c>
      <c r="R664" s="32">
        <v>37362.0</v>
      </c>
      <c r="S664" s="31" t="s">
        <v>3264</v>
      </c>
      <c r="T664" s="31" t="s">
        <v>3011</v>
      </c>
      <c r="U664" s="31" t="s">
        <v>271</v>
      </c>
      <c r="V664" s="34"/>
      <c r="W664" s="34"/>
    </row>
    <row r="665">
      <c r="A665" s="30">
        <v>660.0</v>
      </c>
      <c r="B665" s="31" t="s">
        <v>3265</v>
      </c>
      <c r="C665" s="31" t="s">
        <v>3266</v>
      </c>
      <c r="D665" s="31" t="s">
        <v>636</v>
      </c>
      <c r="E665" s="31" t="s">
        <v>638</v>
      </c>
      <c r="F665" s="32">
        <v>43629.0</v>
      </c>
      <c r="G665" s="32">
        <v>43690.0</v>
      </c>
      <c r="H665" s="31" t="s">
        <v>453</v>
      </c>
      <c r="I665" s="31" t="s">
        <v>52</v>
      </c>
      <c r="J665" s="31" t="s">
        <v>638</v>
      </c>
      <c r="K665" s="31" t="s">
        <v>3267</v>
      </c>
      <c r="L665" s="31" t="s">
        <v>640</v>
      </c>
      <c r="M665" s="31" t="s">
        <v>3268</v>
      </c>
      <c r="N665" s="31" t="s">
        <v>467</v>
      </c>
      <c r="O665" s="34"/>
      <c r="P665" s="34"/>
      <c r="Q665" s="31" t="s">
        <v>307</v>
      </c>
      <c r="R665" s="32">
        <v>35195.0</v>
      </c>
      <c r="S665" s="31" t="s">
        <v>591</v>
      </c>
      <c r="T665" s="31" t="s">
        <v>3090</v>
      </c>
      <c r="U665" s="31" t="s">
        <v>480</v>
      </c>
      <c r="V665" s="34"/>
      <c r="W665" s="34"/>
    </row>
    <row r="666">
      <c r="A666" s="30">
        <v>661.0</v>
      </c>
      <c r="B666" s="31" t="s">
        <v>3269</v>
      </c>
      <c r="C666" s="31" t="s">
        <v>3270</v>
      </c>
      <c r="D666" s="31" t="s">
        <v>3271</v>
      </c>
      <c r="E666" s="31" t="s">
        <v>2430</v>
      </c>
      <c r="F666" s="32">
        <v>39888.0</v>
      </c>
      <c r="G666" s="32">
        <v>39948.0</v>
      </c>
      <c r="H666" s="31" t="s">
        <v>346</v>
      </c>
      <c r="I666" s="31" t="s">
        <v>2430</v>
      </c>
      <c r="J666" s="34"/>
      <c r="K666" s="31" t="s">
        <v>3272</v>
      </c>
      <c r="L666" s="31" t="s">
        <v>3273</v>
      </c>
      <c r="M666" s="31" t="s">
        <v>3274</v>
      </c>
      <c r="N666" s="31" t="s">
        <v>267</v>
      </c>
      <c r="O666" s="31">
        <v>2.0</v>
      </c>
      <c r="P666" s="34"/>
      <c r="Q666" s="31" t="s">
        <v>307</v>
      </c>
      <c r="R666" s="32">
        <v>32161.0</v>
      </c>
      <c r="S666" s="31" t="s">
        <v>531</v>
      </c>
      <c r="T666" s="31" t="s">
        <v>744</v>
      </c>
      <c r="U666" s="31" t="s">
        <v>352</v>
      </c>
      <c r="V666" s="34"/>
      <c r="W666" s="34"/>
    </row>
    <row r="667">
      <c r="A667" s="30">
        <v>662.0</v>
      </c>
      <c r="B667" s="31" t="s">
        <v>3275</v>
      </c>
      <c r="C667" s="31" t="s">
        <v>3276</v>
      </c>
      <c r="D667" s="31" t="s">
        <v>2977</v>
      </c>
      <c r="E667" s="31" t="s">
        <v>2978</v>
      </c>
      <c r="F667" s="32">
        <v>45359.0</v>
      </c>
      <c r="G667" s="33"/>
      <c r="H667" s="31" t="s">
        <v>303</v>
      </c>
      <c r="I667" s="31" t="s">
        <v>2978</v>
      </c>
      <c r="J667" s="34"/>
      <c r="K667" s="31" t="s">
        <v>2979</v>
      </c>
      <c r="L667" s="31" t="s">
        <v>2980</v>
      </c>
      <c r="M667" s="31" t="s">
        <v>3277</v>
      </c>
      <c r="N667" s="31" t="s">
        <v>267</v>
      </c>
      <c r="O667" s="34"/>
      <c r="P667" s="31">
        <v>1.0</v>
      </c>
      <c r="Q667" s="31" t="s">
        <v>268</v>
      </c>
      <c r="R667" s="32">
        <v>34962.0</v>
      </c>
      <c r="S667" s="31" t="s">
        <v>3278</v>
      </c>
      <c r="T667" s="31" t="s">
        <v>744</v>
      </c>
      <c r="U667" s="31" t="s">
        <v>310</v>
      </c>
      <c r="V667" s="34"/>
      <c r="W667" s="34"/>
    </row>
    <row r="668">
      <c r="A668" s="30">
        <v>663.0</v>
      </c>
      <c r="B668" s="31" t="s">
        <v>3279</v>
      </c>
      <c r="C668" s="31" t="s">
        <v>3280</v>
      </c>
      <c r="D668" s="31" t="s">
        <v>260</v>
      </c>
      <c r="E668" s="31" t="s">
        <v>274</v>
      </c>
      <c r="F668" s="32">
        <v>45384.0</v>
      </c>
      <c r="G668" s="33"/>
      <c r="H668" s="31" t="s">
        <v>262</v>
      </c>
      <c r="I668" s="31" t="s">
        <v>275</v>
      </c>
      <c r="J668" s="31" t="s">
        <v>274</v>
      </c>
      <c r="K668" s="31" t="s">
        <v>276</v>
      </c>
      <c r="L668" s="31" t="s">
        <v>277</v>
      </c>
      <c r="M668" s="31" t="s">
        <v>3281</v>
      </c>
      <c r="N668" s="31" t="s">
        <v>267</v>
      </c>
      <c r="O668" s="34"/>
      <c r="P668" s="31">
        <v>1.0</v>
      </c>
      <c r="Q668" s="31" t="s">
        <v>268</v>
      </c>
      <c r="R668" s="32">
        <v>36931.0</v>
      </c>
      <c r="S668" s="31" t="s">
        <v>1041</v>
      </c>
      <c r="T668" s="31" t="s">
        <v>3011</v>
      </c>
      <c r="U668" s="31" t="s">
        <v>271</v>
      </c>
      <c r="V668" s="34"/>
      <c r="W668" s="34"/>
    </row>
    <row r="669">
      <c r="A669" s="30">
        <v>664.0</v>
      </c>
      <c r="B669" s="31" t="s">
        <v>3282</v>
      </c>
      <c r="C669" s="31" t="s">
        <v>3283</v>
      </c>
      <c r="D669" s="31" t="s">
        <v>260</v>
      </c>
      <c r="E669" s="31" t="s">
        <v>1786</v>
      </c>
      <c r="F669" s="32">
        <v>45392.0</v>
      </c>
      <c r="G669" s="33"/>
      <c r="H669" s="31" t="s">
        <v>262</v>
      </c>
      <c r="I669" s="31" t="s">
        <v>263</v>
      </c>
      <c r="J669" s="31" t="s">
        <v>356</v>
      </c>
      <c r="K669" s="31" t="s">
        <v>1787</v>
      </c>
      <c r="L669" s="31" t="s">
        <v>328</v>
      </c>
      <c r="M669" s="31" t="s">
        <v>3284</v>
      </c>
      <c r="N669" s="31" t="s">
        <v>267</v>
      </c>
      <c r="O669" s="34"/>
      <c r="P669" s="31">
        <v>1.0</v>
      </c>
      <c r="Q669" s="31" t="s">
        <v>268</v>
      </c>
      <c r="R669" s="32">
        <v>35505.0</v>
      </c>
      <c r="S669" s="31" t="s">
        <v>3285</v>
      </c>
      <c r="T669" s="31" t="s">
        <v>3286</v>
      </c>
      <c r="U669" s="31" t="s">
        <v>271</v>
      </c>
      <c r="V669" s="31" t="s">
        <v>1786</v>
      </c>
      <c r="W669" s="34"/>
    </row>
    <row r="670">
      <c r="A670" s="30">
        <v>665.0</v>
      </c>
      <c r="B670" s="31" t="s">
        <v>3287</v>
      </c>
      <c r="C670" s="31" t="s">
        <v>3288</v>
      </c>
      <c r="D670" s="31" t="s">
        <v>925</v>
      </c>
      <c r="E670" s="31" t="s">
        <v>1985</v>
      </c>
      <c r="F670" s="32">
        <v>45397.0</v>
      </c>
      <c r="G670" s="33"/>
      <c r="H670" s="31" t="s">
        <v>262</v>
      </c>
      <c r="I670" s="31" t="s">
        <v>275</v>
      </c>
      <c r="J670" s="31" t="s">
        <v>1986</v>
      </c>
      <c r="K670" s="31" t="s">
        <v>1987</v>
      </c>
      <c r="L670" s="31" t="s">
        <v>929</v>
      </c>
      <c r="M670" s="31" t="s">
        <v>3289</v>
      </c>
      <c r="N670" s="31" t="s">
        <v>267</v>
      </c>
      <c r="O670" s="34"/>
      <c r="P670" s="31">
        <v>1.0</v>
      </c>
      <c r="Q670" s="31" t="s">
        <v>268</v>
      </c>
      <c r="R670" s="32">
        <v>36423.0</v>
      </c>
      <c r="S670" s="31" t="s">
        <v>898</v>
      </c>
      <c r="T670" s="31" t="s">
        <v>3006</v>
      </c>
      <c r="U670" s="31" t="s">
        <v>271</v>
      </c>
      <c r="V670" s="31" t="s">
        <v>1985</v>
      </c>
      <c r="W670" s="34"/>
    </row>
    <row r="671">
      <c r="A671" s="30">
        <v>666.0</v>
      </c>
      <c r="B671" s="31" t="s">
        <v>3290</v>
      </c>
      <c r="C671" s="31" t="s">
        <v>3291</v>
      </c>
      <c r="D671" s="31" t="s">
        <v>472</v>
      </c>
      <c r="E671" s="31" t="s">
        <v>3292</v>
      </c>
      <c r="F671" s="32">
        <v>42773.0</v>
      </c>
      <c r="G671" s="32">
        <v>42832.0</v>
      </c>
      <c r="H671" s="31" t="s">
        <v>453</v>
      </c>
      <c r="I671" s="31" t="s">
        <v>555</v>
      </c>
      <c r="J671" s="31" t="s">
        <v>556</v>
      </c>
      <c r="K671" s="31" t="s">
        <v>3293</v>
      </c>
      <c r="L671" s="31" t="s">
        <v>3050</v>
      </c>
      <c r="M671" s="31" t="s">
        <v>3294</v>
      </c>
      <c r="N671" s="31" t="s">
        <v>467</v>
      </c>
      <c r="O671" s="34"/>
      <c r="P671" s="34"/>
      <c r="Q671" s="31" t="s">
        <v>307</v>
      </c>
      <c r="R671" s="32">
        <v>34541.0</v>
      </c>
      <c r="S671" s="31" t="s">
        <v>468</v>
      </c>
      <c r="T671" s="31" t="s">
        <v>3295</v>
      </c>
      <c r="U671" s="31" t="s">
        <v>480</v>
      </c>
      <c r="V671" s="31" t="s">
        <v>3292</v>
      </c>
      <c r="W671" s="34"/>
    </row>
    <row r="672">
      <c r="A672" s="30">
        <v>667.0</v>
      </c>
      <c r="B672" s="31" t="s">
        <v>3296</v>
      </c>
      <c r="C672" s="31" t="s">
        <v>3297</v>
      </c>
      <c r="D672" s="31" t="s">
        <v>2932</v>
      </c>
      <c r="E672" s="31" t="s">
        <v>3298</v>
      </c>
      <c r="F672" s="32">
        <v>44278.0</v>
      </c>
      <c r="G672" s="32">
        <v>44339.0</v>
      </c>
      <c r="H672" s="31" t="s">
        <v>576</v>
      </c>
      <c r="I672" s="31" t="s">
        <v>3299</v>
      </c>
      <c r="J672" s="31" t="s">
        <v>3298</v>
      </c>
      <c r="K672" s="31" t="s">
        <v>3300</v>
      </c>
      <c r="L672" s="31" t="s">
        <v>2936</v>
      </c>
      <c r="M672" s="31" t="s">
        <v>3301</v>
      </c>
      <c r="N672" s="31" t="s">
        <v>267</v>
      </c>
      <c r="O672" s="34"/>
      <c r="P672" s="34"/>
      <c r="Q672" s="31" t="s">
        <v>307</v>
      </c>
      <c r="R672" s="32">
        <v>36714.0</v>
      </c>
      <c r="S672" s="31" t="s">
        <v>3302</v>
      </c>
      <c r="T672" s="31" t="s">
        <v>3303</v>
      </c>
      <c r="U672" s="31" t="s">
        <v>271</v>
      </c>
      <c r="V672" s="34"/>
      <c r="W672" s="34"/>
    </row>
    <row r="673">
      <c r="A673" s="30">
        <v>668.0</v>
      </c>
      <c r="B673" s="31" t="s">
        <v>3304</v>
      </c>
      <c r="C673" s="31" t="s">
        <v>3305</v>
      </c>
      <c r="D673" s="31" t="s">
        <v>2932</v>
      </c>
      <c r="E673" s="31" t="s">
        <v>3298</v>
      </c>
      <c r="F673" s="32">
        <v>45393.0</v>
      </c>
      <c r="G673" s="33"/>
      <c r="H673" s="31" t="s">
        <v>576</v>
      </c>
      <c r="I673" s="31" t="s">
        <v>3299</v>
      </c>
      <c r="J673" s="31" t="s">
        <v>3298</v>
      </c>
      <c r="K673" s="31" t="s">
        <v>3300</v>
      </c>
      <c r="L673" s="31" t="s">
        <v>2936</v>
      </c>
      <c r="M673" s="31" t="s">
        <v>3306</v>
      </c>
      <c r="N673" s="31" t="s">
        <v>267</v>
      </c>
      <c r="O673" s="34"/>
      <c r="P673" s="34"/>
      <c r="Q673" s="31" t="s">
        <v>268</v>
      </c>
      <c r="R673" s="32">
        <v>36755.0</v>
      </c>
      <c r="S673" s="31" t="s">
        <v>874</v>
      </c>
      <c r="T673" s="31" t="s">
        <v>3307</v>
      </c>
      <c r="U673" s="31" t="s">
        <v>271</v>
      </c>
      <c r="V673" s="34"/>
      <c r="W673" s="34"/>
    </row>
    <row r="674">
      <c r="A674" s="30">
        <v>669.0</v>
      </c>
      <c r="B674" s="31" t="s">
        <v>3308</v>
      </c>
      <c r="C674" s="31" t="s">
        <v>3309</v>
      </c>
      <c r="D674" s="31" t="s">
        <v>574</v>
      </c>
      <c r="E674" s="31" t="s">
        <v>3027</v>
      </c>
      <c r="F674" s="32">
        <v>45393.0</v>
      </c>
      <c r="G674" s="33"/>
      <c r="H674" s="31" t="s">
        <v>576</v>
      </c>
      <c r="I674" s="31" t="s">
        <v>577</v>
      </c>
      <c r="J674" s="31" t="s">
        <v>3027</v>
      </c>
      <c r="K674" s="31" t="s">
        <v>3028</v>
      </c>
      <c r="L674" s="31" t="s">
        <v>579</v>
      </c>
      <c r="M674" s="31" t="s">
        <v>3310</v>
      </c>
      <c r="N674" s="31" t="s">
        <v>267</v>
      </c>
      <c r="O674" s="34"/>
      <c r="P674" s="31">
        <v>1.0</v>
      </c>
      <c r="Q674" s="31" t="s">
        <v>268</v>
      </c>
      <c r="R674" s="35">
        <v>37541.0</v>
      </c>
      <c r="S674" s="31" t="s">
        <v>531</v>
      </c>
      <c r="T674" s="31" t="s">
        <v>299</v>
      </c>
      <c r="U674" s="31" t="s">
        <v>583</v>
      </c>
      <c r="V674" s="34"/>
      <c r="W674" s="34"/>
    </row>
    <row r="675">
      <c r="A675" s="30">
        <v>670.0</v>
      </c>
      <c r="B675" s="31" t="s">
        <v>3311</v>
      </c>
      <c r="C675" s="31" t="s">
        <v>3312</v>
      </c>
      <c r="D675" s="31" t="s">
        <v>574</v>
      </c>
      <c r="E675" s="31" t="s">
        <v>3313</v>
      </c>
      <c r="F675" s="32">
        <v>45393.0</v>
      </c>
      <c r="G675" s="33"/>
      <c r="H675" s="31" t="s">
        <v>576</v>
      </c>
      <c r="I675" s="31" t="s">
        <v>577</v>
      </c>
      <c r="J675" s="31" t="s">
        <v>3313</v>
      </c>
      <c r="K675" s="31" t="s">
        <v>3314</v>
      </c>
      <c r="L675" s="31" t="s">
        <v>579</v>
      </c>
      <c r="M675" s="31" t="s">
        <v>3315</v>
      </c>
      <c r="N675" s="31" t="s">
        <v>267</v>
      </c>
      <c r="O675" s="34"/>
      <c r="P675" s="31">
        <v>1.0</v>
      </c>
      <c r="Q675" s="31" t="s">
        <v>268</v>
      </c>
      <c r="R675" s="35">
        <v>37221.0</v>
      </c>
      <c r="S675" s="31" t="s">
        <v>3316</v>
      </c>
      <c r="T675" s="31" t="s">
        <v>299</v>
      </c>
      <c r="U675" s="31" t="s">
        <v>583</v>
      </c>
      <c r="V675" s="34"/>
      <c r="W675" s="34"/>
    </row>
    <row r="676">
      <c r="A676" s="30">
        <v>671.0</v>
      </c>
      <c r="B676" s="31" t="s">
        <v>3317</v>
      </c>
      <c r="C676" s="31" t="s">
        <v>3318</v>
      </c>
      <c r="D676" s="31" t="s">
        <v>574</v>
      </c>
      <c r="E676" s="31" t="s">
        <v>3313</v>
      </c>
      <c r="F676" s="32">
        <v>45393.0</v>
      </c>
      <c r="G676" s="33"/>
      <c r="H676" s="31" t="s">
        <v>576</v>
      </c>
      <c r="I676" s="31" t="s">
        <v>577</v>
      </c>
      <c r="J676" s="31" t="s">
        <v>3313</v>
      </c>
      <c r="K676" s="31" t="s">
        <v>3314</v>
      </c>
      <c r="L676" s="31" t="s">
        <v>579</v>
      </c>
      <c r="M676" s="31" t="s">
        <v>3319</v>
      </c>
      <c r="N676" s="31" t="s">
        <v>267</v>
      </c>
      <c r="O676" s="34"/>
      <c r="P676" s="31">
        <v>1.0</v>
      </c>
      <c r="Q676" s="31" t="s">
        <v>268</v>
      </c>
      <c r="R676" s="32">
        <v>37059.0</v>
      </c>
      <c r="S676" s="31" t="s">
        <v>2851</v>
      </c>
      <c r="T676" s="31" t="s">
        <v>2547</v>
      </c>
      <c r="U676" s="31" t="s">
        <v>583</v>
      </c>
      <c r="V676" s="34"/>
      <c r="W676" s="34"/>
    </row>
    <row r="677">
      <c r="A677" s="30">
        <v>672.0</v>
      </c>
      <c r="B677" s="31" t="s">
        <v>3320</v>
      </c>
      <c r="C677" s="31" t="s">
        <v>3321</v>
      </c>
      <c r="D677" s="31" t="s">
        <v>574</v>
      </c>
      <c r="E677" s="31" t="s">
        <v>575</v>
      </c>
      <c r="F677" s="32">
        <v>45393.0</v>
      </c>
      <c r="G677" s="33"/>
      <c r="H677" s="31" t="s">
        <v>576</v>
      </c>
      <c r="I677" s="31" t="s">
        <v>577</v>
      </c>
      <c r="J677" s="31" t="s">
        <v>575</v>
      </c>
      <c r="K677" s="31" t="s">
        <v>578</v>
      </c>
      <c r="L677" s="31" t="s">
        <v>579</v>
      </c>
      <c r="M677" s="31" t="s">
        <v>3322</v>
      </c>
      <c r="N677" s="31" t="s">
        <v>267</v>
      </c>
      <c r="O677" s="34"/>
      <c r="P677" s="34"/>
      <c r="Q677" s="31" t="s">
        <v>268</v>
      </c>
      <c r="R677" s="32">
        <v>37511.0</v>
      </c>
      <c r="S677" s="31" t="s">
        <v>531</v>
      </c>
      <c r="T677" s="31" t="s">
        <v>351</v>
      </c>
      <c r="U677" s="31" t="s">
        <v>583</v>
      </c>
      <c r="V677" s="34"/>
      <c r="W677" s="34"/>
    </row>
    <row r="678">
      <c r="A678" s="30">
        <v>673.0</v>
      </c>
      <c r="B678" s="31" t="s">
        <v>3323</v>
      </c>
      <c r="C678" s="31" t="s">
        <v>3324</v>
      </c>
      <c r="D678" s="31" t="s">
        <v>574</v>
      </c>
      <c r="E678" s="31" t="s">
        <v>3325</v>
      </c>
      <c r="F678" s="32">
        <v>45393.0</v>
      </c>
      <c r="G678" s="33"/>
      <c r="H678" s="31" t="s">
        <v>576</v>
      </c>
      <c r="I678" s="31" t="s">
        <v>577</v>
      </c>
      <c r="J678" s="31" t="s">
        <v>3325</v>
      </c>
      <c r="K678" s="31" t="s">
        <v>3326</v>
      </c>
      <c r="L678" s="31" t="s">
        <v>579</v>
      </c>
      <c r="M678" s="31" t="s">
        <v>3327</v>
      </c>
      <c r="N678" s="31" t="s">
        <v>267</v>
      </c>
      <c r="O678" s="34"/>
      <c r="P678" s="34"/>
      <c r="Q678" s="31" t="s">
        <v>268</v>
      </c>
      <c r="R678" s="32">
        <v>37316.0</v>
      </c>
      <c r="S678" s="31" t="s">
        <v>531</v>
      </c>
      <c r="T678" s="31" t="s">
        <v>3328</v>
      </c>
      <c r="U678" s="31" t="s">
        <v>583</v>
      </c>
      <c r="V678" s="34"/>
      <c r="W678" s="34"/>
    </row>
    <row r="679">
      <c r="A679" s="30">
        <v>674.0</v>
      </c>
      <c r="B679" s="31" t="s">
        <v>3329</v>
      </c>
      <c r="C679" s="31" t="s">
        <v>3330</v>
      </c>
      <c r="D679" s="31" t="s">
        <v>260</v>
      </c>
      <c r="E679" s="31" t="s">
        <v>2858</v>
      </c>
      <c r="F679" s="32">
        <v>45337.0</v>
      </c>
      <c r="G679" s="32">
        <v>45397.0</v>
      </c>
      <c r="H679" s="31" t="s">
        <v>2732</v>
      </c>
      <c r="I679" s="31" t="s">
        <v>2768</v>
      </c>
      <c r="J679" s="31" t="s">
        <v>2858</v>
      </c>
      <c r="K679" s="31" t="s">
        <v>2859</v>
      </c>
      <c r="L679" s="31" t="s">
        <v>392</v>
      </c>
      <c r="M679" s="31" t="s">
        <v>3331</v>
      </c>
      <c r="N679" s="31" t="s">
        <v>267</v>
      </c>
      <c r="O679" s="34"/>
      <c r="P679" s="31">
        <v>1.0</v>
      </c>
      <c r="Q679" s="31" t="s">
        <v>307</v>
      </c>
      <c r="R679" s="32">
        <v>35863.0</v>
      </c>
      <c r="S679" s="31" t="s">
        <v>510</v>
      </c>
      <c r="T679" s="31" t="s">
        <v>2547</v>
      </c>
      <c r="U679" s="31" t="s">
        <v>2735</v>
      </c>
      <c r="V679" s="34"/>
      <c r="W679" s="34"/>
    </row>
    <row r="680">
      <c r="A680" s="30">
        <v>675.0</v>
      </c>
      <c r="B680" s="31" t="s">
        <v>3332</v>
      </c>
      <c r="C680" s="31" t="s">
        <v>3333</v>
      </c>
      <c r="D680" s="31" t="s">
        <v>3334</v>
      </c>
      <c r="E680" s="31" t="s">
        <v>228</v>
      </c>
      <c r="F680" s="33"/>
      <c r="G680" s="33"/>
      <c r="H680" s="31" t="s">
        <v>303</v>
      </c>
      <c r="I680" s="31" t="s">
        <v>228</v>
      </c>
      <c r="J680" s="34"/>
      <c r="K680" s="31" t="s">
        <v>304</v>
      </c>
      <c r="L680" s="31" t="s">
        <v>3335</v>
      </c>
      <c r="M680" s="31" t="s">
        <v>3336</v>
      </c>
      <c r="N680" s="31" t="s">
        <v>267</v>
      </c>
      <c r="O680" s="34"/>
      <c r="P680" s="34"/>
      <c r="Q680" s="31" t="s">
        <v>3337</v>
      </c>
      <c r="R680" s="33"/>
      <c r="S680" s="31" t="s">
        <v>537</v>
      </c>
      <c r="T680" s="31" t="s">
        <v>427</v>
      </c>
      <c r="U680" s="31" t="s">
        <v>310</v>
      </c>
      <c r="V680" s="34"/>
      <c r="W680" s="34"/>
    </row>
    <row r="681">
      <c r="A681" s="30">
        <v>676.0</v>
      </c>
      <c r="B681" s="31" t="s">
        <v>3338</v>
      </c>
      <c r="C681" s="31" t="s">
        <v>3339</v>
      </c>
      <c r="D681" s="31" t="s">
        <v>334</v>
      </c>
      <c r="E681" s="31" t="s">
        <v>3340</v>
      </c>
      <c r="F681" s="32">
        <v>45373.0</v>
      </c>
      <c r="G681" s="33"/>
      <c r="H681" s="31" t="s">
        <v>303</v>
      </c>
      <c r="I681" s="31" t="s">
        <v>335</v>
      </c>
      <c r="J681" s="31" t="s">
        <v>2499</v>
      </c>
      <c r="K681" s="31" t="s">
        <v>3341</v>
      </c>
      <c r="L681" s="31" t="s">
        <v>338</v>
      </c>
      <c r="M681" s="31" t="s">
        <v>3342</v>
      </c>
      <c r="N681" s="31" t="s">
        <v>467</v>
      </c>
      <c r="O681" s="34"/>
      <c r="P681" s="34"/>
      <c r="Q681" s="31" t="s">
        <v>268</v>
      </c>
      <c r="R681" s="32">
        <v>34940.0</v>
      </c>
      <c r="S681" s="31" t="s">
        <v>571</v>
      </c>
      <c r="T681" s="31" t="s">
        <v>371</v>
      </c>
      <c r="U681" s="31" t="s">
        <v>342</v>
      </c>
      <c r="V681" s="31" t="s">
        <v>3340</v>
      </c>
      <c r="W681" s="34"/>
    </row>
    <row r="682">
      <c r="A682" s="30">
        <v>677.0</v>
      </c>
      <c r="B682" s="31" t="s">
        <v>3343</v>
      </c>
      <c r="C682" s="31" t="s">
        <v>1375</v>
      </c>
      <c r="D682" s="31" t="s">
        <v>2970</v>
      </c>
      <c r="E682" s="31" t="s">
        <v>2971</v>
      </c>
      <c r="F682" s="32">
        <v>44956.0</v>
      </c>
      <c r="G682" s="32">
        <v>45015.0</v>
      </c>
      <c r="H682" s="31" t="s">
        <v>303</v>
      </c>
      <c r="I682" s="31" t="s">
        <v>2971</v>
      </c>
      <c r="J682" s="34"/>
      <c r="K682" s="31" t="s">
        <v>2972</v>
      </c>
      <c r="L682" s="31" t="s">
        <v>2973</v>
      </c>
      <c r="M682" s="31" t="s">
        <v>3344</v>
      </c>
      <c r="N682" s="31" t="s">
        <v>467</v>
      </c>
      <c r="O682" s="34"/>
      <c r="P682" s="34"/>
      <c r="Q682" s="31" t="s">
        <v>307</v>
      </c>
      <c r="R682" s="35">
        <v>37184.0</v>
      </c>
      <c r="S682" s="31" t="s">
        <v>320</v>
      </c>
      <c r="T682" s="31" t="s">
        <v>705</v>
      </c>
      <c r="U682" s="31" t="s">
        <v>361</v>
      </c>
      <c r="V682" s="34"/>
      <c r="W682" s="34"/>
    </row>
    <row r="683">
      <c r="A683" s="30">
        <v>678.0</v>
      </c>
      <c r="B683" s="31" t="s">
        <v>3345</v>
      </c>
      <c r="C683" s="31" t="s">
        <v>3346</v>
      </c>
      <c r="D683" s="31" t="s">
        <v>260</v>
      </c>
      <c r="E683" s="31" t="s">
        <v>2858</v>
      </c>
      <c r="F683" s="32">
        <v>45385.0</v>
      </c>
      <c r="G683" s="33"/>
      <c r="H683" s="31" t="s">
        <v>2732</v>
      </c>
      <c r="I683" s="31" t="s">
        <v>2768</v>
      </c>
      <c r="J683" s="31" t="s">
        <v>2858</v>
      </c>
      <c r="K683" s="31" t="s">
        <v>2859</v>
      </c>
      <c r="L683" s="31" t="s">
        <v>392</v>
      </c>
      <c r="M683" s="31" t="s">
        <v>3347</v>
      </c>
      <c r="N683" s="31" t="s">
        <v>267</v>
      </c>
      <c r="O683" s="34"/>
      <c r="P683" s="31">
        <v>1.0</v>
      </c>
      <c r="Q683" s="31" t="s">
        <v>268</v>
      </c>
      <c r="R683" s="32">
        <v>35848.0</v>
      </c>
      <c r="S683" s="31" t="s">
        <v>1041</v>
      </c>
      <c r="T683" s="31" t="s">
        <v>292</v>
      </c>
      <c r="U683" s="31" t="s">
        <v>2735</v>
      </c>
      <c r="V683" s="34"/>
      <c r="W683" s="34"/>
    </row>
    <row r="684">
      <c r="A684" s="30">
        <v>679.0</v>
      </c>
      <c r="B684" s="31" t="s">
        <v>3348</v>
      </c>
      <c r="C684" s="31" t="s">
        <v>3349</v>
      </c>
      <c r="D684" s="31" t="s">
        <v>3350</v>
      </c>
      <c r="E684" s="31" t="s">
        <v>2978</v>
      </c>
      <c r="F684" s="32">
        <v>42109.0</v>
      </c>
      <c r="G684" s="32">
        <v>42171.0</v>
      </c>
      <c r="H684" s="31" t="s">
        <v>303</v>
      </c>
      <c r="I684" s="31" t="s">
        <v>2978</v>
      </c>
      <c r="J684" s="34"/>
      <c r="K684" s="31" t="s">
        <v>2979</v>
      </c>
      <c r="L684" s="31" t="s">
        <v>3351</v>
      </c>
      <c r="M684" s="31" t="s">
        <v>3352</v>
      </c>
      <c r="N684" s="31" t="s">
        <v>267</v>
      </c>
      <c r="O684" s="34"/>
      <c r="P684" s="34"/>
      <c r="Q684" s="31" t="s">
        <v>307</v>
      </c>
      <c r="R684" s="32">
        <v>33642.0</v>
      </c>
      <c r="S684" s="31" t="s">
        <v>320</v>
      </c>
      <c r="T684" s="31" t="s">
        <v>3353</v>
      </c>
      <c r="U684" s="31" t="s">
        <v>361</v>
      </c>
      <c r="V684" s="34"/>
      <c r="W684" s="34"/>
    </row>
    <row r="685">
      <c r="A685" s="30">
        <v>680.0</v>
      </c>
      <c r="B685" s="31" t="s">
        <v>3354</v>
      </c>
      <c r="C685" s="31" t="s">
        <v>3355</v>
      </c>
      <c r="D685" s="31" t="s">
        <v>260</v>
      </c>
      <c r="E685" s="31" t="s">
        <v>2737</v>
      </c>
      <c r="F685" s="32">
        <v>42611.0</v>
      </c>
      <c r="G685" s="35">
        <v>42669.0</v>
      </c>
      <c r="H685" s="31" t="s">
        <v>2811</v>
      </c>
      <c r="I685" s="31" t="s">
        <v>326</v>
      </c>
      <c r="J685" s="31" t="s">
        <v>2737</v>
      </c>
      <c r="K685" s="31" t="s">
        <v>3356</v>
      </c>
      <c r="L685" s="31" t="s">
        <v>431</v>
      </c>
      <c r="M685" s="31" t="s">
        <v>3357</v>
      </c>
      <c r="N685" s="31" t="s">
        <v>267</v>
      </c>
      <c r="O685" s="34"/>
      <c r="P685" s="31">
        <v>5.0</v>
      </c>
      <c r="Q685" s="31" t="s">
        <v>581</v>
      </c>
      <c r="R685" s="32">
        <v>33575.0</v>
      </c>
      <c r="S685" s="31" t="s">
        <v>531</v>
      </c>
      <c r="T685" s="31" t="s">
        <v>3358</v>
      </c>
      <c r="U685" s="31" t="s">
        <v>2914</v>
      </c>
      <c r="V685" s="34"/>
      <c r="W685" s="34"/>
    </row>
    <row r="686">
      <c r="A686" s="30">
        <v>681.0</v>
      </c>
      <c r="B686" s="31" t="s">
        <v>3359</v>
      </c>
      <c r="C686" s="31" t="s">
        <v>3360</v>
      </c>
      <c r="D686" s="31" t="s">
        <v>648</v>
      </c>
      <c r="E686" s="31" t="s">
        <v>2761</v>
      </c>
      <c r="F686" s="32">
        <v>45397.0</v>
      </c>
      <c r="G686" s="33"/>
      <c r="H686" s="31" t="s">
        <v>325</v>
      </c>
      <c r="I686" s="31" t="s">
        <v>2761</v>
      </c>
      <c r="J686" s="34"/>
      <c r="K686" s="31" t="s">
        <v>3361</v>
      </c>
      <c r="L686" s="31" t="s">
        <v>959</v>
      </c>
      <c r="M686" s="31" t="s">
        <v>3362</v>
      </c>
      <c r="N686" s="31" t="s">
        <v>467</v>
      </c>
      <c r="O686" s="34"/>
      <c r="P686" s="31">
        <v>2.0</v>
      </c>
      <c r="Q686" s="31" t="s">
        <v>268</v>
      </c>
      <c r="R686" s="32">
        <v>36266.0</v>
      </c>
      <c r="S686" s="31" t="s">
        <v>3363</v>
      </c>
      <c r="T686" s="31" t="s">
        <v>1895</v>
      </c>
      <c r="U686" s="31" t="s">
        <v>331</v>
      </c>
      <c r="V686" s="34"/>
      <c r="W686" s="34"/>
    </row>
    <row r="687">
      <c r="A687" s="30">
        <v>682.0</v>
      </c>
      <c r="B687" s="31" t="s">
        <v>3364</v>
      </c>
      <c r="C687" s="31" t="s">
        <v>3365</v>
      </c>
      <c r="D687" s="31" t="s">
        <v>260</v>
      </c>
      <c r="E687" s="31" t="s">
        <v>2737</v>
      </c>
      <c r="F687" s="32">
        <v>45397.0</v>
      </c>
      <c r="G687" s="33"/>
      <c r="H687" s="31" t="s">
        <v>325</v>
      </c>
      <c r="I687" s="31" t="s">
        <v>326</v>
      </c>
      <c r="J687" s="31" t="s">
        <v>2737</v>
      </c>
      <c r="K687" s="31" t="s">
        <v>2755</v>
      </c>
      <c r="L687" s="31" t="s">
        <v>431</v>
      </c>
      <c r="M687" s="31" t="s">
        <v>3366</v>
      </c>
      <c r="N687" s="31" t="s">
        <v>267</v>
      </c>
      <c r="O687" s="34"/>
      <c r="P687" s="31">
        <v>1.0</v>
      </c>
      <c r="Q687" s="31" t="s">
        <v>268</v>
      </c>
      <c r="R687" s="32">
        <v>37203.0</v>
      </c>
      <c r="S687" s="31" t="s">
        <v>320</v>
      </c>
      <c r="T687" s="31" t="s">
        <v>2831</v>
      </c>
      <c r="U687" s="31" t="s">
        <v>331</v>
      </c>
      <c r="V687" s="34"/>
      <c r="W687" s="34"/>
    </row>
    <row r="688">
      <c r="A688" s="30">
        <v>683.0</v>
      </c>
      <c r="B688" s="31" t="s">
        <v>3367</v>
      </c>
      <c r="C688" s="31" t="s">
        <v>3368</v>
      </c>
      <c r="D688" s="31" t="s">
        <v>2531</v>
      </c>
      <c r="E688" s="31" t="s">
        <v>148</v>
      </c>
      <c r="F688" s="32">
        <v>44781.0</v>
      </c>
      <c r="G688" s="32">
        <v>44842.0</v>
      </c>
      <c r="H688" s="31" t="s">
        <v>303</v>
      </c>
      <c r="I688" s="31" t="s">
        <v>335</v>
      </c>
      <c r="J688" s="31" t="s">
        <v>336</v>
      </c>
      <c r="K688" s="31" t="s">
        <v>2532</v>
      </c>
      <c r="L688" s="31" t="s">
        <v>2533</v>
      </c>
      <c r="M688" s="31" t="s">
        <v>3369</v>
      </c>
      <c r="N688" s="31" t="s">
        <v>267</v>
      </c>
      <c r="O688" s="34"/>
      <c r="P688" s="34"/>
      <c r="Q688" s="31" t="s">
        <v>581</v>
      </c>
      <c r="R688" s="32">
        <v>35916.0</v>
      </c>
      <c r="S688" s="31" t="s">
        <v>3370</v>
      </c>
      <c r="T688" s="31" t="s">
        <v>3371</v>
      </c>
      <c r="U688" s="31" t="s">
        <v>342</v>
      </c>
      <c r="V688" s="31" t="s">
        <v>148</v>
      </c>
      <c r="W688" s="34"/>
    </row>
    <row r="689">
      <c r="A689" s="30">
        <v>684.0</v>
      </c>
      <c r="B689" s="31" t="s">
        <v>3372</v>
      </c>
      <c r="C689" s="31" t="s">
        <v>3373</v>
      </c>
      <c r="D689" s="31" t="s">
        <v>260</v>
      </c>
      <c r="E689" s="31" t="s">
        <v>2767</v>
      </c>
      <c r="F689" s="32">
        <v>45337.0</v>
      </c>
      <c r="G689" s="32">
        <v>45396.0</v>
      </c>
      <c r="H689" s="31" t="s">
        <v>325</v>
      </c>
      <c r="I689" s="31" t="s">
        <v>2768</v>
      </c>
      <c r="J689" s="31" t="s">
        <v>2767</v>
      </c>
      <c r="K689" s="31" t="s">
        <v>2769</v>
      </c>
      <c r="L689" s="31" t="s">
        <v>392</v>
      </c>
      <c r="M689" s="31" t="s">
        <v>3374</v>
      </c>
      <c r="N689" s="31" t="s">
        <v>267</v>
      </c>
      <c r="O689" s="34"/>
      <c r="P689" s="31">
        <v>1.0</v>
      </c>
      <c r="Q689" s="31" t="s">
        <v>307</v>
      </c>
      <c r="R689" s="32">
        <v>37444.0</v>
      </c>
      <c r="S689" s="31" t="s">
        <v>286</v>
      </c>
      <c r="T689" s="31" t="s">
        <v>330</v>
      </c>
      <c r="U689" s="31" t="s">
        <v>331</v>
      </c>
      <c r="V689" s="34"/>
      <c r="W689" s="34"/>
    </row>
    <row r="690">
      <c r="A690" s="30">
        <v>685.0</v>
      </c>
      <c r="B690" s="31" t="s">
        <v>3375</v>
      </c>
      <c r="C690" s="31" t="s">
        <v>3376</v>
      </c>
      <c r="D690" s="31" t="s">
        <v>3132</v>
      </c>
      <c r="E690" s="31" t="s">
        <v>3377</v>
      </c>
      <c r="F690" s="32">
        <v>42705.0</v>
      </c>
      <c r="G690" s="32">
        <v>42767.0</v>
      </c>
      <c r="H690" s="31" t="s">
        <v>453</v>
      </c>
      <c r="I690" s="31" t="s">
        <v>454</v>
      </c>
      <c r="J690" s="31" t="s">
        <v>3378</v>
      </c>
      <c r="K690" s="31" t="s">
        <v>3379</v>
      </c>
      <c r="L690" s="31" t="s">
        <v>3380</v>
      </c>
      <c r="M690" s="31" t="s">
        <v>3381</v>
      </c>
      <c r="N690" s="31" t="s">
        <v>467</v>
      </c>
      <c r="O690" s="31">
        <v>2.0</v>
      </c>
      <c r="P690" s="34"/>
      <c r="Q690" s="31" t="s">
        <v>307</v>
      </c>
      <c r="R690" s="32">
        <v>34640.0</v>
      </c>
      <c r="S690" s="31" t="s">
        <v>737</v>
      </c>
      <c r="T690" s="31" t="s">
        <v>686</v>
      </c>
      <c r="U690" s="31" t="s">
        <v>460</v>
      </c>
      <c r="V690" s="31" t="s">
        <v>3377</v>
      </c>
      <c r="W690" s="34"/>
    </row>
    <row r="691">
      <c r="A691" s="30">
        <v>686.0</v>
      </c>
      <c r="B691" s="31" t="s">
        <v>3382</v>
      </c>
      <c r="C691" s="31" t="s">
        <v>990</v>
      </c>
      <c r="D691" s="31" t="s">
        <v>3222</v>
      </c>
      <c r="E691" s="31" t="s">
        <v>3377</v>
      </c>
      <c r="F691" s="32">
        <v>44390.0</v>
      </c>
      <c r="G691" s="32">
        <v>44452.0</v>
      </c>
      <c r="H691" s="31" t="s">
        <v>453</v>
      </c>
      <c r="I691" s="31" t="s">
        <v>454</v>
      </c>
      <c r="J691" s="31" t="s">
        <v>3378</v>
      </c>
      <c r="K691" s="31" t="s">
        <v>3379</v>
      </c>
      <c r="L691" s="31" t="s">
        <v>3223</v>
      </c>
      <c r="M691" s="31" t="s">
        <v>3383</v>
      </c>
      <c r="N691" s="31" t="s">
        <v>267</v>
      </c>
      <c r="O691" s="34"/>
      <c r="P691" s="34"/>
      <c r="Q691" s="31" t="s">
        <v>307</v>
      </c>
      <c r="R691" s="32">
        <v>33787.0</v>
      </c>
      <c r="S691" s="31" t="s">
        <v>531</v>
      </c>
      <c r="T691" s="31" t="s">
        <v>682</v>
      </c>
      <c r="U691" s="31" t="s">
        <v>460</v>
      </c>
      <c r="V691" s="31" t="s">
        <v>3377</v>
      </c>
      <c r="W691" s="34"/>
    </row>
    <row r="692">
      <c r="A692" s="30">
        <v>687.0</v>
      </c>
      <c r="B692" s="31" t="s">
        <v>3384</v>
      </c>
      <c r="C692" s="31" t="s">
        <v>3385</v>
      </c>
      <c r="D692" s="31" t="s">
        <v>3222</v>
      </c>
      <c r="E692" s="31" t="s">
        <v>3187</v>
      </c>
      <c r="F692" s="32">
        <v>43678.0</v>
      </c>
      <c r="G692" s="32">
        <v>43739.0</v>
      </c>
      <c r="H692" s="31" t="s">
        <v>453</v>
      </c>
      <c r="I692" s="31" t="s">
        <v>454</v>
      </c>
      <c r="J692" s="31" t="s">
        <v>3188</v>
      </c>
      <c r="K692" s="31" t="s">
        <v>3189</v>
      </c>
      <c r="L692" s="31" t="s">
        <v>3223</v>
      </c>
      <c r="M692" s="31" t="s">
        <v>3386</v>
      </c>
      <c r="N692" s="31" t="s">
        <v>267</v>
      </c>
      <c r="O692" s="34"/>
      <c r="P692" s="34"/>
      <c r="Q692" s="31" t="s">
        <v>307</v>
      </c>
      <c r="R692" s="35">
        <v>34263.0</v>
      </c>
      <c r="S692" s="31" t="s">
        <v>531</v>
      </c>
      <c r="T692" s="31" t="s">
        <v>3184</v>
      </c>
      <c r="U692" s="31" t="s">
        <v>460</v>
      </c>
      <c r="V692" s="31" t="s">
        <v>3187</v>
      </c>
      <c r="W692" s="34"/>
    </row>
    <row r="693">
      <c r="A693" s="30">
        <v>688.0</v>
      </c>
      <c r="B693" s="31" t="s">
        <v>3387</v>
      </c>
      <c r="C693" s="31" t="s">
        <v>1312</v>
      </c>
      <c r="D693" s="31" t="s">
        <v>452</v>
      </c>
      <c r="E693" s="31" t="s">
        <v>3388</v>
      </c>
      <c r="F693" s="32">
        <v>44277.0</v>
      </c>
      <c r="G693" s="32">
        <v>44338.0</v>
      </c>
      <c r="H693" s="31" t="s">
        <v>453</v>
      </c>
      <c r="I693" s="31" t="s">
        <v>607</v>
      </c>
      <c r="J693" s="31" t="s">
        <v>3247</v>
      </c>
      <c r="K693" s="31" t="s">
        <v>3389</v>
      </c>
      <c r="L693" s="31" t="s">
        <v>456</v>
      </c>
      <c r="M693" s="31" t="s">
        <v>3390</v>
      </c>
      <c r="N693" s="31" t="s">
        <v>267</v>
      </c>
      <c r="O693" s="34"/>
      <c r="P693" s="34"/>
      <c r="Q693" s="31" t="s">
        <v>307</v>
      </c>
      <c r="R693" s="35">
        <v>33526.0</v>
      </c>
      <c r="S693" s="31" t="s">
        <v>531</v>
      </c>
      <c r="T693" s="31" t="s">
        <v>947</v>
      </c>
      <c r="U693" s="31" t="s">
        <v>480</v>
      </c>
      <c r="V693" s="31" t="s">
        <v>3388</v>
      </c>
      <c r="W693" s="34"/>
    </row>
    <row r="694">
      <c r="A694" s="30">
        <v>689.0</v>
      </c>
      <c r="B694" s="31" t="s">
        <v>3391</v>
      </c>
      <c r="C694" s="31" t="s">
        <v>3392</v>
      </c>
      <c r="D694" s="31" t="s">
        <v>472</v>
      </c>
      <c r="E694" s="31" t="s">
        <v>2874</v>
      </c>
      <c r="F694" s="35">
        <v>43815.0</v>
      </c>
      <c r="G694" s="32">
        <v>43877.0</v>
      </c>
      <c r="H694" s="31" t="s">
        <v>453</v>
      </c>
      <c r="I694" s="31" t="s">
        <v>52</v>
      </c>
      <c r="J694" s="31" t="s">
        <v>2874</v>
      </c>
      <c r="K694" s="31" t="s">
        <v>2875</v>
      </c>
      <c r="L694" s="31" t="s">
        <v>476</v>
      </c>
      <c r="M694" s="31" t="s">
        <v>3393</v>
      </c>
      <c r="N694" s="31" t="s">
        <v>467</v>
      </c>
      <c r="O694" s="34"/>
      <c r="P694" s="34"/>
      <c r="Q694" s="31" t="s">
        <v>307</v>
      </c>
      <c r="R694" s="32">
        <v>35841.0</v>
      </c>
      <c r="S694" s="31" t="s">
        <v>560</v>
      </c>
      <c r="T694" s="31" t="s">
        <v>496</v>
      </c>
      <c r="U694" s="31" t="s">
        <v>643</v>
      </c>
      <c r="V694" s="34"/>
      <c r="W694" s="34"/>
    </row>
    <row r="695">
      <c r="A695" s="30">
        <v>690.0</v>
      </c>
      <c r="B695" s="31" t="s">
        <v>3394</v>
      </c>
      <c r="C695" s="31" t="s">
        <v>3395</v>
      </c>
      <c r="D695" s="31" t="s">
        <v>3132</v>
      </c>
      <c r="E695" s="31" t="s">
        <v>3396</v>
      </c>
      <c r="F695" s="32">
        <v>44501.0</v>
      </c>
      <c r="G695" s="32">
        <v>44562.0</v>
      </c>
      <c r="H695" s="31" t="s">
        <v>453</v>
      </c>
      <c r="I695" s="31" t="s">
        <v>47</v>
      </c>
      <c r="J695" s="31" t="s">
        <v>3397</v>
      </c>
      <c r="K695" s="31" t="s">
        <v>3398</v>
      </c>
      <c r="L695" s="31" t="s">
        <v>3380</v>
      </c>
      <c r="M695" s="31" t="s">
        <v>3399</v>
      </c>
      <c r="N695" s="31" t="s">
        <v>267</v>
      </c>
      <c r="O695" s="31">
        <v>2.0</v>
      </c>
      <c r="P695" s="34"/>
      <c r="Q695" s="31" t="s">
        <v>307</v>
      </c>
      <c r="R695" s="32">
        <v>35190.0</v>
      </c>
      <c r="S695" s="31" t="s">
        <v>631</v>
      </c>
      <c r="T695" s="31" t="s">
        <v>709</v>
      </c>
      <c r="U695" s="31" t="s">
        <v>480</v>
      </c>
      <c r="V695" s="31" t="s">
        <v>3396</v>
      </c>
      <c r="W695" s="34"/>
    </row>
    <row r="696">
      <c r="A696" s="30">
        <v>691.0</v>
      </c>
      <c r="B696" s="31" t="s">
        <v>3400</v>
      </c>
      <c r="C696" s="31" t="s">
        <v>3401</v>
      </c>
      <c r="D696" s="31" t="s">
        <v>302</v>
      </c>
      <c r="E696" s="31" t="s">
        <v>228</v>
      </c>
      <c r="F696" s="32">
        <v>45142.0</v>
      </c>
      <c r="G696" s="32">
        <v>45202.0</v>
      </c>
      <c r="H696" s="31" t="s">
        <v>303</v>
      </c>
      <c r="I696" s="31" t="s">
        <v>228</v>
      </c>
      <c r="J696" s="34"/>
      <c r="K696" s="31" t="s">
        <v>304</v>
      </c>
      <c r="L696" s="31" t="s">
        <v>305</v>
      </c>
      <c r="M696" s="31" t="s">
        <v>3402</v>
      </c>
      <c r="N696" s="31" t="s">
        <v>267</v>
      </c>
      <c r="O696" s="34"/>
      <c r="P696" s="34"/>
      <c r="Q696" s="31" t="s">
        <v>307</v>
      </c>
      <c r="R696" s="32">
        <v>36908.0</v>
      </c>
      <c r="S696" s="31" t="s">
        <v>3403</v>
      </c>
      <c r="T696" s="31" t="s">
        <v>3404</v>
      </c>
      <c r="U696" s="31" t="s">
        <v>310</v>
      </c>
      <c r="V696" s="34"/>
      <c r="W696" s="34"/>
    </row>
    <row r="697">
      <c r="A697" s="30">
        <v>692.0</v>
      </c>
      <c r="B697" s="31" t="s">
        <v>3405</v>
      </c>
      <c r="C697" s="31" t="s">
        <v>3406</v>
      </c>
      <c r="D697" s="31" t="s">
        <v>364</v>
      </c>
      <c r="E697" s="31" t="s">
        <v>2908</v>
      </c>
      <c r="F697" s="32">
        <v>45394.0</v>
      </c>
      <c r="G697" s="33"/>
      <c r="H697" s="31" t="s">
        <v>325</v>
      </c>
      <c r="I697" s="31" t="s">
        <v>2761</v>
      </c>
      <c r="J697" s="31" t="s">
        <v>2908</v>
      </c>
      <c r="K697" s="31" t="s">
        <v>3407</v>
      </c>
      <c r="L697" s="31" t="s">
        <v>368</v>
      </c>
      <c r="M697" s="31" t="s">
        <v>3408</v>
      </c>
      <c r="N697" s="31" t="s">
        <v>267</v>
      </c>
      <c r="O697" s="34"/>
      <c r="P697" s="31">
        <v>1.0</v>
      </c>
      <c r="Q697" s="31" t="s">
        <v>268</v>
      </c>
      <c r="R697" s="32">
        <v>37479.0</v>
      </c>
      <c r="S697" s="31" t="s">
        <v>526</v>
      </c>
      <c r="T697" s="31" t="s">
        <v>330</v>
      </c>
      <c r="U697" s="31" t="s">
        <v>331</v>
      </c>
      <c r="V697" s="34"/>
      <c r="W697" s="34"/>
    </row>
    <row r="698">
      <c r="A698" s="30">
        <v>693.0</v>
      </c>
      <c r="B698" s="31" t="s">
        <v>3409</v>
      </c>
      <c r="C698" s="31" t="s">
        <v>3410</v>
      </c>
      <c r="D698" s="31" t="s">
        <v>364</v>
      </c>
      <c r="E698" s="31" t="s">
        <v>2908</v>
      </c>
      <c r="F698" s="32">
        <v>45394.0</v>
      </c>
      <c r="G698" s="33"/>
      <c r="H698" s="31" t="s">
        <v>325</v>
      </c>
      <c r="I698" s="31" t="s">
        <v>2761</v>
      </c>
      <c r="J698" s="31" t="s">
        <v>2908</v>
      </c>
      <c r="K698" s="31" t="s">
        <v>3407</v>
      </c>
      <c r="L698" s="31" t="s">
        <v>368</v>
      </c>
      <c r="M698" s="31" t="s">
        <v>3411</v>
      </c>
      <c r="N698" s="31" t="s">
        <v>267</v>
      </c>
      <c r="O698" s="34"/>
      <c r="P698" s="31">
        <v>1.0</v>
      </c>
      <c r="Q698" s="31" t="s">
        <v>268</v>
      </c>
      <c r="R698" s="32">
        <v>37115.0</v>
      </c>
      <c r="S698" s="31" t="s">
        <v>2057</v>
      </c>
      <c r="T698" s="31" t="s">
        <v>330</v>
      </c>
      <c r="U698" s="31" t="s">
        <v>331</v>
      </c>
      <c r="V698" s="34"/>
      <c r="W698" s="34"/>
    </row>
    <row r="699">
      <c r="A699" s="30">
        <v>694.0</v>
      </c>
      <c r="B699" s="31" t="s">
        <v>3412</v>
      </c>
      <c r="C699" s="31" t="s">
        <v>3413</v>
      </c>
      <c r="D699" s="31" t="s">
        <v>472</v>
      </c>
      <c r="E699" s="31" t="s">
        <v>606</v>
      </c>
      <c r="F699" s="32">
        <v>45204.0</v>
      </c>
      <c r="G699" s="32">
        <v>45264.0</v>
      </c>
      <c r="H699" s="31" t="s">
        <v>453</v>
      </c>
      <c r="I699" s="31" t="s">
        <v>607</v>
      </c>
      <c r="J699" s="31" t="s">
        <v>608</v>
      </c>
      <c r="K699" s="31" t="s">
        <v>609</v>
      </c>
      <c r="L699" s="31" t="s">
        <v>476</v>
      </c>
      <c r="M699" s="31" t="s">
        <v>3414</v>
      </c>
      <c r="N699" s="31" t="s">
        <v>467</v>
      </c>
      <c r="O699" s="34"/>
      <c r="P699" s="34"/>
      <c r="Q699" s="31" t="s">
        <v>307</v>
      </c>
      <c r="R699" s="32">
        <v>33372.0</v>
      </c>
      <c r="S699" s="31" t="s">
        <v>3415</v>
      </c>
      <c r="T699" s="31" t="s">
        <v>3416</v>
      </c>
      <c r="U699" s="31" t="s">
        <v>480</v>
      </c>
      <c r="V699" s="31" t="s">
        <v>606</v>
      </c>
      <c r="W699" s="34"/>
    </row>
    <row r="700">
      <c r="A700" s="30">
        <v>695.0</v>
      </c>
      <c r="B700" s="31" t="s">
        <v>3417</v>
      </c>
      <c r="C700" s="31" t="s">
        <v>3418</v>
      </c>
      <c r="D700" s="31" t="s">
        <v>472</v>
      </c>
      <c r="E700" s="31" t="s">
        <v>3419</v>
      </c>
      <c r="F700" s="32">
        <v>44991.0</v>
      </c>
      <c r="G700" s="32">
        <v>45052.0</v>
      </c>
      <c r="H700" s="31" t="s">
        <v>453</v>
      </c>
      <c r="I700" s="31" t="s">
        <v>454</v>
      </c>
      <c r="J700" s="31" t="s">
        <v>3188</v>
      </c>
      <c r="K700" s="31" t="s">
        <v>3420</v>
      </c>
      <c r="L700" s="31" t="s">
        <v>476</v>
      </c>
      <c r="M700" s="31" t="s">
        <v>3421</v>
      </c>
      <c r="N700" s="31" t="s">
        <v>467</v>
      </c>
      <c r="O700" s="34"/>
      <c r="P700" s="34"/>
      <c r="Q700" s="31" t="s">
        <v>307</v>
      </c>
      <c r="R700" s="32">
        <v>37019.0</v>
      </c>
      <c r="S700" s="31" t="s">
        <v>560</v>
      </c>
      <c r="T700" s="31" t="s">
        <v>3422</v>
      </c>
      <c r="U700" s="31" t="s">
        <v>460</v>
      </c>
      <c r="V700" s="31" t="s">
        <v>3419</v>
      </c>
      <c r="W700" s="34"/>
    </row>
    <row r="701">
      <c r="A701" s="30">
        <v>696.0</v>
      </c>
      <c r="B701" s="31" t="s">
        <v>3423</v>
      </c>
      <c r="C701" s="31" t="s">
        <v>3424</v>
      </c>
      <c r="D701" s="31" t="s">
        <v>615</v>
      </c>
      <c r="E701" s="31" t="s">
        <v>3425</v>
      </c>
      <c r="F701" s="32">
        <v>44753.0</v>
      </c>
      <c r="G701" s="32">
        <v>44815.0</v>
      </c>
      <c r="H701" s="31" t="s">
        <v>453</v>
      </c>
      <c r="I701" s="31" t="s">
        <v>607</v>
      </c>
      <c r="J701" s="31" t="s">
        <v>608</v>
      </c>
      <c r="K701" s="31" t="s">
        <v>3426</v>
      </c>
      <c r="L701" s="31" t="s">
        <v>618</v>
      </c>
      <c r="M701" s="31" t="s">
        <v>3427</v>
      </c>
      <c r="N701" s="31" t="s">
        <v>467</v>
      </c>
      <c r="O701" s="34"/>
      <c r="P701" s="34"/>
      <c r="Q701" s="31" t="s">
        <v>307</v>
      </c>
      <c r="R701" s="35">
        <v>34987.0</v>
      </c>
      <c r="S701" s="31" t="s">
        <v>502</v>
      </c>
      <c r="T701" s="31" t="s">
        <v>1127</v>
      </c>
      <c r="U701" s="31" t="s">
        <v>480</v>
      </c>
      <c r="V701" s="31" t="s">
        <v>3425</v>
      </c>
      <c r="W701" s="34"/>
    </row>
    <row r="702">
      <c r="A702" s="30">
        <v>697.0</v>
      </c>
      <c r="B702" s="31" t="s">
        <v>3428</v>
      </c>
      <c r="C702" s="31" t="s">
        <v>3429</v>
      </c>
      <c r="D702" s="31" t="s">
        <v>574</v>
      </c>
      <c r="E702" s="31" t="s">
        <v>3430</v>
      </c>
      <c r="F702" s="35">
        <v>44188.0</v>
      </c>
      <c r="G702" s="32">
        <v>44250.0</v>
      </c>
      <c r="H702" s="31" t="s">
        <v>576</v>
      </c>
      <c r="I702" s="31" t="s">
        <v>3431</v>
      </c>
      <c r="J702" s="31" t="s">
        <v>3430</v>
      </c>
      <c r="K702" s="31" t="s">
        <v>3432</v>
      </c>
      <c r="L702" s="31" t="s">
        <v>579</v>
      </c>
      <c r="M702" s="31" t="s">
        <v>3433</v>
      </c>
      <c r="N702" s="31" t="s">
        <v>267</v>
      </c>
      <c r="O702" s="34"/>
      <c r="P702" s="31">
        <v>1.0</v>
      </c>
      <c r="Q702" s="31" t="s">
        <v>307</v>
      </c>
      <c r="R702" s="32">
        <v>35947.0</v>
      </c>
      <c r="S702" s="31" t="s">
        <v>3434</v>
      </c>
      <c r="T702" s="31" t="s">
        <v>1777</v>
      </c>
      <c r="U702" s="31" t="s">
        <v>271</v>
      </c>
      <c r="V702" s="34"/>
      <c r="W702" s="34"/>
    </row>
    <row r="703">
      <c r="A703" s="30">
        <v>698.0</v>
      </c>
      <c r="B703" s="31" t="s">
        <v>3435</v>
      </c>
      <c r="C703" s="31" t="s">
        <v>3436</v>
      </c>
      <c r="D703" s="31" t="s">
        <v>574</v>
      </c>
      <c r="E703" s="31" t="s">
        <v>3430</v>
      </c>
      <c r="F703" s="32">
        <v>43196.0</v>
      </c>
      <c r="G703" s="32">
        <v>43257.0</v>
      </c>
      <c r="H703" s="31" t="s">
        <v>576</v>
      </c>
      <c r="I703" s="31" t="s">
        <v>3431</v>
      </c>
      <c r="J703" s="31" t="s">
        <v>3430</v>
      </c>
      <c r="K703" s="31" t="s">
        <v>3432</v>
      </c>
      <c r="L703" s="31" t="s">
        <v>579</v>
      </c>
      <c r="M703" s="31" t="s">
        <v>3437</v>
      </c>
      <c r="N703" s="31" t="s">
        <v>267</v>
      </c>
      <c r="O703" s="34"/>
      <c r="P703" s="31">
        <v>1.0</v>
      </c>
      <c r="Q703" s="31" t="s">
        <v>307</v>
      </c>
      <c r="R703" s="32">
        <v>35408.0</v>
      </c>
      <c r="S703" s="31" t="s">
        <v>320</v>
      </c>
      <c r="T703" s="31" t="s">
        <v>3438</v>
      </c>
      <c r="U703" s="31" t="s">
        <v>271</v>
      </c>
      <c r="V703" s="34"/>
      <c r="W703" s="34"/>
    </row>
    <row r="704">
      <c r="A704" s="30">
        <v>699.0</v>
      </c>
      <c r="B704" s="31" t="s">
        <v>3439</v>
      </c>
      <c r="C704" s="31" t="s">
        <v>3440</v>
      </c>
      <c r="D704" s="31" t="s">
        <v>3441</v>
      </c>
      <c r="E704" s="31" t="s">
        <v>3299</v>
      </c>
      <c r="F704" s="32">
        <v>40179.0</v>
      </c>
      <c r="G704" s="32">
        <v>40238.0</v>
      </c>
      <c r="H704" s="31" t="s">
        <v>576</v>
      </c>
      <c r="I704" s="31" t="s">
        <v>3299</v>
      </c>
      <c r="J704" s="34"/>
      <c r="K704" s="31" t="s">
        <v>3442</v>
      </c>
      <c r="L704" s="31" t="s">
        <v>3443</v>
      </c>
      <c r="M704" s="31" t="s">
        <v>3444</v>
      </c>
      <c r="N704" s="31" t="s">
        <v>467</v>
      </c>
      <c r="O704" s="31">
        <v>2.0</v>
      </c>
      <c r="P704" s="34"/>
      <c r="Q704" s="31" t="s">
        <v>307</v>
      </c>
      <c r="R704" s="32">
        <v>31671.0</v>
      </c>
      <c r="S704" s="31" t="s">
        <v>320</v>
      </c>
      <c r="T704" s="31" t="s">
        <v>2845</v>
      </c>
      <c r="U704" s="31" t="s">
        <v>271</v>
      </c>
      <c r="V704" s="34"/>
      <c r="W704" s="34"/>
    </row>
    <row r="705">
      <c r="A705" s="30">
        <v>700.0</v>
      </c>
      <c r="B705" s="31" t="s">
        <v>3445</v>
      </c>
      <c r="C705" s="31" t="s">
        <v>3446</v>
      </c>
      <c r="D705" s="31" t="s">
        <v>2932</v>
      </c>
      <c r="E705" s="31" t="s">
        <v>3447</v>
      </c>
      <c r="F705" s="32">
        <v>43878.0</v>
      </c>
      <c r="G705" s="32">
        <v>43938.0</v>
      </c>
      <c r="H705" s="31" t="s">
        <v>576</v>
      </c>
      <c r="I705" s="31" t="s">
        <v>3299</v>
      </c>
      <c r="J705" s="31" t="s">
        <v>3447</v>
      </c>
      <c r="K705" s="31" t="s">
        <v>3448</v>
      </c>
      <c r="L705" s="31" t="s">
        <v>2936</v>
      </c>
      <c r="M705" s="31" t="s">
        <v>3449</v>
      </c>
      <c r="N705" s="31" t="s">
        <v>267</v>
      </c>
      <c r="O705" s="34"/>
      <c r="P705" s="31">
        <v>8.0</v>
      </c>
      <c r="Q705" s="31" t="s">
        <v>307</v>
      </c>
      <c r="R705" s="32">
        <v>32708.0</v>
      </c>
      <c r="S705" s="31" t="s">
        <v>681</v>
      </c>
      <c r="T705" s="31" t="s">
        <v>3450</v>
      </c>
      <c r="U705" s="31" t="s">
        <v>271</v>
      </c>
      <c r="V705" s="34"/>
      <c r="W705" s="34"/>
    </row>
    <row r="706">
      <c r="A706" s="30">
        <v>701.0</v>
      </c>
      <c r="B706" s="31" t="s">
        <v>3451</v>
      </c>
      <c r="C706" s="31" t="s">
        <v>3452</v>
      </c>
      <c r="D706" s="31" t="s">
        <v>2932</v>
      </c>
      <c r="E706" s="31" t="s">
        <v>3298</v>
      </c>
      <c r="F706" s="32">
        <v>43988.0</v>
      </c>
      <c r="G706" s="32">
        <v>44049.0</v>
      </c>
      <c r="H706" s="31" t="s">
        <v>576</v>
      </c>
      <c r="I706" s="31" t="s">
        <v>3299</v>
      </c>
      <c r="J706" s="31" t="s">
        <v>3298</v>
      </c>
      <c r="K706" s="31" t="s">
        <v>3300</v>
      </c>
      <c r="L706" s="31" t="s">
        <v>2936</v>
      </c>
      <c r="M706" s="31" t="s">
        <v>3453</v>
      </c>
      <c r="N706" s="31" t="s">
        <v>267</v>
      </c>
      <c r="O706" s="34"/>
      <c r="P706" s="31">
        <v>2.0</v>
      </c>
      <c r="Q706" s="31" t="s">
        <v>307</v>
      </c>
      <c r="R706" s="35">
        <v>35755.0</v>
      </c>
      <c r="S706" s="31" t="s">
        <v>3454</v>
      </c>
      <c r="T706" s="31" t="s">
        <v>1476</v>
      </c>
      <c r="U706" s="31" t="s">
        <v>271</v>
      </c>
      <c r="V706" s="34"/>
      <c r="W706" s="34"/>
    </row>
    <row r="707">
      <c r="A707" s="30">
        <v>702.0</v>
      </c>
      <c r="B707" s="31" t="s">
        <v>3455</v>
      </c>
      <c r="C707" s="31" t="s">
        <v>3456</v>
      </c>
      <c r="D707" s="31" t="s">
        <v>2932</v>
      </c>
      <c r="E707" s="31" t="s">
        <v>3447</v>
      </c>
      <c r="F707" s="35">
        <v>42300.0</v>
      </c>
      <c r="G707" s="35">
        <v>42362.0</v>
      </c>
      <c r="H707" s="31" t="s">
        <v>576</v>
      </c>
      <c r="I707" s="31" t="s">
        <v>3299</v>
      </c>
      <c r="J707" s="31" t="s">
        <v>3447</v>
      </c>
      <c r="K707" s="31" t="s">
        <v>3448</v>
      </c>
      <c r="L707" s="31" t="s">
        <v>2936</v>
      </c>
      <c r="M707" s="31" t="s">
        <v>3457</v>
      </c>
      <c r="N707" s="31" t="s">
        <v>467</v>
      </c>
      <c r="O707" s="34"/>
      <c r="P707" s="34"/>
      <c r="Q707" s="31" t="s">
        <v>307</v>
      </c>
      <c r="R707" s="32">
        <v>34054.0</v>
      </c>
      <c r="S707" s="31" t="s">
        <v>676</v>
      </c>
      <c r="T707" s="31" t="s">
        <v>1675</v>
      </c>
      <c r="U707" s="31" t="s">
        <v>271</v>
      </c>
      <c r="V707" s="34"/>
      <c r="W707" s="34"/>
    </row>
    <row r="708">
      <c r="A708" s="30">
        <v>703.0</v>
      </c>
      <c r="B708" s="31" t="s">
        <v>3458</v>
      </c>
      <c r="C708" s="31" t="s">
        <v>3459</v>
      </c>
      <c r="D708" s="31" t="s">
        <v>2932</v>
      </c>
      <c r="E708" s="31" t="s">
        <v>3447</v>
      </c>
      <c r="F708" s="32">
        <v>40695.0</v>
      </c>
      <c r="G708" s="32">
        <v>40756.0</v>
      </c>
      <c r="H708" s="31" t="s">
        <v>576</v>
      </c>
      <c r="I708" s="31" t="s">
        <v>3299</v>
      </c>
      <c r="J708" s="31" t="s">
        <v>3447</v>
      </c>
      <c r="K708" s="31" t="s">
        <v>3448</v>
      </c>
      <c r="L708" s="31" t="s">
        <v>2936</v>
      </c>
      <c r="M708" s="31" t="s">
        <v>3460</v>
      </c>
      <c r="N708" s="31" t="s">
        <v>267</v>
      </c>
      <c r="O708" s="34"/>
      <c r="P708" s="31">
        <v>6.0</v>
      </c>
      <c r="Q708" s="31" t="s">
        <v>307</v>
      </c>
      <c r="R708" s="32">
        <v>33014.0</v>
      </c>
      <c r="S708" s="31" t="s">
        <v>1249</v>
      </c>
      <c r="T708" s="31" t="s">
        <v>2087</v>
      </c>
      <c r="U708" s="31" t="s">
        <v>271</v>
      </c>
      <c r="V708" s="34"/>
      <c r="W708" s="34"/>
    </row>
    <row r="709">
      <c r="A709" s="30">
        <v>704.0</v>
      </c>
      <c r="B709" s="31" t="s">
        <v>3461</v>
      </c>
      <c r="C709" s="31" t="s">
        <v>3462</v>
      </c>
      <c r="D709" s="31" t="s">
        <v>2932</v>
      </c>
      <c r="E709" s="31" t="s">
        <v>3447</v>
      </c>
      <c r="F709" s="32">
        <v>44169.0</v>
      </c>
      <c r="G709" s="32">
        <v>44231.0</v>
      </c>
      <c r="H709" s="31" t="s">
        <v>576</v>
      </c>
      <c r="I709" s="31" t="s">
        <v>3299</v>
      </c>
      <c r="J709" s="31" t="s">
        <v>3447</v>
      </c>
      <c r="K709" s="31" t="s">
        <v>3448</v>
      </c>
      <c r="L709" s="31" t="s">
        <v>2936</v>
      </c>
      <c r="M709" s="31" t="s">
        <v>3463</v>
      </c>
      <c r="N709" s="31" t="s">
        <v>467</v>
      </c>
      <c r="O709" s="34"/>
      <c r="P709" s="31">
        <v>1.0</v>
      </c>
      <c r="Q709" s="31" t="s">
        <v>307</v>
      </c>
      <c r="R709" s="32">
        <v>36022.0</v>
      </c>
      <c r="S709" s="31" t="s">
        <v>676</v>
      </c>
      <c r="T709" s="31" t="s">
        <v>3464</v>
      </c>
      <c r="U709" s="31" t="s">
        <v>271</v>
      </c>
      <c r="V709" s="34"/>
      <c r="W709" s="34"/>
    </row>
    <row r="710">
      <c r="A710" s="30">
        <v>705.0</v>
      </c>
      <c r="B710" s="31" t="s">
        <v>3465</v>
      </c>
      <c r="C710" s="31" t="s">
        <v>3466</v>
      </c>
      <c r="D710" s="31" t="s">
        <v>2932</v>
      </c>
      <c r="E710" s="31" t="s">
        <v>3447</v>
      </c>
      <c r="F710" s="32">
        <v>43565.0</v>
      </c>
      <c r="G710" s="32">
        <v>43626.0</v>
      </c>
      <c r="H710" s="31" t="s">
        <v>576</v>
      </c>
      <c r="I710" s="31" t="s">
        <v>3299</v>
      </c>
      <c r="J710" s="31" t="s">
        <v>3447</v>
      </c>
      <c r="K710" s="31" t="s">
        <v>3448</v>
      </c>
      <c r="L710" s="31" t="s">
        <v>2936</v>
      </c>
      <c r="M710" s="31" t="s">
        <v>3467</v>
      </c>
      <c r="N710" s="31" t="s">
        <v>467</v>
      </c>
      <c r="O710" s="34"/>
      <c r="P710" s="31">
        <v>6.0</v>
      </c>
      <c r="Q710" s="31" t="s">
        <v>307</v>
      </c>
      <c r="R710" s="32">
        <v>34450.0</v>
      </c>
      <c r="S710" s="31" t="s">
        <v>320</v>
      </c>
      <c r="T710" s="31" t="s">
        <v>1707</v>
      </c>
      <c r="U710" s="31" t="s">
        <v>271</v>
      </c>
      <c r="V710" s="34"/>
      <c r="W710" s="34"/>
    </row>
    <row r="711">
      <c r="A711" s="30">
        <v>706.0</v>
      </c>
      <c r="B711" s="31" t="s">
        <v>3468</v>
      </c>
      <c r="C711" s="31" t="s">
        <v>3469</v>
      </c>
      <c r="D711" s="31" t="s">
        <v>2932</v>
      </c>
      <c r="E711" s="31" t="s">
        <v>3447</v>
      </c>
      <c r="F711" s="32">
        <v>43684.0</v>
      </c>
      <c r="G711" s="32">
        <v>43745.0</v>
      </c>
      <c r="H711" s="31" t="s">
        <v>576</v>
      </c>
      <c r="I711" s="31" t="s">
        <v>3299</v>
      </c>
      <c r="J711" s="31" t="s">
        <v>3447</v>
      </c>
      <c r="K711" s="31" t="s">
        <v>3448</v>
      </c>
      <c r="L711" s="31" t="s">
        <v>2936</v>
      </c>
      <c r="M711" s="31" t="s">
        <v>3470</v>
      </c>
      <c r="N711" s="31" t="s">
        <v>267</v>
      </c>
      <c r="O711" s="34"/>
      <c r="P711" s="31">
        <v>3.0</v>
      </c>
      <c r="Q711" s="31" t="s">
        <v>307</v>
      </c>
      <c r="R711" s="32">
        <v>35610.0</v>
      </c>
      <c r="S711" s="31" t="s">
        <v>526</v>
      </c>
      <c r="T711" s="31" t="s">
        <v>321</v>
      </c>
      <c r="U711" s="31" t="s">
        <v>271</v>
      </c>
      <c r="V711" s="34"/>
      <c r="W711" s="34"/>
    </row>
    <row r="712">
      <c r="A712" s="30">
        <v>707.0</v>
      </c>
      <c r="B712" s="31" t="s">
        <v>3471</v>
      </c>
      <c r="C712" s="31" t="s">
        <v>3472</v>
      </c>
      <c r="D712" s="31" t="s">
        <v>2932</v>
      </c>
      <c r="E712" s="31" t="s">
        <v>3298</v>
      </c>
      <c r="F712" s="35">
        <v>44180.0</v>
      </c>
      <c r="G712" s="32">
        <v>44242.0</v>
      </c>
      <c r="H712" s="31" t="s">
        <v>576</v>
      </c>
      <c r="I712" s="31" t="s">
        <v>3299</v>
      </c>
      <c r="J712" s="31" t="s">
        <v>3298</v>
      </c>
      <c r="K712" s="31" t="s">
        <v>3300</v>
      </c>
      <c r="L712" s="31" t="s">
        <v>2936</v>
      </c>
      <c r="M712" s="31" t="s">
        <v>3473</v>
      </c>
      <c r="N712" s="31" t="s">
        <v>267</v>
      </c>
      <c r="O712" s="34"/>
      <c r="P712" s="31">
        <v>1.0</v>
      </c>
      <c r="Q712" s="31" t="s">
        <v>307</v>
      </c>
      <c r="R712" s="32">
        <v>35453.0</v>
      </c>
      <c r="S712" s="31" t="s">
        <v>626</v>
      </c>
      <c r="T712" s="31" t="s">
        <v>1476</v>
      </c>
      <c r="U712" s="31" t="s">
        <v>271</v>
      </c>
      <c r="V712" s="34"/>
      <c r="W712" s="34"/>
    </row>
    <row r="713">
      <c r="A713" s="30">
        <v>708.0</v>
      </c>
      <c r="B713" s="31" t="s">
        <v>3474</v>
      </c>
      <c r="C713" s="31" t="s">
        <v>1079</v>
      </c>
      <c r="D713" s="31" t="s">
        <v>3475</v>
      </c>
      <c r="E713" s="31" t="s">
        <v>3298</v>
      </c>
      <c r="F713" s="32">
        <v>43006.0</v>
      </c>
      <c r="G713" s="35">
        <v>43067.0</v>
      </c>
      <c r="H713" s="31" t="s">
        <v>576</v>
      </c>
      <c r="I713" s="31" t="s">
        <v>3299</v>
      </c>
      <c r="J713" s="31" t="s">
        <v>3298</v>
      </c>
      <c r="K713" s="31" t="s">
        <v>3300</v>
      </c>
      <c r="L713" s="31" t="s">
        <v>3476</v>
      </c>
      <c r="M713" s="31" t="s">
        <v>3477</v>
      </c>
      <c r="N713" s="31" t="s">
        <v>267</v>
      </c>
      <c r="O713" s="31">
        <v>1.0</v>
      </c>
      <c r="P713" s="34"/>
      <c r="Q713" s="31" t="s">
        <v>307</v>
      </c>
      <c r="R713" s="32">
        <v>34397.0</v>
      </c>
      <c r="S713" s="31" t="s">
        <v>626</v>
      </c>
      <c r="T713" s="31" t="s">
        <v>2042</v>
      </c>
      <c r="U713" s="31" t="s">
        <v>271</v>
      </c>
      <c r="V713" s="34"/>
      <c r="W713" s="34"/>
    </row>
    <row r="714">
      <c r="A714" s="30">
        <v>709.0</v>
      </c>
      <c r="B714" s="31" t="s">
        <v>3478</v>
      </c>
      <c r="C714" s="31" t="s">
        <v>3479</v>
      </c>
      <c r="D714" s="31" t="s">
        <v>2932</v>
      </c>
      <c r="E714" s="31" t="s">
        <v>3298</v>
      </c>
      <c r="F714" s="32">
        <v>43650.0</v>
      </c>
      <c r="G714" s="32">
        <v>43712.0</v>
      </c>
      <c r="H714" s="31" t="s">
        <v>576</v>
      </c>
      <c r="I714" s="31" t="s">
        <v>3299</v>
      </c>
      <c r="J714" s="31" t="s">
        <v>3298</v>
      </c>
      <c r="K714" s="31" t="s">
        <v>3300</v>
      </c>
      <c r="L714" s="31" t="s">
        <v>2936</v>
      </c>
      <c r="M714" s="31" t="s">
        <v>3480</v>
      </c>
      <c r="N714" s="31" t="s">
        <v>267</v>
      </c>
      <c r="O714" s="34"/>
      <c r="P714" s="31">
        <v>2.0</v>
      </c>
      <c r="Q714" s="31" t="s">
        <v>307</v>
      </c>
      <c r="R714" s="32">
        <v>34768.0</v>
      </c>
      <c r="S714" s="31" t="s">
        <v>2426</v>
      </c>
      <c r="T714" s="31" t="s">
        <v>1377</v>
      </c>
      <c r="U714" s="31" t="s">
        <v>271</v>
      </c>
      <c r="V714" s="34"/>
      <c r="W714" s="34"/>
    </row>
    <row r="715">
      <c r="A715" s="30">
        <v>710.0</v>
      </c>
      <c r="B715" s="31" t="s">
        <v>3481</v>
      </c>
      <c r="C715" s="31" t="s">
        <v>3482</v>
      </c>
      <c r="D715" s="31" t="s">
        <v>2932</v>
      </c>
      <c r="E715" s="31" t="s">
        <v>3298</v>
      </c>
      <c r="F715" s="35">
        <v>44183.0</v>
      </c>
      <c r="G715" s="32">
        <v>44245.0</v>
      </c>
      <c r="H715" s="31" t="s">
        <v>576</v>
      </c>
      <c r="I715" s="31" t="s">
        <v>3299</v>
      </c>
      <c r="J715" s="31" t="s">
        <v>3298</v>
      </c>
      <c r="K715" s="31" t="s">
        <v>3300</v>
      </c>
      <c r="L715" s="31" t="s">
        <v>2936</v>
      </c>
      <c r="M715" s="31" t="s">
        <v>3483</v>
      </c>
      <c r="N715" s="31" t="s">
        <v>267</v>
      </c>
      <c r="O715" s="34"/>
      <c r="P715" s="31">
        <v>2.0</v>
      </c>
      <c r="Q715" s="31" t="s">
        <v>307</v>
      </c>
      <c r="R715" s="32">
        <v>36436.0</v>
      </c>
      <c r="S715" s="31" t="s">
        <v>531</v>
      </c>
      <c r="T715" s="31" t="s">
        <v>3484</v>
      </c>
      <c r="U715" s="31" t="s">
        <v>271</v>
      </c>
      <c r="V715" s="34"/>
      <c r="W715" s="34"/>
    </row>
    <row r="716">
      <c r="A716" s="30">
        <v>711.0</v>
      </c>
      <c r="B716" s="31" t="s">
        <v>3485</v>
      </c>
      <c r="C716" s="31" t="s">
        <v>3486</v>
      </c>
      <c r="D716" s="31" t="s">
        <v>2932</v>
      </c>
      <c r="E716" s="31" t="s">
        <v>3298</v>
      </c>
      <c r="F716" s="32">
        <v>43686.0</v>
      </c>
      <c r="G716" s="32">
        <v>43747.0</v>
      </c>
      <c r="H716" s="31" t="s">
        <v>576</v>
      </c>
      <c r="I716" s="31" t="s">
        <v>3299</v>
      </c>
      <c r="J716" s="31" t="s">
        <v>3298</v>
      </c>
      <c r="K716" s="31" t="s">
        <v>3300</v>
      </c>
      <c r="L716" s="31" t="s">
        <v>2936</v>
      </c>
      <c r="M716" s="31" t="s">
        <v>3487</v>
      </c>
      <c r="N716" s="31" t="s">
        <v>267</v>
      </c>
      <c r="O716" s="34"/>
      <c r="P716" s="31">
        <v>2.0</v>
      </c>
      <c r="Q716" s="31" t="s">
        <v>307</v>
      </c>
      <c r="R716" s="32">
        <v>35607.0</v>
      </c>
      <c r="S716" s="31" t="s">
        <v>838</v>
      </c>
      <c r="T716" s="31" t="s">
        <v>3488</v>
      </c>
      <c r="U716" s="31" t="s">
        <v>271</v>
      </c>
      <c r="V716" s="34"/>
      <c r="W716" s="34"/>
    </row>
    <row r="717">
      <c r="A717" s="30">
        <v>712.0</v>
      </c>
      <c r="B717" s="31" t="s">
        <v>3489</v>
      </c>
      <c r="C717" s="31" t="s">
        <v>3490</v>
      </c>
      <c r="D717" s="31" t="s">
        <v>2932</v>
      </c>
      <c r="E717" s="31" t="s">
        <v>3447</v>
      </c>
      <c r="F717" s="32">
        <v>42797.0</v>
      </c>
      <c r="G717" s="32">
        <v>42859.0</v>
      </c>
      <c r="H717" s="31" t="s">
        <v>576</v>
      </c>
      <c r="I717" s="31" t="s">
        <v>3299</v>
      </c>
      <c r="J717" s="31" t="s">
        <v>3447</v>
      </c>
      <c r="K717" s="31" t="s">
        <v>3448</v>
      </c>
      <c r="L717" s="31" t="s">
        <v>2936</v>
      </c>
      <c r="M717" s="31" t="s">
        <v>3491</v>
      </c>
      <c r="N717" s="31" t="s">
        <v>267</v>
      </c>
      <c r="O717" s="34"/>
      <c r="P717" s="31">
        <v>7.0</v>
      </c>
      <c r="Q717" s="31" t="s">
        <v>307</v>
      </c>
      <c r="R717" s="32">
        <v>34753.0</v>
      </c>
      <c r="S717" s="31" t="s">
        <v>3492</v>
      </c>
      <c r="T717" s="31" t="s">
        <v>1476</v>
      </c>
      <c r="U717" s="31" t="s">
        <v>271</v>
      </c>
      <c r="V717" s="34"/>
      <c r="W717" s="34"/>
    </row>
    <row r="718">
      <c r="A718" s="30">
        <v>713.0</v>
      </c>
      <c r="B718" s="31" t="s">
        <v>3493</v>
      </c>
      <c r="C718" s="31" t="s">
        <v>3494</v>
      </c>
      <c r="D718" s="31" t="s">
        <v>2932</v>
      </c>
      <c r="E718" s="31" t="s">
        <v>3298</v>
      </c>
      <c r="F718" s="32">
        <v>44712.0</v>
      </c>
      <c r="G718" s="32">
        <v>44773.0</v>
      </c>
      <c r="H718" s="31" t="s">
        <v>576</v>
      </c>
      <c r="I718" s="31" t="s">
        <v>3299</v>
      </c>
      <c r="J718" s="31" t="s">
        <v>3298</v>
      </c>
      <c r="K718" s="31" t="s">
        <v>3300</v>
      </c>
      <c r="L718" s="31" t="s">
        <v>2936</v>
      </c>
      <c r="M718" s="31" t="s">
        <v>3495</v>
      </c>
      <c r="N718" s="31" t="s">
        <v>467</v>
      </c>
      <c r="O718" s="34"/>
      <c r="P718" s="31">
        <v>2.0</v>
      </c>
      <c r="Q718" s="31" t="s">
        <v>307</v>
      </c>
      <c r="R718" s="32">
        <v>36776.0</v>
      </c>
      <c r="S718" s="31" t="s">
        <v>700</v>
      </c>
      <c r="T718" s="31" t="s">
        <v>2083</v>
      </c>
      <c r="U718" s="31" t="s">
        <v>271</v>
      </c>
      <c r="V718" s="34"/>
      <c r="W718" s="34"/>
    </row>
    <row r="719">
      <c r="A719" s="30">
        <v>714.0</v>
      </c>
      <c r="B719" s="31" t="s">
        <v>3496</v>
      </c>
      <c r="C719" s="31" t="s">
        <v>3497</v>
      </c>
      <c r="D719" s="31" t="s">
        <v>2932</v>
      </c>
      <c r="E719" s="31" t="s">
        <v>3298</v>
      </c>
      <c r="F719" s="32">
        <v>44015.0</v>
      </c>
      <c r="G719" s="32">
        <v>44077.0</v>
      </c>
      <c r="H719" s="31" t="s">
        <v>576</v>
      </c>
      <c r="I719" s="31" t="s">
        <v>3299</v>
      </c>
      <c r="J719" s="31" t="s">
        <v>3298</v>
      </c>
      <c r="K719" s="31" t="s">
        <v>3300</v>
      </c>
      <c r="L719" s="31" t="s">
        <v>2936</v>
      </c>
      <c r="M719" s="31" t="s">
        <v>3498</v>
      </c>
      <c r="N719" s="31" t="s">
        <v>267</v>
      </c>
      <c r="O719" s="34"/>
      <c r="P719" s="31">
        <v>6.0</v>
      </c>
      <c r="Q719" s="31" t="s">
        <v>307</v>
      </c>
      <c r="R719" s="32">
        <v>35279.0</v>
      </c>
      <c r="S719" s="31" t="s">
        <v>531</v>
      </c>
      <c r="T719" s="31" t="s">
        <v>1666</v>
      </c>
      <c r="U719" s="31" t="s">
        <v>271</v>
      </c>
      <c r="V719" s="34"/>
      <c r="W719" s="34"/>
    </row>
    <row r="720">
      <c r="A720" s="30">
        <v>715.0</v>
      </c>
      <c r="B720" s="31" t="s">
        <v>3499</v>
      </c>
      <c r="C720" s="31" t="s">
        <v>3500</v>
      </c>
      <c r="D720" s="31" t="s">
        <v>2932</v>
      </c>
      <c r="E720" s="31" t="s">
        <v>3447</v>
      </c>
      <c r="F720" s="35">
        <v>42293.0</v>
      </c>
      <c r="G720" s="35">
        <v>42353.0</v>
      </c>
      <c r="H720" s="31" t="s">
        <v>576</v>
      </c>
      <c r="I720" s="31" t="s">
        <v>3299</v>
      </c>
      <c r="J720" s="31" t="s">
        <v>3447</v>
      </c>
      <c r="K720" s="31" t="s">
        <v>3448</v>
      </c>
      <c r="L720" s="31" t="s">
        <v>2936</v>
      </c>
      <c r="M720" s="31" t="s">
        <v>3501</v>
      </c>
      <c r="N720" s="31" t="s">
        <v>267</v>
      </c>
      <c r="O720" s="34"/>
      <c r="P720" s="34"/>
      <c r="Q720" s="31" t="s">
        <v>307</v>
      </c>
      <c r="R720" s="32">
        <v>33721.0</v>
      </c>
      <c r="S720" s="31" t="s">
        <v>700</v>
      </c>
      <c r="T720" s="31" t="s">
        <v>3502</v>
      </c>
      <c r="U720" s="31" t="s">
        <v>271</v>
      </c>
      <c r="V720" s="34"/>
      <c r="W720" s="34"/>
    </row>
    <row r="721">
      <c r="A721" s="30">
        <v>716.0</v>
      </c>
      <c r="B721" s="31" t="s">
        <v>3503</v>
      </c>
      <c r="C721" s="31" t="s">
        <v>3504</v>
      </c>
      <c r="D721" s="31" t="s">
        <v>2932</v>
      </c>
      <c r="E721" s="31" t="s">
        <v>3447</v>
      </c>
      <c r="F721" s="32">
        <v>43367.0</v>
      </c>
      <c r="G721" s="35">
        <v>43428.0</v>
      </c>
      <c r="H721" s="31" t="s">
        <v>576</v>
      </c>
      <c r="I721" s="31" t="s">
        <v>3299</v>
      </c>
      <c r="J721" s="31" t="s">
        <v>3447</v>
      </c>
      <c r="K721" s="31" t="s">
        <v>3448</v>
      </c>
      <c r="L721" s="31" t="s">
        <v>2936</v>
      </c>
      <c r="M721" s="31" t="s">
        <v>3505</v>
      </c>
      <c r="N721" s="31" t="s">
        <v>267</v>
      </c>
      <c r="O721" s="34"/>
      <c r="P721" s="34"/>
      <c r="Q721" s="31" t="s">
        <v>581</v>
      </c>
      <c r="R721" s="32">
        <v>34919.0</v>
      </c>
      <c r="S721" s="31" t="s">
        <v>531</v>
      </c>
      <c r="T721" s="31" t="s">
        <v>1670</v>
      </c>
      <c r="U721" s="31" t="s">
        <v>271</v>
      </c>
      <c r="V721" s="34"/>
      <c r="W721" s="34"/>
    </row>
    <row r="722">
      <c r="A722" s="30">
        <v>717.0</v>
      </c>
      <c r="B722" s="31" t="s">
        <v>3506</v>
      </c>
      <c r="C722" s="31" t="s">
        <v>3507</v>
      </c>
      <c r="D722" s="31" t="s">
        <v>2932</v>
      </c>
      <c r="E722" s="31" t="s">
        <v>3447</v>
      </c>
      <c r="F722" s="32">
        <v>44098.0</v>
      </c>
      <c r="G722" s="35">
        <v>44159.0</v>
      </c>
      <c r="H722" s="31" t="s">
        <v>576</v>
      </c>
      <c r="I722" s="31" t="s">
        <v>3299</v>
      </c>
      <c r="J722" s="31" t="s">
        <v>3447</v>
      </c>
      <c r="K722" s="31" t="s">
        <v>3448</v>
      </c>
      <c r="L722" s="31" t="s">
        <v>2936</v>
      </c>
      <c r="M722" s="31" t="s">
        <v>3508</v>
      </c>
      <c r="N722" s="31" t="s">
        <v>267</v>
      </c>
      <c r="O722" s="34"/>
      <c r="P722" s="31">
        <v>2.0</v>
      </c>
      <c r="Q722" s="31" t="s">
        <v>581</v>
      </c>
      <c r="R722" s="32">
        <v>36067.0</v>
      </c>
      <c r="S722" s="31" t="s">
        <v>531</v>
      </c>
      <c r="T722" s="31" t="s">
        <v>3184</v>
      </c>
      <c r="U722" s="31" t="s">
        <v>271</v>
      </c>
      <c r="V722" s="34"/>
      <c r="W722" s="34"/>
    </row>
    <row r="723">
      <c r="A723" s="30">
        <v>718.0</v>
      </c>
      <c r="B723" s="31" t="s">
        <v>3509</v>
      </c>
      <c r="C723" s="31" t="s">
        <v>3510</v>
      </c>
      <c r="D723" s="31" t="s">
        <v>2932</v>
      </c>
      <c r="E723" s="31" t="s">
        <v>3447</v>
      </c>
      <c r="F723" s="32">
        <v>44651.0</v>
      </c>
      <c r="G723" s="32">
        <v>44712.0</v>
      </c>
      <c r="H723" s="31" t="s">
        <v>576</v>
      </c>
      <c r="I723" s="31" t="s">
        <v>3299</v>
      </c>
      <c r="J723" s="31" t="s">
        <v>3447</v>
      </c>
      <c r="K723" s="31" t="s">
        <v>3448</v>
      </c>
      <c r="L723" s="31" t="s">
        <v>2936</v>
      </c>
      <c r="M723" s="31" t="s">
        <v>3511</v>
      </c>
      <c r="N723" s="31" t="s">
        <v>267</v>
      </c>
      <c r="O723" s="34"/>
      <c r="P723" s="34"/>
      <c r="Q723" s="31" t="s">
        <v>307</v>
      </c>
      <c r="R723" s="35">
        <v>36113.0</v>
      </c>
      <c r="S723" s="31" t="s">
        <v>531</v>
      </c>
      <c r="T723" s="31" t="s">
        <v>3512</v>
      </c>
      <c r="U723" s="31" t="s">
        <v>271</v>
      </c>
      <c r="V723" s="34"/>
      <c r="W723" s="34"/>
    </row>
    <row r="724">
      <c r="A724" s="30">
        <v>719.0</v>
      </c>
      <c r="B724" s="31" t="s">
        <v>3513</v>
      </c>
      <c r="C724" s="31" t="s">
        <v>3514</v>
      </c>
      <c r="D724" s="31" t="s">
        <v>2932</v>
      </c>
      <c r="E724" s="31" t="s">
        <v>3298</v>
      </c>
      <c r="F724" s="32">
        <v>44364.0</v>
      </c>
      <c r="G724" s="32">
        <v>44425.0</v>
      </c>
      <c r="H724" s="31" t="s">
        <v>576</v>
      </c>
      <c r="I724" s="31" t="s">
        <v>3299</v>
      </c>
      <c r="J724" s="31" t="s">
        <v>3298</v>
      </c>
      <c r="K724" s="31" t="s">
        <v>3300</v>
      </c>
      <c r="L724" s="31" t="s">
        <v>2936</v>
      </c>
      <c r="M724" s="31" t="s">
        <v>3515</v>
      </c>
      <c r="N724" s="31" t="s">
        <v>267</v>
      </c>
      <c r="O724" s="34"/>
      <c r="P724" s="31">
        <v>1.0</v>
      </c>
      <c r="Q724" s="31" t="s">
        <v>307</v>
      </c>
      <c r="R724" s="32">
        <v>36255.0</v>
      </c>
      <c r="S724" s="31" t="s">
        <v>320</v>
      </c>
      <c r="T724" s="31" t="s">
        <v>1995</v>
      </c>
      <c r="U724" s="31" t="s">
        <v>271</v>
      </c>
      <c r="V724" s="34"/>
      <c r="W724" s="34"/>
    </row>
    <row r="725">
      <c r="A725" s="30">
        <v>720.0</v>
      </c>
      <c r="B725" s="31" t="s">
        <v>3516</v>
      </c>
      <c r="C725" s="31" t="s">
        <v>3517</v>
      </c>
      <c r="D725" s="31" t="s">
        <v>2932</v>
      </c>
      <c r="E725" s="31" t="s">
        <v>3298</v>
      </c>
      <c r="F725" s="32">
        <v>44977.0</v>
      </c>
      <c r="G725" s="32">
        <v>45036.0</v>
      </c>
      <c r="H725" s="31" t="s">
        <v>576</v>
      </c>
      <c r="I725" s="31" t="s">
        <v>3299</v>
      </c>
      <c r="J725" s="31" t="s">
        <v>3298</v>
      </c>
      <c r="K725" s="31" t="s">
        <v>3300</v>
      </c>
      <c r="L725" s="31" t="s">
        <v>2936</v>
      </c>
      <c r="M725" s="31" t="s">
        <v>3518</v>
      </c>
      <c r="N725" s="31" t="s">
        <v>467</v>
      </c>
      <c r="O725" s="34"/>
      <c r="P725" s="31">
        <v>1.0</v>
      </c>
      <c r="Q725" s="31" t="s">
        <v>307</v>
      </c>
      <c r="R725" s="32">
        <v>37001.0</v>
      </c>
      <c r="S725" s="31" t="s">
        <v>955</v>
      </c>
      <c r="T725" s="31" t="s">
        <v>1915</v>
      </c>
      <c r="U725" s="31" t="s">
        <v>271</v>
      </c>
      <c r="V725" s="34"/>
      <c r="W725" s="34"/>
    </row>
    <row r="726">
      <c r="A726" s="30">
        <v>721.0</v>
      </c>
      <c r="B726" s="31" t="s">
        <v>3519</v>
      </c>
      <c r="C726" s="31" t="s">
        <v>3520</v>
      </c>
      <c r="D726" s="31" t="s">
        <v>2932</v>
      </c>
      <c r="E726" s="31" t="s">
        <v>3298</v>
      </c>
      <c r="F726" s="32">
        <v>44803.0</v>
      </c>
      <c r="G726" s="35">
        <v>44864.0</v>
      </c>
      <c r="H726" s="31" t="s">
        <v>576</v>
      </c>
      <c r="I726" s="31" t="s">
        <v>3299</v>
      </c>
      <c r="J726" s="31" t="s">
        <v>3298</v>
      </c>
      <c r="K726" s="31" t="s">
        <v>3300</v>
      </c>
      <c r="L726" s="31" t="s">
        <v>2936</v>
      </c>
      <c r="M726" s="31" t="s">
        <v>3521</v>
      </c>
      <c r="N726" s="31" t="s">
        <v>267</v>
      </c>
      <c r="O726" s="34"/>
      <c r="P726" s="31">
        <v>4.0</v>
      </c>
      <c r="Q726" s="31" t="s">
        <v>307</v>
      </c>
      <c r="R726" s="32">
        <v>36970.0</v>
      </c>
      <c r="S726" s="31" t="s">
        <v>320</v>
      </c>
      <c r="T726" s="31" t="s">
        <v>1915</v>
      </c>
      <c r="U726" s="31" t="s">
        <v>271</v>
      </c>
      <c r="V726" s="34"/>
      <c r="W726" s="34"/>
    </row>
    <row r="727">
      <c r="A727" s="30">
        <v>722.0</v>
      </c>
      <c r="B727" s="31" t="s">
        <v>3522</v>
      </c>
      <c r="C727" s="31" t="s">
        <v>3523</v>
      </c>
      <c r="D727" s="31" t="s">
        <v>2932</v>
      </c>
      <c r="E727" s="31" t="s">
        <v>3298</v>
      </c>
      <c r="F727" s="32">
        <v>44044.0</v>
      </c>
      <c r="G727" s="32">
        <v>44105.0</v>
      </c>
      <c r="H727" s="31" t="s">
        <v>576</v>
      </c>
      <c r="I727" s="31" t="s">
        <v>3299</v>
      </c>
      <c r="J727" s="31" t="s">
        <v>3298</v>
      </c>
      <c r="K727" s="31" t="s">
        <v>3300</v>
      </c>
      <c r="L727" s="31" t="s">
        <v>2936</v>
      </c>
      <c r="M727" s="31" t="s">
        <v>3524</v>
      </c>
      <c r="N727" s="31" t="s">
        <v>267</v>
      </c>
      <c r="O727" s="34"/>
      <c r="P727" s="31">
        <v>5.0</v>
      </c>
      <c r="Q727" s="31" t="s">
        <v>307</v>
      </c>
      <c r="R727" s="32">
        <v>35796.0</v>
      </c>
      <c r="S727" s="31" t="s">
        <v>681</v>
      </c>
      <c r="T727" s="31" t="s">
        <v>321</v>
      </c>
      <c r="U727" s="31" t="s">
        <v>271</v>
      </c>
      <c r="V727" s="34"/>
      <c r="W727" s="34"/>
    </row>
    <row r="728">
      <c r="A728" s="30">
        <v>723.0</v>
      </c>
      <c r="B728" s="31" t="s">
        <v>3525</v>
      </c>
      <c r="C728" s="31" t="s">
        <v>3526</v>
      </c>
      <c r="D728" s="31" t="s">
        <v>2932</v>
      </c>
      <c r="E728" s="31" t="s">
        <v>3447</v>
      </c>
      <c r="F728" s="32">
        <v>42797.0</v>
      </c>
      <c r="G728" s="32">
        <v>42859.0</v>
      </c>
      <c r="H728" s="31" t="s">
        <v>576</v>
      </c>
      <c r="I728" s="31" t="s">
        <v>3299</v>
      </c>
      <c r="J728" s="31" t="s">
        <v>3447</v>
      </c>
      <c r="K728" s="31" t="s">
        <v>3448</v>
      </c>
      <c r="L728" s="31" t="s">
        <v>2936</v>
      </c>
      <c r="M728" s="31" t="s">
        <v>3527</v>
      </c>
      <c r="N728" s="31" t="s">
        <v>267</v>
      </c>
      <c r="O728" s="34"/>
      <c r="P728" s="34"/>
      <c r="Q728" s="31" t="s">
        <v>307</v>
      </c>
      <c r="R728" s="35">
        <v>34982.0</v>
      </c>
      <c r="S728" s="31" t="s">
        <v>320</v>
      </c>
      <c r="T728" s="31" t="s">
        <v>1476</v>
      </c>
      <c r="U728" s="31" t="s">
        <v>271</v>
      </c>
      <c r="V728" s="34"/>
      <c r="W728" s="34"/>
    </row>
    <row r="729">
      <c r="A729" s="30">
        <v>724.0</v>
      </c>
      <c r="B729" s="31" t="s">
        <v>3528</v>
      </c>
      <c r="C729" s="31" t="s">
        <v>3529</v>
      </c>
      <c r="D729" s="31" t="s">
        <v>2932</v>
      </c>
      <c r="E729" s="31" t="s">
        <v>3298</v>
      </c>
      <c r="F729" s="32">
        <v>44982.0</v>
      </c>
      <c r="G729" s="32">
        <v>45041.0</v>
      </c>
      <c r="H729" s="31" t="s">
        <v>576</v>
      </c>
      <c r="I729" s="31" t="s">
        <v>3299</v>
      </c>
      <c r="J729" s="31" t="s">
        <v>3298</v>
      </c>
      <c r="K729" s="31" t="s">
        <v>3300</v>
      </c>
      <c r="L729" s="31" t="s">
        <v>2936</v>
      </c>
      <c r="M729" s="31" t="s">
        <v>3530</v>
      </c>
      <c r="N729" s="31" t="s">
        <v>267</v>
      </c>
      <c r="O729" s="34"/>
      <c r="P729" s="31">
        <v>1.0</v>
      </c>
      <c r="Q729" s="31" t="s">
        <v>307</v>
      </c>
      <c r="R729" s="35">
        <v>37184.0</v>
      </c>
      <c r="S729" s="31" t="s">
        <v>700</v>
      </c>
      <c r="T729" s="31" t="s">
        <v>1639</v>
      </c>
      <c r="U729" s="31" t="s">
        <v>271</v>
      </c>
      <c r="V729" s="34"/>
      <c r="W729" s="34"/>
    </row>
    <row r="730">
      <c r="A730" s="30">
        <v>725.0</v>
      </c>
      <c r="B730" s="31" t="s">
        <v>3531</v>
      </c>
      <c r="C730" s="31" t="s">
        <v>3532</v>
      </c>
      <c r="D730" s="31" t="s">
        <v>2932</v>
      </c>
      <c r="E730" s="31" t="s">
        <v>3298</v>
      </c>
      <c r="F730" s="32">
        <v>43647.0</v>
      </c>
      <c r="G730" s="32">
        <v>43709.0</v>
      </c>
      <c r="H730" s="31" t="s">
        <v>576</v>
      </c>
      <c r="I730" s="31" t="s">
        <v>3299</v>
      </c>
      <c r="J730" s="31" t="s">
        <v>3298</v>
      </c>
      <c r="K730" s="31" t="s">
        <v>3300</v>
      </c>
      <c r="L730" s="31" t="s">
        <v>2936</v>
      </c>
      <c r="M730" s="31" t="s">
        <v>3533</v>
      </c>
      <c r="N730" s="31" t="s">
        <v>267</v>
      </c>
      <c r="O730" s="34"/>
      <c r="P730" s="31">
        <v>6.0</v>
      </c>
      <c r="Q730" s="31" t="s">
        <v>307</v>
      </c>
      <c r="R730" s="32">
        <v>33810.0</v>
      </c>
      <c r="S730" s="31" t="s">
        <v>531</v>
      </c>
      <c r="T730" s="31" t="s">
        <v>3534</v>
      </c>
      <c r="U730" s="31" t="s">
        <v>271</v>
      </c>
      <c r="V730" s="34"/>
      <c r="W730" s="34"/>
    </row>
    <row r="731">
      <c r="A731" s="30">
        <v>726.0</v>
      </c>
      <c r="B731" s="31" t="s">
        <v>3535</v>
      </c>
      <c r="C731" s="31" t="s">
        <v>3536</v>
      </c>
      <c r="D731" s="31" t="s">
        <v>574</v>
      </c>
      <c r="E731" s="31" t="s">
        <v>3325</v>
      </c>
      <c r="F731" s="32">
        <v>45295.0</v>
      </c>
      <c r="G731" s="32">
        <v>45355.0</v>
      </c>
      <c r="H731" s="31" t="s">
        <v>576</v>
      </c>
      <c r="I731" s="31" t="s">
        <v>577</v>
      </c>
      <c r="J731" s="31" t="s">
        <v>3325</v>
      </c>
      <c r="K731" s="31" t="s">
        <v>3326</v>
      </c>
      <c r="L731" s="31" t="s">
        <v>579</v>
      </c>
      <c r="M731" s="31" t="s">
        <v>3537</v>
      </c>
      <c r="N731" s="31" t="s">
        <v>467</v>
      </c>
      <c r="O731" s="34"/>
      <c r="P731" s="31" t="s">
        <v>3031</v>
      </c>
      <c r="Q731" s="31" t="s">
        <v>307</v>
      </c>
      <c r="R731" s="32">
        <v>35877.0</v>
      </c>
      <c r="S731" s="31" t="s">
        <v>626</v>
      </c>
      <c r="T731" s="31" t="s">
        <v>3538</v>
      </c>
      <c r="U731" s="31" t="s">
        <v>583</v>
      </c>
      <c r="V731" s="34"/>
      <c r="W731" s="34"/>
    </row>
    <row r="732">
      <c r="A732" s="30">
        <v>727.0</v>
      </c>
      <c r="B732" s="31" t="s">
        <v>3539</v>
      </c>
      <c r="C732" s="31" t="s">
        <v>3540</v>
      </c>
      <c r="D732" s="31" t="s">
        <v>925</v>
      </c>
      <c r="E732" s="31" t="s">
        <v>1985</v>
      </c>
      <c r="F732" s="32">
        <v>45383.0</v>
      </c>
      <c r="G732" s="33"/>
      <c r="H732" s="31" t="s">
        <v>262</v>
      </c>
      <c r="I732" s="31" t="s">
        <v>275</v>
      </c>
      <c r="J732" s="31" t="s">
        <v>1986</v>
      </c>
      <c r="K732" s="31" t="s">
        <v>1987</v>
      </c>
      <c r="L732" s="31" t="s">
        <v>929</v>
      </c>
      <c r="M732" s="31" t="s">
        <v>3541</v>
      </c>
      <c r="N732" s="31" t="s">
        <v>267</v>
      </c>
      <c r="O732" s="34"/>
      <c r="P732" s="31">
        <v>1.0</v>
      </c>
      <c r="Q732" s="31" t="s">
        <v>268</v>
      </c>
      <c r="R732" s="32">
        <v>36633.0</v>
      </c>
      <c r="S732" s="31" t="s">
        <v>3542</v>
      </c>
      <c r="T732" s="31" t="s">
        <v>2491</v>
      </c>
      <c r="U732" s="31" t="s">
        <v>271</v>
      </c>
      <c r="V732" s="31" t="s">
        <v>1985</v>
      </c>
      <c r="W732" s="34"/>
    </row>
    <row r="733">
      <c r="A733" s="30">
        <v>728.0</v>
      </c>
      <c r="B733" s="31" t="s">
        <v>3543</v>
      </c>
      <c r="C733" s="31" t="s">
        <v>3544</v>
      </c>
      <c r="D733" s="31" t="s">
        <v>2480</v>
      </c>
      <c r="E733" s="31" t="s">
        <v>2474</v>
      </c>
      <c r="F733" s="32">
        <v>42158.0</v>
      </c>
      <c r="G733" s="32">
        <v>42219.0</v>
      </c>
      <c r="H733" s="31" t="s">
        <v>262</v>
      </c>
      <c r="I733" s="31" t="s">
        <v>2474</v>
      </c>
      <c r="J733" s="34"/>
      <c r="K733" s="31" t="s">
        <v>2475</v>
      </c>
      <c r="L733" s="31" t="s">
        <v>2481</v>
      </c>
      <c r="M733" s="31" t="s">
        <v>3545</v>
      </c>
      <c r="N733" s="31" t="s">
        <v>267</v>
      </c>
      <c r="O733" s="34"/>
      <c r="P733" s="34"/>
      <c r="Q733" s="31" t="s">
        <v>581</v>
      </c>
      <c r="R733" s="32">
        <v>34140.0</v>
      </c>
      <c r="S733" s="31" t="s">
        <v>681</v>
      </c>
      <c r="T733" s="31" t="s">
        <v>3243</v>
      </c>
      <c r="U733" s="31" t="s">
        <v>271</v>
      </c>
      <c r="V733" s="34"/>
      <c r="W733" s="34"/>
    </row>
    <row r="734">
      <c r="A734" s="30">
        <v>729.0</v>
      </c>
      <c r="B734" s="31" t="s">
        <v>3546</v>
      </c>
      <c r="C734" s="31" t="s">
        <v>3547</v>
      </c>
      <c r="D734" s="31" t="s">
        <v>3548</v>
      </c>
      <c r="E734" s="31" t="s">
        <v>3549</v>
      </c>
      <c r="F734" s="32">
        <v>43570.0</v>
      </c>
      <c r="G734" s="32">
        <v>43631.0</v>
      </c>
      <c r="H734" s="31" t="s">
        <v>453</v>
      </c>
      <c r="I734" s="31" t="s">
        <v>52</v>
      </c>
      <c r="J734" s="31" t="s">
        <v>3549</v>
      </c>
      <c r="K734" s="31" t="s">
        <v>3550</v>
      </c>
      <c r="L734" s="31" t="s">
        <v>3551</v>
      </c>
      <c r="M734" s="31" t="s">
        <v>3552</v>
      </c>
      <c r="N734" s="31" t="s">
        <v>467</v>
      </c>
      <c r="O734" s="34"/>
      <c r="P734" s="34"/>
      <c r="Q734" s="31" t="s">
        <v>307</v>
      </c>
      <c r="R734" s="35">
        <v>36147.0</v>
      </c>
      <c r="S734" s="31" t="s">
        <v>3553</v>
      </c>
      <c r="T734" s="31" t="s">
        <v>3554</v>
      </c>
      <c r="U734" s="31" t="s">
        <v>480</v>
      </c>
      <c r="V734" s="34"/>
      <c r="W734" s="34"/>
    </row>
    <row r="735">
      <c r="A735" s="30">
        <v>730.0</v>
      </c>
      <c r="B735" s="31" t="s">
        <v>3555</v>
      </c>
      <c r="C735" s="31" t="s">
        <v>3556</v>
      </c>
      <c r="D735" s="31" t="s">
        <v>3557</v>
      </c>
      <c r="E735" s="31" t="s">
        <v>228</v>
      </c>
      <c r="F735" s="33"/>
      <c r="G735" s="33"/>
      <c r="H735" s="31" t="s">
        <v>303</v>
      </c>
      <c r="I735" s="31" t="s">
        <v>228</v>
      </c>
      <c r="J735" s="34"/>
      <c r="K735" s="31" t="s">
        <v>304</v>
      </c>
      <c r="L735" s="31" t="s">
        <v>3558</v>
      </c>
      <c r="M735" s="31" t="s">
        <v>3559</v>
      </c>
      <c r="N735" s="31" t="s">
        <v>267</v>
      </c>
      <c r="O735" s="34"/>
      <c r="P735" s="34"/>
      <c r="Q735" s="31" t="s">
        <v>3337</v>
      </c>
      <c r="R735" s="32">
        <v>37395.0</v>
      </c>
      <c r="S735" s="31" t="s">
        <v>3560</v>
      </c>
      <c r="T735" s="31" t="s">
        <v>596</v>
      </c>
      <c r="U735" s="31" t="s">
        <v>310</v>
      </c>
      <c r="V735" s="34"/>
      <c r="W735" s="34"/>
    </row>
    <row r="736">
      <c r="A736" s="30">
        <v>731.0</v>
      </c>
      <c r="B736" s="31" t="s">
        <v>3561</v>
      </c>
      <c r="C736" s="31" t="s">
        <v>3562</v>
      </c>
      <c r="D736" s="31" t="s">
        <v>472</v>
      </c>
      <c r="E736" s="31" t="s">
        <v>3563</v>
      </c>
      <c r="F736" s="32">
        <v>45376.0</v>
      </c>
      <c r="G736" s="33"/>
      <c r="H736" s="31" t="s">
        <v>453</v>
      </c>
      <c r="I736" s="31" t="s">
        <v>2835</v>
      </c>
      <c r="J736" s="31" t="s">
        <v>3564</v>
      </c>
      <c r="K736" s="31" t="s">
        <v>3565</v>
      </c>
      <c r="L736" s="31" t="s">
        <v>476</v>
      </c>
      <c r="M736" s="31" t="s">
        <v>3566</v>
      </c>
      <c r="N736" s="31" t="s">
        <v>467</v>
      </c>
      <c r="O736" s="34"/>
      <c r="P736" s="34"/>
      <c r="Q736" s="31" t="s">
        <v>268</v>
      </c>
      <c r="R736" s="32">
        <v>36021.0</v>
      </c>
      <c r="S736" s="31" t="s">
        <v>560</v>
      </c>
      <c r="T736" s="31" t="s">
        <v>503</v>
      </c>
      <c r="U736" s="31" t="s">
        <v>480</v>
      </c>
      <c r="V736" s="31" t="s">
        <v>3563</v>
      </c>
      <c r="W736" s="34"/>
    </row>
    <row r="737">
      <c r="A737" s="30">
        <v>732.0</v>
      </c>
      <c r="B737" s="31" t="s">
        <v>3567</v>
      </c>
      <c r="C737" s="31" t="s">
        <v>3568</v>
      </c>
      <c r="D737" s="31" t="s">
        <v>472</v>
      </c>
      <c r="E737" s="31" t="s">
        <v>3569</v>
      </c>
      <c r="F737" s="32">
        <v>43178.0</v>
      </c>
      <c r="G737" s="32">
        <v>43178.0</v>
      </c>
      <c r="H737" s="31" t="s">
        <v>453</v>
      </c>
      <c r="I737" s="31" t="s">
        <v>454</v>
      </c>
      <c r="J737" s="31" t="s">
        <v>3569</v>
      </c>
      <c r="K737" s="31" t="s">
        <v>3570</v>
      </c>
      <c r="L737" s="31" t="s">
        <v>3050</v>
      </c>
      <c r="M737" s="31" t="s">
        <v>3571</v>
      </c>
      <c r="N737" s="31" t="s">
        <v>467</v>
      </c>
      <c r="O737" s="34"/>
      <c r="P737" s="34"/>
      <c r="Q737" s="31" t="s">
        <v>307</v>
      </c>
      <c r="R737" s="32">
        <v>35270.0</v>
      </c>
      <c r="S737" s="31" t="s">
        <v>560</v>
      </c>
      <c r="T737" s="31" t="s">
        <v>3572</v>
      </c>
      <c r="U737" s="31" t="s">
        <v>480</v>
      </c>
      <c r="V737" s="34"/>
      <c r="W737" s="34"/>
    </row>
    <row r="738">
      <c r="A738" s="30">
        <v>733.0</v>
      </c>
      <c r="B738" s="31" t="s">
        <v>3573</v>
      </c>
      <c r="C738" s="31" t="s">
        <v>3574</v>
      </c>
      <c r="D738" s="31" t="s">
        <v>472</v>
      </c>
      <c r="E738" s="31" t="s">
        <v>554</v>
      </c>
      <c r="F738" s="35">
        <v>44907.0</v>
      </c>
      <c r="G738" s="32">
        <v>44969.0</v>
      </c>
      <c r="H738" s="31" t="s">
        <v>453</v>
      </c>
      <c r="I738" s="31" t="s">
        <v>555</v>
      </c>
      <c r="J738" s="31" t="s">
        <v>556</v>
      </c>
      <c r="K738" s="31" t="s">
        <v>557</v>
      </c>
      <c r="L738" s="31" t="s">
        <v>476</v>
      </c>
      <c r="M738" s="31" t="s">
        <v>3575</v>
      </c>
      <c r="N738" s="31" t="s">
        <v>467</v>
      </c>
      <c r="O738" s="34"/>
      <c r="P738" s="34"/>
      <c r="Q738" s="31" t="s">
        <v>307</v>
      </c>
      <c r="R738" s="35">
        <v>36870.0</v>
      </c>
      <c r="S738" s="31" t="s">
        <v>468</v>
      </c>
      <c r="T738" s="31" t="s">
        <v>3576</v>
      </c>
      <c r="U738" s="31" t="s">
        <v>480</v>
      </c>
      <c r="V738" s="31" t="s">
        <v>554</v>
      </c>
      <c r="W738" s="34"/>
    </row>
    <row r="739">
      <c r="A739" s="30">
        <v>734.0</v>
      </c>
      <c r="B739" s="31" t="s">
        <v>3577</v>
      </c>
      <c r="C739" s="31" t="s">
        <v>3578</v>
      </c>
      <c r="D739" s="31" t="s">
        <v>3557</v>
      </c>
      <c r="E739" s="31" t="s">
        <v>228</v>
      </c>
      <c r="F739" s="33"/>
      <c r="G739" s="33"/>
      <c r="H739" s="31" t="s">
        <v>303</v>
      </c>
      <c r="I739" s="31" t="s">
        <v>228</v>
      </c>
      <c r="J739" s="34"/>
      <c r="K739" s="31" t="s">
        <v>304</v>
      </c>
      <c r="L739" s="31" t="s">
        <v>3558</v>
      </c>
      <c r="M739" s="31" t="s">
        <v>3579</v>
      </c>
      <c r="N739" s="31" t="s">
        <v>467</v>
      </c>
      <c r="O739" s="34"/>
      <c r="P739" s="34"/>
      <c r="Q739" s="31" t="s">
        <v>3337</v>
      </c>
      <c r="R739" s="32">
        <v>38088.0</v>
      </c>
      <c r="S739" s="31" t="s">
        <v>3580</v>
      </c>
      <c r="T739" s="31" t="s">
        <v>3581</v>
      </c>
      <c r="U739" s="31" t="s">
        <v>310</v>
      </c>
      <c r="V739" s="34"/>
      <c r="W739" s="34"/>
    </row>
    <row r="740">
      <c r="A740" s="30">
        <v>735.0</v>
      </c>
      <c r="B740" s="31" t="s">
        <v>3582</v>
      </c>
      <c r="C740" s="31" t="s">
        <v>3583</v>
      </c>
      <c r="D740" s="31" t="s">
        <v>574</v>
      </c>
      <c r="E740" s="31" t="s">
        <v>3430</v>
      </c>
      <c r="F740" s="32">
        <v>42871.0</v>
      </c>
      <c r="G740" s="32">
        <v>42933.0</v>
      </c>
      <c r="H740" s="31" t="s">
        <v>576</v>
      </c>
      <c r="I740" s="31" t="s">
        <v>3431</v>
      </c>
      <c r="J740" s="31" t="s">
        <v>3430</v>
      </c>
      <c r="K740" s="31" t="s">
        <v>3432</v>
      </c>
      <c r="L740" s="31" t="s">
        <v>579</v>
      </c>
      <c r="M740" s="31" t="s">
        <v>3584</v>
      </c>
      <c r="N740" s="31" t="s">
        <v>267</v>
      </c>
      <c r="O740" s="34"/>
      <c r="P740" s="31">
        <v>8.0</v>
      </c>
      <c r="Q740" s="31" t="s">
        <v>581</v>
      </c>
      <c r="R740" s="32">
        <v>34230.0</v>
      </c>
      <c r="S740" s="31" t="s">
        <v>531</v>
      </c>
      <c r="T740" s="31" t="s">
        <v>3585</v>
      </c>
      <c r="U740" s="31" t="s">
        <v>633</v>
      </c>
      <c r="V740" s="34"/>
      <c r="W740" s="34"/>
    </row>
    <row r="741">
      <c r="A741" s="30">
        <v>736.0</v>
      </c>
      <c r="B741" s="31" t="s">
        <v>3586</v>
      </c>
      <c r="C741" s="31" t="s">
        <v>3587</v>
      </c>
      <c r="D741" s="31" t="s">
        <v>313</v>
      </c>
      <c r="E741" s="31" t="s">
        <v>3588</v>
      </c>
      <c r="F741" s="32">
        <v>45390.0</v>
      </c>
      <c r="G741" s="33"/>
      <c r="H741" s="31" t="s">
        <v>325</v>
      </c>
      <c r="I741" s="31" t="s">
        <v>2797</v>
      </c>
      <c r="J741" s="31" t="s">
        <v>3588</v>
      </c>
      <c r="K741" s="31" t="s">
        <v>3589</v>
      </c>
      <c r="L741" s="31" t="s">
        <v>318</v>
      </c>
      <c r="M741" s="31" t="s">
        <v>3590</v>
      </c>
      <c r="N741" s="31" t="s">
        <v>267</v>
      </c>
      <c r="O741" s="34"/>
      <c r="P741" s="31">
        <v>2.0</v>
      </c>
      <c r="Q741" s="31" t="s">
        <v>268</v>
      </c>
      <c r="R741" s="32">
        <v>36631.0</v>
      </c>
      <c r="S741" s="31" t="s">
        <v>2063</v>
      </c>
      <c r="T741" s="31" t="s">
        <v>2748</v>
      </c>
      <c r="U741" s="31" t="s">
        <v>331</v>
      </c>
      <c r="V741" s="34"/>
      <c r="W741" s="34"/>
    </row>
    <row r="742">
      <c r="A742" s="30">
        <v>737.0</v>
      </c>
      <c r="B742" s="31" t="s">
        <v>3591</v>
      </c>
      <c r="C742" s="31" t="s">
        <v>3592</v>
      </c>
      <c r="D742" s="31" t="s">
        <v>3593</v>
      </c>
      <c r="E742" s="31" t="s">
        <v>2978</v>
      </c>
      <c r="F742" s="32">
        <v>45014.0</v>
      </c>
      <c r="G742" s="32">
        <v>45073.0</v>
      </c>
      <c r="H742" s="31" t="s">
        <v>303</v>
      </c>
      <c r="I742" s="31" t="s">
        <v>2978</v>
      </c>
      <c r="J742" s="34"/>
      <c r="K742" s="31" t="s">
        <v>2979</v>
      </c>
      <c r="L742" s="31" t="s">
        <v>3594</v>
      </c>
      <c r="M742" s="31" t="s">
        <v>3595</v>
      </c>
      <c r="N742" s="31" t="s">
        <v>267</v>
      </c>
      <c r="O742" s="34"/>
      <c r="P742" s="34"/>
      <c r="Q742" s="31" t="s">
        <v>581</v>
      </c>
      <c r="R742" s="32">
        <v>36323.0</v>
      </c>
      <c r="S742" s="31" t="s">
        <v>717</v>
      </c>
      <c r="T742" s="31" t="s">
        <v>3596</v>
      </c>
      <c r="U742" s="31" t="s">
        <v>310</v>
      </c>
      <c r="V742" s="34"/>
      <c r="W742" s="34"/>
    </row>
    <row r="743">
      <c r="A743" s="30">
        <v>738.0</v>
      </c>
      <c r="B743" s="31" t="s">
        <v>3597</v>
      </c>
      <c r="C743" s="31" t="s">
        <v>939</v>
      </c>
      <c r="D743" s="31" t="s">
        <v>2932</v>
      </c>
      <c r="E743" s="31" t="s">
        <v>3598</v>
      </c>
      <c r="F743" s="32">
        <v>43885.0</v>
      </c>
      <c r="G743" s="32">
        <v>43945.0</v>
      </c>
      <c r="H743" s="31" t="s">
        <v>576</v>
      </c>
      <c r="I743" s="31" t="s">
        <v>2934</v>
      </c>
      <c r="J743" s="31" t="s">
        <v>3598</v>
      </c>
      <c r="K743" s="31" t="s">
        <v>3599</v>
      </c>
      <c r="L743" s="31" t="s">
        <v>2936</v>
      </c>
      <c r="M743" s="31" t="s">
        <v>3600</v>
      </c>
      <c r="N743" s="31" t="s">
        <v>267</v>
      </c>
      <c r="O743" s="34"/>
      <c r="P743" s="31">
        <v>3.0</v>
      </c>
      <c r="Q743" s="31" t="s">
        <v>581</v>
      </c>
      <c r="R743" s="35">
        <v>36144.0</v>
      </c>
      <c r="S743" s="31" t="s">
        <v>700</v>
      </c>
      <c r="T743" s="31" t="s">
        <v>686</v>
      </c>
      <c r="U743" s="31" t="s">
        <v>633</v>
      </c>
      <c r="V743" s="34"/>
      <c r="W743" s="34"/>
    </row>
    <row r="744">
      <c r="A744" s="30">
        <v>739.0</v>
      </c>
      <c r="B744" s="31" t="s">
        <v>3601</v>
      </c>
      <c r="C744" s="31" t="s">
        <v>3602</v>
      </c>
      <c r="D744" s="31" t="s">
        <v>472</v>
      </c>
      <c r="E744" s="31" t="s">
        <v>3603</v>
      </c>
      <c r="F744" s="35">
        <v>44152.0</v>
      </c>
      <c r="G744" s="32">
        <v>44213.0</v>
      </c>
      <c r="H744" s="31" t="s">
        <v>453</v>
      </c>
      <c r="I744" s="31" t="s">
        <v>454</v>
      </c>
      <c r="J744" s="31" t="s">
        <v>3604</v>
      </c>
      <c r="K744" s="31" t="s">
        <v>3605</v>
      </c>
      <c r="L744" s="31" t="s">
        <v>476</v>
      </c>
      <c r="M744" s="31" t="s">
        <v>3606</v>
      </c>
      <c r="N744" s="31" t="s">
        <v>467</v>
      </c>
      <c r="O744" s="34"/>
      <c r="P744" s="34"/>
      <c r="Q744" s="31" t="s">
        <v>307</v>
      </c>
      <c r="R744" s="32">
        <v>35292.0</v>
      </c>
      <c r="S744" s="31" t="s">
        <v>3607</v>
      </c>
      <c r="T744" s="31" t="s">
        <v>752</v>
      </c>
      <c r="U744" s="31" t="s">
        <v>480</v>
      </c>
      <c r="V744" s="31" t="s">
        <v>3603</v>
      </c>
      <c r="W744" s="34"/>
    </row>
    <row r="745">
      <c r="A745" s="30">
        <v>740.0</v>
      </c>
      <c r="B745" s="31" t="s">
        <v>3608</v>
      </c>
      <c r="C745" s="31" t="s">
        <v>3609</v>
      </c>
      <c r="D745" s="31" t="s">
        <v>260</v>
      </c>
      <c r="E745" s="31" t="s">
        <v>3610</v>
      </c>
      <c r="F745" s="32">
        <v>44312.0</v>
      </c>
      <c r="G745" s="32">
        <v>44312.0</v>
      </c>
      <c r="H745" s="31" t="s">
        <v>346</v>
      </c>
      <c r="I745" s="31" t="s">
        <v>275</v>
      </c>
      <c r="J745" s="31" t="s">
        <v>927</v>
      </c>
      <c r="K745" s="31" t="s">
        <v>3611</v>
      </c>
      <c r="L745" s="31" t="s">
        <v>2036</v>
      </c>
      <c r="M745" s="31" t="s">
        <v>3612</v>
      </c>
      <c r="N745" s="31" t="s">
        <v>467</v>
      </c>
      <c r="O745" s="34"/>
      <c r="P745" s="31">
        <v>1.0</v>
      </c>
      <c r="Q745" s="31" t="s">
        <v>307</v>
      </c>
      <c r="R745" s="32">
        <v>30682.0</v>
      </c>
      <c r="S745" s="31" t="s">
        <v>2038</v>
      </c>
      <c r="T745" s="31" t="s">
        <v>1093</v>
      </c>
      <c r="U745" s="31" t="s">
        <v>352</v>
      </c>
      <c r="V745" s="31" t="s">
        <v>3610</v>
      </c>
      <c r="W745" s="34"/>
    </row>
    <row r="746">
      <c r="A746" s="30">
        <v>741.0</v>
      </c>
      <c r="B746" s="31" t="s">
        <v>3613</v>
      </c>
      <c r="C746" s="31" t="s">
        <v>3614</v>
      </c>
      <c r="D746" s="31" t="s">
        <v>260</v>
      </c>
      <c r="E746" s="31" t="s">
        <v>436</v>
      </c>
      <c r="F746" s="32">
        <v>45384.0</v>
      </c>
      <c r="G746" s="33"/>
      <c r="H746" s="31" t="s">
        <v>262</v>
      </c>
      <c r="I746" s="31" t="s">
        <v>275</v>
      </c>
      <c r="J746" s="31" t="s">
        <v>436</v>
      </c>
      <c r="K746" s="31" t="s">
        <v>2147</v>
      </c>
      <c r="L746" s="31" t="s">
        <v>438</v>
      </c>
      <c r="M746" s="31" t="s">
        <v>3615</v>
      </c>
      <c r="N746" s="31" t="s">
        <v>267</v>
      </c>
      <c r="O746" s="34"/>
      <c r="P746" s="31">
        <v>1.0</v>
      </c>
      <c r="Q746" s="31" t="s">
        <v>268</v>
      </c>
      <c r="R746" s="32">
        <v>36697.0</v>
      </c>
      <c r="S746" s="31" t="s">
        <v>3285</v>
      </c>
      <c r="T746" s="31" t="s">
        <v>3616</v>
      </c>
      <c r="U746" s="31" t="s">
        <v>271</v>
      </c>
      <c r="V746" s="34"/>
      <c r="W746" s="34"/>
    </row>
    <row r="747">
      <c r="A747" s="30">
        <v>742.0</v>
      </c>
      <c r="B747" s="31" t="s">
        <v>3617</v>
      </c>
      <c r="C747" s="31" t="s">
        <v>3618</v>
      </c>
      <c r="D747" s="31" t="s">
        <v>553</v>
      </c>
      <c r="E747" s="31" t="s">
        <v>3619</v>
      </c>
      <c r="F747" s="32">
        <v>42772.0</v>
      </c>
      <c r="G747" s="32">
        <v>42831.0</v>
      </c>
      <c r="H747" s="31" t="s">
        <v>453</v>
      </c>
      <c r="I747" s="31" t="s">
        <v>47</v>
      </c>
      <c r="J747" s="31" t="s">
        <v>3397</v>
      </c>
      <c r="K747" s="31" t="s">
        <v>3620</v>
      </c>
      <c r="L747" s="31" t="s">
        <v>558</v>
      </c>
      <c r="M747" s="31" t="s">
        <v>3621</v>
      </c>
      <c r="N747" s="31" t="s">
        <v>467</v>
      </c>
      <c r="O747" s="34"/>
      <c r="P747" s="34"/>
      <c r="Q747" s="31" t="s">
        <v>307</v>
      </c>
      <c r="R747" s="35">
        <v>35000.0</v>
      </c>
      <c r="S747" s="31" t="s">
        <v>733</v>
      </c>
      <c r="T747" s="31" t="s">
        <v>686</v>
      </c>
      <c r="U747" s="31" t="s">
        <v>480</v>
      </c>
      <c r="V747" s="31" t="s">
        <v>3619</v>
      </c>
      <c r="W747" s="34"/>
    </row>
    <row r="748">
      <c r="A748" s="30">
        <v>743.0</v>
      </c>
      <c r="B748" s="31" t="s">
        <v>3622</v>
      </c>
      <c r="C748" s="31" t="s">
        <v>3623</v>
      </c>
      <c r="D748" s="31" t="s">
        <v>2172</v>
      </c>
      <c r="E748" s="31" t="s">
        <v>972</v>
      </c>
      <c r="F748" s="32">
        <v>44020.0</v>
      </c>
      <c r="G748" s="32">
        <v>44082.0</v>
      </c>
      <c r="H748" s="31" t="s">
        <v>346</v>
      </c>
      <c r="I748" s="31" t="s">
        <v>93</v>
      </c>
      <c r="J748" s="31" t="s">
        <v>366</v>
      </c>
      <c r="K748" s="31" t="s">
        <v>973</v>
      </c>
      <c r="L748" s="31" t="s">
        <v>3624</v>
      </c>
      <c r="M748" s="31" t="s">
        <v>3625</v>
      </c>
      <c r="N748" s="31" t="s">
        <v>267</v>
      </c>
      <c r="O748" s="31">
        <v>2.0</v>
      </c>
      <c r="P748" s="31">
        <v>7.0</v>
      </c>
      <c r="Q748" s="31" t="s">
        <v>307</v>
      </c>
      <c r="R748" s="35">
        <v>36122.0</v>
      </c>
      <c r="S748" s="31" t="s">
        <v>320</v>
      </c>
      <c r="T748" s="31" t="s">
        <v>665</v>
      </c>
      <c r="U748" s="31" t="s">
        <v>352</v>
      </c>
      <c r="V748" s="31" t="s">
        <v>972</v>
      </c>
      <c r="W748" s="34"/>
    </row>
    <row r="749">
      <c r="A749" s="30">
        <v>744.0</v>
      </c>
      <c r="B749" s="31" t="s">
        <v>3626</v>
      </c>
      <c r="C749" s="31" t="s">
        <v>3627</v>
      </c>
      <c r="D749" s="31" t="s">
        <v>472</v>
      </c>
      <c r="E749" s="31" t="s">
        <v>3099</v>
      </c>
      <c r="F749" s="32">
        <v>44385.0</v>
      </c>
      <c r="G749" s="32">
        <v>44447.0</v>
      </c>
      <c r="H749" s="31" t="s">
        <v>2924</v>
      </c>
      <c r="I749" s="31" t="s">
        <v>75</v>
      </c>
      <c r="J749" s="31" t="s">
        <v>3100</v>
      </c>
      <c r="K749" s="31" t="s">
        <v>3101</v>
      </c>
      <c r="L749" s="31" t="s">
        <v>3088</v>
      </c>
      <c r="M749" s="31" t="s">
        <v>3628</v>
      </c>
      <c r="N749" s="31" t="s">
        <v>467</v>
      </c>
      <c r="O749" s="34"/>
      <c r="P749" s="34"/>
      <c r="Q749" s="31" t="s">
        <v>307</v>
      </c>
      <c r="R749" s="32">
        <v>36862.0</v>
      </c>
      <c r="S749" s="31" t="s">
        <v>468</v>
      </c>
      <c r="T749" s="31" t="s">
        <v>469</v>
      </c>
      <c r="U749" s="31" t="s">
        <v>460</v>
      </c>
      <c r="V749" s="31" t="s">
        <v>3099</v>
      </c>
      <c r="W749" s="34"/>
    </row>
    <row r="750">
      <c r="A750" s="30">
        <v>745.0</v>
      </c>
      <c r="B750" s="31" t="s">
        <v>3629</v>
      </c>
      <c r="C750" s="31" t="s">
        <v>3630</v>
      </c>
      <c r="D750" s="31" t="s">
        <v>553</v>
      </c>
      <c r="E750" s="31" t="s">
        <v>3099</v>
      </c>
      <c r="F750" s="32">
        <v>44368.0</v>
      </c>
      <c r="G750" s="32">
        <v>44429.0</v>
      </c>
      <c r="H750" s="31" t="s">
        <v>2924</v>
      </c>
      <c r="I750" s="31" t="s">
        <v>75</v>
      </c>
      <c r="J750" s="31" t="s">
        <v>3100</v>
      </c>
      <c r="K750" s="31" t="s">
        <v>3101</v>
      </c>
      <c r="L750" s="31" t="s">
        <v>3631</v>
      </c>
      <c r="M750" s="31" t="s">
        <v>3632</v>
      </c>
      <c r="N750" s="31" t="s">
        <v>267</v>
      </c>
      <c r="O750" s="34"/>
      <c r="P750" s="34"/>
      <c r="Q750" s="31" t="s">
        <v>307</v>
      </c>
      <c r="R750" s="32">
        <v>35935.0</v>
      </c>
      <c r="S750" s="31" t="s">
        <v>502</v>
      </c>
      <c r="T750" s="31" t="s">
        <v>503</v>
      </c>
      <c r="U750" s="31" t="s">
        <v>460</v>
      </c>
      <c r="V750" s="31" t="s">
        <v>3099</v>
      </c>
      <c r="W750" s="34"/>
    </row>
    <row r="751">
      <c r="A751" s="30">
        <v>746.0</v>
      </c>
      <c r="B751" s="31" t="s">
        <v>3633</v>
      </c>
      <c r="C751" s="31" t="s">
        <v>3634</v>
      </c>
      <c r="D751" s="31" t="s">
        <v>260</v>
      </c>
      <c r="E751" s="31" t="s">
        <v>390</v>
      </c>
      <c r="F751" s="32">
        <v>43983.0</v>
      </c>
      <c r="G751" s="32">
        <v>44044.0</v>
      </c>
      <c r="H751" s="31" t="s">
        <v>346</v>
      </c>
      <c r="I751" s="31" t="s">
        <v>112</v>
      </c>
      <c r="J751" s="31" t="s">
        <v>390</v>
      </c>
      <c r="K751" s="31" t="s">
        <v>391</v>
      </c>
      <c r="L751" s="31" t="s">
        <v>392</v>
      </c>
      <c r="M751" s="31" t="s">
        <v>3635</v>
      </c>
      <c r="N751" s="31" t="s">
        <v>267</v>
      </c>
      <c r="O751" s="34"/>
      <c r="P751" s="31">
        <v>3.0</v>
      </c>
      <c r="Q751" s="31" t="s">
        <v>307</v>
      </c>
      <c r="R751" s="32">
        <v>36135.0</v>
      </c>
      <c r="S751" s="31" t="s">
        <v>531</v>
      </c>
      <c r="T751" s="31" t="s">
        <v>496</v>
      </c>
      <c r="U751" s="31" t="s">
        <v>361</v>
      </c>
      <c r="V751" s="34"/>
      <c r="W751" s="34"/>
    </row>
    <row r="752">
      <c r="A752" s="30">
        <v>747.0</v>
      </c>
      <c r="B752" s="31" t="s">
        <v>3636</v>
      </c>
      <c r="C752" s="31" t="s">
        <v>3637</v>
      </c>
      <c r="D752" s="31" t="s">
        <v>765</v>
      </c>
      <c r="E752" s="31" t="s">
        <v>3638</v>
      </c>
      <c r="F752" s="32">
        <v>45386.0</v>
      </c>
      <c r="G752" s="33"/>
      <c r="H752" s="31" t="s">
        <v>325</v>
      </c>
      <c r="I752" s="31" t="s">
        <v>326</v>
      </c>
      <c r="J752" s="31" t="s">
        <v>3638</v>
      </c>
      <c r="K752" s="31" t="s">
        <v>3639</v>
      </c>
      <c r="L752" s="31" t="s">
        <v>769</v>
      </c>
      <c r="M752" s="31" t="s">
        <v>3640</v>
      </c>
      <c r="N752" s="31" t="s">
        <v>267</v>
      </c>
      <c r="O752" s="34"/>
      <c r="P752" s="31">
        <v>1.0</v>
      </c>
      <c r="Q752" s="31" t="s">
        <v>268</v>
      </c>
      <c r="R752" s="32">
        <v>37508.0</v>
      </c>
      <c r="S752" s="31" t="s">
        <v>320</v>
      </c>
      <c r="T752" s="31" t="s">
        <v>3641</v>
      </c>
      <c r="U752" s="31" t="s">
        <v>331</v>
      </c>
      <c r="V752" s="34"/>
      <c r="W752" s="34"/>
    </row>
    <row r="753">
      <c r="A753" s="30">
        <v>748.0</v>
      </c>
      <c r="B753" s="31" t="s">
        <v>3642</v>
      </c>
      <c r="C753" s="31" t="s">
        <v>3643</v>
      </c>
      <c r="D753" s="31" t="s">
        <v>3644</v>
      </c>
      <c r="E753" s="31" t="s">
        <v>2463</v>
      </c>
      <c r="F753" s="32">
        <v>44622.0</v>
      </c>
      <c r="G753" s="32">
        <v>44683.0</v>
      </c>
      <c r="H753" s="31" t="s">
        <v>2811</v>
      </c>
      <c r="I753" s="31" t="s">
        <v>2463</v>
      </c>
      <c r="J753" s="34"/>
      <c r="K753" s="31" t="s">
        <v>3645</v>
      </c>
      <c r="L753" s="31" t="s">
        <v>3646</v>
      </c>
      <c r="M753" s="31" t="s">
        <v>3647</v>
      </c>
      <c r="N753" s="31" t="s">
        <v>267</v>
      </c>
      <c r="O753" s="34"/>
      <c r="P753" s="34"/>
      <c r="Q753" s="31" t="s">
        <v>307</v>
      </c>
      <c r="R753" s="32">
        <v>36238.0</v>
      </c>
      <c r="S753" s="31" t="s">
        <v>2455</v>
      </c>
      <c r="T753" s="31" t="s">
        <v>3648</v>
      </c>
      <c r="U753" s="31" t="s">
        <v>2914</v>
      </c>
      <c r="V753" s="34"/>
      <c r="W753" s="34"/>
    </row>
    <row r="754">
      <c r="A754" s="30">
        <v>749.0</v>
      </c>
      <c r="B754" s="31" t="s">
        <v>3649</v>
      </c>
      <c r="C754" s="31" t="s">
        <v>3650</v>
      </c>
      <c r="D754" s="31" t="s">
        <v>472</v>
      </c>
      <c r="E754" s="31" t="s">
        <v>2696</v>
      </c>
      <c r="F754" s="32">
        <v>44740.0</v>
      </c>
      <c r="G754" s="32">
        <v>44801.0</v>
      </c>
      <c r="H754" s="31" t="s">
        <v>453</v>
      </c>
      <c r="I754" s="31" t="s">
        <v>607</v>
      </c>
      <c r="J754" s="31" t="s">
        <v>2697</v>
      </c>
      <c r="K754" s="31" t="s">
        <v>2698</v>
      </c>
      <c r="L754" s="31" t="s">
        <v>476</v>
      </c>
      <c r="M754" s="31" t="s">
        <v>3651</v>
      </c>
      <c r="N754" s="31" t="s">
        <v>467</v>
      </c>
      <c r="O754" s="34"/>
      <c r="P754" s="34"/>
      <c r="Q754" s="31" t="s">
        <v>307</v>
      </c>
      <c r="R754" s="35">
        <v>36448.0</v>
      </c>
      <c r="S754" s="31" t="s">
        <v>560</v>
      </c>
      <c r="T754" s="31" t="s">
        <v>3167</v>
      </c>
      <c r="U754" s="31" t="s">
        <v>643</v>
      </c>
      <c r="V754" s="31" t="s">
        <v>2696</v>
      </c>
      <c r="W754" s="34"/>
    </row>
    <row r="755">
      <c r="A755" s="30">
        <v>750.0</v>
      </c>
      <c r="B755" s="31" t="s">
        <v>3652</v>
      </c>
      <c r="C755" s="31" t="s">
        <v>3653</v>
      </c>
      <c r="D755" s="31" t="s">
        <v>574</v>
      </c>
      <c r="E755" s="31" t="s">
        <v>2816</v>
      </c>
      <c r="F755" s="32">
        <v>45376.0</v>
      </c>
      <c r="G755" s="33"/>
      <c r="H755" s="31" t="s">
        <v>576</v>
      </c>
      <c r="I755" s="31" t="s">
        <v>2817</v>
      </c>
      <c r="J755" s="31" t="s">
        <v>2816</v>
      </c>
      <c r="K755" s="31" t="s">
        <v>2818</v>
      </c>
      <c r="L755" s="31" t="s">
        <v>579</v>
      </c>
      <c r="M755" s="31" t="s">
        <v>3654</v>
      </c>
      <c r="N755" s="31" t="s">
        <v>267</v>
      </c>
      <c r="O755" s="34"/>
      <c r="P755" s="31">
        <v>1.0</v>
      </c>
      <c r="Q755" s="31" t="s">
        <v>268</v>
      </c>
      <c r="R755" s="32">
        <v>37046.0</v>
      </c>
      <c r="S755" s="31" t="s">
        <v>531</v>
      </c>
      <c r="T755" s="31" t="s">
        <v>469</v>
      </c>
      <c r="U755" s="31" t="s">
        <v>2821</v>
      </c>
      <c r="V755" s="34"/>
      <c r="W755" s="34"/>
    </row>
    <row r="756">
      <c r="A756" s="30">
        <v>751.0</v>
      </c>
      <c r="B756" s="31" t="s">
        <v>3655</v>
      </c>
      <c r="C756" s="31" t="s">
        <v>3656</v>
      </c>
      <c r="D756" s="31" t="s">
        <v>3657</v>
      </c>
      <c r="E756" s="31" t="s">
        <v>2430</v>
      </c>
      <c r="F756" s="32">
        <v>44799.0</v>
      </c>
      <c r="G756" s="35">
        <v>44860.0</v>
      </c>
      <c r="H756" s="31" t="s">
        <v>346</v>
      </c>
      <c r="I756" s="31" t="s">
        <v>2430</v>
      </c>
      <c r="J756" s="34"/>
      <c r="K756" s="31" t="s">
        <v>3272</v>
      </c>
      <c r="L756" s="31" t="s">
        <v>3658</v>
      </c>
      <c r="M756" s="31" t="s">
        <v>3659</v>
      </c>
      <c r="N756" s="31" t="s">
        <v>267</v>
      </c>
      <c r="O756" s="34"/>
      <c r="P756" s="31">
        <v>2.0</v>
      </c>
      <c r="Q756" s="31" t="s">
        <v>307</v>
      </c>
      <c r="R756" s="32">
        <v>36557.0</v>
      </c>
      <c r="S756" s="31" t="s">
        <v>3660</v>
      </c>
      <c r="T756" s="31" t="s">
        <v>3661</v>
      </c>
      <c r="U756" s="31" t="s">
        <v>352</v>
      </c>
      <c r="V756" s="34"/>
      <c r="W756" s="34"/>
    </row>
    <row r="757">
      <c r="A757" s="30">
        <v>752.0</v>
      </c>
      <c r="B757" s="31" t="s">
        <v>3662</v>
      </c>
      <c r="C757" s="31" t="s">
        <v>3663</v>
      </c>
      <c r="D757" s="31" t="s">
        <v>1541</v>
      </c>
      <c r="E757" s="31" t="s">
        <v>1598</v>
      </c>
      <c r="F757" s="32">
        <v>41001.0</v>
      </c>
      <c r="G757" s="32">
        <v>41122.0</v>
      </c>
      <c r="H757" s="31" t="s">
        <v>346</v>
      </c>
      <c r="I757" s="31" t="s">
        <v>315</v>
      </c>
      <c r="J757" s="31" t="s">
        <v>1577</v>
      </c>
      <c r="K757" s="31" t="s">
        <v>1599</v>
      </c>
      <c r="L757" s="31" t="s">
        <v>1542</v>
      </c>
      <c r="M757" s="31" t="s">
        <v>3664</v>
      </c>
      <c r="N757" s="31" t="s">
        <v>467</v>
      </c>
      <c r="O757" s="31">
        <v>1.0</v>
      </c>
      <c r="P757" s="31">
        <v>8.0</v>
      </c>
      <c r="Q757" s="31" t="s">
        <v>307</v>
      </c>
      <c r="R757" s="32">
        <v>33339.0</v>
      </c>
      <c r="S757" s="31" t="s">
        <v>3665</v>
      </c>
      <c r="T757" s="31" t="s">
        <v>503</v>
      </c>
      <c r="U757" s="31" t="s">
        <v>352</v>
      </c>
      <c r="V757" s="31" t="s">
        <v>1598</v>
      </c>
      <c r="W757" s="34"/>
    </row>
    <row r="758">
      <c r="A758" s="30">
        <v>753.0</v>
      </c>
      <c r="B758" s="31" t="s">
        <v>3666</v>
      </c>
      <c r="C758" s="31" t="s">
        <v>3667</v>
      </c>
      <c r="D758" s="31" t="s">
        <v>1541</v>
      </c>
      <c r="E758" s="31" t="s">
        <v>1564</v>
      </c>
      <c r="F758" s="32">
        <v>40648.0</v>
      </c>
      <c r="G758" s="32">
        <v>40709.0</v>
      </c>
      <c r="H758" s="31" t="s">
        <v>346</v>
      </c>
      <c r="I758" s="31" t="s">
        <v>315</v>
      </c>
      <c r="J758" s="31" t="s">
        <v>1493</v>
      </c>
      <c r="K758" s="31" t="s">
        <v>1565</v>
      </c>
      <c r="L758" s="31" t="s">
        <v>1542</v>
      </c>
      <c r="M758" s="31" t="s">
        <v>3668</v>
      </c>
      <c r="N758" s="31" t="s">
        <v>467</v>
      </c>
      <c r="O758" s="31">
        <v>1.0</v>
      </c>
      <c r="P758" s="31">
        <v>7.0</v>
      </c>
      <c r="Q758" s="31" t="s">
        <v>307</v>
      </c>
      <c r="R758" s="32">
        <v>31390.0</v>
      </c>
      <c r="S758" s="31" t="s">
        <v>560</v>
      </c>
      <c r="T758" s="31" t="s">
        <v>503</v>
      </c>
      <c r="U758" s="31" t="s">
        <v>352</v>
      </c>
      <c r="V758" s="31" t="s">
        <v>1564</v>
      </c>
      <c r="W758" s="34"/>
    </row>
    <row r="759">
      <c r="A759" s="30">
        <v>754.0</v>
      </c>
      <c r="B759" s="31" t="s">
        <v>3669</v>
      </c>
      <c r="C759" s="31" t="s">
        <v>3670</v>
      </c>
      <c r="D759" s="31" t="s">
        <v>313</v>
      </c>
      <c r="E759" s="31" t="s">
        <v>1564</v>
      </c>
      <c r="F759" s="32">
        <v>42796.0</v>
      </c>
      <c r="G759" s="32">
        <v>42858.0</v>
      </c>
      <c r="H759" s="31" t="s">
        <v>346</v>
      </c>
      <c r="I759" s="31" t="s">
        <v>315</v>
      </c>
      <c r="J759" s="31" t="s">
        <v>1493</v>
      </c>
      <c r="K759" s="31" t="s">
        <v>1565</v>
      </c>
      <c r="L759" s="31" t="s">
        <v>318</v>
      </c>
      <c r="M759" s="31" t="s">
        <v>3671</v>
      </c>
      <c r="N759" s="31" t="s">
        <v>467</v>
      </c>
      <c r="O759" s="34"/>
      <c r="P759" s="31">
        <v>8.0</v>
      </c>
      <c r="Q759" s="31" t="s">
        <v>307</v>
      </c>
      <c r="R759" s="35">
        <v>32492.0</v>
      </c>
      <c r="S759" s="31" t="s">
        <v>560</v>
      </c>
      <c r="T759" s="31" t="s">
        <v>1242</v>
      </c>
      <c r="U759" s="31" t="s">
        <v>352</v>
      </c>
      <c r="V759" s="31" t="s">
        <v>1564</v>
      </c>
      <c r="W759" s="34"/>
    </row>
    <row r="760">
      <c r="A760" s="30">
        <v>755.0</v>
      </c>
      <c r="B760" s="31" t="s">
        <v>3672</v>
      </c>
      <c r="C760" s="31" t="s">
        <v>3673</v>
      </c>
      <c r="D760" s="31" t="s">
        <v>313</v>
      </c>
      <c r="E760" s="31" t="s">
        <v>1598</v>
      </c>
      <c r="F760" s="32">
        <v>43668.0</v>
      </c>
      <c r="G760" s="32">
        <v>43730.0</v>
      </c>
      <c r="H760" s="31" t="s">
        <v>346</v>
      </c>
      <c r="I760" s="31" t="s">
        <v>315</v>
      </c>
      <c r="J760" s="31" t="s">
        <v>1577</v>
      </c>
      <c r="K760" s="31" t="s">
        <v>1599</v>
      </c>
      <c r="L760" s="31" t="s">
        <v>318</v>
      </c>
      <c r="M760" s="31" t="s">
        <v>3674</v>
      </c>
      <c r="N760" s="31" t="s">
        <v>267</v>
      </c>
      <c r="O760" s="34"/>
      <c r="P760" s="31">
        <v>7.0</v>
      </c>
      <c r="Q760" s="31" t="s">
        <v>307</v>
      </c>
      <c r="R760" s="32">
        <v>35077.0</v>
      </c>
      <c r="S760" s="31" t="s">
        <v>1104</v>
      </c>
      <c r="T760" s="31" t="s">
        <v>744</v>
      </c>
      <c r="U760" s="31" t="s">
        <v>352</v>
      </c>
      <c r="V760" s="31" t="s">
        <v>1598</v>
      </c>
      <c r="W760" s="34"/>
    </row>
    <row r="761">
      <c r="A761" s="30">
        <v>756.0</v>
      </c>
      <c r="B761" s="31" t="s">
        <v>3675</v>
      </c>
      <c r="C761" s="31" t="s">
        <v>3676</v>
      </c>
      <c r="D761" s="31" t="s">
        <v>313</v>
      </c>
      <c r="E761" s="31" t="s">
        <v>1507</v>
      </c>
      <c r="F761" s="32">
        <v>43627.0</v>
      </c>
      <c r="G761" s="32">
        <v>43688.0</v>
      </c>
      <c r="H761" s="31" t="s">
        <v>346</v>
      </c>
      <c r="I761" s="31" t="s">
        <v>315</v>
      </c>
      <c r="J761" s="31" t="s">
        <v>1487</v>
      </c>
      <c r="K761" s="31" t="s">
        <v>1508</v>
      </c>
      <c r="L761" s="31" t="s">
        <v>318</v>
      </c>
      <c r="M761" s="31" t="s">
        <v>3677</v>
      </c>
      <c r="N761" s="31" t="s">
        <v>267</v>
      </c>
      <c r="O761" s="34"/>
      <c r="P761" s="31">
        <v>6.0</v>
      </c>
      <c r="Q761" s="31" t="s">
        <v>307</v>
      </c>
      <c r="R761" s="32">
        <v>33913.0</v>
      </c>
      <c r="S761" s="31" t="s">
        <v>3678</v>
      </c>
      <c r="T761" s="31" t="s">
        <v>3679</v>
      </c>
      <c r="U761" s="31" t="s">
        <v>352</v>
      </c>
      <c r="V761" s="31" t="s">
        <v>1507</v>
      </c>
      <c r="W761" s="34"/>
    </row>
    <row r="762">
      <c r="A762" s="30">
        <v>757.0</v>
      </c>
      <c r="B762" s="31" t="s">
        <v>3680</v>
      </c>
      <c r="C762" s="31" t="s">
        <v>3681</v>
      </c>
      <c r="D762" s="31" t="s">
        <v>313</v>
      </c>
      <c r="E762" s="31" t="s">
        <v>1507</v>
      </c>
      <c r="F762" s="32">
        <v>41785.0</v>
      </c>
      <c r="G762" s="32">
        <v>41846.0</v>
      </c>
      <c r="H762" s="31" t="s">
        <v>346</v>
      </c>
      <c r="I762" s="31" t="s">
        <v>315</v>
      </c>
      <c r="J762" s="31" t="s">
        <v>1487</v>
      </c>
      <c r="K762" s="31" t="s">
        <v>1508</v>
      </c>
      <c r="L762" s="31" t="s">
        <v>318</v>
      </c>
      <c r="M762" s="31" t="s">
        <v>3682</v>
      </c>
      <c r="N762" s="31" t="s">
        <v>267</v>
      </c>
      <c r="O762" s="34"/>
      <c r="P762" s="31">
        <v>10.0</v>
      </c>
      <c r="Q762" s="31" t="s">
        <v>307</v>
      </c>
      <c r="R762" s="32">
        <v>33134.0</v>
      </c>
      <c r="S762" s="31" t="s">
        <v>626</v>
      </c>
      <c r="T762" s="31" t="s">
        <v>718</v>
      </c>
      <c r="U762" s="31" t="s">
        <v>352</v>
      </c>
      <c r="V762" s="31" t="s">
        <v>1507</v>
      </c>
      <c r="W762" s="34"/>
    </row>
    <row r="763">
      <c r="A763" s="30">
        <v>758.0</v>
      </c>
      <c r="B763" s="31" t="s">
        <v>3683</v>
      </c>
      <c r="C763" s="31" t="s">
        <v>1259</v>
      </c>
      <c r="D763" s="31" t="s">
        <v>313</v>
      </c>
      <c r="E763" s="31" t="s">
        <v>1564</v>
      </c>
      <c r="F763" s="32">
        <v>43900.0</v>
      </c>
      <c r="G763" s="32">
        <v>43961.0</v>
      </c>
      <c r="H763" s="31" t="s">
        <v>346</v>
      </c>
      <c r="I763" s="31" t="s">
        <v>315</v>
      </c>
      <c r="J763" s="31" t="s">
        <v>1493</v>
      </c>
      <c r="K763" s="31" t="s">
        <v>1565</v>
      </c>
      <c r="L763" s="31" t="s">
        <v>318</v>
      </c>
      <c r="M763" s="31" t="s">
        <v>3684</v>
      </c>
      <c r="N763" s="31" t="s">
        <v>267</v>
      </c>
      <c r="O763" s="34"/>
      <c r="P763" s="31">
        <v>4.0</v>
      </c>
      <c r="Q763" s="31" t="s">
        <v>307</v>
      </c>
      <c r="R763" s="32">
        <v>34922.0</v>
      </c>
      <c r="S763" s="31" t="s">
        <v>531</v>
      </c>
      <c r="T763" s="31" t="s">
        <v>744</v>
      </c>
      <c r="U763" s="31" t="s">
        <v>352</v>
      </c>
      <c r="V763" s="31" t="s">
        <v>1564</v>
      </c>
      <c r="W763" s="34"/>
    </row>
    <row r="764">
      <c r="A764" s="30">
        <v>759.0</v>
      </c>
      <c r="B764" s="31" t="s">
        <v>3685</v>
      </c>
      <c r="C764" s="31" t="s">
        <v>3686</v>
      </c>
      <c r="D764" s="31" t="s">
        <v>313</v>
      </c>
      <c r="E764" s="31" t="s">
        <v>1525</v>
      </c>
      <c r="F764" s="32">
        <v>40648.0</v>
      </c>
      <c r="G764" s="32">
        <v>40710.0</v>
      </c>
      <c r="H764" s="31" t="s">
        <v>346</v>
      </c>
      <c r="I764" s="31" t="s">
        <v>315</v>
      </c>
      <c r="J764" s="31" t="s">
        <v>1493</v>
      </c>
      <c r="K764" s="31" t="s">
        <v>1526</v>
      </c>
      <c r="L764" s="31" t="s">
        <v>318</v>
      </c>
      <c r="M764" s="31" t="s">
        <v>3687</v>
      </c>
      <c r="N764" s="31" t="s">
        <v>267</v>
      </c>
      <c r="O764" s="34"/>
      <c r="P764" s="31">
        <v>10.0</v>
      </c>
      <c r="Q764" s="31" t="s">
        <v>307</v>
      </c>
      <c r="R764" s="32">
        <v>33080.0</v>
      </c>
      <c r="S764" s="31" t="s">
        <v>626</v>
      </c>
      <c r="T764" s="31" t="s">
        <v>1292</v>
      </c>
      <c r="U764" s="31" t="s">
        <v>352</v>
      </c>
      <c r="V764" s="31" t="s">
        <v>1525</v>
      </c>
      <c r="W764" s="34"/>
    </row>
    <row r="765">
      <c r="A765" s="30">
        <v>760.0</v>
      </c>
      <c r="B765" s="31" t="s">
        <v>3688</v>
      </c>
      <c r="C765" s="31" t="s">
        <v>3689</v>
      </c>
      <c r="D765" s="31" t="s">
        <v>313</v>
      </c>
      <c r="E765" s="31" t="s">
        <v>1598</v>
      </c>
      <c r="F765" s="32">
        <v>43242.0</v>
      </c>
      <c r="G765" s="32">
        <v>43303.0</v>
      </c>
      <c r="H765" s="31" t="s">
        <v>346</v>
      </c>
      <c r="I765" s="31" t="s">
        <v>315</v>
      </c>
      <c r="J765" s="31" t="s">
        <v>1577</v>
      </c>
      <c r="K765" s="31" t="s">
        <v>1599</v>
      </c>
      <c r="L765" s="31" t="s">
        <v>318</v>
      </c>
      <c r="M765" s="31" t="s">
        <v>3690</v>
      </c>
      <c r="N765" s="31" t="s">
        <v>467</v>
      </c>
      <c r="O765" s="34"/>
      <c r="P765" s="31">
        <v>4.0</v>
      </c>
      <c r="Q765" s="31" t="s">
        <v>307</v>
      </c>
      <c r="R765" s="32">
        <v>34500.0</v>
      </c>
      <c r="S765" s="31" t="s">
        <v>3691</v>
      </c>
      <c r="T765" s="31" t="s">
        <v>496</v>
      </c>
      <c r="U765" s="31" t="s">
        <v>352</v>
      </c>
      <c r="V765" s="31" t="s">
        <v>1598</v>
      </c>
      <c r="W765" s="34"/>
    </row>
    <row r="766">
      <c r="A766" s="30">
        <v>761.0</v>
      </c>
      <c r="B766" s="31" t="s">
        <v>3692</v>
      </c>
      <c r="C766" s="31" t="s">
        <v>3693</v>
      </c>
      <c r="D766" s="31" t="s">
        <v>1208</v>
      </c>
      <c r="E766" s="31" t="s">
        <v>1209</v>
      </c>
      <c r="F766" s="32">
        <v>41745.0</v>
      </c>
      <c r="G766" s="32">
        <v>41836.0</v>
      </c>
      <c r="H766" s="31" t="s">
        <v>346</v>
      </c>
      <c r="I766" s="31" t="s">
        <v>1209</v>
      </c>
      <c r="J766" s="34"/>
      <c r="K766" s="31" t="s">
        <v>1210</v>
      </c>
      <c r="L766" s="31" t="s">
        <v>1211</v>
      </c>
      <c r="M766" s="31" t="s">
        <v>3694</v>
      </c>
      <c r="N766" s="31" t="s">
        <v>267</v>
      </c>
      <c r="O766" s="34"/>
      <c r="P766" s="31">
        <v>7.0</v>
      </c>
      <c r="Q766" s="31" t="s">
        <v>307</v>
      </c>
      <c r="R766" s="32">
        <v>33066.0</v>
      </c>
      <c r="S766" s="31" t="s">
        <v>1249</v>
      </c>
      <c r="T766" s="31" t="s">
        <v>999</v>
      </c>
      <c r="U766" s="31" t="s">
        <v>352</v>
      </c>
      <c r="V766" s="34"/>
      <c r="W766" s="34"/>
    </row>
    <row r="767">
      <c r="A767" s="30">
        <v>762.0</v>
      </c>
      <c r="B767" s="31" t="s">
        <v>3695</v>
      </c>
      <c r="C767" s="31" t="s">
        <v>3696</v>
      </c>
      <c r="D767" s="31" t="s">
        <v>1535</v>
      </c>
      <c r="E767" s="31" t="s">
        <v>1577</v>
      </c>
      <c r="F767" s="32">
        <v>39692.0</v>
      </c>
      <c r="G767" s="32">
        <v>39753.0</v>
      </c>
      <c r="H767" s="31" t="s">
        <v>346</v>
      </c>
      <c r="I767" s="31" t="s">
        <v>315</v>
      </c>
      <c r="J767" s="31" t="s">
        <v>1577</v>
      </c>
      <c r="K767" s="31" t="s">
        <v>3697</v>
      </c>
      <c r="L767" s="31" t="s">
        <v>1537</v>
      </c>
      <c r="M767" s="31" t="s">
        <v>3698</v>
      </c>
      <c r="N767" s="31" t="s">
        <v>467</v>
      </c>
      <c r="O767" s="31">
        <v>2.0</v>
      </c>
      <c r="P767" s="31">
        <v>6.0</v>
      </c>
      <c r="Q767" s="31" t="s">
        <v>307</v>
      </c>
      <c r="R767" s="32">
        <v>30533.0</v>
      </c>
      <c r="S767" s="31" t="s">
        <v>531</v>
      </c>
      <c r="T767" s="31" t="s">
        <v>3699</v>
      </c>
      <c r="U767" s="31" t="s">
        <v>352</v>
      </c>
      <c r="V767" s="34"/>
      <c r="W767" s="34"/>
    </row>
    <row r="768">
      <c r="A768" s="30">
        <v>763.0</v>
      </c>
      <c r="B768" s="31" t="s">
        <v>3700</v>
      </c>
      <c r="C768" s="31" t="s">
        <v>3701</v>
      </c>
      <c r="D768" s="31" t="s">
        <v>1535</v>
      </c>
      <c r="E768" s="31" t="s">
        <v>1487</v>
      </c>
      <c r="F768" s="32">
        <v>42149.0</v>
      </c>
      <c r="G768" s="32">
        <v>42211.0</v>
      </c>
      <c r="H768" s="31" t="s">
        <v>346</v>
      </c>
      <c r="I768" s="31" t="s">
        <v>315</v>
      </c>
      <c r="J768" s="31" t="s">
        <v>1487</v>
      </c>
      <c r="K768" s="31" t="s">
        <v>3702</v>
      </c>
      <c r="L768" s="31" t="s">
        <v>1537</v>
      </c>
      <c r="M768" s="31" t="s">
        <v>3703</v>
      </c>
      <c r="N768" s="31" t="s">
        <v>467</v>
      </c>
      <c r="O768" s="31">
        <v>2.0</v>
      </c>
      <c r="P768" s="31">
        <v>6.0</v>
      </c>
      <c r="Q768" s="31" t="s">
        <v>307</v>
      </c>
      <c r="R768" s="35">
        <v>31407.0</v>
      </c>
      <c r="S768" s="31" t="s">
        <v>3044</v>
      </c>
      <c r="T768" s="31" t="s">
        <v>1522</v>
      </c>
      <c r="U768" s="31" t="s">
        <v>352</v>
      </c>
      <c r="V768" s="34"/>
      <c r="W768" s="34"/>
    </row>
    <row r="769">
      <c r="A769" s="30">
        <v>764.0</v>
      </c>
      <c r="B769" s="31" t="s">
        <v>3704</v>
      </c>
      <c r="C769" s="31" t="s">
        <v>3705</v>
      </c>
      <c r="D769" s="31" t="s">
        <v>313</v>
      </c>
      <c r="E769" s="31" t="s">
        <v>1564</v>
      </c>
      <c r="F769" s="35">
        <v>44893.0</v>
      </c>
      <c r="G769" s="32">
        <v>44954.0</v>
      </c>
      <c r="H769" s="31" t="s">
        <v>346</v>
      </c>
      <c r="I769" s="31" t="s">
        <v>315</v>
      </c>
      <c r="J769" s="31" t="s">
        <v>1493</v>
      </c>
      <c r="K769" s="31" t="s">
        <v>1565</v>
      </c>
      <c r="L769" s="31" t="s">
        <v>318</v>
      </c>
      <c r="M769" s="31" t="s">
        <v>3706</v>
      </c>
      <c r="N769" s="31" t="s">
        <v>267</v>
      </c>
      <c r="O769" s="34"/>
      <c r="P769" s="31">
        <v>2.0</v>
      </c>
      <c r="Q769" s="31" t="s">
        <v>307</v>
      </c>
      <c r="R769" s="32">
        <v>37007.0</v>
      </c>
      <c r="S769" s="31" t="s">
        <v>681</v>
      </c>
      <c r="T769" s="31" t="s">
        <v>427</v>
      </c>
      <c r="U769" s="31" t="s">
        <v>352</v>
      </c>
      <c r="V769" s="31" t="s">
        <v>1564</v>
      </c>
      <c r="W769" s="34"/>
    </row>
    <row r="770">
      <c r="A770" s="30">
        <v>765.0</v>
      </c>
      <c r="B770" s="31" t="s">
        <v>3707</v>
      </c>
      <c r="C770" s="31" t="s">
        <v>435</v>
      </c>
      <c r="D770" s="31" t="s">
        <v>313</v>
      </c>
      <c r="E770" s="31" t="s">
        <v>314</v>
      </c>
      <c r="F770" s="32">
        <v>44635.0</v>
      </c>
      <c r="G770" s="32">
        <v>44696.0</v>
      </c>
      <c r="H770" s="31" t="s">
        <v>346</v>
      </c>
      <c r="I770" s="31" t="s">
        <v>315</v>
      </c>
      <c r="J770" s="31" t="s">
        <v>316</v>
      </c>
      <c r="K770" s="31" t="s">
        <v>1530</v>
      </c>
      <c r="L770" s="31" t="s">
        <v>318</v>
      </c>
      <c r="M770" s="31" t="s">
        <v>3708</v>
      </c>
      <c r="N770" s="31" t="s">
        <v>267</v>
      </c>
      <c r="O770" s="34"/>
      <c r="P770" s="31">
        <v>1.0</v>
      </c>
      <c r="Q770" s="31" t="s">
        <v>307</v>
      </c>
      <c r="R770" s="32">
        <v>35496.0</v>
      </c>
      <c r="S770" s="31" t="s">
        <v>3709</v>
      </c>
      <c r="T770" s="31" t="s">
        <v>951</v>
      </c>
      <c r="U770" s="31" t="s">
        <v>352</v>
      </c>
      <c r="V770" s="31" t="s">
        <v>314</v>
      </c>
      <c r="W770" s="34"/>
    </row>
    <row r="771">
      <c r="A771" s="30">
        <v>766.0</v>
      </c>
      <c r="B771" s="31" t="s">
        <v>3710</v>
      </c>
      <c r="C771" s="31" t="s">
        <v>3711</v>
      </c>
      <c r="D771" s="31" t="s">
        <v>260</v>
      </c>
      <c r="E771" s="31" t="s">
        <v>125</v>
      </c>
      <c r="F771" s="32">
        <v>42464.0</v>
      </c>
      <c r="G771" s="32">
        <v>42525.0</v>
      </c>
      <c r="H771" s="31" t="s">
        <v>346</v>
      </c>
      <c r="I771" s="31" t="s">
        <v>263</v>
      </c>
      <c r="J771" s="31" t="s">
        <v>123</v>
      </c>
      <c r="K771" s="31" t="s">
        <v>430</v>
      </c>
      <c r="L771" s="31" t="s">
        <v>431</v>
      </c>
      <c r="M771" s="31" t="s">
        <v>3712</v>
      </c>
      <c r="N771" s="31" t="s">
        <v>267</v>
      </c>
      <c r="O771" s="34"/>
      <c r="P771" s="31">
        <v>10.0</v>
      </c>
      <c r="Q771" s="31" t="s">
        <v>307</v>
      </c>
      <c r="R771" s="32">
        <v>33861.0</v>
      </c>
      <c r="S771" s="31" t="s">
        <v>531</v>
      </c>
      <c r="T771" s="31" t="s">
        <v>665</v>
      </c>
      <c r="U771" s="31" t="s">
        <v>361</v>
      </c>
      <c r="V771" s="31" t="s">
        <v>125</v>
      </c>
      <c r="W771" s="34"/>
    </row>
    <row r="772">
      <c r="A772" s="30">
        <v>767.0</v>
      </c>
      <c r="B772" s="31" t="s">
        <v>3713</v>
      </c>
      <c r="C772" s="31" t="s">
        <v>3714</v>
      </c>
      <c r="D772" s="31" t="s">
        <v>260</v>
      </c>
      <c r="E772" s="31" t="s">
        <v>914</v>
      </c>
      <c r="F772" s="32">
        <v>42828.0</v>
      </c>
      <c r="G772" s="32">
        <v>42889.0</v>
      </c>
      <c r="H772" s="31" t="s">
        <v>346</v>
      </c>
      <c r="I772" s="31" t="s">
        <v>93</v>
      </c>
      <c r="J772" s="31" t="s">
        <v>903</v>
      </c>
      <c r="K772" s="31" t="s">
        <v>915</v>
      </c>
      <c r="L772" s="31" t="s">
        <v>905</v>
      </c>
      <c r="M772" s="31" t="s">
        <v>3715</v>
      </c>
      <c r="N772" s="31" t="s">
        <v>267</v>
      </c>
      <c r="O772" s="34"/>
      <c r="P772" s="31">
        <v>3.0</v>
      </c>
      <c r="Q772" s="31" t="s">
        <v>307</v>
      </c>
      <c r="R772" s="35">
        <v>34667.0</v>
      </c>
      <c r="S772" s="31" t="s">
        <v>3716</v>
      </c>
      <c r="T772" s="31" t="s">
        <v>854</v>
      </c>
      <c r="U772" s="31" t="s">
        <v>352</v>
      </c>
      <c r="V772" s="31" t="s">
        <v>914</v>
      </c>
      <c r="W772" s="34"/>
    </row>
    <row r="773">
      <c r="A773" s="30">
        <v>768.0</v>
      </c>
      <c r="B773" s="31" t="s">
        <v>3717</v>
      </c>
      <c r="C773" s="31" t="s">
        <v>3718</v>
      </c>
      <c r="D773" s="31" t="s">
        <v>978</v>
      </c>
      <c r="E773" s="31" t="s">
        <v>902</v>
      </c>
      <c r="F773" s="32">
        <v>43133.0</v>
      </c>
      <c r="G773" s="32">
        <v>43192.0</v>
      </c>
      <c r="H773" s="31" t="s">
        <v>346</v>
      </c>
      <c r="I773" s="31" t="s">
        <v>93</v>
      </c>
      <c r="J773" s="31" t="s">
        <v>903</v>
      </c>
      <c r="K773" s="31" t="s">
        <v>904</v>
      </c>
      <c r="L773" s="31" t="s">
        <v>3719</v>
      </c>
      <c r="M773" s="31" t="s">
        <v>3720</v>
      </c>
      <c r="N773" s="31" t="s">
        <v>467</v>
      </c>
      <c r="O773" s="31">
        <v>2.0</v>
      </c>
      <c r="P773" s="31">
        <v>1.0</v>
      </c>
      <c r="Q773" s="31" t="s">
        <v>307</v>
      </c>
      <c r="R773" s="32">
        <v>34374.0</v>
      </c>
      <c r="S773" s="31" t="s">
        <v>560</v>
      </c>
      <c r="T773" s="31" t="s">
        <v>503</v>
      </c>
      <c r="U773" s="31" t="s">
        <v>352</v>
      </c>
      <c r="V773" s="31" t="s">
        <v>902</v>
      </c>
      <c r="W773" s="34"/>
    </row>
    <row r="774">
      <c r="A774" s="30">
        <v>769.0</v>
      </c>
      <c r="B774" s="31" t="s">
        <v>3721</v>
      </c>
      <c r="C774" s="31" t="s">
        <v>3722</v>
      </c>
      <c r="D774" s="31" t="s">
        <v>978</v>
      </c>
      <c r="E774" s="31" t="s">
        <v>747</v>
      </c>
      <c r="F774" s="32">
        <v>43684.0</v>
      </c>
      <c r="G774" s="32">
        <v>43745.0</v>
      </c>
      <c r="H774" s="31" t="s">
        <v>346</v>
      </c>
      <c r="I774" s="31" t="s">
        <v>263</v>
      </c>
      <c r="J774" s="31" t="s">
        <v>747</v>
      </c>
      <c r="K774" s="31" t="s">
        <v>748</v>
      </c>
      <c r="L774" s="31" t="s">
        <v>1695</v>
      </c>
      <c r="M774" s="31" t="s">
        <v>3723</v>
      </c>
      <c r="N774" s="31" t="s">
        <v>467</v>
      </c>
      <c r="O774" s="31">
        <v>2.0</v>
      </c>
      <c r="P774" s="31">
        <v>2.0</v>
      </c>
      <c r="Q774" s="31" t="s">
        <v>307</v>
      </c>
      <c r="R774" s="32">
        <v>35295.0</v>
      </c>
      <c r="S774" s="31" t="s">
        <v>320</v>
      </c>
      <c r="T774" s="31" t="s">
        <v>503</v>
      </c>
      <c r="U774" s="31" t="s">
        <v>361</v>
      </c>
      <c r="V774" s="34"/>
      <c r="W774" s="34"/>
    </row>
    <row r="775">
      <c r="A775" s="30">
        <v>770.0</v>
      </c>
      <c r="B775" s="31" t="s">
        <v>3724</v>
      </c>
      <c r="C775" s="31" t="s">
        <v>3725</v>
      </c>
      <c r="D775" s="31" t="s">
        <v>260</v>
      </c>
      <c r="E775" s="31" t="s">
        <v>902</v>
      </c>
      <c r="F775" s="32">
        <v>44837.0</v>
      </c>
      <c r="G775" s="32">
        <v>44898.0</v>
      </c>
      <c r="H775" s="31" t="s">
        <v>346</v>
      </c>
      <c r="I775" s="31" t="s">
        <v>93</v>
      </c>
      <c r="J775" s="31" t="s">
        <v>903</v>
      </c>
      <c r="K775" s="31" t="s">
        <v>904</v>
      </c>
      <c r="L775" s="31" t="s">
        <v>905</v>
      </c>
      <c r="M775" s="31" t="s">
        <v>3726</v>
      </c>
      <c r="N775" s="31" t="s">
        <v>467</v>
      </c>
      <c r="O775" s="34"/>
      <c r="P775" s="31">
        <v>1.0</v>
      </c>
      <c r="Q775" s="31" t="s">
        <v>307</v>
      </c>
      <c r="R775" s="32">
        <v>36791.0</v>
      </c>
      <c r="S775" s="31" t="s">
        <v>3727</v>
      </c>
      <c r="T775" s="31" t="s">
        <v>672</v>
      </c>
      <c r="U775" s="31" t="s">
        <v>352</v>
      </c>
      <c r="V775" s="31" t="s">
        <v>902</v>
      </c>
      <c r="W775" s="34"/>
    </row>
    <row r="776">
      <c r="A776" s="30">
        <v>771.0</v>
      </c>
      <c r="B776" s="31" t="s">
        <v>3728</v>
      </c>
      <c r="C776" s="31" t="s">
        <v>3729</v>
      </c>
      <c r="D776" s="31" t="s">
        <v>364</v>
      </c>
      <c r="E776" s="31" t="s">
        <v>365</v>
      </c>
      <c r="F776" s="32">
        <v>44786.0</v>
      </c>
      <c r="G776" s="35">
        <v>44847.0</v>
      </c>
      <c r="H776" s="31" t="s">
        <v>346</v>
      </c>
      <c r="I776" s="31" t="s">
        <v>93</v>
      </c>
      <c r="J776" s="31" t="s">
        <v>366</v>
      </c>
      <c r="K776" s="31" t="s">
        <v>367</v>
      </c>
      <c r="L776" s="31" t="s">
        <v>368</v>
      </c>
      <c r="M776" s="31" t="s">
        <v>3730</v>
      </c>
      <c r="N776" s="31" t="s">
        <v>267</v>
      </c>
      <c r="O776" s="34"/>
      <c r="P776" s="31">
        <v>3.0</v>
      </c>
      <c r="Q776" s="31" t="s">
        <v>307</v>
      </c>
      <c r="R776" s="35">
        <v>36810.0</v>
      </c>
      <c r="S776" s="31" t="s">
        <v>2946</v>
      </c>
      <c r="T776" s="31" t="s">
        <v>383</v>
      </c>
      <c r="U776" s="31" t="s">
        <v>352</v>
      </c>
      <c r="V776" s="31" t="s">
        <v>365</v>
      </c>
      <c r="W776" s="34"/>
    </row>
    <row r="777">
      <c r="A777" s="30">
        <v>772.0</v>
      </c>
      <c r="B777" s="31" t="s">
        <v>3731</v>
      </c>
      <c r="C777" s="31" t="s">
        <v>3732</v>
      </c>
      <c r="D777" s="31" t="s">
        <v>260</v>
      </c>
      <c r="E777" s="31" t="s">
        <v>902</v>
      </c>
      <c r="F777" s="32">
        <v>44770.0</v>
      </c>
      <c r="G777" s="32">
        <v>44832.0</v>
      </c>
      <c r="H777" s="31" t="s">
        <v>346</v>
      </c>
      <c r="I777" s="31" t="s">
        <v>93</v>
      </c>
      <c r="J777" s="31" t="s">
        <v>903</v>
      </c>
      <c r="K777" s="31" t="s">
        <v>904</v>
      </c>
      <c r="L777" s="31" t="s">
        <v>905</v>
      </c>
      <c r="M777" s="31" t="s">
        <v>3733</v>
      </c>
      <c r="N777" s="31" t="s">
        <v>467</v>
      </c>
      <c r="O777" s="34"/>
      <c r="P777" s="31">
        <v>1.0</v>
      </c>
      <c r="Q777" s="31" t="s">
        <v>307</v>
      </c>
      <c r="R777" s="32">
        <v>34549.0</v>
      </c>
      <c r="S777" s="31" t="s">
        <v>531</v>
      </c>
      <c r="T777" s="31" t="s">
        <v>686</v>
      </c>
      <c r="U777" s="31" t="s">
        <v>352</v>
      </c>
      <c r="V777" s="31" t="s">
        <v>902</v>
      </c>
      <c r="W777" s="34"/>
    </row>
    <row r="778">
      <c r="A778" s="30">
        <v>773.0</v>
      </c>
      <c r="B778" s="31" t="s">
        <v>3734</v>
      </c>
      <c r="C778" s="31" t="s">
        <v>3735</v>
      </c>
      <c r="D778" s="31" t="s">
        <v>260</v>
      </c>
      <c r="E778" s="31" t="s">
        <v>914</v>
      </c>
      <c r="F778" s="32">
        <v>44749.0</v>
      </c>
      <c r="G778" s="32">
        <v>44811.0</v>
      </c>
      <c r="H778" s="31" t="s">
        <v>346</v>
      </c>
      <c r="I778" s="31" t="s">
        <v>93</v>
      </c>
      <c r="J778" s="31" t="s">
        <v>903</v>
      </c>
      <c r="K778" s="31" t="s">
        <v>915</v>
      </c>
      <c r="L778" s="31" t="s">
        <v>905</v>
      </c>
      <c r="M778" s="31" t="s">
        <v>3736</v>
      </c>
      <c r="N778" s="31" t="s">
        <v>267</v>
      </c>
      <c r="O778" s="34"/>
      <c r="P778" s="31">
        <v>2.0</v>
      </c>
      <c r="Q778" s="31" t="s">
        <v>307</v>
      </c>
      <c r="R778" s="32">
        <v>36798.0</v>
      </c>
      <c r="S778" s="31" t="s">
        <v>955</v>
      </c>
      <c r="T778" s="31" t="s">
        <v>654</v>
      </c>
      <c r="U778" s="31" t="s">
        <v>352</v>
      </c>
      <c r="V778" s="31" t="s">
        <v>914</v>
      </c>
      <c r="W778" s="34"/>
    </row>
    <row r="779">
      <c r="A779" s="30">
        <v>774.0</v>
      </c>
      <c r="B779" s="31" t="s">
        <v>3737</v>
      </c>
      <c r="C779" s="31" t="s">
        <v>3738</v>
      </c>
      <c r="D779" s="31" t="s">
        <v>260</v>
      </c>
      <c r="E779" s="31" t="s">
        <v>1260</v>
      </c>
      <c r="F779" s="32">
        <v>44728.0</v>
      </c>
      <c r="G779" s="32">
        <v>44789.0</v>
      </c>
      <c r="H779" s="31" t="s">
        <v>346</v>
      </c>
      <c r="I779" s="31" t="s">
        <v>112</v>
      </c>
      <c r="J779" s="31" t="s">
        <v>1260</v>
      </c>
      <c r="K779" s="31" t="s">
        <v>1261</v>
      </c>
      <c r="L779" s="31" t="s">
        <v>392</v>
      </c>
      <c r="M779" s="31" t="s">
        <v>3739</v>
      </c>
      <c r="N779" s="31" t="s">
        <v>267</v>
      </c>
      <c r="O779" s="34"/>
      <c r="P779" s="31">
        <v>4.0</v>
      </c>
      <c r="Q779" s="31" t="s">
        <v>307</v>
      </c>
      <c r="R779" s="35">
        <v>36443.0</v>
      </c>
      <c r="S779" s="31" t="s">
        <v>3740</v>
      </c>
      <c r="T779" s="31" t="s">
        <v>503</v>
      </c>
      <c r="U779" s="31" t="s">
        <v>361</v>
      </c>
      <c r="V779" s="34"/>
      <c r="W779" s="34"/>
    </row>
    <row r="780">
      <c r="A780" s="30">
        <v>775.0</v>
      </c>
      <c r="B780" s="31" t="s">
        <v>3741</v>
      </c>
      <c r="C780" s="31" t="s">
        <v>3742</v>
      </c>
      <c r="D780" s="31" t="s">
        <v>260</v>
      </c>
      <c r="E780" s="31" t="s">
        <v>889</v>
      </c>
      <c r="F780" s="32">
        <v>44687.0</v>
      </c>
      <c r="G780" s="32">
        <v>44748.0</v>
      </c>
      <c r="H780" s="31" t="s">
        <v>346</v>
      </c>
      <c r="I780" s="31" t="s">
        <v>93</v>
      </c>
      <c r="J780" s="31" t="s">
        <v>889</v>
      </c>
      <c r="K780" s="31" t="s">
        <v>890</v>
      </c>
      <c r="L780" s="31" t="s">
        <v>891</v>
      </c>
      <c r="M780" s="31" t="s">
        <v>3743</v>
      </c>
      <c r="N780" s="31" t="s">
        <v>267</v>
      </c>
      <c r="O780" s="34"/>
      <c r="P780" s="31">
        <v>4.0</v>
      </c>
      <c r="Q780" s="31" t="s">
        <v>307</v>
      </c>
      <c r="R780" s="32">
        <v>35697.0</v>
      </c>
      <c r="S780" s="31" t="s">
        <v>3744</v>
      </c>
      <c r="T780" s="31" t="s">
        <v>561</v>
      </c>
      <c r="U780" s="31" t="s">
        <v>352</v>
      </c>
      <c r="V780" s="34"/>
      <c r="W780" s="34"/>
    </row>
    <row r="781">
      <c r="A781" s="30">
        <v>776.0</v>
      </c>
      <c r="B781" s="31" t="s">
        <v>3745</v>
      </c>
      <c r="C781" s="31" t="s">
        <v>3746</v>
      </c>
      <c r="D781" s="31" t="s">
        <v>260</v>
      </c>
      <c r="E781" s="31" t="s">
        <v>902</v>
      </c>
      <c r="F781" s="32">
        <v>44643.0</v>
      </c>
      <c r="G781" s="32">
        <v>44704.0</v>
      </c>
      <c r="H781" s="31" t="s">
        <v>346</v>
      </c>
      <c r="I781" s="31" t="s">
        <v>93</v>
      </c>
      <c r="J781" s="31" t="s">
        <v>903</v>
      </c>
      <c r="K781" s="31" t="s">
        <v>904</v>
      </c>
      <c r="L781" s="31" t="s">
        <v>905</v>
      </c>
      <c r="M781" s="31" t="s">
        <v>3747</v>
      </c>
      <c r="N781" s="31" t="s">
        <v>267</v>
      </c>
      <c r="O781" s="34"/>
      <c r="P781" s="31">
        <v>2.0</v>
      </c>
      <c r="Q781" s="31" t="s">
        <v>307</v>
      </c>
      <c r="R781" s="32">
        <v>35886.0</v>
      </c>
      <c r="S781" s="31" t="s">
        <v>676</v>
      </c>
      <c r="T781" s="31" t="s">
        <v>3748</v>
      </c>
      <c r="U781" s="31" t="s">
        <v>352</v>
      </c>
      <c r="V781" s="31" t="s">
        <v>902</v>
      </c>
      <c r="W781" s="34"/>
    </row>
    <row r="782">
      <c r="A782" s="30">
        <v>777.0</v>
      </c>
      <c r="B782" s="31" t="s">
        <v>3749</v>
      </c>
      <c r="C782" s="31" t="s">
        <v>3750</v>
      </c>
      <c r="D782" s="31" t="s">
        <v>260</v>
      </c>
      <c r="E782" s="31" t="s">
        <v>889</v>
      </c>
      <c r="F782" s="32">
        <v>44572.0</v>
      </c>
      <c r="G782" s="32">
        <v>44631.0</v>
      </c>
      <c r="H782" s="31" t="s">
        <v>346</v>
      </c>
      <c r="I782" s="31" t="s">
        <v>93</v>
      </c>
      <c r="J782" s="31" t="s">
        <v>889</v>
      </c>
      <c r="K782" s="31" t="s">
        <v>890</v>
      </c>
      <c r="L782" s="31" t="s">
        <v>891</v>
      </c>
      <c r="M782" s="31" t="s">
        <v>3751</v>
      </c>
      <c r="N782" s="31" t="s">
        <v>267</v>
      </c>
      <c r="O782" s="34"/>
      <c r="P782" s="31">
        <v>1.0</v>
      </c>
      <c r="Q782" s="31" t="s">
        <v>307</v>
      </c>
      <c r="R782" s="32">
        <v>36726.0</v>
      </c>
      <c r="S782" s="31" t="s">
        <v>700</v>
      </c>
      <c r="T782" s="31" t="s">
        <v>722</v>
      </c>
      <c r="U782" s="31" t="s">
        <v>352</v>
      </c>
      <c r="V782" s="34"/>
      <c r="W782" s="34"/>
    </row>
    <row r="783">
      <c r="A783" s="30">
        <v>778.0</v>
      </c>
      <c r="B783" s="31" t="s">
        <v>3752</v>
      </c>
      <c r="C783" s="31" t="s">
        <v>3753</v>
      </c>
      <c r="D783" s="31" t="s">
        <v>260</v>
      </c>
      <c r="E783" s="31" t="s">
        <v>889</v>
      </c>
      <c r="F783" s="32">
        <v>44572.0</v>
      </c>
      <c r="G783" s="32">
        <v>44631.0</v>
      </c>
      <c r="H783" s="31" t="s">
        <v>346</v>
      </c>
      <c r="I783" s="31" t="s">
        <v>93</v>
      </c>
      <c r="J783" s="31" t="s">
        <v>889</v>
      </c>
      <c r="K783" s="31" t="s">
        <v>890</v>
      </c>
      <c r="L783" s="31" t="s">
        <v>891</v>
      </c>
      <c r="M783" s="31" t="s">
        <v>3754</v>
      </c>
      <c r="N783" s="31" t="s">
        <v>267</v>
      </c>
      <c r="O783" s="34"/>
      <c r="P783" s="31">
        <v>5.0</v>
      </c>
      <c r="Q783" s="31" t="s">
        <v>307</v>
      </c>
      <c r="R783" s="32">
        <v>35496.0</v>
      </c>
      <c r="S783" s="31" t="s">
        <v>320</v>
      </c>
      <c r="T783" s="31" t="s">
        <v>934</v>
      </c>
      <c r="U783" s="31" t="s">
        <v>352</v>
      </c>
      <c r="V783" s="34"/>
      <c r="W783" s="34"/>
    </row>
    <row r="784">
      <c r="A784" s="30">
        <v>779.0</v>
      </c>
      <c r="B784" s="31" t="s">
        <v>3755</v>
      </c>
      <c r="C784" s="31" t="s">
        <v>3756</v>
      </c>
      <c r="D784" s="31" t="s">
        <v>260</v>
      </c>
      <c r="E784" s="31" t="s">
        <v>914</v>
      </c>
      <c r="F784" s="32">
        <v>45112.0</v>
      </c>
      <c r="G784" s="32">
        <v>45172.0</v>
      </c>
      <c r="H784" s="31" t="s">
        <v>346</v>
      </c>
      <c r="I784" s="31" t="s">
        <v>93</v>
      </c>
      <c r="J784" s="31" t="s">
        <v>903</v>
      </c>
      <c r="K784" s="31" t="s">
        <v>915</v>
      </c>
      <c r="L784" s="31" t="s">
        <v>905</v>
      </c>
      <c r="M784" s="31" t="s">
        <v>3757</v>
      </c>
      <c r="N784" s="31" t="s">
        <v>267</v>
      </c>
      <c r="O784" s="34"/>
      <c r="P784" s="31">
        <v>1.0</v>
      </c>
      <c r="Q784" s="31" t="s">
        <v>307</v>
      </c>
      <c r="R784" s="35">
        <v>37600.0</v>
      </c>
      <c r="S784" s="31" t="s">
        <v>2057</v>
      </c>
      <c r="T784" s="31" t="s">
        <v>2721</v>
      </c>
      <c r="U784" s="31" t="s">
        <v>352</v>
      </c>
      <c r="V784" s="31" t="s">
        <v>914</v>
      </c>
      <c r="W784" s="34"/>
    </row>
    <row r="785">
      <c r="A785" s="30">
        <v>780.0</v>
      </c>
      <c r="B785" s="31" t="s">
        <v>3758</v>
      </c>
      <c r="C785" s="31" t="s">
        <v>3759</v>
      </c>
      <c r="D785" s="31" t="s">
        <v>260</v>
      </c>
      <c r="E785" s="31" t="s">
        <v>889</v>
      </c>
      <c r="F785" s="32">
        <v>45112.0</v>
      </c>
      <c r="G785" s="32">
        <v>45172.0</v>
      </c>
      <c r="H785" s="31" t="s">
        <v>346</v>
      </c>
      <c r="I785" s="31" t="s">
        <v>93</v>
      </c>
      <c r="J785" s="31" t="s">
        <v>889</v>
      </c>
      <c r="K785" s="31" t="s">
        <v>890</v>
      </c>
      <c r="L785" s="31" t="s">
        <v>891</v>
      </c>
      <c r="M785" s="31" t="s">
        <v>3760</v>
      </c>
      <c r="N785" s="31" t="s">
        <v>267</v>
      </c>
      <c r="O785" s="34"/>
      <c r="P785" s="31">
        <v>1.0</v>
      </c>
      <c r="Q785" s="31" t="s">
        <v>307</v>
      </c>
      <c r="R785" s="32">
        <v>37135.0</v>
      </c>
      <c r="S785" s="31" t="s">
        <v>804</v>
      </c>
      <c r="T785" s="31" t="s">
        <v>686</v>
      </c>
      <c r="U785" s="31" t="s">
        <v>352</v>
      </c>
      <c r="V785" s="34"/>
      <c r="W785" s="34"/>
    </row>
    <row r="786">
      <c r="A786" s="30">
        <v>781.0</v>
      </c>
      <c r="B786" s="31" t="s">
        <v>3761</v>
      </c>
      <c r="C786" s="31" t="s">
        <v>784</v>
      </c>
      <c r="D786" s="31" t="s">
        <v>260</v>
      </c>
      <c r="E786" s="31" t="s">
        <v>889</v>
      </c>
      <c r="F786" s="32">
        <v>45038.0</v>
      </c>
      <c r="G786" s="32">
        <v>45099.0</v>
      </c>
      <c r="H786" s="31" t="s">
        <v>346</v>
      </c>
      <c r="I786" s="31" t="s">
        <v>93</v>
      </c>
      <c r="J786" s="31" t="s">
        <v>889</v>
      </c>
      <c r="K786" s="31" t="s">
        <v>890</v>
      </c>
      <c r="L786" s="31" t="s">
        <v>891</v>
      </c>
      <c r="M786" s="31" t="s">
        <v>3762</v>
      </c>
      <c r="N786" s="31" t="s">
        <v>467</v>
      </c>
      <c r="O786" s="34"/>
      <c r="P786" s="31">
        <v>1.0</v>
      </c>
      <c r="Q786" s="31" t="s">
        <v>307</v>
      </c>
      <c r="R786" s="32">
        <v>37094.0</v>
      </c>
      <c r="S786" s="31" t="s">
        <v>3763</v>
      </c>
      <c r="T786" s="31" t="s">
        <v>3764</v>
      </c>
      <c r="U786" s="31" t="s">
        <v>352</v>
      </c>
      <c r="V786" s="34"/>
      <c r="W786" s="34"/>
    </row>
    <row r="787">
      <c r="A787" s="30">
        <v>782.0</v>
      </c>
      <c r="B787" s="31" t="s">
        <v>3765</v>
      </c>
      <c r="C787" s="31" t="s">
        <v>3766</v>
      </c>
      <c r="D787" s="31" t="s">
        <v>260</v>
      </c>
      <c r="E787" s="31" t="s">
        <v>889</v>
      </c>
      <c r="F787" s="32">
        <v>45000.0</v>
      </c>
      <c r="G787" s="32">
        <v>45061.0</v>
      </c>
      <c r="H787" s="31" t="s">
        <v>346</v>
      </c>
      <c r="I787" s="31" t="s">
        <v>93</v>
      </c>
      <c r="J787" s="31" t="s">
        <v>889</v>
      </c>
      <c r="K787" s="31" t="s">
        <v>890</v>
      </c>
      <c r="L787" s="31" t="s">
        <v>891</v>
      </c>
      <c r="M787" s="31" t="s">
        <v>3767</v>
      </c>
      <c r="N787" s="31" t="s">
        <v>267</v>
      </c>
      <c r="O787" s="34"/>
      <c r="P787" s="31">
        <v>1.0</v>
      </c>
      <c r="Q787" s="31" t="s">
        <v>307</v>
      </c>
      <c r="R787" s="32">
        <v>37104.0</v>
      </c>
      <c r="S787" s="31" t="s">
        <v>320</v>
      </c>
      <c r="T787" s="31" t="s">
        <v>3768</v>
      </c>
      <c r="U787" s="31" t="s">
        <v>352</v>
      </c>
      <c r="V787" s="34"/>
      <c r="W787" s="34"/>
    </row>
    <row r="788">
      <c r="A788" s="30">
        <v>783.0</v>
      </c>
      <c r="B788" s="31" t="s">
        <v>3769</v>
      </c>
      <c r="C788" s="31" t="s">
        <v>3770</v>
      </c>
      <c r="D788" s="31" t="s">
        <v>260</v>
      </c>
      <c r="E788" s="31" t="s">
        <v>1260</v>
      </c>
      <c r="F788" s="32">
        <v>44988.0</v>
      </c>
      <c r="G788" s="32">
        <v>45049.0</v>
      </c>
      <c r="H788" s="31" t="s">
        <v>346</v>
      </c>
      <c r="I788" s="31" t="s">
        <v>112</v>
      </c>
      <c r="J788" s="31" t="s">
        <v>1260</v>
      </c>
      <c r="K788" s="31" t="s">
        <v>1261</v>
      </c>
      <c r="L788" s="31" t="s">
        <v>392</v>
      </c>
      <c r="M788" s="31" t="s">
        <v>3771</v>
      </c>
      <c r="N788" s="31" t="s">
        <v>267</v>
      </c>
      <c r="O788" s="34"/>
      <c r="P788" s="31">
        <v>1.0</v>
      </c>
      <c r="Q788" s="31" t="s">
        <v>307</v>
      </c>
      <c r="R788" s="32">
        <v>37131.0</v>
      </c>
      <c r="S788" s="31" t="s">
        <v>804</v>
      </c>
      <c r="T788" s="31" t="s">
        <v>686</v>
      </c>
      <c r="U788" s="31" t="s">
        <v>361</v>
      </c>
      <c r="V788" s="34"/>
      <c r="W788" s="34"/>
    </row>
    <row r="789">
      <c r="A789" s="30">
        <v>784.0</v>
      </c>
      <c r="B789" s="31" t="s">
        <v>3772</v>
      </c>
      <c r="C789" s="31" t="s">
        <v>3773</v>
      </c>
      <c r="D789" s="31" t="s">
        <v>260</v>
      </c>
      <c r="E789" s="31" t="s">
        <v>547</v>
      </c>
      <c r="F789" s="32">
        <v>44978.0</v>
      </c>
      <c r="G789" s="32">
        <v>45037.0</v>
      </c>
      <c r="H789" s="31" t="s">
        <v>346</v>
      </c>
      <c r="I789" s="31" t="s">
        <v>263</v>
      </c>
      <c r="J789" s="31" t="s">
        <v>356</v>
      </c>
      <c r="K789" s="31" t="s">
        <v>548</v>
      </c>
      <c r="L789" s="31" t="s">
        <v>328</v>
      </c>
      <c r="M789" s="31" t="s">
        <v>3774</v>
      </c>
      <c r="N789" s="31" t="s">
        <v>267</v>
      </c>
      <c r="O789" s="34"/>
      <c r="P789" s="31">
        <v>1.0</v>
      </c>
      <c r="Q789" s="31" t="s">
        <v>307</v>
      </c>
      <c r="R789" s="32">
        <v>36919.0</v>
      </c>
      <c r="S789" s="31" t="s">
        <v>838</v>
      </c>
      <c r="T789" s="31" t="s">
        <v>627</v>
      </c>
      <c r="U789" s="31" t="s">
        <v>361</v>
      </c>
      <c r="V789" s="31" t="s">
        <v>547</v>
      </c>
      <c r="W789" s="34"/>
    </row>
    <row r="790">
      <c r="A790" s="30">
        <v>785.0</v>
      </c>
      <c r="B790" s="31" t="s">
        <v>3775</v>
      </c>
      <c r="C790" s="31" t="s">
        <v>3776</v>
      </c>
      <c r="D790" s="31" t="s">
        <v>765</v>
      </c>
      <c r="E790" s="31" t="s">
        <v>766</v>
      </c>
      <c r="F790" s="32">
        <v>44978.0</v>
      </c>
      <c r="G790" s="32">
        <v>45037.0</v>
      </c>
      <c r="H790" s="31" t="s">
        <v>346</v>
      </c>
      <c r="I790" s="31" t="s">
        <v>263</v>
      </c>
      <c r="J790" s="31" t="s">
        <v>767</v>
      </c>
      <c r="K790" s="31" t="s">
        <v>768</v>
      </c>
      <c r="L790" s="31" t="s">
        <v>769</v>
      </c>
      <c r="M790" s="31" t="s">
        <v>3777</v>
      </c>
      <c r="N790" s="31" t="s">
        <v>267</v>
      </c>
      <c r="O790" s="34"/>
      <c r="P790" s="31">
        <v>1.0</v>
      </c>
      <c r="Q790" s="31" t="s">
        <v>307</v>
      </c>
      <c r="R790" s="32">
        <v>36985.0</v>
      </c>
      <c r="S790" s="31" t="s">
        <v>320</v>
      </c>
      <c r="T790" s="31" t="s">
        <v>3778</v>
      </c>
      <c r="U790" s="31" t="s">
        <v>361</v>
      </c>
      <c r="V790" s="31" t="s">
        <v>766</v>
      </c>
      <c r="W790" s="34"/>
    </row>
    <row r="791">
      <c r="A791" s="30">
        <v>786.0</v>
      </c>
      <c r="B791" s="31" t="s">
        <v>3779</v>
      </c>
      <c r="C791" s="31" t="s">
        <v>3780</v>
      </c>
      <c r="D791" s="31" t="s">
        <v>765</v>
      </c>
      <c r="E791" s="31" t="s">
        <v>766</v>
      </c>
      <c r="F791" s="32">
        <v>44978.0</v>
      </c>
      <c r="G791" s="32">
        <v>45037.0</v>
      </c>
      <c r="H791" s="31" t="s">
        <v>346</v>
      </c>
      <c r="I791" s="31" t="s">
        <v>263</v>
      </c>
      <c r="J791" s="31" t="s">
        <v>767</v>
      </c>
      <c r="K791" s="31" t="s">
        <v>768</v>
      </c>
      <c r="L791" s="31" t="s">
        <v>769</v>
      </c>
      <c r="M791" s="31" t="s">
        <v>3781</v>
      </c>
      <c r="N791" s="31" t="s">
        <v>267</v>
      </c>
      <c r="O791" s="34"/>
      <c r="P791" s="31">
        <v>1.0</v>
      </c>
      <c r="Q791" s="31" t="s">
        <v>307</v>
      </c>
      <c r="R791" s="35">
        <v>37247.0</v>
      </c>
      <c r="S791" s="31" t="s">
        <v>700</v>
      </c>
      <c r="T791" s="31" t="s">
        <v>360</v>
      </c>
      <c r="U791" s="31" t="s">
        <v>361</v>
      </c>
      <c r="V791" s="31" t="s">
        <v>766</v>
      </c>
      <c r="W791" s="34"/>
    </row>
    <row r="792">
      <c r="A792" s="30">
        <v>787.0</v>
      </c>
      <c r="B792" s="31" t="s">
        <v>3782</v>
      </c>
      <c r="C792" s="31" t="s">
        <v>3783</v>
      </c>
      <c r="D792" s="31" t="s">
        <v>260</v>
      </c>
      <c r="E792" s="31" t="s">
        <v>547</v>
      </c>
      <c r="F792" s="32">
        <v>44966.0</v>
      </c>
      <c r="G792" s="32">
        <v>45025.0</v>
      </c>
      <c r="H792" s="31" t="s">
        <v>346</v>
      </c>
      <c r="I792" s="31" t="s">
        <v>263</v>
      </c>
      <c r="J792" s="31" t="s">
        <v>356</v>
      </c>
      <c r="K792" s="31" t="s">
        <v>548</v>
      </c>
      <c r="L792" s="31" t="s">
        <v>328</v>
      </c>
      <c r="M792" s="31" t="s">
        <v>3784</v>
      </c>
      <c r="N792" s="31" t="s">
        <v>267</v>
      </c>
      <c r="O792" s="34"/>
      <c r="P792" s="31">
        <v>1.0</v>
      </c>
      <c r="Q792" s="31" t="s">
        <v>307</v>
      </c>
      <c r="R792" s="32">
        <v>36900.0</v>
      </c>
      <c r="S792" s="31" t="s">
        <v>3785</v>
      </c>
      <c r="T792" s="31" t="s">
        <v>2618</v>
      </c>
      <c r="U792" s="31" t="s">
        <v>361</v>
      </c>
      <c r="V792" s="31" t="s">
        <v>547</v>
      </c>
      <c r="W792" s="34"/>
    </row>
    <row r="793">
      <c r="A793" s="30">
        <v>788.0</v>
      </c>
      <c r="B793" s="31" t="s">
        <v>3786</v>
      </c>
      <c r="C793" s="31" t="s">
        <v>3787</v>
      </c>
      <c r="D793" s="31" t="s">
        <v>260</v>
      </c>
      <c r="E793" s="31" t="s">
        <v>914</v>
      </c>
      <c r="F793" s="35">
        <v>44918.0</v>
      </c>
      <c r="G793" s="32">
        <v>44980.0</v>
      </c>
      <c r="H793" s="31" t="s">
        <v>346</v>
      </c>
      <c r="I793" s="31" t="s">
        <v>93</v>
      </c>
      <c r="J793" s="31" t="s">
        <v>903</v>
      </c>
      <c r="K793" s="31" t="s">
        <v>915</v>
      </c>
      <c r="L793" s="31" t="s">
        <v>905</v>
      </c>
      <c r="M793" s="31" t="s">
        <v>3788</v>
      </c>
      <c r="N793" s="31" t="s">
        <v>267</v>
      </c>
      <c r="O793" s="34"/>
      <c r="P793" s="31">
        <v>1.0</v>
      </c>
      <c r="Q793" s="31" t="s">
        <v>307</v>
      </c>
      <c r="R793" s="32">
        <v>37204.0</v>
      </c>
      <c r="S793" s="31" t="s">
        <v>3789</v>
      </c>
      <c r="T793" s="31" t="s">
        <v>3790</v>
      </c>
      <c r="U793" s="31" t="s">
        <v>352</v>
      </c>
      <c r="V793" s="31" t="s">
        <v>914</v>
      </c>
      <c r="W793" s="34"/>
    </row>
    <row r="794">
      <c r="A794" s="30">
        <v>789.0</v>
      </c>
      <c r="B794" s="31" t="s">
        <v>3791</v>
      </c>
      <c r="C794" s="31" t="s">
        <v>3792</v>
      </c>
      <c r="D794" s="31" t="s">
        <v>260</v>
      </c>
      <c r="E794" s="31" t="s">
        <v>902</v>
      </c>
      <c r="F794" s="32">
        <v>45156.0</v>
      </c>
      <c r="G794" s="35">
        <v>45216.0</v>
      </c>
      <c r="H794" s="31" t="s">
        <v>346</v>
      </c>
      <c r="I794" s="31" t="s">
        <v>93</v>
      </c>
      <c r="J794" s="31" t="s">
        <v>903</v>
      </c>
      <c r="K794" s="31" t="s">
        <v>904</v>
      </c>
      <c r="L794" s="31" t="s">
        <v>905</v>
      </c>
      <c r="M794" s="31" t="s">
        <v>3793</v>
      </c>
      <c r="N794" s="31" t="s">
        <v>467</v>
      </c>
      <c r="O794" s="34"/>
      <c r="P794" s="31">
        <v>1.0</v>
      </c>
      <c r="Q794" s="31" t="s">
        <v>307</v>
      </c>
      <c r="R794" s="32">
        <v>36674.0</v>
      </c>
      <c r="S794" s="31" t="s">
        <v>3794</v>
      </c>
      <c r="T794" s="31" t="s">
        <v>3795</v>
      </c>
      <c r="U794" s="31" t="s">
        <v>352</v>
      </c>
      <c r="V794" s="31" t="s">
        <v>902</v>
      </c>
      <c r="W794" s="34"/>
    </row>
    <row r="795">
      <c r="A795" s="30">
        <v>790.0</v>
      </c>
      <c r="B795" s="31" t="s">
        <v>3796</v>
      </c>
      <c r="C795" s="31" t="s">
        <v>3797</v>
      </c>
      <c r="D795" s="31" t="s">
        <v>260</v>
      </c>
      <c r="E795" s="31" t="s">
        <v>130</v>
      </c>
      <c r="F795" s="32">
        <v>45132.0</v>
      </c>
      <c r="G795" s="32">
        <v>45192.0</v>
      </c>
      <c r="H795" s="31" t="s">
        <v>346</v>
      </c>
      <c r="I795" s="31" t="s">
        <v>263</v>
      </c>
      <c r="J795" s="31" t="s">
        <v>130</v>
      </c>
      <c r="K795" s="31" t="s">
        <v>410</v>
      </c>
      <c r="L795" s="31" t="s">
        <v>265</v>
      </c>
      <c r="M795" s="31" t="s">
        <v>3798</v>
      </c>
      <c r="N795" s="31" t="s">
        <v>267</v>
      </c>
      <c r="O795" s="34"/>
      <c r="P795" s="31">
        <v>1.0</v>
      </c>
      <c r="Q795" s="31" t="s">
        <v>307</v>
      </c>
      <c r="R795" s="32">
        <v>37032.0</v>
      </c>
      <c r="S795" s="31" t="s">
        <v>3799</v>
      </c>
      <c r="T795" s="31" t="s">
        <v>3800</v>
      </c>
      <c r="U795" s="31" t="s">
        <v>361</v>
      </c>
      <c r="V795" s="34"/>
      <c r="W795" s="34"/>
    </row>
    <row r="796">
      <c r="A796" s="30">
        <v>791.0</v>
      </c>
      <c r="B796" s="31" t="s">
        <v>3801</v>
      </c>
      <c r="C796" s="31" t="s">
        <v>3802</v>
      </c>
      <c r="D796" s="31" t="s">
        <v>260</v>
      </c>
      <c r="E796" s="31" t="s">
        <v>1130</v>
      </c>
      <c r="F796" s="32">
        <v>42597.0</v>
      </c>
      <c r="G796" s="35">
        <v>42659.0</v>
      </c>
      <c r="H796" s="31" t="s">
        <v>346</v>
      </c>
      <c r="I796" s="31" t="s">
        <v>112</v>
      </c>
      <c r="J796" s="31" t="s">
        <v>1130</v>
      </c>
      <c r="K796" s="31" t="s">
        <v>1131</v>
      </c>
      <c r="L796" s="31" t="s">
        <v>392</v>
      </c>
      <c r="M796" s="31" t="s">
        <v>3803</v>
      </c>
      <c r="N796" s="31" t="s">
        <v>267</v>
      </c>
      <c r="O796" s="34"/>
      <c r="P796" s="31">
        <v>7.0</v>
      </c>
      <c r="Q796" s="31" t="s">
        <v>307</v>
      </c>
      <c r="R796" s="32">
        <v>33843.0</v>
      </c>
      <c r="S796" s="31" t="s">
        <v>320</v>
      </c>
      <c r="T796" s="31" t="s">
        <v>1242</v>
      </c>
      <c r="U796" s="31" t="s">
        <v>361</v>
      </c>
      <c r="V796" s="34"/>
      <c r="W796" s="34"/>
    </row>
    <row r="797">
      <c r="A797" s="30">
        <v>792.0</v>
      </c>
      <c r="B797" s="31" t="s">
        <v>3804</v>
      </c>
      <c r="C797" s="31" t="s">
        <v>3805</v>
      </c>
      <c r="D797" s="31" t="s">
        <v>260</v>
      </c>
      <c r="E797" s="31" t="s">
        <v>390</v>
      </c>
      <c r="F797" s="32">
        <v>44245.0</v>
      </c>
      <c r="G797" s="32">
        <v>44304.0</v>
      </c>
      <c r="H797" s="31" t="s">
        <v>346</v>
      </c>
      <c r="I797" s="31" t="s">
        <v>112</v>
      </c>
      <c r="J797" s="31" t="s">
        <v>390</v>
      </c>
      <c r="K797" s="31" t="s">
        <v>391</v>
      </c>
      <c r="L797" s="31" t="s">
        <v>392</v>
      </c>
      <c r="M797" s="31" t="s">
        <v>3806</v>
      </c>
      <c r="N797" s="31" t="s">
        <v>267</v>
      </c>
      <c r="O797" s="34"/>
      <c r="P797" s="31">
        <v>2.0</v>
      </c>
      <c r="Q797" s="31" t="s">
        <v>307</v>
      </c>
      <c r="R797" s="32">
        <v>36382.0</v>
      </c>
      <c r="S797" s="31" t="s">
        <v>531</v>
      </c>
      <c r="T797" s="31" t="s">
        <v>503</v>
      </c>
      <c r="U797" s="31" t="s">
        <v>361</v>
      </c>
      <c r="V797" s="34"/>
      <c r="W797" s="34"/>
    </row>
    <row r="798">
      <c r="A798" s="30">
        <v>793.0</v>
      </c>
      <c r="B798" s="31" t="s">
        <v>3807</v>
      </c>
      <c r="C798" s="31" t="s">
        <v>3808</v>
      </c>
      <c r="D798" s="31" t="s">
        <v>260</v>
      </c>
      <c r="E798" s="31" t="s">
        <v>390</v>
      </c>
      <c r="F798" s="32">
        <v>42976.0</v>
      </c>
      <c r="G798" s="35">
        <v>43037.0</v>
      </c>
      <c r="H798" s="31" t="s">
        <v>346</v>
      </c>
      <c r="I798" s="31" t="s">
        <v>112</v>
      </c>
      <c r="J798" s="31" t="s">
        <v>390</v>
      </c>
      <c r="K798" s="31" t="s">
        <v>391</v>
      </c>
      <c r="L798" s="31" t="s">
        <v>392</v>
      </c>
      <c r="M798" s="31" t="s">
        <v>3809</v>
      </c>
      <c r="N798" s="31" t="s">
        <v>467</v>
      </c>
      <c r="O798" s="34"/>
      <c r="P798" s="31">
        <v>3.0</v>
      </c>
      <c r="Q798" s="31" t="s">
        <v>307</v>
      </c>
      <c r="R798" s="32">
        <v>34966.0</v>
      </c>
      <c r="S798" s="31" t="s">
        <v>3810</v>
      </c>
      <c r="T798" s="31" t="s">
        <v>1292</v>
      </c>
      <c r="U798" s="31" t="s">
        <v>361</v>
      </c>
      <c r="V798" s="34"/>
      <c r="W798" s="34"/>
    </row>
    <row r="799">
      <c r="A799" s="30">
        <v>794.0</v>
      </c>
      <c r="B799" s="31" t="s">
        <v>3811</v>
      </c>
      <c r="C799" s="31" t="s">
        <v>3812</v>
      </c>
      <c r="D799" s="31" t="s">
        <v>2377</v>
      </c>
      <c r="E799" s="31" t="s">
        <v>1209</v>
      </c>
      <c r="F799" s="32">
        <v>40771.0</v>
      </c>
      <c r="G799" s="32">
        <v>40848.0</v>
      </c>
      <c r="H799" s="31" t="s">
        <v>346</v>
      </c>
      <c r="I799" s="31" t="s">
        <v>1209</v>
      </c>
      <c r="J799" s="34"/>
      <c r="K799" s="31" t="s">
        <v>1210</v>
      </c>
      <c r="L799" s="31" t="s">
        <v>2378</v>
      </c>
      <c r="M799" s="31" t="s">
        <v>3813</v>
      </c>
      <c r="N799" s="31" t="s">
        <v>267</v>
      </c>
      <c r="O799" s="31">
        <v>2.0</v>
      </c>
      <c r="P799" s="31">
        <v>8.0</v>
      </c>
      <c r="Q799" s="31" t="s">
        <v>307</v>
      </c>
      <c r="R799" s="32">
        <v>32601.0</v>
      </c>
      <c r="S799" s="31" t="s">
        <v>838</v>
      </c>
      <c r="T799" s="31" t="s">
        <v>459</v>
      </c>
      <c r="U799" s="31" t="s">
        <v>352</v>
      </c>
      <c r="V799" s="34"/>
      <c r="W799" s="34"/>
    </row>
    <row r="800">
      <c r="A800" s="30">
        <v>795.0</v>
      </c>
      <c r="B800" s="31" t="s">
        <v>3814</v>
      </c>
      <c r="C800" s="31" t="s">
        <v>3815</v>
      </c>
      <c r="D800" s="31" t="s">
        <v>260</v>
      </c>
      <c r="E800" s="31" t="s">
        <v>1130</v>
      </c>
      <c r="F800" s="32">
        <v>42924.0</v>
      </c>
      <c r="G800" s="32">
        <v>42986.0</v>
      </c>
      <c r="H800" s="31" t="s">
        <v>346</v>
      </c>
      <c r="I800" s="31" t="s">
        <v>112</v>
      </c>
      <c r="J800" s="31" t="s">
        <v>1130</v>
      </c>
      <c r="K800" s="31" t="s">
        <v>1131</v>
      </c>
      <c r="L800" s="31" t="s">
        <v>392</v>
      </c>
      <c r="M800" s="31" t="s">
        <v>3816</v>
      </c>
      <c r="N800" s="31" t="s">
        <v>267</v>
      </c>
      <c r="O800" s="34"/>
      <c r="P800" s="31">
        <v>6.0</v>
      </c>
      <c r="Q800" s="31" t="s">
        <v>307</v>
      </c>
      <c r="R800" s="32">
        <v>34583.0</v>
      </c>
      <c r="S800" s="31" t="s">
        <v>531</v>
      </c>
      <c r="T800" s="31" t="s">
        <v>1428</v>
      </c>
      <c r="U800" s="31" t="s">
        <v>361</v>
      </c>
      <c r="V800" s="34"/>
      <c r="W800" s="34"/>
    </row>
    <row r="801">
      <c r="A801" s="30">
        <v>796.0</v>
      </c>
      <c r="B801" s="31" t="s">
        <v>3817</v>
      </c>
      <c r="C801" s="31" t="s">
        <v>817</v>
      </c>
      <c r="D801" s="31" t="s">
        <v>260</v>
      </c>
      <c r="E801" s="31" t="s">
        <v>1139</v>
      </c>
      <c r="F801" s="32">
        <v>42772.0</v>
      </c>
      <c r="G801" s="32">
        <v>42831.0</v>
      </c>
      <c r="H801" s="31" t="s">
        <v>346</v>
      </c>
      <c r="I801" s="31" t="s">
        <v>112</v>
      </c>
      <c r="J801" s="31" t="s">
        <v>1139</v>
      </c>
      <c r="K801" s="31" t="s">
        <v>1140</v>
      </c>
      <c r="L801" s="31" t="s">
        <v>392</v>
      </c>
      <c r="M801" s="31" t="s">
        <v>3818</v>
      </c>
      <c r="N801" s="31" t="s">
        <v>267</v>
      </c>
      <c r="O801" s="34"/>
      <c r="P801" s="31">
        <v>3.0</v>
      </c>
      <c r="Q801" s="31" t="s">
        <v>307</v>
      </c>
      <c r="R801" s="32">
        <v>33779.0</v>
      </c>
      <c r="S801" s="31" t="s">
        <v>320</v>
      </c>
      <c r="T801" s="31" t="s">
        <v>1428</v>
      </c>
      <c r="U801" s="31" t="s">
        <v>361</v>
      </c>
      <c r="V801" s="34"/>
      <c r="W801" s="34"/>
    </row>
    <row r="802">
      <c r="A802" s="30">
        <v>797.0</v>
      </c>
      <c r="B802" s="31" t="s">
        <v>3819</v>
      </c>
      <c r="C802" s="31" t="s">
        <v>546</v>
      </c>
      <c r="D802" s="31" t="s">
        <v>925</v>
      </c>
      <c r="E802" s="31" t="s">
        <v>3820</v>
      </c>
      <c r="F802" s="32">
        <v>44378.0</v>
      </c>
      <c r="G802" s="32">
        <v>44440.0</v>
      </c>
      <c r="H802" s="31" t="s">
        <v>346</v>
      </c>
      <c r="I802" s="31" t="s">
        <v>275</v>
      </c>
      <c r="J802" s="31" t="s">
        <v>1012</v>
      </c>
      <c r="K802" s="31" t="s">
        <v>3821</v>
      </c>
      <c r="L802" s="31" t="s">
        <v>929</v>
      </c>
      <c r="M802" s="31" t="s">
        <v>3822</v>
      </c>
      <c r="N802" s="31" t="s">
        <v>267</v>
      </c>
      <c r="O802" s="34"/>
      <c r="P802" s="31">
        <v>1.0</v>
      </c>
      <c r="Q802" s="31" t="s">
        <v>307</v>
      </c>
      <c r="R802" s="32">
        <v>36401.0</v>
      </c>
      <c r="S802" s="31" t="s">
        <v>320</v>
      </c>
      <c r="T802" s="31" t="s">
        <v>999</v>
      </c>
      <c r="U802" s="31" t="s">
        <v>352</v>
      </c>
      <c r="V802" s="31" t="s">
        <v>3820</v>
      </c>
      <c r="W802" s="34"/>
    </row>
    <row r="803">
      <c r="A803" s="30">
        <v>798.0</v>
      </c>
      <c r="B803" s="31" t="s">
        <v>3823</v>
      </c>
      <c r="C803" s="31" t="s">
        <v>3824</v>
      </c>
      <c r="D803" s="31" t="s">
        <v>260</v>
      </c>
      <c r="E803" s="31" t="s">
        <v>1139</v>
      </c>
      <c r="F803" s="32">
        <v>43885.0</v>
      </c>
      <c r="G803" s="32">
        <v>43945.0</v>
      </c>
      <c r="H803" s="31" t="s">
        <v>346</v>
      </c>
      <c r="I803" s="31" t="s">
        <v>112</v>
      </c>
      <c r="J803" s="31" t="s">
        <v>1139</v>
      </c>
      <c r="K803" s="31" t="s">
        <v>1140</v>
      </c>
      <c r="L803" s="31" t="s">
        <v>392</v>
      </c>
      <c r="M803" s="31" t="s">
        <v>3825</v>
      </c>
      <c r="N803" s="31" t="s">
        <v>267</v>
      </c>
      <c r="O803" s="34"/>
      <c r="P803" s="31">
        <v>4.0</v>
      </c>
      <c r="Q803" s="31" t="s">
        <v>307</v>
      </c>
      <c r="R803" s="32">
        <v>35939.0</v>
      </c>
      <c r="S803" s="31" t="s">
        <v>320</v>
      </c>
      <c r="T803" s="31" t="s">
        <v>947</v>
      </c>
      <c r="U803" s="31" t="s">
        <v>361</v>
      </c>
      <c r="V803" s="34"/>
      <c r="W803" s="34"/>
    </row>
    <row r="804">
      <c r="A804" s="30">
        <v>799.0</v>
      </c>
      <c r="B804" s="31" t="s">
        <v>3826</v>
      </c>
      <c r="C804" s="31" t="s">
        <v>3827</v>
      </c>
      <c r="D804" s="31" t="s">
        <v>260</v>
      </c>
      <c r="E804" s="31" t="s">
        <v>390</v>
      </c>
      <c r="F804" s="32">
        <v>44013.0</v>
      </c>
      <c r="G804" s="32">
        <v>44075.0</v>
      </c>
      <c r="H804" s="31" t="s">
        <v>346</v>
      </c>
      <c r="I804" s="31" t="s">
        <v>112</v>
      </c>
      <c r="J804" s="31" t="s">
        <v>390</v>
      </c>
      <c r="K804" s="31" t="s">
        <v>391</v>
      </c>
      <c r="L804" s="31" t="s">
        <v>392</v>
      </c>
      <c r="M804" s="31" t="s">
        <v>3828</v>
      </c>
      <c r="N804" s="31" t="s">
        <v>267</v>
      </c>
      <c r="O804" s="34"/>
      <c r="P804" s="31">
        <v>6.0</v>
      </c>
      <c r="Q804" s="31" t="s">
        <v>307</v>
      </c>
      <c r="R804" s="35">
        <v>35429.0</v>
      </c>
      <c r="S804" s="31" t="s">
        <v>955</v>
      </c>
      <c r="T804" s="31" t="s">
        <v>778</v>
      </c>
      <c r="U804" s="31" t="s">
        <v>361</v>
      </c>
      <c r="V804" s="34"/>
      <c r="W804" s="34"/>
    </row>
    <row r="805">
      <c r="A805" s="30">
        <v>800.0</v>
      </c>
      <c r="B805" s="31" t="s">
        <v>3829</v>
      </c>
      <c r="C805" s="31" t="s">
        <v>3830</v>
      </c>
      <c r="D805" s="31" t="s">
        <v>260</v>
      </c>
      <c r="E805" s="31" t="s">
        <v>390</v>
      </c>
      <c r="F805" s="32">
        <v>44274.0</v>
      </c>
      <c r="G805" s="32">
        <v>44335.0</v>
      </c>
      <c r="H805" s="31" t="s">
        <v>346</v>
      </c>
      <c r="I805" s="31" t="s">
        <v>112</v>
      </c>
      <c r="J805" s="31" t="s">
        <v>390</v>
      </c>
      <c r="K805" s="31" t="s">
        <v>391</v>
      </c>
      <c r="L805" s="31" t="s">
        <v>392</v>
      </c>
      <c r="M805" s="31" t="s">
        <v>3831</v>
      </c>
      <c r="N805" s="31" t="s">
        <v>267</v>
      </c>
      <c r="O805" s="34"/>
      <c r="P805" s="31">
        <v>2.0</v>
      </c>
      <c r="Q805" s="31" t="s">
        <v>307</v>
      </c>
      <c r="R805" s="32">
        <v>36299.0</v>
      </c>
      <c r="S805" s="31" t="s">
        <v>320</v>
      </c>
      <c r="T805" s="31" t="s">
        <v>744</v>
      </c>
      <c r="U805" s="31" t="s">
        <v>361</v>
      </c>
      <c r="V805" s="34"/>
      <c r="W805" s="34"/>
    </row>
    <row r="806">
      <c r="A806" s="30">
        <v>801.0</v>
      </c>
      <c r="B806" s="31" t="s">
        <v>3832</v>
      </c>
      <c r="C806" s="31" t="s">
        <v>1256</v>
      </c>
      <c r="D806" s="31" t="s">
        <v>260</v>
      </c>
      <c r="E806" s="31" t="s">
        <v>374</v>
      </c>
      <c r="F806" s="32">
        <v>44217.0</v>
      </c>
      <c r="G806" s="32">
        <v>44276.0</v>
      </c>
      <c r="H806" s="31" t="s">
        <v>346</v>
      </c>
      <c r="I806" s="31" t="s">
        <v>275</v>
      </c>
      <c r="J806" s="31" t="s">
        <v>374</v>
      </c>
      <c r="K806" s="31" t="s">
        <v>375</v>
      </c>
      <c r="L806" s="31" t="s">
        <v>376</v>
      </c>
      <c r="M806" s="31" t="s">
        <v>3833</v>
      </c>
      <c r="N806" s="31" t="s">
        <v>267</v>
      </c>
      <c r="O806" s="34"/>
      <c r="P806" s="31">
        <v>5.0</v>
      </c>
      <c r="Q806" s="31" t="s">
        <v>307</v>
      </c>
      <c r="R806" s="32">
        <v>36228.0</v>
      </c>
      <c r="S806" s="31" t="s">
        <v>526</v>
      </c>
      <c r="T806" s="31" t="s">
        <v>3834</v>
      </c>
      <c r="U806" s="31" t="s">
        <v>352</v>
      </c>
      <c r="V806" s="34"/>
      <c r="W806" s="34"/>
    </row>
    <row r="807">
      <c r="A807" s="30">
        <v>802.0</v>
      </c>
      <c r="B807" s="31" t="s">
        <v>3835</v>
      </c>
      <c r="C807" s="31" t="s">
        <v>3836</v>
      </c>
      <c r="D807" s="31" t="s">
        <v>260</v>
      </c>
      <c r="E807" s="31" t="s">
        <v>1139</v>
      </c>
      <c r="F807" s="35">
        <v>44180.0</v>
      </c>
      <c r="G807" s="32">
        <v>44242.0</v>
      </c>
      <c r="H807" s="31" t="s">
        <v>346</v>
      </c>
      <c r="I807" s="31" t="s">
        <v>112</v>
      </c>
      <c r="J807" s="31" t="s">
        <v>1139</v>
      </c>
      <c r="K807" s="31" t="s">
        <v>1140</v>
      </c>
      <c r="L807" s="31" t="s">
        <v>392</v>
      </c>
      <c r="M807" s="31" t="s">
        <v>3837</v>
      </c>
      <c r="N807" s="31" t="s">
        <v>267</v>
      </c>
      <c r="O807" s="34"/>
      <c r="P807" s="31">
        <v>1.0</v>
      </c>
      <c r="Q807" s="31" t="s">
        <v>307</v>
      </c>
      <c r="R807" s="32">
        <v>36042.0</v>
      </c>
      <c r="S807" s="31" t="s">
        <v>531</v>
      </c>
      <c r="T807" s="31" t="s">
        <v>503</v>
      </c>
      <c r="U807" s="31" t="s">
        <v>361</v>
      </c>
      <c r="V807" s="34"/>
      <c r="W807" s="34"/>
    </row>
    <row r="808">
      <c r="A808" s="30">
        <v>803.0</v>
      </c>
      <c r="B808" s="31" t="s">
        <v>3838</v>
      </c>
      <c r="C808" s="31" t="s">
        <v>3839</v>
      </c>
      <c r="D808" s="31" t="s">
        <v>260</v>
      </c>
      <c r="E808" s="31" t="s">
        <v>390</v>
      </c>
      <c r="F808" s="35">
        <v>43395.0</v>
      </c>
      <c r="G808" s="35">
        <v>43456.0</v>
      </c>
      <c r="H808" s="31" t="s">
        <v>346</v>
      </c>
      <c r="I808" s="31" t="s">
        <v>112</v>
      </c>
      <c r="J808" s="31" t="s">
        <v>390</v>
      </c>
      <c r="K808" s="31" t="s">
        <v>391</v>
      </c>
      <c r="L808" s="31" t="s">
        <v>392</v>
      </c>
      <c r="M808" s="31" t="s">
        <v>3840</v>
      </c>
      <c r="N808" s="31" t="s">
        <v>267</v>
      </c>
      <c r="O808" s="34"/>
      <c r="P808" s="31">
        <v>2.0</v>
      </c>
      <c r="Q808" s="31" t="s">
        <v>307</v>
      </c>
      <c r="R808" s="32">
        <v>34819.0</v>
      </c>
      <c r="S808" s="31" t="s">
        <v>531</v>
      </c>
      <c r="T808" s="31" t="s">
        <v>1242</v>
      </c>
      <c r="U808" s="31" t="s">
        <v>361</v>
      </c>
      <c r="V808" s="34"/>
      <c r="W808" s="34"/>
    </row>
    <row r="809">
      <c r="A809" s="30">
        <v>804.0</v>
      </c>
      <c r="B809" s="31" t="s">
        <v>3841</v>
      </c>
      <c r="C809" s="31" t="s">
        <v>3842</v>
      </c>
      <c r="D809" s="31" t="s">
        <v>260</v>
      </c>
      <c r="E809" s="31" t="s">
        <v>390</v>
      </c>
      <c r="F809" s="32">
        <v>43671.0</v>
      </c>
      <c r="G809" s="32">
        <v>43733.0</v>
      </c>
      <c r="H809" s="31" t="s">
        <v>346</v>
      </c>
      <c r="I809" s="31" t="s">
        <v>112</v>
      </c>
      <c r="J809" s="31" t="s">
        <v>390</v>
      </c>
      <c r="K809" s="31" t="s">
        <v>391</v>
      </c>
      <c r="L809" s="31" t="s">
        <v>392</v>
      </c>
      <c r="M809" s="31" t="s">
        <v>3843</v>
      </c>
      <c r="N809" s="31" t="s">
        <v>267</v>
      </c>
      <c r="O809" s="34"/>
      <c r="P809" s="31">
        <v>7.0</v>
      </c>
      <c r="Q809" s="31" t="s">
        <v>307</v>
      </c>
      <c r="R809" s="35">
        <v>35787.0</v>
      </c>
      <c r="S809" s="31" t="s">
        <v>626</v>
      </c>
      <c r="T809" s="31" t="s">
        <v>757</v>
      </c>
      <c r="U809" s="31" t="s">
        <v>361</v>
      </c>
      <c r="V809" s="34"/>
      <c r="W809" s="34"/>
    </row>
    <row r="810">
      <c r="A810" s="30">
        <v>805.0</v>
      </c>
      <c r="B810" s="31" t="s">
        <v>3844</v>
      </c>
      <c r="C810" s="31" t="s">
        <v>3845</v>
      </c>
      <c r="D810" s="31" t="s">
        <v>260</v>
      </c>
      <c r="E810" s="31" t="s">
        <v>397</v>
      </c>
      <c r="F810" s="35">
        <v>43395.0</v>
      </c>
      <c r="G810" s="35">
        <v>43456.0</v>
      </c>
      <c r="H810" s="31" t="s">
        <v>346</v>
      </c>
      <c r="I810" s="31" t="s">
        <v>112</v>
      </c>
      <c r="J810" s="31" t="s">
        <v>397</v>
      </c>
      <c r="K810" s="31" t="s">
        <v>398</v>
      </c>
      <c r="L810" s="31" t="s">
        <v>392</v>
      </c>
      <c r="M810" s="31" t="s">
        <v>3846</v>
      </c>
      <c r="N810" s="31" t="s">
        <v>267</v>
      </c>
      <c r="O810" s="34"/>
      <c r="P810" s="31">
        <v>7.0</v>
      </c>
      <c r="Q810" s="31" t="s">
        <v>307</v>
      </c>
      <c r="R810" s="32">
        <v>35269.0</v>
      </c>
      <c r="S810" s="31" t="s">
        <v>537</v>
      </c>
      <c r="T810" s="31" t="s">
        <v>778</v>
      </c>
      <c r="U810" s="31" t="s">
        <v>361</v>
      </c>
      <c r="V810" s="34"/>
      <c r="W810" s="34"/>
    </row>
    <row r="811">
      <c r="A811" s="30">
        <v>806.0</v>
      </c>
      <c r="B811" s="31" t="s">
        <v>3847</v>
      </c>
      <c r="C811" s="31" t="s">
        <v>3848</v>
      </c>
      <c r="D811" s="31" t="s">
        <v>260</v>
      </c>
      <c r="E811" s="31" t="s">
        <v>397</v>
      </c>
      <c r="F811" s="32">
        <v>43628.0</v>
      </c>
      <c r="G811" s="32">
        <v>43689.0</v>
      </c>
      <c r="H811" s="31" t="s">
        <v>346</v>
      </c>
      <c r="I811" s="31" t="s">
        <v>112</v>
      </c>
      <c r="J811" s="31" t="s">
        <v>397</v>
      </c>
      <c r="K811" s="31" t="s">
        <v>398</v>
      </c>
      <c r="L811" s="31" t="s">
        <v>392</v>
      </c>
      <c r="M811" s="31" t="s">
        <v>3849</v>
      </c>
      <c r="N811" s="31" t="s">
        <v>267</v>
      </c>
      <c r="O811" s="34"/>
      <c r="P811" s="31">
        <v>5.0</v>
      </c>
      <c r="Q811" s="31" t="s">
        <v>307</v>
      </c>
      <c r="R811" s="32">
        <v>35484.0</v>
      </c>
      <c r="S811" s="31" t="s">
        <v>3850</v>
      </c>
      <c r="T811" s="31" t="s">
        <v>3851</v>
      </c>
      <c r="U811" s="31" t="s">
        <v>361</v>
      </c>
      <c r="V811" s="34"/>
      <c r="W811" s="34"/>
    </row>
    <row r="812">
      <c r="A812" s="30">
        <v>807.0</v>
      </c>
      <c r="B812" s="31" t="s">
        <v>3852</v>
      </c>
      <c r="C812" s="31" t="s">
        <v>3853</v>
      </c>
      <c r="D812" s="31" t="s">
        <v>978</v>
      </c>
      <c r="E812" s="31" t="s">
        <v>274</v>
      </c>
      <c r="F812" s="32">
        <v>42625.0</v>
      </c>
      <c r="G812" s="35">
        <v>42687.0</v>
      </c>
      <c r="H812" s="31" t="s">
        <v>346</v>
      </c>
      <c r="I812" s="31" t="s">
        <v>275</v>
      </c>
      <c r="J812" s="31" t="s">
        <v>274</v>
      </c>
      <c r="K812" s="31" t="s">
        <v>424</v>
      </c>
      <c r="L812" s="31" t="s">
        <v>2215</v>
      </c>
      <c r="M812" s="31" t="s">
        <v>3854</v>
      </c>
      <c r="N812" s="31" t="s">
        <v>267</v>
      </c>
      <c r="O812" s="31">
        <v>2.0</v>
      </c>
      <c r="P812" s="31">
        <v>1.0</v>
      </c>
      <c r="Q812" s="31" t="s">
        <v>307</v>
      </c>
      <c r="R812" s="32">
        <v>34182.0</v>
      </c>
      <c r="S812" s="31" t="s">
        <v>1085</v>
      </c>
      <c r="T812" s="31" t="s">
        <v>686</v>
      </c>
      <c r="U812" s="31" t="s">
        <v>352</v>
      </c>
      <c r="V812" s="34"/>
      <c r="W812" s="34"/>
    </row>
    <row r="813">
      <c r="A813" s="30">
        <v>808.0</v>
      </c>
      <c r="B813" s="31" t="s">
        <v>3855</v>
      </c>
      <c r="C813" s="31" t="s">
        <v>3856</v>
      </c>
      <c r="D813" s="31" t="s">
        <v>260</v>
      </c>
      <c r="E813" s="31" t="s">
        <v>1139</v>
      </c>
      <c r="F813" s="32">
        <v>44245.0</v>
      </c>
      <c r="G813" s="32">
        <v>44304.0</v>
      </c>
      <c r="H813" s="31" t="s">
        <v>346</v>
      </c>
      <c r="I813" s="31" t="s">
        <v>112</v>
      </c>
      <c r="J813" s="31" t="s">
        <v>1139</v>
      </c>
      <c r="K813" s="31" t="s">
        <v>1140</v>
      </c>
      <c r="L813" s="31" t="s">
        <v>392</v>
      </c>
      <c r="M813" s="31" t="s">
        <v>3857</v>
      </c>
      <c r="N813" s="31" t="s">
        <v>267</v>
      </c>
      <c r="O813" s="34"/>
      <c r="P813" s="31">
        <v>3.0</v>
      </c>
      <c r="Q813" s="31" t="s">
        <v>307</v>
      </c>
      <c r="R813" s="32">
        <v>36416.0</v>
      </c>
      <c r="S813" s="31" t="s">
        <v>320</v>
      </c>
      <c r="T813" s="31" t="s">
        <v>744</v>
      </c>
      <c r="U813" s="31" t="s">
        <v>361</v>
      </c>
      <c r="V813" s="34"/>
      <c r="W813" s="34"/>
    </row>
    <row r="814">
      <c r="A814" s="30">
        <v>809.0</v>
      </c>
      <c r="B814" s="31" t="s">
        <v>3858</v>
      </c>
      <c r="C814" s="31" t="s">
        <v>3859</v>
      </c>
      <c r="D814" s="31" t="s">
        <v>978</v>
      </c>
      <c r="E814" s="31" t="s">
        <v>1260</v>
      </c>
      <c r="F814" s="32">
        <v>42109.0</v>
      </c>
      <c r="G814" s="32">
        <v>42171.0</v>
      </c>
      <c r="H814" s="31" t="s">
        <v>346</v>
      </c>
      <c r="I814" s="31" t="s">
        <v>112</v>
      </c>
      <c r="J814" s="31" t="s">
        <v>1260</v>
      </c>
      <c r="K814" s="31" t="s">
        <v>1261</v>
      </c>
      <c r="L814" s="31" t="s">
        <v>1171</v>
      </c>
      <c r="M814" s="31" t="s">
        <v>3860</v>
      </c>
      <c r="N814" s="31" t="s">
        <v>267</v>
      </c>
      <c r="O814" s="31">
        <v>2.0</v>
      </c>
      <c r="P814" s="31">
        <v>2.0</v>
      </c>
      <c r="Q814" s="31" t="s">
        <v>307</v>
      </c>
      <c r="R814" s="32">
        <v>32668.0</v>
      </c>
      <c r="S814" s="31" t="s">
        <v>531</v>
      </c>
      <c r="T814" s="31" t="s">
        <v>3861</v>
      </c>
      <c r="U814" s="31" t="s">
        <v>361</v>
      </c>
      <c r="V814" s="34"/>
      <c r="W814" s="34"/>
    </row>
    <row r="815">
      <c r="A815" s="30">
        <v>810.0</v>
      </c>
      <c r="B815" s="31" t="s">
        <v>3862</v>
      </c>
      <c r="C815" s="31" t="s">
        <v>3863</v>
      </c>
      <c r="D815" s="31" t="s">
        <v>260</v>
      </c>
      <c r="E815" s="31" t="s">
        <v>390</v>
      </c>
      <c r="F815" s="32">
        <v>44637.0</v>
      </c>
      <c r="G815" s="32">
        <v>44698.0</v>
      </c>
      <c r="H815" s="31" t="s">
        <v>346</v>
      </c>
      <c r="I815" s="31" t="s">
        <v>112</v>
      </c>
      <c r="J815" s="31" t="s">
        <v>390</v>
      </c>
      <c r="K815" s="31" t="s">
        <v>391</v>
      </c>
      <c r="L815" s="31" t="s">
        <v>392</v>
      </c>
      <c r="M815" s="31" t="s">
        <v>3864</v>
      </c>
      <c r="N815" s="31" t="s">
        <v>267</v>
      </c>
      <c r="O815" s="34"/>
      <c r="P815" s="31">
        <v>2.0</v>
      </c>
      <c r="Q815" s="31" t="s">
        <v>307</v>
      </c>
      <c r="R815" s="32">
        <v>36692.0</v>
      </c>
      <c r="S815" s="31" t="s">
        <v>320</v>
      </c>
      <c r="T815" s="31" t="s">
        <v>1156</v>
      </c>
      <c r="U815" s="31" t="s">
        <v>361</v>
      </c>
      <c r="V815" s="34"/>
      <c r="W815" s="34"/>
    </row>
    <row r="816">
      <c r="A816" s="30">
        <v>811.0</v>
      </c>
      <c r="B816" s="31" t="s">
        <v>3865</v>
      </c>
      <c r="C816" s="31" t="s">
        <v>3866</v>
      </c>
      <c r="D816" s="31" t="s">
        <v>260</v>
      </c>
      <c r="E816" s="31" t="s">
        <v>390</v>
      </c>
      <c r="F816" s="32">
        <v>44629.0</v>
      </c>
      <c r="G816" s="32">
        <v>44690.0</v>
      </c>
      <c r="H816" s="31" t="s">
        <v>346</v>
      </c>
      <c r="I816" s="31" t="s">
        <v>112</v>
      </c>
      <c r="J816" s="31" t="s">
        <v>390</v>
      </c>
      <c r="K816" s="31" t="s">
        <v>391</v>
      </c>
      <c r="L816" s="31" t="s">
        <v>392</v>
      </c>
      <c r="M816" s="31" t="s">
        <v>3867</v>
      </c>
      <c r="N816" s="31" t="s">
        <v>267</v>
      </c>
      <c r="O816" s="34"/>
      <c r="P816" s="31">
        <v>6.0</v>
      </c>
      <c r="Q816" s="31" t="s">
        <v>307</v>
      </c>
      <c r="R816" s="32">
        <v>36712.0</v>
      </c>
      <c r="S816" s="31" t="s">
        <v>955</v>
      </c>
      <c r="T816" s="31" t="s">
        <v>934</v>
      </c>
      <c r="U816" s="31" t="s">
        <v>361</v>
      </c>
      <c r="V816" s="34"/>
      <c r="W816" s="34"/>
    </row>
    <row r="817">
      <c r="A817" s="30">
        <v>812.0</v>
      </c>
      <c r="B817" s="31" t="s">
        <v>3868</v>
      </c>
      <c r="C817" s="31" t="s">
        <v>3869</v>
      </c>
      <c r="D817" s="31" t="s">
        <v>260</v>
      </c>
      <c r="E817" s="31" t="s">
        <v>403</v>
      </c>
      <c r="F817" s="35">
        <v>44558.0</v>
      </c>
      <c r="G817" s="32">
        <v>44624.0</v>
      </c>
      <c r="H817" s="31" t="s">
        <v>346</v>
      </c>
      <c r="I817" s="31" t="s">
        <v>112</v>
      </c>
      <c r="J817" s="31" t="s">
        <v>403</v>
      </c>
      <c r="K817" s="31" t="s">
        <v>404</v>
      </c>
      <c r="L817" s="31" t="s">
        <v>392</v>
      </c>
      <c r="M817" s="31" t="s">
        <v>3870</v>
      </c>
      <c r="N817" s="31" t="s">
        <v>267</v>
      </c>
      <c r="O817" s="34"/>
      <c r="P817" s="31">
        <v>2.0</v>
      </c>
      <c r="Q817" s="31" t="s">
        <v>307</v>
      </c>
      <c r="R817" s="32">
        <v>36605.0</v>
      </c>
      <c r="S817" s="31" t="s">
        <v>3871</v>
      </c>
      <c r="T817" s="31" t="s">
        <v>744</v>
      </c>
      <c r="U817" s="31" t="s">
        <v>361</v>
      </c>
      <c r="V817" s="34"/>
      <c r="W817" s="34"/>
    </row>
    <row r="818">
      <c r="A818" s="30">
        <v>813.0</v>
      </c>
      <c r="B818" s="31" t="s">
        <v>3872</v>
      </c>
      <c r="C818" s="31" t="s">
        <v>3873</v>
      </c>
      <c r="D818" s="31" t="s">
        <v>260</v>
      </c>
      <c r="E818" s="31" t="s">
        <v>390</v>
      </c>
      <c r="F818" s="35">
        <v>44558.0</v>
      </c>
      <c r="G818" s="32">
        <v>44624.0</v>
      </c>
      <c r="H818" s="31" t="s">
        <v>346</v>
      </c>
      <c r="I818" s="31" t="s">
        <v>112</v>
      </c>
      <c r="J818" s="31" t="s">
        <v>390</v>
      </c>
      <c r="K818" s="31" t="s">
        <v>391</v>
      </c>
      <c r="L818" s="31" t="s">
        <v>392</v>
      </c>
      <c r="M818" s="31" t="s">
        <v>3874</v>
      </c>
      <c r="N818" s="31" t="s">
        <v>267</v>
      </c>
      <c r="O818" s="34"/>
      <c r="P818" s="31">
        <v>1.0</v>
      </c>
      <c r="Q818" s="31" t="s">
        <v>307</v>
      </c>
      <c r="R818" s="32">
        <v>36214.0</v>
      </c>
      <c r="S818" s="31" t="s">
        <v>898</v>
      </c>
      <c r="T818" s="31" t="s">
        <v>459</v>
      </c>
      <c r="U818" s="31" t="s">
        <v>361</v>
      </c>
      <c r="V818" s="34"/>
      <c r="W818" s="34"/>
    </row>
    <row r="819">
      <c r="A819" s="30">
        <v>814.0</v>
      </c>
      <c r="B819" s="31" t="s">
        <v>3875</v>
      </c>
      <c r="C819" s="31" t="s">
        <v>3876</v>
      </c>
      <c r="D819" s="31" t="s">
        <v>260</v>
      </c>
      <c r="E819" s="31" t="s">
        <v>167</v>
      </c>
      <c r="F819" s="32">
        <v>42625.0</v>
      </c>
      <c r="G819" s="35">
        <v>42687.0</v>
      </c>
      <c r="H819" s="31" t="s">
        <v>303</v>
      </c>
      <c r="I819" s="31" t="s">
        <v>3877</v>
      </c>
      <c r="J819" s="31" t="s">
        <v>167</v>
      </c>
      <c r="K819" s="31" t="s">
        <v>3878</v>
      </c>
      <c r="L819" s="31" t="s">
        <v>3879</v>
      </c>
      <c r="M819" s="31" t="s">
        <v>3880</v>
      </c>
      <c r="N819" s="31" t="s">
        <v>267</v>
      </c>
      <c r="O819" s="34"/>
      <c r="P819" s="31">
        <v>5.0</v>
      </c>
      <c r="Q819" s="31" t="s">
        <v>307</v>
      </c>
      <c r="R819" s="32">
        <v>34707.0</v>
      </c>
      <c r="S819" s="31" t="s">
        <v>2938</v>
      </c>
      <c r="T819" s="31" t="s">
        <v>686</v>
      </c>
      <c r="U819" s="31" t="s">
        <v>352</v>
      </c>
      <c r="V819" s="34"/>
      <c r="W819" s="34"/>
    </row>
    <row r="820">
      <c r="A820" s="30">
        <v>815.0</v>
      </c>
      <c r="B820" s="31" t="s">
        <v>3881</v>
      </c>
      <c r="C820" s="31" t="s">
        <v>546</v>
      </c>
      <c r="D820" s="31" t="s">
        <v>260</v>
      </c>
      <c r="E820" s="31" t="s">
        <v>397</v>
      </c>
      <c r="F820" s="32">
        <v>43557.0</v>
      </c>
      <c r="G820" s="32">
        <v>43618.0</v>
      </c>
      <c r="H820" s="31" t="s">
        <v>346</v>
      </c>
      <c r="I820" s="31" t="s">
        <v>112</v>
      </c>
      <c r="J820" s="31" t="s">
        <v>397</v>
      </c>
      <c r="K820" s="31" t="s">
        <v>398</v>
      </c>
      <c r="L820" s="31" t="s">
        <v>392</v>
      </c>
      <c r="M820" s="31" t="s">
        <v>3882</v>
      </c>
      <c r="N820" s="31" t="s">
        <v>267</v>
      </c>
      <c r="O820" s="34"/>
      <c r="P820" s="31">
        <v>6.0</v>
      </c>
      <c r="Q820" s="31" t="s">
        <v>307</v>
      </c>
      <c r="R820" s="32">
        <v>35584.0</v>
      </c>
      <c r="S820" s="31" t="s">
        <v>320</v>
      </c>
      <c r="T820" s="31" t="s">
        <v>744</v>
      </c>
      <c r="U820" s="31" t="s">
        <v>361</v>
      </c>
      <c r="V820" s="34"/>
      <c r="W820" s="34"/>
    </row>
    <row r="821">
      <c r="A821" s="30">
        <v>816.0</v>
      </c>
      <c r="B821" s="31" t="s">
        <v>3883</v>
      </c>
      <c r="C821" s="31" t="s">
        <v>3884</v>
      </c>
      <c r="D821" s="31" t="s">
        <v>1208</v>
      </c>
      <c r="E821" s="31" t="s">
        <v>1209</v>
      </c>
      <c r="F821" s="32">
        <v>43222.0</v>
      </c>
      <c r="G821" s="32">
        <v>43283.0</v>
      </c>
      <c r="H821" s="31" t="s">
        <v>346</v>
      </c>
      <c r="I821" s="31" t="s">
        <v>1209</v>
      </c>
      <c r="J821" s="34"/>
      <c r="K821" s="31" t="s">
        <v>1210</v>
      </c>
      <c r="L821" s="31" t="s">
        <v>1211</v>
      </c>
      <c r="M821" s="31" t="s">
        <v>3885</v>
      </c>
      <c r="N821" s="31" t="s">
        <v>267</v>
      </c>
      <c r="O821" s="34"/>
      <c r="P821" s="31">
        <v>7.0</v>
      </c>
      <c r="Q821" s="31" t="s">
        <v>307</v>
      </c>
      <c r="R821" s="32">
        <v>35249.0</v>
      </c>
      <c r="S821" s="31" t="s">
        <v>729</v>
      </c>
      <c r="T821" s="31" t="s">
        <v>686</v>
      </c>
      <c r="U821" s="31" t="s">
        <v>352</v>
      </c>
      <c r="V821" s="34"/>
      <c r="W821" s="34"/>
    </row>
    <row r="822">
      <c r="A822" s="30">
        <v>817.0</v>
      </c>
      <c r="B822" s="31" t="s">
        <v>3886</v>
      </c>
      <c r="C822" s="31" t="s">
        <v>3887</v>
      </c>
      <c r="D822" s="31" t="s">
        <v>978</v>
      </c>
      <c r="E822" s="31" t="s">
        <v>295</v>
      </c>
      <c r="F822" s="32">
        <v>42705.0</v>
      </c>
      <c r="G822" s="32">
        <v>42767.0</v>
      </c>
      <c r="H822" s="31" t="s">
        <v>346</v>
      </c>
      <c r="I822" s="31" t="s">
        <v>275</v>
      </c>
      <c r="J822" s="31" t="s">
        <v>295</v>
      </c>
      <c r="K822" s="31" t="s">
        <v>1033</v>
      </c>
      <c r="L822" s="31" t="s">
        <v>3888</v>
      </c>
      <c r="M822" s="31" t="s">
        <v>3889</v>
      </c>
      <c r="N822" s="31" t="s">
        <v>267</v>
      </c>
      <c r="O822" s="31">
        <v>2.0</v>
      </c>
      <c r="P822" s="31">
        <v>1.0</v>
      </c>
      <c r="Q822" s="31" t="s">
        <v>307</v>
      </c>
      <c r="R822" s="32">
        <v>34640.0</v>
      </c>
      <c r="S822" s="31" t="s">
        <v>1369</v>
      </c>
      <c r="T822" s="31" t="s">
        <v>3890</v>
      </c>
      <c r="U822" s="31" t="s">
        <v>352</v>
      </c>
      <c r="V822" s="34"/>
      <c r="W822" s="34"/>
    </row>
    <row r="823">
      <c r="A823" s="30">
        <v>818.0</v>
      </c>
      <c r="B823" s="31" t="s">
        <v>3891</v>
      </c>
      <c r="C823" s="31" t="s">
        <v>3892</v>
      </c>
      <c r="D823" s="31" t="s">
        <v>260</v>
      </c>
      <c r="E823" s="31" t="s">
        <v>1139</v>
      </c>
      <c r="F823" s="35">
        <v>44851.0</v>
      </c>
      <c r="G823" s="35">
        <v>44912.0</v>
      </c>
      <c r="H823" s="31" t="s">
        <v>346</v>
      </c>
      <c r="I823" s="31" t="s">
        <v>112</v>
      </c>
      <c r="J823" s="31" t="s">
        <v>1139</v>
      </c>
      <c r="K823" s="31" t="s">
        <v>1140</v>
      </c>
      <c r="L823" s="31" t="s">
        <v>392</v>
      </c>
      <c r="M823" s="31" t="s">
        <v>3893</v>
      </c>
      <c r="N823" s="31" t="s">
        <v>267</v>
      </c>
      <c r="O823" s="34"/>
      <c r="P823" s="31">
        <v>1.0</v>
      </c>
      <c r="Q823" s="31" t="s">
        <v>307</v>
      </c>
      <c r="R823" s="35">
        <v>35750.0</v>
      </c>
      <c r="S823" s="31" t="s">
        <v>531</v>
      </c>
      <c r="T823" s="31" t="s">
        <v>808</v>
      </c>
      <c r="U823" s="31" t="s">
        <v>361</v>
      </c>
      <c r="V823" s="34"/>
      <c r="W823" s="34"/>
    </row>
    <row r="824">
      <c r="A824" s="30">
        <v>819.0</v>
      </c>
      <c r="B824" s="31" t="s">
        <v>3894</v>
      </c>
      <c r="C824" s="31" t="s">
        <v>3895</v>
      </c>
      <c r="D824" s="31" t="s">
        <v>925</v>
      </c>
      <c r="E824" s="31" t="s">
        <v>1088</v>
      </c>
      <c r="F824" s="32">
        <v>44830.0</v>
      </c>
      <c r="G824" s="35">
        <v>44891.0</v>
      </c>
      <c r="H824" s="31" t="s">
        <v>346</v>
      </c>
      <c r="I824" s="31" t="s">
        <v>275</v>
      </c>
      <c r="J824" s="31" t="s">
        <v>1067</v>
      </c>
      <c r="K824" s="31" t="s">
        <v>1089</v>
      </c>
      <c r="L824" s="31" t="s">
        <v>929</v>
      </c>
      <c r="M824" s="31" t="s">
        <v>3896</v>
      </c>
      <c r="N824" s="31" t="s">
        <v>267</v>
      </c>
      <c r="O824" s="34"/>
      <c r="P824" s="31">
        <v>1.0</v>
      </c>
      <c r="Q824" s="31" t="s">
        <v>307</v>
      </c>
      <c r="R824" s="32">
        <v>36076.0</v>
      </c>
      <c r="S824" s="31" t="s">
        <v>531</v>
      </c>
      <c r="T824" s="31" t="s">
        <v>899</v>
      </c>
      <c r="U824" s="31" t="s">
        <v>352</v>
      </c>
      <c r="V824" s="31" t="s">
        <v>1088</v>
      </c>
      <c r="W824" s="34"/>
    </row>
    <row r="825">
      <c r="A825" s="30">
        <v>820.0</v>
      </c>
      <c r="B825" s="31" t="s">
        <v>3897</v>
      </c>
      <c r="C825" s="31" t="s">
        <v>3827</v>
      </c>
      <c r="D825" s="31" t="s">
        <v>925</v>
      </c>
      <c r="E825" s="31" t="s">
        <v>926</v>
      </c>
      <c r="F825" s="32">
        <v>44809.0</v>
      </c>
      <c r="G825" s="32">
        <v>44870.0</v>
      </c>
      <c r="H825" s="31" t="s">
        <v>346</v>
      </c>
      <c r="I825" s="31" t="s">
        <v>275</v>
      </c>
      <c r="J825" s="31" t="s">
        <v>927</v>
      </c>
      <c r="K825" s="31" t="s">
        <v>928</v>
      </c>
      <c r="L825" s="31" t="s">
        <v>929</v>
      </c>
      <c r="M825" s="31" t="s">
        <v>3898</v>
      </c>
      <c r="N825" s="31" t="s">
        <v>267</v>
      </c>
      <c r="O825" s="34"/>
      <c r="P825" s="31">
        <v>1.0</v>
      </c>
      <c r="Q825" s="31" t="s">
        <v>307</v>
      </c>
      <c r="R825" s="32">
        <v>36530.0</v>
      </c>
      <c r="S825" s="31" t="s">
        <v>1018</v>
      </c>
      <c r="T825" s="31" t="s">
        <v>3899</v>
      </c>
      <c r="U825" s="31" t="s">
        <v>352</v>
      </c>
      <c r="V825" s="31" t="s">
        <v>926</v>
      </c>
      <c r="W825" s="34"/>
    </row>
    <row r="826">
      <c r="A826" s="30">
        <v>821.0</v>
      </c>
      <c r="B826" s="31" t="s">
        <v>3900</v>
      </c>
      <c r="C826" s="31" t="s">
        <v>3901</v>
      </c>
      <c r="D826" s="31" t="s">
        <v>925</v>
      </c>
      <c r="E826" s="31" t="s">
        <v>926</v>
      </c>
      <c r="F826" s="32">
        <v>44815.0</v>
      </c>
      <c r="G826" s="35">
        <v>44876.0</v>
      </c>
      <c r="H826" s="31" t="s">
        <v>346</v>
      </c>
      <c r="I826" s="31" t="s">
        <v>275</v>
      </c>
      <c r="J826" s="31" t="s">
        <v>927</v>
      </c>
      <c r="K826" s="31" t="s">
        <v>928</v>
      </c>
      <c r="L826" s="31" t="s">
        <v>929</v>
      </c>
      <c r="M826" s="31" t="s">
        <v>3902</v>
      </c>
      <c r="N826" s="31" t="s">
        <v>267</v>
      </c>
      <c r="O826" s="34"/>
      <c r="P826" s="31">
        <v>1.0</v>
      </c>
      <c r="Q826" s="31" t="s">
        <v>307</v>
      </c>
      <c r="R826" s="32">
        <v>35683.0</v>
      </c>
      <c r="S826" s="31" t="s">
        <v>543</v>
      </c>
      <c r="T826" s="31" t="s">
        <v>503</v>
      </c>
      <c r="U826" s="31" t="s">
        <v>352</v>
      </c>
      <c r="V826" s="31" t="s">
        <v>926</v>
      </c>
      <c r="W826" s="34"/>
    </row>
    <row r="827">
      <c r="A827" s="30">
        <v>822.0</v>
      </c>
      <c r="B827" s="31" t="s">
        <v>3903</v>
      </c>
      <c r="C827" s="31" t="s">
        <v>3750</v>
      </c>
      <c r="D827" s="31" t="s">
        <v>260</v>
      </c>
      <c r="E827" s="31" t="s">
        <v>274</v>
      </c>
      <c r="F827" s="32">
        <v>44729.0</v>
      </c>
      <c r="G827" s="32">
        <v>44790.0</v>
      </c>
      <c r="H827" s="31" t="s">
        <v>346</v>
      </c>
      <c r="I827" s="31" t="s">
        <v>275</v>
      </c>
      <c r="J827" s="31" t="s">
        <v>274</v>
      </c>
      <c r="K827" s="31" t="s">
        <v>424</v>
      </c>
      <c r="L827" s="31" t="s">
        <v>277</v>
      </c>
      <c r="M827" s="31" t="s">
        <v>3904</v>
      </c>
      <c r="N827" s="31" t="s">
        <v>267</v>
      </c>
      <c r="O827" s="34"/>
      <c r="P827" s="31">
        <v>1.0</v>
      </c>
      <c r="Q827" s="31" t="s">
        <v>307</v>
      </c>
      <c r="R827" s="35">
        <v>36814.0</v>
      </c>
      <c r="S827" s="31" t="s">
        <v>3905</v>
      </c>
      <c r="T827" s="31" t="s">
        <v>3906</v>
      </c>
      <c r="U827" s="31" t="s">
        <v>352</v>
      </c>
      <c r="V827" s="34"/>
      <c r="W827" s="34"/>
    </row>
    <row r="828">
      <c r="A828" s="30">
        <v>823.0</v>
      </c>
      <c r="B828" s="31" t="s">
        <v>3907</v>
      </c>
      <c r="C828" s="31" t="s">
        <v>3908</v>
      </c>
      <c r="D828" s="31" t="s">
        <v>925</v>
      </c>
      <c r="E828" s="31" t="s">
        <v>3820</v>
      </c>
      <c r="F828" s="32">
        <v>45111.0</v>
      </c>
      <c r="G828" s="32">
        <v>45171.0</v>
      </c>
      <c r="H828" s="31" t="s">
        <v>346</v>
      </c>
      <c r="I828" s="31" t="s">
        <v>275</v>
      </c>
      <c r="J828" s="31" t="s">
        <v>1012</v>
      </c>
      <c r="K828" s="31" t="s">
        <v>3821</v>
      </c>
      <c r="L828" s="31" t="s">
        <v>929</v>
      </c>
      <c r="M828" s="31" t="s">
        <v>3909</v>
      </c>
      <c r="N828" s="31" t="s">
        <v>467</v>
      </c>
      <c r="O828" s="34"/>
      <c r="P828" s="31">
        <v>1.0</v>
      </c>
      <c r="Q828" s="31" t="s">
        <v>307</v>
      </c>
      <c r="R828" s="32">
        <v>36673.0</v>
      </c>
      <c r="S828" s="31" t="s">
        <v>320</v>
      </c>
      <c r="T828" s="31" t="s">
        <v>1399</v>
      </c>
      <c r="U828" s="31" t="s">
        <v>352</v>
      </c>
      <c r="V828" s="31" t="s">
        <v>3820</v>
      </c>
      <c r="W828" s="34"/>
    </row>
    <row r="829">
      <c r="A829" s="30">
        <v>824.0</v>
      </c>
      <c r="B829" s="31" t="s">
        <v>3910</v>
      </c>
      <c r="C829" s="31" t="s">
        <v>1482</v>
      </c>
      <c r="D829" s="31" t="s">
        <v>260</v>
      </c>
      <c r="E829" s="31" t="s">
        <v>1260</v>
      </c>
      <c r="F829" s="32">
        <v>45106.0</v>
      </c>
      <c r="G829" s="32">
        <v>45166.0</v>
      </c>
      <c r="H829" s="31" t="s">
        <v>346</v>
      </c>
      <c r="I829" s="31" t="s">
        <v>112</v>
      </c>
      <c r="J829" s="31" t="s">
        <v>1260</v>
      </c>
      <c r="K829" s="31" t="s">
        <v>1261</v>
      </c>
      <c r="L829" s="31" t="s">
        <v>392</v>
      </c>
      <c r="M829" s="31" t="s">
        <v>3911</v>
      </c>
      <c r="N829" s="31" t="s">
        <v>267</v>
      </c>
      <c r="O829" s="34"/>
      <c r="P829" s="31">
        <v>1.0</v>
      </c>
      <c r="Q829" s="31" t="s">
        <v>307</v>
      </c>
      <c r="R829" s="35">
        <v>37247.0</v>
      </c>
      <c r="S829" s="31" t="s">
        <v>458</v>
      </c>
      <c r="T829" s="31" t="s">
        <v>3912</v>
      </c>
      <c r="U829" s="31" t="s">
        <v>361</v>
      </c>
      <c r="V829" s="34"/>
      <c r="W829" s="34"/>
    </row>
    <row r="830">
      <c r="A830" s="30">
        <v>825.0</v>
      </c>
      <c r="B830" s="31" t="s">
        <v>3913</v>
      </c>
      <c r="C830" s="31" t="s">
        <v>3914</v>
      </c>
      <c r="D830" s="31" t="s">
        <v>925</v>
      </c>
      <c r="E830" s="31" t="s">
        <v>3820</v>
      </c>
      <c r="F830" s="32">
        <v>45104.0</v>
      </c>
      <c r="G830" s="32">
        <v>45164.0</v>
      </c>
      <c r="H830" s="31" t="s">
        <v>346</v>
      </c>
      <c r="I830" s="31" t="s">
        <v>275</v>
      </c>
      <c r="J830" s="31" t="s">
        <v>1012</v>
      </c>
      <c r="K830" s="31" t="s">
        <v>3821</v>
      </c>
      <c r="L830" s="31" t="s">
        <v>929</v>
      </c>
      <c r="M830" s="31" t="s">
        <v>3915</v>
      </c>
      <c r="N830" s="31" t="s">
        <v>267</v>
      </c>
      <c r="O830" s="34"/>
      <c r="P830" s="31">
        <v>1.0</v>
      </c>
      <c r="Q830" s="31" t="s">
        <v>307</v>
      </c>
      <c r="R830" s="32">
        <v>35705.0</v>
      </c>
      <c r="S830" s="31" t="s">
        <v>531</v>
      </c>
      <c r="T830" s="31" t="s">
        <v>3916</v>
      </c>
      <c r="U830" s="31" t="s">
        <v>352</v>
      </c>
      <c r="V830" s="31" t="s">
        <v>3820</v>
      </c>
      <c r="W830" s="34"/>
    </row>
    <row r="831">
      <c r="A831" s="30">
        <v>826.0</v>
      </c>
      <c r="B831" s="31" t="s">
        <v>3917</v>
      </c>
      <c r="C831" s="31" t="s">
        <v>3918</v>
      </c>
      <c r="D831" s="31" t="s">
        <v>260</v>
      </c>
      <c r="E831" s="31" t="s">
        <v>397</v>
      </c>
      <c r="F831" s="32">
        <v>45099.0</v>
      </c>
      <c r="G831" s="32">
        <v>45159.0</v>
      </c>
      <c r="H831" s="31" t="s">
        <v>346</v>
      </c>
      <c r="I831" s="31" t="s">
        <v>112</v>
      </c>
      <c r="J831" s="31" t="s">
        <v>397</v>
      </c>
      <c r="K831" s="31" t="s">
        <v>398</v>
      </c>
      <c r="L831" s="31" t="s">
        <v>392</v>
      </c>
      <c r="M831" s="31" t="s">
        <v>3919</v>
      </c>
      <c r="N831" s="31" t="s">
        <v>267</v>
      </c>
      <c r="O831" s="34"/>
      <c r="P831" s="31">
        <v>1.0</v>
      </c>
      <c r="Q831" s="31" t="s">
        <v>307</v>
      </c>
      <c r="R831" s="35">
        <v>36493.0</v>
      </c>
      <c r="S831" s="31" t="s">
        <v>2725</v>
      </c>
      <c r="T831" s="31" t="s">
        <v>786</v>
      </c>
      <c r="U831" s="31" t="s">
        <v>361</v>
      </c>
      <c r="V831" s="34"/>
      <c r="W831" s="34"/>
    </row>
    <row r="832">
      <c r="A832" s="30">
        <v>827.0</v>
      </c>
      <c r="B832" s="31" t="s">
        <v>3920</v>
      </c>
      <c r="C832" s="31" t="s">
        <v>3921</v>
      </c>
      <c r="D832" s="31" t="s">
        <v>925</v>
      </c>
      <c r="E832" s="31" t="s">
        <v>1088</v>
      </c>
      <c r="F832" s="32">
        <v>45096.0</v>
      </c>
      <c r="G832" s="32">
        <v>45156.0</v>
      </c>
      <c r="H832" s="31" t="s">
        <v>346</v>
      </c>
      <c r="I832" s="31" t="s">
        <v>275</v>
      </c>
      <c r="J832" s="31" t="s">
        <v>1067</v>
      </c>
      <c r="K832" s="31" t="s">
        <v>1089</v>
      </c>
      <c r="L832" s="31" t="s">
        <v>929</v>
      </c>
      <c r="M832" s="31" t="s">
        <v>3922</v>
      </c>
      <c r="N832" s="31" t="s">
        <v>267</v>
      </c>
      <c r="O832" s="34"/>
      <c r="P832" s="31">
        <v>1.0</v>
      </c>
      <c r="Q832" s="31" t="s">
        <v>307</v>
      </c>
      <c r="R832" s="32">
        <v>37196.0</v>
      </c>
      <c r="S832" s="31" t="s">
        <v>3923</v>
      </c>
      <c r="T832" s="31" t="s">
        <v>3924</v>
      </c>
      <c r="U832" s="31" t="s">
        <v>352</v>
      </c>
      <c r="V832" s="31" t="s">
        <v>1088</v>
      </c>
      <c r="W832" s="34"/>
    </row>
    <row r="833">
      <c r="A833" s="30">
        <v>828.0</v>
      </c>
      <c r="B833" s="31" t="s">
        <v>3925</v>
      </c>
      <c r="C833" s="31" t="s">
        <v>1518</v>
      </c>
      <c r="D833" s="31" t="s">
        <v>925</v>
      </c>
      <c r="E833" s="31" t="s">
        <v>1088</v>
      </c>
      <c r="F833" s="32">
        <v>45159.0</v>
      </c>
      <c r="G833" s="35">
        <v>45219.0</v>
      </c>
      <c r="H833" s="31" t="s">
        <v>346</v>
      </c>
      <c r="I833" s="31" t="s">
        <v>275</v>
      </c>
      <c r="J833" s="31" t="s">
        <v>1067</v>
      </c>
      <c r="K833" s="31" t="s">
        <v>1089</v>
      </c>
      <c r="L833" s="31" t="s">
        <v>929</v>
      </c>
      <c r="M833" s="31" t="s">
        <v>3926</v>
      </c>
      <c r="N833" s="31" t="s">
        <v>267</v>
      </c>
      <c r="O833" s="34"/>
      <c r="P833" s="31">
        <v>1.0</v>
      </c>
      <c r="Q833" s="31" t="s">
        <v>307</v>
      </c>
      <c r="R833" s="32">
        <v>35298.0</v>
      </c>
      <c r="S833" s="31" t="s">
        <v>681</v>
      </c>
      <c r="T833" s="31" t="s">
        <v>1127</v>
      </c>
      <c r="U833" s="31" t="s">
        <v>352</v>
      </c>
      <c r="V833" s="31" t="s">
        <v>1088</v>
      </c>
      <c r="W833" s="34"/>
    </row>
    <row r="834">
      <c r="A834" s="30">
        <v>829.0</v>
      </c>
      <c r="B834" s="31" t="s">
        <v>3927</v>
      </c>
      <c r="C834" s="31" t="s">
        <v>3623</v>
      </c>
      <c r="D834" s="31" t="s">
        <v>925</v>
      </c>
      <c r="E834" s="31" t="s">
        <v>1088</v>
      </c>
      <c r="F834" s="32">
        <v>45090.0</v>
      </c>
      <c r="G834" s="32">
        <v>45150.0</v>
      </c>
      <c r="H834" s="31" t="s">
        <v>346</v>
      </c>
      <c r="I834" s="31" t="s">
        <v>275</v>
      </c>
      <c r="J834" s="31" t="s">
        <v>1067</v>
      </c>
      <c r="K834" s="31" t="s">
        <v>1089</v>
      </c>
      <c r="L834" s="31" t="s">
        <v>929</v>
      </c>
      <c r="M834" s="31" t="s">
        <v>3928</v>
      </c>
      <c r="N834" s="31" t="s">
        <v>267</v>
      </c>
      <c r="O834" s="34"/>
      <c r="P834" s="31">
        <v>1.0</v>
      </c>
      <c r="Q834" s="31" t="s">
        <v>307</v>
      </c>
      <c r="R834" s="35">
        <v>36142.0</v>
      </c>
      <c r="S834" s="31" t="s">
        <v>804</v>
      </c>
      <c r="T834" s="31" t="s">
        <v>3929</v>
      </c>
      <c r="U834" s="31" t="s">
        <v>352</v>
      </c>
      <c r="V834" s="31" t="s">
        <v>1088</v>
      </c>
      <c r="W834" s="34"/>
    </row>
    <row r="835">
      <c r="A835" s="30">
        <v>830.0</v>
      </c>
      <c r="B835" s="31" t="s">
        <v>3930</v>
      </c>
      <c r="C835" s="31" t="s">
        <v>3931</v>
      </c>
      <c r="D835" s="31" t="s">
        <v>260</v>
      </c>
      <c r="E835" s="31" t="s">
        <v>1260</v>
      </c>
      <c r="F835" s="32">
        <v>45069.0</v>
      </c>
      <c r="G835" s="32">
        <v>45130.0</v>
      </c>
      <c r="H835" s="31" t="s">
        <v>346</v>
      </c>
      <c r="I835" s="31" t="s">
        <v>112</v>
      </c>
      <c r="J835" s="31" t="s">
        <v>1260</v>
      </c>
      <c r="K835" s="31" t="s">
        <v>1261</v>
      </c>
      <c r="L835" s="31" t="s">
        <v>392</v>
      </c>
      <c r="M835" s="31" t="s">
        <v>3932</v>
      </c>
      <c r="N835" s="31" t="s">
        <v>267</v>
      </c>
      <c r="O835" s="34"/>
      <c r="P835" s="31">
        <v>1.0</v>
      </c>
      <c r="Q835" s="31" t="s">
        <v>307</v>
      </c>
      <c r="R835" s="35">
        <v>36481.0</v>
      </c>
      <c r="S835" s="31" t="s">
        <v>531</v>
      </c>
      <c r="T835" s="31" t="s">
        <v>3933</v>
      </c>
      <c r="U835" s="31" t="s">
        <v>361</v>
      </c>
      <c r="V835" s="34"/>
      <c r="W835" s="34"/>
    </row>
    <row r="836">
      <c r="A836" s="30">
        <v>831.0</v>
      </c>
      <c r="B836" s="31" t="s">
        <v>3934</v>
      </c>
      <c r="C836" s="31" t="s">
        <v>3935</v>
      </c>
      <c r="D836" s="31" t="s">
        <v>260</v>
      </c>
      <c r="E836" s="31" t="s">
        <v>3936</v>
      </c>
      <c r="F836" s="32">
        <v>44988.0</v>
      </c>
      <c r="G836" s="32">
        <v>45049.0</v>
      </c>
      <c r="H836" s="31" t="s">
        <v>346</v>
      </c>
      <c r="I836" s="31" t="s">
        <v>275</v>
      </c>
      <c r="J836" s="31" t="s">
        <v>1012</v>
      </c>
      <c r="K836" s="31" t="s">
        <v>3937</v>
      </c>
      <c r="L836" s="31" t="s">
        <v>1114</v>
      </c>
      <c r="M836" s="31" t="s">
        <v>3938</v>
      </c>
      <c r="N836" s="31" t="s">
        <v>267</v>
      </c>
      <c r="O836" s="34"/>
      <c r="P836" s="31">
        <v>1.0</v>
      </c>
      <c r="Q836" s="31" t="s">
        <v>307</v>
      </c>
      <c r="R836" s="35">
        <v>36874.0</v>
      </c>
      <c r="S836" s="31" t="s">
        <v>874</v>
      </c>
      <c r="T836" s="31" t="s">
        <v>3939</v>
      </c>
      <c r="U836" s="31" t="s">
        <v>352</v>
      </c>
      <c r="V836" s="31" t="s">
        <v>3936</v>
      </c>
      <c r="W836" s="34"/>
    </row>
    <row r="837">
      <c r="A837" s="30">
        <v>832.0</v>
      </c>
      <c r="B837" s="31" t="s">
        <v>3940</v>
      </c>
      <c r="C837" s="31" t="s">
        <v>3941</v>
      </c>
      <c r="D837" s="31" t="s">
        <v>1208</v>
      </c>
      <c r="E837" s="31" t="s">
        <v>1209</v>
      </c>
      <c r="F837" s="32">
        <v>45194.0</v>
      </c>
      <c r="G837" s="35">
        <v>45254.0</v>
      </c>
      <c r="H837" s="31" t="s">
        <v>346</v>
      </c>
      <c r="I837" s="31" t="s">
        <v>1209</v>
      </c>
      <c r="J837" s="34"/>
      <c r="K837" s="31" t="s">
        <v>1210</v>
      </c>
      <c r="L837" s="31" t="s">
        <v>1211</v>
      </c>
      <c r="M837" s="31" t="s">
        <v>3942</v>
      </c>
      <c r="N837" s="31" t="s">
        <v>267</v>
      </c>
      <c r="O837" s="34"/>
      <c r="P837" s="31">
        <v>1.0</v>
      </c>
      <c r="Q837" s="31" t="s">
        <v>307</v>
      </c>
      <c r="R837" s="32">
        <v>34201.0</v>
      </c>
      <c r="S837" s="31" t="s">
        <v>3943</v>
      </c>
      <c r="T837" s="31" t="s">
        <v>3944</v>
      </c>
      <c r="U837" s="31" t="s">
        <v>352</v>
      </c>
      <c r="V837" s="34"/>
      <c r="W837" s="34"/>
    </row>
    <row r="838">
      <c r="A838" s="30">
        <v>833.0</v>
      </c>
      <c r="B838" s="31" t="s">
        <v>3945</v>
      </c>
      <c r="C838" s="31" t="s">
        <v>3946</v>
      </c>
      <c r="D838" s="31" t="s">
        <v>260</v>
      </c>
      <c r="E838" s="31" t="s">
        <v>374</v>
      </c>
      <c r="F838" s="32">
        <v>45133.0</v>
      </c>
      <c r="G838" s="32">
        <v>45193.0</v>
      </c>
      <c r="H838" s="31" t="s">
        <v>346</v>
      </c>
      <c r="I838" s="31" t="s">
        <v>275</v>
      </c>
      <c r="J838" s="31" t="s">
        <v>374</v>
      </c>
      <c r="K838" s="31" t="s">
        <v>375</v>
      </c>
      <c r="L838" s="31" t="s">
        <v>376</v>
      </c>
      <c r="M838" s="31" t="s">
        <v>3947</v>
      </c>
      <c r="N838" s="31" t="s">
        <v>467</v>
      </c>
      <c r="O838" s="34"/>
      <c r="P838" s="31">
        <v>1.0</v>
      </c>
      <c r="Q838" s="31" t="s">
        <v>307</v>
      </c>
      <c r="R838" s="35">
        <v>37217.0</v>
      </c>
      <c r="S838" s="31" t="s">
        <v>320</v>
      </c>
      <c r="T838" s="31" t="s">
        <v>3948</v>
      </c>
      <c r="U838" s="31" t="s">
        <v>352</v>
      </c>
      <c r="V838" s="34"/>
      <c r="W838" s="34"/>
    </row>
    <row r="839">
      <c r="A839" s="30">
        <v>834.0</v>
      </c>
      <c r="B839" s="31" t="s">
        <v>3949</v>
      </c>
      <c r="C839" s="31" t="s">
        <v>1482</v>
      </c>
      <c r="D839" s="31" t="s">
        <v>260</v>
      </c>
      <c r="E839" s="31" t="s">
        <v>397</v>
      </c>
      <c r="F839" s="32">
        <v>45124.0</v>
      </c>
      <c r="G839" s="32">
        <v>45184.0</v>
      </c>
      <c r="H839" s="31" t="s">
        <v>346</v>
      </c>
      <c r="I839" s="31" t="s">
        <v>112</v>
      </c>
      <c r="J839" s="31" t="s">
        <v>397</v>
      </c>
      <c r="K839" s="31" t="s">
        <v>398</v>
      </c>
      <c r="L839" s="31" t="s">
        <v>392</v>
      </c>
      <c r="M839" s="31" t="s">
        <v>3950</v>
      </c>
      <c r="N839" s="31" t="s">
        <v>267</v>
      </c>
      <c r="O839" s="34"/>
      <c r="P839" s="31">
        <v>1.0</v>
      </c>
      <c r="Q839" s="31" t="s">
        <v>307</v>
      </c>
      <c r="R839" s="32">
        <v>37338.0</v>
      </c>
      <c r="S839" s="31" t="s">
        <v>433</v>
      </c>
      <c r="T839" s="31" t="s">
        <v>3851</v>
      </c>
      <c r="U839" s="31" t="s">
        <v>361</v>
      </c>
      <c r="V839" s="34"/>
      <c r="W839" s="34"/>
    </row>
    <row r="840">
      <c r="A840" s="30">
        <v>835.0</v>
      </c>
      <c r="B840" s="31" t="s">
        <v>3951</v>
      </c>
      <c r="C840" s="31" t="s">
        <v>3952</v>
      </c>
      <c r="D840" s="31" t="s">
        <v>978</v>
      </c>
      <c r="E840" s="31" t="s">
        <v>283</v>
      </c>
      <c r="F840" s="32">
        <v>42970.0</v>
      </c>
      <c r="G840" s="35">
        <v>43031.0</v>
      </c>
      <c r="H840" s="31" t="s">
        <v>346</v>
      </c>
      <c r="I840" s="31" t="s">
        <v>275</v>
      </c>
      <c r="J840" s="31" t="s">
        <v>283</v>
      </c>
      <c r="K840" s="31" t="s">
        <v>519</v>
      </c>
      <c r="L840" s="31" t="s">
        <v>2215</v>
      </c>
      <c r="M840" s="31" t="s">
        <v>3953</v>
      </c>
      <c r="N840" s="31" t="s">
        <v>267</v>
      </c>
      <c r="O840" s="31">
        <v>2.0</v>
      </c>
      <c r="P840" s="31">
        <v>1.0</v>
      </c>
      <c r="Q840" s="31" t="s">
        <v>307</v>
      </c>
      <c r="R840" s="32">
        <v>34922.0</v>
      </c>
      <c r="S840" s="31" t="s">
        <v>531</v>
      </c>
      <c r="T840" s="31" t="s">
        <v>1522</v>
      </c>
      <c r="U840" s="31" t="s">
        <v>352</v>
      </c>
      <c r="V840" s="34"/>
      <c r="W840" s="34"/>
    </row>
    <row r="841">
      <c r="A841" s="30">
        <v>836.0</v>
      </c>
      <c r="B841" s="31" t="s">
        <v>3954</v>
      </c>
      <c r="C841" s="31" t="s">
        <v>3955</v>
      </c>
      <c r="D841" s="31" t="s">
        <v>260</v>
      </c>
      <c r="E841" s="31" t="s">
        <v>3956</v>
      </c>
      <c r="F841" s="32">
        <v>43928.0</v>
      </c>
      <c r="G841" s="32">
        <v>43928.0</v>
      </c>
      <c r="H841" s="31" t="s">
        <v>346</v>
      </c>
      <c r="I841" s="31" t="s">
        <v>275</v>
      </c>
      <c r="J841" s="31" t="s">
        <v>1012</v>
      </c>
      <c r="K841" s="31" t="s">
        <v>3957</v>
      </c>
      <c r="L841" s="31" t="s">
        <v>997</v>
      </c>
      <c r="M841" s="31" t="s">
        <v>3958</v>
      </c>
      <c r="N841" s="31" t="s">
        <v>267</v>
      </c>
      <c r="O841" s="34"/>
      <c r="P841" s="31">
        <v>1.0</v>
      </c>
      <c r="Q841" s="31" t="s">
        <v>307</v>
      </c>
      <c r="R841" s="32">
        <v>35662.0</v>
      </c>
      <c r="S841" s="31" t="s">
        <v>320</v>
      </c>
      <c r="T841" s="31" t="s">
        <v>744</v>
      </c>
      <c r="U841" s="31" t="s">
        <v>352</v>
      </c>
      <c r="V841" s="31" t="s">
        <v>3956</v>
      </c>
      <c r="W841" s="34"/>
    </row>
    <row r="842">
      <c r="A842" s="30">
        <v>837.0</v>
      </c>
      <c r="B842" s="31" t="s">
        <v>3959</v>
      </c>
      <c r="C842" s="31" t="s">
        <v>2274</v>
      </c>
      <c r="D842" s="31" t="s">
        <v>260</v>
      </c>
      <c r="E842" s="31" t="s">
        <v>1260</v>
      </c>
      <c r="F842" s="32">
        <v>44370.0</v>
      </c>
      <c r="G842" s="32">
        <v>44431.0</v>
      </c>
      <c r="H842" s="31" t="s">
        <v>346</v>
      </c>
      <c r="I842" s="31" t="s">
        <v>112</v>
      </c>
      <c r="J842" s="31" t="s">
        <v>1260</v>
      </c>
      <c r="K842" s="31" t="s">
        <v>1261</v>
      </c>
      <c r="L842" s="31" t="s">
        <v>392</v>
      </c>
      <c r="M842" s="31" t="s">
        <v>3960</v>
      </c>
      <c r="N842" s="31" t="s">
        <v>267</v>
      </c>
      <c r="O842" s="34"/>
      <c r="P842" s="31">
        <v>6.0</v>
      </c>
      <c r="Q842" s="31" t="s">
        <v>307</v>
      </c>
      <c r="R842" s="32">
        <v>36317.0</v>
      </c>
      <c r="S842" s="31" t="s">
        <v>676</v>
      </c>
      <c r="T842" s="31" t="s">
        <v>459</v>
      </c>
      <c r="U842" s="31" t="s">
        <v>361</v>
      </c>
      <c r="V842" s="34"/>
      <c r="W842" s="34"/>
    </row>
    <row r="843">
      <c r="A843" s="30">
        <v>838.0</v>
      </c>
      <c r="B843" s="31" t="s">
        <v>3961</v>
      </c>
      <c r="C843" s="31" t="s">
        <v>3962</v>
      </c>
      <c r="D843" s="31" t="s">
        <v>978</v>
      </c>
      <c r="E843" s="31" t="s">
        <v>914</v>
      </c>
      <c r="F843" s="32">
        <v>44020.0</v>
      </c>
      <c r="G843" s="32">
        <v>44082.0</v>
      </c>
      <c r="H843" s="31" t="s">
        <v>346</v>
      </c>
      <c r="I843" s="31" t="s">
        <v>93</v>
      </c>
      <c r="J843" s="31" t="s">
        <v>903</v>
      </c>
      <c r="K843" s="31" t="s">
        <v>915</v>
      </c>
      <c r="L843" s="31" t="s">
        <v>3719</v>
      </c>
      <c r="M843" s="31" t="s">
        <v>3963</v>
      </c>
      <c r="N843" s="31" t="s">
        <v>267</v>
      </c>
      <c r="O843" s="31">
        <v>2.0</v>
      </c>
      <c r="P843" s="31">
        <v>1.0</v>
      </c>
      <c r="Q843" s="31" t="s">
        <v>307</v>
      </c>
      <c r="R843" s="32">
        <v>34938.0</v>
      </c>
      <c r="S843" s="31" t="s">
        <v>3964</v>
      </c>
      <c r="T843" s="31" t="s">
        <v>3250</v>
      </c>
      <c r="U843" s="31" t="s">
        <v>352</v>
      </c>
      <c r="V843" s="31" t="s">
        <v>914</v>
      </c>
      <c r="W843" s="34"/>
    </row>
    <row r="844">
      <c r="A844" s="30">
        <v>839.0</v>
      </c>
      <c r="B844" s="31" t="s">
        <v>3965</v>
      </c>
      <c r="C844" s="31" t="s">
        <v>3966</v>
      </c>
      <c r="D844" s="31" t="s">
        <v>260</v>
      </c>
      <c r="E844" s="31" t="s">
        <v>374</v>
      </c>
      <c r="F844" s="32">
        <v>45175.0</v>
      </c>
      <c r="G844" s="32">
        <v>45235.0</v>
      </c>
      <c r="H844" s="31" t="s">
        <v>346</v>
      </c>
      <c r="I844" s="31" t="s">
        <v>275</v>
      </c>
      <c r="J844" s="31" t="s">
        <v>374</v>
      </c>
      <c r="K844" s="31" t="s">
        <v>375</v>
      </c>
      <c r="L844" s="31" t="s">
        <v>376</v>
      </c>
      <c r="M844" s="31" t="s">
        <v>3967</v>
      </c>
      <c r="N844" s="31" t="s">
        <v>267</v>
      </c>
      <c r="O844" s="34"/>
      <c r="P844" s="31">
        <v>1.0</v>
      </c>
      <c r="Q844" s="31" t="s">
        <v>307</v>
      </c>
      <c r="R844" s="32">
        <v>35588.0</v>
      </c>
      <c r="S844" s="31" t="s">
        <v>531</v>
      </c>
      <c r="T844" s="31" t="s">
        <v>3968</v>
      </c>
      <c r="U844" s="31" t="s">
        <v>352</v>
      </c>
      <c r="V844" s="34"/>
      <c r="W844" s="34"/>
    </row>
    <row r="845">
      <c r="A845" s="30">
        <v>840.0</v>
      </c>
      <c r="B845" s="31" t="s">
        <v>3969</v>
      </c>
      <c r="C845" s="31" t="s">
        <v>3970</v>
      </c>
      <c r="D845" s="31" t="s">
        <v>1535</v>
      </c>
      <c r="E845" s="31" t="s">
        <v>316</v>
      </c>
      <c r="F845" s="32">
        <v>41001.0</v>
      </c>
      <c r="G845" s="32">
        <v>41092.0</v>
      </c>
      <c r="H845" s="31" t="s">
        <v>346</v>
      </c>
      <c r="I845" s="31" t="s">
        <v>315</v>
      </c>
      <c r="J845" s="31" t="s">
        <v>316</v>
      </c>
      <c r="K845" s="31" t="s">
        <v>3971</v>
      </c>
      <c r="L845" s="31" t="s">
        <v>1537</v>
      </c>
      <c r="M845" s="31" t="s">
        <v>3972</v>
      </c>
      <c r="N845" s="31" t="s">
        <v>467</v>
      </c>
      <c r="O845" s="31">
        <v>2.0</v>
      </c>
      <c r="P845" s="31">
        <v>5.0</v>
      </c>
      <c r="Q845" s="31" t="s">
        <v>307</v>
      </c>
      <c r="R845" s="32">
        <v>31683.0</v>
      </c>
      <c r="S845" s="31" t="s">
        <v>320</v>
      </c>
      <c r="T845" s="31" t="s">
        <v>744</v>
      </c>
      <c r="U845" s="31" t="s">
        <v>352</v>
      </c>
      <c r="V845" s="34"/>
      <c r="W845" s="34"/>
    </row>
    <row r="846">
      <c r="A846" s="30">
        <v>841.0</v>
      </c>
      <c r="B846" s="31" t="s">
        <v>3973</v>
      </c>
      <c r="C846" s="31" t="s">
        <v>3974</v>
      </c>
      <c r="D846" s="31" t="s">
        <v>1011</v>
      </c>
      <c r="E846" s="31" t="s">
        <v>1067</v>
      </c>
      <c r="F846" s="32">
        <v>43684.0</v>
      </c>
      <c r="G846" s="32">
        <v>43745.0</v>
      </c>
      <c r="H846" s="31" t="s">
        <v>346</v>
      </c>
      <c r="I846" s="31" t="s">
        <v>275</v>
      </c>
      <c r="J846" s="31" t="s">
        <v>1067</v>
      </c>
      <c r="K846" s="31" t="s">
        <v>3975</v>
      </c>
      <c r="L846" s="31" t="s">
        <v>1014</v>
      </c>
      <c r="M846" s="31" t="s">
        <v>3976</v>
      </c>
      <c r="N846" s="31" t="s">
        <v>467</v>
      </c>
      <c r="O846" s="31">
        <v>2.0</v>
      </c>
      <c r="P846" s="31">
        <v>1.0</v>
      </c>
      <c r="Q846" s="31" t="s">
        <v>307</v>
      </c>
      <c r="R846" s="32">
        <v>32709.0</v>
      </c>
      <c r="S846" s="31" t="s">
        <v>560</v>
      </c>
      <c r="T846" s="31" t="s">
        <v>496</v>
      </c>
      <c r="U846" s="31" t="s">
        <v>352</v>
      </c>
      <c r="V846" s="34"/>
      <c r="W846" s="34"/>
    </row>
    <row r="847">
      <c r="A847" s="30">
        <v>842.0</v>
      </c>
      <c r="B847" s="31" t="s">
        <v>3977</v>
      </c>
      <c r="C847" s="31" t="s">
        <v>3978</v>
      </c>
      <c r="D847" s="31" t="s">
        <v>1737</v>
      </c>
      <c r="E847" s="31" t="s">
        <v>766</v>
      </c>
      <c r="F847" s="32">
        <v>38903.0</v>
      </c>
      <c r="G847" s="32">
        <v>38965.0</v>
      </c>
      <c r="H847" s="31" t="s">
        <v>346</v>
      </c>
      <c r="I847" s="31" t="s">
        <v>263</v>
      </c>
      <c r="J847" s="31" t="s">
        <v>767</v>
      </c>
      <c r="K847" s="31" t="s">
        <v>768</v>
      </c>
      <c r="L847" s="31" t="s">
        <v>1738</v>
      </c>
      <c r="M847" s="31" t="s">
        <v>3979</v>
      </c>
      <c r="N847" s="31" t="s">
        <v>267</v>
      </c>
      <c r="O847" s="31">
        <v>2.0</v>
      </c>
      <c r="P847" s="31">
        <v>1.0</v>
      </c>
      <c r="Q847" s="31" t="s">
        <v>307</v>
      </c>
      <c r="R847" s="32">
        <v>30832.0</v>
      </c>
      <c r="S847" s="31" t="s">
        <v>531</v>
      </c>
      <c r="T847" s="31" t="s">
        <v>665</v>
      </c>
      <c r="U847" s="31" t="s">
        <v>361</v>
      </c>
      <c r="V847" s="31" t="s">
        <v>766</v>
      </c>
      <c r="W847" s="34"/>
    </row>
    <row r="848">
      <c r="A848" s="30">
        <v>843.0</v>
      </c>
      <c r="B848" s="31" t="s">
        <v>3980</v>
      </c>
      <c r="C848" s="31" t="s">
        <v>3981</v>
      </c>
      <c r="D848" s="31" t="s">
        <v>260</v>
      </c>
      <c r="E848" s="31" t="s">
        <v>403</v>
      </c>
      <c r="F848" s="32">
        <v>44218.0</v>
      </c>
      <c r="G848" s="32">
        <v>44277.0</v>
      </c>
      <c r="H848" s="31" t="s">
        <v>346</v>
      </c>
      <c r="I848" s="31" t="s">
        <v>112</v>
      </c>
      <c r="J848" s="31" t="s">
        <v>403</v>
      </c>
      <c r="K848" s="31" t="s">
        <v>404</v>
      </c>
      <c r="L848" s="31" t="s">
        <v>392</v>
      </c>
      <c r="M848" s="31" t="s">
        <v>3982</v>
      </c>
      <c r="N848" s="31" t="s">
        <v>267</v>
      </c>
      <c r="O848" s="34"/>
      <c r="P848" s="31">
        <v>6.0</v>
      </c>
      <c r="Q848" s="31" t="s">
        <v>307</v>
      </c>
      <c r="R848" s="32">
        <v>36368.0</v>
      </c>
      <c r="S848" s="31" t="s">
        <v>626</v>
      </c>
      <c r="T848" s="31" t="s">
        <v>686</v>
      </c>
      <c r="U848" s="31" t="s">
        <v>361</v>
      </c>
      <c r="V848" s="34"/>
      <c r="W848" s="34"/>
    </row>
    <row r="849">
      <c r="A849" s="30">
        <v>844.0</v>
      </c>
      <c r="B849" s="31" t="s">
        <v>3983</v>
      </c>
      <c r="C849" s="31" t="s">
        <v>3984</v>
      </c>
      <c r="D849" s="31" t="s">
        <v>978</v>
      </c>
      <c r="E849" s="31" t="s">
        <v>436</v>
      </c>
      <c r="F849" s="32">
        <v>43192.0</v>
      </c>
      <c r="G849" s="32">
        <v>43253.0</v>
      </c>
      <c r="H849" s="31" t="s">
        <v>346</v>
      </c>
      <c r="I849" s="31" t="s">
        <v>275</v>
      </c>
      <c r="J849" s="31" t="s">
        <v>436</v>
      </c>
      <c r="K849" s="31" t="s">
        <v>437</v>
      </c>
      <c r="L849" s="31" t="s">
        <v>3985</v>
      </c>
      <c r="M849" s="31" t="s">
        <v>3986</v>
      </c>
      <c r="N849" s="31" t="s">
        <v>467</v>
      </c>
      <c r="O849" s="31">
        <v>2.0</v>
      </c>
      <c r="P849" s="31">
        <v>1.0</v>
      </c>
      <c r="Q849" s="31" t="s">
        <v>307</v>
      </c>
      <c r="R849" s="35">
        <v>35380.0</v>
      </c>
      <c r="S849" s="31" t="s">
        <v>320</v>
      </c>
      <c r="T849" s="31" t="s">
        <v>744</v>
      </c>
      <c r="U849" s="31" t="s">
        <v>352</v>
      </c>
      <c r="V849" s="34"/>
      <c r="W849" s="34"/>
    </row>
    <row r="850">
      <c r="A850" s="30">
        <v>845.0</v>
      </c>
      <c r="B850" s="31" t="s">
        <v>3987</v>
      </c>
      <c r="C850" s="31" t="s">
        <v>1106</v>
      </c>
      <c r="D850" s="31" t="s">
        <v>765</v>
      </c>
      <c r="E850" s="31" t="s">
        <v>766</v>
      </c>
      <c r="F850" s="32">
        <v>43339.0</v>
      </c>
      <c r="G850" s="35">
        <v>43400.0</v>
      </c>
      <c r="H850" s="31" t="s">
        <v>346</v>
      </c>
      <c r="I850" s="31" t="s">
        <v>263</v>
      </c>
      <c r="J850" s="31" t="s">
        <v>767</v>
      </c>
      <c r="K850" s="31" t="s">
        <v>768</v>
      </c>
      <c r="L850" s="31" t="s">
        <v>769</v>
      </c>
      <c r="M850" s="31" t="s">
        <v>3988</v>
      </c>
      <c r="N850" s="31" t="s">
        <v>267</v>
      </c>
      <c r="O850" s="34"/>
      <c r="P850" s="31">
        <v>2.0</v>
      </c>
      <c r="Q850" s="31" t="s">
        <v>307</v>
      </c>
      <c r="R850" s="32">
        <v>35488.0</v>
      </c>
      <c r="S850" s="31" t="s">
        <v>531</v>
      </c>
      <c r="T850" s="31" t="s">
        <v>503</v>
      </c>
      <c r="U850" s="31" t="s">
        <v>361</v>
      </c>
      <c r="V850" s="31" t="s">
        <v>766</v>
      </c>
      <c r="W850" s="34"/>
    </row>
    <row r="851">
      <c r="A851" s="30">
        <v>846.0</v>
      </c>
      <c r="B851" s="31" t="s">
        <v>3989</v>
      </c>
      <c r="C851" s="31" t="s">
        <v>3990</v>
      </c>
      <c r="D851" s="31" t="s">
        <v>765</v>
      </c>
      <c r="E851" s="31" t="s">
        <v>766</v>
      </c>
      <c r="F851" s="32">
        <v>43193.0</v>
      </c>
      <c r="G851" s="32">
        <v>43254.0</v>
      </c>
      <c r="H851" s="31" t="s">
        <v>346</v>
      </c>
      <c r="I851" s="31" t="s">
        <v>263</v>
      </c>
      <c r="J851" s="31" t="s">
        <v>767</v>
      </c>
      <c r="K851" s="31" t="s">
        <v>768</v>
      </c>
      <c r="L851" s="31" t="s">
        <v>769</v>
      </c>
      <c r="M851" s="31" t="s">
        <v>3991</v>
      </c>
      <c r="N851" s="31" t="s">
        <v>267</v>
      </c>
      <c r="O851" s="34"/>
      <c r="P851" s="31">
        <v>4.0</v>
      </c>
      <c r="Q851" s="31" t="s">
        <v>307</v>
      </c>
      <c r="R851" s="32">
        <v>34869.0</v>
      </c>
      <c r="S851" s="31" t="s">
        <v>3992</v>
      </c>
      <c r="T851" s="31" t="s">
        <v>665</v>
      </c>
      <c r="U851" s="31" t="s">
        <v>361</v>
      </c>
      <c r="V851" s="31" t="s">
        <v>766</v>
      </c>
      <c r="W851" s="34"/>
    </row>
    <row r="852">
      <c r="A852" s="30">
        <v>847.0</v>
      </c>
      <c r="B852" s="31" t="s">
        <v>3993</v>
      </c>
      <c r="C852" s="31" t="s">
        <v>3994</v>
      </c>
      <c r="D852" s="31" t="s">
        <v>260</v>
      </c>
      <c r="E852" s="31" t="s">
        <v>274</v>
      </c>
      <c r="F852" s="32">
        <v>44538.0</v>
      </c>
      <c r="G852" s="32">
        <v>44600.0</v>
      </c>
      <c r="H852" s="31" t="s">
        <v>346</v>
      </c>
      <c r="I852" s="31" t="s">
        <v>275</v>
      </c>
      <c r="J852" s="31" t="s">
        <v>274</v>
      </c>
      <c r="K852" s="31" t="s">
        <v>424</v>
      </c>
      <c r="L852" s="31" t="s">
        <v>277</v>
      </c>
      <c r="M852" s="31" t="s">
        <v>3995</v>
      </c>
      <c r="N852" s="31" t="s">
        <v>267</v>
      </c>
      <c r="O852" s="34"/>
      <c r="P852" s="31">
        <v>2.0</v>
      </c>
      <c r="Q852" s="31" t="s">
        <v>307</v>
      </c>
      <c r="R852" s="32">
        <v>36538.0</v>
      </c>
      <c r="S852" s="31" t="s">
        <v>320</v>
      </c>
      <c r="T852" s="31" t="s">
        <v>744</v>
      </c>
      <c r="U852" s="31" t="s">
        <v>352</v>
      </c>
      <c r="V852" s="34"/>
      <c r="W852" s="34"/>
    </row>
    <row r="853">
      <c r="A853" s="30">
        <v>848.0</v>
      </c>
      <c r="B853" s="31" t="s">
        <v>3996</v>
      </c>
      <c r="C853" s="31" t="s">
        <v>3997</v>
      </c>
      <c r="D853" s="31" t="s">
        <v>765</v>
      </c>
      <c r="E853" s="31" t="s">
        <v>766</v>
      </c>
      <c r="F853" s="32">
        <v>43671.0</v>
      </c>
      <c r="G853" s="32">
        <v>43733.0</v>
      </c>
      <c r="H853" s="31" t="s">
        <v>346</v>
      </c>
      <c r="I853" s="31" t="s">
        <v>263</v>
      </c>
      <c r="J853" s="31" t="s">
        <v>767</v>
      </c>
      <c r="K853" s="31" t="s">
        <v>768</v>
      </c>
      <c r="L853" s="31" t="s">
        <v>769</v>
      </c>
      <c r="M853" s="31" t="s">
        <v>3998</v>
      </c>
      <c r="N853" s="31" t="s">
        <v>267</v>
      </c>
      <c r="O853" s="34"/>
      <c r="P853" s="31">
        <v>3.0</v>
      </c>
      <c r="Q853" s="31" t="s">
        <v>307</v>
      </c>
      <c r="R853" s="32">
        <v>35311.0</v>
      </c>
      <c r="S853" s="31" t="s">
        <v>1740</v>
      </c>
      <c r="T853" s="31" t="s">
        <v>696</v>
      </c>
      <c r="U853" s="31" t="s">
        <v>361</v>
      </c>
      <c r="V853" s="31" t="s">
        <v>766</v>
      </c>
      <c r="W853" s="34"/>
    </row>
    <row r="854">
      <c r="A854" s="30">
        <v>849.0</v>
      </c>
      <c r="B854" s="31" t="s">
        <v>3999</v>
      </c>
      <c r="C854" s="31" t="s">
        <v>4000</v>
      </c>
      <c r="D854" s="31" t="s">
        <v>1208</v>
      </c>
      <c r="E854" s="31" t="s">
        <v>1209</v>
      </c>
      <c r="F854" s="32">
        <v>42458.0</v>
      </c>
      <c r="G854" s="32">
        <v>42522.0</v>
      </c>
      <c r="H854" s="31" t="s">
        <v>346</v>
      </c>
      <c r="I854" s="31" t="s">
        <v>1209</v>
      </c>
      <c r="J854" s="34"/>
      <c r="K854" s="31" t="s">
        <v>1210</v>
      </c>
      <c r="L854" s="31" t="s">
        <v>1211</v>
      </c>
      <c r="M854" s="31" t="s">
        <v>4001</v>
      </c>
      <c r="N854" s="31" t="s">
        <v>267</v>
      </c>
      <c r="O854" s="34"/>
      <c r="P854" s="31">
        <v>6.0</v>
      </c>
      <c r="Q854" s="31" t="s">
        <v>307</v>
      </c>
      <c r="R854" s="32">
        <v>34579.0</v>
      </c>
      <c r="S854" s="31" t="s">
        <v>1416</v>
      </c>
      <c r="T854" s="31" t="s">
        <v>4002</v>
      </c>
      <c r="U854" s="31" t="s">
        <v>352</v>
      </c>
      <c r="V854" s="34"/>
      <c r="W854" s="34"/>
    </row>
    <row r="855">
      <c r="A855" s="30">
        <v>850.0</v>
      </c>
      <c r="B855" s="31" t="s">
        <v>4003</v>
      </c>
      <c r="C855" s="31" t="s">
        <v>4004</v>
      </c>
      <c r="D855" s="31" t="s">
        <v>260</v>
      </c>
      <c r="E855" s="31" t="s">
        <v>4005</v>
      </c>
      <c r="F855" s="32">
        <v>42829.0</v>
      </c>
      <c r="G855" s="32">
        <v>42890.0</v>
      </c>
      <c r="H855" s="31" t="s">
        <v>346</v>
      </c>
      <c r="I855" s="31" t="s">
        <v>275</v>
      </c>
      <c r="J855" s="31" t="s">
        <v>1067</v>
      </c>
      <c r="K855" s="31" t="s">
        <v>4006</v>
      </c>
      <c r="L855" s="31" t="s">
        <v>2036</v>
      </c>
      <c r="M855" s="31" t="s">
        <v>4007</v>
      </c>
      <c r="N855" s="31" t="s">
        <v>267</v>
      </c>
      <c r="O855" s="34"/>
      <c r="P855" s="31">
        <v>5.0</v>
      </c>
      <c r="Q855" s="31" t="s">
        <v>307</v>
      </c>
      <c r="R855" s="35">
        <v>34678.0</v>
      </c>
      <c r="S855" s="31" t="s">
        <v>531</v>
      </c>
      <c r="T855" s="31" t="s">
        <v>1242</v>
      </c>
      <c r="U855" s="31" t="s">
        <v>352</v>
      </c>
      <c r="V855" s="31" t="s">
        <v>4005</v>
      </c>
      <c r="W855" s="34"/>
    </row>
    <row r="856">
      <c r="A856" s="30">
        <v>851.0</v>
      </c>
      <c r="B856" s="31" t="s">
        <v>4008</v>
      </c>
      <c r="C856" s="31" t="s">
        <v>4009</v>
      </c>
      <c r="D856" s="31" t="s">
        <v>1678</v>
      </c>
      <c r="E856" s="31" t="s">
        <v>101</v>
      </c>
      <c r="F856" s="32">
        <v>42109.0</v>
      </c>
      <c r="G856" s="32">
        <v>42171.0</v>
      </c>
      <c r="H856" s="31" t="s">
        <v>346</v>
      </c>
      <c r="I856" s="31" t="s">
        <v>275</v>
      </c>
      <c r="J856" s="31" t="s">
        <v>101</v>
      </c>
      <c r="K856" s="31" t="s">
        <v>507</v>
      </c>
      <c r="L856" s="31" t="s">
        <v>2192</v>
      </c>
      <c r="M856" s="31" t="s">
        <v>4010</v>
      </c>
      <c r="N856" s="31" t="s">
        <v>467</v>
      </c>
      <c r="O856" s="31">
        <v>2.0</v>
      </c>
      <c r="P856" s="31">
        <v>15.0</v>
      </c>
      <c r="Q856" s="31" t="s">
        <v>307</v>
      </c>
      <c r="R856" s="32">
        <v>32365.0</v>
      </c>
      <c r="S856" s="31" t="s">
        <v>531</v>
      </c>
      <c r="T856" s="31" t="s">
        <v>3572</v>
      </c>
      <c r="U856" s="31" t="s">
        <v>352</v>
      </c>
      <c r="V856" s="34"/>
      <c r="W856" s="34"/>
    </row>
    <row r="857">
      <c r="A857" s="30">
        <v>852.0</v>
      </c>
      <c r="B857" s="31" t="s">
        <v>4011</v>
      </c>
      <c r="C857" s="31" t="s">
        <v>4012</v>
      </c>
      <c r="D857" s="31" t="s">
        <v>260</v>
      </c>
      <c r="E857" s="31" t="s">
        <v>4013</v>
      </c>
      <c r="F857" s="32">
        <v>44378.0</v>
      </c>
      <c r="G857" s="32">
        <v>44440.0</v>
      </c>
      <c r="H857" s="31" t="s">
        <v>346</v>
      </c>
      <c r="I857" s="31" t="s">
        <v>275</v>
      </c>
      <c r="J857" s="31" t="s">
        <v>927</v>
      </c>
      <c r="K857" s="31" t="s">
        <v>4014</v>
      </c>
      <c r="L857" s="31" t="s">
        <v>1114</v>
      </c>
      <c r="M857" s="31" t="s">
        <v>4015</v>
      </c>
      <c r="N857" s="31" t="s">
        <v>267</v>
      </c>
      <c r="O857" s="34"/>
      <c r="P857" s="31">
        <v>2.0</v>
      </c>
      <c r="Q857" s="31" t="s">
        <v>307</v>
      </c>
      <c r="R857" s="35">
        <v>36474.0</v>
      </c>
      <c r="S857" s="31" t="s">
        <v>1104</v>
      </c>
      <c r="T857" s="31" t="s">
        <v>744</v>
      </c>
      <c r="U857" s="31" t="s">
        <v>352</v>
      </c>
      <c r="V857" s="31" t="s">
        <v>4013</v>
      </c>
      <c r="W857" s="34"/>
    </row>
    <row r="858">
      <c r="A858" s="30">
        <v>853.0</v>
      </c>
      <c r="B858" s="31" t="s">
        <v>4016</v>
      </c>
      <c r="C858" s="31" t="s">
        <v>4017</v>
      </c>
      <c r="D858" s="31" t="s">
        <v>260</v>
      </c>
      <c r="E858" s="31" t="s">
        <v>397</v>
      </c>
      <c r="F858" s="32">
        <v>44274.0</v>
      </c>
      <c r="G858" s="32">
        <v>44335.0</v>
      </c>
      <c r="H858" s="31" t="s">
        <v>346</v>
      </c>
      <c r="I858" s="31" t="s">
        <v>112</v>
      </c>
      <c r="J858" s="31" t="s">
        <v>397</v>
      </c>
      <c r="K858" s="31" t="s">
        <v>398</v>
      </c>
      <c r="L858" s="31" t="s">
        <v>392</v>
      </c>
      <c r="M858" s="31" t="s">
        <v>4018</v>
      </c>
      <c r="N858" s="31" t="s">
        <v>267</v>
      </c>
      <c r="O858" s="34"/>
      <c r="P858" s="31">
        <v>2.0</v>
      </c>
      <c r="Q858" s="31" t="s">
        <v>307</v>
      </c>
      <c r="R858" s="32">
        <v>36022.0</v>
      </c>
      <c r="S858" s="31" t="s">
        <v>4019</v>
      </c>
      <c r="T858" s="31" t="s">
        <v>778</v>
      </c>
      <c r="U858" s="31" t="s">
        <v>361</v>
      </c>
      <c r="V858" s="34"/>
      <c r="W858" s="34"/>
    </row>
    <row r="859">
      <c r="A859" s="30">
        <v>854.0</v>
      </c>
      <c r="B859" s="31" t="s">
        <v>4020</v>
      </c>
      <c r="C859" s="31" t="s">
        <v>4021</v>
      </c>
      <c r="D859" s="31" t="s">
        <v>1678</v>
      </c>
      <c r="E859" s="31" t="s">
        <v>101</v>
      </c>
      <c r="F859" s="32">
        <v>41015.0</v>
      </c>
      <c r="G859" s="32">
        <v>41091.0</v>
      </c>
      <c r="H859" s="31" t="s">
        <v>346</v>
      </c>
      <c r="I859" s="31" t="s">
        <v>101</v>
      </c>
      <c r="J859" s="34"/>
      <c r="K859" s="31" t="s">
        <v>4022</v>
      </c>
      <c r="L859" s="31" t="s">
        <v>1680</v>
      </c>
      <c r="M859" s="31" t="s">
        <v>4023</v>
      </c>
      <c r="N859" s="31" t="s">
        <v>467</v>
      </c>
      <c r="O859" s="31">
        <v>2.0</v>
      </c>
      <c r="P859" s="31">
        <v>10.0</v>
      </c>
      <c r="Q859" s="31" t="s">
        <v>307</v>
      </c>
      <c r="R859" s="35">
        <v>32508.0</v>
      </c>
      <c r="S859" s="31" t="s">
        <v>531</v>
      </c>
      <c r="T859" s="31" t="s">
        <v>459</v>
      </c>
      <c r="U859" s="31" t="s">
        <v>361</v>
      </c>
      <c r="V859" s="34"/>
      <c r="W859" s="34"/>
    </row>
    <row r="860">
      <c r="A860" s="30">
        <v>855.0</v>
      </c>
      <c r="B860" s="31" t="s">
        <v>4024</v>
      </c>
      <c r="C860" s="31" t="s">
        <v>4025</v>
      </c>
      <c r="D860" s="31" t="s">
        <v>925</v>
      </c>
      <c r="E860" s="31" t="s">
        <v>1088</v>
      </c>
      <c r="F860" s="32">
        <v>44956.0</v>
      </c>
      <c r="G860" s="32">
        <v>45015.0</v>
      </c>
      <c r="H860" s="31" t="s">
        <v>346</v>
      </c>
      <c r="I860" s="31" t="s">
        <v>275</v>
      </c>
      <c r="J860" s="31" t="s">
        <v>1067</v>
      </c>
      <c r="K860" s="31" t="s">
        <v>1089</v>
      </c>
      <c r="L860" s="31" t="s">
        <v>929</v>
      </c>
      <c r="M860" s="31" t="s">
        <v>4026</v>
      </c>
      <c r="N860" s="31" t="s">
        <v>267</v>
      </c>
      <c r="O860" s="34"/>
      <c r="P860" s="31">
        <v>1.0</v>
      </c>
      <c r="Q860" s="31" t="s">
        <v>307</v>
      </c>
      <c r="R860" s="32">
        <v>37071.0</v>
      </c>
      <c r="S860" s="31" t="s">
        <v>804</v>
      </c>
      <c r="T860" s="31" t="s">
        <v>686</v>
      </c>
      <c r="U860" s="31" t="s">
        <v>352</v>
      </c>
      <c r="V860" s="31" t="s">
        <v>1088</v>
      </c>
      <c r="W860" s="34"/>
    </row>
    <row r="861">
      <c r="A861" s="30">
        <v>856.0</v>
      </c>
      <c r="B861" s="31" t="s">
        <v>4027</v>
      </c>
      <c r="C861" s="31" t="s">
        <v>4028</v>
      </c>
      <c r="D861" s="31" t="s">
        <v>260</v>
      </c>
      <c r="E861" s="31" t="s">
        <v>130</v>
      </c>
      <c r="F861" s="35">
        <v>44914.0</v>
      </c>
      <c r="G861" s="32">
        <v>44976.0</v>
      </c>
      <c r="H861" s="31" t="s">
        <v>346</v>
      </c>
      <c r="I861" s="31" t="s">
        <v>263</v>
      </c>
      <c r="J861" s="31" t="s">
        <v>130</v>
      </c>
      <c r="K861" s="31" t="s">
        <v>410</v>
      </c>
      <c r="L861" s="31" t="s">
        <v>265</v>
      </c>
      <c r="M861" s="31" t="s">
        <v>4029</v>
      </c>
      <c r="N861" s="31" t="s">
        <v>267</v>
      </c>
      <c r="O861" s="34"/>
      <c r="P861" s="31">
        <v>1.0</v>
      </c>
      <c r="Q861" s="31" t="s">
        <v>307</v>
      </c>
      <c r="R861" s="32">
        <v>36918.0</v>
      </c>
      <c r="S861" s="31" t="s">
        <v>4030</v>
      </c>
      <c r="T861" s="31" t="s">
        <v>1019</v>
      </c>
      <c r="U861" s="31" t="s">
        <v>361</v>
      </c>
      <c r="V861" s="34"/>
      <c r="W861" s="34"/>
    </row>
    <row r="862">
      <c r="A862" s="30">
        <v>857.0</v>
      </c>
      <c r="B862" s="31" t="s">
        <v>4031</v>
      </c>
      <c r="C862" s="31" t="s">
        <v>4032</v>
      </c>
      <c r="D862" s="31" t="s">
        <v>260</v>
      </c>
      <c r="E862" s="31" t="s">
        <v>390</v>
      </c>
      <c r="F862" s="32">
        <v>44629.0</v>
      </c>
      <c r="G862" s="32">
        <v>44690.0</v>
      </c>
      <c r="H862" s="31" t="s">
        <v>346</v>
      </c>
      <c r="I862" s="31" t="s">
        <v>112</v>
      </c>
      <c r="J862" s="31" t="s">
        <v>390</v>
      </c>
      <c r="K862" s="31" t="s">
        <v>391</v>
      </c>
      <c r="L862" s="31" t="s">
        <v>392</v>
      </c>
      <c r="M862" s="31" t="s">
        <v>4033</v>
      </c>
      <c r="N862" s="31" t="s">
        <v>267</v>
      </c>
      <c r="O862" s="34"/>
      <c r="P862" s="31">
        <v>1.0</v>
      </c>
      <c r="Q862" s="31" t="s">
        <v>307</v>
      </c>
      <c r="R862" s="32">
        <v>36550.0</v>
      </c>
      <c r="S862" s="31" t="s">
        <v>320</v>
      </c>
      <c r="T862" s="31" t="s">
        <v>4034</v>
      </c>
      <c r="U862" s="31" t="s">
        <v>361</v>
      </c>
      <c r="V862" s="34"/>
      <c r="W862" s="34"/>
    </row>
    <row r="863">
      <c r="A863" s="30">
        <v>858.0</v>
      </c>
      <c r="B863" s="31" t="s">
        <v>4035</v>
      </c>
      <c r="C863" s="31" t="s">
        <v>4036</v>
      </c>
      <c r="D863" s="31" t="s">
        <v>1541</v>
      </c>
      <c r="E863" s="31" t="s">
        <v>1486</v>
      </c>
      <c r="F863" s="32">
        <v>42514.0</v>
      </c>
      <c r="G863" s="32">
        <v>42575.0</v>
      </c>
      <c r="H863" s="31" t="s">
        <v>346</v>
      </c>
      <c r="I863" s="31" t="s">
        <v>315</v>
      </c>
      <c r="J863" s="31" t="s">
        <v>1487</v>
      </c>
      <c r="K863" s="31" t="s">
        <v>1488</v>
      </c>
      <c r="L863" s="31" t="s">
        <v>1542</v>
      </c>
      <c r="M863" s="31" t="s">
        <v>4037</v>
      </c>
      <c r="N863" s="31" t="s">
        <v>467</v>
      </c>
      <c r="O863" s="31">
        <v>1.0</v>
      </c>
      <c r="P863" s="31">
        <v>7.0</v>
      </c>
      <c r="Q863" s="31" t="s">
        <v>307</v>
      </c>
      <c r="R863" s="32">
        <v>33064.0</v>
      </c>
      <c r="S863" s="31" t="s">
        <v>4038</v>
      </c>
      <c r="T863" s="31" t="s">
        <v>1281</v>
      </c>
      <c r="U863" s="31" t="s">
        <v>352</v>
      </c>
      <c r="V863" s="31" t="s">
        <v>1486</v>
      </c>
      <c r="W863" s="34"/>
    </row>
    <row r="864">
      <c r="A864" s="30">
        <v>859.0</v>
      </c>
      <c r="B864" s="31" t="s">
        <v>4039</v>
      </c>
      <c r="C864" s="31" t="s">
        <v>2520</v>
      </c>
      <c r="D864" s="31" t="s">
        <v>1541</v>
      </c>
      <c r="E864" s="31" t="s">
        <v>314</v>
      </c>
      <c r="F864" s="32">
        <v>40674.0</v>
      </c>
      <c r="G864" s="32">
        <v>40740.0</v>
      </c>
      <c r="H864" s="31" t="s">
        <v>346</v>
      </c>
      <c r="I864" s="31" t="s">
        <v>315</v>
      </c>
      <c r="J864" s="31" t="s">
        <v>316</v>
      </c>
      <c r="K864" s="31" t="s">
        <v>1530</v>
      </c>
      <c r="L864" s="31" t="s">
        <v>1542</v>
      </c>
      <c r="M864" s="31" t="s">
        <v>4040</v>
      </c>
      <c r="N864" s="31" t="s">
        <v>267</v>
      </c>
      <c r="O864" s="31">
        <v>1.0</v>
      </c>
      <c r="P864" s="31">
        <v>5.0</v>
      </c>
      <c r="Q864" s="31" t="s">
        <v>307</v>
      </c>
      <c r="R864" s="32">
        <v>32764.0</v>
      </c>
      <c r="S864" s="31" t="s">
        <v>526</v>
      </c>
      <c r="T864" s="31" t="s">
        <v>778</v>
      </c>
      <c r="U864" s="31" t="s">
        <v>352</v>
      </c>
      <c r="V864" s="31" t="s">
        <v>314</v>
      </c>
      <c r="W864" s="34"/>
    </row>
    <row r="865">
      <c r="A865" s="30">
        <v>860.0</v>
      </c>
      <c r="B865" s="31" t="s">
        <v>4041</v>
      </c>
      <c r="C865" s="31" t="s">
        <v>4042</v>
      </c>
      <c r="D865" s="31" t="s">
        <v>1541</v>
      </c>
      <c r="E865" s="31" t="s">
        <v>1507</v>
      </c>
      <c r="F865" s="32">
        <v>43109.0</v>
      </c>
      <c r="G865" s="32">
        <v>43168.0</v>
      </c>
      <c r="H865" s="31" t="s">
        <v>346</v>
      </c>
      <c r="I865" s="31" t="s">
        <v>315</v>
      </c>
      <c r="J865" s="31" t="s">
        <v>1487</v>
      </c>
      <c r="K865" s="31" t="s">
        <v>1508</v>
      </c>
      <c r="L865" s="31" t="s">
        <v>1542</v>
      </c>
      <c r="M865" s="31" t="s">
        <v>4043</v>
      </c>
      <c r="N865" s="31" t="s">
        <v>467</v>
      </c>
      <c r="O865" s="31">
        <v>1.0</v>
      </c>
      <c r="P865" s="31">
        <v>5.0</v>
      </c>
      <c r="Q865" s="31" t="s">
        <v>307</v>
      </c>
      <c r="R865" s="35">
        <v>34265.0</v>
      </c>
      <c r="S865" s="31" t="s">
        <v>681</v>
      </c>
      <c r="T865" s="31" t="s">
        <v>686</v>
      </c>
      <c r="U865" s="31" t="s">
        <v>352</v>
      </c>
      <c r="V865" s="31" t="s">
        <v>1507</v>
      </c>
      <c r="W865" s="34"/>
    </row>
    <row r="866">
      <c r="A866" s="30">
        <v>861.0</v>
      </c>
      <c r="B866" s="31" t="s">
        <v>4044</v>
      </c>
      <c r="C866" s="31" t="s">
        <v>3839</v>
      </c>
      <c r="D866" s="31" t="s">
        <v>260</v>
      </c>
      <c r="E866" s="31" t="s">
        <v>124</v>
      </c>
      <c r="F866" s="32">
        <v>43671.0</v>
      </c>
      <c r="G866" s="32">
        <v>43733.0</v>
      </c>
      <c r="H866" s="31" t="s">
        <v>346</v>
      </c>
      <c r="I866" s="31" t="s">
        <v>263</v>
      </c>
      <c r="J866" s="31" t="s">
        <v>123</v>
      </c>
      <c r="K866" s="31" t="s">
        <v>535</v>
      </c>
      <c r="L866" s="31" t="s">
        <v>431</v>
      </c>
      <c r="M866" s="31" t="s">
        <v>4045</v>
      </c>
      <c r="N866" s="31" t="s">
        <v>267</v>
      </c>
      <c r="O866" s="34"/>
      <c r="P866" s="31">
        <v>5.0</v>
      </c>
      <c r="Q866" s="31" t="s">
        <v>307</v>
      </c>
      <c r="R866" s="32">
        <v>35112.0</v>
      </c>
      <c r="S866" s="31" t="s">
        <v>838</v>
      </c>
      <c r="T866" s="31" t="s">
        <v>4046</v>
      </c>
      <c r="U866" s="31" t="s">
        <v>361</v>
      </c>
      <c r="V866" s="31" t="s">
        <v>124</v>
      </c>
      <c r="W866" s="34"/>
    </row>
    <row r="867">
      <c r="A867" s="30">
        <v>862.0</v>
      </c>
      <c r="B867" s="31" t="s">
        <v>4047</v>
      </c>
      <c r="C867" s="31" t="s">
        <v>4048</v>
      </c>
      <c r="D867" s="31" t="s">
        <v>260</v>
      </c>
      <c r="E867" s="31" t="s">
        <v>1130</v>
      </c>
      <c r="F867" s="32">
        <v>44013.0</v>
      </c>
      <c r="G867" s="32">
        <v>44075.0</v>
      </c>
      <c r="H867" s="31" t="s">
        <v>346</v>
      </c>
      <c r="I867" s="31" t="s">
        <v>112</v>
      </c>
      <c r="J867" s="31" t="s">
        <v>1130</v>
      </c>
      <c r="K867" s="31" t="s">
        <v>1131</v>
      </c>
      <c r="L867" s="31" t="s">
        <v>392</v>
      </c>
      <c r="M867" s="31" t="s">
        <v>4049</v>
      </c>
      <c r="N867" s="31" t="s">
        <v>267</v>
      </c>
      <c r="O867" s="34"/>
      <c r="P867" s="31">
        <v>3.0</v>
      </c>
      <c r="Q867" s="31" t="s">
        <v>581</v>
      </c>
      <c r="R867" s="32">
        <v>35913.0</v>
      </c>
      <c r="S867" s="31" t="s">
        <v>4050</v>
      </c>
      <c r="T867" s="31" t="s">
        <v>686</v>
      </c>
      <c r="U867" s="31" t="s">
        <v>361</v>
      </c>
      <c r="V867" s="34"/>
      <c r="W867" s="34"/>
    </row>
    <row r="868">
      <c r="A868" s="30">
        <v>863.0</v>
      </c>
      <c r="B868" s="31" t="s">
        <v>4051</v>
      </c>
      <c r="C868" s="31" t="s">
        <v>4052</v>
      </c>
      <c r="D868" s="31" t="s">
        <v>313</v>
      </c>
      <c r="E868" s="31" t="s">
        <v>1486</v>
      </c>
      <c r="F868" s="35">
        <v>42662.0</v>
      </c>
      <c r="G868" s="35">
        <v>42723.0</v>
      </c>
      <c r="H868" s="31" t="s">
        <v>346</v>
      </c>
      <c r="I868" s="31" t="s">
        <v>315</v>
      </c>
      <c r="J868" s="31" t="s">
        <v>1487</v>
      </c>
      <c r="K868" s="31" t="s">
        <v>1488</v>
      </c>
      <c r="L868" s="31" t="s">
        <v>318</v>
      </c>
      <c r="M868" s="31" t="s">
        <v>4053</v>
      </c>
      <c r="N868" s="31" t="s">
        <v>267</v>
      </c>
      <c r="O868" s="34"/>
      <c r="P868" s="31">
        <v>10.0</v>
      </c>
      <c r="Q868" s="31" t="s">
        <v>307</v>
      </c>
      <c r="R868" s="32">
        <v>34145.0</v>
      </c>
      <c r="S868" s="31" t="s">
        <v>3871</v>
      </c>
      <c r="T868" s="31" t="s">
        <v>744</v>
      </c>
      <c r="U868" s="31" t="s">
        <v>352</v>
      </c>
      <c r="V868" s="31" t="s">
        <v>1486</v>
      </c>
      <c r="W868" s="34"/>
    </row>
    <row r="869">
      <c r="A869" s="30">
        <v>864.0</v>
      </c>
      <c r="B869" s="31" t="s">
        <v>4054</v>
      </c>
      <c r="C869" s="31" t="s">
        <v>4055</v>
      </c>
      <c r="D869" s="31" t="s">
        <v>925</v>
      </c>
      <c r="E869" s="31" t="s">
        <v>926</v>
      </c>
      <c r="F869" s="32">
        <v>45268.0</v>
      </c>
      <c r="G869" s="32">
        <v>45328.0</v>
      </c>
      <c r="H869" s="31" t="s">
        <v>346</v>
      </c>
      <c r="I869" s="31" t="s">
        <v>275</v>
      </c>
      <c r="J869" s="31" t="s">
        <v>927</v>
      </c>
      <c r="K869" s="31" t="s">
        <v>928</v>
      </c>
      <c r="L869" s="31" t="s">
        <v>929</v>
      </c>
      <c r="M869" s="31" t="s">
        <v>4056</v>
      </c>
      <c r="N869" s="31" t="s">
        <v>267</v>
      </c>
      <c r="O869" s="34"/>
      <c r="P869" s="31">
        <v>1.0</v>
      </c>
      <c r="Q869" s="31" t="s">
        <v>307</v>
      </c>
      <c r="R869" s="32">
        <v>37317.0</v>
      </c>
      <c r="S869" s="31" t="s">
        <v>4057</v>
      </c>
      <c r="T869" s="31" t="s">
        <v>341</v>
      </c>
      <c r="U869" s="31" t="s">
        <v>352</v>
      </c>
      <c r="V869" s="31" t="s">
        <v>926</v>
      </c>
      <c r="W869" s="34"/>
    </row>
    <row r="870">
      <c r="A870" s="30">
        <v>865.0</v>
      </c>
      <c r="B870" s="31" t="s">
        <v>4058</v>
      </c>
      <c r="C870" s="31" t="s">
        <v>4059</v>
      </c>
      <c r="D870" s="31" t="s">
        <v>925</v>
      </c>
      <c r="E870" s="31" t="s">
        <v>926</v>
      </c>
      <c r="F870" s="32">
        <v>45268.0</v>
      </c>
      <c r="G870" s="32">
        <v>45328.0</v>
      </c>
      <c r="H870" s="31" t="s">
        <v>346</v>
      </c>
      <c r="I870" s="31" t="s">
        <v>275</v>
      </c>
      <c r="J870" s="31" t="s">
        <v>927</v>
      </c>
      <c r="K870" s="31" t="s">
        <v>928</v>
      </c>
      <c r="L870" s="31" t="s">
        <v>929</v>
      </c>
      <c r="M870" s="31" t="s">
        <v>4060</v>
      </c>
      <c r="N870" s="31" t="s">
        <v>267</v>
      </c>
      <c r="O870" s="34"/>
      <c r="P870" s="31">
        <v>1.0</v>
      </c>
      <c r="Q870" s="31" t="s">
        <v>307</v>
      </c>
      <c r="R870" s="32">
        <v>36938.0</v>
      </c>
      <c r="S870" s="31" t="s">
        <v>433</v>
      </c>
      <c r="T870" s="31" t="s">
        <v>383</v>
      </c>
      <c r="U870" s="31" t="s">
        <v>352</v>
      </c>
      <c r="V870" s="31" t="s">
        <v>926</v>
      </c>
      <c r="W870" s="34"/>
    </row>
    <row r="871">
      <c r="A871" s="30">
        <v>866.0</v>
      </c>
      <c r="B871" s="31" t="s">
        <v>4061</v>
      </c>
      <c r="C871" s="31" t="s">
        <v>3556</v>
      </c>
      <c r="D871" s="31" t="s">
        <v>364</v>
      </c>
      <c r="E871" s="31" t="s">
        <v>365</v>
      </c>
      <c r="F871" s="35">
        <v>45244.0</v>
      </c>
      <c r="G871" s="32">
        <v>45304.0</v>
      </c>
      <c r="H871" s="31" t="s">
        <v>346</v>
      </c>
      <c r="I871" s="31" t="s">
        <v>93</v>
      </c>
      <c r="J871" s="31" t="s">
        <v>366</v>
      </c>
      <c r="K871" s="31" t="s">
        <v>367</v>
      </c>
      <c r="L871" s="31" t="s">
        <v>368</v>
      </c>
      <c r="M871" s="31" t="s">
        <v>4062</v>
      </c>
      <c r="N871" s="31" t="s">
        <v>267</v>
      </c>
      <c r="O871" s="34"/>
      <c r="P871" s="31">
        <v>1.0</v>
      </c>
      <c r="Q871" s="31" t="s">
        <v>307</v>
      </c>
      <c r="R871" s="35">
        <v>35713.0</v>
      </c>
      <c r="S871" s="31" t="s">
        <v>1104</v>
      </c>
      <c r="T871" s="31" t="s">
        <v>744</v>
      </c>
      <c r="U871" s="31" t="s">
        <v>352</v>
      </c>
      <c r="V871" s="31" t="s">
        <v>365</v>
      </c>
      <c r="W871" s="34"/>
    </row>
    <row r="872">
      <c r="A872" s="30">
        <v>867.0</v>
      </c>
      <c r="B872" s="31" t="s">
        <v>4063</v>
      </c>
      <c r="C872" s="31" t="s">
        <v>4064</v>
      </c>
      <c r="D872" s="31" t="s">
        <v>364</v>
      </c>
      <c r="E872" s="31" t="s">
        <v>365</v>
      </c>
      <c r="F872" s="32">
        <v>45232.0</v>
      </c>
      <c r="G872" s="32">
        <v>45292.0</v>
      </c>
      <c r="H872" s="31" t="s">
        <v>346</v>
      </c>
      <c r="I872" s="31" t="s">
        <v>93</v>
      </c>
      <c r="J872" s="31" t="s">
        <v>366</v>
      </c>
      <c r="K872" s="31" t="s">
        <v>367</v>
      </c>
      <c r="L872" s="31" t="s">
        <v>368</v>
      </c>
      <c r="M872" s="31" t="s">
        <v>4065</v>
      </c>
      <c r="N872" s="31" t="s">
        <v>267</v>
      </c>
      <c r="O872" s="34"/>
      <c r="P872" s="31">
        <v>1.0</v>
      </c>
      <c r="Q872" s="31" t="s">
        <v>307</v>
      </c>
      <c r="R872" s="32">
        <v>35705.0</v>
      </c>
      <c r="S872" s="31" t="s">
        <v>4066</v>
      </c>
      <c r="T872" s="31" t="s">
        <v>383</v>
      </c>
      <c r="U872" s="31" t="s">
        <v>352</v>
      </c>
      <c r="V872" s="31" t="s">
        <v>365</v>
      </c>
      <c r="W872" s="34"/>
    </row>
    <row r="873">
      <c r="A873" s="30">
        <v>868.0</v>
      </c>
      <c r="B873" s="31" t="s">
        <v>4067</v>
      </c>
      <c r="C873" s="31" t="s">
        <v>4068</v>
      </c>
      <c r="D873" s="31" t="s">
        <v>260</v>
      </c>
      <c r="E873" s="31" t="s">
        <v>403</v>
      </c>
      <c r="F873" s="35">
        <v>45218.0</v>
      </c>
      <c r="G873" s="35">
        <v>45278.0</v>
      </c>
      <c r="H873" s="31" t="s">
        <v>346</v>
      </c>
      <c r="I873" s="31" t="s">
        <v>112</v>
      </c>
      <c r="J873" s="31" t="s">
        <v>403</v>
      </c>
      <c r="K873" s="31" t="s">
        <v>404</v>
      </c>
      <c r="L873" s="31" t="s">
        <v>392</v>
      </c>
      <c r="M873" s="31" t="s">
        <v>4069</v>
      </c>
      <c r="N873" s="31" t="s">
        <v>267</v>
      </c>
      <c r="O873" s="34"/>
      <c r="P873" s="31">
        <v>1.0</v>
      </c>
      <c r="Q873" s="31" t="s">
        <v>307</v>
      </c>
      <c r="R873" s="32">
        <v>37226.0</v>
      </c>
      <c r="S873" s="31" t="s">
        <v>4070</v>
      </c>
      <c r="T873" s="31" t="s">
        <v>4071</v>
      </c>
      <c r="U873" s="31" t="s">
        <v>361</v>
      </c>
      <c r="V873" s="34"/>
      <c r="W873" s="34"/>
    </row>
    <row r="874">
      <c r="A874" s="30">
        <v>869.0</v>
      </c>
      <c r="B874" s="31" t="s">
        <v>4072</v>
      </c>
      <c r="C874" s="31" t="s">
        <v>4073</v>
      </c>
      <c r="D874" s="31" t="s">
        <v>260</v>
      </c>
      <c r="E874" s="31" t="s">
        <v>547</v>
      </c>
      <c r="F874" s="32">
        <v>45145.0</v>
      </c>
      <c r="G874" s="32">
        <v>45205.0</v>
      </c>
      <c r="H874" s="31" t="s">
        <v>346</v>
      </c>
      <c r="I874" s="31" t="s">
        <v>263</v>
      </c>
      <c r="J874" s="31" t="s">
        <v>356</v>
      </c>
      <c r="K874" s="31" t="s">
        <v>548</v>
      </c>
      <c r="L874" s="31" t="s">
        <v>328</v>
      </c>
      <c r="M874" s="31" t="s">
        <v>4074</v>
      </c>
      <c r="N874" s="31" t="s">
        <v>267</v>
      </c>
      <c r="O874" s="34"/>
      <c r="P874" s="31">
        <v>1.0</v>
      </c>
      <c r="Q874" s="31" t="s">
        <v>307</v>
      </c>
      <c r="R874" s="32">
        <v>36542.0</v>
      </c>
      <c r="S874" s="31" t="s">
        <v>286</v>
      </c>
      <c r="T874" s="31" t="s">
        <v>4075</v>
      </c>
      <c r="U874" s="31" t="s">
        <v>361</v>
      </c>
      <c r="V874" s="31" t="s">
        <v>547</v>
      </c>
      <c r="W874" s="34"/>
    </row>
    <row r="875">
      <c r="A875" s="30">
        <v>870.0</v>
      </c>
      <c r="B875" s="31" t="s">
        <v>4076</v>
      </c>
      <c r="C875" s="31" t="s">
        <v>4077</v>
      </c>
      <c r="D875" s="31" t="s">
        <v>260</v>
      </c>
      <c r="E875" s="31" t="s">
        <v>295</v>
      </c>
      <c r="F875" s="32">
        <v>44988.0</v>
      </c>
      <c r="G875" s="32">
        <v>45049.0</v>
      </c>
      <c r="H875" s="31" t="s">
        <v>346</v>
      </c>
      <c r="I875" s="31" t="s">
        <v>275</v>
      </c>
      <c r="J875" s="31" t="s">
        <v>295</v>
      </c>
      <c r="K875" s="31" t="s">
        <v>1033</v>
      </c>
      <c r="L875" s="31" t="s">
        <v>297</v>
      </c>
      <c r="M875" s="31" t="s">
        <v>4078</v>
      </c>
      <c r="N875" s="31" t="s">
        <v>267</v>
      </c>
      <c r="O875" s="34"/>
      <c r="P875" s="31">
        <v>1.0</v>
      </c>
      <c r="Q875" s="31" t="s">
        <v>307</v>
      </c>
      <c r="R875" s="32">
        <v>36699.0</v>
      </c>
      <c r="S875" s="31" t="s">
        <v>320</v>
      </c>
      <c r="T875" s="31" t="s">
        <v>4079</v>
      </c>
      <c r="U875" s="31" t="s">
        <v>352</v>
      </c>
      <c r="V875" s="34"/>
      <c r="W875" s="34"/>
    </row>
    <row r="876">
      <c r="A876" s="30">
        <v>871.0</v>
      </c>
      <c r="B876" s="31" t="s">
        <v>4080</v>
      </c>
      <c r="C876" s="31" t="s">
        <v>4081</v>
      </c>
      <c r="D876" s="31" t="s">
        <v>260</v>
      </c>
      <c r="E876" s="31" t="s">
        <v>130</v>
      </c>
      <c r="F876" s="35">
        <v>44914.0</v>
      </c>
      <c r="G876" s="32">
        <v>44976.0</v>
      </c>
      <c r="H876" s="31" t="s">
        <v>346</v>
      </c>
      <c r="I876" s="31" t="s">
        <v>263</v>
      </c>
      <c r="J876" s="31" t="s">
        <v>130</v>
      </c>
      <c r="K876" s="31" t="s">
        <v>410</v>
      </c>
      <c r="L876" s="31" t="s">
        <v>265</v>
      </c>
      <c r="M876" s="31" t="s">
        <v>4082</v>
      </c>
      <c r="N876" s="31" t="s">
        <v>267</v>
      </c>
      <c r="O876" s="34"/>
      <c r="P876" s="31">
        <v>1.0</v>
      </c>
      <c r="Q876" s="31" t="s">
        <v>307</v>
      </c>
      <c r="R876" s="32">
        <v>37129.0</v>
      </c>
      <c r="S876" s="31" t="s">
        <v>4083</v>
      </c>
      <c r="T876" s="31" t="s">
        <v>4084</v>
      </c>
      <c r="U876" s="31" t="s">
        <v>361</v>
      </c>
      <c r="V876" s="34"/>
      <c r="W876" s="34"/>
    </row>
    <row r="877">
      <c r="A877" s="30">
        <v>872.0</v>
      </c>
      <c r="B877" s="31" t="s">
        <v>4085</v>
      </c>
      <c r="C877" s="31" t="s">
        <v>4086</v>
      </c>
      <c r="D877" s="31" t="s">
        <v>260</v>
      </c>
      <c r="E877" s="31" t="s">
        <v>274</v>
      </c>
      <c r="F877" s="32">
        <v>44768.0</v>
      </c>
      <c r="G877" s="32">
        <v>44830.0</v>
      </c>
      <c r="H877" s="31" t="s">
        <v>346</v>
      </c>
      <c r="I877" s="31" t="s">
        <v>275</v>
      </c>
      <c r="J877" s="31" t="s">
        <v>274</v>
      </c>
      <c r="K877" s="31" t="s">
        <v>424</v>
      </c>
      <c r="L877" s="31" t="s">
        <v>277</v>
      </c>
      <c r="M877" s="31" t="s">
        <v>4087</v>
      </c>
      <c r="N877" s="31" t="s">
        <v>267</v>
      </c>
      <c r="O877" s="34"/>
      <c r="P877" s="31">
        <v>1.0</v>
      </c>
      <c r="Q877" s="31" t="s">
        <v>307</v>
      </c>
      <c r="R877" s="32">
        <v>36866.0</v>
      </c>
      <c r="S877" s="31" t="s">
        <v>4088</v>
      </c>
      <c r="T877" s="31" t="s">
        <v>4089</v>
      </c>
      <c r="U877" s="31" t="s">
        <v>352</v>
      </c>
      <c r="V877" s="34"/>
      <c r="W877" s="34"/>
    </row>
    <row r="878">
      <c r="A878" s="30">
        <v>873.0</v>
      </c>
      <c r="B878" s="31" t="s">
        <v>4090</v>
      </c>
      <c r="C878" s="31" t="s">
        <v>4091</v>
      </c>
      <c r="D878" s="31" t="s">
        <v>260</v>
      </c>
      <c r="E878" s="31" t="s">
        <v>540</v>
      </c>
      <c r="F878" s="32">
        <v>44756.0</v>
      </c>
      <c r="G878" s="32">
        <v>44818.0</v>
      </c>
      <c r="H878" s="31" t="s">
        <v>346</v>
      </c>
      <c r="I878" s="31" t="s">
        <v>263</v>
      </c>
      <c r="J878" s="31" t="s">
        <v>356</v>
      </c>
      <c r="K878" s="31" t="s">
        <v>541</v>
      </c>
      <c r="L878" s="31" t="s">
        <v>328</v>
      </c>
      <c r="M878" s="31" t="s">
        <v>4092</v>
      </c>
      <c r="N878" s="31" t="s">
        <v>267</v>
      </c>
      <c r="O878" s="34"/>
      <c r="P878" s="31">
        <v>2.0</v>
      </c>
      <c r="Q878" s="31" t="s">
        <v>581</v>
      </c>
      <c r="R878" s="32">
        <v>36902.0</v>
      </c>
      <c r="S878" s="31" t="s">
        <v>4093</v>
      </c>
      <c r="T878" s="31" t="s">
        <v>383</v>
      </c>
      <c r="U878" s="31" t="s">
        <v>361</v>
      </c>
      <c r="V878" s="31" t="s">
        <v>540</v>
      </c>
      <c r="W878" s="34"/>
    </row>
    <row r="879">
      <c r="A879" s="30">
        <v>874.0</v>
      </c>
      <c r="B879" s="31" t="s">
        <v>4094</v>
      </c>
      <c r="C879" s="31" t="s">
        <v>4095</v>
      </c>
      <c r="D879" s="31" t="s">
        <v>364</v>
      </c>
      <c r="E879" s="31" t="s">
        <v>365</v>
      </c>
      <c r="F879" s="32">
        <v>44685.0</v>
      </c>
      <c r="G879" s="32">
        <v>44746.0</v>
      </c>
      <c r="H879" s="31" t="s">
        <v>346</v>
      </c>
      <c r="I879" s="31" t="s">
        <v>93</v>
      </c>
      <c r="J879" s="31" t="s">
        <v>366</v>
      </c>
      <c r="K879" s="31" t="s">
        <v>367</v>
      </c>
      <c r="L879" s="31" t="s">
        <v>368</v>
      </c>
      <c r="M879" s="31" t="s">
        <v>4096</v>
      </c>
      <c r="N879" s="31" t="s">
        <v>467</v>
      </c>
      <c r="O879" s="34"/>
      <c r="P879" s="31">
        <v>5.0</v>
      </c>
      <c r="Q879" s="31" t="s">
        <v>307</v>
      </c>
      <c r="R879" s="32">
        <v>35647.0</v>
      </c>
      <c r="S879" s="31" t="s">
        <v>2057</v>
      </c>
      <c r="T879" s="31" t="s">
        <v>1081</v>
      </c>
      <c r="U879" s="31" t="s">
        <v>352</v>
      </c>
      <c r="V879" s="31" t="s">
        <v>365</v>
      </c>
      <c r="W879" s="34"/>
    </row>
    <row r="880">
      <c r="A880" s="30">
        <v>875.0</v>
      </c>
      <c r="B880" s="31" t="s">
        <v>4097</v>
      </c>
      <c r="C880" s="31" t="s">
        <v>4098</v>
      </c>
      <c r="D880" s="31" t="s">
        <v>260</v>
      </c>
      <c r="E880" s="31" t="s">
        <v>397</v>
      </c>
      <c r="F880" s="32">
        <v>43949.0</v>
      </c>
      <c r="G880" s="32">
        <v>44010.0</v>
      </c>
      <c r="H880" s="31" t="s">
        <v>346</v>
      </c>
      <c r="I880" s="31" t="s">
        <v>112</v>
      </c>
      <c r="J880" s="31" t="s">
        <v>397</v>
      </c>
      <c r="K880" s="31" t="s">
        <v>398</v>
      </c>
      <c r="L880" s="31" t="s">
        <v>392</v>
      </c>
      <c r="M880" s="31" t="s">
        <v>4099</v>
      </c>
      <c r="N880" s="31" t="s">
        <v>267</v>
      </c>
      <c r="O880" s="34"/>
      <c r="P880" s="31">
        <v>2.0</v>
      </c>
      <c r="Q880" s="31" t="s">
        <v>307</v>
      </c>
      <c r="R880" s="32">
        <v>35708.0</v>
      </c>
      <c r="S880" s="31" t="s">
        <v>4100</v>
      </c>
      <c r="T880" s="31" t="s">
        <v>744</v>
      </c>
      <c r="U880" s="31" t="s">
        <v>361</v>
      </c>
      <c r="V880" s="34"/>
      <c r="W880" s="34"/>
    </row>
    <row r="881">
      <c r="A881" s="30">
        <v>876.0</v>
      </c>
      <c r="B881" s="31" t="s">
        <v>4101</v>
      </c>
      <c r="C881" s="31" t="s">
        <v>4102</v>
      </c>
      <c r="D881" s="31" t="s">
        <v>260</v>
      </c>
      <c r="E881" s="31" t="s">
        <v>1130</v>
      </c>
      <c r="F881" s="32">
        <v>44026.0</v>
      </c>
      <c r="G881" s="32">
        <v>44088.0</v>
      </c>
      <c r="H881" s="31" t="s">
        <v>346</v>
      </c>
      <c r="I881" s="31" t="s">
        <v>112</v>
      </c>
      <c r="J881" s="31" t="s">
        <v>1130</v>
      </c>
      <c r="K881" s="31" t="s">
        <v>1131</v>
      </c>
      <c r="L881" s="31" t="s">
        <v>392</v>
      </c>
      <c r="M881" s="31" t="s">
        <v>4103</v>
      </c>
      <c r="N881" s="31" t="s">
        <v>267</v>
      </c>
      <c r="O881" s="34"/>
      <c r="P881" s="31">
        <v>5.0</v>
      </c>
      <c r="Q881" s="31" t="s">
        <v>581</v>
      </c>
      <c r="R881" s="32">
        <v>35812.0</v>
      </c>
      <c r="S881" s="31" t="s">
        <v>815</v>
      </c>
      <c r="T881" s="31" t="s">
        <v>686</v>
      </c>
      <c r="U881" s="31" t="s">
        <v>361</v>
      </c>
      <c r="V881" s="34"/>
      <c r="W881" s="34"/>
    </row>
    <row r="882">
      <c r="A882" s="30">
        <v>877.0</v>
      </c>
      <c r="B882" s="31" t="s">
        <v>4104</v>
      </c>
      <c r="C882" s="31" t="s">
        <v>4105</v>
      </c>
      <c r="D882" s="31" t="s">
        <v>313</v>
      </c>
      <c r="E882" s="31" t="s">
        <v>1564</v>
      </c>
      <c r="F882" s="32">
        <v>43900.0</v>
      </c>
      <c r="G882" s="32">
        <v>43961.0</v>
      </c>
      <c r="H882" s="31" t="s">
        <v>346</v>
      </c>
      <c r="I882" s="31" t="s">
        <v>315</v>
      </c>
      <c r="J882" s="31" t="s">
        <v>1493</v>
      </c>
      <c r="K882" s="31" t="s">
        <v>1565</v>
      </c>
      <c r="L882" s="31" t="s">
        <v>318</v>
      </c>
      <c r="M882" s="31" t="s">
        <v>4106</v>
      </c>
      <c r="N882" s="31" t="s">
        <v>267</v>
      </c>
      <c r="O882" s="34"/>
      <c r="P882" s="31">
        <v>5.0</v>
      </c>
      <c r="Q882" s="31" t="s">
        <v>307</v>
      </c>
      <c r="R882" s="32">
        <v>35856.0</v>
      </c>
      <c r="S882" s="31" t="s">
        <v>1085</v>
      </c>
      <c r="T882" s="31" t="s">
        <v>686</v>
      </c>
      <c r="U882" s="31" t="s">
        <v>352</v>
      </c>
      <c r="V882" s="31" t="s">
        <v>1564</v>
      </c>
      <c r="W882" s="34"/>
    </row>
    <row r="883">
      <c r="A883" s="30">
        <v>878.0</v>
      </c>
      <c r="B883" s="31" t="s">
        <v>4107</v>
      </c>
      <c r="C883" s="31" t="s">
        <v>4108</v>
      </c>
      <c r="D883" s="31" t="s">
        <v>978</v>
      </c>
      <c r="E883" s="31" t="s">
        <v>130</v>
      </c>
      <c r="F883" s="32">
        <v>43557.0</v>
      </c>
      <c r="G883" s="32">
        <v>43618.0</v>
      </c>
      <c r="H883" s="31" t="s">
        <v>346</v>
      </c>
      <c r="I883" s="31" t="s">
        <v>263</v>
      </c>
      <c r="J883" s="31" t="s">
        <v>130</v>
      </c>
      <c r="K883" s="31" t="s">
        <v>410</v>
      </c>
      <c r="L883" s="31" t="s">
        <v>4109</v>
      </c>
      <c r="M883" s="31" t="s">
        <v>4110</v>
      </c>
      <c r="N883" s="31" t="s">
        <v>467</v>
      </c>
      <c r="O883" s="31">
        <v>2.0</v>
      </c>
      <c r="P883" s="31">
        <v>1.0</v>
      </c>
      <c r="Q883" s="31" t="s">
        <v>307</v>
      </c>
      <c r="R883" s="32">
        <v>35543.0</v>
      </c>
      <c r="S883" s="31" t="s">
        <v>320</v>
      </c>
      <c r="T883" s="31" t="s">
        <v>722</v>
      </c>
      <c r="U883" s="31" t="s">
        <v>361</v>
      </c>
      <c r="V883" s="34"/>
      <c r="W883" s="34"/>
    </row>
    <row r="884">
      <c r="A884" s="30">
        <v>879.0</v>
      </c>
      <c r="B884" s="31" t="s">
        <v>4111</v>
      </c>
      <c r="C884" s="31" t="s">
        <v>4112</v>
      </c>
      <c r="D884" s="31" t="s">
        <v>1011</v>
      </c>
      <c r="E884" s="31" t="s">
        <v>927</v>
      </c>
      <c r="F884" s="32">
        <v>43945.0</v>
      </c>
      <c r="G884" s="32">
        <v>44006.0</v>
      </c>
      <c r="H884" s="31" t="s">
        <v>346</v>
      </c>
      <c r="I884" s="31" t="s">
        <v>275</v>
      </c>
      <c r="J884" s="31" t="s">
        <v>927</v>
      </c>
      <c r="K884" s="31" t="s">
        <v>4113</v>
      </c>
      <c r="L884" s="31" t="s">
        <v>1014</v>
      </c>
      <c r="M884" s="31" t="s">
        <v>4114</v>
      </c>
      <c r="N884" s="31" t="s">
        <v>467</v>
      </c>
      <c r="O884" s="31">
        <v>2.0</v>
      </c>
      <c r="P884" s="31">
        <v>1.0</v>
      </c>
      <c r="Q884" s="31" t="s">
        <v>307</v>
      </c>
      <c r="R884" s="32">
        <v>35318.0</v>
      </c>
      <c r="S884" s="31" t="s">
        <v>320</v>
      </c>
      <c r="T884" s="31" t="s">
        <v>3699</v>
      </c>
      <c r="U884" s="31" t="s">
        <v>352</v>
      </c>
      <c r="V884" s="34"/>
      <c r="W884" s="34"/>
    </row>
    <row r="885">
      <c r="A885" s="30">
        <v>880.0</v>
      </c>
      <c r="B885" s="31" t="s">
        <v>4115</v>
      </c>
      <c r="C885" s="31" t="s">
        <v>4116</v>
      </c>
      <c r="D885" s="31" t="s">
        <v>260</v>
      </c>
      <c r="E885" s="31" t="s">
        <v>1130</v>
      </c>
      <c r="F885" s="32">
        <v>43714.0</v>
      </c>
      <c r="G885" s="32">
        <v>43775.0</v>
      </c>
      <c r="H885" s="31" t="s">
        <v>346</v>
      </c>
      <c r="I885" s="31" t="s">
        <v>112</v>
      </c>
      <c r="J885" s="31" t="s">
        <v>1130</v>
      </c>
      <c r="K885" s="31" t="s">
        <v>1131</v>
      </c>
      <c r="L885" s="31" t="s">
        <v>392</v>
      </c>
      <c r="M885" s="31" t="s">
        <v>4117</v>
      </c>
      <c r="N885" s="31" t="s">
        <v>267</v>
      </c>
      <c r="O885" s="34"/>
      <c r="P885" s="31">
        <v>4.0</v>
      </c>
      <c r="Q885" s="31" t="s">
        <v>581</v>
      </c>
      <c r="R885" s="32">
        <v>35065.0</v>
      </c>
      <c r="S885" s="31" t="s">
        <v>3454</v>
      </c>
      <c r="T885" s="31" t="s">
        <v>778</v>
      </c>
      <c r="U885" s="31" t="s">
        <v>361</v>
      </c>
      <c r="V885" s="34"/>
      <c r="W885" s="34"/>
    </row>
    <row r="886">
      <c r="A886" s="30">
        <v>881.0</v>
      </c>
      <c r="B886" s="31" t="s">
        <v>4118</v>
      </c>
      <c r="C886" s="31" t="s">
        <v>856</v>
      </c>
      <c r="D886" s="31" t="s">
        <v>978</v>
      </c>
      <c r="E886" s="31" t="s">
        <v>403</v>
      </c>
      <c r="F886" s="32">
        <v>42739.0</v>
      </c>
      <c r="G886" s="32">
        <v>42810.0</v>
      </c>
      <c r="H886" s="31" t="s">
        <v>346</v>
      </c>
      <c r="I886" s="31" t="s">
        <v>112</v>
      </c>
      <c r="J886" s="31" t="s">
        <v>403</v>
      </c>
      <c r="K886" s="31" t="s">
        <v>404</v>
      </c>
      <c r="L886" s="31" t="s">
        <v>1171</v>
      </c>
      <c r="M886" s="31" t="s">
        <v>4119</v>
      </c>
      <c r="N886" s="31" t="s">
        <v>267</v>
      </c>
      <c r="O886" s="31">
        <v>2.0</v>
      </c>
      <c r="P886" s="31">
        <v>1.0</v>
      </c>
      <c r="Q886" s="31" t="s">
        <v>307</v>
      </c>
      <c r="R886" s="32">
        <v>34394.0</v>
      </c>
      <c r="S886" s="31" t="s">
        <v>510</v>
      </c>
      <c r="T886" s="31" t="s">
        <v>778</v>
      </c>
      <c r="U886" s="31" t="s">
        <v>361</v>
      </c>
      <c r="V886" s="34"/>
      <c r="W886" s="34"/>
    </row>
    <row r="887">
      <c r="A887" s="30">
        <v>882.0</v>
      </c>
      <c r="B887" s="31" t="s">
        <v>4120</v>
      </c>
      <c r="C887" s="31" t="s">
        <v>4121</v>
      </c>
      <c r="D887" s="31" t="s">
        <v>260</v>
      </c>
      <c r="E887" s="31" t="s">
        <v>124</v>
      </c>
      <c r="F887" s="32">
        <v>45315.0</v>
      </c>
      <c r="G887" s="32">
        <v>45375.0</v>
      </c>
      <c r="H887" s="31" t="s">
        <v>346</v>
      </c>
      <c r="I887" s="31" t="s">
        <v>263</v>
      </c>
      <c r="J887" s="31" t="s">
        <v>123</v>
      </c>
      <c r="K887" s="31" t="s">
        <v>535</v>
      </c>
      <c r="L887" s="31" t="s">
        <v>431</v>
      </c>
      <c r="M887" s="31" t="s">
        <v>4122</v>
      </c>
      <c r="N887" s="31" t="s">
        <v>267</v>
      </c>
      <c r="O887" s="34"/>
      <c r="P887" s="31">
        <v>1.0</v>
      </c>
      <c r="Q887" s="31" t="s">
        <v>307</v>
      </c>
      <c r="R887" s="32">
        <v>37305.0</v>
      </c>
      <c r="S887" s="31" t="s">
        <v>320</v>
      </c>
      <c r="T887" s="31" t="s">
        <v>4123</v>
      </c>
      <c r="U887" s="31" t="s">
        <v>361</v>
      </c>
      <c r="V887" s="31" t="s">
        <v>124</v>
      </c>
      <c r="W887" s="34"/>
    </row>
    <row r="888">
      <c r="A888" s="30">
        <v>883.0</v>
      </c>
      <c r="B888" s="31" t="s">
        <v>4124</v>
      </c>
      <c r="C888" s="31" t="s">
        <v>4125</v>
      </c>
      <c r="D888" s="31" t="s">
        <v>260</v>
      </c>
      <c r="E888" s="31" t="s">
        <v>403</v>
      </c>
      <c r="F888" s="32">
        <v>45309.0</v>
      </c>
      <c r="G888" s="32">
        <v>45369.0</v>
      </c>
      <c r="H888" s="31" t="s">
        <v>346</v>
      </c>
      <c r="I888" s="31" t="s">
        <v>112</v>
      </c>
      <c r="J888" s="31" t="s">
        <v>403</v>
      </c>
      <c r="K888" s="31" t="s">
        <v>404</v>
      </c>
      <c r="L888" s="31" t="s">
        <v>392</v>
      </c>
      <c r="M888" s="31" t="s">
        <v>4126</v>
      </c>
      <c r="N888" s="31" t="s">
        <v>467</v>
      </c>
      <c r="O888" s="34"/>
      <c r="P888" s="31">
        <v>1.0</v>
      </c>
      <c r="Q888" s="31" t="s">
        <v>307</v>
      </c>
      <c r="R888" s="32">
        <v>37136.0</v>
      </c>
      <c r="S888" s="31" t="s">
        <v>286</v>
      </c>
      <c r="T888" s="31" t="s">
        <v>383</v>
      </c>
      <c r="U888" s="31" t="s">
        <v>361</v>
      </c>
      <c r="V888" s="34"/>
      <c r="W888" s="34"/>
    </row>
    <row r="889">
      <c r="A889" s="30">
        <v>884.0</v>
      </c>
      <c r="B889" s="31" t="s">
        <v>4127</v>
      </c>
      <c r="C889" s="31" t="s">
        <v>4128</v>
      </c>
      <c r="D889" s="31" t="s">
        <v>260</v>
      </c>
      <c r="E889" s="31" t="s">
        <v>397</v>
      </c>
      <c r="F889" s="32">
        <v>45309.0</v>
      </c>
      <c r="G889" s="32">
        <v>45369.0</v>
      </c>
      <c r="H889" s="31" t="s">
        <v>346</v>
      </c>
      <c r="I889" s="31" t="s">
        <v>112</v>
      </c>
      <c r="J889" s="31" t="s">
        <v>397</v>
      </c>
      <c r="K889" s="31" t="s">
        <v>398</v>
      </c>
      <c r="L889" s="31" t="s">
        <v>392</v>
      </c>
      <c r="M889" s="31" t="s">
        <v>4129</v>
      </c>
      <c r="N889" s="31" t="s">
        <v>267</v>
      </c>
      <c r="O889" s="34"/>
      <c r="P889" s="31">
        <v>1.0</v>
      </c>
      <c r="Q889" s="31" t="s">
        <v>307</v>
      </c>
      <c r="R889" s="32">
        <v>37350.0</v>
      </c>
      <c r="S889" s="31" t="s">
        <v>3044</v>
      </c>
      <c r="T889" s="31" t="s">
        <v>4130</v>
      </c>
      <c r="U889" s="31" t="s">
        <v>361</v>
      </c>
      <c r="V889" s="34"/>
      <c r="W889" s="34"/>
    </row>
    <row r="890">
      <c r="A890" s="30">
        <v>885.0</v>
      </c>
      <c r="B890" s="31" t="s">
        <v>4131</v>
      </c>
      <c r="C890" s="31" t="s">
        <v>4132</v>
      </c>
      <c r="D890" s="31" t="s">
        <v>260</v>
      </c>
      <c r="E890" s="31" t="s">
        <v>124</v>
      </c>
      <c r="F890" s="32">
        <v>45302.0</v>
      </c>
      <c r="G890" s="32">
        <v>45362.0</v>
      </c>
      <c r="H890" s="31" t="s">
        <v>346</v>
      </c>
      <c r="I890" s="31" t="s">
        <v>263</v>
      </c>
      <c r="J890" s="31" t="s">
        <v>123</v>
      </c>
      <c r="K890" s="31" t="s">
        <v>535</v>
      </c>
      <c r="L890" s="31" t="s">
        <v>431</v>
      </c>
      <c r="M890" s="31" t="s">
        <v>4133</v>
      </c>
      <c r="N890" s="31" t="s">
        <v>267</v>
      </c>
      <c r="O890" s="34"/>
      <c r="P890" s="31">
        <v>1.0</v>
      </c>
      <c r="Q890" s="31" t="s">
        <v>307</v>
      </c>
      <c r="R890" s="32">
        <v>37562.0</v>
      </c>
      <c r="S890" s="31" t="s">
        <v>4134</v>
      </c>
      <c r="T890" s="31" t="s">
        <v>360</v>
      </c>
      <c r="U890" s="31" t="s">
        <v>361</v>
      </c>
      <c r="V890" s="31" t="s">
        <v>124</v>
      </c>
      <c r="W890" s="34"/>
    </row>
    <row r="891">
      <c r="A891" s="30">
        <v>886.0</v>
      </c>
      <c r="B891" s="31" t="s">
        <v>4135</v>
      </c>
      <c r="C891" s="31" t="s">
        <v>4136</v>
      </c>
      <c r="D891" s="31" t="s">
        <v>260</v>
      </c>
      <c r="E891" s="31" t="s">
        <v>1139</v>
      </c>
      <c r="F891" s="32">
        <v>45293.0</v>
      </c>
      <c r="G891" s="32">
        <v>45353.0</v>
      </c>
      <c r="H891" s="31" t="s">
        <v>346</v>
      </c>
      <c r="I891" s="31" t="s">
        <v>112</v>
      </c>
      <c r="J891" s="31" t="s">
        <v>1139</v>
      </c>
      <c r="K891" s="31" t="s">
        <v>1140</v>
      </c>
      <c r="L891" s="31" t="s">
        <v>392</v>
      </c>
      <c r="M891" s="31" t="s">
        <v>4137</v>
      </c>
      <c r="N891" s="31" t="s">
        <v>267</v>
      </c>
      <c r="O891" s="34"/>
      <c r="P891" s="31">
        <v>1.0</v>
      </c>
      <c r="Q891" s="31" t="s">
        <v>307</v>
      </c>
      <c r="R891" s="32">
        <v>37526.0</v>
      </c>
      <c r="S891" s="31" t="s">
        <v>515</v>
      </c>
      <c r="T891" s="31" t="s">
        <v>360</v>
      </c>
      <c r="U891" s="31" t="s">
        <v>361</v>
      </c>
      <c r="V891" s="34"/>
      <c r="W891" s="34"/>
    </row>
    <row r="892">
      <c r="A892" s="30">
        <v>887.0</v>
      </c>
      <c r="B892" s="31" t="s">
        <v>4138</v>
      </c>
      <c r="C892" s="31" t="s">
        <v>4139</v>
      </c>
      <c r="D892" s="31" t="s">
        <v>260</v>
      </c>
      <c r="E892" s="31" t="s">
        <v>125</v>
      </c>
      <c r="F892" s="35">
        <v>45218.0</v>
      </c>
      <c r="G892" s="35">
        <v>45278.0</v>
      </c>
      <c r="H892" s="31" t="s">
        <v>346</v>
      </c>
      <c r="I892" s="31" t="s">
        <v>263</v>
      </c>
      <c r="J892" s="31" t="s">
        <v>123</v>
      </c>
      <c r="K892" s="31" t="s">
        <v>430</v>
      </c>
      <c r="L892" s="31" t="s">
        <v>431</v>
      </c>
      <c r="M892" s="31" t="s">
        <v>4140</v>
      </c>
      <c r="N892" s="31" t="s">
        <v>267</v>
      </c>
      <c r="O892" s="34"/>
      <c r="P892" s="31">
        <v>1.0</v>
      </c>
      <c r="Q892" s="31" t="s">
        <v>307</v>
      </c>
      <c r="R892" s="32">
        <v>37305.0</v>
      </c>
      <c r="S892" s="31" t="s">
        <v>320</v>
      </c>
      <c r="T892" s="31" t="s">
        <v>4141</v>
      </c>
      <c r="U892" s="31" t="s">
        <v>361</v>
      </c>
      <c r="V892" s="31" t="s">
        <v>125</v>
      </c>
      <c r="W892" s="34"/>
    </row>
    <row r="893">
      <c r="A893" s="30">
        <v>888.0</v>
      </c>
      <c r="B893" s="31" t="s">
        <v>4142</v>
      </c>
      <c r="C893" s="31" t="s">
        <v>4143</v>
      </c>
      <c r="D893" s="31" t="s">
        <v>260</v>
      </c>
      <c r="E893" s="31" t="s">
        <v>125</v>
      </c>
      <c r="F893" s="35">
        <v>45209.0</v>
      </c>
      <c r="G893" s="32">
        <v>45269.0</v>
      </c>
      <c r="H893" s="31" t="s">
        <v>346</v>
      </c>
      <c r="I893" s="31" t="s">
        <v>263</v>
      </c>
      <c r="J893" s="31" t="s">
        <v>123</v>
      </c>
      <c r="K893" s="31" t="s">
        <v>430</v>
      </c>
      <c r="L893" s="31" t="s">
        <v>431</v>
      </c>
      <c r="M893" s="31" t="s">
        <v>4144</v>
      </c>
      <c r="N893" s="31" t="s">
        <v>467</v>
      </c>
      <c r="O893" s="34"/>
      <c r="P893" s="31">
        <v>1.0</v>
      </c>
      <c r="Q893" s="31" t="s">
        <v>307</v>
      </c>
      <c r="R893" s="32">
        <v>37327.0</v>
      </c>
      <c r="S893" s="31" t="s">
        <v>320</v>
      </c>
      <c r="T893" s="31" t="s">
        <v>4145</v>
      </c>
      <c r="U893" s="31" t="s">
        <v>361</v>
      </c>
      <c r="V893" s="31" t="s">
        <v>125</v>
      </c>
      <c r="W893" s="34"/>
    </row>
    <row r="894">
      <c r="A894" s="30">
        <v>889.0</v>
      </c>
      <c r="B894" s="31" t="s">
        <v>4146</v>
      </c>
      <c r="C894" s="31" t="s">
        <v>4147</v>
      </c>
      <c r="D894" s="31" t="s">
        <v>260</v>
      </c>
      <c r="E894" s="31" t="s">
        <v>295</v>
      </c>
      <c r="F894" s="32">
        <v>45140.0</v>
      </c>
      <c r="G894" s="32">
        <v>45200.0</v>
      </c>
      <c r="H894" s="31" t="s">
        <v>346</v>
      </c>
      <c r="I894" s="31" t="s">
        <v>275</v>
      </c>
      <c r="J894" s="31" t="s">
        <v>295</v>
      </c>
      <c r="K894" s="31" t="s">
        <v>1033</v>
      </c>
      <c r="L894" s="31" t="s">
        <v>297</v>
      </c>
      <c r="M894" s="31" t="s">
        <v>4148</v>
      </c>
      <c r="N894" s="31" t="s">
        <v>267</v>
      </c>
      <c r="O894" s="34"/>
      <c r="P894" s="31">
        <v>1.0</v>
      </c>
      <c r="Q894" s="31" t="s">
        <v>307</v>
      </c>
      <c r="R894" s="32">
        <v>35864.0</v>
      </c>
      <c r="S894" s="31" t="s">
        <v>320</v>
      </c>
      <c r="T894" s="31" t="s">
        <v>4149</v>
      </c>
      <c r="U894" s="31" t="s">
        <v>352</v>
      </c>
      <c r="V894" s="34"/>
      <c r="W894" s="34"/>
    </row>
    <row r="895">
      <c r="A895" s="30">
        <v>890.0</v>
      </c>
      <c r="B895" s="31" t="s">
        <v>4150</v>
      </c>
      <c r="C895" s="31" t="s">
        <v>4151</v>
      </c>
      <c r="D895" s="31" t="s">
        <v>260</v>
      </c>
      <c r="E895" s="31" t="s">
        <v>130</v>
      </c>
      <c r="F895" s="32">
        <v>45085.0</v>
      </c>
      <c r="G895" s="32">
        <v>45145.0</v>
      </c>
      <c r="H895" s="31" t="s">
        <v>346</v>
      </c>
      <c r="I895" s="31" t="s">
        <v>263</v>
      </c>
      <c r="J895" s="31" t="s">
        <v>130</v>
      </c>
      <c r="K895" s="31" t="s">
        <v>410</v>
      </c>
      <c r="L895" s="31" t="s">
        <v>265</v>
      </c>
      <c r="M895" s="31" t="s">
        <v>4152</v>
      </c>
      <c r="N895" s="31" t="s">
        <v>267</v>
      </c>
      <c r="O895" s="34"/>
      <c r="P895" s="31">
        <v>1.0</v>
      </c>
      <c r="Q895" s="31" t="s">
        <v>307</v>
      </c>
      <c r="R895" s="32">
        <v>36498.0</v>
      </c>
      <c r="S895" s="31" t="s">
        <v>717</v>
      </c>
      <c r="T895" s="31" t="s">
        <v>4153</v>
      </c>
      <c r="U895" s="31" t="s">
        <v>361</v>
      </c>
      <c r="V895" s="34"/>
      <c r="W895" s="34"/>
    </row>
    <row r="896">
      <c r="A896" s="30">
        <v>891.0</v>
      </c>
      <c r="B896" s="31" t="s">
        <v>4154</v>
      </c>
      <c r="C896" s="31" t="s">
        <v>635</v>
      </c>
      <c r="D896" s="31" t="s">
        <v>260</v>
      </c>
      <c r="E896" s="31" t="s">
        <v>397</v>
      </c>
      <c r="F896" s="32">
        <v>43885.0</v>
      </c>
      <c r="G896" s="32">
        <v>43945.0</v>
      </c>
      <c r="H896" s="31" t="s">
        <v>346</v>
      </c>
      <c r="I896" s="31" t="s">
        <v>112</v>
      </c>
      <c r="J896" s="31" t="s">
        <v>397</v>
      </c>
      <c r="K896" s="31" t="s">
        <v>398</v>
      </c>
      <c r="L896" s="31" t="s">
        <v>392</v>
      </c>
      <c r="M896" s="31" t="s">
        <v>4155</v>
      </c>
      <c r="N896" s="31" t="s">
        <v>267</v>
      </c>
      <c r="O896" s="34"/>
      <c r="P896" s="31">
        <v>4.0</v>
      </c>
      <c r="Q896" s="31" t="s">
        <v>581</v>
      </c>
      <c r="R896" s="32">
        <v>35954.0</v>
      </c>
      <c r="S896" s="31" t="s">
        <v>320</v>
      </c>
      <c r="T896" s="31" t="s">
        <v>4156</v>
      </c>
      <c r="U896" s="31" t="s">
        <v>361</v>
      </c>
      <c r="V896" s="34"/>
      <c r="W896" s="34"/>
    </row>
    <row r="897">
      <c r="A897" s="30">
        <v>892.0</v>
      </c>
      <c r="B897" s="31" t="s">
        <v>4157</v>
      </c>
      <c r="C897" s="31" t="s">
        <v>4158</v>
      </c>
      <c r="D897" s="31" t="s">
        <v>260</v>
      </c>
      <c r="E897" s="31" t="s">
        <v>355</v>
      </c>
      <c r="F897" s="32">
        <v>43564.0</v>
      </c>
      <c r="G897" s="32">
        <v>43625.0</v>
      </c>
      <c r="H897" s="31" t="s">
        <v>346</v>
      </c>
      <c r="I897" s="31" t="s">
        <v>263</v>
      </c>
      <c r="J897" s="31" t="s">
        <v>356</v>
      </c>
      <c r="K897" s="31" t="s">
        <v>357</v>
      </c>
      <c r="L897" s="31" t="s">
        <v>328</v>
      </c>
      <c r="M897" s="31" t="s">
        <v>4159</v>
      </c>
      <c r="N897" s="31" t="s">
        <v>267</v>
      </c>
      <c r="O897" s="34"/>
      <c r="P897" s="31">
        <v>9.0</v>
      </c>
      <c r="Q897" s="31" t="s">
        <v>581</v>
      </c>
      <c r="R897" s="32">
        <v>35645.0</v>
      </c>
      <c r="S897" s="31" t="s">
        <v>626</v>
      </c>
      <c r="T897" s="31" t="s">
        <v>3851</v>
      </c>
      <c r="U897" s="31" t="s">
        <v>361</v>
      </c>
      <c r="V897" s="31" t="s">
        <v>355</v>
      </c>
      <c r="W897" s="34"/>
    </row>
    <row r="898">
      <c r="A898" s="30">
        <v>893.0</v>
      </c>
      <c r="B898" s="31" t="s">
        <v>4160</v>
      </c>
      <c r="C898" s="31" t="s">
        <v>4161</v>
      </c>
      <c r="D898" s="31" t="s">
        <v>313</v>
      </c>
      <c r="E898" s="31" t="s">
        <v>1598</v>
      </c>
      <c r="F898" s="32">
        <v>43248.0</v>
      </c>
      <c r="G898" s="32">
        <v>43309.0</v>
      </c>
      <c r="H898" s="31" t="s">
        <v>346</v>
      </c>
      <c r="I898" s="31" t="s">
        <v>315</v>
      </c>
      <c r="J898" s="31" t="s">
        <v>1577</v>
      </c>
      <c r="K898" s="31" t="s">
        <v>1599</v>
      </c>
      <c r="L898" s="31" t="s">
        <v>318</v>
      </c>
      <c r="M898" s="31" t="s">
        <v>4162</v>
      </c>
      <c r="N898" s="31" t="s">
        <v>267</v>
      </c>
      <c r="O898" s="34"/>
      <c r="P898" s="31">
        <v>10.0</v>
      </c>
      <c r="Q898" s="31" t="s">
        <v>307</v>
      </c>
      <c r="R898" s="32">
        <v>33329.0</v>
      </c>
      <c r="S898" s="31" t="s">
        <v>4163</v>
      </c>
      <c r="T898" s="31" t="s">
        <v>459</v>
      </c>
      <c r="U898" s="31" t="s">
        <v>352</v>
      </c>
      <c r="V898" s="31" t="s">
        <v>1598</v>
      </c>
      <c r="W898" s="34"/>
    </row>
    <row r="899">
      <c r="A899" s="30">
        <v>894.0</v>
      </c>
      <c r="B899" s="31" t="s">
        <v>4164</v>
      </c>
      <c r="C899" s="31" t="s">
        <v>4165</v>
      </c>
      <c r="D899" s="31" t="s">
        <v>364</v>
      </c>
      <c r="E899" s="31" t="s">
        <v>972</v>
      </c>
      <c r="F899" s="32">
        <v>44217.0</v>
      </c>
      <c r="G899" s="32">
        <v>44276.0</v>
      </c>
      <c r="H899" s="31" t="s">
        <v>346</v>
      </c>
      <c r="I899" s="31" t="s">
        <v>93</v>
      </c>
      <c r="J899" s="31" t="s">
        <v>366</v>
      </c>
      <c r="K899" s="31" t="s">
        <v>973</v>
      </c>
      <c r="L899" s="31" t="s">
        <v>368</v>
      </c>
      <c r="M899" s="31" t="s">
        <v>4166</v>
      </c>
      <c r="N899" s="31" t="s">
        <v>467</v>
      </c>
      <c r="O899" s="34"/>
      <c r="P899" s="31">
        <v>6.0</v>
      </c>
      <c r="Q899" s="31" t="s">
        <v>307</v>
      </c>
      <c r="R899" s="32">
        <v>36366.0</v>
      </c>
      <c r="S899" s="31" t="s">
        <v>4167</v>
      </c>
      <c r="T899" s="31" t="s">
        <v>1404</v>
      </c>
      <c r="U899" s="31" t="s">
        <v>352</v>
      </c>
      <c r="V899" s="31" t="s">
        <v>972</v>
      </c>
      <c r="W899" s="34"/>
    </row>
    <row r="900">
      <c r="A900" s="30">
        <v>895.0</v>
      </c>
      <c r="B900" s="31" t="s">
        <v>4168</v>
      </c>
      <c r="C900" s="31" t="s">
        <v>4169</v>
      </c>
      <c r="D900" s="31" t="s">
        <v>364</v>
      </c>
      <c r="E900" s="31" t="s">
        <v>365</v>
      </c>
      <c r="F900" s="35">
        <v>45279.0</v>
      </c>
      <c r="G900" s="32">
        <v>45339.0</v>
      </c>
      <c r="H900" s="31" t="s">
        <v>346</v>
      </c>
      <c r="I900" s="31" t="s">
        <v>93</v>
      </c>
      <c r="J900" s="31" t="s">
        <v>366</v>
      </c>
      <c r="K900" s="31" t="s">
        <v>367</v>
      </c>
      <c r="L900" s="31" t="s">
        <v>368</v>
      </c>
      <c r="M900" s="31" t="s">
        <v>4170</v>
      </c>
      <c r="N900" s="31" t="s">
        <v>267</v>
      </c>
      <c r="O900" s="34"/>
      <c r="P900" s="31">
        <v>1.0</v>
      </c>
      <c r="Q900" s="31" t="s">
        <v>307</v>
      </c>
      <c r="R900" s="32">
        <v>35814.0</v>
      </c>
      <c r="S900" s="31" t="s">
        <v>4171</v>
      </c>
      <c r="T900" s="31" t="s">
        <v>951</v>
      </c>
      <c r="U900" s="31" t="s">
        <v>352</v>
      </c>
      <c r="V900" s="31" t="s">
        <v>365</v>
      </c>
      <c r="W900" s="34"/>
    </row>
    <row r="901">
      <c r="A901" s="30">
        <v>896.0</v>
      </c>
      <c r="B901" s="31" t="s">
        <v>4172</v>
      </c>
      <c r="C901" s="31" t="s">
        <v>4173</v>
      </c>
      <c r="D901" s="31" t="s">
        <v>260</v>
      </c>
      <c r="E901" s="31" t="s">
        <v>274</v>
      </c>
      <c r="F901" s="35">
        <v>45279.0</v>
      </c>
      <c r="G901" s="32">
        <v>45339.0</v>
      </c>
      <c r="H901" s="31" t="s">
        <v>346</v>
      </c>
      <c r="I901" s="31" t="s">
        <v>275</v>
      </c>
      <c r="J901" s="31" t="s">
        <v>274</v>
      </c>
      <c r="K901" s="31" t="s">
        <v>424</v>
      </c>
      <c r="L901" s="31" t="s">
        <v>277</v>
      </c>
      <c r="M901" s="31" t="s">
        <v>4174</v>
      </c>
      <c r="N901" s="31" t="s">
        <v>267</v>
      </c>
      <c r="O901" s="34"/>
      <c r="P901" s="31">
        <v>1.0</v>
      </c>
      <c r="Q901" s="31" t="s">
        <v>307</v>
      </c>
      <c r="R901" s="32">
        <v>36371.0</v>
      </c>
      <c r="S901" s="31" t="s">
        <v>458</v>
      </c>
      <c r="T901" s="31" t="s">
        <v>757</v>
      </c>
      <c r="U901" s="31" t="s">
        <v>352</v>
      </c>
      <c r="V901" s="34"/>
      <c r="W901" s="34"/>
    </row>
    <row r="902">
      <c r="A902" s="30">
        <v>897.0</v>
      </c>
      <c r="B902" s="31" t="s">
        <v>4175</v>
      </c>
      <c r="C902" s="31" t="s">
        <v>4176</v>
      </c>
      <c r="D902" s="31" t="s">
        <v>364</v>
      </c>
      <c r="E902" s="31" t="s">
        <v>972</v>
      </c>
      <c r="F902" s="35">
        <v>45271.0</v>
      </c>
      <c r="G902" s="32">
        <v>45331.0</v>
      </c>
      <c r="H902" s="31" t="s">
        <v>346</v>
      </c>
      <c r="I902" s="31" t="s">
        <v>93</v>
      </c>
      <c r="J902" s="31" t="s">
        <v>366</v>
      </c>
      <c r="K902" s="31" t="s">
        <v>973</v>
      </c>
      <c r="L902" s="31" t="s">
        <v>368</v>
      </c>
      <c r="M902" s="31" t="s">
        <v>4177</v>
      </c>
      <c r="N902" s="31" t="s">
        <v>267</v>
      </c>
      <c r="O902" s="34"/>
      <c r="P902" s="31">
        <v>1.0</v>
      </c>
      <c r="Q902" s="31" t="s">
        <v>307</v>
      </c>
      <c r="R902" s="32">
        <v>37014.0</v>
      </c>
      <c r="S902" s="31" t="s">
        <v>4178</v>
      </c>
      <c r="T902" s="31" t="s">
        <v>4179</v>
      </c>
      <c r="U902" s="31" t="s">
        <v>352</v>
      </c>
      <c r="V902" s="31" t="s">
        <v>972</v>
      </c>
      <c r="W902" s="34"/>
    </row>
    <row r="903">
      <c r="A903" s="30">
        <v>898.0</v>
      </c>
      <c r="B903" s="31" t="s">
        <v>4180</v>
      </c>
      <c r="C903" s="31" t="s">
        <v>4181</v>
      </c>
      <c r="D903" s="31" t="s">
        <v>925</v>
      </c>
      <c r="E903" s="31" t="s">
        <v>926</v>
      </c>
      <c r="F903" s="35">
        <v>45271.0</v>
      </c>
      <c r="G903" s="32">
        <v>45331.0</v>
      </c>
      <c r="H903" s="31" t="s">
        <v>346</v>
      </c>
      <c r="I903" s="31" t="s">
        <v>275</v>
      </c>
      <c r="J903" s="31" t="s">
        <v>927</v>
      </c>
      <c r="K903" s="31" t="s">
        <v>928</v>
      </c>
      <c r="L903" s="31" t="s">
        <v>929</v>
      </c>
      <c r="M903" s="31" t="s">
        <v>4182</v>
      </c>
      <c r="N903" s="31" t="s">
        <v>267</v>
      </c>
      <c r="O903" s="34"/>
      <c r="P903" s="31">
        <v>1.0</v>
      </c>
      <c r="Q903" s="31" t="s">
        <v>307</v>
      </c>
      <c r="R903" s="35">
        <v>36084.0</v>
      </c>
      <c r="S903" s="31" t="s">
        <v>4183</v>
      </c>
      <c r="T903" s="31" t="s">
        <v>1156</v>
      </c>
      <c r="U903" s="31" t="s">
        <v>352</v>
      </c>
      <c r="V903" s="31" t="s">
        <v>926</v>
      </c>
      <c r="W903" s="34"/>
    </row>
    <row r="904">
      <c r="A904" s="30">
        <v>899.0</v>
      </c>
      <c r="B904" s="31" t="s">
        <v>4184</v>
      </c>
      <c r="C904" s="31" t="s">
        <v>4185</v>
      </c>
      <c r="D904" s="31" t="s">
        <v>364</v>
      </c>
      <c r="E904" s="31" t="s">
        <v>972</v>
      </c>
      <c r="F904" s="32">
        <v>45261.0</v>
      </c>
      <c r="G904" s="32">
        <v>45321.0</v>
      </c>
      <c r="H904" s="31" t="s">
        <v>346</v>
      </c>
      <c r="I904" s="31" t="s">
        <v>93</v>
      </c>
      <c r="J904" s="31" t="s">
        <v>366</v>
      </c>
      <c r="K904" s="31" t="s">
        <v>973</v>
      </c>
      <c r="L904" s="31" t="s">
        <v>368</v>
      </c>
      <c r="M904" s="31" t="s">
        <v>4186</v>
      </c>
      <c r="N904" s="31" t="s">
        <v>267</v>
      </c>
      <c r="O904" s="34"/>
      <c r="P904" s="31">
        <v>1.0</v>
      </c>
      <c r="Q904" s="31" t="s">
        <v>307</v>
      </c>
      <c r="R904" s="32">
        <v>37378.0</v>
      </c>
      <c r="S904" s="31" t="s">
        <v>1104</v>
      </c>
      <c r="T904" s="31" t="s">
        <v>3225</v>
      </c>
      <c r="U904" s="31" t="s">
        <v>352</v>
      </c>
      <c r="V904" s="31" t="s">
        <v>972</v>
      </c>
      <c r="W904" s="34"/>
    </row>
    <row r="905">
      <c r="A905" s="30">
        <v>900.0</v>
      </c>
      <c r="B905" s="31" t="s">
        <v>4187</v>
      </c>
      <c r="C905" s="31" t="s">
        <v>4188</v>
      </c>
      <c r="D905" s="31" t="s">
        <v>364</v>
      </c>
      <c r="E905" s="31" t="s">
        <v>972</v>
      </c>
      <c r="F905" s="32">
        <v>45033.0</v>
      </c>
      <c r="G905" s="32">
        <v>45094.0</v>
      </c>
      <c r="H905" s="31" t="s">
        <v>346</v>
      </c>
      <c r="I905" s="31" t="s">
        <v>93</v>
      </c>
      <c r="J905" s="31" t="s">
        <v>366</v>
      </c>
      <c r="K905" s="31" t="s">
        <v>973</v>
      </c>
      <c r="L905" s="31" t="s">
        <v>368</v>
      </c>
      <c r="M905" s="31" t="s">
        <v>4189</v>
      </c>
      <c r="N905" s="31" t="s">
        <v>467</v>
      </c>
      <c r="O905" s="34"/>
      <c r="P905" s="31">
        <v>1.0</v>
      </c>
      <c r="Q905" s="31" t="s">
        <v>307</v>
      </c>
      <c r="R905" s="32">
        <v>36966.0</v>
      </c>
      <c r="S905" s="31" t="s">
        <v>3992</v>
      </c>
      <c r="T905" s="31" t="s">
        <v>705</v>
      </c>
      <c r="U905" s="31" t="s">
        <v>352</v>
      </c>
      <c r="V905" s="31" t="s">
        <v>972</v>
      </c>
      <c r="W905" s="34"/>
    </row>
    <row r="906">
      <c r="A906" s="30">
        <v>901.0</v>
      </c>
      <c r="B906" s="31" t="s">
        <v>4190</v>
      </c>
      <c r="C906" s="31" t="s">
        <v>4191</v>
      </c>
      <c r="D906" s="31" t="s">
        <v>260</v>
      </c>
      <c r="E906" s="31" t="s">
        <v>355</v>
      </c>
      <c r="F906" s="32">
        <v>44966.0</v>
      </c>
      <c r="G906" s="32">
        <v>45025.0</v>
      </c>
      <c r="H906" s="31" t="s">
        <v>346</v>
      </c>
      <c r="I906" s="31" t="s">
        <v>263</v>
      </c>
      <c r="J906" s="31" t="s">
        <v>356</v>
      </c>
      <c r="K906" s="31" t="s">
        <v>357</v>
      </c>
      <c r="L906" s="31" t="s">
        <v>328</v>
      </c>
      <c r="M906" s="31" t="s">
        <v>4192</v>
      </c>
      <c r="N906" s="31" t="s">
        <v>267</v>
      </c>
      <c r="O906" s="34"/>
      <c r="P906" s="31">
        <v>1.0</v>
      </c>
      <c r="Q906" s="31" t="s">
        <v>307</v>
      </c>
      <c r="R906" s="32">
        <v>37166.0</v>
      </c>
      <c r="S906" s="31" t="s">
        <v>320</v>
      </c>
      <c r="T906" s="31" t="s">
        <v>627</v>
      </c>
      <c r="U906" s="31" t="s">
        <v>361</v>
      </c>
      <c r="V906" s="31" t="s">
        <v>355</v>
      </c>
      <c r="W906" s="34"/>
    </row>
    <row r="907">
      <c r="A907" s="30">
        <v>902.0</v>
      </c>
      <c r="B907" s="31" t="s">
        <v>4193</v>
      </c>
      <c r="C907" s="31" t="s">
        <v>4194</v>
      </c>
      <c r="D907" s="31" t="s">
        <v>260</v>
      </c>
      <c r="E907" s="31" t="s">
        <v>355</v>
      </c>
      <c r="F907" s="32">
        <v>44966.0</v>
      </c>
      <c r="G907" s="32">
        <v>45025.0</v>
      </c>
      <c r="H907" s="31" t="s">
        <v>346</v>
      </c>
      <c r="I907" s="31" t="s">
        <v>263</v>
      </c>
      <c r="J907" s="31" t="s">
        <v>356</v>
      </c>
      <c r="K907" s="31" t="s">
        <v>357</v>
      </c>
      <c r="L907" s="31" t="s">
        <v>328</v>
      </c>
      <c r="M907" s="31" t="s">
        <v>4195</v>
      </c>
      <c r="N907" s="31" t="s">
        <v>267</v>
      </c>
      <c r="O907" s="34"/>
      <c r="P907" s="31">
        <v>1.0</v>
      </c>
      <c r="Q907" s="31" t="s">
        <v>307</v>
      </c>
      <c r="R907" s="32">
        <v>37167.0</v>
      </c>
      <c r="S907" s="31" t="s">
        <v>4196</v>
      </c>
      <c r="T907" s="31" t="s">
        <v>757</v>
      </c>
      <c r="U907" s="31" t="s">
        <v>361</v>
      </c>
      <c r="V907" s="31" t="s">
        <v>355</v>
      </c>
      <c r="W907" s="34"/>
    </row>
    <row r="908">
      <c r="A908" s="30">
        <v>903.0</v>
      </c>
      <c r="B908" s="31" t="s">
        <v>4197</v>
      </c>
      <c r="C908" s="31" t="s">
        <v>4198</v>
      </c>
      <c r="D908" s="31" t="s">
        <v>260</v>
      </c>
      <c r="E908" s="31" t="s">
        <v>355</v>
      </c>
      <c r="F908" s="32">
        <v>43915.0</v>
      </c>
      <c r="G908" s="32">
        <v>43976.0</v>
      </c>
      <c r="H908" s="31" t="s">
        <v>346</v>
      </c>
      <c r="I908" s="31" t="s">
        <v>263</v>
      </c>
      <c r="J908" s="31" t="s">
        <v>356</v>
      </c>
      <c r="K908" s="31" t="s">
        <v>357</v>
      </c>
      <c r="L908" s="31" t="s">
        <v>328</v>
      </c>
      <c r="M908" s="31" t="s">
        <v>4199</v>
      </c>
      <c r="N908" s="31" t="s">
        <v>267</v>
      </c>
      <c r="O908" s="34"/>
      <c r="P908" s="31">
        <v>6.0</v>
      </c>
      <c r="Q908" s="31" t="s">
        <v>307</v>
      </c>
      <c r="R908" s="35">
        <v>35354.0</v>
      </c>
      <c r="S908" s="31" t="s">
        <v>4196</v>
      </c>
      <c r="T908" s="31" t="s">
        <v>4200</v>
      </c>
      <c r="U908" s="31" t="s">
        <v>361</v>
      </c>
      <c r="V908" s="31" t="s">
        <v>355</v>
      </c>
      <c r="W908" s="34"/>
    </row>
    <row r="909">
      <c r="A909" s="30">
        <v>904.0</v>
      </c>
      <c r="B909" s="31" t="s">
        <v>4201</v>
      </c>
      <c r="C909" s="31" t="s">
        <v>4202</v>
      </c>
      <c r="D909" s="31" t="s">
        <v>260</v>
      </c>
      <c r="E909" s="31" t="s">
        <v>1260</v>
      </c>
      <c r="F909" s="32">
        <v>42739.0</v>
      </c>
      <c r="G909" s="32">
        <v>42810.0</v>
      </c>
      <c r="H909" s="31" t="s">
        <v>346</v>
      </c>
      <c r="I909" s="31" t="s">
        <v>112</v>
      </c>
      <c r="J909" s="31" t="s">
        <v>1260</v>
      </c>
      <c r="K909" s="31" t="s">
        <v>1261</v>
      </c>
      <c r="L909" s="31" t="s">
        <v>392</v>
      </c>
      <c r="M909" s="31" t="s">
        <v>4203</v>
      </c>
      <c r="N909" s="31" t="s">
        <v>267</v>
      </c>
      <c r="O909" s="34"/>
      <c r="P909" s="31">
        <v>7.0</v>
      </c>
      <c r="Q909" s="31" t="s">
        <v>307</v>
      </c>
      <c r="R909" s="32">
        <v>32617.0</v>
      </c>
      <c r="S909" s="31" t="s">
        <v>531</v>
      </c>
      <c r="T909" s="31" t="s">
        <v>4204</v>
      </c>
      <c r="U909" s="31" t="s">
        <v>361</v>
      </c>
      <c r="V909" s="34"/>
      <c r="W909" s="34"/>
    </row>
    <row r="910">
      <c r="A910" s="30">
        <v>905.0</v>
      </c>
      <c r="B910" s="31" t="s">
        <v>4205</v>
      </c>
      <c r="C910" s="31" t="s">
        <v>4206</v>
      </c>
      <c r="D910" s="31" t="s">
        <v>260</v>
      </c>
      <c r="E910" s="31" t="s">
        <v>1260</v>
      </c>
      <c r="F910" s="32">
        <v>44348.0</v>
      </c>
      <c r="G910" s="32">
        <v>44409.0</v>
      </c>
      <c r="H910" s="31" t="s">
        <v>346</v>
      </c>
      <c r="I910" s="31" t="s">
        <v>112</v>
      </c>
      <c r="J910" s="31" t="s">
        <v>1260</v>
      </c>
      <c r="K910" s="31" t="s">
        <v>1261</v>
      </c>
      <c r="L910" s="31" t="s">
        <v>392</v>
      </c>
      <c r="M910" s="31" t="s">
        <v>4207</v>
      </c>
      <c r="N910" s="31" t="s">
        <v>267</v>
      </c>
      <c r="O910" s="34"/>
      <c r="P910" s="31">
        <v>5.0</v>
      </c>
      <c r="Q910" s="31" t="s">
        <v>307</v>
      </c>
      <c r="R910" s="35">
        <v>36098.0</v>
      </c>
      <c r="S910" s="31" t="s">
        <v>4208</v>
      </c>
      <c r="T910" s="31" t="s">
        <v>744</v>
      </c>
      <c r="U910" s="31" t="s">
        <v>361</v>
      </c>
      <c r="V910" s="34"/>
      <c r="W910" s="34"/>
    </row>
    <row r="911">
      <c r="A911" s="30">
        <v>906.0</v>
      </c>
      <c r="B911" s="31" t="s">
        <v>4209</v>
      </c>
      <c r="C911" s="31" t="s">
        <v>4210</v>
      </c>
      <c r="D911" s="31" t="s">
        <v>260</v>
      </c>
      <c r="E911" s="31" t="s">
        <v>4211</v>
      </c>
      <c r="F911" s="32">
        <v>44260.0</v>
      </c>
      <c r="G911" s="32">
        <v>44321.0</v>
      </c>
      <c r="H911" s="31" t="s">
        <v>346</v>
      </c>
      <c r="I911" s="31" t="s">
        <v>275</v>
      </c>
      <c r="J911" s="31" t="s">
        <v>1012</v>
      </c>
      <c r="K911" s="31" t="s">
        <v>4212</v>
      </c>
      <c r="L911" s="31" t="s">
        <v>2036</v>
      </c>
      <c r="M911" s="31" t="s">
        <v>4213</v>
      </c>
      <c r="N911" s="31" t="s">
        <v>267</v>
      </c>
      <c r="O911" s="34"/>
      <c r="P911" s="31">
        <v>1.0</v>
      </c>
      <c r="Q911" s="31" t="s">
        <v>581</v>
      </c>
      <c r="R911" s="35">
        <v>36488.0</v>
      </c>
      <c r="S911" s="31" t="s">
        <v>320</v>
      </c>
      <c r="T911" s="31" t="s">
        <v>744</v>
      </c>
      <c r="U911" s="31" t="s">
        <v>352</v>
      </c>
      <c r="V911" s="31" t="s">
        <v>4211</v>
      </c>
      <c r="W911" s="34"/>
    </row>
    <row r="912">
      <c r="A912" s="30">
        <v>907.0</v>
      </c>
      <c r="B912" s="31" t="s">
        <v>4214</v>
      </c>
      <c r="C912" s="31" t="s">
        <v>4215</v>
      </c>
      <c r="D912" s="31" t="s">
        <v>260</v>
      </c>
      <c r="E912" s="31" t="s">
        <v>902</v>
      </c>
      <c r="F912" s="32">
        <v>45348.0</v>
      </c>
      <c r="G912" s="32">
        <v>45408.0</v>
      </c>
      <c r="H912" s="31" t="s">
        <v>346</v>
      </c>
      <c r="I912" s="31" t="s">
        <v>93</v>
      </c>
      <c r="J912" s="31" t="s">
        <v>903</v>
      </c>
      <c r="K912" s="31" t="s">
        <v>904</v>
      </c>
      <c r="L912" s="31" t="s">
        <v>905</v>
      </c>
      <c r="M912" s="31" t="s">
        <v>4216</v>
      </c>
      <c r="N912" s="31" t="s">
        <v>467</v>
      </c>
      <c r="O912" s="34"/>
      <c r="P912" s="31">
        <v>1.0</v>
      </c>
      <c r="Q912" s="31" t="s">
        <v>307</v>
      </c>
      <c r="R912" s="32">
        <v>36420.0</v>
      </c>
      <c r="S912" s="31" t="s">
        <v>4217</v>
      </c>
      <c r="T912" s="31" t="s">
        <v>561</v>
      </c>
      <c r="U912" s="31" t="s">
        <v>352</v>
      </c>
      <c r="V912" s="31" t="s">
        <v>902</v>
      </c>
      <c r="W912" s="34"/>
    </row>
    <row r="913">
      <c r="A913" s="30">
        <v>908.0</v>
      </c>
      <c r="B913" s="31" t="s">
        <v>4218</v>
      </c>
      <c r="C913" s="31" t="s">
        <v>4219</v>
      </c>
      <c r="D913" s="31" t="s">
        <v>260</v>
      </c>
      <c r="E913" s="31" t="s">
        <v>295</v>
      </c>
      <c r="F913" s="32">
        <v>45338.0</v>
      </c>
      <c r="G913" s="32">
        <v>45398.0</v>
      </c>
      <c r="H913" s="31" t="s">
        <v>346</v>
      </c>
      <c r="I913" s="31" t="s">
        <v>275</v>
      </c>
      <c r="J913" s="31" t="s">
        <v>295</v>
      </c>
      <c r="K913" s="31" t="s">
        <v>1033</v>
      </c>
      <c r="L913" s="31" t="s">
        <v>297</v>
      </c>
      <c r="M913" s="31" t="s">
        <v>4220</v>
      </c>
      <c r="N913" s="31" t="s">
        <v>467</v>
      </c>
      <c r="O913" s="34"/>
      <c r="P913" s="31">
        <v>1.0</v>
      </c>
      <c r="Q913" s="31" t="s">
        <v>307</v>
      </c>
      <c r="R913" s="35">
        <v>37540.0</v>
      </c>
      <c r="S913" s="31" t="s">
        <v>515</v>
      </c>
      <c r="T913" s="31" t="s">
        <v>341</v>
      </c>
      <c r="U913" s="31" t="s">
        <v>352</v>
      </c>
      <c r="V913" s="34"/>
      <c r="W913" s="34"/>
    </row>
    <row r="914">
      <c r="A914" s="30">
        <v>909.0</v>
      </c>
      <c r="B914" s="31" t="s">
        <v>4221</v>
      </c>
      <c r="C914" s="31" t="s">
        <v>4222</v>
      </c>
      <c r="D914" s="31" t="s">
        <v>260</v>
      </c>
      <c r="E914" s="31" t="s">
        <v>1130</v>
      </c>
      <c r="F914" s="32">
        <v>45341.0</v>
      </c>
      <c r="G914" s="32">
        <v>45401.0</v>
      </c>
      <c r="H914" s="31" t="s">
        <v>346</v>
      </c>
      <c r="I914" s="31" t="s">
        <v>112</v>
      </c>
      <c r="J914" s="31" t="s">
        <v>1130</v>
      </c>
      <c r="K914" s="31" t="s">
        <v>1131</v>
      </c>
      <c r="L914" s="31" t="s">
        <v>392</v>
      </c>
      <c r="M914" s="31" t="s">
        <v>4223</v>
      </c>
      <c r="N914" s="31" t="s">
        <v>267</v>
      </c>
      <c r="O914" s="34"/>
      <c r="P914" s="31">
        <v>1.0</v>
      </c>
      <c r="Q914" s="31" t="s">
        <v>307</v>
      </c>
      <c r="R914" s="32">
        <v>37278.0</v>
      </c>
      <c r="S914" s="31" t="s">
        <v>717</v>
      </c>
      <c r="T914" s="31" t="s">
        <v>383</v>
      </c>
      <c r="U914" s="31" t="s">
        <v>361</v>
      </c>
      <c r="V914" s="34"/>
      <c r="W914" s="34"/>
    </row>
    <row r="915">
      <c r="A915" s="30">
        <v>910.0</v>
      </c>
      <c r="B915" s="31" t="s">
        <v>4224</v>
      </c>
      <c r="C915" s="31" t="s">
        <v>4225</v>
      </c>
      <c r="D915" s="31" t="s">
        <v>260</v>
      </c>
      <c r="E915" s="31" t="s">
        <v>397</v>
      </c>
      <c r="F915" s="35">
        <v>42661.0</v>
      </c>
      <c r="G915" s="35">
        <v>42722.0</v>
      </c>
      <c r="H915" s="31" t="s">
        <v>346</v>
      </c>
      <c r="I915" s="31" t="s">
        <v>112</v>
      </c>
      <c r="J915" s="31" t="s">
        <v>397</v>
      </c>
      <c r="K915" s="31" t="s">
        <v>398</v>
      </c>
      <c r="L915" s="31" t="s">
        <v>392</v>
      </c>
      <c r="M915" s="31" t="s">
        <v>4226</v>
      </c>
      <c r="N915" s="31" t="s">
        <v>267</v>
      </c>
      <c r="O915" s="34"/>
      <c r="P915" s="31">
        <v>3.0</v>
      </c>
      <c r="Q915" s="31" t="s">
        <v>307</v>
      </c>
      <c r="R915" s="32">
        <v>33367.0</v>
      </c>
      <c r="S915" s="31" t="s">
        <v>320</v>
      </c>
      <c r="T915" s="31" t="s">
        <v>1428</v>
      </c>
      <c r="U915" s="31" t="s">
        <v>361</v>
      </c>
      <c r="V915" s="34"/>
      <c r="W915" s="34"/>
    </row>
    <row r="916">
      <c r="A916" s="30">
        <v>911.0</v>
      </c>
      <c r="B916" s="31" t="s">
        <v>4227</v>
      </c>
      <c r="C916" s="31" t="s">
        <v>435</v>
      </c>
      <c r="D916" s="31" t="s">
        <v>260</v>
      </c>
      <c r="E916" s="31" t="s">
        <v>403</v>
      </c>
      <c r="F916" s="32">
        <v>43242.0</v>
      </c>
      <c r="G916" s="32">
        <v>43303.0</v>
      </c>
      <c r="H916" s="31" t="s">
        <v>346</v>
      </c>
      <c r="I916" s="31" t="s">
        <v>112</v>
      </c>
      <c r="J916" s="31" t="s">
        <v>403</v>
      </c>
      <c r="K916" s="31" t="s">
        <v>404</v>
      </c>
      <c r="L916" s="31" t="s">
        <v>392</v>
      </c>
      <c r="M916" s="31" t="s">
        <v>4228</v>
      </c>
      <c r="N916" s="31" t="s">
        <v>267</v>
      </c>
      <c r="O916" s="34"/>
      <c r="P916" s="31">
        <v>8.0</v>
      </c>
      <c r="Q916" s="31" t="s">
        <v>307</v>
      </c>
      <c r="R916" s="32">
        <v>35219.0</v>
      </c>
      <c r="S916" s="31" t="s">
        <v>515</v>
      </c>
      <c r="T916" s="31" t="s">
        <v>778</v>
      </c>
      <c r="U916" s="31" t="s">
        <v>361</v>
      </c>
      <c r="V916" s="34"/>
      <c r="W916" s="34"/>
    </row>
    <row r="917">
      <c r="A917" s="30">
        <v>912.0</v>
      </c>
      <c r="B917" s="31" t="s">
        <v>4229</v>
      </c>
      <c r="C917" s="31" t="s">
        <v>4230</v>
      </c>
      <c r="D917" s="31" t="s">
        <v>260</v>
      </c>
      <c r="E917" s="31" t="s">
        <v>540</v>
      </c>
      <c r="F917" s="35">
        <v>43809.0</v>
      </c>
      <c r="G917" s="32">
        <v>43871.0</v>
      </c>
      <c r="H917" s="31" t="s">
        <v>346</v>
      </c>
      <c r="I917" s="31" t="s">
        <v>263</v>
      </c>
      <c r="J917" s="31" t="s">
        <v>356</v>
      </c>
      <c r="K917" s="31" t="s">
        <v>541</v>
      </c>
      <c r="L917" s="31" t="s">
        <v>328</v>
      </c>
      <c r="M917" s="31" t="s">
        <v>4231</v>
      </c>
      <c r="N917" s="31" t="s">
        <v>267</v>
      </c>
      <c r="O917" s="34"/>
      <c r="P917" s="31">
        <v>2.0</v>
      </c>
      <c r="Q917" s="31" t="s">
        <v>307</v>
      </c>
      <c r="R917" s="32">
        <v>35568.0</v>
      </c>
      <c r="S917" s="31" t="s">
        <v>320</v>
      </c>
      <c r="T917" s="31" t="s">
        <v>672</v>
      </c>
      <c r="U917" s="31" t="s">
        <v>361</v>
      </c>
      <c r="V917" s="31" t="s">
        <v>540</v>
      </c>
      <c r="W917" s="34"/>
    </row>
    <row r="918">
      <c r="A918" s="30">
        <v>913.0</v>
      </c>
      <c r="B918" s="31" t="s">
        <v>4232</v>
      </c>
      <c r="C918" s="31" t="s">
        <v>4233</v>
      </c>
      <c r="D918" s="31" t="s">
        <v>313</v>
      </c>
      <c r="E918" s="31" t="s">
        <v>1525</v>
      </c>
      <c r="F918" s="32">
        <v>43109.0</v>
      </c>
      <c r="G918" s="32">
        <v>43168.0</v>
      </c>
      <c r="H918" s="31" t="s">
        <v>346</v>
      </c>
      <c r="I918" s="31" t="s">
        <v>315</v>
      </c>
      <c r="J918" s="31" t="s">
        <v>1493</v>
      </c>
      <c r="K918" s="31" t="s">
        <v>1526</v>
      </c>
      <c r="L918" s="31" t="s">
        <v>318</v>
      </c>
      <c r="M918" s="31" t="s">
        <v>4234</v>
      </c>
      <c r="N918" s="31" t="s">
        <v>267</v>
      </c>
      <c r="O918" s="34"/>
      <c r="P918" s="31">
        <v>8.0</v>
      </c>
      <c r="Q918" s="31" t="s">
        <v>307</v>
      </c>
      <c r="R918" s="32">
        <v>34900.0</v>
      </c>
      <c r="S918" s="31" t="s">
        <v>4235</v>
      </c>
      <c r="T918" s="31" t="s">
        <v>3174</v>
      </c>
      <c r="U918" s="31" t="s">
        <v>352</v>
      </c>
      <c r="V918" s="31" t="s">
        <v>1525</v>
      </c>
      <c r="W918" s="34"/>
    </row>
    <row r="919">
      <c r="A919" s="30">
        <v>914.0</v>
      </c>
      <c r="B919" s="31" t="s">
        <v>4236</v>
      </c>
      <c r="C919" s="31" t="s">
        <v>1379</v>
      </c>
      <c r="D919" s="31" t="s">
        <v>260</v>
      </c>
      <c r="E919" s="31" t="s">
        <v>547</v>
      </c>
      <c r="F919" s="32">
        <v>43832.0</v>
      </c>
      <c r="G919" s="32">
        <v>43892.0</v>
      </c>
      <c r="H919" s="31" t="s">
        <v>346</v>
      </c>
      <c r="I919" s="31" t="s">
        <v>263</v>
      </c>
      <c r="J919" s="31" t="s">
        <v>356</v>
      </c>
      <c r="K919" s="31" t="s">
        <v>548</v>
      </c>
      <c r="L919" s="31" t="s">
        <v>328</v>
      </c>
      <c r="M919" s="31" t="s">
        <v>4237</v>
      </c>
      <c r="N919" s="31" t="s">
        <v>267</v>
      </c>
      <c r="O919" s="34"/>
      <c r="P919" s="31">
        <v>8.0</v>
      </c>
      <c r="Q919" s="31" t="s">
        <v>307</v>
      </c>
      <c r="R919" s="32">
        <v>36059.0</v>
      </c>
      <c r="S919" s="31" t="s">
        <v>3151</v>
      </c>
      <c r="T919" s="31" t="s">
        <v>360</v>
      </c>
      <c r="U919" s="31" t="s">
        <v>361</v>
      </c>
      <c r="V919" s="31" t="s">
        <v>547</v>
      </c>
      <c r="W919" s="34"/>
    </row>
    <row r="920">
      <c r="A920" s="30">
        <v>915.0</v>
      </c>
      <c r="B920" s="31" t="s">
        <v>4238</v>
      </c>
      <c r="C920" s="31" t="s">
        <v>4239</v>
      </c>
      <c r="D920" s="31" t="s">
        <v>313</v>
      </c>
      <c r="E920" s="31" t="s">
        <v>1598</v>
      </c>
      <c r="F920" s="32">
        <v>44390.0</v>
      </c>
      <c r="G920" s="32">
        <v>44452.0</v>
      </c>
      <c r="H920" s="31" t="s">
        <v>346</v>
      </c>
      <c r="I920" s="31" t="s">
        <v>315</v>
      </c>
      <c r="J920" s="31" t="s">
        <v>1577</v>
      </c>
      <c r="K920" s="31" t="s">
        <v>1599</v>
      </c>
      <c r="L920" s="31" t="s">
        <v>318</v>
      </c>
      <c r="M920" s="31" t="s">
        <v>4240</v>
      </c>
      <c r="N920" s="31" t="s">
        <v>267</v>
      </c>
      <c r="O920" s="34"/>
      <c r="P920" s="31">
        <v>4.0</v>
      </c>
      <c r="Q920" s="31" t="s">
        <v>581</v>
      </c>
      <c r="R920" s="32">
        <v>35125.0</v>
      </c>
      <c r="S920" s="31" t="s">
        <v>4241</v>
      </c>
      <c r="T920" s="31" t="s">
        <v>4242</v>
      </c>
      <c r="U920" s="31" t="s">
        <v>352</v>
      </c>
      <c r="V920" s="31" t="s">
        <v>1598</v>
      </c>
      <c r="W920" s="34"/>
    </row>
    <row r="921">
      <c r="A921" s="30">
        <v>916.0</v>
      </c>
      <c r="B921" s="31" t="s">
        <v>4243</v>
      </c>
      <c r="C921" s="31" t="s">
        <v>4244</v>
      </c>
      <c r="D921" s="31" t="s">
        <v>260</v>
      </c>
      <c r="E921" s="31" t="s">
        <v>1130</v>
      </c>
      <c r="F921" s="32">
        <v>45376.0</v>
      </c>
      <c r="G921" s="33"/>
      <c r="H921" s="31" t="s">
        <v>346</v>
      </c>
      <c r="I921" s="31" t="s">
        <v>112</v>
      </c>
      <c r="J921" s="31" t="s">
        <v>1130</v>
      </c>
      <c r="K921" s="31" t="s">
        <v>1131</v>
      </c>
      <c r="L921" s="31" t="s">
        <v>392</v>
      </c>
      <c r="M921" s="31" t="s">
        <v>4245</v>
      </c>
      <c r="N921" s="31" t="s">
        <v>267</v>
      </c>
      <c r="O921" s="34"/>
      <c r="P921" s="31">
        <v>1.0</v>
      </c>
      <c r="Q921" s="31" t="s">
        <v>268</v>
      </c>
      <c r="R921" s="32">
        <v>37337.0</v>
      </c>
      <c r="S921" s="31" t="s">
        <v>4246</v>
      </c>
      <c r="T921" s="31" t="s">
        <v>2613</v>
      </c>
      <c r="U921" s="31" t="s">
        <v>361</v>
      </c>
      <c r="V921" s="34"/>
      <c r="W921" s="34"/>
    </row>
    <row r="922">
      <c r="A922" s="30">
        <v>917.0</v>
      </c>
      <c r="B922" s="31" t="s">
        <v>4247</v>
      </c>
      <c r="C922" s="31" t="s">
        <v>4248</v>
      </c>
      <c r="D922" s="31" t="s">
        <v>260</v>
      </c>
      <c r="E922" s="31" t="s">
        <v>1130</v>
      </c>
      <c r="F922" s="32">
        <v>45376.0</v>
      </c>
      <c r="G922" s="33"/>
      <c r="H922" s="31" t="s">
        <v>346</v>
      </c>
      <c r="I922" s="31" t="s">
        <v>112</v>
      </c>
      <c r="J922" s="31" t="s">
        <v>1130</v>
      </c>
      <c r="K922" s="31" t="s">
        <v>1131</v>
      </c>
      <c r="L922" s="31" t="s">
        <v>392</v>
      </c>
      <c r="M922" s="31" t="s">
        <v>4249</v>
      </c>
      <c r="N922" s="31" t="s">
        <v>267</v>
      </c>
      <c r="O922" s="34"/>
      <c r="P922" s="31">
        <v>1.0</v>
      </c>
      <c r="Q922" s="31" t="s">
        <v>268</v>
      </c>
      <c r="R922" s="35">
        <v>37551.0</v>
      </c>
      <c r="S922" s="31" t="s">
        <v>1058</v>
      </c>
      <c r="T922" s="31" t="s">
        <v>341</v>
      </c>
      <c r="U922" s="31" t="s">
        <v>361</v>
      </c>
      <c r="V922" s="34"/>
      <c r="W922" s="34"/>
    </row>
    <row r="923">
      <c r="A923" s="30">
        <v>918.0</v>
      </c>
      <c r="B923" s="31" t="s">
        <v>4250</v>
      </c>
      <c r="C923" s="31" t="s">
        <v>4251</v>
      </c>
      <c r="D923" s="31" t="s">
        <v>260</v>
      </c>
      <c r="E923" s="31" t="s">
        <v>283</v>
      </c>
      <c r="F923" s="32">
        <v>45369.0</v>
      </c>
      <c r="G923" s="33"/>
      <c r="H923" s="31" t="s">
        <v>346</v>
      </c>
      <c r="I923" s="31" t="s">
        <v>275</v>
      </c>
      <c r="J923" s="31" t="s">
        <v>283</v>
      </c>
      <c r="K923" s="31" t="s">
        <v>519</v>
      </c>
      <c r="L923" s="31" t="s">
        <v>277</v>
      </c>
      <c r="M923" s="31" t="s">
        <v>4252</v>
      </c>
      <c r="N923" s="31" t="s">
        <v>267</v>
      </c>
      <c r="O923" s="34"/>
      <c r="P923" s="31">
        <v>1.0</v>
      </c>
      <c r="Q923" s="31" t="s">
        <v>268</v>
      </c>
      <c r="R923" s="32">
        <v>37429.0</v>
      </c>
      <c r="S923" s="31" t="s">
        <v>4253</v>
      </c>
      <c r="T923" s="31" t="s">
        <v>360</v>
      </c>
      <c r="U923" s="31" t="s">
        <v>352</v>
      </c>
      <c r="V923" s="34"/>
      <c r="W923" s="34"/>
    </row>
    <row r="924">
      <c r="A924" s="30">
        <v>919.0</v>
      </c>
      <c r="B924" s="31" t="s">
        <v>4254</v>
      </c>
      <c r="C924" s="31" t="s">
        <v>4255</v>
      </c>
      <c r="D924" s="31" t="s">
        <v>364</v>
      </c>
      <c r="E924" s="31" t="s">
        <v>972</v>
      </c>
      <c r="F924" s="32">
        <v>45369.0</v>
      </c>
      <c r="G924" s="33"/>
      <c r="H924" s="31" t="s">
        <v>346</v>
      </c>
      <c r="I924" s="31" t="s">
        <v>93</v>
      </c>
      <c r="J924" s="31" t="s">
        <v>366</v>
      </c>
      <c r="K924" s="31" t="s">
        <v>973</v>
      </c>
      <c r="L924" s="31" t="s">
        <v>368</v>
      </c>
      <c r="M924" s="31" t="s">
        <v>4256</v>
      </c>
      <c r="N924" s="31" t="s">
        <v>467</v>
      </c>
      <c r="O924" s="34"/>
      <c r="P924" s="31">
        <v>1.0</v>
      </c>
      <c r="Q924" s="31" t="s">
        <v>268</v>
      </c>
      <c r="R924" s="32">
        <v>37726.0</v>
      </c>
      <c r="S924" s="31" t="s">
        <v>4257</v>
      </c>
      <c r="T924" s="31" t="s">
        <v>744</v>
      </c>
      <c r="U924" s="31" t="s">
        <v>352</v>
      </c>
      <c r="V924" s="31" t="s">
        <v>972</v>
      </c>
      <c r="W924" s="34"/>
    </row>
    <row r="925">
      <c r="A925" s="30">
        <v>920.0</v>
      </c>
      <c r="B925" s="31" t="s">
        <v>4258</v>
      </c>
      <c r="C925" s="31" t="s">
        <v>4259</v>
      </c>
      <c r="D925" s="31" t="s">
        <v>364</v>
      </c>
      <c r="E925" s="31" t="s">
        <v>972</v>
      </c>
      <c r="F925" s="32">
        <v>45367.0</v>
      </c>
      <c r="G925" s="33"/>
      <c r="H925" s="31" t="s">
        <v>346</v>
      </c>
      <c r="I925" s="31" t="s">
        <v>93</v>
      </c>
      <c r="J925" s="31" t="s">
        <v>366</v>
      </c>
      <c r="K925" s="31" t="s">
        <v>973</v>
      </c>
      <c r="L925" s="31" t="s">
        <v>368</v>
      </c>
      <c r="M925" s="31" t="s">
        <v>4260</v>
      </c>
      <c r="N925" s="31" t="s">
        <v>267</v>
      </c>
      <c r="O925" s="34"/>
      <c r="P925" s="31">
        <v>1.0</v>
      </c>
      <c r="Q925" s="31" t="s">
        <v>268</v>
      </c>
      <c r="R925" s="32">
        <v>37330.0</v>
      </c>
      <c r="S925" s="31" t="s">
        <v>526</v>
      </c>
      <c r="T925" s="31" t="s">
        <v>360</v>
      </c>
      <c r="U925" s="31" t="s">
        <v>352</v>
      </c>
      <c r="V925" s="31" t="s">
        <v>972</v>
      </c>
      <c r="W925" s="34"/>
    </row>
    <row r="926">
      <c r="A926" s="30">
        <v>921.0</v>
      </c>
      <c r="B926" s="31" t="s">
        <v>4261</v>
      </c>
      <c r="C926" s="31" t="s">
        <v>4262</v>
      </c>
      <c r="D926" s="31" t="s">
        <v>364</v>
      </c>
      <c r="E926" s="31" t="s">
        <v>365</v>
      </c>
      <c r="F926" s="32">
        <v>45367.0</v>
      </c>
      <c r="G926" s="33"/>
      <c r="H926" s="31" t="s">
        <v>346</v>
      </c>
      <c r="I926" s="31" t="s">
        <v>93</v>
      </c>
      <c r="J926" s="31" t="s">
        <v>366</v>
      </c>
      <c r="K926" s="31" t="s">
        <v>367</v>
      </c>
      <c r="L926" s="31" t="s">
        <v>368</v>
      </c>
      <c r="M926" s="31" t="s">
        <v>4263</v>
      </c>
      <c r="N926" s="31" t="s">
        <v>467</v>
      </c>
      <c r="O926" s="34"/>
      <c r="P926" s="31">
        <v>1.0</v>
      </c>
      <c r="Q926" s="31" t="s">
        <v>268</v>
      </c>
      <c r="R926" s="35">
        <v>37212.0</v>
      </c>
      <c r="S926" s="31" t="s">
        <v>2928</v>
      </c>
      <c r="T926" s="31" t="s">
        <v>3006</v>
      </c>
      <c r="U926" s="31" t="s">
        <v>352</v>
      </c>
      <c r="V926" s="31" t="s">
        <v>365</v>
      </c>
      <c r="W926" s="34"/>
    </row>
    <row r="927">
      <c r="A927" s="30">
        <v>922.0</v>
      </c>
      <c r="B927" s="31" t="s">
        <v>4264</v>
      </c>
      <c r="C927" s="31" t="s">
        <v>4265</v>
      </c>
      <c r="D927" s="31" t="s">
        <v>260</v>
      </c>
      <c r="E927" s="31" t="s">
        <v>130</v>
      </c>
      <c r="F927" s="32">
        <v>45369.0</v>
      </c>
      <c r="G927" s="33"/>
      <c r="H927" s="31" t="s">
        <v>346</v>
      </c>
      <c r="I927" s="31" t="s">
        <v>263</v>
      </c>
      <c r="J927" s="31" t="s">
        <v>130</v>
      </c>
      <c r="K927" s="31" t="s">
        <v>410</v>
      </c>
      <c r="L927" s="31" t="s">
        <v>265</v>
      </c>
      <c r="M927" s="31" t="s">
        <v>4266</v>
      </c>
      <c r="N927" s="31" t="s">
        <v>467</v>
      </c>
      <c r="O927" s="34"/>
      <c r="P927" s="31">
        <v>1.0</v>
      </c>
      <c r="Q927" s="31" t="s">
        <v>268</v>
      </c>
      <c r="R927" s="35">
        <v>37175.0</v>
      </c>
      <c r="S927" s="31" t="s">
        <v>320</v>
      </c>
      <c r="T927" s="31" t="s">
        <v>4267</v>
      </c>
      <c r="U927" s="31" t="s">
        <v>361</v>
      </c>
      <c r="V927" s="34"/>
      <c r="W927" s="34"/>
    </row>
    <row r="928">
      <c r="A928" s="30">
        <v>923.0</v>
      </c>
      <c r="B928" s="31" t="s">
        <v>4268</v>
      </c>
      <c r="C928" s="31" t="s">
        <v>4269</v>
      </c>
      <c r="D928" s="31" t="s">
        <v>260</v>
      </c>
      <c r="E928" s="31" t="s">
        <v>1260</v>
      </c>
      <c r="F928" s="32">
        <v>45364.0</v>
      </c>
      <c r="G928" s="33"/>
      <c r="H928" s="31" t="s">
        <v>346</v>
      </c>
      <c r="I928" s="31" t="s">
        <v>112</v>
      </c>
      <c r="J928" s="31" t="s">
        <v>1260</v>
      </c>
      <c r="K928" s="31" t="s">
        <v>1261</v>
      </c>
      <c r="L928" s="31" t="s">
        <v>392</v>
      </c>
      <c r="M928" s="31" t="s">
        <v>4270</v>
      </c>
      <c r="N928" s="31" t="s">
        <v>467</v>
      </c>
      <c r="O928" s="34"/>
      <c r="P928" s="31">
        <v>1.0</v>
      </c>
      <c r="Q928" s="31" t="s">
        <v>268</v>
      </c>
      <c r="R928" s="32">
        <v>37438.0</v>
      </c>
      <c r="S928" s="31" t="s">
        <v>2991</v>
      </c>
      <c r="T928" s="31" t="s">
        <v>527</v>
      </c>
      <c r="U928" s="31" t="s">
        <v>361</v>
      </c>
      <c r="V928" s="34"/>
      <c r="W928" s="34"/>
    </row>
    <row r="929">
      <c r="A929" s="30">
        <v>924.0</v>
      </c>
      <c r="B929" s="31" t="s">
        <v>4271</v>
      </c>
      <c r="C929" s="31" t="s">
        <v>4272</v>
      </c>
      <c r="D929" s="31" t="s">
        <v>260</v>
      </c>
      <c r="E929" s="31" t="s">
        <v>130</v>
      </c>
      <c r="F929" s="32">
        <v>45364.0</v>
      </c>
      <c r="G929" s="33"/>
      <c r="H929" s="31" t="s">
        <v>346</v>
      </c>
      <c r="I929" s="31" t="s">
        <v>263</v>
      </c>
      <c r="J929" s="31" t="s">
        <v>130</v>
      </c>
      <c r="K929" s="31" t="s">
        <v>410</v>
      </c>
      <c r="L929" s="31" t="s">
        <v>265</v>
      </c>
      <c r="M929" s="31" t="s">
        <v>4273</v>
      </c>
      <c r="N929" s="31" t="s">
        <v>267</v>
      </c>
      <c r="O929" s="34"/>
      <c r="P929" s="31">
        <v>1.0</v>
      </c>
      <c r="Q929" s="31" t="s">
        <v>268</v>
      </c>
      <c r="R929" s="35">
        <v>37250.0</v>
      </c>
      <c r="S929" s="31" t="s">
        <v>4274</v>
      </c>
      <c r="T929" s="31" t="s">
        <v>4275</v>
      </c>
      <c r="U929" s="31" t="s">
        <v>361</v>
      </c>
      <c r="V929" s="34"/>
      <c r="W929" s="34"/>
    </row>
    <row r="930">
      <c r="A930" s="30">
        <v>925.0</v>
      </c>
      <c r="B930" s="31" t="s">
        <v>4276</v>
      </c>
      <c r="C930" s="31" t="s">
        <v>4277</v>
      </c>
      <c r="D930" s="31" t="s">
        <v>260</v>
      </c>
      <c r="E930" s="31" t="s">
        <v>436</v>
      </c>
      <c r="F930" s="32">
        <v>45363.0</v>
      </c>
      <c r="G930" s="33"/>
      <c r="H930" s="31" t="s">
        <v>346</v>
      </c>
      <c r="I930" s="31" t="s">
        <v>275</v>
      </c>
      <c r="J930" s="31" t="s">
        <v>436</v>
      </c>
      <c r="K930" s="31" t="s">
        <v>437</v>
      </c>
      <c r="L930" s="31" t="s">
        <v>438</v>
      </c>
      <c r="M930" s="31" t="s">
        <v>4278</v>
      </c>
      <c r="N930" s="31" t="s">
        <v>267</v>
      </c>
      <c r="O930" s="34"/>
      <c r="P930" s="31">
        <v>1.0</v>
      </c>
      <c r="Q930" s="31" t="s">
        <v>268</v>
      </c>
      <c r="R930" s="32">
        <v>36657.0</v>
      </c>
      <c r="S930" s="31" t="s">
        <v>320</v>
      </c>
      <c r="T930" s="31" t="s">
        <v>383</v>
      </c>
      <c r="U930" s="31" t="s">
        <v>352</v>
      </c>
      <c r="V930" s="34"/>
      <c r="W930" s="34"/>
    </row>
    <row r="931">
      <c r="A931" s="30">
        <v>926.0</v>
      </c>
      <c r="B931" s="31" t="s">
        <v>4279</v>
      </c>
      <c r="C931" s="31" t="s">
        <v>333</v>
      </c>
      <c r="D931" s="31" t="s">
        <v>364</v>
      </c>
      <c r="E931" s="31" t="s">
        <v>365</v>
      </c>
      <c r="F931" s="32">
        <v>45359.0</v>
      </c>
      <c r="G931" s="33"/>
      <c r="H931" s="31" t="s">
        <v>346</v>
      </c>
      <c r="I931" s="31" t="s">
        <v>93</v>
      </c>
      <c r="J931" s="31" t="s">
        <v>366</v>
      </c>
      <c r="K931" s="31" t="s">
        <v>367</v>
      </c>
      <c r="L931" s="31" t="s">
        <v>368</v>
      </c>
      <c r="M931" s="31" t="s">
        <v>4280</v>
      </c>
      <c r="N931" s="31" t="s">
        <v>467</v>
      </c>
      <c r="O931" s="34"/>
      <c r="P931" s="31">
        <v>1.0</v>
      </c>
      <c r="Q931" s="31" t="s">
        <v>268</v>
      </c>
      <c r="R931" s="32">
        <v>36970.0</v>
      </c>
      <c r="S931" s="31" t="s">
        <v>631</v>
      </c>
      <c r="T931" s="31" t="s">
        <v>270</v>
      </c>
      <c r="U931" s="31" t="s">
        <v>352</v>
      </c>
      <c r="V931" s="31" t="s">
        <v>365</v>
      </c>
      <c r="W931" s="34"/>
    </row>
    <row r="932">
      <c r="A932" s="30">
        <v>927.0</v>
      </c>
      <c r="B932" s="31" t="s">
        <v>4281</v>
      </c>
      <c r="C932" s="31" t="s">
        <v>4282</v>
      </c>
      <c r="D932" s="31" t="s">
        <v>260</v>
      </c>
      <c r="E932" s="31" t="s">
        <v>914</v>
      </c>
      <c r="F932" s="32">
        <v>45359.0</v>
      </c>
      <c r="G932" s="33"/>
      <c r="H932" s="31" t="s">
        <v>346</v>
      </c>
      <c r="I932" s="31" t="s">
        <v>93</v>
      </c>
      <c r="J932" s="31" t="s">
        <v>903</v>
      </c>
      <c r="K932" s="31" t="s">
        <v>915</v>
      </c>
      <c r="L932" s="31" t="s">
        <v>905</v>
      </c>
      <c r="M932" s="31" t="s">
        <v>4283</v>
      </c>
      <c r="N932" s="31" t="s">
        <v>267</v>
      </c>
      <c r="O932" s="34"/>
      <c r="P932" s="31">
        <v>1.0</v>
      </c>
      <c r="Q932" s="31" t="s">
        <v>268</v>
      </c>
      <c r="R932" s="35">
        <v>37610.0</v>
      </c>
      <c r="S932" s="31" t="s">
        <v>2946</v>
      </c>
      <c r="T932" s="31" t="s">
        <v>383</v>
      </c>
      <c r="U932" s="31" t="s">
        <v>352</v>
      </c>
      <c r="V932" s="31" t="s">
        <v>914</v>
      </c>
      <c r="W932" s="34"/>
    </row>
    <row r="933">
      <c r="A933" s="30">
        <v>928.0</v>
      </c>
      <c r="B933" s="31" t="s">
        <v>4284</v>
      </c>
      <c r="C933" s="31" t="s">
        <v>4285</v>
      </c>
      <c r="D933" s="31" t="s">
        <v>260</v>
      </c>
      <c r="E933" s="31" t="s">
        <v>902</v>
      </c>
      <c r="F933" s="32">
        <v>45359.0</v>
      </c>
      <c r="G933" s="33"/>
      <c r="H933" s="31" t="s">
        <v>346</v>
      </c>
      <c r="I933" s="31" t="s">
        <v>93</v>
      </c>
      <c r="J933" s="31" t="s">
        <v>903</v>
      </c>
      <c r="K933" s="31" t="s">
        <v>904</v>
      </c>
      <c r="L933" s="31" t="s">
        <v>905</v>
      </c>
      <c r="M933" s="31" t="s">
        <v>4286</v>
      </c>
      <c r="N933" s="31" t="s">
        <v>267</v>
      </c>
      <c r="O933" s="34"/>
      <c r="P933" s="31">
        <v>1.0</v>
      </c>
      <c r="Q933" s="31" t="s">
        <v>268</v>
      </c>
      <c r="R933" s="32">
        <v>37007.0</v>
      </c>
      <c r="S933" s="31" t="s">
        <v>1876</v>
      </c>
      <c r="T933" s="31" t="s">
        <v>2515</v>
      </c>
      <c r="U933" s="31" t="s">
        <v>352</v>
      </c>
      <c r="V933" s="31" t="s">
        <v>902</v>
      </c>
      <c r="W933" s="34"/>
    </row>
    <row r="934">
      <c r="A934" s="30">
        <v>929.0</v>
      </c>
      <c r="B934" s="31" t="s">
        <v>4287</v>
      </c>
      <c r="C934" s="31" t="s">
        <v>4288</v>
      </c>
      <c r="D934" s="31" t="s">
        <v>260</v>
      </c>
      <c r="E934" s="31" t="s">
        <v>374</v>
      </c>
      <c r="F934" s="32">
        <v>45353.0</v>
      </c>
      <c r="G934" s="32">
        <v>45413.0</v>
      </c>
      <c r="H934" s="31" t="s">
        <v>346</v>
      </c>
      <c r="I934" s="31" t="s">
        <v>275</v>
      </c>
      <c r="J934" s="31" t="s">
        <v>374</v>
      </c>
      <c r="K934" s="31" t="s">
        <v>375</v>
      </c>
      <c r="L934" s="31" t="s">
        <v>376</v>
      </c>
      <c r="M934" s="31" t="s">
        <v>4289</v>
      </c>
      <c r="N934" s="31" t="s">
        <v>267</v>
      </c>
      <c r="O934" s="34"/>
      <c r="P934" s="31">
        <v>1.0</v>
      </c>
      <c r="Q934" s="31" t="s">
        <v>307</v>
      </c>
      <c r="R934" s="32">
        <v>37257.0</v>
      </c>
      <c r="S934" s="31" t="s">
        <v>2057</v>
      </c>
      <c r="T934" s="31" t="s">
        <v>341</v>
      </c>
      <c r="U934" s="31" t="s">
        <v>352</v>
      </c>
      <c r="V934" s="34"/>
      <c r="W934" s="34"/>
    </row>
    <row r="935">
      <c r="A935" s="30">
        <v>930.0</v>
      </c>
      <c r="B935" s="31" t="s">
        <v>4290</v>
      </c>
      <c r="C935" s="31" t="s">
        <v>4291</v>
      </c>
      <c r="D935" s="31" t="s">
        <v>925</v>
      </c>
      <c r="E935" s="31" t="s">
        <v>926</v>
      </c>
      <c r="F935" s="32">
        <v>45353.0</v>
      </c>
      <c r="G935" s="32">
        <v>45413.0</v>
      </c>
      <c r="H935" s="31" t="s">
        <v>346</v>
      </c>
      <c r="I935" s="31" t="s">
        <v>275</v>
      </c>
      <c r="J935" s="31" t="s">
        <v>927</v>
      </c>
      <c r="K935" s="31" t="s">
        <v>928</v>
      </c>
      <c r="L935" s="31" t="s">
        <v>929</v>
      </c>
      <c r="M935" s="31" t="s">
        <v>4292</v>
      </c>
      <c r="N935" s="31" t="s">
        <v>267</v>
      </c>
      <c r="O935" s="34"/>
      <c r="P935" s="31">
        <v>1.0</v>
      </c>
      <c r="Q935" s="31" t="s">
        <v>307</v>
      </c>
      <c r="R935" s="35">
        <v>37549.0</v>
      </c>
      <c r="S935" s="31" t="s">
        <v>3044</v>
      </c>
      <c r="T935" s="31" t="s">
        <v>427</v>
      </c>
      <c r="U935" s="31" t="s">
        <v>352</v>
      </c>
      <c r="V935" s="31" t="s">
        <v>926</v>
      </c>
      <c r="W935" s="34"/>
    </row>
    <row r="936">
      <c r="A936" s="30">
        <v>931.0</v>
      </c>
      <c r="B936" s="31" t="s">
        <v>4293</v>
      </c>
      <c r="C936" s="31" t="s">
        <v>4294</v>
      </c>
      <c r="D936" s="31" t="s">
        <v>925</v>
      </c>
      <c r="E936" s="31" t="s">
        <v>1088</v>
      </c>
      <c r="F936" s="32">
        <v>45353.0</v>
      </c>
      <c r="G936" s="32">
        <v>45413.0</v>
      </c>
      <c r="H936" s="31" t="s">
        <v>346</v>
      </c>
      <c r="I936" s="31" t="s">
        <v>275</v>
      </c>
      <c r="J936" s="31" t="s">
        <v>1067</v>
      </c>
      <c r="K936" s="31" t="s">
        <v>1089</v>
      </c>
      <c r="L936" s="31" t="s">
        <v>929</v>
      </c>
      <c r="M936" s="31" t="s">
        <v>4295</v>
      </c>
      <c r="N936" s="31" t="s">
        <v>267</v>
      </c>
      <c r="O936" s="34"/>
      <c r="P936" s="31">
        <v>1.0</v>
      </c>
      <c r="Q936" s="31" t="s">
        <v>307</v>
      </c>
      <c r="R936" s="32">
        <v>36704.0</v>
      </c>
      <c r="S936" s="31" t="s">
        <v>286</v>
      </c>
      <c r="T936" s="31" t="s">
        <v>511</v>
      </c>
      <c r="U936" s="31" t="s">
        <v>352</v>
      </c>
      <c r="V936" s="31" t="s">
        <v>1088</v>
      </c>
      <c r="W936" s="34"/>
    </row>
    <row r="937">
      <c r="A937" s="30">
        <v>932.0</v>
      </c>
      <c r="B937" s="31" t="s">
        <v>4296</v>
      </c>
      <c r="C937" s="31" t="s">
        <v>4297</v>
      </c>
      <c r="D937" s="31" t="s">
        <v>260</v>
      </c>
      <c r="E937" s="31" t="s">
        <v>1130</v>
      </c>
      <c r="F937" s="32">
        <v>45376.0</v>
      </c>
      <c r="G937" s="33"/>
      <c r="H937" s="31" t="s">
        <v>346</v>
      </c>
      <c r="I937" s="31" t="s">
        <v>112</v>
      </c>
      <c r="J937" s="31" t="s">
        <v>1130</v>
      </c>
      <c r="K937" s="31" t="s">
        <v>1131</v>
      </c>
      <c r="L937" s="31" t="s">
        <v>392</v>
      </c>
      <c r="M937" s="31" t="s">
        <v>4298</v>
      </c>
      <c r="N937" s="31" t="s">
        <v>267</v>
      </c>
      <c r="O937" s="34"/>
      <c r="P937" s="31">
        <v>1.0</v>
      </c>
      <c r="Q937" s="31" t="s">
        <v>268</v>
      </c>
      <c r="R937" s="32">
        <v>35739.0</v>
      </c>
      <c r="S937" s="31" t="s">
        <v>626</v>
      </c>
      <c r="T937" s="31" t="s">
        <v>527</v>
      </c>
      <c r="U937" s="31" t="s">
        <v>361</v>
      </c>
      <c r="V937" s="34"/>
      <c r="W937" s="34"/>
    </row>
    <row r="938">
      <c r="A938" s="30">
        <v>933.0</v>
      </c>
      <c r="B938" s="31" t="s">
        <v>4299</v>
      </c>
      <c r="C938" s="31" t="s">
        <v>4300</v>
      </c>
      <c r="D938" s="31" t="s">
        <v>574</v>
      </c>
      <c r="E938" s="31" t="s">
        <v>4301</v>
      </c>
      <c r="F938" s="32">
        <v>45376.0</v>
      </c>
      <c r="G938" s="33"/>
      <c r="H938" s="31" t="s">
        <v>576</v>
      </c>
      <c r="I938" s="31" t="s">
        <v>2817</v>
      </c>
      <c r="J938" s="31" t="s">
        <v>4301</v>
      </c>
      <c r="K938" s="31" t="s">
        <v>4302</v>
      </c>
      <c r="L938" s="31" t="s">
        <v>579</v>
      </c>
      <c r="M938" s="31" t="s">
        <v>4303</v>
      </c>
      <c r="N938" s="31" t="s">
        <v>267</v>
      </c>
      <c r="O938" s="34"/>
      <c r="P938" s="31">
        <v>1.0</v>
      </c>
      <c r="Q938" s="31" t="s">
        <v>268</v>
      </c>
      <c r="R938" s="35">
        <v>36447.0</v>
      </c>
      <c r="S938" s="31" t="s">
        <v>531</v>
      </c>
      <c r="T938" s="31" t="s">
        <v>561</v>
      </c>
      <c r="U938" s="31" t="s">
        <v>2821</v>
      </c>
      <c r="V938" s="34"/>
      <c r="W938" s="34"/>
    </row>
    <row r="939">
      <c r="A939" s="30">
        <v>934.0</v>
      </c>
      <c r="B939" s="31" t="s">
        <v>4304</v>
      </c>
      <c r="C939" s="31" t="s">
        <v>4305</v>
      </c>
      <c r="D939" s="31" t="s">
        <v>574</v>
      </c>
      <c r="E939" s="31" t="s">
        <v>4301</v>
      </c>
      <c r="F939" s="32">
        <v>45376.0</v>
      </c>
      <c r="G939" s="33"/>
      <c r="H939" s="31" t="s">
        <v>576</v>
      </c>
      <c r="I939" s="31" t="s">
        <v>2817</v>
      </c>
      <c r="J939" s="31" t="s">
        <v>4301</v>
      </c>
      <c r="K939" s="31" t="s">
        <v>4302</v>
      </c>
      <c r="L939" s="31" t="s">
        <v>579</v>
      </c>
      <c r="M939" s="31" t="s">
        <v>4306</v>
      </c>
      <c r="N939" s="31" t="s">
        <v>467</v>
      </c>
      <c r="O939" s="34"/>
      <c r="P939" s="31">
        <v>1.0</v>
      </c>
      <c r="Q939" s="31" t="s">
        <v>268</v>
      </c>
      <c r="R939" s="32">
        <v>37408.0</v>
      </c>
      <c r="S939" s="31" t="s">
        <v>515</v>
      </c>
      <c r="T939" s="31" t="s">
        <v>360</v>
      </c>
      <c r="U939" s="31" t="s">
        <v>2821</v>
      </c>
      <c r="V939" s="34"/>
      <c r="W939" s="34"/>
    </row>
    <row r="940">
      <c r="A940" s="30">
        <v>935.0</v>
      </c>
      <c r="B940" s="31" t="s">
        <v>4307</v>
      </c>
      <c r="C940" s="31" t="s">
        <v>4308</v>
      </c>
      <c r="D940" s="31" t="s">
        <v>1541</v>
      </c>
      <c r="E940" s="31" t="s">
        <v>2439</v>
      </c>
      <c r="F940" s="32">
        <v>43200.0</v>
      </c>
      <c r="G940" s="32">
        <v>43261.0</v>
      </c>
      <c r="H940" s="31" t="s">
        <v>262</v>
      </c>
      <c r="I940" s="31" t="s">
        <v>315</v>
      </c>
      <c r="J940" s="31" t="s">
        <v>1577</v>
      </c>
      <c r="K940" s="31" t="s">
        <v>2440</v>
      </c>
      <c r="L940" s="31" t="s">
        <v>1542</v>
      </c>
      <c r="M940" s="31" t="s">
        <v>4309</v>
      </c>
      <c r="N940" s="31" t="s">
        <v>267</v>
      </c>
      <c r="O940" s="31">
        <v>1.0</v>
      </c>
      <c r="P940" s="31">
        <v>8.0</v>
      </c>
      <c r="Q940" s="31" t="s">
        <v>307</v>
      </c>
      <c r="R940" s="32">
        <v>35005.0</v>
      </c>
      <c r="S940" s="31" t="s">
        <v>4196</v>
      </c>
      <c r="T940" s="31" t="s">
        <v>3488</v>
      </c>
      <c r="U940" s="31" t="s">
        <v>271</v>
      </c>
      <c r="V940" s="31" t="s">
        <v>2439</v>
      </c>
      <c r="W940" s="34"/>
    </row>
    <row r="941">
      <c r="A941" s="30">
        <v>936.0</v>
      </c>
      <c r="B941" s="31" t="s">
        <v>4310</v>
      </c>
      <c r="C941" s="31" t="s">
        <v>1256</v>
      </c>
      <c r="D941" s="31" t="s">
        <v>260</v>
      </c>
      <c r="E941" s="31" t="s">
        <v>547</v>
      </c>
      <c r="F941" s="35">
        <v>43752.0</v>
      </c>
      <c r="G941" s="35">
        <v>43813.0</v>
      </c>
      <c r="H941" s="31" t="s">
        <v>346</v>
      </c>
      <c r="I941" s="31" t="s">
        <v>263</v>
      </c>
      <c r="J941" s="31" t="s">
        <v>356</v>
      </c>
      <c r="K941" s="31" t="s">
        <v>548</v>
      </c>
      <c r="L941" s="31" t="s">
        <v>328</v>
      </c>
      <c r="M941" s="31" t="s">
        <v>4311</v>
      </c>
      <c r="N941" s="31" t="s">
        <v>267</v>
      </c>
      <c r="O941" s="34"/>
      <c r="P941" s="31">
        <v>10.0</v>
      </c>
      <c r="Q941" s="31" t="s">
        <v>307</v>
      </c>
      <c r="R941" s="32">
        <v>35293.0</v>
      </c>
      <c r="S941" s="31" t="s">
        <v>626</v>
      </c>
      <c r="T941" s="31" t="s">
        <v>812</v>
      </c>
      <c r="U941" s="31" t="s">
        <v>361</v>
      </c>
      <c r="V941" s="31" t="s">
        <v>547</v>
      </c>
      <c r="W941" s="34"/>
    </row>
    <row r="942">
      <c r="A942" s="30">
        <v>937.0</v>
      </c>
      <c r="B942" s="31" t="s">
        <v>4312</v>
      </c>
      <c r="C942" s="31" t="s">
        <v>4313</v>
      </c>
      <c r="D942" s="31" t="s">
        <v>260</v>
      </c>
      <c r="E942" s="31" t="s">
        <v>1139</v>
      </c>
      <c r="F942" s="32">
        <v>45152.0</v>
      </c>
      <c r="G942" s="35">
        <v>45212.0</v>
      </c>
      <c r="H942" s="31" t="s">
        <v>346</v>
      </c>
      <c r="I942" s="31" t="s">
        <v>112</v>
      </c>
      <c r="J942" s="31" t="s">
        <v>1139</v>
      </c>
      <c r="K942" s="31" t="s">
        <v>1140</v>
      </c>
      <c r="L942" s="31" t="s">
        <v>392</v>
      </c>
      <c r="M942" s="31" t="s">
        <v>4314</v>
      </c>
      <c r="N942" s="31" t="s">
        <v>267</v>
      </c>
      <c r="O942" s="34"/>
      <c r="P942" s="31">
        <v>1.0</v>
      </c>
      <c r="Q942" s="31" t="s">
        <v>307</v>
      </c>
      <c r="R942" s="32">
        <v>37101.0</v>
      </c>
      <c r="S942" s="31" t="s">
        <v>4315</v>
      </c>
      <c r="T942" s="31" t="s">
        <v>491</v>
      </c>
      <c r="U942" s="31" t="s">
        <v>361</v>
      </c>
      <c r="V942" s="34"/>
      <c r="W942" s="34"/>
    </row>
    <row r="943">
      <c r="A943" s="30">
        <v>938.0</v>
      </c>
      <c r="B943" s="31" t="s">
        <v>4316</v>
      </c>
      <c r="C943" s="31" t="s">
        <v>4317</v>
      </c>
      <c r="D943" s="31" t="s">
        <v>260</v>
      </c>
      <c r="E943" s="31" t="s">
        <v>125</v>
      </c>
      <c r="F943" s="32">
        <v>44308.0</v>
      </c>
      <c r="G943" s="32">
        <v>44369.0</v>
      </c>
      <c r="H943" s="31" t="s">
        <v>346</v>
      </c>
      <c r="I943" s="31" t="s">
        <v>263</v>
      </c>
      <c r="J943" s="31" t="s">
        <v>123</v>
      </c>
      <c r="K943" s="31" t="s">
        <v>430</v>
      </c>
      <c r="L943" s="31" t="s">
        <v>431</v>
      </c>
      <c r="M943" s="31" t="s">
        <v>4318</v>
      </c>
      <c r="N943" s="31" t="s">
        <v>267</v>
      </c>
      <c r="O943" s="34"/>
      <c r="P943" s="31">
        <v>1.0</v>
      </c>
      <c r="Q943" s="31" t="s">
        <v>307</v>
      </c>
      <c r="R943" s="35">
        <v>36525.0</v>
      </c>
      <c r="S943" s="31" t="s">
        <v>531</v>
      </c>
      <c r="T943" s="31" t="s">
        <v>1093</v>
      </c>
      <c r="U943" s="31" t="s">
        <v>361</v>
      </c>
      <c r="V943" s="31" t="s">
        <v>125</v>
      </c>
      <c r="W943" s="34"/>
    </row>
    <row r="944">
      <c r="A944" s="30">
        <v>939.0</v>
      </c>
      <c r="B944" s="31" t="s">
        <v>4319</v>
      </c>
      <c r="C944" s="31" t="s">
        <v>1227</v>
      </c>
      <c r="D944" s="31" t="s">
        <v>260</v>
      </c>
      <c r="E944" s="31" t="s">
        <v>1130</v>
      </c>
      <c r="F944" s="32">
        <v>45152.0</v>
      </c>
      <c r="G944" s="35">
        <v>45212.0</v>
      </c>
      <c r="H944" s="31" t="s">
        <v>346</v>
      </c>
      <c r="I944" s="31" t="s">
        <v>112</v>
      </c>
      <c r="J944" s="31" t="s">
        <v>1130</v>
      </c>
      <c r="K944" s="31" t="s">
        <v>1131</v>
      </c>
      <c r="L944" s="31" t="s">
        <v>392</v>
      </c>
      <c r="M944" s="31" t="s">
        <v>4320</v>
      </c>
      <c r="N944" s="31" t="s">
        <v>267</v>
      </c>
      <c r="O944" s="34"/>
      <c r="P944" s="31">
        <v>1.0</v>
      </c>
      <c r="Q944" s="31" t="s">
        <v>307</v>
      </c>
      <c r="R944" s="32">
        <v>36730.0</v>
      </c>
      <c r="S944" s="31" t="s">
        <v>1041</v>
      </c>
      <c r="T944" s="31" t="s">
        <v>4321</v>
      </c>
      <c r="U944" s="31" t="s">
        <v>361</v>
      </c>
      <c r="V944" s="34"/>
      <c r="W944" s="34"/>
    </row>
    <row r="945">
      <c r="A945" s="30">
        <v>940.0</v>
      </c>
      <c r="B945" s="31" t="s">
        <v>4322</v>
      </c>
      <c r="C945" s="31" t="s">
        <v>4323</v>
      </c>
      <c r="D945" s="31" t="s">
        <v>260</v>
      </c>
      <c r="E945" s="31" t="s">
        <v>274</v>
      </c>
      <c r="F945" s="32">
        <v>45133.0</v>
      </c>
      <c r="G945" s="32">
        <v>45193.0</v>
      </c>
      <c r="H945" s="31" t="s">
        <v>346</v>
      </c>
      <c r="I945" s="31" t="s">
        <v>275</v>
      </c>
      <c r="J945" s="31" t="s">
        <v>274</v>
      </c>
      <c r="K945" s="31" t="s">
        <v>424</v>
      </c>
      <c r="L945" s="31" t="s">
        <v>277</v>
      </c>
      <c r="M945" s="31" t="s">
        <v>4324</v>
      </c>
      <c r="N945" s="31" t="s">
        <v>267</v>
      </c>
      <c r="O945" s="34"/>
      <c r="P945" s="31">
        <v>1.0</v>
      </c>
      <c r="Q945" s="31" t="s">
        <v>307</v>
      </c>
      <c r="R945" s="32">
        <v>37113.0</v>
      </c>
      <c r="S945" s="31" t="s">
        <v>526</v>
      </c>
      <c r="T945" s="31" t="s">
        <v>686</v>
      </c>
      <c r="U945" s="31" t="s">
        <v>352</v>
      </c>
      <c r="V945" s="34"/>
      <c r="W945" s="34"/>
    </row>
    <row r="946">
      <c r="A946" s="30">
        <v>941.0</v>
      </c>
      <c r="B946" s="31" t="s">
        <v>4325</v>
      </c>
      <c r="C946" s="31" t="s">
        <v>4326</v>
      </c>
      <c r="D946" s="31" t="s">
        <v>260</v>
      </c>
      <c r="E946" s="31" t="s">
        <v>889</v>
      </c>
      <c r="F946" s="32">
        <v>44109.0</v>
      </c>
      <c r="G946" s="32">
        <v>44170.0</v>
      </c>
      <c r="H946" s="31" t="s">
        <v>346</v>
      </c>
      <c r="I946" s="31" t="s">
        <v>93</v>
      </c>
      <c r="J946" s="31" t="s">
        <v>889</v>
      </c>
      <c r="K946" s="31" t="s">
        <v>890</v>
      </c>
      <c r="L946" s="31" t="s">
        <v>891</v>
      </c>
      <c r="M946" s="31" t="s">
        <v>4327</v>
      </c>
      <c r="N946" s="31" t="s">
        <v>267</v>
      </c>
      <c r="O946" s="34"/>
      <c r="P946" s="31">
        <v>4.0</v>
      </c>
      <c r="Q946" s="31" t="s">
        <v>307</v>
      </c>
      <c r="R946" s="32">
        <v>35766.0</v>
      </c>
      <c r="S946" s="31" t="s">
        <v>1398</v>
      </c>
      <c r="T946" s="31" t="s">
        <v>744</v>
      </c>
      <c r="U946" s="31" t="s">
        <v>352</v>
      </c>
      <c r="V946" s="34"/>
      <c r="W946" s="34"/>
    </row>
    <row r="947">
      <c r="A947" s="30">
        <v>942.0</v>
      </c>
      <c r="B947" s="31" t="s">
        <v>4328</v>
      </c>
      <c r="C947" s="31" t="s">
        <v>4277</v>
      </c>
      <c r="D947" s="31" t="s">
        <v>452</v>
      </c>
      <c r="E947" s="31" t="s">
        <v>4329</v>
      </c>
      <c r="F947" s="35">
        <v>44487.0</v>
      </c>
      <c r="G947" s="35">
        <v>44548.0</v>
      </c>
      <c r="H947" s="31" t="s">
        <v>453</v>
      </c>
      <c r="I947" s="31" t="s">
        <v>4330</v>
      </c>
      <c r="J947" s="31" t="s">
        <v>4331</v>
      </c>
      <c r="K947" s="31" t="s">
        <v>4332</v>
      </c>
      <c r="L947" s="31" t="s">
        <v>456</v>
      </c>
      <c r="M947" s="31" t="s">
        <v>4333</v>
      </c>
      <c r="N947" s="31" t="s">
        <v>267</v>
      </c>
      <c r="O947" s="34"/>
      <c r="P947" s="34"/>
      <c r="Q947" s="31" t="s">
        <v>307</v>
      </c>
      <c r="R947" s="32">
        <v>34099.0</v>
      </c>
      <c r="S947" s="31" t="s">
        <v>531</v>
      </c>
      <c r="T947" s="31" t="s">
        <v>503</v>
      </c>
      <c r="U947" s="31" t="s">
        <v>460</v>
      </c>
      <c r="V947" s="31" t="s">
        <v>4329</v>
      </c>
      <c r="W947" s="34"/>
    </row>
    <row r="948">
      <c r="A948" s="30">
        <v>943.0</v>
      </c>
      <c r="B948" s="31" t="s">
        <v>4334</v>
      </c>
      <c r="C948" s="31" t="s">
        <v>4335</v>
      </c>
      <c r="D948" s="31" t="s">
        <v>765</v>
      </c>
      <c r="E948" s="31" t="s">
        <v>766</v>
      </c>
      <c r="F948" s="32">
        <v>42219.0</v>
      </c>
      <c r="G948" s="32">
        <v>42280.0</v>
      </c>
      <c r="H948" s="31" t="s">
        <v>346</v>
      </c>
      <c r="I948" s="31" t="s">
        <v>263</v>
      </c>
      <c r="J948" s="31" t="s">
        <v>767</v>
      </c>
      <c r="K948" s="31" t="s">
        <v>768</v>
      </c>
      <c r="L948" s="31" t="s">
        <v>769</v>
      </c>
      <c r="M948" s="31" t="s">
        <v>4336</v>
      </c>
      <c r="N948" s="31" t="s">
        <v>267</v>
      </c>
      <c r="O948" s="34"/>
      <c r="P948" s="31">
        <v>4.0</v>
      </c>
      <c r="Q948" s="31" t="s">
        <v>307</v>
      </c>
      <c r="R948" s="32">
        <v>32750.0</v>
      </c>
      <c r="S948" s="31" t="s">
        <v>681</v>
      </c>
      <c r="T948" s="31" t="s">
        <v>4337</v>
      </c>
      <c r="U948" s="31" t="s">
        <v>361</v>
      </c>
      <c r="V948" s="31" t="s">
        <v>766</v>
      </c>
      <c r="W948" s="34"/>
    </row>
    <row r="949">
      <c r="A949" s="30">
        <v>944.0</v>
      </c>
      <c r="B949" s="31" t="s">
        <v>4338</v>
      </c>
      <c r="C949" s="31" t="s">
        <v>4339</v>
      </c>
      <c r="D949" s="31" t="s">
        <v>876</v>
      </c>
      <c r="E949" s="31" t="s">
        <v>540</v>
      </c>
      <c r="F949" s="32">
        <v>44078.0</v>
      </c>
      <c r="G949" s="32">
        <v>44139.0</v>
      </c>
      <c r="H949" s="31" t="s">
        <v>346</v>
      </c>
      <c r="I949" s="31" t="s">
        <v>263</v>
      </c>
      <c r="J949" s="31" t="s">
        <v>356</v>
      </c>
      <c r="K949" s="31" t="s">
        <v>541</v>
      </c>
      <c r="L949" s="31" t="s">
        <v>885</v>
      </c>
      <c r="M949" s="31" t="s">
        <v>4340</v>
      </c>
      <c r="N949" s="31" t="s">
        <v>267</v>
      </c>
      <c r="O949" s="31">
        <v>2.0</v>
      </c>
      <c r="P949" s="31">
        <v>1.0</v>
      </c>
      <c r="Q949" s="31" t="s">
        <v>307</v>
      </c>
      <c r="R949" s="32">
        <v>35966.0</v>
      </c>
      <c r="S949" s="31" t="s">
        <v>1740</v>
      </c>
      <c r="T949" s="31" t="s">
        <v>503</v>
      </c>
      <c r="U949" s="31" t="s">
        <v>361</v>
      </c>
      <c r="V949" s="31" t="s">
        <v>540</v>
      </c>
      <c r="W949" s="34"/>
    </row>
    <row r="950">
      <c r="A950" s="30">
        <v>945.0</v>
      </c>
      <c r="B950" s="31" t="s">
        <v>4341</v>
      </c>
      <c r="C950" s="31" t="s">
        <v>4342</v>
      </c>
      <c r="D950" s="31" t="s">
        <v>260</v>
      </c>
      <c r="E950" s="31" t="s">
        <v>125</v>
      </c>
      <c r="F950" s="32">
        <v>43557.0</v>
      </c>
      <c r="G950" s="32">
        <v>43618.0</v>
      </c>
      <c r="H950" s="31" t="s">
        <v>346</v>
      </c>
      <c r="I950" s="31" t="s">
        <v>263</v>
      </c>
      <c r="J950" s="31" t="s">
        <v>123</v>
      </c>
      <c r="K950" s="31" t="s">
        <v>430</v>
      </c>
      <c r="L950" s="31" t="s">
        <v>431</v>
      </c>
      <c r="M950" s="31" t="s">
        <v>4343</v>
      </c>
      <c r="N950" s="31" t="s">
        <v>267</v>
      </c>
      <c r="O950" s="34"/>
      <c r="P950" s="31">
        <v>1.0</v>
      </c>
      <c r="Q950" s="31" t="s">
        <v>307</v>
      </c>
      <c r="R950" s="32">
        <v>35654.0</v>
      </c>
      <c r="S950" s="31" t="s">
        <v>733</v>
      </c>
      <c r="T950" s="31" t="s">
        <v>757</v>
      </c>
      <c r="U950" s="31" t="s">
        <v>361</v>
      </c>
      <c r="V950" s="31" t="s">
        <v>125</v>
      </c>
      <c r="W950" s="34"/>
    </row>
    <row r="951">
      <c r="A951" s="30">
        <v>946.0</v>
      </c>
      <c r="B951" s="31" t="s">
        <v>4344</v>
      </c>
      <c r="C951" s="31" t="s">
        <v>4345</v>
      </c>
      <c r="D951" s="31" t="s">
        <v>260</v>
      </c>
      <c r="E951" s="31" t="s">
        <v>1260</v>
      </c>
      <c r="F951" s="32">
        <v>43368.0</v>
      </c>
      <c r="G951" s="35">
        <v>43429.0</v>
      </c>
      <c r="H951" s="31" t="s">
        <v>346</v>
      </c>
      <c r="I951" s="31" t="s">
        <v>112</v>
      </c>
      <c r="J951" s="31" t="s">
        <v>1260</v>
      </c>
      <c r="K951" s="31" t="s">
        <v>1261</v>
      </c>
      <c r="L951" s="31" t="s">
        <v>392</v>
      </c>
      <c r="M951" s="31" t="s">
        <v>4346</v>
      </c>
      <c r="N951" s="31" t="s">
        <v>267</v>
      </c>
      <c r="O951" s="34"/>
      <c r="P951" s="31">
        <v>6.0</v>
      </c>
      <c r="Q951" s="31" t="s">
        <v>307</v>
      </c>
      <c r="R951" s="35">
        <v>34982.0</v>
      </c>
      <c r="S951" s="31" t="s">
        <v>320</v>
      </c>
      <c r="T951" s="31" t="s">
        <v>1242</v>
      </c>
      <c r="U951" s="31" t="s">
        <v>361</v>
      </c>
      <c r="V951" s="34"/>
      <c r="W951" s="34"/>
    </row>
    <row r="952">
      <c r="A952" s="30">
        <v>947.0</v>
      </c>
      <c r="B952" s="31" t="s">
        <v>4347</v>
      </c>
      <c r="C952" s="31" t="s">
        <v>4348</v>
      </c>
      <c r="D952" s="31" t="s">
        <v>876</v>
      </c>
      <c r="E952" s="31" t="s">
        <v>124</v>
      </c>
      <c r="F952" s="32">
        <v>42109.0</v>
      </c>
      <c r="G952" s="32">
        <v>42170.0</v>
      </c>
      <c r="H952" s="31" t="s">
        <v>346</v>
      </c>
      <c r="I952" s="31" t="s">
        <v>263</v>
      </c>
      <c r="J952" s="31" t="s">
        <v>123</v>
      </c>
      <c r="K952" s="31" t="s">
        <v>535</v>
      </c>
      <c r="L952" s="31" t="s">
        <v>877</v>
      </c>
      <c r="M952" s="31" t="s">
        <v>4349</v>
      </c>
      <c r="N952" s="31" t="s">
        <v>267</v>
      </c>
      <c r="O952" s="31">
        <v>2.0</v>
      </c>
      <c r="P952" s="31">
        <v>1.0</v>
      </c>
      <c r="Q952" s="31" t="s">
        <v>307</v>
      </c>
      <c r="R952" s="35">
        <v>33230.0</v>
      </c>
      <c r="S952" s="31" t="s">
        <v>531</v>
      </c>
      <c r="T952" s="31" t="s">
        <v>1093</v>
      </c>
      <c r="U952" s="31" t="s">
        <v>361</v>
      </c>
      <c r="V952" s="31" t="s">
        <v>124</v>
      </c>
      <c r="W952" s="34"/>
    </row>
    <row r="953">
      <c r="A953" s="30">
        <v>948.0</v>
      </c>
      <c r="B953" s="31" t="s">
        <v>4350</v>
      </c>
      <c r="C953" s="31" t="s">
        <v>4351</v>
      </c>
      <c r="D953" s="31" t="s">
        <v>765</v>
      </c>
      <c r="E953" s="31" t="s">
        <v>766</v>
      </c>
      <c r="F953" s="32">
        <v>43193.0</v>
      </c>
      <c r="G953" s="32">
        <v>43254.0</v>
      </c>
      <c r="H953" s="31" t="s">
        <v>346</v>
      </c>
      <c r="I953" s="31" t="s">
        <v>263</v>
      </c>
      <c r="J953" s="31" t="s">
        <v>767</v>
      </c>
      <c r="K953" s="31" t="s">
        <v>768</v>
      </c>
      <c r="L953" s="31" t="s">
        <v>769</v>
      </c>
      <c r="M953" s="31" t="s">
        <v>4352</v>
      </c>
      <c r="N953" s="31" t="s">
        <v>267</v>
      </c>
      <c r="O953" s="34"/>
      <c r="P953" s="31">
        <v>2.0</v>
      </c>
      <c r="Q953" s="31" t="s">
        <v>307</v>
      </c>
      <c r="R953" s="35">
        <v>34632.0</v>
      </c>
      <c r="S953" s="31" t="s">
        <v>681</v>
      </c>
      <c r="T953" s="31" t="s">
        <v>686</v>
      </c>
      <c r="U953" s="31" t="s">
        <v>361</v>
      </c>
      <c r="V953" s="31" t="s">
        <v>766</v>
      </c>
      <c r="W953" s="34"/>
    </row>
    <row r="954">
      <c r="A954" s="30">
        <v>949.0</v>
      </c>
      <c r="B954" s="31" t="s">
        <v>4353</v>
      </c>
      <c r="C954" s="31" t="s">
        <v>4354</v>
      </c>
      <c r="D954" s="31" t="s">
        <v>260</v>
      </c>
      <c r="E954" s="31" t="s">
        <v>1260</v>
      </c>
      <c r="F954" s="32">
        <v>44348.0</v>
      </c>
      <c r="G954" s="32">
        <v>44409.0</v>
      </c>
      <c r="H954" s="31" t="s">
        <v>346</v>
      </c>
      <c r="I954" s="31" t="s">
        <v>112</v>
      </c>
      <c r="J954" s="31" t="s">
        <v>1260</v>
      </c>
      <c r="K954" s="31" t="s">
        <v>1261</v>
      </c>
      <c r="L954" s="31" t="s">
        <v>392</v>
      </c>
      <c r="M954" s="31" t="s">
        <v>4355</v>
      </c>
      <c r="N954" s="31" t="s">
        <v>267</v>
      </c>
      <c r="O954" s="34"/>
      <c r="P954" s="31">
        <v>2.0</v>
      </c>
      <c r="Q954" s="31" t="s">
        <v>307</v>
      </c>
      <c r="R954" s="32">
        <v>36328.0</v>
      </c>
      <c r="S954" s="31" t="s">
        <v>626</v>
      </c>
      <c r="T954" s="31" t="s">
        <v>686</v>
      </c>
      <c r="U954" s="31" t="s">
        <v>361</v>
      </c>
      <c r="V954" s="34"/>
      <c r="W954" s="34"/>
    </row>
    <row r="955">
      <c r="A955" s="30">
        <v>950.0</v>
      </c>
      <c r="B955" s="31" t="s">
        <v>4356</v>
      </c>
      <c r="C955" s="31" t="s">
        <v>4357</v>
      </c>
      <c r="D955" s="31" t="s">
        <v>260</v>
      </c>
      <c r="E955" s="31" t="s">
        <v>283</v>
      </c>
      <c r="F955" s="32">
        <v>45152.0</v>
      </c>
      <c r="G955" s="35">
        <v>45212.0</v>
      </c>
      <c r="H955" s="31" t="s">
        <v>346</v>
      </c>
      <c r="I955" s="31" t="s">
        <v>275</v>
      </c>
      <c r="J955" s="31" t="s">
        <v>283</v>
      </c>
      <c r="K955" s="31" t="s">
        <v>519</v>
      </c>
      <c r="L955" s="31" t="s">
        <v>277</v>
      </c>
      <c r="M955" s="31" t="s">
        <v>4358</v>
      </c>
      <c r="N955" s="31" t="s">
        <v>267</v>
      </c>
      <c r="O955" s="34"/>
      <c r="P955" s="31">
        <v>1.0</v>
      </c>
      <c r="Q955" s="31" t="s">
        <v>307</v>
      </c>
      <c r="R955" s="35">
        <v>37248.0</v>
      </c>
      <c r="S955" s="31" t="s">
        <v>320</v>
      </c>
      <c r="T955" s="31" t="s">
        <v>4359</v>
      </c>
      <c r="U955" s="31" t="s">
        <v>352</v>
      </c>
      <c r="V955" s="34"/>
      <c r="W955" s="34"/>
    </row>
    <row r="956">
      <c r="A956" s="30">
        <v>951.0</v>
      </c>
      <c r="B956" s="31" t="s">
        <v>4360</v>
      </c>
      <c r="C956" s="31" t="s">
        <v>4361</v>
      </c>
      <c r="D956" s="31" t="s">
        <v>925</v>
      </c>
      <c r="E956" s="31" t="s">
        <v>3820</v>
      </c>
      <c r="F956" s="32">
        <v>45201.0</v>
      </c>
      <c r="G956" s="32">
        <v>45261.0</v>
      </c>
      <c r="H956" s="31" t="s">
        <v>346</v>
      </c>
      <c r="I956" s="31" t="s">
        <v>275</v>
      </c>
      <c r="J956" s="31" t="s">
        <v>1012</v>
      </c>
      <c r="K956" s="31" t="s">
        <v>3821</v>
      </c>
      <c r="L956" s="31" t="s">
        <v>929</v>
      </c>
      <c r="M956" s="31" t="s">
        <v>4362</v>
      </c>
      <c r="N956" s="31" t="s">
        <v>267</v>
      </c>
      <c r="O956" s="34"/>
      <c r="P956" s="31">
        <v>1.0</v>
      </c>
      <c r="Q956" s="31" t="s">
        <v>307</v>
      </c>
      <c r="R956" s="32">
        <v>36604.0</v>
      </c>
      <c r="S956" s="31" t="s">
        <v>4183</v>
      </c>
      <c r="T956" s="31" t="s">
        <v>4363</v>
      </c>
      <c r="U956" s="31" t="s">
        <v>352</v>
      </c>
      <c r="V956" s="31" t="s">
        <v>3820</v>
      </c>
      <c r="W956" s="34"/>
    </row>
    <row r="957">
      <c r="A957" s="30">
        <v>952.0</v>
      </c>
      <c r="B957" s="31" t="s">
        <v>4364</v>
      </c>
      <c r="C957" s="31" t="s">
        <v>1382</v>
      </c>
      <c r="D957" s="31" t="s">
        <v>260</v>
      </c>
      <c r="E957" s="31" t="s">
        <v>124</v>
      </c>
      <c r="F957" s="35">
        <v>45209.0</v>
      </c>
      <c r="G957" s="32">
        <v>45269.0</v>
      </c>
      <c r="H957" s="31" t="s">
        <v>346</v>
      </c>
      <c r="I957" s="31" t="s">
        <v>263</v>
      </c>
      <c r="J957" s="31" t="s">
        <v>123</v>
      </c>
      <c r="K957" s="31" t="s">
        <v>535</v>
      </c>
      <c r="L957" s="31" t="s">
        <v>431</v>
      </c>
      <c r="M957" s="31" t="s">
        <v>4365</v>
      </c>
      <c r="N957" s="31" t="s">
        <v>267</v>
      </c>
      <c r="O957" s="34"/>
      <c r="P957" s="31">
        <v>1.0</v>
      </c>
      <c r="Q957" s="31" t="s">
        <v>307</v>
      </c>
      <c r="R957" s="32">
        <v>37201.0</v>
      </c>
      <c r="S957" s="31" t="s">
        <v>4366</v>
      </c>
      <c r="T957" s="31" t="s">
        <v>4367</v>
      </c>
      <c r="U957" s="31" t="s">
        <v>361</v>
      </c>
      <c r="V957" s="31" t="s">
        <v>124</v>
      </c>
      <c r="W957" s="34"/>
    </row>
    <row r="958">
      <c r="A958" s="30">
        <v>953.0</v>
      </c>
      <c r="B958" s="31" t="s">
        <v>4368</v>
      </c>
      <c r="C958" s="31" t="s">
        <v>4369</v>
      </c>
      <c r="D958" s="31" t="s">
        <v>925</v>
      </c>
      <c r="E958" s="31" t="s">
        <v>3820</v>
      </c>
      <c r="F958" s="32">
        <v>45194.0</v>
      </c>
      <c r="G958" s="35">
        <v>45254.0</v>
      </c>
      <c r="H958" s="31" t="s">
        <v>346</v>
      </c>
      <c r="I958" s="31" t="s">
        <v>275</v>
      </c>
      <c r="J958" s="31" t="s">
        <v>1012</v>
      </c>
      <c r="K958" s="31" t="s">
        <v>3821</v>
      </c>
      <c r="L958" s="31" t="s">
        <v>929</v>
      </c>
      <c r="M958" s="31" t="s">
        <v>4370</v>
      </c>
      <c r="N958" s="31" t="s">
        <v>467</v>
      </c>
      <c r="O958" s="34"/>
      <c r="P958" s="31">
        <v>1.0</v>
      </c>
      <c r="Q958" s="31" t="s">
        <v>307</v>
      </c>
      <c r="R958" s="32">
        <v>36316.0</v>
      </c>
      <c r="S958" s="31" t="s">
        <v>4371</v>
      </c>
      <c r="T958" s="31" t="s">
        <v>4372</v>
      </c>
      <c r="U958" s="31" t="s">
        <v>352</v>
      </c>
      <c r="V958" s="31" t="s">
        <v>3820</v>
      </c>
      <c r="W958" s="34"/>
    </row>
    <row r="959">
      <c r="A959" s="30">
        <v>954.0</v>
      </c>
      <c r="B959" s="31" t="s">
        <v>4373</v>
      </c>
      <c r="C959" s="31" t="s">
        <v>4374</v>
      </c>
      <c r="D959" s="31" t="s">
        <v>260</v>
      </c>
      <c r="E959" s="31" t="s">
        <v>374</v>
      </c>
      <c r="F959" s="32">
        <v>45191.0</v>
      </c>
      <c r="G959" s="35">
        <v>45251.0</v>
      </c>
      <c r="H959" s="31" t="s">
        <v>346</v>
      </c>
      <c r="I959" s="31" t="s">
        <v>275</v>
      </c>
      <c r="J959" s="31" t="s">
        <v>374</v>
      </c>
      <c r="K959" s="31" t="s">
        <v>375</v>
      </c>
      <c r="L959" s="31" t="s">
        <v>376</v>
      </c>
      <c r="M959" s="31" t="s">
        <v>4375</v>
      </c>
      <c r="N959" s="31" t="s">
        <v>467</v>
      </c>
      <c r="O959" s="34"/>
      <c r="P959" s="31">
        <v>1.0</v>
      </c>
      <c r="Q959" s="31" t="s">
        <v>307</v>
      </c>
      <c r="R959" s="32">
        <v>37135.0</v>
      </c>
      <c r="S959" s="31" t="s">
        <v>286</v>
      </c>
      <c r="T959" s="31" t="s">
        <v>4376</v>
      </c>
      <c r="U959" s="31" t="s">
        <v>352</v>
      </c>
      <c r="V959" s="34"/>
      <c r="W959" s="34"/>
    </row>
    <row r="960">
      <c r="A960" s="30">
        <v>955.0</v>
      </c>
      <c r="B960" s="31" t="s">
        <v>4377</v>
      </c>
      <c r="C960" s="31" t="s">
        <v>4378</v>
      </c>
      <c r="D960" s="31" t="s">
        <v>553</v>
      </c>
      <c r="E960" s="31" t="s">
        <v>4379</v>
      </c>
      <c r="F960" s="32">
        <v>45000.0</v>
      </c>
      <c r="G960" s="32">
        <v>45061.0</v>
      </c>
      <c r="H960" s="31" t="s">
        <v>453</v>
      </c>
      <c r="I960" s="31" t="s">
        <v>607</v>
      </c>
      <c r="J960" s="31" t="s">
        <v>4380</v>
      </c>
      <c r="K960" s="31" t="s">
        <v>4381</v>
      </c>
      <c r="L960" s="31" t="s">
        <v>558</v>
      </c>
      <c r="M960" s="31" t="s">
        <v>4382</v>
      </c>
      <c r="N960" s="31" t="s">
        <v>267</v>
      </c>
      <c r="O960" s="34"/>
      <c r="P960" s="34"/>
      <c r="Q960" s="31" t="s">
        <v>307</v>
      </c>
      <c r="R960" s="32">
        <v>35690.0</v>
      </c>
      <c r="S960" s="31" t="s">
        <v>626</v>
      </c>
      <c r="T960" s="31" t="s">
        <v>459</v>
      </c>
      <c r="U960" s="31" t="s">
        <v>643</v>
      </c>
      <c r="V960" s="31" t="s">
        <v>4379</v>
      </c>
      <c r="W960" s="34"/>
    </row>
    <row r="961">
      <c r="A961" s="30">
        <v>956.0</v>
      </c>
      <c r="B961" s="31" t="s">
        <v>4383</v>
      </c>
      <c r="C961" s="31" t="s">
        <v>4384</v>
      </c>
      <c r="D961" s="31" t="s">
        <v>4385</v>
      </c>
      <c r="E961" s="31" t="s">
        <v>4386</v>
      </c>
      <c r="F961" s="32">
        <v>45355.0</v>
      </c>
      <c r="G961" s="32">
        <v>45415.0</v>
      </c>
      <c r="H961" s="31" t="s">
        <v>303</v>
      </c>
      <c r="I961" s="31" t="s">
        <v>4386</v>
      </c>
      <c r="J961" s="34"/>
      <c r="K961" s="31" t="s">
        <v>4387</v>
      </c>
      <c r="L961" s="31" t="s">
        <v>4388</v>
      </c>
      <c r="M961" s="31" t="s">
        <v>4389</v>
      </c>
      <c r="N961" s="31" t="s">
        <v>467</v>
      </c>
      <c r="O961" s="34"/>
      <c r="P961" s="34"/>
      <c r="Q961" s="31" t="s">
        <v>307</v>
      </c>
      <c r="R961" s="32">
        <v>36926.0</v>
      </c>
      <c r="S961" s="31" t="s">
        <v>4390</v>
      </c>
      <c r="T961" s="31" t="s">
        <v>4391</v>
      </c>
      <c r="U961" s="31" t="s">
        <v>271</v>
      </c>
      <c r="V961" s="34"/>
      <c r="W961" s="34"/>
    </row>
    <row r="962">
      <c r="A962" s="30">
        <v>957.0</v>
      </c>
      <c r="B962" s="31" t="s">
        <v>4392</v>
      </c>
      <c r="C962" s="31" t="s">
        <v>4393</v>
      </c>
      <c r="D962" s="31" t="s">
        <v>4394</v>
      </c>
      <c r="E962" s="31" t="s">
        <v>231</v>
      </c>
      <c r="F962" s="32">
        <v>44802.0</v>
      </c>
      <c r="G962" s="35">
        <v>44863.0</v>
      </c>
      <c r="H962" s="31" t="s">
        <v>303</v>
      </c>
      <c r="I962" s="31" t="s">
        <v>231</v>
      </c>
      <c r="J962" s="34"/>
      <c r="K962" s="31" t="s">
        <v>4395</v>
      </c>
      <c r="L962" s="31" t="s">
        <v>4396</v>
      </c>
      <c r="M962" s="31" t="s">
        <v>4397</v>
      </c>
      <c r="N962" s="31" t="s">
        <v>267</v>
      </c>
      <c r="O962" s="34"/>
      <c r="P962" s="34"/>
      <c r="Q962" s="31" t="s">
        <v>307</v>
      </c>
      <c r="R962" s="32">
        <v>34436.0</v>
      </c>
      <c r="S962" s="31" t="s">
        <v>4398</v>
      </c>
      <c r="T962" s="31" t="s">
        <v>642</v>
      </c>
      <c r="U962" s="31" t="s">
        <v>310</v>
      </c>
      <c r="V962" s="34"/>
      <c r="W962" s="34"/>
    </row>
    <row r="963">
      <c r="A963" s="30">
        <v>958.0</v>
      </c>
      <c r="B963" s="31" t="s">
        <v>4399</v>
      </c>
      <c r="C963" s="31" t="s">
        <v>4400</v>
      </c>
      <c r="D963" s="31" t="s">
        <v>260</v>
      </c>
      <c r="E963" s="31" t="s">
        <v>2051</v>
      </c>
      <c r="F963" s="32">
        <v>45356.0</v>
      </c>
      <c r="G963" s="33"/>
      <c r="H963" s="31" t="s">
        <v>262</v>
      </c>
      <c r="I963" s="31" t="s">
        <v>275</v>
      </c>
      <c r="J963" s="31" t="s">
        <v>1986</v>
      </c>
      <c r="K963" s="31" t="s">
        <v>2052</v>
      </c>
      <c r="L963" s="31" t="s">
        <v>1069</v>
      </c>
      <c r="M963" s="31" t="s">
        <v>4401</v>
      </c>
      <c r="N963" s="31" t="s">
        <v>467</v>
      </c>
      <c r="O963" s="34"/>
      <c r="P963" s="31">
        <v>1.0</v>
      </c>
      <c r="Q963" s="31" t="s">
        <v>268</v>
      </c>
      <c r="R963" s="32">
        <v>37113.0</v>
      </c>
      <c r="S963" s="31" t="s">
        <v>1876</v>
      </c>
      <c r="T963" s="31" t="s">
        <v>4402</v>
      </c>
      <c r="U963" s="31" t="s">
        <v>271</v>
      </c>
      <c r="V963" s="31" t="s">
        <v>2051</v>
      </c>
      <c r="W963" s="34"/>
    </row>
    <row r="964">
      <c r="A964" s="30">
        <v>959.0</v>
      </c>
      <c r="B964" s="31" t="s">
        <v>4403</v>
      </c>
      <c r="C964" s="31" t="s">
        <v>4404</v>
      </c>
      <c r="D964" s="31" t="s">
        <v>564</v>
      </c>
      <c r="E964" s="31" t="s">
        <v>3396</v>
      </c>
      <c r="F964" s="32">
        <v>43538.0</v>
      </c>
      <c r="G964" s="32">
        <v>43599.0</v>
      </c>
      <c r="H964" s="31" t="s">
        <v>453</v>
      </c>
      <c r="I964" s="31" t="s">
        <v>47</v>
      </c>
      <c r="J964" s="31" t="s">
        <v>3397</v>
      </c>
      <c r="K964" s="31" t="s">
        <v>3398</v>
      </c>
      <c r="L964" s="31" t="s">
        <v>569</v>
      </c>
      <c r="M964" s="31" t="s">
        <v>4405</v>
      </c>
      <c r="N964" s="31" t="s">
        <v>267</v>
      </c>
      <c r="O964" s="34"/>
      <c r="P964" s="34"/>
      <c r="Q964" s="31" t="s">
        <v>307</v>
      </c>
      <c r="R964" s="32">
        <v>35491.0</v>
      </c>
      <c r="S964" s="31" t="s">
        <v>515</v>
      </c>
      <c r="T964" s="31" t="s">
        <v>459</v>
      </c>
      <c r="U964" s="31" t="s">
        <v>480</v>
      </c>
      <c r="V964" s="31" t="s">
        <v>3396</v>
      </c>
      <c r="W964" s="34"/>
    </row>
    <row r="965">
      <c r="A965" s="30">
        <v>960.0</v>
      </c>
      <c r="B965" s="31" t="s">
        <v>4406</v>
      </c>
      <c r="C965" s="31" t="s">
        <v>4407</v>
      </c>
      <c r="D965" s="31" t="s">
        <v>553</v>
      </c>
      <c r="E965" s="31" t="s">
        <v>3419</v>
      </c>
      <c r="F965" s="32">
        <v>45145.0</v>
      </c>
      <c r="G965" s="32">
        <v>45205.0</v>
      </c>
      <c r="H965" s="31" t="s">
        <v>453</v>
      </c>
      <c r="I965" s="31" t="s">
        <v>454</v>
      </c>
      <c r="J965" s="31" t="s">
        <v>3188</v>
      </c>
      <c r="K965" s="31" t="s">
        <v>3420</v>
      </c>
      <c r="L965" s="31" t="s">
        <v>558</v>
      </c>
      <c r="M965" s="31" t="s">
        <v>4408</v>
      </c>
      <c r="N965" s="31" t="s">
        <v>267</v>
      </c>
      <c r="O965" s="34"/>
      <c r="P965" s="34"/>
      <c r="Q965" s="31" t="s">
        <v>307</v>
      </c>
      <c r="R965" s="35">
        <v>36856.0</v>
      </c>
      <c r="S965" s="31" t="s">
        <v>531</v>
      </c>
      <c r="T965" s="31" t="s">
        <v>682</v>
      </c>
      <c r="U965" s="31" t="s">
        <v>460</v>
      </c>
      <c r="V965" s="31" t="s">
        <v>3419</v>
      </c>
      <c r="W965" s="34"/>
    </row>
    <row r="966">
      <c r="A966" s="30">
        <v>961.0</v>
      </c>
      <c r="B966" s="31" t="s">
        <v>4409</v>
      </c>
      <c r="C966" s="31" t="s">
        <v>4410</v>
      </c>
      <c r="D966" s="31" t="s">
        <v>472</v>
      </c>
      <c r="E966" s="31" t="s">
        <v>2696</v>
      </c>
      <c r="F966" s="32">
        <v>45133.0</v>
      </c>
      <c r="G966" s="32">
        <v>45193.0</v>
      </c>
      <c r="H966" s="31" t="s">
        <v>453</v>
      </c>
      <c r="I966" s="31" t="s">
        <v>607</v>
      </c>
      <c r="J966" s="31" t="s">
        <v>2697</v>
      </c>
      <c r="K966" s="31" t="s">
        <v>2698</v>
      </c>
      <c r="L966" s="31" t="s">
        <v>476</v>
      </c>
      <c r="M966" s="31" t="s">
        <v>4411</v>
      </c>
      <c r="N966" s="31" t="s">
        <v>467</v>
      </c>
      <c r="O966" s="34"/>
      <c r="P966" s="34"/>
      <c r="Q966" s="31" t="s">
        <v>307</v>
      </c>
      <c r="R966" s="32">
        <v>37149.0</v>
      </c>
      <c r="S966" s="31" t="s">
        <v>560</v>
      </c>
      <c r="T966" s="31" t="s">
        <v>491</v>
      </c>
      <c r="U966" s="31" t="s">
        <v>643</v>
      </c>
      <c r="V966" s="31" t="s">
        <v>2696</v>
      </c>
      <c r="W966" s="34"/>
    </row>
    <row r="967">
      <c r="A967" s="30">
        <v>962.0</v>
      </c>
      <c r="B967" s="31" t="s">
        <v>4412</v>
      </c>
      <c r="C967" s="31" t="s">
        <v>4413</v>
      </c>
      <c r="D967" s="31" t="s">
        <v>472</v>
      </c>
      <c r="E967" s="31" t="s">
        <v>4414</v>
      </c>
      <c r="F967" s="32">
        <v>45133.0</v>
      </c>
      <c r="G967" s="32">
        <v>45193.0</v>
      </c>
      <c r="H967" s="31" t="s">
        <v>453</v>
      </c>
      <c r="I967" s="31" t="s">
        <v>607</v>
      </c>
      <c r="J967" s="31" t="s">
        <v>4415</v>
      </c>
      <c r="K967" s="31" t="s">
        <v>4416</v>
      </c>
      <c r="L967" s="31" t="s">
        <v>476</v>
      </c>
      <c r="M967" s="31" t="s">
        <v>4417</v>
      </c>
      <c r="N967" s="31" t="s">
        <v>467</v>
      </c>
      <c r="O967" s="34"/>
      <c r="P967" s="34"/>
      <c r="Q967" s="31" t="s">
        <v>307</v>
      </c>
      <c r="R967" s="32">
        <v>37332.0</v>
      </c>
      <c r="S967" s="31" t="s">
        <v>560</v>
      </c>
      <c r="T967" s="31" t="s">
        <v>4418</v>
      </c>
      <c r="U967" s="31" t="s">
        <v>643</v>
      </c>
      <c r="V967" s="31" t="s">
        <v>4414</v>
      </c>
      <c r="W967" s="34"/>
    </row>
    <row r="968">
      <c r="A968" s="30">
        <v>963.0</v>
      </c>
      <c r="B968" s="31" t="s">
        <v>4419</v>
      </c>
      <c r="C968" s="31" t="s">
        <v>1923</v>
      </c>
      <c r="D968" s="31" t="s">
        <v>472</v>
      </c>
      <c r="E968" s="31" t="s">
        <v>4420</v>
      </c>
      <c r="F968" s="32">
        <v>45139.0</v>
      </c>
      <c r="G968" s="32">
        <v>45199.0</v>
      </c>
      <c r="H968" s="31" t="s">
        <v>453</v>
      </c>
      <c r="I968" s="31" t="s">
        <v>454</v>
      </c>
      <c r="J968" s="31" t="s">
        <v>3378</v>
      </c>
      <c r="K968" s="31" t="s">
        <v>4421</v>
      </c>
      <c r="L968" s="31" t="s">
        <v>476</v>
      </c>
      <c r="M968" s="31" t="s">
        <v>4422</v>
      </c>
      <c r="N968" s="31" t="s">
        <v>467</v>
      </c>
      <c r="O968" s="34"/>
      <c r="P968" s="34"/>
      <c r="Q968" s="31" t="s">
        <v>307</v>
      </c>
      <c r="R968" s="32">
        <v>37107.0</v>
      </c>
      <c r="S968" s="31" t="s">
        <v>560</v>
      </c>
      <c r="T968" s="31" t="s">
        <v>2685</v>
      </c>
      <c r="U968" s="31" t="s">
        <v>460</v>
      </c>
      <c r="V968" s="31" t="s">
        <v>4420</v>
      </c>
      <c r="W968" s="34"/>
    </row>
    <row r="969">
      <c r="A969" s="30">
        <v>964.0</v>
      </c>
      <c r="B969" s="31" t="s">
        <v>4423</v>
      </c>
      <c r="C969" s="31" t="s">
        <v>4424</v>
      </c>
      <c r="D969" s="31" t="s">
        <v>472</v>
      </c>
      <c r="E969" s="31" t="s">
        <v>4379</v>
      </c>
      <c r="F969" s="32">
        <v>45139.0</v>
      </c>
      <c r="G969" s="32">
        <v>45199.0</v>
      </c>
      <c r="H969" s="31" t="s">
        <v>453</v>
      </c>
      <c r="I969" s="31" t="s">
        <v>607</v>
      </c>
      <c r="J969" s="31" t="s">
        <v>4380</v>
      </c>
      <c r="K969" s="31" t="s">
        <v>4381</v>
      </c>
      <c r="L969" s="31" t="s">
        <v>476</v>
      </c>
      <c r="M969" s="31" t="s">
        <v>4425</v>
      </c>
      <c r="N969" s="31" t="s">
        <v>267</v>
      </c>
      <c r="O969" s="34"/>
      <c r="P969" s="34"/>
      <c r="Q969" s="31" t="s">
        <v>307</v>
      </c>
      <c r="R969" s="32">
        <v>37124.0</v>
      </c>
      <c r="S969" s="31" t="s">
        <v>4426</v>
      </c>
      <c r="T969" s="31" t="s">
        <v>4427</v>
      </c>
      <c r="U969" s="31" t="s">
        <v>643</v>
      </c>
      <c r="V969" s="31" t="s">
        <v>4379</v>
      </c>
      <c r="W969" s="34"/>
    </row>
    <row r="970">
      <c r="A970" s="30">
        <v>965.0</v>
      </c>
      <c r="B970" s="31" t="s">
        <v>4428</v>
      </c>
      <c r="C970" s="31" t="s">
        <v>4429</v>
      </c>
      <c r="D970" s="31" t="s">
        <v>472</v>
      </c>
      <c r="E970" s="31" t="s">
        <v>2834</v>
      </c>
      <c r="F970" s="32">
        <v>45152.0</v>
      </c>
      <c r="G970" s="35">
        <v>45212.0</v>
      </c>
      <c r="H970" s="31" t="s">
        <v>453</v>
      </c>
      <c r="I970" s="31" t="s">
        <v>2835</v>
      </c>
      <c r="J970" s="31" t="s">
        <v>2836</v>
      </c>
      <c r="K970" s="31" t="s">
        <v>2837</v>
      </c>
      <c r="L970" s="31" t="s">
        <v>476</v>
      </c>
      <c r="M970" s="31" t="s">
        <v>4430</v>
      </c>
      <c r="N970" s="31" t="s">
        <v>467</v>
      </c>
      <c r="O970" s="34"/>
      <c r="P970" s="34"/>
      <c r="Q970" s="31" t="s">
        <v>307</v>
      </c>
      <c r="R970" s="32">
        <v>36764.0</v>
      </c>
      <c r="S970" s="31" t="s">
        <v>560</v>
      </c>
      <c r="T970" s="31" t="s">
        <v>1127</v>
      </c>
      <c r="U970" s="31" t="s">
        <v>480</v>
      </c>
      <c r="V970" s="31" t="s">
        <v>2834</v>
      </c>
      <c r="W970" s="34"/>
    </row>
    <row r="971">
      <c r="A971" s="30">
        <v>966.0</v>
      </c>
      <c r="B971" s="31" t="s">
        <v>4431</v>
      </c>
      <c r="C971" s="31" t="s">
        <v>4432</v>
      </c>
      <c r="D971" s="31" t="s">
        <v>636</v>
      </c>
      <c r="E971" s="31" t="s">
        <v>637</v>
      </c>
      <c r="F971" s="32">
        <v>45152.0</v>
      </c>
      <c r="G971" s="35">
        <v>45212.0</v>
      </c>
      <c r="H971" s="31" t="s">
        <v>453</v>
      </c>
      <c r="I971" s="31" t="s">
        <v>52</v>
      </c>
      <c r="J971" s="31" t="s">
        <v>638</v>
      </c>
      <c r="K971" s="31" t="s">
        <v>639</v>
      </c>
      <c r="L971" s="31" t="s">
        <v>640</v>
      </c>
      <c r="M971" s="31" t="s">
        <v>4433</v>
      </c>
      <c r="N971" s="31" t="s">
        <v>467</v>
      </c>
      <c r="O971" s="34"/>
      <c r="P971" s="34"/>
      <c r="Q971" s="31" t="s">
        <v>307</v>
      </c>
      <c r="R971" s="32">
        <v>36280.0</v>
      </c>
      <c r="S971" s="31" t="s">
        <v>4434</v>
      </c>
      <c r="T971" s="31" t="s">
        <v>4435</v>
      </c>
      <c r="U971" s="31" t="s">
        <v>643</v>
      </c>
      <c r="V971" s="31" t="s">
        <v>637</v>
      </c>
      <c r="W971" s="34"/>
    </row>
    <row r="972">
      <c r="A972" s="30">
        <v>967.0</v>
      </c>
      <c r="B972" s="31" t="s">
        <v>4436</v>
      </c>
      <c r="C972" s="31" t="s">
        <v>4437</v>
      </c>
      <c r="D972" s="31" t="s">
        <v>553</v>
      </c>
      <c r="E972" s="31" t="s">
        <v>2902</v>
      </c>
      <c r="F972" s="32">
        <v>45127.0</v>
      </c>
      <c r="G972" s="32">
        <v>45187.0</v>
      </c>
      <c r="H972" s="31" t="s">
        <v>453</v>
      </c>
      <c r="I972" s="31" t="s">
        <v>454</v>
      </c>
      <c r="J972" s="31" t="s">
        <v>2903</v>
      </c>
      <c r="K972" s="31" t="s">
        <v>2904</v>
      </c>
      <c r="L972" s="31" t="s">
        <v>558</v>
      </c>
      <c r="M972" s="31" t="s">
        <v>4438</v>
      </c>
      <c r="N972" s="31" t="s">
        <v>267</v>
      </c>
      <c r="O972" s="34"/>
      <c r="P972" s="34"/>
      <c r="Q972" s="31" t="s">
        <v>307</v>
      </c>
      <c r="R972" s="32">
        <v>35081.0</v>
      </c>
      <c r="S972" s="31" t="s">
        <v>4439</v>
      </c>
      <c r="T972" s="31" t="s">
        <v>4440</v>
      </c>
      <c r="U972" s="31" t="s">
        <v>480</v>
      </c>
      <c r="V972" s="31" t="s">
        <v>2902</v>
      </c>
      <c r="W972" s="34"/>
    </row>
    <row r="973">
      <c r="A973" s="30">
        <v>968.0</v>
      </c>
      <c r="B973" s="31" t="s">
        <v>4441</v>
      </c>
      <c r="C973" s="31" t="s">
        <v>4442</v>
      </c>
      <c r="D973" s="31" t="s">
        <v>472</v>
      </c>
      <c r="E973" s="31" t="s">
        <v>2651</v>
      </c>
      <c r="F973" s="32">
        <v>45131.0</v>
      </c>
      <c r="G973" s="32">
        <v>45191.0</v>
      </c>
      <c r="H973" s="31" t="s">
        <v>453</v>
      </c>
      <c r="I973" s="31" t="s">
        <v>566</v>
      </c>
      <c r="J973" s="31" t="s">
        <v>567</v>
      </c>
      <c r="K973" s="31" t="s">
        <v>2652</v>
      </c>
      <c r="L973" s="31" t="s">
        <v>476</v>
      </c>
      <c r="M973" s="31" t="s">
        <v>4443</v>
      </c>
      <c r="N973" s="31" t="s">
        <v>467</v>
      </c>
      <c r="O973" s="34"/>
      <c r="P973" s="34"/>
      <c r="Q973" s="31" t="s">
        <v>307</v>
      </c>
      <c r="R973" s="35">
        <v>37600.0</v>
      </c>
      <c r="S973" s="31" t="s">
        <v>560</v>
      </c>
      <c r="T973" s="31" t="s">
        <v>491</v>
      </c>
      <c r="U973" s="31" t="s">
        <v>480</v>
      </c>
      <c r="V973" s="31" t="s">
        <v>2651</v>
      </c>
      <c r="W973" s="34"/>
    </row>
    <row r="974">
      <c r="A974" s="30">
        <v>969.0</v>
      </c>
      <c r="B974" s="31" t="s">
        <v>4444</v>
      </c>
      <c r="C974" s="31" t="s">
        <v>4445</v>
      </c>
      <c r="D974" s="31" t="s">
        <v>452</v>
      </c>
      <c r="E974" s="31" t="s">
        <v>4446</v>
      </c>
      <c r="F974" s="32">
        <v>45133.0</v>
      </c>
      <c r="G974" s="32">
        <v>45193.0</v>
      </c>
      <c r="H974" s="31" t="s">
        <v>453</v>
      </c>
      <c r="I974" s="31" t="s">
        <v>607</v>
      </c>
      <c r="J974" s="31" t="s">
        <v>2697</v>
      </c>
      <c r="K974" s="31" t="s">
        <v>4447</v>
      </c>
      <c r="L974" s="31" t="s">
        <v>456</v>
      </c>
      <c r="M974" s="31" t="s">
        <v>4448</v>
      </c>
      <c r="N974" s="31" t="s">
        <v>267</v>
      </c>
      <c r="O974" s="34"/>
      <c r="P974" s="34"/>
      <c r="Q974" s="31" t="s">
        <v>307</v>
      </c>
      <c r="R974" s="35">
        <v>36149.0</v>
      </c>
      <c r="S974" s="31" t="s">
        <v>531</v>
      </c>
      <c r="T974" s="31" t="s">
        <v>4449</v>
      </c>
      <c r="U974" s="31" t="s">
        <v>643</v>
      </c>
      <c r="V974" s="31" t="s">
        <v>4446</v>
      </c>
      <c r="W974" s="34"/>
    </row>
    <row r="975">
      <c r="A975" s="30">
        <v>970.0</v>
      </c>
      <c r="B975" s="31" t="s">
        <v>4450</v>
      </c>
      <c r="C975" s="31" t="s">
        <v>4451</v>
      </c>
      <c r="D975" s="31" t="s">
        <v>472</v>
      </c>
      <c r="E975" s="31" t="s">
        <v>2651</v>
      </c>
      <c r="F975" s="32">
        <v>45133.0</v>
      </c>
      <c r="G975" s="32">
        <v>45193.0</v>
      </c>
      <c r="H975" s="31" t="s">
        <v>453</v>
      </c>
      <c r="I975" s="31" t="s">
        <v>566</v>
      </c>
      <c r="J975" s="31" t="s">
        <v>567</v>
      </c>
      <c r="K975" s="31" t="s">
        <v>2652</v>
      </c>
      <c r="L975" s="31" t="s">
        <v>476</v>
      </c>
      <c r="M975" s="31" t="s">
        <v>4452</v>
      </c>
      <c r="N975" s="31" t="s">
        <v>467</v>
      </c>
      <c r="O975" s="34"/>
      <c r="P975" s="34"/>
      <c r="Q975" s="31" t="s">
        <v>307</v>
      </c>
      <c r="R975" s="32">
        <v>37060.0</v>
      </c>
      <c r="S975" s="31" t="s">
        <v>490</v>
      </c>
      <c r="T975" s="31" t="s">
        <v>4453</v>
      </c>
      <c r="U975" s="31" t="s">
        <v>480</v>
      </c>
      <c r="V975" s="31" t="s">
        <v>2651</v>
      </c>
      <c r="W975" s="34"/>
    </row>
    <row r="976">
      <c r="A976" s="30">
        <v>971.0</v>
      </c>
      <c r="B976" s="31" t="s">
        <v>4454</v>
      </c>
      <c r="C976" s="31" t="s">
        <v>1065</v>
      </c>
      <c r="D976" s="31" t="s">
        <v>472</v>
      </c>
      <c r="E976" s="31" t="s">
        <v>4420</v>
      </c>
      <c r="F976" s="32">
        <v>45154.0</v>
      </c>
      <c r="G976" s="35">
        <v>45214.0</v>
      </c>
      <c r="H976" s="31" t="s">
        <v>453</v>
      </c>
      <c r="I976" s="31" t="s">
        <v>454</v>
      </c>
      <c r="J976" s="31" t="s">
        <v>3378</v>
      </c>
      <c r="K976" s="31" t="s">
        <v>4421</v>
      </c>
      <c r="L976" s="31" t="s">
        <v>476</v>
      </c>
      <c r="M976" s="31" t="s">
        <v>4455</v>
      </c>
      <c r="N976" s="31" t="s">
        <v>467</v>
      </c>
      <c r="O976" s="34"/>
      <c r="P976" s="34"/>
      <c r="Q976" s="31" t="s">
        <v>307</v>
      </c>
      <c r="R976" s="32">
        <v>37416.0</v>
      </c>
      <c r="S976" s="31" t="s">
        <v>560</v>
      </c>
      <c r="T976" s="31" t="s">
        <v>4456</v>
      </c>
      <c r="U976" s="31" t="s">
        <v>460</v>
      </c>
      <c r="V976" s="31" t="s">
        <v>4420</v>
      </c>
      <c r="W976" s="34"/>
    </row>
    <row r="977">
      <c r="A977" s="30">
        <v>972.0</v>
      </c>
      <c r="B977" s="31" t="s">
        <v>4457</v>
      </c>
      <c r="C977" s="31" t="s">
        <v>4458</v>
      </c>
      <c r="D977" s="31" t="s">
        <v>2977</v>
      </c>
      <c r="E977" s="31" t="s">
        <v>2978</v>
      </c>
      <c r="F977" s="32">
        <v>43557.0</v>
      </c>
      <c r="G977" s="32">
        <v>43618.0</v>
      </c>
      <c r="H977" s="31" t="s">
        <v>303</v>
      </c>
      <c r="I977" s="31" t="s">
        <v>2978</v>
      </c>
      <c r="J977" s="34"/>
      <c r="K977" s="31" t="s">
        <v>2979</v>
      </c>
      <c r="L977" s="31" t="s">
        <v>2980</v>
      </c>
      <c r="M977" s="31" t="s">
        <v>4459</v>
      </c>
      <c r="N977" s="31" t="s">
        <v>267</v>
      </c>
      <c r="O977" s="34"/>
      <c r="P977" s="34"/>
      <c r="Q977" s="31" t="s">
        <v>307</v>
      </c>
      <c r="R977" s="32">
        <v>35712.0</v>
      </c>
      <c r="S977" s="31" t="s">
        <v>1876</v>
      </c>
      <c r="T977" s="31" t="s">
        <v>744</v>
      </c>
      <c r="U977" s="31" t="s">
        <v>361</v>
      </c>
      <c r="V977" s="34"/>
      <c r="W977" s="34"/>
    </row>
    <row r="978">
      <c r="A978" s="30">
        <v>973.0</v>
      </c>
      <c r="B978" s="31" t="s">
        <v>4460</v>
      </c>
      <c r="C978" s="31" t="s">
        <v>4461</v>
      </c>
      <c r="D978" s="31" t="s">
        <v>260</v>
      </c>
      <c r="E978" s="31" t="s">
        <v>2858</v>
      </c>
      <c r="F978" s="32">
        <v>45377.0</v>
      </c>
      <c r="G978" s="33"/>
      <c r="H978" s="31" t="s">
        <v>2811</v>
      </c>
      <c r="I978" s="31" t="s">
        <v>2768</v>
      </c>
      <c r="J978" s="31" t="s">
        <v>2858</v>
      </c>
      <c r="K978" s="31" t="s">
        <v>3074</v>
      </c>
      <c r="L978" s="31" t="s">
        <v>392</v>
      </c>
      <c r="M978" s="31" t="s">
        <v>4462</v>
      </c>
      <c r="N978" s="31" t="s">
        <v>467</v>
      </c>
      <c r="O978" s="34"/>
      <c r="P978" s="31">
        <v>1.0</v>
      </c>
      <c r="Q978" s="31" t="s">
        <v>268</v>
      </c>
      <c r="R978" s="32">
        <v>36570.0</v>
      </c>
      <c r="S978" s="31" t="s">
        <v>320</v>
      </c>
      <c r="T978" s="31" t="s">
        <v>4463</v>
      </c>
      <c r="U978" s="31" t="s">
        <v>2914</v>
      </c>
      <c r="V978" s="34"/>
      <c r="W978" s="34"/>
    </row>
    <row r="979">
      <c r="A979" s="30">
        <v>974.0</v>
      </c>
      <c r="B979" s="31" t="s">
        <v>4464</v>
      </c>
      <c r="C979" s="31" t="s">
        <v>4465</v>
      </c>
      <c r="D979" s="31" t="s">
        <v>463</v>
      </c>
      <c r="E979" s="31" t="s">
        <v>4466</v>
      </c>
      <c r="F979" s="32">
        <v>41764.0</v>
      </c>
      <c r="G979" s="32">
        <v>41825.0</v>
      </c>
      <c r="H979" s="31" t="s">
        <v>453</v>
      </c>
      <c r="I979" s="31" t="s">
        <v>566</v>
      </c>
      <c r="J979" s="31" t="s">
        <v>2888</v>
      </c>
      <c r="K979" s="31" t="s">
        <v>4467</v>
      </c>
      <c r="L979" s="31" t="s">
        <v>465</v>
      </c>
      <c r="M979" s="31" t="s">
        <v>4468</v>
      </c>
      <c r="N979" s="31" t="s">
        <v>467</v>
      </c>
      <c r="O979" s="31">
        <v>2.0</v>
      </c>
      <c r="P979" s="34"/>
      <c r="Q979" s="31" t="s">
        <v>307</v>
      </c>
      <c r="R979" s="32">
        <v>33613.0</v>
      </c>
      <c r="S979" s="31" t="s">
        <v>502</v>
      </c>
      <c r="T979" s="31" t="s">
        <v>503</v>
      </c>
      <c r="U979" s="31" t="s">
        <v>480</v>
      </c>
      <c r="V979" s="31" t="s">
        <v>4466</v>
      </c>
      <c r="W979" s="34"/>
    </row>
    <row r="980">
      <c r="A980" s="30">
        <v>975.0</v>
      </c>
      <c r="B980" s="31" t="s">
        <v>4469</v>
      </c>
      <c r="C980" s="31" t="s">
        <v>4470</v>
      </c>
      <c r="D980" s="31" t="s">
        <v>260</v>
      </c>
      <c r="E980" s="31" t="s">
        <v>2767</v>
      </c>
      <c r="F980" s="32">
        <v>45369.0</v>
      </c>
      <c r="G980" s="33"/>
      <c r="H980" s="31" t="s">
        <v>2811</v>
      </c>
      <c r="I980" s="31" t="s">
        <v>2768</v>
      </c>
      <c r="J980" s="31" t="s">
        <v>2767</v>
      </c>
      <c r="K980" s="31" t="s">
        <v>3080</v>
      </c>
      <c r="L980" s="31" t="s">
        <v>392</v>
      </c>
      <c r="M980" s="31" t="s">
        <v>4471</v>
      </c>
      <c r="N980" s="31" t="s">
        <v>467</v>
      </c>
      <c r="O980" s="34"/>
      <c r="P980" s="31">
        <v>1.0</v>
      </c>
      <c r="Q980" s="31" t="s">
        <v>268</v>
      </c>
      <c r="R980" s="32">
        <v>36198.0</v>
      </c>
      <c r="S980" s="31" t="s">
        <v>2991</v>
      </c>
      <c r="T980" s="31" t="s">
        <v>3307</v>
      </c>
      <c r="U980" s="31" t="s">
        <v>2914</v>
      </c>
      <c r="V980" s="34"/>
      <c r="W980" s="34"/>
    </row>
    <row r="981">
      <c r="A981" s="30">
        <v>976.0</v>
      </c>
      <c r="B981" s="31" t="s">
        <v>4472</v>
      </c>
      <c r="C981" s="31" t="s">
        <v>4473</v>
      </c>
      <c r="D981" s="31" t="s">
        <v>260</v>
      </c>
      <c r="E981" s="31" t="s">
        <v>2858</v>
      </c>
      <c r="F981" s="32">
        <v>45364.0</v>
      </c>
      <c r="G981" s="33"/>
      <c r="H981" s="31" t="s">
        <v>2811</v>
      </c>
      <c r="I981" s="31" t="s">
        <v>2768</v>
      </c>
      <c r="J981" s="31" t="s">
        <v>2858</v>
      </c>
      <c r="K981" s="31" t="s">
        <v>3074</v>
      </c>
      <c r="L981" s="31" t="s">
        <v>392</v>
      </c>
      <c r="M981" s="31" t="s">
        <v>4474</v>
      </c>
      <c r="N981" s="31" t="s">
        <v>267</v>
      </c>
      <c r="O981" s="34"/>
      <c r="P981" s="31">
        <v>1.0</v>
      </c>
      <c r="Q981" s="31" t="s">
        <v>268</v>
      </c>
      <c r="R981" s="35">
        <v>37539.0</v>
      </c>
      <c r="S981" s="31" t="s">
        <v>320</v>
      </c>
      <c r="T981" s="31" t="s">
        <v>4475</v>
      </c>
      <c r="U981" s="31" t="s">
        <v>2914</v>
      </c>
      <c r="V981" s="34"/>
      <c r="W981" s="34"/>
    </row>
    <row r="982">
      <c r="A982" s="30">
        <v>977.0</v>
      </c>
      <c r="B982" s="31" t="s">
        <v>4476</v>
      </c>
      <c r="C982" s="31" t="s">
        <v>4477</v>
      </c>
      <c r="D982" s="31" t="s">
        <v>452</v>
      </c>
      <c r="E982" s="31" t="s">
        <v>616</v>
      </c>
      <c r="F982" s="32">
        <v>45355.0</v>
      </c>
      <c r="G982" s="32">
        <v>45415.0</v>
      </c>
      <c r="H982" s="31" t="s">
        <v>453</v>
      </c>
      <c r="I982" s="31" t="s">
        <v>555</v>
      </c>
      <c r="J982" s="31" t="s">
        <v>556</v>
      </c>
      <c r="K982" s="31" t="s">
        <v>617</v>
      </c>
      <c r="L982" s="31" t="s">
        <v>456</v>
      </c>
      <c r="M982" s="31" t="s">
        <v>4478</v>
      </c>
      <c r="N982" s="31" t="s">
        <v>267</v>
      </c>
      <c r="O982" s="34"/>
      <c r="P982" s="34"/>
      <c r="Q982" s="31" t="s">
        <v>307</v>
      </c>
      <c r="R982" s="32">
        <v>33349.0</v>
      </c>
      <c r="S982" s="31" t="s">
        <v>3709</v>
      </c>
      <c r="T982" s="31" t="s">
        <v>854</v>
      </c>
      <c r="U982" s="31" t="s">
        <v>480</v>
      </c>
      <c r="V982" s="31" t="s">
        <v>616</v>
      </c>
      <c r="W982" s="34"/>
    </row>
    <row r="983">
      <c r="A983" s="30">
        <v>978.0</v>
      </c>
      <c r="B983" s="31" t="s">
        <v>4479</v>
      </c>
      <c r="C983" s="31" t="s">
        <v>3966</v>
      </c>
      <c r="D983" s="31" t="s">
        <v>260</v>
      </c>
      <c r="E983" s="31" t="s">
        <v>2737</v>
      </c>
      <c r="F983" s="32">
        <v>42930.0</v>
      </c>
      <c r="G983" s="32">
        <v>42992.0</v>
      </c>
      <c r="H983" s="31" t="s">
        <v>2732</v>
      </c>
      <c r="I983" s="31" t="s">
        <v>326</v>
      </c>
      <c r="J983" s="31" t="s">
        <v>2737</v>
      </c>
      <c r="K983" s="31" t="s">
        <v>2738</v>
      </c>
      <c r="L983" s="31" t="s">
        <v>431</v>
      </c>
      <c r="M983" s="31" t="s">
        <v>4480</v>
      </c>
      <c r="N983" s="31" t="s">
        <v>267</v>
      </c>
      <c r="O983" s="34"/>
      <c r="P983" s="31">
        <v>2.0</v>
      </c>
      <c r="Q983" s="31" t="s">
        <v>307</v>
      </c>
      <c r="R983" s="32">
        <v>34440.0</v>
      </c>
      <c r="S983" s="31" t="s">
        <v>717</v>
      </c>
      <c r="T983" s="31" t="s">
        <v>4481</v>
      </c>
      <c r="U983" s="31" t="s">
        <v>2735</v>
      </c>
      <c r="V983" s="34"/>
      <c r="W983" s="34"/>
    </row>
    <row r="984">
      <c r="A984" s="30">
        <v>979.0</v>
      </c>
      <c r="B984" s="31" t="s">
        <v>4482</v>
      </c>
      <c r="C984" s="31" t="s">
        <v>4483</v>
      </c>
      <c r="D984" s="31" t="s">
        <v>574</v>
      </c>
      <c r="E984" s="31" t="s">
        <v>3430</v>
      </c>
      <c r="F984" s="35">
        <v>43766.0</v>
      </c>
      <c r="G984" s="35">
        <v>43827.0</v>
      </c>
      <c r="H984" s="31" t="s">
        <v>576</v>
      </c>
      <c r="I984" s="31" t="s">
        <v>3431</v>
      </c>
      <c r="J984" s="31" t="s">
        <v>3430</v>
      </c>
      <c r="K984" s="31" t="s">
        <v>3432</v>
      </c>
      <c r="L984" s="31" t="s">
        <v>579</v>
      </c>
      <c r="M984" s="31" t="s">
        <v>4484</v>
      </c>
      <c r="N984" s="31" t="s">
        <v>267</v>
      </c>
      <c r="O984" s="34"/>
      <c r="P984" s="31">
        <v>2.0</v>
      </c>
      <c r="Q984" s="31" t="s">
        <v>307</v>
      </c>
      <c r="R984" s="32">
        <v>35663.0</v>
      </c>
      <c r="S984" s="31" t="s">
        <v>4485</v>
      </c>
      <c r="T984" s="31" t="s">
        <v>4486</v>
      </c>
      <c r="U984" s="31" t="s">
        <v>331</v>
      </c>
      <c r="V984" s="34"/>
      <c r="W984" s="34"/>
    </row>
    <row r="985">
      <c r="A985" s="30">
        <v>980.0</v>
      </c>
      <c r="B985" s="31" t="s">
        <v>4487</v>
      </c>
      <c r="C985" s="31" t="s">
        <v>4488</v>
      </c>
      <c r="D985" s="31" t="s">
        <v>574</v>
      </c>
      <c r="E985" s="31" t="s">
        <v>3430</v>
      </c>
      <c r="F985" s="32">
        <v>44092.0</v>
      </c>
      <c r="G985" s="35">
        <v>44153.0</v>
      </c>
      <c r="H985" s="31" t="s">
        <v>576</v>
      </c>
      <c r="I985" s="31" t="s">
        <v>3431</v>
      </c>
      <c r="J985" s="31" t="s">
        <v>3430</v>
      </c>
      <c r="K985" s="31" t="s">
        <v>3432</v>
      </c>
      <c r="L985" s="31" t="s">
        <v>579</v>
      </c>
      <c r="M985" s="31" t="s">
        <v>4489</v>
      </c>
      <c r="N985" s="31" t="s">
        <v>267</v>
      </c>
      <c r="O985" s="34"/>
      <c r="P985" s="34"/>
      <c r="Q985" s="31" t="s">
        <v>307</v>
      </c>
      <c r="R985" s="32">
        <v>36100.0</v>
      </c>
      <c r="S985" s="31" t="s">
        <v>433</v>
      </c>
      <c r="T985" s="31" t="s">
        <v>744</v>
      </c>
      <c r="U985" s="31" t="s">
        <v>633</v>
      </c>
      <c r="V985" s="34"/>
      <c r="W985" s="34"/>
    </row>
    <row r="986">
      <c r="A986" s="30">
        <v>981.0</v>
      </c>
      <c r="B986" s="31" t="s">
        <v>4490</v>
      </c>
      <c r="C986" s="31" t="s">
        <v>4491</v>
      </c>
      <c r="D986" s="31" t="s">
        <v>472</v>
      </c>
      <c r="E986" s="31" t="s">
        <v>4492</v>
      </c>
      <c r="F986" s="35">
        <v>44125.0</v>
      </c>
      <c r="G986" s="35">
        <v>44186.0</v>
      </c>
      <c r="H986" s="31" t="s">
        <v>453</v>
      </c>
      <c r="I986" s="31" t="s">
        <v>555</v>
      </c>
      <c r="J986" s="31" t="s">
        <v>556</v>
      </c>
      <c r="K986" s="31" t="s">
        <v>4493</v>
      </c>
      <c r="L986" s="31" t="s">
        <v>476</v>
      </c>
      <c r="M986" s="31" t="s">
        <v>4494</v>
      </c>
      <c r="N986" s="31" t="s">
        <v>467</v>
      </c>
      <c r="O986" s="34"/>
      <c r="P986" s="34"/>
      <c r="Q986" s="31" t="s">
        <v>307</v>
      </c>
      <c r="R986" s="35">
        <v>36159.0</v>
      </c>
      <c r="S986" s="31" t="s">
        <v>1622</v>
      </c>
      <c r="T986" s="31" t="s">
        <v>3198</v>
      </c>
      <c r="U986" s="31" t="s">
        <v>480</v>
      </c>
      <c r="V986" s="31" t="s">
        <v>4492</v>
      </c>
      <c r="W986" s="34"/>
    </row>
    <row r="987">
      <c r="A987" s="30">
        <v>982.0</v>
      </c>
      <c r="B987" s="31" t="s">
        <v>4495</v>
      </c>
      <c r="C987" s="31" t="s">
        <v>4496</v>
      </c>
      <c r="D987" s="31" t="s">
        <v>472</v>
      </c>
      <c r="E987" s="31" t="s">
        <v>554</v>
      </c>
      <c r="F987" s="32">
        <v>44896.0</v>
      </c>
      <c r="G987" s="32">
        <v>44958.0</v>
      </c>
      <c r="H987" s="31" t="s">
        <v>453</v>
      </c>
      <c r="I987" s="31" t="s">
        <v>555</v>
      </c>
      <c r="J987" s="31" t="s">
        <v>556</v>
      </c>
      <c r="K987" s="31" t="s">
        <v>557</v>
      </c>
      <c r="L987" s="31" t="s">
        <v>476</v>
      </c>
      <c r="M987" s="31" t="s">
        <v>4497</v>
      </c>
      <c r="N987" s="31" t="s">
        <v>467</v>
      </c>
      <c r="O987" s="34"/>
      <c r="P987" s="34"/>
      <c r="Q987" s="31" t="s">
        <v>307</v>
      </c>
      <c r="R987" s="35">
        <v>37175.0</v>
      </c>
      <c r="S987" s="31" t="s">
        <v>4498</v>
      </c>
      <c r="T987" s="31" t="s">
        <v>1865</v>
      </c>
      <c r="U987" s="31" t="s">
        <v>480</v>
      </c>
      <c r="V987" s="31" t="s">
        <v>554</v>
      </c>
      <c r="W987" s="34"/>
    </row>
    <row r="988">
      <c r="A988" s="30">
        <v>983.0</v>
      </c>
      <c r="B988" s="31" t="s">
        <v>4499</v>
      </c>
      <c r="C988" s="31" t="s">
        <v>4500</v>
      </c>
      <c r="D988" s="31" t="s">
        <v>452</v>
      </c>
      <c r="E988" s="31" t="s">
        <v>4501</v>
      </c>
      <c r="F988" s="32">
        <v>43315.0</v>
      </c>
      <c r="G988" s="32">
        <v>43376.0</v>
      </c>
      <c r="H988" s="31" t="s">
        <v>453</v>
      </c>
      <c r="I988" s="31" t="s">
        <v>47</v>
      </c>
      <c r="J988" s="31" t="s">
        <v>4502</v>
      </c>
      <c r="K988" s="31" t="s">
        <v>4503</v>
      </c>
      <c r="L988" s="31" t="s">
        <v>456</v>
      </c>
      <c r="M988" s="31" t="s">
        <v>4504</v>
      </c>
      <c r="N988" s="31" t="s">
        <v>467</v>
      </c>
      <c r="O988" s="34"/>
      <c r="P988" s="34"/>
      <c r="Q988" s="31" t="s">
        <v>307</v>
      </c>
      <c r="R988" s="32">
        <v>34246.0</v>
      </c>
      <c r="S988" s="31" t="s">
        <v>320</v>
      </c>
      <c r="T988" s="31" t="s">
        <v>4505</v>
      </c>
      <c r="U988" s="31" t="s">
        <v>480</v>
      </c>
      <c r="V988" s="31" t="s">
        <v>4501</v>
      </c>
      <c r="W988" s="34"/>
    </row>
    <row r="989">
      <c r="A989" s="30">
        <v>984.0</v>
      </c>
      <c r="B989" s="31" t="s">
        <v>4506</v>
      </c>
      <c r="C989" s="31" t="s">
        <v>4507</v>
      </c>
      <c r="D989" s="31" t="s">
        <v>564</v>
      </c>
      <c r="E989" s="31" t="s">
        <v>4508</v>
      </c>
      <c r="F989" s="32">
        <v>44835.0</v>
      </c>
      <c r="G989" s="32">
        <v>44896.0</v>
      </c>
      <c r="H989" s="31" t="s">
        <v>453</v>
      </c>
      <c r="I989" s="31" t="s">
        <v>47</v>
      </c>
      <c r="J989" s="31" t="s">
        <v>4508</v>
      </c>
      <c r="K989" s="31" t="s">
        <v>4509</v>
      </c>
      <c r="L989" s="31" t="s">
        <v>569</v>
      </c>
      <c r="M989" s="31" t="s">
        <v>4510</v>
      </c>
      <c r="N989" s="31" t="s">
        <v>267</v>
      </c>
      <c r="O989" s="34"/>
      <c r="P989" s="34"/>
      <c r="Q989" s="31" t="s">
        <v>307</v>
      </c>
      <c r="R989" s="35">
        <v>36129.0</v>
      </c>
      <c r="S989" s="31" t="s">
        <v>4511</v>
      </c>
      <c r="T989" s="31" t="s">
        <v>4512</v>
      </c>
      <c r="U989" s="31" t="s">
        <v>480</v>
      </c>
      <c r="V989" s="34"/>
      <c r="W989" s="34"/>
    </row>
    <row r="990">
      <c r="A990" s="30">
        <v>985.0</v>
      </c>
      <c r="B990" s="31" t="s">
        <v>4513</v>
      </c>
      <c r="C990" s="31" t="s">
        <v>4514</v>
      </c>
      <c r="D990" s="31" t="s">
        <v>2932</v>
      </c>
      <c r="E990" s="31" t="s">
        <v>2933</v>
      </c>
      <c r="F990" s="32">
        <v>44719.0</v>
      </c>
      <c r="G990" s="32">
        <v>44780.0</v>
      </c>
      <c r="H990" s="31" t="s">
        <v>576</v>
      </c>
      <c r="I990" s="31" t="s">
        <v>2934</v>
      </c>
      <c r="J990" s="31" t="s">
        <v>2933</v>
      </c>
      <c r="K990" s="31" t="s">
        <v>2935</v>
      </c>
      <c r="L990" s="31" t="s">
        <v>2936</v>
      </c>
      <c r="M990" s="31" t="s">
        <v>4515</v>
      </c>
      <c r="N990" s="31" t="s">
        <v>267</v>
      </c>
      <c r="O990" s="34"/>
      <c r="P990" s="31">
        <v>1.0</v>
      </c>
      <c r="Q990" s="31" t="s">
        <v>307</v>
      </c>
      <c r="R990" s="32">
        <v>35660.0</v>
      </c>
      <c r="S990" s="31" t="s">
        <v>4516</v>
      </c>
      <c r="T990" s="31" t="s">
        <v>407</v>
      </c>
      <c r="U990" s="31" t="s">
        <v>633</v>
      </c>
      <c r="V990" s="34"/>
      <c r="W990" s="34"/>
    </row>
    <row r="991">
      <c r="A991" s="30">
        <v>986.0</v>
      </c>
      <c r="B991" s="31" t="s">
        <v>4517</v>
      </c>
      <c r="C991" s="31" t="s">
        <v>4518</v>
      </c>
      <c r="D991" s="31" t="s">
        <v>553</v>
      </c>
      <c r="E991" s="31" t="s">
        <v>2696</v>
      </c>
      <c r="F991" s="32">
        <v>42675.0</v>
      </c>
      <c r="G991" s="32">
        <v>42736.0</v>
      </c>
      <c r="H991" s="31" t="s">
        <v>453</v>
      </c>
      <c r="I991" s="31" t="s">
        <v>607</v>
      </c>
      <c r="J991" s="31" t="s">
        <v>2697</v>
      </c>
      <c r="K991" s="31" t="s">
        <v>2698</v>
      </c>
      <c r="L991" s="31" t="s">
        <v>558</v>
      </c>
      <c r="M991" s="31" t="s">
        <v>4519</v>
      </c>
      <c r="N991" s="31" t="s">
        <v>267</v>
      </c>
      <c r="O991" s="34"/>
      <c r="P991" s="34"/>
      <c r="Q991" s="31" t="s">
        <v>307</v>
      </c>
      <c r="R991" s="35">
        <v>34293.0</v>
      </c>
      <c r="S991" s="31" t="s">
        <v>700</v>
      </c>
      <c r="T991" s="31" t="s">
        <v>4481</v>
      </c>
      <c r="U991" s="31" t="s">
        <v>643</v>
      </c>
      <c r="V991" s="31" t="s">
        <v>2696</v>
      </c>
      <c r="W991" s="34"/>
    </row>
    <row r="992">
      <c r="A992" s="30">
        <v>987.0</v>
      </c>
      <c r="B992" s="31" t="s">
        <v>4520</v>
      </c>
      <c r="C992" s="31" t="s">
        <v>3392</v>
      </c>
      <c r="D992" s="31" t="s">
        <v>506</v>
      </c>
      <c r="E992" s="31" t="s">
        <v>101</v>
      </c>
      <c r="F992" s="32">
        <v>45363.0</v>
      </c>
      <c r="G992" s="33"/>
      <c r="H992" s="31" t="s">
        <v>346</v>
      </c>
      <c r="I992" s="31" t="s">
        <v>275</v>
      </c>
      <c r="J992" s="31" t="s">
        <v>101</v>
      </c>
      <c r="K992" s="31" t="s">
        <v>507</v>
      </c>
      <c r="L992" s="31" t="s">
        <v>508</v>
      </c>
      <c r="M992" s="31" t="s">
        <v>4521</v>
      </c>
      <c r="N992" s="31" t="s">
        <v>467</v>
      </c>
      <c r="O992" s="34"/>
      <c r="P992" s="34"/>
      <c r="Q992" s="31" t="s">
        <v>268</v>
      </c>
      <c r="R992" s="32">
        <v>36636.0</v>
      </c>
      <c r="S992" s="31" t="s">
        <v>4522</v>
      </c>
      <c r="T992" s="31" t="s">
        <v>2729</v>
      </c>
      <c r="U992" s="31" t="s">
        <v>352</v>
      </c>
      <c r="V992" s="34"/>
      <c r="W992" s="34"/>
    </row>
    <row r="993">
      <c r="A993" s="30">
        <v>988.0</v>
      </c>
      <c r="B993" s="31" t="s">
        <v>4523</v>
      </c>
      <c r="C993" s="31" t="s">
        <v>4524</v>
      </c>
      <c r="D993" s="31" t="s">
        <v>506</v>
      </c>
      <c r="E993" s="31" t="s">
        <v>101</v>
      </c>
      <c r="F993" s="32">
        <v>45359.0</v>
      </c>
      <c r="G993" s="33"/>
      <c r="H993" s="31" t="s">
        <v>346</v>
      </c>
      <c r="I993" s="31" t="s">
        <v>275</v>
      </c>
      <c r="J993" s="31" t="s">
        <v>101</v>
      </c>
      <c r="K993" s="31" t="s">
        <v>507</v>
      </c>
      <c r="L993" s="31" t="s">
        <v>508</v>
      </c>
      <c r="M993" s="31" t="s">
        <v>4525</v>
      </c>
      <c r="N993" s="31" t="s">
        <v>467</v>
      </c>
      <c r="O993" s="34"/>
      <c r="P993" s="34"/>
      <c r="Q993" s="31" t="s">
        <v>268</v>
      </c>
      <c r="R993" s="35">
        <v>37611.0</v>
      </c>
      <c r="S993" s="31" t="s">
        <v>733</v>
      </c>
      <c r="T993" s="31" t="s">
        <v>360</v>
      </c>
      <c r="U993" s="31" t="s">
        <v>352</v>
      </c>
      <c r="V993" s="34"/>
      <c r="W993" s="34"/>
    </row>
    <row r="994">
      <c r="A994" s="30">
        <v>989.0</v>
      </c>
      <c r="B994" s="31" t="s">
        <v>4526</v>
      </c>
      <c r="C994" s="31" t="s">
        <v>4527</v>
      </c>
      <c r="D994" s="31" t="s">
        <v>506</v>
      </c>
      <c r="E994" s="31" t="s">
        <v>101</v>
      </c>
      <c r="F994" s="32">
        <v>45359.0</v>
      </c>
      <c r="G994" s="33"/>
      <c r="H994" s="31" t="s">
        <v>346</v>
      </c>
      <c r="I994" s="31" t="s">
        <v>275</v>
      </c>
      <c r="J994" s="31" t="s">
        <v>101</v>
      </c>
      <c r="K994" s="31" t="s">
        <v>507</v>
      </c>
      <c r="L994" s="31" t="s">
        <v>508</v>
      </c>
      <c r="M994" s="31" t="s">
        <v>4528</v>
      </c>
      <c r="N994" s="31" t="s">
        <v>267</v>
      </c>
      <c r="O994" s="34"/>
      <c r="P994" s="34"/>
      <c r="Q994" s="31" t="s">
        <v>268</v>
      </c>
      <c r="R994" s="32">
        <v>37109.0</v>
      </c>
      <c r="S994" s="31" t="s">
        <v>320</v>
      </c>
      <c r="T994" s="31" t="s">
        <v>383</v>
      </c>
      <c r="U994" s="31" t="s">
        <v>352</v>
      </c>
      <c r="V994" s="34"/>
      <c r="W994" s="34"/>
    </row>
    <row r="995">
      <c r="A995" s="30">
        <v>990.0</v>
      </c>
      <c r="B995" s="31" t="s">
        <v>4529</v>
      </c>
      <c r="C995" s="31" t="s">
        <v>4530</v>
      </c>
      <c r="D995" s="31" t="s">
        <v>472</v>
      </c>
      <c r="E995" s="31" t="s">
        <v>2696</v>
      </c>
      <c r="F995" s="32">
        <v>42474.0</v>
      </c>
      <c r="G995" s="32">
        <v>42535.0</v>
      </c>
      <c r="H995" s="31" t="s">
        <v>453</v>
      </c>
      <c r="I995" s="31" t="s">
        <v>607</v>
      </c>
      <c r="J995" s="31" t="s">
        <v>2697</v>
      </c>
      <c r="K995" s="31" t="s">
        <v>2698</v>
      </c>
      <c r="L995" s="31" t="s">
        <v>476</v>
      </c>
      <c r="M995" s="31" t="s">
        <v>4531</v>
      </c>
      <c r="N995" s="31" t="s">
        <v>467</v>
      </c>
      <c r="O995" s="34"/>
      <c r="P995" s="34"/>
      <c r="Q995" s="31" t="s">
        <v>307</v>
      </c>
      <c r="R995" s="32">
        <v>33832.0</v>
      </c>
      <c r="S995" s="31" t="s">
        <v>560</v>
      </c>
      <c r="T995" s="31" t="s">
        <v>1532</v>
      </c>
      <c r="U995" s="31" t="s">
        <v>643</v>
      </c>
      <c r="V995" s="31" t="s">
        <v>2696</v>
      </c>
      <c r="W995" s="34"/>
    </row>
    <row r="996">
      <c r="A996" s="30">
        <v>991.0</v>
      </c>
      <c r="B996" s="31" t="s">
        <v>4532</v>
      </c>
      <c r="C996" s="31" t="s">
        <v>4533</v>
      </c>
      <c r="D996" s="31" t="s">
        <v>648</v>
      </c>
      <c r="E996" s="31" t="s">
        <v>2971</v>
      </c>
      <c r="F996" s="32">
        <v>45352.0</v>
      </c>
      <c r="G996" s="32">
        <v>45412.0</v>
      </c>
      <c r="H996" s="31" t="s">
        <v>303</v>
      </c>
      <c r="I996" s="31" t="s">
        <v>2971</v>
      </c>
      <c r="J996" s="34"/>
      <c r="K996" s="31" t="s">
        <v>2972</v>
      </c>
      <c r="L996" s="31" t="s">
        <v>4534</v>
      </c>
      <c r="M996" s="31" t="s">
        <v>4535</v>
      </c>
      <c r="N996" s="31" t="s">
        <v>267</v>
      </c>
      <c r="O996" s="34"/>
      <c r="P996" s="31">
        <v>1.0</v>
      </c>
      <c r="Q996" s="31" t="s">
        <v>307</v>
      </c>
      <c r="R996" s="32">
        <v>35988.0</v>
      </c>
      <c r="S996" s="31" t="s">
        <v>320</v>
      </c>
      <c r="T996" s="31" t="s">
        <v>4536</v>
      </c>
      <c r="U996" s="31" t="s">
        <v>480</v>
      </c>
      <c r="V996" s="34"/>
      <c r="W996" s="34"/>
    </row>
    <row r="997">
      <c r="A997" s="30">
        <v>992.0</v>
      </c>
      <c r="B997" s="31" t="s">
        <v>4537</v>
      </c>
      <c r="C997" s="31" t="s">
        <v>4538</v>
      </c>
      <c r="D997" s="31" t="s">
        <v>260</v>
      </c>
      <c r="E997" s="31" t="s">
        <v>261</v>
      </c>
      <c r="F997" s="32">
        <v>45356.0</v>
      </c>
      <c r="G997" s="32">
        <v>45416.0</v>
      </c>
      <c r="H997" s="31" t="s">
        <v>262</v>
      </c>
      <c r="I997" s="31" t="s">
        <v>263</v>
      </c>
      <c r="J997" s="31" t="s">
        <v>261</v>
      </c>
      <c r="K997" s="31" t="s">
        <v>264</v>
      </c>
      <c r="L997" s="31" t="s">
        <v>265</v>
      </c>
      <c r="M997" s="31" t="s">
        <v>4539</v>
      </c>
      <c r="N997" s="31" t="s">
        <v>267</v>
      </c>
      <c r="O997" s="34"/>
      <c r="P997" s="31">
        <v>1.0</v>
      </c>
      <c r="Q997" s="31" t="s">
        <v>307</v>
      </c>
      <c r="R997" s="32">
        <v>37503.0</v>
      </c>
      <c r="S997" s="31" t="s">
        <v>320</v>
      </c>
      <c r="T997" s="31" t="s">
        <v>4540</v>
      </c>
      <c r="U997" s="31" t="s">
        <v>271</v>
      </c>
      <c r="V997" s="34"/>
      <c r="W997" s="34"/>
    </row>
    <row r="998">
      <c r="A998" s="30">
        <v>993.0</v>
      </c>
      <c r="B998" s="31" t="s">
        <v>4541</v>
      </c>
      <c r="C998" s="31" t="s">
        <v>4542</v>
      </c>
      <c r="D998" s="31" t="s">
        <v>3557</v>
      </c>
      <c r="E998" s="31" t="s">
        <v>228</v>
      </c>
      <c r="F998" s="33"/>
      <c r="G998" s="33"/>
      <c r="H998" s="31" t="s">
        <v>303</v>
      </c>
      <c r="I998" s="31" t="s">
        <v>228</v>
      </c>
      <c r="J998" s="34"/>
      <c r="K998" s="31" t="s">
        <v>304</v>
      </c>
      <c r="L998" s="31" t="s">
        <v>3558</v>
      </c>
      <c r="M998" s="31" t="s">
        <v>4543</v>
      </c>
      <c r="N998" s="31" t="s">
        <v>467</v>
      </c>
      <c r="O998" s="34"/>
      <c r="P998" s="34"/>
      <c r="Q998" s="31" t="s">
        <v>3337</v>
      </c>
      <c r="R998" s="35">
        <v>37604.0</v>
      </c>
      <c r="S998" s="31" t="s">
        <v>537</v>
      </c>
      <c r="T998" s="31" t="s">
        <v>4544</v>
      </c>
      <c r="U998" s="31" t="s">
        <v>310</v>
      </c>
      <c r="V998" s="34"/>
      <c r="W998" s="34"/>
    </row>
    <row r="999">
      <c r="A999" s="30">
        <v>994.0</v>
      </c>
      <c r="B999" s="31" t="s">
        <v>4545</v>
      </c>
      <c r="C999" s="31" t="s">
        <v>4546</v>
      </c>
      <c r="D999" s="31" t="s">
        <v>260</v>
      </c>
      <c r="E999" s="31" t="s">
        <v>274</v>
      </c>
      <c r="F999" s="32">
        <v>45376.0</v>
      </c>
      <c r="G999" s="33"/>
      <c r="H999" s="31" t="s">
        <v>262</v>
      </c>
      <c r="I999" s="31" t="s">
        <v>275</v>
      </c>
      <c r="J999" s="31" t="s">
        <v>274</v>
      </c>
      <c r="K999" s="31" t="s">
        <v>276</v>
      </c>
      <c r="L999" s="31" t="s">
        <v>277</v>
      </c>
      <c r="M999" s="31" t="s">
        <v>4547</v>
      </c>
      <c r="N999" s="31" t="s">
        <v>267</v>
      </c>
      <c r="O999" s="34"/>
      <c r="P999" s="31">
        <v>1.0</v>
      </c>
      <c r="Q999" s="31" t="s">
        <v>268</v>
      </c>
      <c r="R999" s="32">
        <v>37450.0</v>
      </c>
      <c r="S999" s="31" t="s">
        <v>526</v>
      </c>
      <c r="T999" s="31" t="s">
        <v>292</v>
      </c>
      <c r="U999" s="31" t="s">
        <v>271</v>
      </c>
      <c r="V999" s="34"/>
      <c r="W999" s="34"/>
    </row>
    <row r="1000">
      <c r="A1000" s="30">
        <v>995.0</v>
      </c>
      <c r="B1000" s="31" t="s">
        <v>4548</v>
      </c>
      <c r="C1000" s="31" t="s">
        <v>1129</v>
      </c>
      <c r="D1000" s="31" t="s">
        <v>2716</v>
      </c>
      <c r="E1000" s="31" t="s">
        <v>2463</v>
      </c>
      <c r="F1000" s="32">
        <v>44306.0</v>
      </c>
      <c r="G1000" s="32">
        <v>44367.0</v>
      </c>
      <c r="H1000" s="31" t="s">
        <v>2732</v>
      </c>
      <c r="I1000" s="31" t="s">
        <v>2463</v>
      </c>
      <c r="J1000" s="34"/>
      <c r="K1000" s="31" t="s">
        <v>4549</v>
      </c>
      <c r="L1000" s="31" t="s">
        <v>2719</v>
      </c>
      <c r="M1000" s="31" t="s">
        <v>4550</v>
      </c>
      <c r="N1000" s="31" t="s">
        <v>267</v>
      </c>
      <c r="O1000" s="34"/>
      <c r="P1000" s="34"/>
      <c r="Q1000" s="31" t="s">
        <v>307</v>
      </c>
      <c r="R1000" s="32">
        <v>34947.0</v>
      </c>
      <c r="S1000" s="31" t="s">
        <v>4551</v>
      </c>
      <c r="T1000" s="31" t="s">
        <v>1881</v>
      </c>
      <c r="U1000" s="31" t="s">
        <v>2735</v>
      </c>
      <c r="V1000" s="34"/>
      <c r="W1000" s="34"/>
    </row>
    <row r="1001">
      <c r="A1001" s="30">
        <v>996.0</v>
      </c>
      <c r="B1001" s="31" t="s">
        <v>4552</v>
      </c>
      <c r="C1001" s="31" t="s">
        <v>4553</v>
      </c>
      <c r="D1001" s="31" t="s">
        <v>260</v>
      </c>
      <c r="E1001" s="31" t="s">
        <v>324</v>
      </c>
      <c r="F1001" s="32">
        <v>42109.0</v>
      </c>
      <c r="G1001" s="32">
        <v>42171.0</v>
      </c>
      <c r="H1001" s="31" t="s">
        <v>2811</v>
      </c>
      <c r="I1001" s="31" t="s">
        <v>326</v>
      </c>
      <c r="J1001" s="31" t="s">
        <v>324</v>
      </c>
      <c r="K1001" s="31" t="s">
        <v>4554</v>
      </c>
      <c r="L1001" s="31" t="s">
        <v>328</v>
      </c>
      <c r="M1001" s="31" t="s">
        <v>4555</v>
      </c>
      <c r="N1001" s="31" t="s">
        <v>267</v>
      </c>
      <c r="O1001" s="34"/>
      <c r="P1001" s="31">
        <v>9.0</v>
      </c>
      <c r="Q1001" s="31" t="s">
        <v>307</v>
      </c>
      <c r="R1001" s="32">
        <v>32689.0</v>
      </c>
      <c r="S1001" s="31" t="s">
        <v>531</v>
      </c>
      <c r="T1001" s="31" t="s">
        <v>4556</v>
      </c>
      <c r="U1001" s="31" t="s">
        <v>2914</v>
      </c>
      <c r="V1001" s="34"/>
      <c r="W1001" s="34"/>
    </row>
    <row r="1002">
      <c r="A1002" s="30">
        <v>997.0</v>
      </c>
      <c r="B1002" s="31" t="s">
        <v>4557</v>
      </c>
      <c r="C1002" s="31" t="s">
        <v>4558</v>
      </c>
      <c r="D1002" s="31" t="s">
        <v>1208</v>
      </c>
      <c r="E1002" s="31" t="s">
        <v>4559</v>
      </c>
      <c r="F1002" s="32">
        <v>42880.0</v>
      </c>
      <c r="G1002" s="32">
        <v>42942.0</v>
      </c>
      <c r="H1002" s="31" t="s">
        <v>2811</v>
      </c>
      <c r="I1002" s="31" t="s">
        <v>4559</v>
      </c>
      <c r="J1002" s="34"/>
      <c r="K1002" s="31" t="s">
        <v>4560</v>
      </c>
      <c r="L1002" s="31" t="s">
        <v>1211</v>
      </c>
      <c r="M1002" s="31" t="s">
        <v>4561</v>
      </c>
      <c r="N1002" s="31" t="s">
        <v>267</v>
      </c>
      <c r="O1002" s="34"/>
      <c r="P1002" s="31">
        <v>8.0</v>
      </c>
      <c r="Q1002" s="31" t="s">
        <v>307</v>
      </c>
      <c r="R1002" s="35">
        <v>35015.0</v>
      </c>
      <c r="S1002" s="31" t="s">
        <v>4562</v>
      </c>
      <c r="T1002" s="31" t="s">
        <v>4563</v>
      </c>
      <c r="U1002" s="31" t="s">
        <v>2914</v>
      </c>
      <c r="V1002" s="34"/>
      <c r="W1002" s="34"/>
    </row>
    <row r="1003">
      <c r="A1003" s="30">
        <v>998.0</v>
      </c>
      <c r="B1003" s="31" t="s">
        <v>4564</v>
      </c>
      <c r="C1003" s="31" t="s">
        <v>4565</v>
      </c>
      <c r="D1003" s="31" t="s">
        <v>472</v>
      </c>
      <c r="E1003" s="31" t="s">
        <v>2874</v>
      </c>
      <c r="F1003" s="32">
        <v>44960.0</v>
      </c>
      <c r="G1003" s="32">
        <v>45017.0</v>
      </c>
      <c r="H1003" s="31" t="s">
        <v>453</v>
      </c>
      <c r="I1003" s="31" t="s">
        <v>52</v>
      </c>
      <c r="J1003" s="31" t="s">
        <v>2874</v>
      </c>
      <c r="K1003" s="31" t="s">
        <v>2875</v>
      </c>
      <c r="L1003" s="31" t="s">
        <v>476</v>
      </c>
      <c r="M1003" s="31" t="s">
        <v>4566</v>
      </c>
      <c r="N1003" s="31" t="s">
        <v>467</v>
      </c>
      <c r="O1003" s="34"/>
      <c r="P1003" s="34"/>
      <c r="Q1003" s="31" t="s">
        <v>307</v>
      </c>
      <c r="R1003" s="35">
        <v>36840.0</v>
      </c>
      <c r="S1003" s="31" t="s">
        <v>560</v>
      </c>
      <c r="T1003" s="31" t="s">
        <v>582</v>
      </c>
      <c r="U1003" s="31" t="s">
        <v>643</v>
      </c>
      <c r="V1003" s="34"/>
      <c r="W1003" s="34"/>
    </row>
    <row r="1004">
      <c r="A1004" s="30">
        <v>999.0</v>
      </c>
      <c r="B1004" s="31" t="s">
        <v>4567</v>
      </c>
      <c r="C1004" s="31" t="s">
        <v>4568</v>
      </c>
      <c r="D1004" s="31" t="s">
        <v>472</v>
      </c>
      <c r="E1004" s="31" t="s">
        <v>3055</v>
      </c>
      <c r="F1004" s="32">
        <v>44802.0</v>
      </c>
      <c r="G1004" s="35">
        <v>44863.0</v>
      </c>
      <c r="H1004" s="31" t="s">
        <v>453</v>
      </c>
      <c r="I1004" s="31" t="s">
        <v>555</v>
      </c>
      <c r="J1004" s="31" t="s">
        <v>556</v>
      </c>
      <c r="K1004" s="31" t="s">
        <v>3056</v>
      </c>
      <c r="L1004" s="31" t="s">
        <v>476</v>
      </c>
      <c r="M1004" s="31" t="s">
        <v>4569</v>
      </c>
      <c r="N1004" s="31" t="s">
        <v>467</v>
      </c>
      <c r="O1004" s="34"/>
      <c r="P1004" s="34"/>
      <c r="Q1004" s="31" t="s">
        <v>307</v>
      </c>
      <c r="R1004" s="32">
        <v>36894.0</v>
      </c>
      <c r="S1004" s="31" t="s">
        <v>560</v>
      </c>
      <c r="T1004" s="31" t="s">
        <v>627</v>
      </c>
      <c r="U1004" s="31" t="s">
        <v>480</v>
      </c>
      <c r="V1004" s="31" t="s">
        <v>3055</v>
      </c>
      <c r="W1004" s="34"/>
    </row>
    <row r="1005">
      <c r="A1005" s="30">
        <v>1.0</v>
      </c>
      <c r="B1005" s="31" t="s">
        <v>4570</v>
      </c>
      <c r="C1005" s="31" t="s">
        <v>4571</v>
      </c>
      <c r="D1005" s="31" t="s">
        <v>574</v>
      </c>
      <c r="E1005" s="31" t="s">
        <v>3325</v>
      </c>
      <c r="F1005" s="32">
        <v>44764.0</v>
      </c>
      <c r="G1005" s="32">
        <v>44826.0</v>
      </c>
      <c r="H1005" s="31" t="s">
        <v>576</v>
      </c>
      <c r="I1005" s="31" t="s">
        <v>577</v>
      </c>
      <c r="J1005" s="31" t="s">
        <v>3325</v>
      </c>
      <c r="K1005" s="31" t="s">
        <v>3326</v>
      </c>
      <c r="L1005" s="31" t="s">
        <v>579</v>
      </c>
      <c r="M1005" s="31" t="s">
        <v>4572</v>
      </c>
      <c r="N1005" s="31" t="s">
        <v>267</v>
      </c>
      <c r="O1005" s="34"/>
      <c r="P1005" s="34"/>
      <c r="Q1005" s="31" t="s">
        <v>581</v>
      </c>
      <c r="R1005" s="32">
        <v>36804.0</v>
      </c>
      <c r="S1005" s="31" t="s">
        <v>1018</v>
      </c>
      <c r="T1005" s="31" t="s">
        <v>4573</v>
      </c>
      <c r="U1005" s="31" t="s">
        <v>583</v>
      </c>
      <c r="V1005" s="34"/>
      <c r="W1005" s="34"/>
    </row>
    <row r="1006">
      <c r="A1006" s="30">
        <v>1.001</v>
      </c>
      <c r="B1006" s="31" t="s">
        <v>4574</v>
      </c>
      <c r="C1006" s="31" t="s">
        <v>4575</v>
      </c>
      <c r="D1006" s="31" t="s">
        <v>260</v>
      </c>
      <c r="E1006" s="31" t="s">
        <v>2090</v>
      </c>
      <c r="F1006" s="32">
        <v>45376.0</v>
      </c>
      <c r="G1006" s="33"/>
      <c r="H1006" s="31" t="s">
        <v>262</v>
      </c>
      <c r="I1006" s="31" t="s">
        <v>275</v>
      </c>
      <c r="J1006" s="31" t="s">
        <v>2090</v>
      </c>
      <c r="K1006" s="31" t="s">
        <v>2091</v>
      </c>
      <c r="L1006" s="31" t="s">
        <v>277</v>
      </c>
      <c r="M1006" s="31" t="s">
        <v>4576</v>
      </c>
      <c r="N1006" s="31" t="s">
        <v>467</v>
      </c>
      <c r="O1006" s="34"/>
      <c r="P1006" s="31">
        <v>1.0</v>
      </c>
      <c r="Q1006" s="31" t="s">
        <v>268</v>
      </c>
      <c r="R1006" s="32">
        <v>37510.0</v>
      </c>
      <c r="S1006" s="31" t="s">
        <v>426</v>
      </c>
      <c r="T1006" s="31" t="s">
        <v>3006</v>
      </c>
      <c r="U1006" s="31" t="s">
        <v>271</v>
      </c>
      <c r="V1006" s="34"/>
      <c r="W1006" s="34"/>
    </row>
    <row r="1007">
      <c r="A1007" s="30">
        <v>1.002</v>
      </c>
      <c r="B1007" s="31" t="s">
        <v>4577</v>
      </c>
      <c r="C1007" s="31" t="s">
        <v>4578</v>
      </c>
      <c r="D1007" s="31" t="s">
        <v>260</v>
      </c>
      <c r="E1007" s="31" t="s">
        <v>2090</v>
      </c>
      <c r="F1007" s="32">
        <v>45376.0</v>
      </c>
      <c r="G1007" s="33"/>
      <c r="H1007" s="31" t="s">
        <v>262</v>
      </c>
      <c r="I1007" s="31" t="s">
        <v>275</v>
      </c>
      <c r="J1007" s="31" t="s">
        <v>2090</v>
      </c>
      <c r="K1007" s="31" t="s">
        <v>2091</v>
      </c>
      <c r="L1007" s="31" t="s">
        <v>277</v>
      </c>
      <c r="M1007" s="31" t="s">
        <v>4579</v>
      </c>
      <c r="N1007" s="31" t="s">
        <v>267</v>
      </c>
      <c r="O1007" s="34"/>
      <c r="P1007" s="31">
        <v>1.0</v>
      </c>
      <c r="Q1007" s="31" t="s">
        <v>268</v>
      </c>
      <c r="R1007" s="32">
        <v>37359.0</v>
      </c>
      <c r="S1007" s="31" t="s">
        <v>955</v>
      </c>
      <c r="T1007" s="31" t="s">
        <v>3616</v>
      </c>
      <c r="U1007" s="31" t="s">
        <v>271</v>
      </c>
      <c r="V1007" s="34"/>
      <c r="W1007" s="34"/>
    </row>
    <row r="1008">
      <c r="A1008" s="30">
        <v>1.003</v>
      </c>
      <c r="B1008" s="31" t="s">
        <v>4580</v>
      </c>
      <c r="C1008" s="31" t="s">
        <v>1923</v>
      </c>
      <c r="D1008" s="31" t="s">
        <v>4581</v>
      </c>
      <c r="E1008" s="31" t="s">
        <v>4386</v>
      </c>
      <c r="F1008" s="32">
        <v>45293.0</v>
      </c>
      <c r="G1008" s="32">
        <v>45353.0</v>
      </c>
      <c r="H1008" s="31" t="s">
        <v>303</v>
      </c>
      <c r="I1008" s="31" t="s">
        <v>4386</v>
      </c>
      <c r="J1008" s="34"/>
      <c r="K1008" s="31" t="s">
        <v>4387</v>
      </c>
      <c r="L1008" s="31" t="s">
        <v>4582</v>
      </c>
      <c r="M1008" s="31" t="s">
        <v>4583</v>
      </c>
      <c r="N1008" s="31" t="s">
        <v>467</v>
      </c>
      <c r="O1008" s="34"/>
      <c r="P1008" s="34"/>
      <c r="Q1008" s="31" t="s">
        <v>307</v>
      </c>
      <c r="R1008" s="32">
        <v>35979.0</v>
      </c>
      <c r="S1008" s="31" t="s">
        <v>286</v>
      </c>
      <c r="T1008" s="31" t="s">
        <v>4584</v>
      </c>
      <c r="U1008" s="31" t="s">
        <v>271</v>
      </c>
      <c r="V1008" s="34"/>
      <c r="W1008" s="34"/>
    </row>
    <row r="1009">
      <c r="A1009" s="30">
        <v>1.004</v>
      </c>
      <c r="B1009" s="31" t="s">
        <v>4585</v>
      </c>
      <c r="C1009" s="31" t="s">
        <v>4586</v>
      </c>
      <c r="D1009" s="31" t="s">
        <v>260</v>
      </c>
      <c r="E1009" s="31" t="s">
        <v>283</v>
      </c>
      <c r="F1009" s="32">
        <v>45376.0</v>
      </c>
      <c r="G1009" s="33"/>
      <c r="H1009" s="31" t="s">
        <v>262</v>
      </c>
      <c r="I1009" s="31" t="s">
        <v>275</v>
      </c>
      <c r="J1009" s="31" t="s">
        <v>283</v>
      </c>
      <c r="K1009" s="31" t="s">
        <v>284</v>
      </c>
      <c r="L1009" s="31" t="s">
        <v>277</v>
      </c>
      <c r="M1009" s="31" t="s">
        <v>4587</v>
      </c>
      <c r="N1009" s="31" t="s">
        <v>467</v>
      </c>
      <c r="O1009" s="34"/>
      <c r="P1009" s="31">
        <v>1.0</v>
      </c>
      <c r="Q1009" s="31" t="s">
        <v>268</v>
      </c>
      <c r="R1009" s="32">
        <v>36919.0</v>
      </c>
      <c r="S1009" s="31" t="s">
        <v>3285</v>
      </c>
      <c r="T1009" s="31" t="s">
        <v>4588</v>
      </c>
      <c r="U1009" s="31" t="s">
        <v>271</v>
      </c>
      <c r="V1009" s="34"/>
      <c r="W1009" s="34"/>
    </row>
    <row r="1010">
      <c r="A1010" s="30">
        <v>1.005</v>
      </c>
      <c r="B1010" s="31" t="s">
        <v>4589</v>
      </c>
      <c r="C1010" s="31" t="s">
        <v>4590</v>
      </c>
      <c r="D1010" s="31" t="s">
        <v>260</v>
      </c>
      <c r="E1010" s="31" t="s">
        <v>1854</v>
      </c>
      <c r="F1010" s="32">
        <v>45356.0</v>
      </c>
      <c r="G1010" s="32">
        <v>45416.0</v>
      </c>
      <c r="H1010" s="31" t="s">
        <v>262</v>
      </c>
      <c r="I1010" s="31" t="s">
        <v>263</v>
      </c>
      <c r="J1010" s="31" t="s">
        <v>123</v>
      </c>
      <c r="K1010" s="31" t="s">
        <v>1855</v>
      </c>
      <c r="L1010" s="31" t="s">
        <v>431</v>
      </c>
      <c r="M1010" s="31" t="s">
        <v>4591</v>
      </c>
      <c r="N1010" s="31" t="s">
        <v>467</v>
      </c>
      <c r="O1010" s="34"/>
      <c r="P1010" s="31">
        <v>1.0</v>
      </c>
      <c r="Q1010" s="31" t="s">
        <v>307</v>
      </c>
      <c r="R1010" s="32">
        <v>37717.0</v>
      </c>
      <c r="S1010" s="31" t="s">
        <v>4592</v>
      </c>
      <c r="T1010" s="31" t="s">
        <v>4593</v>
      </c>
      <c r="U1010" s="31" t="s">
        <v>271</v>
      </c>
      <c r="V1010" s="31" t="s">
        <v>1854</v>
      </c>
      <c r="W1010" s="34"/>
    </row>
    <row r="1011">
      <c r="A1011" s="30">
        <v>1.006</v>
      </c>
      <c r="B1011" s="31" t="s">
        <v>4594</v>
      </c>
      <c r="C1011" s="31" t="s">
        <v>4595</v>
      </c>
      <c r="D1011" s="31" t="s">
        <v>553</v>
      </c>
      <c r="E1011" s="31" t="s">
        <v>4596</v>
      </c>
      <c r="F1011" s="32">
        <v>44305.0</v>
      </c>
      <c r="G1011" s="32">
        <v>44366.0</v>
      </c>
      <c r="H1011" s="31" t="s">
        <v>453</v>
      </c>
      <c r="I1011" s="31" t="s">
        <v>454</v>
      </c>
      <c r="J1011" s="31" t="s">
        <v>4597</v>
      </c>
      <c r="K1011" s="31" t="s">
        <v>4598</v>
      </c>
      <c r="L1011" s="31" t="s">
        <v>558</v>
      </c>
      <c r="M1011" s="31" t="s">
        <v>4599</v>
      </c>
      <c r="N1011" s="31" t="s">
        <v>267</v>
      </c>
      <c r="O1011" s="34"/>
      <c r="P1011" s="34"/>
      <c r="Q1011" s="31" t="s">
        <v>307</v>
      </c>
      <c r="R1011" s="32">
        <v>35228.0</v>
      </c>
      <c r="S1011" s="31" t="s">
        <v>626</v>
      </c>
      <c r="T1011" s="31" t="s">
        <v>686</v>
      </c>
      <c r="U1011" s="31" t="s">
        <v>460</v>
      </c>
      <c r="V1011" s="31" t="s">
        <v>4596</v>
      </c>
      <c r="W1011" s="34"/>
    </row>
    <row r="1012">
      <c r="A1012" s="30">
        <v>1.007</v>
      </c>
      <c r="B1012" s="31" t="s">
        <v>4600</v>
      </c>
      <c r="C1012" s="31" t="s">
        <v>4601</v>
      </c>
      <c r="D1012" s="31" t="s">
        <v>2480</v>
      </c>
      <c r="E1012" s="31" t="s">
        <v>2474</v>
      </c>
      <c r="F1012" s="32">
        <v>42793.0</v>
      </c>
      <c r="G1012" s="32">
        <v>42852.0</v>
      </c>
      <c r="H1012" s="31" t="s">
        <v>262</v>
      </c>
      <c r="I1012" s="31" t="s">
        <v>2474</v>
      </c>
      <c r="J1012" s="34"/>
      <c r="K1012" s="31" t="s">
        <v>2475</v>
      </c>
      <c r="L1012" s="31" t="s">
        <v>2481</v>
      </c>
      <c r="M1012" s="31" t="s">
        <v>4602</v>
      </c>
      <c r="N1012" s="31" t="s">
        <v>267</v>
      </c>
      <c r="O1012" s="34"/>
      <c r="P1012" s="34"/>
      <c r="Q1012" s="31" t="s">
        <v>307</v>
      </c>
      <c r="R1012" s="32">
        <v>33330.0</v>
      </c>
      <c r="S1012" s="31" t="s">
        <v>531</v>
      </c>
      <c r="T1012" s="31" t="s">
        <v>1476</v>
      </c>
      <c r="U1012" s="31" t="s">
        <v>271</v>
      </c>
      <c r="V1012" s="34"/>
      <c r="W1012" s="34"/>
    </row>
    <row r="1013">
      <c r="A1013" s="30">
        <v>1.008</v>
      </c>
      <c r="B1013" s="31" t="s">
        <v>4603</v>
      </c>
      <c r="C1013" s="31" t="s">
        <v>4604</v>
      </c>
      <c r="D1013" s="31" t="s">
        <v>472</v>
      </c>
      <c r="E1013" s="31" t="s">
        <v>4466</v>
      </c>
      <c r="F1013" s="32">
        <v>45000.0</v>
      </c>
      <c r="G1013" s="32">
        <v>45061.0</v>
      </c>
      <c r="H1013" s="31" t="s">
        <v>453</v>
      </c>
      <c r="I1013" s="31" t="s">
        <v>566</v>
      </c>
      <c r="J1013" s="31" t="s">
        <v>2888</v>
      </c>
      <c r="K1013" s="31" t="s">
        <v>4467</v>
      </c>
      <c r="L1013" s="31" t="s">
        <v>3050</v>
      </c>
      <c r="M1013" s="31" t="s">
        <v>4605</v>
      </c>
      <c r="N1013" s="31" t="s">
        <v>467</v>
      </c>
      <c r="O1013" s="34"/>
      <c r="P1013" s="34"/>
      <c r="Q1013" s="31" t="s">
        <v>307</v>
      </c>
      <c r="R1013" s="32">
        <v>36540.0</v>
      </c>
      <c r="S1013" s="31" t="s">
        <v>560</v>
      </c>
      <c r="T1013" s="31" t="s">
        <v>3778</v>
      </c>
      <c r="U1013" s="31" t="s">
        <v>480</v>
      </c>
      <c r="V1013" s="31" t="s">
        <v>4466</v>
      </c>
      <c r="W1013" s="34"/>
    </row>
    <row r="1014">
      <c r="A1014" s="30">
        <v>1.009</v>
      </c>
      <c r="B1014" s="31" t="s">
        <v>4606</v>
      </c>
      <c r="C1014" s="31" t="s">
        <v>4607</v>
      </c>
      <c r="D1014" s="31" t="s">
        <v>472</v>
      </c>
      <c r="E1014" s="31" t="s">
        <v>4466</v>
      </c>
      <c r="F1014" s="32">
        <v>43525.0</v>
      </c>
      <c r="G1014" s="32">
        <v>43586.0</v>
      </c>
      <c r="H1014" s="31" t="s">
        <v>453</v>
      </c>
      <c r="I1014" s="31" t="s">
        <v>566</v>
      </c>
      <c r="J1014" s="31" t="s">
        <v>2888</v>
      </c>
      <c r="K1014" s="31" t="s">
        <v>4467</v>
      </c>
      <c r="L1014" s="31" t="s">
        <v>3050</v>
      </c>
      <c r="M1014" s="31" t="s">
        <v>4608</v>
      </c>
      <c r="N1014" s="31" t="s">
        <v>467</v>
      </c>
      <c r="O1014" s="34"/>
      <c r="P1014" s="34"/>
      <c r="Q1014" s="31" t="s">
        <v>307</v>
      </c>
      <c r="R1014" s="35">
        <v>34659.0</v>
      </c>
      <c r="S1014" s="31" t="s">
        <v>560</v>
      </c>
      <c r="T1014" s="31" t="s">
        <v>1370</v>
      </c>
      <c r="U1014" s="31" t="s">
        <v>480</v>
      </c>
      <c r="V1014" s="31" t="s">
        <v>4466</v>
      </c>
      <c r="W1014" s="34"/>
    </row>
    <row r="1015">
      <c r="A1015" s="30">
        <v>1.01</v>
      </c>
      <c r="B1015" s="31" t="s">
        <v>4609</v>
      </c>
      <c r="C1015" s="31" t="s">
        <v>4610</v>
      </c>
      <c r="D1015" s="31" t="s">
        <v>472</v>
      </c>
      <c r="E1015" s="31" t="s">
        <v>4611</v>
      </c>
      <c r="F1015" s="32">
        <v>44657.0</v>
      </c>
      <c r="G1015" s="32">
        <v>44718.0</v>
      </c>
      <c r="H1015" s="31" t="s">
        <v>453</v>
      </c>
      <c r="I1015" s="31" t="s">
        <v>2835</v>
      </c>
      <c r="J1015" s="31" t="s">
        <v>4612</v>
      </c>
      <c r="K1015" s="31" t="s">
        <v>4613</v>
      </c>
      <c r="L1015" s="31" t="s">
        <v>3050</v>
      </c>
      <c r="M1015" s="31" t="s">
        <v>4614</v>
      </c>
      <c r="N1015" s="31" t="s">
        <v>467</v>
      </c>
      <c r="O1015" s="34"/>
      <c r="P1015" s="34"/>
      <c r="Q1015" s="31" t="s">
        <v>307</v>
      </c>
      <c r="R1015" s="32">
        <v>36195.0</v>
      </c>
      <c r="S1015" s="31" t="s">
        <v>560</v>
      </c>
      <c r="T1015" s="31" t="s">
        <v>469</v>
      </c>
      <c r="U1015" s="31" t="s">
        <v>480</v>
      </c>
      <c r="V1015" s="31" t="s">
        <v>4611</v>
      </c>
      <c r="W1015" s="34"/>
    </row>
    <row r="1016">
      <c r="A1016" s="30">
        <v>1.011</v>
      </c>
      <c r="B1016" s="31" t="s">
        <v>4615</v>
      </c>
      <c r="C1016" s="31" t="s">
        <v>1943</v>
      </c>
      <c r="D1016" s="31" t="s">
        <v>2970</v>
      </c>
      <c r="E1016" s="31" t="s">
        <v>2971</v>
      </c>
      <c r="F1016" s="32">
        <v>45373.0</v>
      </c>
      <c r="G1016" s="33"/>
      <c r="H1016" s="31" t="s">
        <v>303</v>
      </c>
      <c r="I1016" s="31" t="s">
        <v>2971</v>
      </c>
      <c r="J1016" s="34"/>
      <c r="K1016" s="31" t="s">
        <v>2972</v>
      </c>
      <c r="L1016" s="31" t="s">
        <v>2973</v>
      </c>
      <c r="M1016" s="31" t="s">
        <v>4616</v>
      </c>
      <c r="N1016" s="31" t="s">
        <v>267</v>
      </c>
      <c r="O1016" s="34"/>
      <c r="P1016" s="31">
        <v>1.0</v>
      </c>
      <c r="Q1016" s="31" t="s">
        <v>268</v>
      </c>
      <c r="R1016" s="32">
        <v>37465.0</v>
      </c>
      <c r="S1016" s="31" t="s">
        <v>320</v>
      </c>
      <c r="T1016" s="31" t="s">
        <v>4046</v>
      </c>
      <c r="U1016" s="31" t="s">
        <v>480</v>
      </c>
      <c r="V1016" s="34"/>
      <c r="W1016" s="34"/>
    </row>
    <row r="1017">
      <c r="A1017" s="30">
        <v>1.012</v>
      </c>
      <c r="B1017" s="31" t="s">
        <v>4617</v>
      </c>
      <c r="C1017" s="31" t="s">
        <v>4618</v>
      </c>
      <c r="D1017" s="31" t="s">
        <v>260</v>
      </c>
      <c r="E1017" s="31" t="s">
        <v>261</v>
      </c>
      <c r="F1017" s="32">
        <v>45356.0</v>
      </c>
      <c r="G1017" s="32">
        <v>45416.0</v>
      </c>
      <c r="H1017" s="31" t="s">
        <v>262</v>
      </c>
      <c r="I1017" s="31" t="s">
        <v>263</v>
      </c>
      <c r="J1017" s="31" t="s">
        <v>261</v>
      </c>
      <c r="K1017" s="31" t="s">
        <v>264</v>
      </c>
      <c r="L1017" s="31" t="s">
        <v>265</v>
      </c>
      <c r="M1017" s="31" t="s">
        <v>4619</v>
      </c>
      <c r="N1017" s="31" t="s">
        <v>267</v>
      </c>
      <c r="O1017" s="34"/>
      <c r="P1017" s="31">
        <v>1.0</v>
      </c>
      <c r="Q1017" s="31" t="s">
        <v>307</v>
      </c>
      <c r="R1017" s="32">
        <v>37098.0</v>
      </c>
      <c r="S1017" s="31" t="s">
        <v>4196</v>
      </c>
      <c r="T1017" s="31" t="s">
        <v>4620</v>
      </c>
      <c r="U1017" s="31" t="s">
        <v>271</v>
      </c>
      <c r="V1017" s="34"/>
      <c r="W1017" s="34"/>
    </row>
    <row r="1018">
      <c r="A1018" s="30">
        <v>1.013</v>
      </c>
      <c r="B1018" s="31" t="s">
        <v>4621</v>
      </c>
      <c r="C1018" s="31" t="s">
        <v>4622</v>
      </c>
      <c r="D1018" s="31" t="s">
        <v>760</v>
      </c>
      <c r="E1018" s="31" t="s">
        <v>661</v>
      </c>
      <c r="F1018" s="32">
        <v>42633.0</v>
      </c>
      <c r="G1018" s="35">
        <v>42695.0</v>
      </c>
      <c r="H1018" s="31" t="s">
        <v>346</v>
      </c>
      <c r="I1018" s="31" t="s">
        <v>101</v>
      </c>
      <c r="J1018" s="31" t="s">
        <v>661</v>
      </c>
      <c r="K1018" s="31" t="s">
        <v>662</v>
      </c>
      <c r="L1018" s="31" t="s">
        <v>761</v>
      </c>
      <c r="M1018" s="31" t="s">
        <v>4623</v>
      </c>
      <c r="N1018" s="31" t="s">
        <v>267</v>
      </c>
      <c r="O1018" s="31">
        <v>1.0</v>
      </c>
      <c r="P1018" s="34"/>
      <c r="Q1018" s="31" t="s">
        <v>307</v>
      </c>
      <c r="R1018" s="32">
        <v>34525.0</v>
      </c>
      <c r="S1018" s="31" t="s">
        <v>4196</v>
      </c>
      <c r="T1018" s="31" t="s">
        <v>778</v>
      </c>
      <c r="U1018" s="31" t="s">
        <v>361</v>
      </c>
      <c r="V1018" s="34"/>
      <c r="W1018" s="34"/>
    </row>
    <row r="1019">
      <c r="A1019" s="30">
        <v>1.014</v>
      </c>
      <c r="B1019" s="31" t="s">
        <v>4624</v>
      </c>
      <c r="C1019" s="31" t="s">
        <v>4625</v>
      </c>
      <c r="D1019" s="31" t="s">
        <v>553</v>
      </c>
      <c r="E1019" s="31" t="s">
        <v>4596</v>
      </c>
      <c r="F1019" s="32">
        <v>44004.0</v>
      </c>
      <c r="G1019" s="32">
        <v>44065.0</v>
      </c>
      <c r="H1019" s="31" t="s">
        <v>453</v>
      </c>
      <c r="I1019" s="31" t="s">
        <v>454</v>
      </c>
      <c r="J1019" s="31" t="s">
        <v>4597</v>
      </c>
      <c r="K1019" s="31" t="s">
        <v>4598</v>
      </c>
      <c r="L1019" s="31" t="s">
        <v>558</v>
      </c>
      <c r="M1019" s="31" t="s">
        <v>4626</v>
      </c>
      <c r="N1019" s="31" t="s">
        <v>267</v>
      </c>
      <c r="O1019" s="34"/>
      <c r="P1019" s="34"/>
      <c r="Q1019" s="31" t="s">
        <v>581</v>
      </c>
      <c r="R1019" s="32">
        <v>35486.0</v>
      </c>
      <c r="S1019" s="31" t="s">
        <v>560</v>
      </c>
      <c r="T1019" s="31" t="s">
        <v>3174</v>
      </c>
      <c r="U1019" s="31" t="s">
        <v>460</v>
      </c>
      <c r="V1019" s="31" t="s">
        <v>4596</v>
      </c>
      <c r="W1019" s="34"/>
    </row>
    <row r="1020">
      <c r="A1020" s="30">
        <v>1.015</v>
      </c>
      <c r="B1020" s="31" t="s">
        <v>4627</v>
      </c>
      <c r="C1020" s="31" t="s">
        <v>4628</v>
      </c>
      <c r="D1020" s="31" t="s">
        <v>574</v>
      </c>
      <c r="E1020" s="31" t="s">
        <v>3313</v>
      </c>
      <c r="F1020" s="35">
        <v>43819.0</v>
      </c>
      <c r="G1020" s="32">
        <v>43881.0</v>
      </c>
      <c r="H1020" s="31" t="s">
        <v>576</v>
      </c>
      <c r="I1020" s="31" t="s">
        <v>577</v>
      </c>
      <c r="J1020" s="31" t="s">
        <v>3313</v>
      </c>
      <c r="K1020" s="31" t="s">
        <v>3314</v>
      </c>
      <c r="L1020" s="31" t="s">
        <v>579</v>
      </c>
      <c r="M1020" s="31" t="s">
        <v>4629</v>
      </c>
      <c r="N1020" s="31" t="s">
        <v>267</v>
      </c>
      <c r="O1020" s="34"/>
      <c r="P1020" s="31">
        <v>4.0</v>
      </c>
      <c r="Q1020" s="31" t="s">
        <v>307</v>
      </c>
      <c r="R1020" s="35">
        <v>36507.0</v>
      </c>
      <c r="S1020" s="31" t="s">
        <v>531</v>
      </c>
      <c r="T1020" s="31" t="s">
        <v>4630</v>
      </c>
      <c r="U1020" s="31" t="s">
        <v>583</v>
      </c>
      <c r="V1020" s="34"/>
      <c r="W1020" s="34"/>
    </row>
    <row r="1021">
      <c r="A1021" s="30">
        <v>1.016</v>
      </c>
      <c r="B1021" s="31" t="s">
        <v>4631</v>
      </c>
      <c r="C1021" s="31" t="s">
        <v>4632</v>
      </c>
      <c r="D1021" s="31" t="s">
        <v>574</v>
      </c>
      <c r="E1021" s="31" t="s">
        <v>2816</v>
      </c>
      <c r="F1021" s="32">
        <v>45174.0</v>
      </c>
      <c r="G1021" s="32">
        <v>45234.0</v>
      </c>
      <c r="H1021" s="31" t="s">
        <v>576</v>
      </c>
      <c r="I1021" s="31" t="s">
        <v>2817</v>
      </c>
      <c r="J1021" s="31" t="s">
        <v>2816</v>
      </c>
      <c r="K1021" s="31" t="s">
        <v>2818</v>
      </c>
      <c r="L1021" s="31" t="s">
        <v>579</v>
      </c>
      <c r="M1021" s="31" t="s">
        <v>4633</v>
      </c>
      <c r="N1021" s="31" t="s">
        <v>267</v>
      </c>
      <c r="O1021" s="34"/>
      <c r="P1021" s="31" t="s">
        <v>3031</v>
      </c>
      <c r="Q1021" s="31" t="s">
        <v>307</v>
      </c>
      <c r="R1021" s="32">
        <v>37071.0</v>
      </c>
      <c r="S1021" s="31" t="s">
        <v>531</v>
      </c>
      <c r="T1021" s="31" t="s">
        <v>4634</v>
      </c>
      <c r="U1021" s="31" t="s">
        <v>2821</v>
      </c>
      <c r="V1021" s="34"/>
      <c r="W1021" s="34"/>
    </row>
    <row r="1022">
      <c r="A1022" s="30">
        <v>1.017</v>
      </c>
      <c r="B1022" s="31" t="s">
        <v>4635</v>
      </c>
      <c r="C1022" s="31" t="s">
        <v>4636</v>
      </c>
      <c r="D1022" s="31" t="s">
        <v>260</v>
      </c>
      <c r="E1022" s="31" t="s">
        <v>1862</v>
      </c>
      <c r="F1022" s="32">
        <v>45371.0</v>
      </c>
      <c r="G1022" s="33"/>
      <c r="H1022" s="31" t="s">
        <v>262</v>
      </c>
      <c r="I1022" s="31" t="s">
        <v>263</v>
      </c>
      <c r="J1022" s="31" t="s">
        <v>123</v>
      </c>
      <c r="K1022" s="31" t="s">
        <v>1863</v>
      </c>
      <c r="L1022" s="31" t="s">
        <v>431</v>
      </c>
      <c r="M1022" s="31" t="s">
        <v>4637</v>
      </c>
      <c r="N1022" s="31" t="s">
        <v>267</v>
      </c>
      <c r="O1022" s="34"/>
      <c r="P1022" s="31">
        <v>1.0</v>
      </c>
      <c r="Q1022" s="31" t="s">
        <v>268</v>
      </c>
      <c r="R1022" s="35">
        <v>37589.0</v>
      </c>
      <c r="S1022" s="31" t="s">
        <v>426</v>
      </c>
      <c r="T1022" s="31" t="s">
        <v>4638</v>
      </c>
      <c r="U1022" s="31" t="s">
        <v>271</v>
      </c>
      <c r="V1022" s="31" t="s">
        <v>1862</v>
      </c>
      <c r="W1022" s="34"/>
    </row>
    <row r="1023">
      <c r="A1023" s="30">
        <v>1.018</v>
      </c>
      <c r="B1023" s="31" t="s">
        <v>4639</v>
      </c>
      <c r="C1023" s="31" t="s">
        <v>4640</v>
      </c>
      <c r="D1023" s="31" t="s">
        <v>574</v>
      </c>
      <c r="E1023" s="31" t="s">
        <v>2816</v>
      </c>
      <c r="F1023" s="32">
        <v>45174.0</v>
      </c>
      <c r="G1023" s="32">
        <v>45234.0</v>
      </c>
      <c r="H1023" s="31" t="s">
        <v>576</v>
      </c>
      <c r="I1023" s="31" t="s">
        <v>2817</v>
      </c>
      <c r="J1023" s="31" t="s">
        <v>2816</v>
      </c>
      <c r="K1023" s="31" t="s">
        <v>2818</v>
      </c>
      <c r="L1023" s="31" t="s">
        <v>579</v>
      </c>
      <c r="M1023" s="31" t="s">
        <v>4641</v>
      </c>
      <c r="N1023" s="31" t="s">
        <v>267</v>
      </c>
      <c r="O1023" s="34"/>
      <c r="P1023" s="31" t="s">
        <v>3031</v>
      </c>
      <c r="Q1023" s="31" t="s">
        <v>307</v>
      </c>
      <c r="R1023" s="32">
        <v>36999.0</v>
      </c>
      <c r="S1023" s="31" t="s">
        <v>717</v>
      </c>
      <c r="T1023" s="31" t="s">
        <v>407</v>
      </c>
      <c r="U1023" s="31" t="s">
        <v>2821</v>
      </c>
      <c r="V1023" s="34"/>
      <c r="W1023" s="34"/>
    </row>
    <row r="1024">
      <c r="A1024" s="30">
        <v>1.019</v>
      </c>
      <c r="B1024" s="31" t="s">
        <v>4642</v>
      </c>
      <c r="C1024" s="31" t="s">
        <v>4643</v>
      </c>
      <c r="D1024" s="31" t="s">
        <v>472</v>
      </c>
      <c r="E1024" s="31" t="s">
        <v>2696</v>
      </c>
      <c r="F1024" s="32">
        <v>45355.0</v>
      </c>
      <c r="G1024" s="32">
        <v>45415.0</v>
      </c>
      <c r="H1024" s="31" t="s">
        <v>453</v>
      </c>
      <c r="I1024" s="31" t="s">
        <v>607</v>
      </c>
      <c r="J1024" s="31" t="s">
        <v>2697</v>
      </c>
      <c r="K1024" s="31" t="s">
        <v>2698</v>
      </c>
      <c r="L1024" s="31" t="s">
        <v>476</v>
      </c>
      <c r="M1024" s="31" t="s">
        <v>4644</v>
      </c>
      <c r="N1024" s="31" t="s">
        <v>467</v>
      </c>
      <c r="O1024" s="34"/>
      <c r="P1024" s="34"/>
      <c r="Q1024" s="31" t="s">
        <v>307</v>
      </c>
      <c r="R1024" s="32">
        <v>37284.0</v>
      </c>
      <c r="S1024" s="31" t="s">
        <v>490</v>
      </c>
      <c r="T1024" s="31" t="s">
        <v>2672</v>
      </c>
      <c r="U1024" s="31" t="s">
        <v>643</v>
      </c>
      <c r="V1024" s="31" t="s">
        <v>2696</v>
      </c>
      <c r="W1024" s="34"/>
    </row>
    <row r="1025">
      <c r="A1025" s="30">
        <v>1.02</v>
      </c>
      <c r="B1025" s="31" t="s">
        <v>4645</v>
      </c>
      <c r="C1025" s="31" t="s">
        <v>4646</v>
      </c>
      <c r="D1025" s="31" t="s">
        <v>574</v>
      </c>
      <c r="E1025" s="31" t="s">
        <v>2848</v>
      </c>
      <c r="F1025" s="32">
        <v>45174.0</v>
      </c>
      <c r="G1025" s="32">
        <v>45234.0</v>
      </c>
      <c r="H1025" s="31" t="s">
        <v>576</v>
      </c>
      <c r="I1025" s="31" t="s">
        <v>2817</v>
      </c>
      <c r="J1025" s="31" t="s">
        <v>2848</v>
      </c>
      <c r="K1025" s="31" t="s">
        <v>2849</v>
      </c>
      <c r="L1025" s="31" t="s">
        <v>579</v>
      </c>
      <c r="M1025" s="31" t="s">
        <v>4647</v>
      </c>
      <c r="N1025" s="31" t="s">
        <v>267</v>
      </c>
      <c r="O1025" s="34"/>
      <c r="P1025" s="31" t="s">
        <v>3031</v>
      </c>
      <c r="Q1025" s="31" t="s">
        <v>307</v>
      </c>
      <c r="R1025" s="32">
        <v>36628.0</v>
      </c>
      <c r="S1025" s="31" t="s">
        <v>4648</v>
      </c>
      <c r="T1025" s="31" t="s">
        <v>4649</v>
      </c>
      <c r="U1025" s="31" t="s">
        <v>2821</v>
      </c>
      <c r="V1025" s="34"/>
      <c r="W1025" s="34"/>
    </row>
    <row r="1026">
      <c r="A1026" s="30">
        <v>1.021</v>
      </c>
      <c r="B1026" s="31" t="s">
        <v>4650</v>
      </c>
      <c r="C1026" s="31" t="s">
        <v>4651</v>
      </c>
      <c r="D1026" s="31" t="s">
        <v>574</v>
      </c>
      <c r="E1026" s="31" t="s">
        <v>4652</v>
      </c>
      <c r="F1026" s="32">
        <v>45174.0</v>
      </c>
      <c r="G1026" s="32">
        <v>45234.0</v>
      </c>
      <c r="H1026" s="31" t="s">
        <v>576</v>
      </c>
      <c r="I1026" s="31" t="s">
        <v>2817</v>
      </c>
      <c r="J1026" s="31" t="s">
        <v>4652</v>
      </c>
      <c r="K1026" s="31" t="s">
        <v>4653</v>
      </c>
      <c r="L1026" s="31" t="s">
        <v>579</v>
      </c>
      <c r="M1026" s="31" t="s">
        <v>4654</v>
      </c>
      <c r="N1026" s="31" t="s">
        <v>267</v>
      </c>
      <c r="O1026" s="34"/>
      <c r="P1026" s="31" t="s">
        <v>3031</v>
      </c>
      <c r="Q1026" s="31" t="s">
        <v>307</v>
      </c>
      <c r="R1026" s="32">
        <v>36901.0</v>
      </c>
      <c r="S1026" s="31" t="s">
        <v>626</v>
      </c>
      <c r="T1026" s="31" t="s">
        <v>801</v>
      </c>
      <c r="U1026" s="31" t="s">
        <v>2821</v>
      </c>
      <c r="V1026" s="34"/>
      <c r="W1026" s="34"/>
    </row>
    <row r="1027">
      <c r="A1027" s="30">
        <v>1.022</v>
      </c>
      <c r="B1027" s="31" t="s">
        <v>4655</v>
      </c>
      <c r="C1027" s="31" t="s">
        <v>4206</v>
      </c>
      <c r="D1027" s="31" t="s">
        <v>622</v>
      </c>
      <c r="E1027" s="31" t="s">
        <v>41</v>
      </c>
      <c r="F1027" s="32">
        <v>43238.0</v>
      </c>
      <c r="G1027" s="32">
        <v>43299.0</v>
      </c>
      <c r="H1027" s="31" t="s">
        <v>453</v>
      </c>
      <c r="I1027" s="31" t="s">
        <v>41</v>
      </c>
      <c r="J1027" s="34"/>
      <c r="K1027" s="31" t="s">
        <v>623</v>
      </c>
      <c r="L1027" s="31" t="s">
        <v>624</v>
      </c>
      <c r="M1027" s="31" t="s">
        <v>4656</v>
      </c>
      <c r="N1027" s="31" t="s">
        <v>267</v>
      </c>
      <c r="O1027" s="34"/>
      <c r="P1027" s="34"/>
      <c r="Q1027" s="31" t="s">
        <v>307</v>
      </c>
      <c r="R1027" s="32">
        <v>34860.0</v>
      </c>
      <c r="S1027" s="31" t="s">
        <v>531</v>
      </c>
      <c r="T1027" s="31" t="s">
        <v>1019</v>
      </c>
      <c r="U1027" s="31" t="s">
        <v>480</v>
      </c>
      <c r="V1027" s="34"/>
      <c r="W1027" s="34"/>
    </row>
    <row r="1028">
      <c r="A1028" s="30">
        <v>1.023</v>
      </c>
      <c r="B1028" s="31" t="s">
        <v>4657</v>
      </c>
      <c r="C1028" s="31" t="s">
        <v>4658</v>
      </c>
      <c r="D1028" s="31" t="s">
        <v>622</v>
      </c>
      <c r="E1028" s="31" t="s">
        <v>41</v>
      </c>
      <c r="F1028" s="35">
        <v>43089.0</v>
      </c>
      <c r="G1028" s="32">
        <v>43151.0</v>
      </c>
      <c r="H1028" s="31" t="s">
        <v>453</v>
      </c>
      <c r="I1028" s="31" t="s">
        <v>41</v>
      </c>
      <c r="J1028" s="34"/>
      <c r="K1028" s="31" t="s">
        <v>623</v>
      </c>
      <c r="L1028" s="31" t="s">
        <v>624</v>
      </c>
      <c r="M1028" s="31" t="s">
        <v>4659</v>
      </c>
      <c r="N1028" s="31" t="s">
        <v>267</v>
      </c>
      <c r="O1028" s="34"/>
      <c r="P1028" s="34"/>
      <c r="Q1028" s="31" t="s">
        <v>307</v>
      </c>
      <c r="R1028" s="32">
        <v>34411.0</v>
      </c>
      <c r="S1028" s="31" t="s">
        <v>531</v>
      </c>
      <c r="T1028" s="31" t="s">
        <v>4660</v>
      </c>
      <c r="U1028" s="31" t="s">
        <v>480</v>
      </c>
      <c r="V1028" s="34"/>
      <c r="W1028" s="34"/>
    </row>
    <row r="1029">
      <c r="A1029" s="30">
        <v>1.024</v>
      </c>
      <c r="B1029" s="31" t="s">
        <v>4661</v>
      </c>
      <c r="C1029" s="31" t="s">
        <v>4662</v>
      </c>
      <c r="D1029" s="31" t="s">
        <v>260</v>
      </c>
      <c r="E1029" s="31" t="s">
        <v>2090</v>
      </c>
      <c r="F1029" s="32">
        <v>44767.0</v>
      </c>
      <c r="G1029" s="32">
        <v>44829.0</v>
      </c>
      <c r="H1029" s="31" t="s">
        <v>262</v>
      </c>
      <c r="I1029" s="31" t="s">
        <v>275</v>
      </c>
      <c r="J1029" s="31" t="s">
        <v>2090</v>
      </c>
      <c r="K1029" s="31" t="s">
        <v>2091</v>
      </c>
      <c r="L1029" s="31" t="s">
        <v>277</v>
      </c>
      <c r="M1029" s="31" t="s">
        <v>4663</v>
      </c>
      <c r="N1029" s="31" t="s">
        <v>267</v>
      </c>
      <c r="O1029" s="34"/>
      <c r="P1029" s="31">
        <v>2.0</v>
      </c>
      <c r="Q1029" s="31" t="s">
        <v>307</v>
      </c>
      <c r="R1029" s="35">
        <v>37188.0</v>
      </c>
      <c r="S1029" s="31" t="s">
        <v>4664</v>
      </c>
      <c r="T1029" s="31" t="s">
        <v>2014</v>
      </c>
      <c r="U1029" s="31" t="s">
        <v>271</v>
      </c>
      <c r="V1029" s="34"/>
      <c r="W1029" s="34"/>
    </row>
    <row r="1030">
      <c r="A1030" s="30">
        <v>1.025</v>
      </c>
      <c r="B1030" s="31" t="s">
        <v>4665</v>
      </c>
      <c r="C1030" s="31" t="s">
        <v>4666</v>
      </c>
      <c r="D1030" s="31" t="s">
        <v>636</v>
      </c>
      <c r="E1030" s="31" t="s">
        <v>638</v>
      </c>
      <c r="F1030" s="32">
        <v>42625.0</v>
      </c>
      <c r="G1030" s="35">
        <v>42686.0</v>
      </c>
      <c r="H1030" s="31" t="s">
        <v>453</v>
      </c>
      <c r="I1030" s="31" t="s">
        <v>52</v>
      </c>
      <c r="J1030" s="31" t="s">
        <v>638</v>
      </c>
      <c r="K1030" s="31" t="s">
        <v>3267</v>
      </c>
      <c r="L1030" s="31" t="s">
        <v>640</v>
      </c>
      <c r="M1030" s="31" t="s">
        <v>4667</v>
      </c>
      <c r="N1030" s="31" t="s">
        <v>467</v>
      </c>
      <c r="O1030" s="34"/>
      <c r="P1030" s="34"/>
      <c r="Q1030" s="31" t="s">
        <v>307</v>
      </c>
      <c r="R1030" s="35">
        <v>32869.0</v>
      </c>
      <c r="S1030" s="31" t="s">
        <v>468</v>
      </c>
      <c r="T1030" s="31" t="s">
        <v>3699</v>
      </c>
      <c r="U1030" s="31" t="s">
        <v>643</v>
      </c>
      <c r="V1030" s="34"/>
      <c r="W1030" s="34"/>
    </row>
    <row r="1031">
      <c r="A1031" s="30">
        <v>1.026</v>
      </c>
      <c r="B1031" s="31" t="s">
        <v>4668</v>
      </c>
      <c r="C1031" s="31" t="s">
        <v>4669</v>
      </c>
      <c r="D1031" s="31" t="s">
        <v>4670</v>
      </c>
      <c r="E1031" s="31" t="s">
        <v>4671</v>
      </c>
      <c r="F1031" s="32">
        <v>38108.0</v>
      </c>
      <c r="G1031" s="32">
        <v>38108.0</v>
      </c>
      <c r="H1031" s="31" t="s">
        <v>453</v>
      </c>
      <c r="I1031" s="31" t="s">
        <v>454</v>
      </c>
      <c r="J1031" s="31" t="s">
        <v>4671</v>
      </c>
      <c r="K1031" s="31" t="s">
        <v>4672</v>
      </c>
      <c r="L1031" s="31" t="s">
        <v>4673</v>
      </c>
      <c r="M1031" s="31" t="s">
        <v>4674</v>
      </c>
      <c r="N1031" s="31" t="s">
        <v>467</v>
      </c>
      <c r="O1031" s="31">
        <v>3.0</v>
      </c>
      <c r="P1031" s="34"/>
      <c r="Q1031" s="31" t="s">
        <v>307</v>
      </c>
      <c r="R1031" s="32">
        <v>29953.0</v>
      </c>
      <c r="S1031" s="31" t="s">
        <v>4675</v>
      </c>
      <c r="T1031" s="31" t="s">
        <v>496</v>
      </c>
      <c r="U1031" s="31" t="s">
        <v>480</v>
      </c>
      <c r="V1031" s="34"/>
      <c r="W1031" s="34"/>
    </row>
    <row r="1032">
      <c r="A1032" s="30">
        <v>1.027</v>
      </c>
      <c r="B1032" s="31" t="s">
        <v>4676</v>
      </c>
      <c r="C1032" s="31" t="s">
        <v>4677</v>
      </c>
      <c r="D1032" s="31" t="s">
        <v>2867</v>
      </c>
      <c r="E1032" s="31" t="s">
        <v>2463</v>
      </c>
      <c r="F1032" s="32">
        <v>42465.0</v>
      </c>
      <c r="G1032" s="32">
        <v>42526.0</v>
      </c>
      <c r="H1032" s="31" t="s">
        <v>262</v>
      </c>
      <c r="I1032" s="31" t="s">
        <v>2463</v>
      </c>
      <c r="J1032" s="34"/>
      <c r="K1032" s="31" t="s">
        <v>2464</v>
      </c>
      <c r="L1032" s="31" t="s">
        <v>2869</v>
      </c>
      <c r="M1032" s="31" t="s">
        <v>4678</v>
      </c>
      <c r="N1032" s="31" t="s">
        <v>467</v>
      </c>
      <c r="O1032" s="34"/>
      <c r="P1032" s="34"/>
      <c r="Q1032" s="31" t="s">
        <v>307</v>
      </c>
      <c r="R1032" s="35">
        <v>29146.0</v>
      </c>
      <c r="S1032" s="31" t="s">
        <v>4679</v>
      </c>
      <c r="T1032" s="34"/>
      <c r="U1032" s="31" t="s">
        <v>271</v>
      </c>
      <c r="V1032" s="34"/>
      <c r="W1032" s="34"/>
    </row>
    <row r="1033">
      <c r="A1033" s="30">
        <v>1.028</v>
      </c>
      <c r="B1033" s="31" t="s">
        <v>4680</v>
      </c>
      <c r="C1033" s="31" t="s">
        <v>4681</v>
      </c>
      <c r="D1033" s="31" t="s">
        <v>260</v>
      </c>
      <c r="E1033" s="31" t="s">
        <v>2285</v>
      </c>
      <c r="F1033" s="32">
        <v>45352.0</v>
      </c>
      <c r="G1033" s="33"/>
      <c r="H1033" s="31" t="s">
        <v>262</v>
      </c>
      <c r="I1033" s="31" t="s">
        <v>2219</v>
      </c>
      <c r="J1033" s="31" t="s">
        <v>2285</v>
      </c>
      <c r="K1033" s="31" t="s">
        <v>2286</v>
      </c>
      <c r="L1033" s="31" t="s">
        <v>392</v>
      </c>
      <c r="M1033" s="31" t="s">
        <v>4682</v>
      </c>
      <c r="N1033" s="31" t="s">
        <v>467</v>
      </c>
      <c r="O1033" s="34"/>
      <c r="P1033" s="31">
        <v>1.0</v>
      </c>
      <c r="Q1033" s="31" t="s">
        <v>268</v>
      </c>
      <c r="R1033" s="32">
        <v>36418.0</v>
      </c>
      <c r="S1033" s="31" t="s">
        <v>286</v>
      </c>
      <c r="T1033" s="31" t="s">
        <v>1810</v>
      </c>
      <c r="U1033" s="31" t="s">
        <v>271</v>
      </c>
      <c r="V1033" s="34"/>
      <c r="W1033" s="34"/>
    </row>
    <row r="1034">
      <c r="A1034" s="30">
        <v>1.029</v>
      </c>
      <c r="B1034" s="31" t="s">
        <v>4683</v>
      </c>
      <c r="C1034" s="31" t="s">
        <v>4684</v>
      </c>
      <c r="D1034" s="31" t="s">
        <v>260</v>
      </c>
      <c r="E1034" s="31" t="s">
        <v>2908</v>
      </c>
      <c r="F1034" s="32">
        <v>45369.0</v>
      </c>
      <c r="G1034" s="33"/>
      <c r="H1034" s="31" t="s">
        <v>325</v>
      </c>
      <c r="I1034" s="31" t="s">
        <v>2761</v>
      </c>
      <c r="J1034" s="31" t="s">
        <v>2908</v>
      </c>
      <c r="K1034" s="31" t="s">
        <v>3407</v>
      </c>
      <c r="L1034" s="31" t="s">
        <v>905</v>
      </c>
      <c r="M1034" s="31" t="s">
        <v>4685</v>
      </c>
      <c r="N1034" s="31" t="s">
        <v>467</v>
      </c>
      <c r="O1034" s="34"/>
      <c r="P1034" s="31">
        <v>1.0</v>
      </c>
      <c r="Q1034" s="31" t="s">
        <v>268</v>
      </c>
      <c r="R1034" s="35">
        <v>37614.0</v>
      </c>
      <c r="S1034" s="31" t="s">
        <v>320</v>
      </c>
      <c r="T1034" s="31" t="s">
        <v>330</v>
      </c>
      <c r="U1034" s="31" t="s">
        <v>331</v>
      </c>
      <c r="V1034" s="34"/>
      <c r="W1034" s="34"/>
    </row>
    <row r="1035">
      <c r="A1035" s="30">
        <v>1.03</v>
      </c>
      <c r="B1035" s="31" t="s">
        <v>4686</v>
      </c>
      <c r="C1035" s="31" t="s">
        <v>4687</v>
      </c>
      <c r="D1035" s="31" t="s">
        <v>506</v>
      </c>
      <c r="E1035" s="31" t="s">
        <v>2079</v>
      </c>
      <c r="F1035" s="32">
        <v>45356.0</v>
      </c>
      <c r="G1035" s="33"/>
      <c r="H1035" s="31" t="s">
        <v>262</v>
      </c>
      <c r="I1035" s="31" t="s">
        <v>275</v>
      </c>
      <c r="J1035" s="31" t="s">
        <v>2079</v>
      </c>
      <c r="K1035" s="31" t="s">
        <v>2080</v>
      </c>
      <c r="L1035" s="31" t="s">
        <v>2095</v>
      </c>
      <c r="M1035" s="31" t="s">
        <v>4688</v>
      </c>
      <c r="N1035" s="31" t="s">
        <v>267</v>
      </c>
      <c r="O1035" s="34"/>
      <c r="P1035" s="31">
        <v>1.0</v>
      </c>
      <c r="Q1035" s="31" t="s">
        <v>268</v>
      </c>
      <c r="R1035" s="32">
        <v>37103.0</v>
      </c>
      <c r="S1035" s="31" t="s">
        <v>515</v>
      </c>
      <c r="T1035" s="31" t="s">
        <v>1915</v>
      </c>
      <c r="U1035" s="31" t="s">
        <v>271</v>
      </c>
      <c r="V1035" s="34"/>
      <c r="W1035" s="34"/>
    </row>
    <row r="1036">
      <c r="A1036" s="30">
        <v>1.031</v>
      </c>
      <c r="B1036" s="31" t="s">
        <v>4689</v>
      </c>
      <c r="C1036" s="31" t="s">
        <v>4690</v>
      </c>
      <c r="D1036" s="31" t="s">
        <v>260</v>
      </c>
      <c r="E1036" s="31" t="s">
        <v>261</v>
      </c>
      <c r="F1036" s="32">
        <v>45356.0</v>
      </c>
      <c r="G1036" s="32">
        <v>45416.0</v>
      </c>
      <c r="H1036" s="31" t="s">
        <v>262</v>
      </c>
      <c r="I1036" s="31" t="s">
        <v>263</v>
      </c>
      <c r="J1036" s="31" t="s">
        <v>261</v>
      </c>
      <c r="K1036" s="31" t="s">
        <v>264</v>
      </c>
      <c r="L1036" s="31" t="s">
        <v>265</v>
      </c>
      <c r="M1036" s="31" t="s">
        <v>4691</v>
      </c>
      <c r="N1036" s="31" t="s">
        <v>467</v>
      </c>
      <c r="O1036" s="34"/>
      <c r="P1036" s="31">
        <v>1.0</v>
      </c>
      <c r="Q1036" s="31" t="s">
        <v>307</v>
      </c>
      <c r="R1036" s="32">
        <v>37535.0</v>
      </c>
      <c r="S1036" s="31" t="s">
        <v>4196</v>
      </c>
      <c r="T1036" s="31" t="s">
        <v>3260</v>
      </c>
      <c r="U1036" s="31" t="s">
        <v>271</v>
      </c>
      <c r="V1036" s="34"/>
      <c r="W1036" s="34"/>
    </row>
    <row r="1037">
      <c r="A1037" s="30">
        <v>1.032</v>
      </c>
      <c r="B1037" s="31" t="s">
        <v>4692</v>
      </c>
      <c r="C1037" s="31" t="s">
        <v>4693</v>
      </c>
      <c r="D1037" s="31" t="s">
        <v>3644</v>
      </c>
      <c r="E1037" s="31" t="s">
        <v>2463</v>
      </c>
      <c r="F1037" s="32">
        <v>40391.0</v>
      </c>
      <c r="G1037" s="32">
        <v>40452.0</v>
      </c>
      <c r="H1037" s="31" t="s">
        <v>346</v>
      </c>
      <c r="I1037" s="31" t="s">
        <v>2463</v>
      </c>
      <c r="J1037" s="34"/>
      <c r="K1037" s="31" t="s">
        <v>4694</v>
      </c>
      <c r="L1037" s="31" t="s">
        <v>3646</v>
      </c>
      <c r="M1037" s="31" t="s">
        <v>4695</v>
      </c>
      <c r="N1037" s="31" t="s">
        <v>267</v>
      </c>
      <c r="O1037" s="34"/>
      <c r="P1037" s="34"/>
      <c r="Q1037" s="31" t="s">
        <v>307</v>
      </c>
      <c r="R1037" s="32">
        <v>32348.0</v>
      </c>
      <c r="S1037" s="31" t="s">
        <v>531</v>
      </c>
      <c r="T1037" s="31" t="s">
        <v>718</v>
      </c>
      <c r="U1037" s="31" t="s">
        <v>352</v>
      </c>
      <c r="V1037" s="34"/>
      <c r="W1037" s="34"/>
    </row>
    <row r="1038">
      <c r="A1038" s="30">
        <v>1.033</v>
      </c>
      <c r="B1038" s="31" t="s">
        <v>4696</v>
      </c>
      <c r="C1038" s="31" t="s">
        <v>4697</v>
      </c>
      <c r="D1038" s="31" t="s">
        <v>564</v>
      </c>
      <c r="E1038" s="31" t="s">
        <v>3035</v>
      </c>
      <c r="F1038" s="32">
        <v>42849.0</v>
      </c>
      <c r="G1038" s="32">
        <v>42910.0</v>
      </c>
      <c r="H1038" s="31" t="s">
        <v>453</v>
      </c>
      <c r="I1038" s="31" t="s">
        <v>607</v>
      </c>
      <c r="J1038" s="31" t="s">
        <v>3035</v>
      </c>
      <c r="K1038" s="31" t="s">
        <v>4698</v>
      </c>
      <c r="L1038" s="31" t="s">
        <v>569</v>
      </c>
      <c r="M1038" s="31" t="s">
        <v>4699</v>
      </c>
      <c r="N1038" s="31" t="s">
        <v>267</v>
      </c>
      <c r="O1038" s="34"/>
      <c r="P1038" s="34"/>
      <c r="Q1038" s="31" t="s">
        <v>581</v>
      </c>
      <c r="R1038" s="32">
        <v>33844.0</v>
      </c>
      <c r="S1038" s="31" t="s">
        <v>320</v>
      </c>
      <c r="T1038" s="31" t="s">
        <v>778</v>
      </c>
      <c r="U1038" s="31" t="s">
        <v>480</v>
      </c>
      <c r="V1038" s="34"/>
      <c r="W1038" s="34"/>
    </row>
    <row r="1039">
      <c r="A1039" s="30">
        <v>1.034</v>
      </c>
      <c r="B1039" s="31" t="s">
        <v>4700</v>
      </c>
      <c r="C1039" s="31" t="s">
        <v>462</v>
      </c>
      <c r="D1039" s="31" t="s">
        <v>472</v>
      </c>
      <c r="E1039" s="31" t="s">
        <v>3419</v>
      </c>
      <c r="F1039" s="32">
        <v>45139.0</v>
      </c>
      <c r="G1039" s="32">
        <v>45199.0</v>
      </c>
      <c r="H1039" s="31" t="s">
        <v>453</v>
      </c>
      <c r="I1039" s="31" t="s">
        <v>454</v>
      </c>
      <c r="J1039" s="31" t="s">
        <v>3188</v>
      </c>
      <c r="K1039" s="31" t="s">
        <v>3420</v>
      </c>
      <c r="L1039" s="31" t="s">
        <v>476</v>
      </c>
      <c r="M1039" s="31" t="s">
        <v>4701</v>
      </c>
      <c r="N1039" s="31" t="s">
        <v>467</v>
      </c>
      <c r="O1039" s="34"/>
      <c r="P1039" s="34"/>
      <c r="Q1039" s="31" t="s">
        <v>307</v>
      </c>
      <c r="R1039" s="32">
        <v>37563.0</v>
      </c>
      <c r="S1039" s="31" t="s">
        <v>1622</v>
      </c>
      <c r="T1039" s="31" t="s">
        <v>1865</v>
      </c>
      <c r="U1039" s="31" t="s">
        <v>460</v>
      </c>
      <c r="V1039" s="31" t="s">
        <v>3419</v>
      </c>
      <c r="W1039" s="34"/>
    </row>
    <row r="1040">
      <c r="A1040" s="30">
        <v>1.035</v>
      </c>
      <c r="B1040" s="31" t="s">
        <v>4702</v>
      </c>
      <c r="C1040" s="31" t="s">
        <v>4703</v>
      </c>
      <c r="D1040" s="31" t="s">
        <v>260</v>
      </c>
      <c r="E1040" s="31" t="s">
        <v>2908</v>
      </c>
      <c r="F1040" s="32">
        <v>45369.0</v>
      </c>
      <c r="G1040" s="33"/>
      <c r="H1040" s="31" t="s">
        <v>325</v>
      </c>
      <c r="I1040" s="31" t="s">
        <v>2761</v>
      </c>
      <c r="J1040" s="31" t="s">
        <v>2908</v>
      </c>
      <c r="K1040" s="31" t="s">
        <v>3407</v>
      </c>
      <c r="L1040" s="31" t="s">
        <v>905</v>
      </c>
      <c r="M1040" s="31" t="s">
        <v>4704</v>
      </c>
      <c r="N1040" s="31" t="s">
        <v>467</v>
      </c>
      <c r="O1040" s="34"/>
      <c r="P1040" s="31">
        <v>1.0</v>
      </c>
      <c r="Q1040" s="31" t="s">
        <v>268</v>
      </c>
      <c r="R1040" s="32">
        <v>36991.0</v>
      </c>
      <c r="S1040" s="31" t="s">
        <v>320</v>
      </c>
      <c r="T1040" s="31" t="s">
        <v>4705</v>
      </c>
      <c r="U1040" s="31" t="s">
        <v>331</v>
      </c>
      <c r="V1040" s="34"/>
      <c r="W1040" s="34"/>
    </row>
    <row r="1041">
      <c r="A1041" s="30">
        <v>1.036</v>
      </c>
      <c r="B1041" s="31" t="s">
        <v>4706</v>
      </c>
      <c r="C1041" s="31" t="s">
        <v>4707</v>
      </c>
      <c r="D1041" s="31" t="s">
        <v>260</v>
      </c>
      <c r="E1041" s="31" t="s">
        <v>2908</v>
      </c>
      <c r="F1041" s="32">
        <v>45369.0</v>
      </c>
      <c r="G1041" s="33"/>
      <c r="H1041" s="31" t="s">
        <v>325</v>
      </c>
      <c r="I1041" s="31" t="s">
        <v>2761</v>
      </c>
      <c r="J1041" s="31" t="s">
        <v>2908</v>
      </c>
      <c r="K1041" s="31" t="s">
        <v>3407</v>
      </c>
      <c r="L1041" s="31" t="s">
        <v>905</v>
      </c>
      <c r="M1041" s="31" t="s">
        <v>4708</v>
      </c>
      <c r="N1041" s="31" t="s">
        <v>467</v>
      </c>
      <c r="O1041" s="34"/>
      <c r="P1041" s="31">
        <v>1.0</v>
      </c>
      <c r="Q1041" s="31" t="s">
        <v>268</v>
      </c>
      <c r="R1041" s="32">
        <v>37405.0</v>
      </c>
      <c r="S1041" s="31" t="s">
        <v>320</v>
      </c>
      <c r="T1041" s="31" t="s">
        <v>3641</v>
      </c>
      <c r="U1041" s="31" t="s">
        <v>331</v>
      </c>
      <c r="V1041" s="34"/>
      <c r="W1041" s="34"/>
    </row>
    <row r="1042">
      <c r="A1042" s="30">
        <v>1.037</v>
      </c>
      <c r="B1042" s="31" t="s">
        <v>4709</v>
      </c>
      <c r="C1042" s="31" t="s">
        <v>1447</v>
      </c>
      <c r="D1042" s="31" t="s">
        <v>345</v>
      </c>
      <c r="E1042" s="31" t="s">
        <v>38</v>
      </c>
      <c r="F1042" s="32">
        <v>44665.0</v>
      </c>
      <c r="G1042" s="32">
        <v>44726.0</v>
      </c>
      <c r="H1042" s="31" t="s">
        <v>346</v>
      </c>
      <c r="I1042" s="31" t="s">
        <v>38</v>
      </c>
      <c r="J1042" s="34"/>
      <c r="K1042" s="31" t="s">
        <v>347</v>
      </c>
      <c r="L1042" s="31" t="s">
        <v>348</v>
      </c>
      <c r="M1042" s="31" t="s">
        <v>4710</v>
      </c>
      <c r="N1042" s="31" t="s">
        <v>267</v>
      </c>
      <c r="O1042" s="34"/>
      <c r="P1042" s="34"/>
      <c r="Q1042" s="31" t="s">
        <v>581</v>
      </c>
      <c r="R1042" s="32">
        <v>35071.0</v>
      </c>
      <c r="S1042" s="31" t="s">
        <v>3403</v>
      </c>
      <c r="T1042" s="31" t="s">
        <v>778</v>
      </c>
      <c r="U1042" s="31" t="s">
        <v>352</v>
      </c>
      <c r="V1042" s="34"/>
      <c r="W1042" s="34"/>
    </row>
    <row r="1043">
      <c r="A1043" s="30">
        <v>1.038</v>
      </c>
      <c r="B1043" s="31" t="s">
        <v>4711</v>
      </c>
      <c r="C1043" s="31" t="s">
        <v>4712</v>
      </c>
      <c r="D1043" s="31" t="s">
        <v>506</v>
      </c>
      <c r="E1043" s="31" t="s">
        <v>4713</v>
      </c>
      <c r="F1043" s="32">
        <v>43602.0</v>
      </c>
      <c r="G1043" s="32">
        <v>43663.0</v>
      </c>
      <c r="H1043" s="31" t="s">
        <v>303</v>
      </c>
      <c r="I1043" s="31" t="s">
        <v>335</v>
      </c>
      <c r="J1043" s="31" t="s">
        <v>2079</v>
      </c>
      <c r="K1043" s="31" t="s">
        <v>4714</v>
      </c>
      <c r="L1043" s="31" t="s">
        <v>4715</v>
      </c>
      <c r="M1043" s="31" t="s">
        <v>4716</v>
      </c>
      <c r="N1043" s="31" t="s">
        <v>267</v>
      </c>
      <c r="O1043" s="34"/>
      <c r="P1043" s="31">
        <v>6.0</v>
      </c>
      <c r="Q1043" s="31" t="s">
        <v>307</v>
      </c>
      <c r="R1043" s="32">
        <v>34893.0</v>
      </c>
      <c r="S1043" s="31" t="s">
        <v>531</v>
      </c>
      <c r="T1043" s="31" t="s">
        <v>744</v>
      </c>
      <c r="U1043" s="31" t="s">
        <v>352</v>
      </c>
      <c r="V1043" s="31" t="s">
        <v>4713</v>
      </c>
      <c r="W1043" s="34"/>
    </row>
    <row r="1044">
      <c r="A1044" s="30">
        <v>1.039</v>
      </c>
      <c r="B1044" s="31" t="s">
        <v>4717</v>
      </c>
      <c r="C1044" s="31" t="s">
        <v>4718</v>
      </c>
      <c r="D1044" s="31" t="s">
        <v>574</v>
      </c>
      <c r="E1044" s="31" t="s">
        <v>4719</v>
      </c>
      <c r="F1044" s="32">
        <v>43367.0</v>
      </c>
      <c r="G1044" s="35">
        <v>43428.0</v>
      </c>
      <c r="H1044" s="31" t="s">
        <v>576</v>
      </c>
      <c r="I1044" s="31" t="s">
        <v>3431</v>
      </c>
      <c r="J1044" s="31" t="s">
        <v>4719</v>
      </c>
      <c r="K1044" s="31" t="s">
        <v>4720</v>
      </c>
      <c r="L1044" s="31" t="s">
        <v>579</v>
      </c>
      <c r="M1044" s="31" t="s">
        <v>4721</v>
      </c>
      <c r="N1044" s="31" t="s">
        <v>267</v>
      </c>
      <c r="O1044" s="34"/>
      <c r="P1044" s="31">
        <v>2.0</v>
      </c>
      <c r="Q1044" s="31" t="s">
        <v>307</v>
      </c>
      <c r="R1044" s="32">
        <v>35312.0</v>
      </c>
      <c r="S1044" s="31" t="s">
        <v>700</v>
      </c>
      <c r="T1044" s="31" t="s">
        <v>4722</v>
      </c>
      <c r="U1044" s="31" t="s">
        <v>2914</v>
      </c>
      <c r="V1044" s="34"/>
      <c r="W1044" s="34"/>
    </row>
    <row r="1045">
      <c r="A1045" s="30">
        <v>1.04</v>
      </c>
      <c r="B1045" s="31" t="s">
        <v>4723</v>
      </c>
      <c r="C1045" s="31" t="s">
        <v>4724</v>
      </c>
      <c r="D1045" s="31" t="s">
        <v>4725</v>
      </c>
      <c r="E1045" s="31" t="s">
        <v>4726</v>
      </c>
      <c r="F1045" s="32">
        <v>43655.0</v>
      </c>
      <c r="G1045" s="32">
        <v>43717.0</v>
      </c>
      <c r="H1045" s="31" t="s">
        <v>4727</v>
      </c>
      <c r="I1045" s="31" t="s">
        <v>4726</v>
      </c>
      <c r="J1045" s="34"/>
      <c r="K1045" s="31" t="s">
        <v>4728</v>
      </c>
      <c r="L1045" s="31" t="s">
        <v>4729</v>
      </c>
      <c r="M1045" s="31" t="s">
        <v>4730</v>
      </c>
      <c r="N1045" s="31" t="s">
        <v>267</v>
      </c>
      <c r="O1045" s="34"/>
      <c r="P1045" s="34"/>
      <c r="Q1045" s="31" t="s">
        <v>307</v>
      </c>
      <c r="R1045" s="32">
        <v>35773.0</v>
      </c>
      <c r="S1045" s="31" t="s">
        <v>700</v>
      </c>
      <c r="T1045" s="31" t="s">
        <v>686</v>
      </c>
      <c r="U1045" s="31" t="s">
        <v>342</v>
      </c>
      <c r="V1045" s="34"/>
      <c r="W1045" s="34"/>
    </row>
    <row r="1046">
      <c r="A1046" s="30">
        <v>1.041</v>
      </c>
      <c r="B1046" s="31" t="s">
        <v>4731</v>
      </c>
      <c r="C1046" s="31" t="s">
        <v>4732</v>
      </c>
      <c r="D1046" s="31" t="s">
        <v>260</v>
      </c>
      <c r="E1046" s="31" t="s">
        <v>2908</v>
      </c>
      <c r="F1046" s="32">
        <v>45369.0</v>
      </c>
      <c r="G1046" s="33"/>
      <c r="H1046" s="31" t="s">
        <v>325</v>
      </c>
      <c r="I1046" s="31" t="s">
        <v>2761</v>
      </c>
      <c r="J1046" s="31" t="s">
        <v>2908</v>
      </c>
      <c r="K1046" s="31" t="s">
        <v>3407</v>
      </c>
      <c r="L1046" s="31" t="s">
        <v>905</v>
      </c>
      <c r="M1046" s="31" t="s">
        <v>4733</v>
      </c>
      <c r="N1046" s="31" t="s">
        <v>467</v>
      </c>
      <c r="O1046" s="34"/>
      <c r="P1046" s="31">
        <v>1.0</v>
      </c>
      <c r="Q1046" s="31" t="s">
        <v>268</v>
      </c>
      <c r="R1046" s="35">
        <v>36486.0</v>
      </c>
      <c r="S1046" s="31" t="s">
        <v>320</v>
      </c>
      <c r="T1046" s="31" t="s">
        <v>330</v>
      </c>
      <c r="U1046" s="31" t="s">
        <v>331</v>
      </c>
      <c r="V1046" s="34"/>
      <c r="W1046" s="34"/>
    </row>
    <row r="1047">
      <c r="A1047" s="30">
        <v>1.042</v>
      </c>
      <c r="B1047" s="31" t="s">
        <v>4734</v>
      </c>
      <c r="C1047" s="31" t="s">
        <v>4735</v>
      </c>
      <c r="D1047" s="31" t="s">
        <v>553</v>
      </c>
      <c r="E1047" s="31" t="s">
        <v>3246</v>
      </c>
      <c r="F1047" s="32">
        <v>44760.0</v>
      </c>
      <c r="G1047" s="32">
        <v>44822.0</v>
      </c>
      <c r="H1047" s="31" t="s">
        <v>453</v>
      </c>
      <c r="I1047" s="31" t="s">
        <v>607</v>
      </c>
      <c r="J1047" s="31" t="s">
        <v>3247</v>
      </c>
      <c r="K1047" s="31" t="s">
        <v>3248</v>
      </c>
      <c r="L1047" s="31" t="s">
        <v>558</v>
      </c>
      <c r="M1047" s="31" t="s">
        <v>4736</v>
      </c>
      <c r="N1047" s="31" t="s">
        <v>267</v>
      </c>
      <c r="O1047" s="34"/>
      <c r="P1047" s="34"/>
      <c r="Q1047" s="31" t="s">
        <v>307</v>
      </c>
      <c r="R1047" s="32">
        <v>34930.0</v>
      </c>
      <c r="S1047" s="31" t="s">
        <v>626</v>
      </c>
      <c r="T1047" s="31" t="s">
        <v>1468</v>
      </c>
      <c r="U1047" s="31" t="s">
        <v>480</v>
      </c>
      <c r="V1047" s="31" t="s">
        <v>3246</v>
      </c>
      <c r="W1047" s="34"/>
    </row>
    <row r="1048">
      <c r="A1048" s="30">
        <v>1.043</v>
      </c>
      <c r="B1048" s="31" t="s">
        <v>4737</v>
      </c>
      <c r="C1048" s="31" t="s">
        <v>4738</v>
      </c>
      <c r="D1048" s="31" t="s">
        <v>765</v>
      </c>
      <c r="E1048" s="31" t="s">
        <v>1701</v>
      </c>
      <c r="F1048" s="32">
        <v>42947.0</v>
      </c>
      <c r="G1048" s="32">
        <v>43009.0</v>
      </c>
      <c r="H1048" s="31" t="s">
        <v>262</v>
      </c>
      <c r="I1048" s="31" t="s">
        <v>263</v>
      </c>
      <c r="J1048" s="31" t="s">
        <v>767</v>
      </c>
      <c r="K1048" s="31" t="s">
        <v>1702</v>
      </c>
      <c r="L1048" s="31" t="s">
        <v>769</v>
      </c>
      <c r="M1048" s="31" t="s">
        <v>4739</v>
      </c>
      <c r="N1048" s="31" t="s">
        <v>267</v>
      </c>
      <c r="O1048" s="34"/>
      <c r="P1048" s="31">
        <v>3.0</v>
      </c>
      <c r="Q1048" s="31" t="s">
        <v>307</v>
      </c>
      <c r="R1048" s="32">
        <v>35070.0</v>
      </c>
      <c r="S1048" s="31" t="s">
        <v>531</v>
      </c>
      <c r="T1048" s="31" t="s">
        <v>1662</v>
      </c>
      <c r="U1048" s="31" t="s">
        <v>271</v>
      </c>
      <c r="V1048" s="31" t="s">
        <v>1701</v>
      </c>
      <c r="W1048" s="34"/>
    </row>
    <row r="1049">
      <c r="A1049" s="30">
        <v>1.044</v>
      </c>
      <c r="B1049" s="31" t="s">
        <v>4740</v>
      </c>
      <c r="C1049" s="31" t="s">
        <v>4741</v>
      </c>
      <c r="D1049" s="31" t="s">
        <v>260</v>
      </c>
      <c r="E1049" s="31" t="s">
        <v>2498</v>
      </c>
      <c r="F1049" s="32">
        <v>43250.0</v>
      </c>
      <c r="G1049" s="32">
        <v>43311.0</v>
      </c>
      <c r="H1049" s="31" t="s">
        <v>303</v>
      </c>
      <c r="I1049" s="31" t="s">
        <v>335</v>
      </c>
      <c r="J1049" s="31" t="s">
        <v>2499</v>
      </c>
      <c r="K1049" s="31" t="s">
        <v>2500</v>
      </c>
      <c r="L1049" s="31" t="s">
        <v>2501</v>
      </c>
      <c r="M1049" s="31" t="s">
        <v>4742</v>
      </c>
      <c r="N1049" s="31" t="s">
        <v>267</v>
      </c>
      <c r="O1049" s="34"/>
      <c r="P1049" s="31">
        <v>4.0</v>
      </c>
      <c r="Q1049" s="31" t="s">
        <v>307</v>
      </c>
      <c r="R1049" s="35">
        <v>34995.0</v>
      </c>
      <c r="S1049" s="31" t="s">
        <v>320</v>
      </c>
      <c r="T1049" s="31" t="s">
        <v>1666</v>
      </c>
      <c r="U1049" s="31" t="s">
        <v>271</v>
      </c>
      <c r="V1049" s="31" t="s">
        <v>2498</v>
      </c>
      <c r="W1049" s="34"/>
    </row>
    <row r="1050">
      <c r="A1050" s="30">
        <v>1.045</v>
      </c>
      <c r="B1050" s="31" t="s">
        <v>4743</v>
      </c>
      <c r="C1050" s="31" t="s">
        <v>333</v>
      </c>
      <c r="D1050" s="31" t="s">
        <v>648</v>
      </c>
      <c r="E1050" s="31" t="s">
        <v>649</v>
      </c>
      <c r="F1050" s="32">
        <v>41745.0</v>
      </c>
      <c r="G1050" s="32">
        <v>41806.0</v>
      </c>
      <c r="H1050" s="31" t="s">
        <v>346</v>
      </c>
      <c r="I1050" s="31" t="s">
        <v>101</v>
      </c>
      <c r="J1050" s="31" t="s">
        <v>649</v>
      </c>
      <c r="K1050" s="31" t="s">
        <v>650</v>
      </c>
      <c r="L1050" s="31" t="s">
        <v>651</v>
      </c>
      <c r="M1050" s="31" t="s">
        <v>4744</v>
      </c>
      <c r="N1050" s="31" t="s">
        <v>267</v>
      </c>
      <c r="O1050" s="34"/>
      <c r="P1050" s="34"/>
      <c r="Q1050" s="31" t="s">
        <v>307</v>
      </c>
      <c r="R1050" s="32">
        <v>33437.0</v>
      </c>
      <c r="S1050" s="31" t="s">
        <v>531</v>
      </c>
      <c r="T1050" s="31" t="s">
        <v>744</v>
      </c>
      <c r="U1050" s="31" t="s">
        <v>361</v>
      </c>
      <c r="V1050" s="34"/>
      <c r="W1050" s="34"/>
    </row>
    <row r="1051">
      <c r="A1051" s="30">
        <v>1.046</v>
      </c>
      <c r="B1051" s="31" t="s">
        <v>4745</v>
      </c>
      <c r="C1051" s="31" t="s">
        <v>4746</v>
      </c>
      <c r="D1051" s="31" t="s">
        <v>4747</v>
      </c>
      <c r="E1051" s="31" t="s">
        <v>2696</v>
      </c>
      <c r="F1051" s="32">
        <v>43892.0</v>
      </c>
      <c r="G1051" s="32">
        <v>43953.0</v>
      </c>
      <c r="H1051" s="31" t="s">
        <v>453</v>
      </c>
      <c r="I1051" s="31" t="s">
        <v>607</v>
      </c>
      <c r="J1051" s="31" t="s">
        <v>2697</v>
      </c>
      <c r="K1051" s="31" t="s">
        <v>2698</v>
      </c>
      <c r="L1051" s="31" t="s">
        <v>4748</v>
      </c>
      <c r="M1051" s="31" t="s">
        <v>4749</v>
      </c>
      <c r="N1051" s="31" t="s">
        <v>467</v>
      </c>
      <c r="O1051" s="34"/>
      <c r="P1051" s="34"/>
      <c r="Q1051" s="31" t="s">
        <v>307</v>
      </c>
      <c r="R1051" s="32">
        <v>36290.0</v>
      </c>
      <c r="S1051" s="31" t="s">
        <v>560</v>
      </c>
      <c r="T1051" s="31" t="s">
        <v>479</v>
      </c>
      <c r="U1051" s="31" t="s">
        <v>643</v>
      </c>
      <c r="V1051" s="31" t="s">
        <v>2696</v>
      </c>
      <c r="W1051" s="34"/>
    </row>
    <row r="1052">
      <c r="A1052" s="30">
        <v>1.047</v>
      </c>
      <c r="B1052" s="31" t="s">
        <v>4750</v>
      </c>
      <c r="C1052" s="31" t="s">
        <v>4751</v>
      </c>
      <c r="D1052" s="31" t="s">
        <v>4747</v>
      </c>
      <c r="E1052" s="31" t="s">
        <v>4414</v>
      </c>
      <c r="F1052" s="32">
        <v>42835.0</v>
      </c>
      <c r="G1052" s="32">
        <v>42896.0</v>
      </c>
      <c r="H1052" s="31" t="s">
        <v>453</v>
      </c>
      <c r="I1052" s="31" t="s">
        <v>607</v>
      </c>
      <c r="J1052" s="31" t="s">
        <v>4415</v>
      </c>
      <c r="K1052" s="31" t="s">
        <v>4416</v>
      </c>
      <c r="L1052" s="31" t="s">
        <v>4748</v>
      </c>
      <c r="M1052" s="31" t="s">
        <v>4752</v>
      </c>
      <c r="N1052" s="31" t="s">
        <v>467</v>
      </c>
      <c r="O1052" s="34"/>
      <c r="P1052" s="34"/>
      <c r="Q1052" s="31" t="s">
        <v>307</v>
      </c>
      <c r="R1052" s="32">
        <v>34090.0</v>
      </c>
      <c r="S1052" s="31" t="s">
        <v>1622</v>
      </c>
      <c r="T1052" s="31" t="s">
        <v>503</v>
      </c>
      <c r="U1052" s="31" t="s">
        <v>643</v>
      </c>
      <c r="V1052" s="31" t="s">
        <v>4414</v>
      </c>
      <c r="W1052" s="34"/>
    </row>
    <row r="1053">
      <c r="A1053" s="30">
        <v>1.048</v>
      </c>
      <c r="B1053" s="31" t="s">
        <v>4753</v>
      </c>
      <c r="C1053" s="31" t="s">
        <v>4754</v>
      </c>
      <c r="D1053" s="31" t="s">
        <v>452</v>
      </c>
      <c r="E1053" s="31" t="s">
        <v>3216</v>
      </c>
      <c r="F1053" s="32">
        <v>45152.0</v>
      </c>
      <c r="G1053" s="35">
        <v>45212.0</v>
      </c>
      <c r="H1053" s="31" t="s">
        <v>453</v>
      </c>
      <c r="I1053" s="31" t="s">
        <v>454</v>
      </c>
      <c r="J1053" s="31" t="s">
        <v>3217</v>
      </c>
      <c r="K1053" s="31" t="s">
        <v>3218</v>
      </c>
      <c r="L1053" s="31" t="s">
        <v>456</v>
      </c>
      <c r="M1053" s="31" t="s">
        <v>4755</v>
      </c>
      <c r="N1053" s="31" t="s">
        <v>267</v>
      </c>
      <c r="O1053" s="34"/>
      <c r="P1053" s="34"/>
      <c r="Q1053" s="31" t="s">
        <v>307</v>
      </c>
      <c r="R1053" s="32">
        <v>36343.0</v>
      </c>
      <c r="S1053" s="31" t="s">
        <v>3044</v>
      </c>
      <c r="T1053" s="31" t="s">
        <v>4321</v>
      </c>
      <c r="U1053" s="31" t="s">
        <v>480</v>
      </c>
      <c r="V1053" s="31" t="s">
        <v>3216</v>
      </c>
      <c r="W1053" s="34"/>
    </row>
    <row r="1054">
      <c r="A1054" s="30">
        <v>1.049</v>
      </c>
      <c r="B1054" s="31" t="s">
        <v>4756</v>
      </c>
      <c r="C1054" s="31" t="s">
        <v>4757</v>
      </c>
      <c r="D1054" s="31" t="s">
        <v>260</v>
      </c>
      <c r="E1054" s="31" t="s">
        <v>1260</v>
      </c>
      <c r="F1054" s="32">
        <v>42947.0</v>
      </c>
      <c r="G1054" s="32">
        <v>43009.0</v>
      </c>
      <c r="H1054" s="31" t="s">
        <v>262</v>
      </c>
      <c r="I1054" s="31" t="s">
        <v>2219</v>
      </c>
      <c r="J1054" s="31" t="s">
        <v>1260</v>
      </c>
      <c r="K1054" s="31" t="s">
        <v>2281</v>
      </c>
      <c r="L1054" s="31" t="s">
        <v>392</v>
      </c>
      <c r="M1054" s="31" t="s">
        <v>4758</v>
      </c>
      <c r="N1054" s="31" t="s">
        <v>267</v>
      </c>
      <c r="O1054" s="34"/>
      <c r="P1054" s="31">
        <v>7.0</v>
      </c>
      <c r="Q1054" s="31" t="s">
        <v>307</v>
      </c>
      <c r="R1054" s="32">
        <v>35331.0</v>
      </c>
      <c r="S1054" s="31" t="s">
        <v>531</v>
      </c>
      <c r="T1054" s="31" t="s">
        <v>1662</v>
      </c>
      <c r="U1054" s="31" t="s">
        <v>271</v>
      </c>
      <c r="V1054" s="34"/>
      <c r="W1054" s="34"/>
    </row>
    <row r="1055">
      <c r="A1055" s="30">
        <v>1.05</v>
      </c>
      <c r="B1055" s="31" t="s">
        <v>4759</v>
      </c>
      <c r="C1055" s="31" t="s">
        <v>4760</v>
      </c>
      <c r="D1055" s="31" t="s">
        <v>574</v>
      </c>
      <c r="E1055" s="31" t="s">
        <v>575</v>
      </c>
      <c r="F1055" s="32">
        <v>45080.0</v>
      </c>
      <c r="G1055" s="32">
        <v>45141.0</v>
      </c>
      <c r="H1055" s="31" t="s">
        <v>576</v>
      </c>
      <c r="I1055" s="31" t="s">
        <v>577</v>
      </c>
      <c r="J1055" s="31" t="s">
        <v>575</v>
      </c>
      <c r="K1055" s="31" t="s">
        <v>578</v>
      </c>
      <c r="L1055" s="31" t="s">
        <v>579</v>
      </c>
      <c r="M1055" s="31" t="s">
        <v>4761</v>
      </c>
      <c r="N1055" s="31" t="s">
        <v>467</v>
      </c>
      <c r="O1055" s="34"/>
      <c r="P1055" s="31">
        <v>1.0</v>
      </c>
      <c r="Q1055" s="31" t="s">
        <v>307</v>
      </c>
      <c r="R1055" s="32">
        <v>35973.0</v>
      </c>
      <c r="S1055" s="31" t="s">
        <v>531</v>
      </c>
      <c r="T1055" s="31" t="s">
        <v>4762</v>
      </c>
      <c r="U1055" s="31" t="s">
        <v>583</v>
      </c>
      <c r="V1055" s="34"/>
      <c r="W1055" s="34"/>
    </row>
    <row r="1056">
      <c r="A1056" s="30">
        <v>1.051</v>
      </c>
      <c r="B1056" s="31" t="s">
        <v>4763</v>
      </c>
      <c r="C1056" s="31" t="s">
        <v>1518</v>
      </c>
      <c r="D1056" s="31" t="s">
        <v>3132</v>
      </c>
      <c r="E1056" s="31" t="s">
        <v>4764</v>
      </c>
      <c r="F1056" s="32">
        <v>42461.0</v>
      </c>
      <c r="G1056" s="32">
        <v>42522.0</v>
      </c>
      <c r="H1056" s="31" t="s">
        <v>453</v>
      </c>
      <c r="I1056" s="31" t="s">
        <v>47</v>
      </c>
      <c r="J1056" s="31" t="s">
        <v>4765</v>
      </c>
      <c r="K1056" s="31" t="s">
        <v>4766</v>
      </c>
      <c r="L1056" s="31" t="s">
        <v>3380</v>
      </c>
      <c r="M1056" s="31" t="s">
        <v>4767</v>
      </c>
      <c r="N1056" s="31" t="s">
        <v>267</v>
      </c>
      <c r="O1056" s="31">
        <v>2.0</v>
      </c>
      <c r="P1056" s="34"/>
      <c r="Q1056" s="31" t="s">
        <v>581</v>
      </c>
      <c r="R1056" s="32">
        <v>33628.0</v>
      </c>
      <c r="S1056" s="31" t="s">
        <v>4768</v>
      </c>
      <c r="T1056" s="31" t="s">
        <v>744</v>
      </c>
      <c r="U1056" s="31" t="s">
        <v>480</v>
      </c>
      <c r="V1056" s="31" t="s">
        <v>4764</v>
      </c>
      <c r="W1056" s="34"/>
    </row>
    <row r="1057">
      <c r="A1057" s="30">
        <v>1.052</v>
      </c>
      <c r="B1057" s="31" t="s">
        <v>4769</v>
      </c>
      <c r="C1057" s="31" t="s">
        <v>4770</v>
      </c>
      <c r="D1057" s="31" t="s">
        <v>765</v>
      </c>
      <c r="E1057" s="31" t="s">
        <v>1701</v>
      </c>
      <c r="F1057" s="32">
        <v>43119.0</v>
      </c>
      <c r="G1057" s="32">
        <v>43178.0</v>
      </c>
      <c r="H1057" s="31" t="s">
        <v>262</v>
      </c>
      <c r="I1057" s="31" t="s">
        <v>263</v>
      </c>
      <c r="J1057" s="31" t="s">
        <v>767</v>
      </c>
      <c r="K1057" s="31" t="s">
        <v>1702</v>
      </c>
      <c r="L1057" s="31" t="s">
        <v>769</v>
      </c>
      <c r="M1057" s="31" t="s">
        <v>4771</v>
      </c>
      <c r="N1057" s="31" t="s">
        <v>267</v>
      </c>
      <c r="O1057" s="34"/>
      <c r="P1057" s="31">
        <v>5.0</v>
      </c>
      <c r="Q1057" s="31" t="s">
        <v>307</v>
      </c>
      <c r="R1057" s="35">
        <v>34633.0</v>
      </c>
      <c r="S1057" s="31" t="s">
        <v>717</v>
      </c>
      <c r="T1057" s="31" t="s">
        <v>1670</v>
      </c>
      <c r="U1057" s="31" t="s">
        <v>271</v>
      </c>
      <c r="V1057" s="31" t="s">
        <v>1701</v>
      </c>
      <c r="W1057" s="34"/>
    </row>
    <row r="1058">
      <c r="A1058" s="30">
        <v>1.053</v>
      </c>
      <c r="B1058" s="31" t="s">
        <v>4772</v>
      </c>
      <c r="C1058" s="31" t="s">
        <v>4773</v>
      </c>
      <c r="D1058" s="31" t="s">
        <v>553</v>
      </c>
      <c r="E1058" s="31" t="s">
        <v>4414</v>
      </c>
      <c r="F1058" s="32">
        <v>44760.0</v>
      </c>
      <c r="G1058" s="32">
        <v>44822.0</v>
      </c>
      <c r="H1058" s="31" t="s">
        <v>453</v>
      </c>
      <c r="I1058" s="31" t="s">
        <v>607</v>
      </c>
      <c r="J1058" s="31" t="s">
        <v>4415</v>
      </c>
      <c r="K1058" s="31" t="s">
        <v>4416</v>
      </c>
      <c r="L1058" s="31" t="s">
        <v>558</v>
      </c>
      <c r="M1058" s="31" t="s">
        <v>4774</v>
      </c>
      <c r="N1058" s="31" t="s">
        <v>267</v>
      </c>
      <c r="O1058" s="34"/>
      <c r="P1058" s="34"/>
      <c r="Q1058" s="31" t="s">
        <v>307</v>
      </c>
      <c r="R1058" s="35">
        <v>36881.0</v>
      </c>
      <c r="S1058" s="31" t="s">
        <v>717</v>
      </c>
      <c r="T1058" s="31" t="s">
        <v>3572</v>
      </c>
      <c r="U1058" s="31" t="s">
        <v>643</v>
      </c>
      <c r="V1058" s="31" t="s">
        <v>4414</v>
      </c>
      <c r="W1058" s="34"/>
    </row>
    <row r="1059">
      <c r="A1059" s="30">
        <v>1.054</v>
      </c>
      <c r="B1059" s="31" t="s">
        <v>4775</v>
      </c>
      <c r="C1059" s="31" t="s">
        <v>4776</v>
      </c>
      <c r="D1059" s="31" t="s">
        <v>564</v>
      </c>
      <c r="E1059" s="31" t="s">
        <v>4777</v>
      </c>
      <c r="F1059" s="32">
        <v>42934.0</v>
      </c>
      <c r="G1059" s="32">
        <v>42996.0</v>
      </c>
      <c r="H1059" s="31" t="s">
        <v>453</v>
      </c>
      <c r="I1059" s="31" t="s">
        <v>454</v>
      </c>
      <c r="J1059" s="31" t="s">
        <v>4777</v>
      </c>
      <c r="K1059" s="31" t="s">
        <v>4778</v>
      </c>
      <c r="L1059" s="31" t="s">
        <v>569</v>
      </c>
      <c r="M1059" s="31" t="s">
        <v>4779</v>
      </c>
      <c r="N1059" s="31" t="s">
        <v>467</v>
      </c>
      <c r="O1059" s="34"/>
      <c r="P1059" s="34"/>
      <c r="Q1059" s="31" t="s">
        <v>307</v>
      </c>
      <c r="R1059" s="32">
        <v>34820.0</v>
      </c>
      <c r="S1059" s="31" t="s">
        <v>729</v>
      </c>
      <c r="T1059" s="31" t="s">
        <v>686</v>
      </c>
      <c r="U1059" s="31" t="s">
        <v>480</v>
      </c>
      <c r="V1059" s="34"/>
      <c r="W1059" s="34"/>
    </row>
    <row r="1060">
      <c r="A1060" s="30">
        <v>1.055</v>
      </c>
      <c r="B1060" s="31" t="s">
        <v>4780</v>
      </c>
      <c r="C1060" s="31" t="s">
        <v>4781</v>
      </c>
      <c r="D1060" s="31" t="s">
        <v>2716</v>
      </c>
      <c r="E1060" s="31" t="s">
        <v>38</v>
      </c>
      <c r="F1060" s="32">
        <v>40560.0</v>
      </c>
      <c r="G1060" s="32">
        <v>40619.0</v>
      </c>
      <c r="H1060" s="31" t="s">
        <v>453</v>
      </c>
      <c r="I1060" s="31" t="s">
        <v>2717</v>
      </c>
      <c r="J1060" s="31" t="s">
        <v>38</v>
      </c>
      <c r="K1060" s="31" t="s">
        <v>2718</v>
      </c>
      <c r="L1060" s="31" t="s">
        <v>2719</v>
      </c>
      <c r="M1060" s="31" t="s">
        <v>4782</v>
      </c>
      <c r="N1060" s="31" t="s">
        <v>267</v>
      </c>
      <c r="O1060" s="34"/>
      <c r="P1060" s="34"/>
      <c r="Q1060" s="31" t="s">
        <v>307</v>
      </c>
      <c r="R1060" s="32">
        <v>32029.0</v>
      </c>
      <c r="S1060" s="31" t="s">
        <v>308</v>
      </c>
      <c r="T1060" s="31" t="s">
        <v>309</v>
      </c>
      <c r="U1060" s="31" t="s">
        <v>643</v>
      </c>
      <c r="V1060" s="34"/>
      <c r="W1060" s="34"/>
    </row>
    <row r="1061">
      <c r="A1061" s="30">
        <v>1.056</v>
      </c>
      <c r="B1061" s="31" t="s">
        <v>4783</v>
      </c>
      <c r="C1061" s="31" t="s">
        <v>4784</v>
      </c>
      <c r="D1061" s="31" t="s">
        <v>2172</v>
      </c>
      <c r="E1061" s="31" t="s">
        <v>2761</v>
      </c>
      <c r="F1061" s="32">
        <v>45327.0</v>
      </c>
      <c r="G1061" s="33"/>
      <c r="H1061" s="31" t="s">
        <v>325</v>
      </c>
      <c r="I1061" s="31" t="s">
        <v>2761</v>
      </c>
      <c r="J1061" s="34"/>
      <c r="K1061" s="31" t="s">
        <v>3361</v>
      </c>
      <c r="L1061" s="31" t="s">
        <v>4785</v>
      </c>
      <c r="M1061" s="31" t="s">
        <v>4786</v>
      </c>
      <c r="N1061" s="31" t="s">
        <v>467</v>
      </c>
      <c r="O1061" s="31">
        <v>2.0</v>
      </c>
      <c r="P1061" s="31">
        <v>5.0</v>
      </c>
      <c r="Q1061" s="31" t="s">
        <v>268</v>
      </c>
      <c r="R1061" s="35">
        <v>32495.0</v>
      </c>
      <c r="S1061" s="31" t="s">
        <v>531</v>
      </c>
      <c r="T1061" s="31" t="s">
        <v>2764</v>
      </c>
      <c r="U1061" s="31" t="s">
        <v>331</v>
      </c>
      <c r="V1061" s="34"/>
      <c r="W1061" s="34"/>
    </row>
    <row r="1062">
      <c r="A1062" s="30">
        <v>1.057</v>
      </c>
      <c r="B1062" s="31" t="s">
        <v>4787</v>
      </c>
      <c r="C1062" s="31" t="s">
        <v>3962</v>
      </c>
      <c r="D1062" s="31" t="s">
        <v>4788</v>
      </c>
      <c r="E1062" s="31" t="s">
        <v>4789</v>
      </c>
      <c r="F1062" s="32">
        <v>44501.0</v>
      </c>
      <c r="G1062" s="32">
        <v>44562.0</v>
      </c>
      <c r="H1062" s="31" t="s">
        <v>303</v>
      </c>
      <c r="I1062" s="31" t="s">
        <v>335</v>
      </c>
      <c r="J1062" s="31" t="s">
        <v>1963</v>
      </c>
      <c r="K1062" s="31" t="s">
        <v>4790</v>
      </c>
      <c r="L1062" s="31" t="s">
        <v>4791</v>
      </c>
      <c r="M1062" s="31" t="s">
        <v>4792</v>
      </c>
      <c r="N1062" s="31" t="s">
        <v>267</v>
      </c>
      <c r="O1062" s="34"/>
      <c r="P1062" s="34"/>
      <c r="Q1062" s="31" t="s">
        <v>307</v>
      </c>
      <c r="R1062" s="32">
        <v>34832.0</v>
      </c>
      <c r="S1062" s="31" t="s">
        <v>526</v>
      </c>
      <c r="T1062" s="31" t="s">
        <v>744</v>
      </c>
      <c r="U1062" s="31" t="s">
        <v>342</v>
      </c>
      <c r="V1062" s="31" t="s">
        <v>4789</v>
      </c>
      <c r="W1062" s="34"/>
    </row>
    <row r="1063">
      <c r="A1063" s="30">
        <v>1.058</v>
      </c>
      <c r="B1063" s="31" t="s">
        <v>4793</v>
      </c>
      <c r="C1063" s="31" t="s">
        <v>4794</v>
      </c>
      <c r="D1063" s="31" t="s">
        <v>472</v>
      </c>
      <c r="E1063" s="31" t="s">
        <v>2651</v>
      </c>
      <c r="F1063" s="32">
        <v>43353.0</v>
      </c>
      <c r="G1063" s="32">
        <v>43353.0</v>
      </c>
      <c r="H1063" s="31" t="s">
        <v>453</v>
      </c>
      <c r="I1063" s="31" t="s">
        <v>566</v>
      </c>
      <c r="J1063" s="31" t="s">
        <v>567</v>
      </c>
      <c r="K1063" s="31" t="s">
        <v>2652</v>
      </c>
      <c r="L1063" s="31" t="s">
        <v>476</v>
      </c>
      <c r="M1063" s="31" t="s">
        <v>4795</v>
      </c>
      <c r="N1063" s="31" t="s">
        <v>467</v>
      </c>
      <c r="O1063" s="34"/>
      <c r="P1063" s="34"/>
      <c r="Q1063" s="31" t="s">
        <v>307</v>
      </c>
      <c r="R1063" s="35">
        <v>35363.0</v>
      </c>
      <c r="S1063" s="31" t="s">
        <v>560</v>
      </c>
      <c r="T1063" s="31" t="s">
        <v>2685</v>
      </c>
      <c r="U1063" s="31" t="s">
        <v>480</v>
      </c>
      <c r="V1063" s="31" t="s">
        <v>2651</v>
      </c>
      <c r="W1063" s="34"/>
    </row>
    <row r="1064">
      <c r="A1064" s="30">
        <v>1.059</v>
      </c>
      <c r="B1064" s="31" t="s">
        <v>4796</v>
      </c>
      <c r="C1064" s="31" t="s">
        <v>4797</v>
      </c>
      <c r="D1064" s="31" t="s">
        <v>472</v>
      </c>
      <c r="E1064" s="31" t="s">
        <v>2834</v>
      </c>
      <c r="F1064" s="35">
        <v>45210.0</v>
      </c>
      <c r="G1064" s="35">
        <v>45270.0</v>
      </c>
      <c r="H1064" s="31" t="s">
        <v>453</v>
      </c>
      <c r="I1064" s="31" t="s">
        <v>2835</v>
      </c>
      <c r="J1064" s="31" t="s">
        <v>2836</v>
      </c>
      <c r="K1064" s="31" t="s">
        <v>2837</v>
      </c>
      <c r="L1064" s="31" t="s">
        <v>476</v>
      </c>
      <c r="M1064" s="31" t="s">
        <v>4798</v>
      </c>
      <c r="N1064" s="31" t="s">
        <v>467</v>
      </c>
      <c r="O1064" s="34"/>
      <c r="P1064" s="34"/>
      <c r="Q1064" s="31" t="s">
        <v>307</v>
      </c>
      <c r="R1064" s="32">
        <v>37462.0</v>
      </c>
      <c r="S1064" s="31" t="s">
        <v>4426</v>
      </c>
      <c r="T1064" s="31" t="s">
        <v>705</v>
      </c>
      <c r="U1064" s="31" t="s">
        <v>480</v>
      </c>
      <c r="V1064" s="31" t="s">
        <v>2834</v>
      </c>
      <c r="W1064" s="34"/>
    </row>
    <row r="1065">
      <c r="A1065" s="30">
        <v>1.06</v>
      </c>
      <c r="B1065" s="31" t="s">
        <v>4799</v>
      </c>
      <c r="C1065" s="31" t="s">
        <v>4800</v>
      </c>
      <c r="D1065" s="31" t="s">
        <v>472</v>
      </c>
      <c r="E1065" s="31" t="s">
        <v>2834</v>
      </c>
      <c r="F1065" s="35">
        <v>45210.0</v>
      </c>
      <c r="G1065" s="35">
        <v>45270.0</v>
      </c>
      <c r="H1065" s="31" t="s">
        <v>453</v>
      </c>
      <c r="I1065" s="31" t="s">
        <v>2835</v>
      </c>
      <c r="J1065" s="31" t="s">
        <v>2836</v>
      </c>
      <c r="K1065" s="31" t="s">
        <v>2837</v>
      </c>
      <c r="L1065" s="31" t="s">
        <v>476</v>
      </c>
      <c r="M1065" s="31" t="s">
        <v>4801</v>
      </c>
      <c r="N1065" s="31" t="s">
        <v>467</v>
      </c>
      <c r="O1065" s="34"/>
      <c r="P1065" s="34"/>
      <c r="Q1065" s="31" t="s">
        <v>307</v>
      </c>
      <c r="R1065" s="35">
        <v>37207.0</v>
      </c>
      <c r="S1065" s="31" t="s">
        <v>560</v>
      </c>
      <c r="T1065" s="31" t="s">
        <v>4802</v>
      </c>
      <c r="U1065" s="31" t="s">
        <v>480</v>
      </c>
      <c r="V1065" s="31" t="s">
        <v>2834</v>
      </c>
      <c r="W1065" s="34"/>
    </row>
    <row r="1066">
      <c r="A1066" s="30">
        <v>1.061</v>
      </c>
      <c r="B1066" s="31" t="s">
        <v>4803</v>
      </c>
      <c r="C1066" s="31" t="s">
        <v>4804</v>
      </c>
      <c r="D1066" s="31" t="s">
        <v>553</v>
      </c>
      <c r="E1066" s="31" t="s">
        <v>3603</v>
      </c>
      <c r="F1066" s="32">
        <v>45021.0</v>
      </c>
      <c r="G1066" s="32">
        <v>45082.0</v>
      </c>
      <c r="H1066" s="31" t="s">
        <v>453</v>
      </c>
      <c r="I1066" s="31" t="s">
        <v>454</v>
      </c>
      <c r="J1066" s="31" t="s">
        <v>3604</v>
      </c>
      <c r="K1066" s="31" t="s">
        <v>3605</v>
      </c>
      <c r="L1066" s="31" t="s">
        <v>558</v>
      </c>
      <c r="M1066" s="31" t="s">
        <v>4805</v>
      </c>
      <c r="N1066" s="31" t="s">
        <v>267</v>
      </c>
      <c r="O1066" s="34"/>
      <c r="P1066" s="34"/>
      <c r="Q1066" s="31" t="s">
        <v>307</v>
      </c>
      <c r="R1066" s="32">
        <v>36721.0</v>
      </c>
      <c r="S1066" s="31" t="s">
        <v>502</v>
      </c>
      <c r="T1066" s="31" t="s">
        <v>1127</v>
      </c>
      <c r="U1066" s="31" t="s">
        <v>480</v>
      </c>
      <c r="V1066" s="31" t="s">
        <v>3603</v>
      </c>
      <c r="W1066" s="34"/>
    </row>
    <row r="1067">
      <c r="A1067" s="30">
        <v>1.062</v>
      </c>
      <c r="B1067" s="31" t="s">
        <v>4806</v>
      </c>
      <c r="C1067" s="31" t="s">
        <v>4807</v>
      </c>
      <c r="D1067" s="31" t="s">
        <v>574</v>
      </c>
      <c r="E1067" s="31" t="s">
        <v>3313</v>
      </c>
      <c r="F1067" s="32">
        <v>39678.0</v>
      </c>
      <c r="G1067" s="35">
        <v>39741.0</v>
      </c>
      <c r="H1067" s="31" t="s">
        <v>576</v>
      </c>
      <c r="I1067" s="31" t="s">
        <v>577</v>
      </c>
      <c r="J1067" s="31" t="s">
        <v>3313</v>
      </c>
      <c r="K1067" s="31" t="s">
        <v>3314</v>
      </c>
      <c r="L1067" s="31" t="s">
        <v>579</v>
      </c>
      <c r="M1067" s="31" t="s">
        <v>4808</v>
      </c>
      <c r="N1067" s="31" t="s">
        <v>267</v>
      </c>
      <c r="O1067" s="34"/>
      <c r="P1067" s="31">
        <v>5.0</v>
      </c>
      <c r="Q1067" s="31" t="s">
        <v>307</v>
      </c>
      <c r="R1067" s="32">
        <v>29675.0</v>
      </c>
      <c r="S1067" s="31" t="s">
        <v>531</v>
      </c>
      <c r="T1067" s="31" t="s">
        <v>4809</v>
      </c>
      <c r="U1067" s="31" t="s">
        <v>583</v>
      </c>
      <c r="V1067" s="34"/>
      <c r="W1067" s="34"/>
    </row>
    <row r="1068">
      <c r="A1068" s="30">
        <v>1.063</v>
      </c>
      <c r="B1068" s="31" t="s">
        <v>4810</v>
      </c>
      <c r="C1068" s="31" t="s">
        <v>4811</v>
      </c>
      <c r="D1068" s="31" t="s">
        <v>472</v>
      </c>
      <c r="E1068" s="31" t="s">
        <v>3099</v>
      </c>
      <c r="F1068" s="32">
        <v>43207.0</v>
      </c>
      <c r="G1068" s="32">
        <v>43207.0</v>
      </c>
      <c r="H1068" s="31" t="s">
        <v>2924</v>
      </c>
      <c r="I1068" s="31" t="s">
        <v>75</v>
      </c>
      <c r="J1068" s="31" t="s">
        <v>3100</v>
      </c>
      <c r="K1068" s="31" t="s">
        <v>3101</v>
      </c>
      <c r="L1068" s="31" t="s">
        <v>3088</v>
      </c>
      <c r="M1068" s="31" t="s">
        <v>4812</v>
      </c>
      <c r="N1068" s="31" t="s">
        <v>467</v>
      </c>
      <c r="O1068" s="34"/>
      <c r="P1068" s="34"/>
      <c r="Q1068" s="31" t="s">
        <v>307</v>
      </c>
      <c r="R1068" s="32">
        <v>35331.0</v>
      </c>
      <c r="S1068" s="31" t="s">
        <v>560</v>
      </c>
      <c r="T1068" s="31" t="s">
        <v>503</v>
      </c>
      <c r="U1068" s="31" t="s">
        <v>460</v>
      </c>
      <c r="V1068" s="31" t="s">
        <v>3099</v>
      </c>
      <c r="W1068" s="34"/>
    </row>
    <row r="1069">
      <c r="A1069" s="30">
        <v>1.064</v>
      </c>
      <c r="B1069" s="31" t="s">
        <v>4813</v>
      </c>
      <c r="C1069" s="31" t="s">
        <v>4814</v>
      </c>
      <c r="D1069" s="31" t="s">
        <v>1329</v>
      </c>
      <c r="E1069" s="31" t="s">
        <v>2796</v>
      </c>
      <c r="F1069" s="32">
        <v>40330.0</v>
      </c>
      <c r="G1069" s="32">
        <v>40391.0</v>
      </c>
      <c r="H1069" s="31" t="s">
        <v>2732</v>
      </c>
      <c r="I1069" s="31" t="s">
        <v>2797</v>
      </c>
      <c r="J1069" s="31" t="s">
        <v>2796</v>
      </c>
      <c r="K1069" s="31" t="s">
        <v>2798</v>
      </c>
      <c r="L1069" s="31" t="s">
        <v>1330</v>
      </c>
      <c r="M1069" s="31" t="s">
        <v>4815</v>
      </c>
      <c r="N1069" s="31" t="s">
        <v>467</v>
      </c>
      <c r="O1069" s="31">
        <v>1.0</v>
      </c>
      <c r="P1069" s="31">
        <v>6.0</v>
      </c>
      <c r="Q1069" s="31" t="s">
        <v>307</v>
      </c>
      <c r="R1069" s="32">
        <v>32523.0</v>
      </c>
      <c r="S1069" s="31" t="s">
        <v>1249</v>
      </c>
      <c r="T1069" s="31" t="s">
        <v>4816</v>
      </c>
      <c r="U1069" s="31" t="s">
        <v>2735</v>
      </c>
      <c r="V1069" s="34"/>
      <c r="W1069" s="34"/>
    </row>
    <row r="1070">
      <c r="A1070" s="30">
        <v>1.065</v>
      </c>
      <c r="B1070" s="31" t="s">
        <v>4817</v>
      </c>
      <c r="C1070" s="31" t="s">
        <v>4818</v>
      </c>
      <c r="D1070" s="31" t="s">
        <v>452</v>
      </c>
      <c r="E1070" s="31" t="s">
        <v>3377</v>
      </c>
      <c r="F1070" s="32">
        <v>43255.0</v>
      </c>
      <c r="G1070" s="32">
        <v>43316.0</v>
      </c>
      <c r="H1070" s="31" t="s">
        <v>453</v>
      </c>
      <c r="I1070" s="31" t="s">
        <v>454</v>
      </c>
      <c r="J1070" s="31" t="s">
        <v>3378</v>
      </c>
      <c r="K1070" s="31" t="s">
        <v>3379</v>
      </c>
      <c r="L1070" s="31" t="s">
        <v>456</v>
      </c>
      <c r="M1070" s="31" t="s">
        <v>4819</v>
      </c>
      <c r="N1070" s="31" t="s">
        <v>267</v>
      </c>
      <c r="O1070" s="34"/>
      <c r="P1070" s="34"/>
      <c r="Q1070" s="31" t="s">
        <v>307</v>
      </c>
      <c r="R1070" s="35">
        <v>33905.0</v>
      </c>
      <c r="S1070" s="31" t="s">
        <v>626</v>
      </c>
      <c r="T1070" s="31" t="s">
        <v>686</v>
      </c>
      <c r="U1070" s="31" t="s">
        <v>460</v>
      </c>
      <c r="V1070" s="31" t="s">
        <v>3377</v>
      </c>
      <c r="W1070" s="34"/>
    </row>
    <row r="1071">
      <c r="A1071" s="30">
        <v>1.066</v>
      </c>
      <c r="B1071" s="31" t="s">
        <v>4820</v>
      </c>
      <c r="C1071" s="31" t="s">
        <v>4821</v>
      </c>
      <c r="D1071" s="31" t="s">
        <v>4747</v>
      </c>
      <c r="E1071" s="31" t="s">
        <v>4822</v>
      </c>
      <c r="F1071" s="32">
        <v>43594.0</v>
      </c>
      <c r="G1071" s="32">
        <v>43655.0</v>
      </c>
      <c r="H1071" s="31" t="s">
        <v>453</v>
      </c>
      <c r="I1071" s="31" t="s">
        <v>454</v>
      </c>
      <c r="J1071" s="31" t="s">
        <v>4823</v>
      </c>
      <c r="K1071" s="31" t="s">
        <v>4824</v>
      </c>
      <c r="L1071" s="31" t="s">
        <v>4748</v>
      </c>
      <c r="M1071" s="31" t="s">
        <v>4825</v>
      </c>
      <c r="N1071" s="31" t="s">
        <v>467</v>
      </c>
      <c r="O1071" s="34"/>
      <c r="P1071" s="34"/>
      <c r="Q1071" s="31" t="s">
        <v>307</v>
      </c>
      <c r="R1071" s="32">
        <v>35489.0</v>
      </c>
      <c r="S1071" s="31" t="s">
        <v>468</v>
      </c>
      <c r="T1071" s="31" t="s">
        <v>4337</v>
      </c>
      <c r="U1071" s="31" t="s">
        <v>460</v>
      </c>
      <c r="V1071" s="31" t="s">
        <v>4822</v>
      </c>
      <c r="W1071" s="34"/>
    </row>
    <row r="1072">
      <c r="A1072" s="30">
        <v>1.067</v>
      </c>
      <c r="B1072" s="31" t="s">
        <v>4826</v>
      </c>
      <c r="C1072" s="31" t="s">
        <v>4827</v>
      </c>
      <c r="D1072" s="31" t="s">
        <v>4828</v>
      </c>
      <c r="E1072" s="31" t="s">
        <v>4822</v>
      </c>
      <c r="F1072" s="32">
        <v>40299.0</v>
      </c>
      <c r="G1072" s="32">
        <v>40360.0</v>
      </c>
      <c r="H1072" s="31" t="s">
        <v>453</v>
      </c>
      <c r="I1072" s="31" t="s">
        <v>454</v>
      </c>
      <c r="J1072" s="31" t="s">
        <v>4823</v>
      </c>
      <c r="K1072" s="31" t="s">
        <v>4824</v>
      </c>
      <c r="L1072" s="31" t="s">
        <v>4829</v>
      </c>
      <c r="M1072" s="31" t="s">
        <v>4830</v>
      </c>
      <c r="N1072" s="31" t="s">
        <v>267</v>
      </c>
      <c r="O1072" s="31">
        <v>1.0</v>
      </c>
      <c r="P1072" s="34"/>
      <c r="Q1072" s="31" t="s">
        <v>307</v>
      </c>
      <c r="R1072" s="32">
        <v>31663.0</v>
      </c>
      <c r="S1072" s="31" t="s">
        <v>531</v>
      </c>
      <c r="T1072" s="31" t="s">
        <v>503</v>
      </c>
      <c r="U1072" s="31" t="s">
        <v>460</v>
      </c>
      <c r="V1072" s="31" t="s">
        <v>4822</v>
      </c>
      <c r="W1072" s="34"/>
    </row>
    <row r="1073">
      <c r="A1073" s="30">
        <v>1.068</v>
      </c>
      <c r="B1073" s="31" t="s">
        <v>4831</v>
      </c>
      <c r="C1073" s="31" t="s">
        <v>4832</v>
      </c>
      <c r="D1073" s="31" t="s">
        <v>553</v>
      </c>
      <c r="E1073" s="31" t="s">
        <v>3563</v>
      </c>
      <c r="F1073" s="32">
        <v>44743.0</v>
      </c>
      <c r="G1073" s="32">
        <v>44805.0</v>
      </c>
      <c r="H1073" s="31" t="s">
        <v>453</v>
      </c>
      <c r="I1073" s="31" t="s">
        <v>2835</v>
      </c>
      <c r="J1073" s="31" t="s">
        <v>3564</v>
      </c>
      <c r="K1073" s="31" t="s">
        <v>3565</v>
      </c>
      <c r="L1073" s="31" t="s">
        <v>558</v>
      </c>
      <c r="M1073" s="31" t="s">
        <v>4833</v>
      </c>
      <c r="N1073" s="31" t="s">
        <v>267</v>
      </c>
      <c r="O1073" s="34"/>
      <c r="P1073" s="34"/>
      <c r="Q1073" s="31" t="s">
        <v>581</v>
      </c>
      <c r="R1073" s="32">
        <v>35498.0</v>
      </c>
      <c r="S1073" s="31" t="s">
        <v>4100</v>
      </c>
      <c r="T1073" s="31" t="s">
        <v>744</v>
      </c>
      <c r="U1073" s="31" t="s">
        <v>480</v>
      </c>
      <c r="V1073" s="31" t="s">
        <v>3563</v>
      </c>
      <c r="W1073" s="34"/>
    </row>
    <row r="1074">
      <c r="A1074" s="30">
        <v>1.069</v>
      </c>
      <c r="B1074" s="31" t="s">
        <v>4834</v>
      </c>
      <c r="C1074" s="31" t="s">
        <v>4835</v>
      </c>
      <c r="D1074" s="31" t="s">
        <v>472</v>
      </c>
      <c r="E1074" s="31" t="s">
        <v>4836</v>
      </c>
      <c r="F1074" s="32">
        <v>44691.0</v>
      </c>
      <c r="G1074" s="32">
        <v>44752.0</v>
      </c>
      <c r="H1074" s="31" t="s">
        <v>453</v>
      </c>
      <c r="I1074" s="31" t="s">
        <v>47</v>
      </c>
      <c r="J1074" s="31" t="s">
        <v>4765</v>
      </c>
      <c r="K1074" s="31" t="s">
        <v>4837</v>
      </c>
      <c r="L1074" s="31" t="s">
        <v>476</v>
      </c>
      <c r="M1074" s="31" t="s">
        <v>4838</v>
      </c>
      <c r="N1074" s="31" t="s">
        <v>467</v>
      </c>
      <c r="O1074" s="34"/>
      <c r="P1074" s="34"/>
      <c r="Q1074" s="31" t="s">
        <v>307</v>
      </c>
      <c r="R1074" s="32">
        <v>37172.0</v>
      </c>
      <c r="S1074" s="31" t="s">
        <v>3205</v>
      </c>
      <c r="T1074" s="31" t="s">
        <v>2672</v>
      </c>
      <c r="U1074" s="31" t="s">
        <v>480</v>
      </c>
      <c r="V1074" s="31" t="s">
        <v>4836</v>
      </c>
      <c r="W1074" s="34"/>
    </row>
    <row r="1075">
      <c r="A1075" s="30">
        <v>1.07</v>
      </c>
      <c r="B1075" s="31" t="s">
        <v>4839</v>
      </c>
      <c r="C1075" s="31" t="s">
        <v>4840</v>
      </c>
      <c r="D1075" s="31" t="s">
        <v>472</v>
      </c>
      <c r="E1075" s="31" t="s">
        <v>3419</v>
      </c>
      <c r="F1075" s="32">
        <v>44685.0</v>
      </c>
      <c r="G1075" s="32">
        <v>44746.0</v>
      </c>
      <c r="H1075" s="31" t="s">
        <v>453</v>
      </c>
      <c r="I1075" s="31" t="s">
        <v>454</v>
      </c>
      <c r="J1075" s="31" t="s">
        <v>3188</v>
      </c>
      <c r="K1075" s="31" t="s">
        <v>3420</v>
      </c>
      <c r="L1075" s="31" t="s">
        <v>476</v>
      </c>
      <c r="M1075" s="31" t="s">
        <v>4841</v>
      </c>
      <c r="N1075" s="31" t="s">
        <v>467</v>
      </c>
      <c r="O1075" s="34"/>
      <c r="P1075" s="34"/>
      <c r="Q1075" s="31" t="s">
        <v>307</v>
      </c>
      <c r="R1075" s="32">
        <v>36744.0</v>
      </c>
      <c r="S1075" s="31" t="s">
        <v>560</v>
      </c>
      <c r="T1075" s="31" t="s">
        <v>1604</v>
      </c>
      <c r="U1075" s="31" t="s">
        <v>460</v>
      </c>
      <c r="V1075" s="31" t="s">
        <v>3419</v>
      </c>
      <c r="W1075" s="34"/>
    </row>
    <row r="1076">
      <c r="A1076" s="30">
        <v>1.071</v>
      </c>
      <c r="B1076" s="31" t="s">
        <v>4842</v>
      </c>
      <c r="C1076" s="31" t="s">
        <v>4843</v>
      </c>
      <c r="D1076" s="31" t="s">
        <v>472</v>
      </c>
      <c r="E1076" s="31" t="s">
        <v>4414</v>
      </c>
      <c r="F1076" s="32">
        <v>44685.0</v>
      </c>
      <c r="G1076" s="32">
        <v>44746.0</v>
      </c>
      <c r="H1076" s="31" t="s">
        <v>453</v>
      </c>
      <c r="I1076" s="31" t="s">
        <v>607</v>
      </c>
      <c r="J1076" s="31" t="s">
        <v>4415</v>
      </c>
      <c r="K1076" s="31" t="s">
        <v>4416</v>
      </c>
      <c r="L1076" s="31" t="s">
        <v>476</v>
      </c>
      <c r="M1076" s="31" t="s">
        <v>4844</v>
      </c>
      <c r="N1076" s="31" t="s">
        <v>467</v>
      </c>
      <c r="O1076" s="34"/>
      <c r="P1076" s="34"/>
      <c r="Q1076" s="31" t="s">
        <v>307</v>
      </c>
      <c r="R1076" s="32">
        <v>35537.0</v>
      </c>
      <c r="S1076" s="31" t="s">
        <v>490</v>
      </c>
      <c r="T1076" s="31" t="s">
        <v>503</v>
      </c>
      <c r="U1076" s="31" t="s">
        <v>643</v>
      </c>
      <c r="V1076" s="31" t="s">
        <v>4414</v>
      </c>
      <c r="W1076" s="34"/>
    </row>
    <row r="1077">
      <c r="A1077" s="30">
        <v>1.072</v>
      </c>
      <c r="B1077" s="31" t="s">
        <v>4845</v>
      </c>
      <c r="C1077" s="31" t="s">
        <v>4846</v>
      </c>
      <c r="D1077" s="31" t="s">
        <v>472</v>
      </c>
      <c r="E1077" s="31" t="s">
        <v>4414</v>
      </c>
      <c r="F1077" s="32">
        <v>44685.0</v>
      </c>
      <c r="G1077" s="32">
        <v>44746.0</v>
      </c>
      <c r="H1077" s="31" t="s">
        <v>453</v>
      </c>
      <c r="I1077" s="31" t="s">
        <v>607</v>
      </c>
      <c r="J1077" s="31" t="s">
        <v>4415</v>
      </c>
      <c r="K1077" s="31" t="s">
        <v>4416</v>
      </c>
      <c r="L1077" s="31" t="s">
        <v>476</v>
      </c>
      <c r="M1077" s="31" t="s">
        <v>4847</v>
      </c>
      <c r="N1077" s="31" t="s">
        <v>467</v>
      </c>
      <c r="O1077" s="34"/>
      <c r="P1077" s="34"/>
      <c r="Q1077" s="31" t="s">
        <v>307</v>
      </c>
      <c r="R1077" s="32">
        <v>36017.0</v>
      </c>
      <c r="S1077" s="31" t="s">
        <v>560</v>
      </c>
      <c r="T1077" s="31" t="s">
        <v>3748</v>
      </c>
      <c r="U1077" s="31" t="s">
        <v>643</v>
      </c>
      <c r="V1077" s="31" t="s">
        <v>4414</v>
      </c>
      <c r="W1077" s="34"/>
    </row>
    <row r="1078">
      <c r="A1078" s="30">
        <v>1.073</v>
      </c>
      <c r="B1078" s="31" t="s">
        <v>4848</v>
      </c>
      <c r="C1078" s="31" t="s">
        <v>4849</v>
      </c>
      <c r="D1078" s="31" t="s">
        <v>472</v>
      </c>
      <c r="E1078" s="31" t="s">
        <v>4822</v>
      </c>
      <c r="F1078" s="32">
        <v>44504.0</v>
      </c>
      <c r="G1078" s="32">
        <v>44565.0</v>
      </c>
      <c r="H1078" s="31" t="s">
        <v>453</v>
      </c>
      <c r="I1078" s="31" t="s">
        <v>454</v>
      </c>
      <c r="J1078" s="31" t="s">
        <v>4823</v>
      </c>
      <c r="K1078" s="31" t="s">
        <v>4824</v>
      </c>
      <c r="L1078" s="31" t="s">
        <v>476</v>
      </c>
      <c r="M1078" s="31" t="s">
        <v>4850</v>
      </c>
      <c r="N1078" s="31" t="s">
        <v>267</v>
      </c>
      <c r="O1078" s="34"/>
      <c r="P1078" s="34"/>
      <c r="Q1078" s="31" t="s">
        <v>307</v>
      </c>
      <c r="R1078" s="32">
        <v>36861.0</v>
      </c>
      <c r="S1078" s="31" t="s">
        <v>560</v>
      </c>
      <c r="T1078" s="31" t="s">
        <v>2672</v>
      </c>
      <c r="U1078" s="31" t="s">
        <v>460</v>
      </c>
      <c r="V1078" s="31" t="s">
        <v>4822</v>
      </c>
      <c r="W1078" s="34"/>
    </row>
    <row r="1079">
      <c r="A1079" s="30">
        <v>1.074</v>
      </c>
      <c r="B1079" s="31" t="s">
        <v>4851</v>
      </c>
      <c r="C1079" s="31" t="s">
        <v>4165</v>
      </c>
      <c r="D1079" s="31" t="s">
        <v>472</v>
      </c>
      <c r="E1079" s="31" t="s">
        <v>4414</v>
      </c>
      <c r="F1079" s="32">
        <v>44452.0</v>
      </c>
      <c r="G1079" s="35">
        <v>44513.0</v>
      </c>
      <c r="H1079" s="31" t="s">
        <v>453</v>
      </c>
      <c r="I1079" s="31" t="s">
        <v>607</v>
      </c>
      <c r="J1079" s="31" t="s">
        <v>4415</v>
      </c>
      <c r="K1079" s="31" t="s">
        <v>4416</v>
      </c>
      <c r="L1079" s="31" t="s">
        <v>476</v>
      </c>
      <c r="M1079" s="31" t="s">
        <v>4852</v>
      </c>
      <c r="N1079" s="31" t="s">
        <v>467</v>
      </c>
      <c r="O1079" s="34"/>
      <c r="P1079" s="34"/>
      <c r="Q1079" s="31" t="s">
        <v>307</v>
      </c>
      <c r="R1079" s="32">
        <v>36718.0</v>
      </c>
      <c r="S1079" s="31" t="s">
        <v>560</v>
      </c>
      <c r="T1079" s="31" t="s">
        <v>1370</v>
      </c>
      <c r="U1079" s="31" t="s">
        <v>643</v>
      </c>
      <c r="V1079" s="31" t="s">
        <v>4414</v>
      </c>
      <c r="W1079" s="34"/>
    </row>
    <row r="1080">
      <c r="A1080" s="30">
        <v>1.075</v>
      </c>
      <c r="B1080" s="31" t="s">
        <v>4853</v>
      </c>
      <c r="C1080" s="31" t="s">
        <v>4854</v>
      </c>
      <c r="D1080" s="31" t="s">
        <v>472</v>
      </c>
      <c r="E1080" s="31" t="s">
        <v>4855</v>
      </c>
      <c r="F1080" s="32">
        <v>44452.0</v>
      </c>
      <c r="G1080" s="35">
        <v>44513.0</v>
      </c>
      <c r="H1080" s="31" t="s">
        <v>453</v>
      </c>
      <c r="I1080" s="31" t="s">
        <v>607</v>
      </c>
      <c r="J1080" s="31" t="s">
        <v>4856</v>
      </c>
      <c r="K1080" s="31" t="s">
        <v>4857</v>
      </c>
      <c r="L1080" s="31" t="s">
        <v>476</v>
      </c>
      <c r="M1080" s="31" t="s">
        <v>4858</v>
      </c>
      <c r="N1080" s="31" t="s">
        <v>467</v>
      </c>
      <c r="O1080" s="34"/>
      <c r="P1080" s="34"/>
      <c r="Q1080" s="31" t="s">
        <v>307</v>
      </c>
      <c r="R1080" s="32">
        <v>36281.0</v>
      </c>
      <c r="S1080" s="31" t="s">
        <v>560</v>
      </c>
      <c r="T1080" s="31" t="s">
        <v>503</v>
      </c>
      <c r="U1080" s="31" t="s">
        <v>480</v>
      </c>
      <c r="V1080" s="31" t="s">
        <v>4855</v>
      </c>
      <c r="W1080" s="34"/>
    </row>
    <row r="1081">
      <c r="A1081" s="30">
        <v>1.076</v>
      </c>
      <c r="B1081" s="31" t="s">
        <v>4859</v>
      </c>
      <c r="C1081" s="31" t="s">
        <v>4165</v>
      </c>
      <c r="D1081" s="31" t="s">
        <v>472</v>
      </c>
      <c r="E1081" s="31" t="s">
        <v>3419</v>
      </c>
      <c r="F1081" s="32">
        <v>44445.0</v>
      </c>
      <c r="G1081" s="32">
        <v>44506.0</v>
      </c>
      <c r="H1081" s="31" t="s">
        <v>453</v>
      </c>
      <c r="I1081" s="31" t="s">
        <v>454</v>
      </c>
      <c r="J1081" s="31" t="s">
        <v>3188</v>
      </c>
      <c r="K1081" s="31" t="s">
        <v>3420</v>
      </c>
      <c r="L1081" s="31" t="s">
        <v>476</v>
      </c>
      <c r="M1081" s="31" t="s">
        <v>4860</v>
      </c>
      <c r="N1081" s="31" t="s">
        <v>467</v>
      </c>
      <c r="O1081" s="34"/>
      <c r="P1081" s="34"/>
      <c r="Q1081" s="31" t="s">
        <v>307</v>
      </c>
      <c r="R1081" s="32">
        <v>34857.0</v>
      </c>
      <c r="S1081" s="31" t="s">
        <v>4861</v>
      </c>
      <c r="T1081" s="31" t="s">
        <v>496</v>
      </c>
      <c r="U1081" s="31" t="s">
        <v>460</v>
      </c>
      <c r="V1081" s="31" t="s">
        <v>3419</v>
      </c>
      <c r="W1081" s="34"/>
    </row>
    <row r="1082">
      <c r="A1082" s="30">
        <v>1.077</v>
      </c>
      <c r="B1082" s="31" t="s">
        <v>4862</v>
      </c>
      <c r="C1082" s="31" t="s">
        <v>4863</v>
      </c>
      <c r="D1082" s="31" t="s">
        <v>472</v>
      </c>
      <c r="E1082" s="31" t="s">
        <v>4864</v>
      </c>
      <c r="F1082" s="32">
        <v>44433.0</v>
      </c>
      <c r="G1082" s="35">
        <v>44494.0</v>
      </c>
      <c r="H1082" s="31" t="s">
        <v>453</v>
      </c>
      <c r="I1082" s="31" t="s">
        <v>47</v>
      </c>
      <c r="J1082" s="31" t="s">
        <v>4502</v>
      </c>
      <c r="K1082" s="31" t="s">
        <v>4865</v>
      </c>
      <c r="L1082" s="31" t="s">
        <v>476</v>
      </c>
      <c r="M1082" s="31" t="s">
        <v>4866</v>
      </c>
      <c r="N1082" s="31" t="s">
        <v>467</v>
      </c>
      <c r="O1082" s="34"/>
      <c r="P1082" s="34"/>
      <c r="Q1082" s="31" t="s">
        <v>307</v>
      </c>
      <c r="R1082" s="32">
        <v>36503.0</v>
      </c>
      <c r="S1082" s="31" t="s">
        <v>560</v>
      </c>
      <c r="T1082" s="31" t="s">
        <v>491</v>
      </c>
      <c r="U1082" s="31" t="s">
        <v>480</v>
      </c>
      <c r="V1082" s="31" t="s">
        <v>4864</v>
      </c>
      <c r="W1082" s="34"/>
    </row>
    <row r="1083">
      <c r="A1083" s="30">
        <v>1.078</v>
      </c>
      <c r="B1083" s="31" t="s">
        <v>4867</v>
      </c>
      <c r="C1083" s="31" t="s">
        <v>4868</v>
      </c>
      <c r="D1083" s="31" t="s">
        <v>472</v>
      </c>
      <c r="E1083" s="31" t="s">
        <v>4869</v>
      </c>
      <c r="F1083" s="32">
        <v>44424.0</v>
      </c>
      <c r="G1083" s="35">
        <v>44485.0</v>
      </c>
      <c r="H1083" s="31" t="s">
        <v>453</v>
      </c>
      <c r="I1083" s="31" t="s">
        <v>47</v>
      </c>
      <c r="J1083" s="31" t="s">
        <v>3397</v>
      </c>
      <c r="K1083" s="31" t="s">
        <v>4870</v>
      </c>
      <c r="L1083" s="31" t="s">
        <v>476</v>
      </c>
      <c r="M1083" s="31" t="s">
        <v>4871</v>
      </c>
      <c r="N1083" s="31" t="s">
        <v>467</v>
      </c>
      <c r="O1083" s="34"/>
      <c r="P1083" s="34"/>
      <c r="Q1083" s="31" t="s">
        <v>307</v>
      </c>
      <c r="R1083" s="35">
        <v>36461.0</v>
      </c>
      <c r="S1083" s="31" t="s">
        <v>560</v>
      </c>
      <c r="T1083" s="31" t="s">
        <v>503</v>
      </c>
      <c r="U1083" s="31" t="s">
        <v>480</v>
      </c>
      <c r="V1083" s="31" t="s">
        <v>4869</v>
      </c>
      <c r="W1083" s="34"/>
    </row>
    <row r="1084">
      <c r="A1084" s="30">
        <v>1.079</v>
      </c>
      <c r="B1084" s="31" t="s">
        <v>4872</v>
      </c>
      <c r="C1084" s="31" t="s">
        <v>4873</v>
      </c>
      <c r="D1084" s="31" t="s">
        <v>553</v>
      </c>
      <c r="E1084" s="31" t="s">
        <v>2902</v>
      </c>
      <c r="F1084" s="32">
        <v>44424.0</v>
      </c>
      <c r="G1084" s="35">
        <v>44485.0</v>
      </c>
      <c r="H1084" s="31" t="s">
        <v>453</v>
      </c>
      <c r="I1084" s="31" t="s">
        <v>454</v>
      </c>
      <c r="J1084" s="31" t="s">
        <v>2903</v>
      </c>
      <c r="K1084" s="31" t="s">
        <v>2904</v>
      </c>
      <c r="L1084" s="31" t="s">
        <v>558</v>
      </c>
      <c r="M1084" s="31" t="s">
        <v>4874</v>
      </c>
      <c r="N1084" s="31" t="s">
        <v>267</v>
      </c>
      <c r="O1084" s="34"/>
      <c r="P1084" s="34"/>
      <c r="Q1084" s="31" t="s">
        <v>307</v>
      </c>
      <c r="R1084" s="32">
        <v>35556.0</v>
      </c>
      <c r="S1084" s="31" t="s">
        <v>1622</v>
      </c>
      <c r="T1084" s="31" t="s">
        <v>3748</v>
      </c>
      <c r="U1084" s="31" t="s">
        <v>480</v>
      </c>
      <c r="V1084" s="31" t="s">
        <v>2902</v>
      </c>
      <c r="W1084" s="34"/>
    </row>
    <row r="1085">
      <c r="A1085" s="30">
        <v>1.08</v>
      </c>
      <c r="B1085" s="31" t="s">
        <v>4875</v>
      </c>
      <c r="C1085" s="31" t="s">
        <v>4876</v>
      </c>
      <c r="D1085" s="31" t="s">
        <v>472</v>
      </c>
      <c r="E1085" s="31" t="s">
        <v>3419</v>
      </c>
      <c r="F1085" s="35">
        <v>43815.0</v>
      </c>
      <c r="G1085" s="32">
        <v>43877.0</v>
      </c>
      <c r="H1085" s="31" t="s">
        <v>453</v>
      </c>
      <c r="I1085" s="31" t="s">
        <v>454</v>
      </c>
      <c r="J1085" s="31" t="s">
        <v>3188</v>
      </c>
      <c r="K1085" s="31" t="s">
        <v>3420</v>
      </c>
      <c r="L1085" s="31" t="s">
        <v>476</v>
      </c>
      <c r="M1085" s="31" t="s">
        <v>4877</v>
      </c>
      <c r="N1085" s="31" t="s">
        <v>467</v>
      </c>
      <c r="O1085" s="34"/>
      <c r="P1085" s="34"/>
      <c r="Q1085" s="31" t="s">
        <v>307</v>
      </c>
      <c r="R1085" s="35">
        <v>35033.0</v>
      </c>
      <c r="S1085" s="31" t="s">
        <v>4878</v>
      </c>
      <c r="T1085" s="31" t="s">
        <v>4435</v>
      </c>
      <c r="U1085" s="31" t="s">
        <v>460</v>
      </c>
      <c r="V1085" s="31" t="s">
        <v>3419</v>
      </c>
      <c r="W1085" s="34"/>
    </row>
    <row r="1086">
      <c r="A1086" s="30">
        <v>1.081</v>
      </c>
      <c r="B1086" s="31" t="s">
        <v>4879</v>
      </c>
      <c r="C1086" s="31" t="s">
        <v>4880</v>
      </c>
      <c r="D1086" s="31" t="s">
        <v>4394</v>
      </c>
      <c r="E1086" s="31" t="s">
        <v>39</v>
      </c>
      <c r="F1086" s="32">
        <v>42768.0</v>
      </c>
      <c r="G1086" s="32">
        <v>42827.0</v>
      </c>
      <c r="H1086" s="31" t="s">
        <v>453</v>
      </c>
      <c r="I1086" s="31" t="s">
        <v>39</v>
      </c>
      <c r="J1086" s="34"/>
      <c r="K1086" s="31" t="s">
        <v>4881</v>
      </c>
      <c r="L1086" s="31" t="s">
        <v>4396</v>
      </c>
      <c r="M1086" s="31" t="s">
        <v>4882</v>
      </c>
      <c r="N1086" s="31" t="s">
        <v>267</v>
      </c>
      <c r="O1086" s="34"/>
      <c r="P1086" s="34"/>
      <c r="Q1086" s="31" t="s">
        <v>307</v>
      </c>
      <c r="R1086" s="32">
        <v>34706.0</v>
      </c>
      <c r="S1086" s="31" t="s">
        <v>4883</v>
      </c>
      <c r="T1086" s="31" t="s">
        <v>744</v>
      </c>
      <c r="U1086" s="31" t="s">
        <v>480</v>
      </c>
      <c r="V1086" s="34"/>
      <c r="W1086" s="34"/>
    </row>
    <row r="1087">
      <c r="A1087" s="30">
        <v>1.082</v>
      </c>
      <c r="B1087" s="31" t="s">
        <v>4884</v>
      </c>
      <c r="C1087" s="31" t="s">
        <v>4885</v>
      </c>
      <c r="D1087" s="31" t="s">
        <v>4747</v>
      </c>
      <c r="E1087" s="31" t="s">
        <v>2651</v>
      </c>
      <c r="F1087" s="32">
        <v>42961.0</v>
      </c>
      <c r="G1087" s="35">
        <v>43022.0</v>
      </c>
      <c r="H1087" s="31" t="s">
        <v>453</v>
      </c>
      <c r="I1087" s="31" t="s">
        <v>566</v>
      </c>
      <c r="J1087" s="31" t="s">
        <v>567</v>
      </c>
      <c r="K1087" s="31" t="s">
        <v>2652</v>
      </c>
      <c r="L1087" s="31" t="s">
        <v>4748</v>
      </c>
      <c r="M1087" s="31" t="s">
        <v>4886</v>
      </c>
      <c r="N1087" s="31" t="s">
        <v>467</v>
      </c>
      <c r="O1087" s="34"/>
      <c r="P1087" s="34"/>
      <c r="Q1087" s="31" t="s">
        <v>307</v>
      </c>
      <c r="R1087" s="35">
        <v>34697.0</v>
      </c>
      <c r="S1087" s="31" t="s">
        <v>4887</v>
      </c>
      <c r="T1087" s="31" t="s">
        <v>4888</v>
      </c>
      <c r="U1087" s="31" t="s">
        <v>480</v>
      </c>
      <c r="V1087" s="31" t="s">
        <v>2651</v>
      </c>
      <c r="W1087" s="34"/>
    </row>
    <row r="1088">
      <c r="A1088" s="30">
        <v>1.083</v>
      </c>
      <c r="B1088" s="31" t="s">
        <v>4889</v>
      </c>
      <c r="C1088" s="31" t="s">
        <v>4890</v>
      </c>
      <c r="D1088" s="31" t="s">
        <v>472</v>
      </c>
      <c r="E1088" s="31" t="s">
        <v>4414</v>
      </c>
      <c r="F1088" s="35">
        <v>40893.0</v>
      </c>
      <c r="G1088" s="32">
        <v>40955.0</v>
      </c>
      <c r="H1088" s="31" t="s">
        <v>453</v>
      </c>
      <c r="I1088" s="31" t="s">
        <v>607</v>
      </c>
      <c r="J1088" s="31" t="s">
        <v>4415</v>
      </c>
      <c r="K1088" s="31" t="s">
        <v>4416</v>
      </c>
      <c r="L1088" s="31" t="s">
        <v>476</v>
      </c>
      <c r="M1088" s="31" t="s">
        <v>4891</v>
      </c>
      <c r="N1088" s="31" t="s">
        <v>467</v>
      </c>
      <c r="O1088" s="34"/>
      <c r="P1088" s="34"/>
      <c r="Q1088" s="31" t="s">
        <v>307</v>
      </c>
      <c r="R1088" s="32">
        <v>28881.0</v>
      </c>
      <c r="S1088" s="31" t="s">
        <v>4675</v>
      </c>
      <c r="T1088" s="31" t="s">
        <v>4892</v>
      </c>
      <c r="U1088" s="31" t="s">
        <v>643</v>
      </c>
      <c r="V1088" s="31" t="s">
        <v>4414</v>
      </c>
      <c r="W1088" s="34"/>
    </row>
    <row r="1089">
      <c r="A1089" s="30">
        <v>1.084</v>
      </c>
      <c r="B1089" s="31" t="s">
        <v>4893</v>
      </c>
      <c r="C1089" s="31" t="s">
        <v>4894</v>
      </c>
      <c r="D1089" s="31" t="s">
        <v>463</v>
      </c>
      <c r="E1089" s="31" t="s">
        <v>4895</v>
      </c>
      <c r="F1089" s="32">
        <v>43591.0</v>
      </c>
      <c r="G1089" s="32">
        <v>43652.0</v>
      </c>
      <c r="H1089" s="31" t="s">
        <v>453</v>
      </c>
      <c r="I1089" s="31" t="s">
        <v>454</v>
      </c>
      <c r="J1089" s="31" t="s">
        <v>4823</v>
      </c>
      <c r="K1089" s="31" t="s">
        <v>4896</v>
      </c>
      <c r="L1089" s="31" t="s">
        <v>465</v>
      </c>
      <c r="M1089" s="31" t="s">
        <v>4897</v>
      </c>
      <c r="N1089" s="31" t="s">
        <v>467</v>
      </c>
      <c r="O1089" s="31">
        <v>2.0</v>
      </c>
      <c r="P1089" s="34"/>
      <c r="Q1089" s="31" t="s">
        <v>307</v>
      </c>
      <c r="R1089" s="32">
        <v>31907.0</v>
      </c>
      <c r="S1089" s="31" t="s">
        <v>560</v>
      </c>
      <c r="T1089" s="31" t="s">
        <v>503</v>
      </c>
      <c r="U1089" s="31" t="s">
        <v>460</v>
      </c>
      <c r="V1089" s="31" t="s">
        <v>4895</v>
      </c>
      <c r="W1089" s="34"/>
    </row>
    <row r="1090">
      <c r="A1090" s="30">
        <v>1.085</v>
      </c>
      <c r="B1090" s="31" t="s">
        <v>4898</v>
      </c>
      <c r="C1090" s="31" t="s">
        <v>4899</v>
      </c>
      <c r="D1090" s="31" t="s">
        <v>4747</v>
      </c>
      <c r="E1090" s="31" t="s">
        <v>2893</v>
      </c>
      <c r="F1090" s="32">
        <v>42826.0</v>
      </c>
      <c r="G1090" s="32">
        <v>42887.0</v>
      </c>
      <c r="H1090" s="31" t="s">
        <v>453</v>
      </c>
      <c r="I1090" s="31" t="s">
        <v>566</v>
      </c>
      <c r="J1090" s="31" t="s">
        <v>2888</v>
      </c>
      <c r="K1090" s="31" t="s">
        <v>2894</v>
      </c>
      <c r="L1090" s="31" t="s">
        <v>4748</v>
      </c>
      <c r="M1090" s="31" t="s">
        <v>4900</v>
      </c>
      <c r="N1090" s="31" t="s">
        <v>467</v>
      </c>
      <c r="O1090" s="34"/>
      <c r="P1090" s="34"/>
      <c r="Q1090" s="31" t="s">
        <v>307</v>
      </c>
      <c r="R1090" s="32">
        <v>33154.0</v>
      </c>
      <c r="S1090" s="31" t="s">
        <v>560</v>
      </c>
      <c r="T1090" s="31" t="s">
        <v>4337</v>
      </c>
      <c r="U1090" s="31" t="s">
        <v>480</v>
      </c>
      <c r="V1090" s="31" t="s">
        <v>2893</v>
      </c>
      <c r="W1090" s="34"/>
    </row>
    <row r="1091">
      <c r="A1091" s="30">
        <v>1.086</v>
      </c>
      <c r="B1091" s="31" t="s">
        <v>4901</v>
      </c>
      <c r="C1091" s="31" t="s">
        <v>4902</v>
      </c>
      <c r="D1091" s="31" t="s">
        <v>4828</v>
      </c>
      <c r="E1091" s="31" t="s">
        <v>2675</v>
      </c>
      <c r="F1091" s="32">
        <v>43773.0</v>
      </c>
      <c r="G1091" s="32">
        <v>43834.0</v>
      </c>
      <c r="H1091" s="31" t="s">
        <v>453</v>
      </c>
      <c r="I1091" s="31" t="s">
        <v>454</v>
      </c>
      <c r="J1091" s="31" t="s">
        <v>2676</v>
      </c>
      <c r="K1091" s="31" t="s">
        <v>2677</v>
      </c>
      <c r="L1091" s="31" t="s">
        <v>4829</v>
      </c>
      <c r="M1091" s="31" t="s">
        <v>4903</v>
      </c>
      <c r="N1091" s="31" t="s">
        <v>267</v>
      </c>
      <c r="O1091" s="31">
        <v>1.0</v>
      </c>
      <c r="P1091" s="34"/>
      <c r="Q1091" s="31" t="s">
        <v>307</v>
      </c>
      <c r="R1091" s="32">
        <v>34560.0</v>
      </c>
      <c r="S1091" s="31" t="s">
        <v>560</v>
      </c>
      <c r="T1091" s="31" t="s">
        <v>1156</v>
      </c>
      <c r="U1091" s="31" t="s">
        <v>480</v>
      </c>
      <c r="V1091" s="31" t="s">
        <v>2675</v>
      </c>
      <c r="W1091" s="34"/>
    </row>
    <row r="1092">
      <c r="A1092" s="30">
        <v>1.087</v>
      </c>
      <c r="B1092" s="31" t="s">
        <v>4904</v>
      </c>
      <c r="C1092" s="31" t="s">
        <v>4905</v>
      </c>
      <c r="D1092" s="31" t="s">
        <v>472</v>
      </c>
      <c r="E1092" s="31" t="s">
        <v>4379</v>
      </c>
      <c r="F1092" s="32">
        <v>43277.0</v>
      </c>
      <c r="G1092" s="32">
        <v>43277.0</v>
      </c>
      <c r="H1092" s="31" t="s">
        <v>453</v>
      </c>
      <c r="I1092" s="31" t="s">
        <v>607</v>
      </c>
      <c r="J1092" s="31" t="s">
        <v>4380</v>
      </c>
      <c r="K1092" s="31" t="s">
        <v>4381</v>
      </c>
      <c r="L1092" s="31" t="s">
        <v>476</v>
      </c>
      <c r="M1092" s="31" t="s">
        <v>4906</v>
      </c>
      <c r="N1092" s="31" t="s">
        <v>467</v>
      </c>
      <c r="O1092" s="34"/>
      <c r="P1092" s="34"/>
      <c r="Q1092" s="31" t="s">
        <v>307</v>
      </c>
      <c r="R1092" s="35">
        <v>35015.0</v>
      </c>
      <c r="S1092" s="31" t="s">
        <v>468</v>
      </c>
      <c r="T1092" s="31" t="s">
        <v>496</v>
      </c>
      <c r="U1092" s="31" t="s">
        <v>643</v>
      </c>
      <c r="V1092" s="31" t="s">
        <v>4379</v>
      </c>
      <c r="W1092" s="34"/>
    </row>
    <row r="1093">
      <c r="A1093" s="30">
        <v>1.088</v>
      </c>
      <c r="B1093" s="31" t="s">
        <v>4907</v>
      </c>
      <c r="C1093" s="31" t="s">
        <v>4908</v>
      </c>
      <c r="D1093" s="31" t="s">
        <v>4909</v>
      </c>
      <c r="E1093" s="31" t="s">
        <v>4414</v>
      </c>
      <c r="F1093" s="32">
        <v>43718.0</v>
      </c>
      <c r="G1093" s="35">
        <v>43779.0</v>
      </c>
      <c r="H1093" s="31" t="s">
        <v>453</v>
      </c>
      <c r="I1093" s="31" t="s">
        <v>607</v>
      </c>
      <c r="J1093" s="31" t="s">
        <v>4415</v>
      </c>
      <c r="K1093" s="31" t="s">
        <v>4416</v>
      </c>
      <c r="L1093" s="31" t="s">
        <v>4910</v>
      </c>
      <c r="M1093" s="31" t="s">
        <v>4911</v>
      </c>
      <c r="N1093" s="31" t="s">
        <v>467</v>
      </c>
      <c r="O1093" s="34"/>
      <c r="P1093" s="34"/>
      <c r="Q1093" s="31" t="s">
        <v>307</v>
      </c>
      <c r="R1093" s="32">
        <v>36032.0</v>
      </c>
      <c r="S1093" s="31" t="s">
        <v>468</v>
      </c>
      <c r="T1093" s="31" t="s">
        <v>1370</v>
      </c>
      <c r="U1093" s="31" t="s">
        <v>643</v>
      </c>
      <c r="V1093" s="31" t="s">
        <v>4414</v>
      </c>
      <c r="W1093" s="34"/>
    </row>
    <row r="1094">
      <c r="A1094" s="30">
        <v>1.089</v>
      </c>
      <c r="B1094" s="31" t="s">
        <v>4912</v>
      </c>
      <c r="C1094" s="31" t="s">
        <v>4913</v>
      </c>
      <c r="D1094" s="31" t="s">
        <v>472</v>
      </c>
      <c r="E1094" s="31" t="s">
        <v>4414</v>
      </c>
      <c r="F1094" s="32">
        <v>44060.0</v>
      </c>
      <c r="G1094" s="35">
        <v>44121.0</v>
      </c>
      <c r="H1094" s="31" t="s">
        <v>453</v>
      </c>
      <c r="I1094" s="31" t="s">
        <v>607</v>
      </c>
      <c r="J1094" s="31" t="s">
        <v>4415</v>
      </c>
      <c r="K1094" s="31" t="s">
        <v>4416</v>
      </c>
      <c r="L1094" s="31" t="s">
        <v>476</v>
      </c>
      <c r="M1094" s="31" t="s">
        <v>4914</v>
      </c>
      <c r="N1094" s="31" t="s">
        <v>467</v>
      </c>
      <c r="O1094" s="34"/>
      <c r="P1094" s="34"/>
      <c r="Q1094" s="31" t="s">
        <v>307</v>
      </c>
      <c r="R1094" s="32">
        <v>36389.0</v>
      </c>
      <c r="S1094" s="31" t="s">
        <v>560</v>
      </c>
      <c r="T1094" s="31" t="s">
        <v>479</v>
      </c>
      <c r="U1094" s="31" t="s">
        <v>643</v>
      </c>
      <c r="V1094" s="31" t="s">
        <v>4414</v>
      </c>
      <c r="W1094" s="34"/>
    </row>
    <row r="1095">
      <c r="A1095" s="30">
        <v>1.09</v>
      </c>
      <c r="B1095" s="31" t="s">
        <v>4915</v>
      </c>
      <c r="C1095" s="31" t="s">
        <v>4916</v>
      </c>
      <c r="D1095" s="31" t="s">
        <v>4747</v>
      </c>
      <c r="E1095" s="31" t="s">
        <v>4917</v>
      </c>
      <c r="F1095" s="32">
        <v>40031.0</v>
      </c>
      <c r="G1095" s="32">
        <v>40092.0</v>
      </c>
      <c r="H1095" s="31" t="s">
        <v>453</v>
      </c>
      <c r="I1095" s="31" t="s">
        <v>454</v>
      </c>
      <c r="J1095" s="31" t="s">
        <v>4917</v>
      </c>
      <c r="K1095" s="31" t="s">
        <v>4918</v>
      </c>
      <c r="L1095" s="31" t="s">
        <v>4748</v>
      </c>
      <c r="M1095" s="31" t="s">
        <v>4919</v>
      </c>
      <c r="N1095" s="31" t="s">
        <v>467</v>
      </c>
      <c r="O1095" s="34"/>
      <c r="P1095" s="34"/>
      <c r="Q1095" s="31" t="s">
        <v>307</v>
      </c>
      <c r="R1095" s="35">
        <v>31732.0</v>
      </c>
      <c r="S1095" s="31" t="s">
        <v>560</v>
      </c>
      <c r="T1095" s="31" t="s">
        <v>496</v>
      </c>
      <c r="U1095" s="31" t="s">
        <v>480</v>
      </c>
      <c r="V1095" s="34"/>
      <c r="W1095" s="34"/>
    </row>
    <row r="1096">
      <c r="A1096" s="30">
        <v>1.091</v>
      </c>
      <c r="B1096" s="31" t="s">
        <v>4920</v>
      </c>
      <c r="C1096" s="31" t="s">
        <v>4921</v>
      </c>
      <c r="D1096" s="31" t="s">
        <v>4747</v>
      </c>
      <c r="E1096" s="31" t="s">
        <v>2893</v>
      </c>
      <c r="F1096" s="32">
        <v>43290.0</v>
      </c>
      <c r="G1096" s="32">
        <v>43352.0</v>
      </c>
      <c r="H1096" s="31" t="s">
        <v>453</v>
      </c>
      <c r="I1096" s="31" t="s">
        <v>566</v>
      </c>
      <c r="J1096" s="31" t="s">
        <v>2888</v>
      </c>
      <c r="K1096" s="31" t="s">
        <v>2894</v>
      </c>
      <c r="L1096" s="31" t="s">
        <v>4748</v>
      </c>
      <c r="M1096" s="31" t="s">
        <v>4922</v>
      </c>
      <c r="N1096" s="31" t="s">
        <v>467</v>
      </c>
      <c r="O1096" s="34"/>
      <c r="P1096" s="34"/>
      <c r="Q1096" s="31" t="s">
        <v>307</v>
      </c>
      <c r="R1096" s="35">
        <v>33188.0</v>
      </c>
      <c r="S1096" s="31" t="s">
        <v>560</v>
      </c>
      <c r="T1096" s="31" t="s">
        <v>4923</v>
      </c>
      <c r="U1096" s="31" t="s">
        <v>480</v>
      </c>
      <c r="V1096" s="31" t="s">
        <v>2893</v>
      </c>
      <c r="W1096" s="34"/>
    </row>
    <row r="1097">
      <c r="A1097" s="30">
        <v>1.092</v>
      </c>
      <c r="B1097" s="31" t="s">
        <v>4924</v>
      </c>
      <c r="C1097" s="31" t="s">
        <v>4925</v>
      </c>
      <c r="D1097" s="31" t="s">
        <v>472</v>
      </c>
      <c r="E1097" s="31" t="s">
        <v>4926</v>
      </c>
      <c r="F1097" s="32">
        <v>43986.0</v>
      </c>
      <c r="G1097" s="32">
        <v>44047.0</v>
      </c>
      <c r="H1097" s="31" t="s">
        <v>453</v>
      </c>
      <c r="I1097" s="31" t="s">
        <v>607</v>
      </c>
      <c r="J1097" s="31" t="s">
        <v>4927</v>
      </c>
      <c r="K1097" s="31" t="s">
        <v>4928</v>
      </c>
      <c r="L1097" s="31" t="s">
        <v>476</v>
      </c>
      <c r="M1097" s="31" t="s">
        <v>4929</v>
      </c>
      <c r="N1097" s="31" t="s">
        <v>467</v>
      </c>
      <c r="O1097" s="34"/>
      <c r="P1097" s="34"/>
      <c r="Q1097" s="31" t="s">
        <v>307</v>
      </c>
      <c r="R1097" s="32">
        <v>35437.0</v>
      </c>
      <c r="S1097" s="31" t="s">
        <v>560</v>
      </c>
      <c r="T1097" s="31" t="s">
        <v>496</v>
      </c>
      <c r="U1097" s="31" t="s">
        <v>643</v>
      </c>
      <c r="V1097" s="31" t="s">
        <v>4926</v>
      </c>
      <c r="W1097" s="34"/>
    </row>
    <row r="1098">
      <c r="A1098" s="30">
        <v>1.093</v>
      </c>
      <c r="B1098" s="31" t="s">
        <v>4930</v>
      </c>
      <c r="C1098" s="31" t="s">
        <v>4931</v>
      </c>
      <c r="D1098" s="31" t="s">
        <v>463</v>
      </c>
      <c r="E1098" s="31" t="s">
        <v>3292</v>
      </c>
      <c r="F1098" s="32">
        <v>43525.0</v>
      </c>
      <c r="G1098" s="32">
        <v>43586.0</v>
      </c>
      <c r="H1098" s="31" t="s">
        <v>453</v>
      </c>
      <c r="I1098" s="31" t="s">
        <v>555</v>
      </c>
      <c r="J1098" s="31" t="s">
        <v>556</v>
      </c>
      <c r="K1098" s="31" t="s">
        <v>3293</v>
      </c>
      <c r="L1098" s="31" t="s">
        <v>465</v>
      </c>
      <c r="M1098" s="31" t="s">
        <v>4932</v>
      </c>
      <c r="N1098" s="31" t="s">
        <v>467</v>
      </c>
      <c r="O1098" s="31">
        <v>2.0</v>
      </c>
      <c r="P1098" s="34"/>
      <c r="Q1098" s="31" t="s">
        <v>307</v>
      </c>
      <c r="R1098" s="35">
        <v>33601.0</v>
      </c>
      <c r="S1098" s="31" t="s">
        <v>560</v>
      </c>
      <c r="T1098" s="31" t="s">
        <v>4933</v>
      </c>
      <c r="U1098" s="31" t="s">
        <v>480</v>
      </c>
      <c r="V1098" s="31" t="s">
        <v>3292</v>
      </c>
      <c r="W1098" s="34"/>
    </row>
    <row r="1099">
      <c r="A1099" s="30">
        <v>1.094</v>
      </c>
      <c r="B1099" s="31" t="s">
        <v>4934</v>
      </c>
      <c r="C1099" s="31" t="s">
        <v>4935</v>
      </c>
      <c r="D1099" s="31" t="s">
        <v>472</v>
      </c>
      <c r="E1099" s="31" t="s">
        <v>2696</v>
      </c>
      <c r="F1099" s="32">
        <v>43892.0</v>
      </c>
      <c r="G1099" s="32">
        <v>43953.0</v>
      </c>
      <c r="H1099" s="31" t="s">
        <v>453</v>
      </c>
      <c r="I1099" s="31" t="s">
        <v>607</v>
      </c>
      <c r="J1099" s="31" t="s">
        <v>2697</v>
      </c>
      <c r="K1099" s="31" t="s">
        <v>2698</v>
      </c>
      <c r="L1099" s="31" t="s">
        <v>476</v>
      </c>
      <c r="M1099" s="31" t="s">
        <v>4936</v>
      </c>
      <c r="N1099" s="31" t="s">
        <v>467</v>
      </c>
      <c r="O1099" s="34"/>
      <c r="P1099" s="34"/>
      <c r="Q1099" s="31" t="s">
        <v>307</v>
      </c>
      <c r="R1099" s="32">
        <v>35477.0</v>
      </c>
      <c r="S1099" s="31" t="s">
        <v>502</v>
      </c>
      <c r="T1099" s="31" t="s">
        <v>503</v>
      </c>
      <c r="U1099" s="31" t="s">
        <v>643</v>
      </c>
      <c r="V1099" s="31" t="s">
        <v>2696</v>
      </c>
      <c r="W1099" s="34"/>
    </row>
    <row r="1100">
      <c r="A1100" s="30">
        <v>1.095</v>
      </c>
      <c r="B1100" s="31" t="s">
        <v>4937</v>
      </c>
      <c r="C1100" s="31" t="s">
        <v>4938</v>
      </c>
      <c r="D1100" s="31" t="s">
        <v>472</v>
      </c>
      <c r="E1100" s="31" t="s">
        <v>3419</v>
      </c>
      <c r="F1100" s="32">
        <v>43605.0</v>
      </c>
      <c r="G1100" s="32">
        <v>43666.0</v>
      </c>
      <c r="H1100" s="31" t="s">
        <v>453</v>
      </c>
      <c r="I1100" s="31" t="s">
        <v>454</v>
      </c>
      <c r="J1100" s="31" t="s">
        <v>3188</v>
      </c>
      <c r="K1100" s="31" t="s">
        <v>3420</v>
      </c>
      <c r="L1100" s="31" t="s">
        <v>476</v>
      </c>
      <c r="M1100" s="31" t="s">
        <v>4939</v>
      </c>
      <c r="N1100" s="31" t="s">
        <v>467</v>
      </c>
      <c r="O1100" s="34"/>
      <c r="P1100" s="34"/>
      <c r="Q1100" s="31" t="s">
        <v>307</v>
      </c>
      <c r="R1100" s="32">
        <v>35626.0</v>
      </c>
      <c r="S1100" s="31" t="s">
        <v>560</v>
      </c>
      <c r="T1100" s="31" t="s">
        <v>503</v>
      </c>
      <c r="U1100" s="31" t="s">
        <v>460</v>
      </c>
      <c r="V1100" s="31" t="s">
        <v>3419</v>
      </c>
      <c r="W1100" s="34"/>
    </row>
    <row r="1101">
      <c r="A1101" s="30">
        <v>1.096</v>
      </c>
      <c r="B1101" s="31" t="s">
        <v>4940</v>
      </c>
      <c r="C1101" s="31" t="s">
        <v>4941</v>
      </c>
      <c r="D1101" s="31" t="s">
        <v>463</v>
      </c>
      <c r="E1101" s="31" t="s">
        <v>2696</v>
      </c>
      <c r="F1101" s="32">
        <v>42934.0</v>
      </c>
      <c r="G1101" s="32">
        <v>42996.0</v>
      </c>
      <c r="H1101" s="31" t="s">
        <v>453</v>
      </c>
      <c r="I1101" s="31" t="s">
        <v>607</v>
      </c>
      <c r="J1101" s="31" t="s">
        <v>2697</v>
      </c>
      <c r="K1101" s="31" t="s">
        <v>2698</v>
      </c>
      <c r="L1101" s="31" t="s">
        <v>465</v>
      </c>
      <c r="M1101" s="31" t="s">
        <v>4942</v>
      </c>
      <c r="N1101" s="31" t="s">
        <v>467</v>
      </c>
      <c r="O1101" s="31">
        <v>2.0</v>
      </c>
      <c r="P1101" s="34"/>
      <c r="Q1101" s="31" t="s">
        <v>307</v>
      </c>
      <c r="R1101" s="32">
        <v>34246.0</v>
      </c>
      <c r="S1101" s="31" t="s">
        <v>3205</v>
      </c>
      <c r="T1101" s="31" t="s">
        <v>496</v>
      </c>
      <c r="U1101" s="31" t="s">
        <v>643</v>
      </c>
      <c r="V1101" s="31" t="s">
        <v>2696</v>
      </c>
      <c r="W1101" s="34"/>
    </row>
    <row r="1102">
      <c r="A1102" s="30">
        <v>1.097</v>
      </c>
      <c r="B1102" s="31" t="s">
        <v>4943</v>
      </c>
      <c r="C1102" s="31" t="s">
        <v>3981</v>
      </c>
      <c r="D1102" s="31" t="s">
        <v>622</v>
      </c>
      <c r="E1102" s="31" t="s">
        <v>41</v>
      </c>
      <c r="F1102" s="32">
        <v>44071.0</v>
      </c>
      <c r="G1102" s="35">
        <v>44132.0</v>
      </c>
      <c r="H1102" s="31" t="s">
        <v>453</v>
      </c>
      <c r="I1102" s="31" t="s">
        <v>41</v>
      </c>
      <c r="J1102" s="34"/>
      <c r="K1102" s="31" t="s">
        <v>623</v>
      </c>
      <c r="L1102" s="31" t="s">
        <v>624</v>
      </c>
      <c r="M1102" s="31" t="s">
        <v>4944</v>
      </c>
      <c r="N1102" s="31" t="s">
        <v>267</v>
      </c>
      <c r="O1102" s="34"/>
      <c r="P1102" s="34"/>
      <c r="Q1102" s="31" t="s">
        <v>307</v>
      </c>
      <c r="R1102" s="32">
        <v>35899.0</v>
      </c>
      <c r="S1102" s="31" t="s">
        <v>626</v>
      </c>
      <c r="T1102" s="31" t="s">
        <v>582</v>
      </c>
      <c r="U1102" s="31" t="s">
        <v>480</v>
      </c>
      <c r="V1102" s="34"/>
      <c r="W1102" s="34"/>
    </row>
    <row r="1103">
      <c r="A1103" s="30">
        <v>1.098</v>
      </c>
      <c r="B1103" s="31" t="s">
        <v>4945</v>
      </c>
      <c r="C1103" s="31" t="s">
        <v>4946</v>
      </c>
      <c r="D1103" s="31" t="s">
        <v>463</v>
      </c>
      <c r="E1103" s="31" t="s">
        <v>2681</v>
      </c>
      <c r="F1103" s="32">
        <v>43962.0</v>
      </c>
      <c r="G1103" s="32">
        <v>44023.0</v>
      </c>
      <c r="H1103" s="31" t="s">
        <v>453</v>
      </c>
      <c r="I1103" s="31" t="s">
        <v>454</v>
      </c>
      <c r="J1103" s="31" t="s">
        <v>2682</v>
      </c>
      <c r="K1103" s="31" t="s">
        <v>2683</v>
      </c>
      <c r="L1103" s="31" t="s">
        <v>465</v>
      </c>
      <c r="M1103" s="31" t="s">
        <v>4947</v>
      </c>
      <c r="N1103" s="31" t="s">
        <v>467</v>
      </c>
      <c r="O1103" s="31">
        <v>2.0</v>
      </c>
      <c r="P1103" s="34"/>
      <c r="Q1103" s="31" t="s">
        <v>307</v>
      </c>
      <c r="R1103" s="32">
        <v>35465.0</v>
      </c>
      <c r="S1103" s="31" t="s">
        <v>560</v>
      </c>
      <c r="T1103" s="31" t="s">
        <v>1242</v>
      </c>
      <c r="U1103" s="31" t="s">
        <v>480</v>
      </c>
      <c r="V1103" s="31" t="s">
        <v>2681</v>
      </c>
      <c r="W1103" s="34"/>
    </row>
    <row r="1104">
      <c r="A1104" s="30">
        <v>1.099</v>
      </c>
      <c r="B1104" s="31" t="s">
        <v>4948</v>
      </c>
      <c r="C1104" s="31" t="s">
        <v>4949</v>
      </c>
      <c r="D1104" s="31" t="s">
        <v>4828</v>
      </c>
      <c r="E1104" s="31" t="s">
        <v>2902</v>
      </c>
      <c r="F1104" s="32">
        <v>40725.0</v>
      </c>
      <c r="G1104" s="32">
        <v>40787.0</v>
      </c>
      <c r="H1104" s="31" t="s">
        <v>453</v>
      </c>
      <c r="I1104" s="31" t="s">
        <v>454</v>
      </c>
      <c r="J1104" s="31" t="s">
        <v>2903</v>
      </c>
      <c r="K1104" s="31" t="s">
        <v>2904</v>
      </c>
      <c r="L1104" s="31" t="s">
        <v>4829</v>
      </c>
      <c r="M1104" s="31" t="s">
        <v>4950</v>
      </c>
      <c r="N1104" s="31" t="s">
        <v>267</v>
      </c>
      <c r="O1104" s="31">
        <v>1.0</v>
      </c>
      <c r="P1104" s="34"/>
      <c r="Q1104" s="31" t="s">
        <v>307</v>
      </c>
      <c r="R1104" s="32">
        <v>32617.0</v>
      </c>
      <c r="S1104" s="31" t="s">
        <v>626</v>
      </c>
      <c r="T1104" s="31" t="s">
        <v>686</v>
      </c>
      <c r="U1104" s="31" t="s">
        <v>480</v>
      </c>
      <c r="V1104" s="31" t="s">
        <v>2902</v>
      </c>
      <c r="W1104" s="34"/>
    </row>
    <row r="1105">
      <c r="A1105" s="30">
        <v>1.1</v>
      </c>
      <c r="B1105" s="31" t="s">
        <v>4951</v>
      </c>
      <c r="C1105" s="31" t="s">
        <v>4952</v>
      </c>
      <c r="D1105" s="31" t="s">
        <v>452</v>
      </c>
      <c r="E1105" s="31" t="s">
        <v>4953</v>
      </c>
      <c r="F1105" s="35">
        <v>43787.0</v>
      </c>
      <c r="G1105" s="32">
        <v>43848.0</v>
      </c>
      <c r="H1105" s="31" t="s">
        <v>453</v>
      </c>
      <c r="I1105" s="31" t="s">
        <v>454</v>
      </c>
      <c r="J1105" s="31" t="s">
        <v>2903</v>
      </c>
      <c r="K1105" s="31" t="s">
        <v>4954</v>
      </c>
      <c r="L1105" s="31" t="s">
        <v>456</v>
      </c>
      <c r="M1105" s="31" t="s">
        <v>4955</v>
      </c>
      <c r="N1105" s="31" t="s">
        <v>267</v>
      </c>
      <c r="O1105" s="34"/>
      <c r="P1105" s="34"/>
      <c r="Q1105" s="31" t="s">
        <v>307</v>
      </c>
      <c r="R1105" s="32">
        <v>35657.0</v>
      </c>
      <c r="S1105" s="31" t="s">
        <v>490</v>
      </c>
      <c r="T1105" s="31" t="s">
        <v>503</v>
      </c>
      <c r="U1105" s="31" t="s">
        <v>480</v>
      </c>
      <c r="V1105" s="31" t="s">
        <v>4953</v>
      </c>
      <c r="W1105" s="34"/>
    </row>
    <row r="1106">
      <c r="A1106" s="30">
        <v>1.101</v>
      </c>
      <c r="B1106" s="31" t="s">
        <v>4956</v>
      </c>
      <c r="C1106" s="31" t="s">
        <v>4957</v>
      </c>
      <c r="D1106" s="31" t="s">
        <v>499</v>
      </c>
      <c r="E1106" s="31" t="s">
        <v>4414</v>
      </c>
      <c r="F1106" s="32">
        <v>42310.0</v>
      </c>
      <c r="G1106" s="32">
        <v>42371.0</v>
      </c>
      <c r="H1106" s="31" t="s">
        <v>453</v>
      </c>
      <c r="I1106" s="31" t="s">
        <v>607</v>
      </c>
      <c r="J1106" s="31" t="s">
        <v>4415</v>
      </c>
      <c r="K1106" s="31" t="s">
        <v>4416</v>
      </c>
      <c r="L1106" s="31" t="s">
        <v>500</v>
      </c>
      <c r="M1106" s="31" t="s">
        <v>4958</v>
      </c>
      <c r="N1106" s="31" t="s">
        <v>467</v>
      </c>
      <c r="O1106" s="31">
        <v>1.0</v>
      </c>
      <c r="P1106" s="34"/>
      <c r="Q1106" s="31" t="s">
        <v>307</v>
      </c>
      <c r="R1106" s="32">
        <v>32616.0</v>
      </c>
      <c r="S1106" s="31" t="s">
        <v>468</v>
      </c>
      <c r="T1106" s="31" t="s">
        <v>828</v>
      </c>
      <c r="U1106" s="31" t="s">
        <v>643</v>
      </c>
      <c r="V1106" s="31" t="s">
        <v>4414</v>
      </c>
      <c r="W1106" s="34"/>
    </row>
    <row r="1107">
      <c r="A1107" s="30">
        <v>1.102</v>
      </c>
      <c r="B1107" s="31" t="s">
        <v>4959</v>
      </c>
      <c r="C1107" s="31" t="s">
        <v>4960</v>
      </c>
      <c r="D1107" s="31" t="s">
        <v>472</v>
      </c>
      <c r="E1107" s="31" t="s">
        <v>3292</v>
      </c>
      <c r="F1107" s="32">
        <v>43514.0</v>
      </c>
      <c r="G1107" s="32">
        <v>43573.0</v>
      </c>
      <c r="H1107" s="31" t="s">
        <v>453</v>
      </c>
      <c r="I1107" s="31" t="s">
        <v>555</v>
      </c>
      <c r="J1107" s="31" t="s">
        <v>556</v>
      </c>
      <c r="K1107" s="31" t="s">
        <v>3293</v>
      </c>
      <c r="L1107" s="31" t="s">
        <v>3203</v>
      </c>
      <c r="M1107" s="31" t="s">
        <v>4961</v>
      </c>
      <c r="N1107" s="31" t="s">
        <v>467</v>
      </c>
      <c r="O1107" s="34"/>
      <c r="P1107" s="34"/>
      <c r="Q1107" s="31" t="s">
        <v>307</v>
      </c>
      <c r="R1107" s="32">
        <v>34085.0</v>
      </c>
      <c r="S1107" s="31" t="s">
        <v>4962</v>
      </c>
      <c r="T1107" s="31" t="s">
        <v>496</v>
      </c>
      <c r="U1107" s="31" t="s">
        <v>480</v>
      </c>
      <c r="V1107" s="31" t="s">
        <v>3292</v>
      </c>
      <c r="W1107" s="34"/>
    </row>
    <row r="1108">
      <c r="A1108" s="30">
        <v>1.103</v>
      </c>
      <c r="B1108" s="31" t="s">
        <v>4963</v>
      </c>
      <c r="C1108" s="31" t="s">
        <v>4964</v>
      </c>
      <c r="D1108" s="31" t="s">
        <v>4828</v>
      </c>
      <c r="E1108" s="31" t="s">
        <v>3419</v>
      </c>
      <c r="F1108" s="32">
        <v>39995.0</v>
      </c>
      <c r="G1108" s="32">
        <v>40057.0</v>
      </c>
      <c r="H1108" s="31" t="s">
        <v>453</v>
      </c>
      <c r="I1108" s="31" t="s">
        <v>454</v>
      </c>
      <c r="J1108" s="31" t="s">
        <v>3188</v>
      </c>
      <c r="K1108" s="31" t="s">
        <v>3420</v>
      </c>
      <c r="L1108" s="31" t="s">
        <v>4829</v>
      </c>
      <c r="M1108" s="31" t="s">
        <v>4965</v>
      </c>
      <c r="N1108" s="31" t="s">
        <v>267</v>
      </c>
      <c r="O1108" s="31">
        <v>1.0</v>
      </c>
      <c r="P1108" s="34"/>
      <c r="Q1108" s="31" t="s">
        <v>307</v>
      </c>
      <c r="R1108" s="32">
        <v>31947.0</v>
      </c>
      <c r="S1108" s="31" t="s">
        <v>626</v>
      </c>
      <c r="T1108" s="31" t="s">
        <v>686</v>
      </c>
      <c r="U1108" s="31" t="s">
        <v>460</v>
      </c>
      <c r="V1108" s="31" t="s">
        <v>3419</v>
      </c>
      <c r="W1108" s="34"/>
    </row>
    <row r="1109">
      <c r="A1109" s="30">
        <v>1.104</v>
      </c>
      <c r="B1109" s="31" t="s">
        <v>4966</v>
      </c>
      <c r="C1109" s="31" t="s">
        <v>4967</v>
      </c>
      <c r="D1109" s="31" t="s">
        <v>4968</v>
      </c>
      <c r="E1109" s="31" t="s">
        <v>40</v>
      </c>
      <c r="F1109" s="32">
        <v>43305.0</v>
      </c>
      <c r="G1109" s="32">
        <v>43367.0</v>
      </c>
      <c r="H1109" s="31" t="s">
        <v>453</v>
      </c>
      <c r="I1109" s="31" t="s">
        <v>40</v>
      </c>
      <c r="J1109" s="34"/>
      <c r="K1109" s="31" t="s">
        <v>4969</v>
      </c>
      <c r="L1109" s="31" t="s">
        <v>4970</v>
      </c>
      <c r="M1109" s="31" t="s">
        <v>4971</v>
      </c>
      <c r="N1109" s="31" t="s">
        <v>467</v>
      </c>
      <c r="O1109" s="34"/>
      <c r="P1109" s="34"/>
      <c r="Q1109" s="31" t="s">
        <v>307</v>
      </c>
      <c r="R1109" s="32">
        <v>31678.0</v>
      </c>
      <c r="S1109" s="31" t="s">
        <v>560</v>
      </c>
      <c r="T1109" s="31" t="s">
        <v>4972</v>
      </c>
      <c r="U1109" s="31" t="s">
        <v>460</v>
      </c>
      <c r="V1109" s="34"/>
      <c r="W1109" s="34"/>
    </row>
    <row r="1110">
      <c r="A1110" s="30">
        <v>1.105</v>
      </c>
      <c r="B1110" s="31" t="s">
        <v>4973</v>
      </c>
      <c r="C1110" s="31" t="s">
        <v>4974</v>
      </c>
      <c r="D1110" s="31" t="s">
        <v>3222</v>
      </c>
      <c r="E1110" s="31" t="s">
        <v>3187</v>
      </c>
      <c r="F1110" s="32">
        <v>44378.0</v>
      </c>
      <c r="G1110" s="32">
        <v>44440.0</v>
      </c>
      <c r="H1110" s="31" t="s">
        <v>453</v>
      </c>
      <c r="I1110" s="31" t="s">
        <v>454</v>
      </c>
      <c r="J1110" s="31" t="s">
        <v>3188</v>
      </c>
      <c r="K1110" s="31" t="s">
        <v>3189</v>
      </c>
      <c r="L1110" s="31" t="s">
        <v>3223</v>
      </c>
      <c r="M1110" s="31" t="s">
        <v>4975</v>
      </c>
      <c r="N1110" s="31" t="s">
        <v>267</v>
      </c>
      <c r="O1110" s="34"/>
      <c r="P1110" s="34"/>
      <c r="Q1110" s="31" t="s">
        <v>307</v>
      </c>
      <c r="R1110" s="32">
        <v>35097.0</v>
      </c>
      <c r="S1110" s="31" t="s">
        <v>4976</v>
      </c>
      <c r="T1110" s="31" t="s">
        <v>4977</v>
      </c>
      <c r="U1110" s="31" t="s">
        <v>460</v>
      </c>
      <c r="V1110" s="31" t="s">
        <v>3187</v>
      </c>
      <c r="W1110" s="34"/>
    </row>
    <row r="1111">
      <c r="A1111" s="30">
        <v>1.106</v>
      </c>
      <c r="B1111" s="31" t="s">
        <v>4978</v>
      </c>
      <c r="C1111" s="31" t="s">
        <v>4979</v>
      </c>
      <c r="D1111" s="31" t="s">
        <v>452</v>
      </c>
      <c r="E1111" s="31" t="s">
        <v>565</v>
      </c>
      <c r="F1111" s="32">
        <v>40360.0</v>
      </c>
      <c r="G1111" s="32">
        <v>40422.0</v>
      </c>
      <c r="H1111" s="31" t="s">
        <v>453</v>
      </c>
      <c r="I1111" s="31" t="s">
        <v>566</v>
      </c>
      <c r="J1111" s="31" t="s">
        <v>567</v>
      </c>
      <c r="K1111" s="31" t="s">
        <v>568</v>
      </c>
      <c r="L1111" s="31" t="s">
        <v>456</v>
      </c>
      <c r="M1111" s="31" t="s">
        <v>4980</v>
      </c>
      <c r="N1111" s="31" t="s">
        <v>267</v>
      </c>
      <c r="O1111" s="34"/>
      <c r="P1111" s="34"/>
      <c r="Q1111" s="31" t="s">
        <v>307</v>
      </c>
      <c r="R1111" s="32">
        <v>32412.0</v>
      </c>
      <c r="S1111" s="31" t="s">
        <v>560</v>
      </c>
      <c r="T1111" s="31" t="s">
        <v>3174</v>
      </c>
      <c r="U1111" s="31" t="s">
        <v>480</v>
      </c>
      <c r="V1111" s="31" t="s">
        <v>565</v>
      </c>
      <c r="W1111" s="34"/>
    </row>
    <row r="1112">
      <c r="A1112" s="30">
        <v>1.107</v>
      </c>
      <c r="B1112" s="31" t="s">
        <v>4981</v>
      </c>
      <c r="C1112" s="31" t="s">
        <v>4982</v>
      </c>
      <c r="D1112" s="31" t="s">
        <v>472</v>
      </c>
      <c r="E1112" s="31" t="s">
        <v>4983</v>
      </c>
      <c r="F1112" s="32">
        <v>44389.0</v>
      </c>
      <c r="G1112" s="32">
        <v>44451.0</v>
      </c>
      <c r="H1112" s="31" t="s">
        <v>453</v>
      </c>
      <c r="I1112" s="31" t="s">
        <v>4330</v>
      </c>
      <c r="J1112" s="31" t="s">
        <v>4331</v>
      </c>
      <c r="K1112" s="31" t="s">
        <v>4984</v>
      </c>
      <c r="L1112" s="31" t="s">
        <v>476</v>
      </c>
      <c r="M1112" s="31" t="s">
        <v>4985</v>
      </c>
      <c r="N1112" s="31" t="s">
        <v>467</v>
      </c>
      <c r="O1112" s="34"/>
      <c r="P1112" s="34"/>
      <c r="Q1112" s="31" t="s">
        <v>307</v>
      </c>
      <c r="R1112" s="32">
        <v>36546.0</v>
      </c>
      <c r="S1112" s="31" t="s">
        <v>4986</v>
      </c>
      <c r="T1112" s="31" t="s">
        <v>2713</v>
      </c>
      <c r="U1112" s="31" t="s">
        <v>460</v>
      </c>
      <c r="V1112" s="31" t="s">
        <v>4983</v>
      </c>
      <c r="W1112" s="34"/>
    </row>
    <row r="1113">
      <c r="A1113" s="30">
        <v>1.108</v>
      </c>
      <c r="B1113" s="31" t="s">
        <v>4987</v>
      </c>
      <c r="C1113" s="31" t="s">
        <v>4988</v>
      </c>
      <c r="D1113" s="31" t="s">
        <v>499</v>
      </c>
      <c r="E1113" s="31" t="s">
        <v>3419</v>
      </c>
      <c r="F1113" s="32">
        <v>43605.0</v>
      </c>
      <c r="G1113" s="32">
        <v>43666.0</v>
      </c>
      <c r="H1113" s="31" t="s">
        <v>453</v>
      </c>
      <c r="I1113" s="31" t="s">
        <v>454</v>
      </c>
      <c r="J1113" s="31" t="s">
        <v>3188</v>
      </c>
      <c r="K1113" s="31" t="s">
        <v>3420</v>
      </c>
      <c r="L1113" s="31" t="s">
        <v>500</v>
      </c>
      <c r="M1113" s="31" t="s">
        <v>4989</v>
      </c>
      <c r="N1113" s="31" t="s">
        <v>467</v>
      </c>
      <c r="O1113" s="31">
        <v>1.0</v>
      </c>
      <c r="P1113" s="34"/>
      <c r="Q1113" s="31" t="s">
        <v>307</v>
      </c>
      <c r="R1113" s="35">
        <v>35729.0</v>
      </c>
      <c r="S1113" s="31" t="s">
        <v>1622</v>
      </c>
      <c r="T1113" s="31" t="s">
        <v>503</v>
      </c>
      <c r="U1113" s="31" t="s">
        <v>460</v>
      </c>
      <c r="V1113" s="31" t="s">
        <v>3419</v>
      </c>
      <c r="W1113" s="34"/>
    </row>
    <row r="1114">
      <c r="A1114" s="30">
        <v>1.109</v>
      </c>
      <c r="B1114" s="31" t="s">
        <v>4990</v>
      </c>
      <c r="C1114" s="31" t="s">
        <v>4821</v>
      </c>
      <c r="D1114" s="31" t="s">
        <v>472</v>
      </c>
      <c r="E1114" s="31" t="s">
        <v>4991</v>
      </c>
      <c r="F1114" s="32">
        <v>43178.0</v>
      </c>
      <c r="G1114" s="32">
        <v>43178.0</v>
      </c>
      <c r="H1114" s="31" t="s">
        <v>453</v>
      </c>
      <c r="I1114" s="31" t="s">
        <v>454</v>
      </c>
      <c r="J1114" s="31" t="s">
        <v>3217</v>
      </c>
      <c r="K1114" s="31" t="s">
        <v>4992</v>
      </c>
      <c r="L1114" s="31" t="s">
        <v>476</v>
      </c>
      <c r="M1114" s="31" t="s">
        <v>4993</v>
      </c>
      <c r="N1114" s="31" t="s">
        <v>467</v>
      </c>
      <c r="O1114" s="34"/>
      <c r="P1114" s="34"/>
      <c r="Q1114" s="31" t="s">
        <v>307</v>
      </c>
      <c r="R1114" s="32">
        <v>34730.0</v>
      </c>
      <c r="S1114" s="31" t="s">
        <v>560</v>
      </c>
      <c r="T1114" s="31" t="s">
        <v>3198</v>
      </c>
      <c r="U1114" s="31" t="s">
        <v>480</v>
      </c>
      <c r="V1114" s="31" t="s">
        <v>4991</v>
      </c>
      <c r="W1114" s="34"/>
    </row>
    <row r="1115">
      <c r="A1115" s="30">
        <v>1.11</v>
      </c>
      <c r="B1115" s="31" t="s">
        <v>4994</v>
      </c>
      <c r="C1115" s="31" t="s">
        <v>4995</v>
      </c>
      <c r="D1115" s="31" t="s">
        <v>4996</v>
      </c>
      <c r="E1115" s="31" t="s">
        <v>63</v>
      </c>
      <c r="F1115" s="32">
        <v>42179.0</v>
      </c>
      <c r="G1115" s="32">
        <v>42240.0</v>
      </c>
      <c r="H1115" s="31" t="s">
        <v>453</v>
      </c>
      <c r="I1115" s="31" t="s">
        <v>607</v>
      </c>
      <c r="J1115" s="31" t="s">
        <v>63</v>
      </c>
      <c r="K1115" s="31" t="s">
        <v>4997</v>
      </c>
      <c r="L1115" s="31" t="s">
        <v>4998</v>
      </c>
      <c r="M1115" s="31" t="s">
        <v>4999</v>
      </c>
      <c r="N1115" s="31" t="s">
        <v>467</v>
      </c>
      <c r="O1115" s="31">
        <v>3.0</v>
      </c>
      <c r="P1115" s="34"/>
      <c r="Q1115" s="31" t="s">
        <v>307</v>
      </c>
      <c r="R1115" s="32">
        <v>32894.0</v>
      </c>
      <c r="S1115" s="31" t="s">
        <v>472</v>
      </c>
      <c r="T1115" s="31" t="s">
        <v>4923</v>
      </c>
      <c r="U1115" s="31" t="s">
        <v>480</v>
      </c>
      <c r="V1115" s="34"/>
      <c r="W1115" s="34"/>
    </row>
    <row r="1116">
      <c r="A1116" s="30">
        <v>1.111</v>
      </c>
      <c r="B1116" s="31" t="s">
        <v>5000</v>
      </c>
      <c r="C1116" s="31" t="s">
        <v>5001</v>
      </c>
      <c r="D1116" s="31" t="s">
        <v>472</v>
      </c>
      <c r="E1116" s="31" t="s">
        <v>2893</v>
      </c>
      <c r="F1116" s="32">
        <v>43549.0</v>
      </c>
      <c r="G1116" s="32">
        <v>43610.0</v>
      </c>
      <c r="H1116" s="31" t="s">
        <v>453</v>
      </c>
      <c r="I1116" s="31" t="s">
        <v>566</v>
      </c>
      <c r="J1116" s="31" t="s">
        <v>2888</v>
      </c>
      <c r="K1116" s="31" t="s">
        <v>2894</v>
      </c>
      <c r="L1116" s="31" t="s">
        <v>476</v>
      </c>
      <c r="M1116" s="31" t="s">
        <v>5002</v>
      </c>
      <c r="N1116" s="31" t="s">
        <v>267</v>
      </c>
      <c r="O1116" s="34"/>
      <c r="P1116" s="34"/>
      <c r="Q1116" s="31" t="s">
        <v>307</v>
      </c>
      <c r="R1116" s="35">
        <v>35396.0</v>
      </c>
      <c r="S1116" s="31" t="s">
        <v>502</v>
      </c>
      <c r="T1116" s="31" t="s">
        <v>3198</v>
      </c>
      <c r="U1116" s="31" t="s">
        <v>480</v>
      </c>
      <c r="V1116" s="31" t="s">
        <v>2893</v>
      </c>
      <c r="W1116" s="34"/>
    </row>
    <row r="1117">
      <c r="A1117" s="30">
        <v>1.112</v>
      </c>
      <c r="B1117" s="31" t="s">
        <v>5003</v>
      </c>
      <c r="C1117" s="31" t="s">
        <v>5004</v>
      </c>
      <c r="D1117" s="31" t="s">
        <v>4909</v>
      </c>
      <c r="E1117" s="31" t="s">
        <v>554</v>
      </c>
      <c r="F1117" s="32">
        <v>44385.0</v>
      </c>
      <c r="G1117" s="32">
        <v>44447.0</v>
      </c>
      <c r="H1117" s="31" t="s">
        <v>453</v>
      </c>
      <c r="I1117" s="31" t="s">
        <v>555</v>
      </c>
      <c r="J1117" s="31" t="s">
        <v>556</v>
      </c>
      <c r="K1117" s="31" t="s">
        <v>557</v>
      </c>
      <c r="L1117" s="31" t="s">
        <v>4910</v>
      </c>
      <c r="M1117" s="31" t="s">
        <v>5005</v>
      </c>
      <c r="N1117" s="31" t="s">
        <v>467</v>
      </c>
      <c r="O1117" s="34"/>
      <c r="P1117" s="34"/>
      <c r="Q1117" s="31" t="s">
        <v>307</v>
      </c>
      <c r="R1117" s="32">
        <v>36426.0</v>
      </c>
      <c r="S1117" s="31" t="s">
        <v>1622</v>
      </c>
      <c r="T1117" s="31" t="s">
        <v>1532</v>
      </c>
      <c r="U1117" s="31" t="s">
        <v>480</v>
      </c>
      <c r="V1117" s="31" t="s">
        <v>554</v>
      </c>
      <c r="W1117" s="34"/>
    </row>
    <row r="1118">
      <c r="A1118" s="30">
        <v>1.113</v>
      </c>
      <c r="B1118" s="31" t="s">
        <v>5006</v>
      </c>
      <c r="C1118" s="31" t="s">
        <v>5007</v>
      </c>
      <c r="D1118" s="31" t="s">
        <v>472</v>
      </c>
      <c r="E1118" s="31" t="s">
        <v>5008</v>
      </c>
      <c r="F1118" s="32">
        <v>44060.0</v>
      </c>
      <c r="G1118" s="35">
        <v>44121.0</v>
      </c>
      <c r="H1118" s="31" t="s">
        <v>453</v>
      </c>
      <c r="I1118" s="31" t="s">
        <v>607</v>
      </c>
      <c r="J1118" s="31" t="s">
        <v>5009</v>
      </c>
      <c r="K1118" s="31" t="s">
        <v>5010</v>
      </c>
      <c r="L1118" s="31" t="s">
        <v>5011</v>
      </c>
      <c r="M1118" s="31" t="s">
        <v>5012</v>
      </c>
      <c r="N1118" s="31" t="s">
        <v>267</v>
      </c>
      <c r="O1118" s="34"/>
      <c r="P1118" s="34"/>
      <c r="Q1118" s="31" t="s">
        <v>307</v>
      </c>
      <c r="R1118" s="32">
        <v>36200.0</v>
      </c>
      <c r="S1118" s="31" t="s">
        <v>560</v>
      </c>
      <c r="T1118" s="31" t="s">
        <v>479</v>
      </c>
      <c r="U1118" s="31" t="s">
        <v>643</v>
      </c>
      <c r="V1118" s="31" t="s">
        <v>5008</v>
      </c>
      <c r="W1118" s="34"/>
    </row>
    <row r="1119">
      <c r="A1119" s="30">
        <v>1.114</v>
      </c>
      <c r="B1119" s="31" t="s">
        <v>5013</v>
      </c>
      <c r="C1119" s="31" t="s">
        <v>5014</v>
      </c>
      <c r="D1119" s="31" t="s">
        <v>499</v>
      </c>
      <c r="E1119" s="31" t="s">
        <v>4379</v>
      </c>
      <c r="F1119" s="32">
        <v>43605.0</v>
      </c>
      <c r="G1119" s="32">
        <v>43666.0</v>
      </c>
      <c r="H1119" s="31" t="s">
        <v>453</v>
      </c>
      <c r="I1119" s="31" t="s">
        <v>607</v>
      </c>
      <c r="J1119" s="31" t="s">
        <v>4380</v>
      </c>
      <c r="K1119" s="31" t="s">
        <v>4381</v>
      </c>
      <c r="L1119" s="31" t="s">
        <v>500</v>
      </c>
      <c r="M1119" s="31" t="s">
        <v>5015</v>
      </c>
      <c r="N1119" s="31" t="s">
        <v>467</v>
      </c>
      <c r="O1119" s="31">
        <v>1.0</v>
      </c>
      <c r="P1119" s="34"/>
      <c r="Q1119" s="31" t="s">
        <v>307</v>
      </c>
      <c r="R1119" s="32">
        <v>35548.0</v>
      </c>
      <c r="S1119" s="31" t="s">
        <v>560</v>
      </c>
      <c r="T1119" s="31" t="s">
        <v>705</v>
      </c>
      <c r="U1119" s="31" t="s">
        <v>643</v>
      </c>
      <c r="V1119" s="31" t="s">
        <v>4379</v>
      </c>
      <c r="W1119" s="34"/>
    </row>
    <row r="1120">
      <c r="A1120" s="30">
        <v>1.115</v>
      </c>
      <c r="B1120" s="31" t="s">
        <v>5016</v>
      </c>
      <c r="C1120" s="31" t="s">
        <v>5017</v>
      </c>
      <c r="D1120" s="31" t="s">
        <v>472</v>
      </c>
      <c r="E1120" s="31" t="s">
        <v>2651</v>
      </c>
      <c r="F1120" s="32">
        <v>43353.0</v>
      </c>
      <c r="G1120" s="32">
        <v>43353.0</v>
      </c>
      <c r="H1120" s="31" t="s">
        <v>453</v>
      </c>
      <c r="I1120" s="31" t="s">
        <v>566</v>
      </c>
      <c r="J1120" s="31" t="s">
        <v>567</v>
      </c>
      <c r="K1120" s="31" t="s">
        <v>2652</v>
      </c>
      <c r="L1120" s="31" t="s">
        <v>476</v>
      </c>
      <c r="M1120" s="31" t="s">
        <v>5018</v>
      </c>
      <c r="N1120" s="31" t="s">
        <v>267</v>
      </c>
      <c r="O1120" s="34"/>
      <c r="P1120" s="34"/>
      <c r="Q1120" s="31" t="s">
        <v>307</v>
      </c>
      <c r="R1120" s="32">
        <v>35089.0</v>
      </c>
      <c r="S1120" s="31" t="s">
        <v>502</v>
      </c>
      <c r="T1120" s="31" t="s">
        <v>1604</v>
      </c>
      <c r="U1120" s="31" t="s">
        <v>480</v>
      </c>
      <c r="V1120" s="31" t="s">
        <v>2651</v>
      </c>
      <c r="W1120" s="34"/>
    </row>
    <row r="1121">
      <c r="A1121" s="30">
        <v>1.116</v>
      </c>
      <c r="B1121" s="31" t="s">
        <v>5019</v>
      </c>
      <c r="C1121" s="31" t="s">
        <v>5020</v>
      </c>
      <c r="D1121" s="31" t="s">
        <v>452</v>
      </c>
      <c r="E1121" s="31" t="s">
        <v>3187</v>
      </c>
      <c r="F1121" s="32">
        <v>42614.0</v>
      </c>
      <c r="G1121" s="32">
        <v>42675.0</v>
      </c>
      <c r="H1121" s="31" t="s">
        <v>453</v>
      </c>
      <c r="I1121" s="31" t="s">
        <v>454</v>
      </c>
      <c r="J1121" s="31" t="s">
        <v>3188</v>
      </c>
      <c r="K1121" s="31" t="s">
        <v>3189</v>
      </c>
      <c r="L1121" s="31" t="s">
        <v>456</v>
      </c>
      <c r="M1121" s="31" t="s">
        <v>5021</v>
      </c>
      <c r="N1121" s="31" t="s">
        <v>267</v>
      </c>
      <c r="O1121" s="34"/>
      <c r="P1121" s="34"/>
      <c r="Q1121" s="31" t="s">
        <v>307</v>
      </c>
      <c r="R1121" s="32">
        <v>34533.0</v>
      </c>
      <c r="S1121" s="31" t="s">
        <v>531</v>
      </c>
      <c r="T1121" s="31" t="s">
        <v>5022</v>
      </c>
      <c r="U1121" s="31" t="s">
        <v>460</v>
      </c>
      <c r="V1121" s="31" t="s">
        <v>3187</v>
      </c>
      <c r="W1121" s="34"/>
    </row>
    <row r="1122">
      <c r="A1122" s="30">
        <v>1.117</v>
      </c>
      <c r="B1122" s="31" t="s">
        <v>5023</v>
      </c>
      <c r="C1122" s="31" t="s">
        <v>5024</v>
      </c>
      <c r="D1122" s="31" t="s">
        <v>564</v>
      </c>
      <c r="E1122" s="31" t="s">
        <v>2682</v>
      </c>
      <c r="F1122" s="32">
        <v>42416.0</v>
      </c>
      <c r="G1122" s="32">
        <v>42476.0</v>
      </c>
      <c r="H1122" s="31" t="s">
        <v>453</v>
      </c>
      <c r="I1122" s="31" t="s">
        <v>454</v>
      </c>
      <c r="J1122" s="31" t="s">
        <v>2682</v>
      </c>
      <c r="K1122" s="31" t="s">
        <v>5025</v>
      </c>
      <c r="L1122" s="31" t="s">
        <v>569</v>
      </c>
      <c r="M1122" s="31" t="s">
        <v>5026</v>
      </c>
      <c r="N1122" s="31" t="s">
        <v>267</v>
      </c>
      <c r="O1122" s="34"/>
      <c r="P1122" s="34"/>
      <c r="Q1122" s="31" t="s">
        <v>307</v>
      </c>
      <c r="R1122" s="35">
        <v>33924.0</v>
      </c>
      <c r="S1122" s="31" t="s">
        <v>526</v>
      </c>
      <c r="T1122" s="31" t="s">
        <v>744</v>
      </c>
      <c r="U1122" s="31" t="s">
        <v>480</v>
      </c>
      <c r="V1122" s="34"/>
      <c r="W1122" s="34"/>
    </row>
    <row r="1123">
      <c r="A1123" s="30">
        <v>1.118</v>
      </c>
      <c r="B1123" s="31" t="s">
        <v>5027</v>
      </c>
      <c r="C1123" s="31" t="s">
        <v>5028</v>
      </c>
      <c r="D1123" s="31" t="s">
        <v>463</v>
      </c>
      <c r="E1123" s="31" t="s">
        <v>4836</v>
      </c>
      <c r="F1123" s="32">
        <v>43514.0</v>
      </c>
      <c r="G1123" s="32">
        <v>43573.0</v>
      </c>
      <c r="H1123" s="31" t="s">
        <v>453</v>
      </c>
      <c r="I1123" s="31" t="s">
        <v>47</v>
      </c>
      <c r="J1123" s="31" t="s">
        <v>4765</v>
      </c>
      <c r="K1123" s="31" t="s">
        <v>4837</v>
      </c>
      <c r="L1123" s="31" t="s">
        <v>465</v>
      </c>
      <c r="M1123" s="31" t="s">
        <v>5029</v>
      </c>
      <c r="N1123" s="31" t="s">
        <v>467</v>
      </c>
      <c r="O1123" s="31">
        <v>2.0</v>
      </c>
      <c r="P1123" s="34"/>
      <c r="Q1123" s="31" t="s">
        <v>307</v>
      </c>
      <c r="R1123" s="32">
        <v>35214.0</v>
      </c>
      <c r="S1123" s="31" t="s">
        <v>502</v>
      </c>
      <c r="T1123" s="31" t="s">
        <v>582</v>
      </c>
      <c r="U1123" s="31" t="s">
        <v>480</v>
      </c>
      <c r="V1123" s="31" t="s">
        <v>4836</v>
      </c>
      <c r="W1123" s="34"/>
    </row>
    <row r="1124">
      <c r="A1124" s="30">
        <v>1.119</v>
      </c>
      <c r="B1124" s="31" t="s">
        <v>5030</v>
      </c>
      <c r="C1124" s="31" t="s">
        <v>5031</v>
      </c>
      <c r="D1124" s="31" t="s">
        <v>472</v>
      </c>
      <c r="E1124" s="31" t="s">
        <v>3419</v>
      </c>
      <c r="F1124" s="32">
        <v>44371.0</v>
      </c>
      <c r="G1124" s="32">
        <v>44432.0</v>
      </c>
      <c r="H1124" s="31" t="s">
        <v>453</v>
      </c>
      <c r="I1124" s="31" t="s">
        <v>454</v>
      </c>
      <c r="J1124" s="31" t="s">
        <v>3188</v>
      </c>
      <c r="K1124" s="31" t="s">
        <v>3420</v>
      </c>
      <c r="L1124" s="31" t="s">
        <v>476</v>
      </c>
      <c r="M1124" s="31" t="s">
        <v>5032</v>
      </c>
      <c r="N1124" s="31" t="s">
        <v>467</v>
      </c>
      <c r="O1124" s="34"/>
      <c r="P1124" s="34"/>
      <c r="Q1124" s="31" t="s">
        <v>307</v>
      </c>
      <c r="R1124" s="32">
        <v>34674.0</v>
      </c>
      <c r="S1124" s="31" t="s">
        <v>1622</v>
      </c>
      <c r="T1124" s="31" t="s">
        <v>1865</v>
      </c>
      <c r="U1124" s="31" t="s">
        <v>460</v>
      </c>
      <c r="V1124" s="31" t="s">
        <v>3419</v>
      </c>
      <c r="W1124" s="34"/>
    </row>
    <row r="1125">
      <c r="A1125" s="30">
        <v>1.12</v>
      </c>
      <c r="B1125" s="31" t="s">
        <v>5033</v>
      </c>
      <c r="C1125" s="31" t="s">
        <v>5034</v>
      </c>
      <c r="D1125" s="31" t="s">
        <v>499</v>
      </c>
      <c r="E1125" s="31" t="s">
        <v>3419</v>
      </c>
      <c r="F1125" s="32">
        <v>43304.0</v>
      </c>
      <c r="G1125" s="32">
        <v>43304.0</v>
      </c>
      <c r="H1125" s="31" t="s">
        <v>453</v>
      </c>
      <c r="I1125" s="31" t="s">
        <v>454</v>
      </c>
      <c r="J1125" s="31" t="s">
        <v>3188</v>
      </c>
      <c r="K1125" s="31" t="s">
        <v>3420</v>
      </c>
      <c r="L1125" s="31" t="s">
        <v>500</v>
      </c>
      <c r="M1125" s="31" t="s">
        <v>5035</v>
      </c>
      <c r="N1125" s="31" t="s">
        <v>467</v>
      </c>
      <c r="O1125" s="31">
        <v>1.0</v>
      </c>
      <c r="P1125" s="34"/>
      <c r="Q1125" s="31" t="s">
        <v>307</v>
      </c>
      <c r="R1125" s="32">
        <v>35066.0</v>
      </c>
      <c r="S1125" s="31" t="s">
        <v>560</v>
      </c>
      <c r="T1125" s="31" t="s">
        <v>479</v>
      </c>
      <c r="U1125" s="31" t="s">
        <v>460</v>
      </c>
      <c r="V1125" s="31" t="s">
        <v>3419</v>
      </c>
      <c r="W1125" s="34"/>
    </row>
    <row r="1126">
      <c r="A1126" s="30">
        <v>1.121</v>
      </c>
      <c r="B1126" s="31" t="s">
        <v>5036</v>
      </c>
      <c r="C1126" s="31" t="s">
        <v>5037</v>
      </c>
      <c r="D1126" s="31" t="s">
        <v>3106</v>
      </c>
      <c r="E1126" s="31" t="s">
        <v>5038</v>
      </c>
      <c r="F1126" s="32">
        <v>43207.0</v>
      </c>
      <c r="G1126" s="32">
        <v>43207.0</v>
      </c>
      <c r="H1126" s="31" t="s">
        <v>453</v>
      </c>
      <c r="I1126" s="31" t="s">
        <v>47</v>
      </c>
      <c r="J1126" s="31" t="s">
        <v>5038</v>
      </c>
      <c r="K1126" s="31" t="s">
        <v>5039</v>
      </c>
      <c r="L1126" s="31" t="s">
        <v>5040</v>
      </c>
      <c r="M1126" s="31" t="s">
        <v>5041</v>
      </c>
      <c r="N1126" s="31" t="s">
        <v>467</v>
      </c>
      <c r="O1126" s="34"/>
      <c r="P1126" s="34"/>
      <c r="Q1126" s="31" t="s">
        <v>307</v>
      </c>
      <c r="R1126" s="32">
        <v>35177.0</v>
      </c>
      <c r="S1126" s="31" t="s">
        <v>490</v>
      </c>
      <c r="T1126" s="31" t="s">
        <v>854</v>
      </c>
      <c r="U1126" s="31" t="s">
        <v>480</v>
      </c>
      <c r="V1126" s="34"/>
      <c r="W1126" s="34"/>
    </row>
    <row r="1127">
      <c r="A1127" s="30">
        <v>1.122</v>
      </c>
      <c r="B1127" s="31" t="s">
        <v>5042</v>
      </c>
      <c r="C1127" s="31" t="s">
        <v>3859</v>
      </c>
      <c r="D1127" s="31" t="s">
        <v>553</v>
      </c>
      <c r="E1127" s="31" t="s">
        <v>3419</v>
      </c>
      <c r="F1127" s="35">
        <v>42324.0</v>
      </c>
      <c r="G1127" s="32">
        <v>42385.0</v>
      </c>
      <c r="H1127" s="31" t="s">
        <v>453</v>
      </c>
      <c r="I1127" s="31" t="s">
        <v>454</v>
      </c>
      <c r="J1127" s="31" t="s">
        <v>3188</v>
      </c>
      <c r="K1127" s="31" t="s">
        <v>3420</v>
      </c>
      <c r="L1127" s="31" t="s">
        <v>558</v>
      </c>
      <c r="M1127" s="31" t="s">
        <v>5043</v>
      </c>
      <c r="N1127" s="31" t="s">
        <v>267</v>
      </c>
      <c r="O1127" s="34"/>
      <c r="P1127" s="34"/>
      <c r="Q1127" s="31" t="s">
        <v>307</v>
      </c>
      <c r="R1127" s="32">
        <v>32758.0</v>
      </c>
      <c r="S1127" s="31" t="s">
        <v>1197</v>
      </c>
      <c r="T1127" s="31" t="s">
        <v>778</v>
      </c>
      <c r="U1127" s="31" t="s">
        <v>460</v>
      </c>
      <c r="V1127" s="31" t="s">
        <v>3419</v>
      </c>
      <c r="W1127" s="34"/>
    </row>
    <row r="1128">
      <c r="A1128" s="30">
        <v>1.123</v>
      </c>
      <c r="B1128" s="31" t="s">
        <v>5044</v>
      </c>
      <c r="C1128" s="31" t="s">
        <v>5045</v>
      </c>
      <c r="D1128" s="31" t="s">
        <v>4828</v>
      </c>
      <c r="E1128" s="31" t="s">
        <v>2893</v>
      </c>
      <c r="F1128" s="32">
        <v>44109.0</v>
      </c>
      <c r="G1128" s="32">
        <v>44170.0</v>
      </c>
      <c r="H1128" s="31" t="s">
        <v>453</v>
      </c>
      <c r="I1128" s="31" t="s">
        <v>566</v>
      </c>
      <c r="J1128" s="31" t="s">
        <v>2888</v>
      </c>
      <c r="K1128" s="31" t="s">
        <v>2894</v>
      </c>
      <c r="L1128" s="31" t="s">
        <v>4829</v>
      </c>
      <c r="M1128" s="31" t="s">
        <v>5046</v>
      </c>
      <c r="N1128" s="31" t="s">
        <v>267</v>
      </c>
      <c r="O1128" s="31">
        <v>1.0</v>
      </c>
      <c r="P1128" s="34"/>
      <c r="Q1128" s="31" t="s">
        <v>307</v>
      </c>
      <c r="R1128" s="32">
        <v>33441.0</v>
      </c>
      <c r="S1128" s="31" t="s">
        <v>560</v>
      </c>
      <c r="T1128" s="31" t="s">
        <v>5047</v>
      </c>
      <c r="U1128" s="31" t="s">
        <v>480</v>
      </c>
      <c r="V1128" s="31" t="s">
        <v>2893</v>
      </c>
      <c r="W1128" s="34"/>
    </row>
    <row r="1129">
      <c r="A1129" s="30">
        <v>1.124</v>
      </c>
      <c r="B1129" s="31" t="s">
        <v>5048</v>
      </c>
      <c r="C1129" s="31" t="s">
        <v>5049</v>
      </c>
      <c r="D1129" s="31" t="s">
        <v>5050</v>
      </c>
      <c r="E1129" s="31" t="s">
        <v>3187</v>
      </c>
      <c r="F1129" s="32">
        <v>40940.0</v>
      </c>
      <c r="G1129" s="32">
        <v>41000.0</v>
      </c>
      <c r="H1129" s="31" t="s">
        <v>453</v>
      </c>
      <c r="I1129" s="31" t="s">
        <v>454</v>
      </c>
      <c r="J1129" s="31" t="s">
        <v>3188</v>
      </c>
      <c r="K1129" s="31" t="s">
        <v>3189</v>
      </c>
      <c r="L1129" s="31" t="s">
        <v>5051</v>
      </c>
      <c r="M1129" s="31" t="s">
        <v>5052</v>
      </c>
      <c r="N1129" s="31" t="s">
        <v>467</v>
      </c>
      <c r="O1129" s="31">
        <v>1.0</v>
      </c>
      <c r="P1129" s="34"/>
      <c r="Q1129" s="31" t="s">
        <v>307</v>
      </c>
      <c r="R1129" s="32">
        <v>32576.0</v>
      </c>
      <c r="S1129" s="31" t="s">
        <v>560</v>
      </c>
      <c r="T1129" s="31" t="s">
        <v>3295</v>
      </c>
      <c r="U1129" s="31" t="s">
        <v>460</v>
      </c>
      <c r="V1129" s="31" t="s">
        <v>3187</v>
      </c>
      <c r="W1129" s="34"/>
    </row>
    <row r="1130">
      <c r="A1130" s="30">
        <v>1.125</v>
      </c>
      <c r="B1130" s="31" t="s">
        <v>5053</v>
      </c>
      <c r="C1130" s="31" t="s">
        <v>5054</v>
      </c>
      <c r="D1130" s="31" t="s">
        <v>4909</v>
      </c>
      <c r="E1130" s="31" t="s">
        <v>4822</v>
      </c>
      <c r="F1130" s="32">
        <v>43353.0</v>
      </c>
      <c r="G1130" s="32">
        <v>43353.0</v>
      </c>
      <c r="H1130" s="31" t="s">
        <v>453</v>
      </c>
      <c r="I1130" s="31" t="s">
        <v>454</v>
      </c>
      <c r="J1130" s="31" t="s">
        <v>4823</v>
      </c>
      <c r="K1130" s="31" t="s">
        <v>4824</v>
      </c>
      <c r="L1130" s="31" t="s">
        <v>4910</v>
      </c>
      <c r="M1130" s="31" t="s">
        <v>5055</v>
      </c>
      <c r="N1130" s="31" t="s">
        <v>467</v>
      </c>
      <c r="O1130" s="34"/>
      <c r="P1130" s="34"/>
      <c r="Q1130" s="31" t="s">
        <v>307</v>
      </c>
      <c r="R1130" s="32">
        <v>35321.0</v>
      </c>
      <c r="S1130" s="31" t="s">
        <v>468</v>
      </c>
      <c r="T1130" s="31" t="s">
        <v>3295</v>
      </c>
      <c r="U1130" s="31" t="s">
        <v>460</v>
      </c>
      <c r="V1130" s="31" t="s">
        <v>4822</v>
      </c>
      <c r="W1130" s="34"/>
    </row>
    <row r="1131">
      <c r="A1131" s="30">
        <v>1.126</v>
      </c>
      <c r="B1131" s="31" t="s">
        <v>5056</v>
      </c>
      <c r="C1131" s="31" t="s">
        <v>1953</v>
      </c>
      <c r="D1131" s="31" t="s">
        <v>553</v>
      </c>
      <c r="E1131" s="31" t="s">
        <v>3419</v>
      </c>
      <c r="F1131" s="32">
        <v>44305.0</v>
      </c>
      <c r="G1131" s="32">
        <v>44366.0</v>
      </c>
      <c r="H1131" s="31" t="s">
        <v>453</v>
      </c>
      <c r="I1131" s="31" t="s">
        <v>454</v>
      </c>
      <c r="J1131" s="31" t="s">
        <v>3188</v>
      </c>
      <c r="K1131" s="31" t="s">
        <v>3420</v>
      </c>
      <c r="L1131" s="31" t="s">
        <v>558</v>
      </c>
      <c r="M1131" s="31" t="s">
        <v>5057</v>
      </c>
      <c r="N1131" s="31" t="s">
        <v>267</v>
      </c>
      <c r="O1131" s="34"/>
      <c r="P1131" s="34"/>
      <c r="Q1131" s="31" t="s">
        <v>307</v>
      </c>
      <c r="R1131" s="35">
        <v>35382.0</v>
      </c>
      <c r="S1131" s="31" t="s">
        <v>717</v>
      </c>
      <c r="T1131" s="31" t="s">
        <v>1522</v>
      </c>
      <c r="U1131" s="31" t="s">
        <v>460</v>
      </c>
      <c r="V1131" s="31" t="s">
        <v>3419</v>
      </c>
      <c r="W1131" s="34"/>
    </row>
    <row r="1132">
      <c r="A1132" s="30">
        <v>1.127</v>
      </c>
      <c r="B1132" s="31" t="s">
        <v>5058</v>
      </c>
      <c r="C1132" s="31" t="s">
        <v>5059</v>
      </c>
      <c r="D1132" s="31" t="s">
        <v>622</v>
      </c>
      <c r="E1132" s="31" t="s">
        <v>41</v>
      </c>
      <c r="F1132" s="32">
        <v>44036.0</v>
      </c>
      <c r="G1132" s="32">
        <v>44098.0</v>
      </c>
      <c r="H1132" s="31" t="s">
        <v>453</v>
      </c>
      <c r="I1132" s="31" t="s">
        <v>41</v>
      </c>
      <c r="J1132" s="34"/>
      <c r="K1132" s="31" t="s">
        <v>623</v>
      </c>
      <c r="L1132" s="31" t="s">
        <v>624</v>
      </c>
      <c r="M1132" s="31" t="s">
        <v>5060</v>
      </c>
      <c r="N1132" s="31" t="s">
        <v>467</v>
      </c>
      <c r="O1132" s="34"/>
      <c r="P1132" s="34"/>
      <c r="Q1132" s="31" t="s">
        <v>307</v>
      </c>
      <c r="R1132" s="32">
        <v>35693.0</v>
      </c>
      <c r="S1132" s="31" t="s">
        <v>4887</v>
      </c>
      <c r="T1132" s="31" t="s">
        <v>828</v>
      </c>
      <c r="U1132" s="31" t="s">
        <v>480</v>
      </c>
      <c r="V1132" s="34"/>
      <c r="W1132" s="34"/>
    </row>
    <row r="1133">
      <c r="A1133" s="30">
        <v>1.128</v>
      </c>
      <c r="B1133" s="31" t="s">
        <v>5061</v>
      </c>
      <c r="C1133" s="31" t="s">
        <v>5062</v>
      </c>
      <c r="D1133" s="31" t="s">
        <v>472</v>
      </c>
      <c r="E1133" s="31" t="s">
        <v>4822</v>
      </c>
      <c r="F1133" s="32">
        <v>43661.0</v>
      </c>
      <c r="G1133" s="32">
        <v>43723.0</v>
      </c>
      <c r="H1133" s="31" t="s">
        <v>453</v>
      </c>
      <c r="I1133" s="31" t="s">
        <v>454</v>
      </c>
      <c r="J1133" s="31" t="s">
        <v>4823</v>
      </c>
      <c r="K1133" s="31" t="s">
        <v>4824</v>
      </c>
      <c r="L1133" s="31" t="s">
        <v>476</v>
      </c>
      <c r="M1133" s="31" t="s">
        <v>5063</v>
      </c>
      <c r="N1133" s="31" t="s">
        <v>467</v>
      </c>
      <c r="O1133" s="34"/>
      <c r="P1133" s="34"/>
      <c r="Q1133" s="31" t="s">
        <v>307</v>
      </c>
      <c r="R1133" s="32">
        <v>35807.0</v>
      </c>
      <c r="S1133" s="31" t="s">
        <v>5064</v>
      </c>
      <c r="T1133" s="31" t="s">
        <v>479</v>
      </c>
      <c r="U1133" s="31" t="s">
        <v>460</v>
      </c>
      <c r="V1133" s="31" t="s">
        <v>4822</v>
      </c>
      <c r="W1133" s="34"/>
    </row>
    <row r="1134">
      <c r="A1134" s="30">
        <v>1.129</v>
      </c>
      <c r="B1134" s="31" t="s">
        <v>5065</v>
      </c>
      <c r="C1134" s="31" t="s">
        <v>5066</v>
      </c>
      <c r="D1134" s="31" t="s">
        <v>472</v>
      </c>
      <c r="E1134" s="31" t="s">
        <v>2902</v>
      </c>
      <c r="F1134" s="32">
        <v>44340.0</v>
      </c>
      <c r="G1134" s="32">
        <v>44401.0</v>
      </c>
      <c r="H1134" s="31" t="s">
        <v>453</v>
      </c>
      <c r="I1134" s="31" t="s">
        <v>454</v>
      </c>
      <c r="J1134" s="31" t="s">
        <v>2903</v>
      </c>
      <c r="K1134" s="31" t="s">
        <v>2904</v>
      </c>
      <c r="L1134" s="31" t="s">
        <v>476</v>
      </c>
      <c r="M1134" s="31" t="s">
        <v>5067</v>
      </c>
      <c r="N1134" s="31" t="s">
        <v>467</v>
      </c>
      <c r="O1134" s="34"/>
      <c r="P1134" s="34"/>
      <c r="Q1134" s="31" t="s">
        <v>307</v>
      </c>
      <c r="R1134" s="32">
        <v>36335.0</v>
      </c>
      <c r="S1134" s="31" t="s">
        <v>560</v>
      </c>
      <c r="T1134" s="31" t="s">
        <v>752</v>
      </c>
      <c r="U1134" s="31" t="s">
        <v>480</v>
      </c>
      <c r="V1134" s="31" t="s">
        <v>2902</v>
      </c>
      <c r="W1134" s="34"/>
    </row>
    <row r="1135">
      <c r="A1135" s="30">
        <v>1.13</v>
      </c>
      <c r="B1135" s="31" t="s">
        <v>5068</v>
      </c>
      <c r="C1135" s="31" t="s">
        <v>5069</v>
      </c>
      <c r="D1135" s="31" t="s">
        <v>5070</v>
      </c>
      <c r="E1135" s="31" t="s">
        <v>41</v>
      </c>
      <c r="F1135" s="32">
        <v>42614.0</v>
      </c>
      <c r="G1135" s="32">
        <v>42675.0</v>
      </c>
      <c r="H1135" s="31" t="s">
        <v>453</v>
      </c>
      <c r="I1135" s="31" t="s">
        <v>41</v>
      </c>
      <c r="J1135" s="34"/>
      <c r="K1135" s="31" t="s">
        <v>623</v>
      </c>
      <c r="L1135" s="31" t="s">
        <v>5071</v>
      </c>
      <c r="M1135" s="31" t="s">
        <v>5072</v>
      </c>
      <c r="N1135" s="31" t="s">
        <v>267</v>
      </c>
      <c r="O1135" s="31">
        <v>1.0</v>
      </c>
      <c r="P1135" s="34"/>
      <c r="Q1135" s="31" t="s">
        <v>307</v>
      </c>
      <c r="R1135" s="35">
        <v>34696.0</v>
      </c>
      <c r="S1135" s="31" t="s">
        <v>531</v>
      </c>
      <c r="T1135" s="31" t="s">
        <v>686</v>
      </c>
      <c r="U1135" s="31" t="s">
        <v>480</v>
      </c>
      <c r="V1135" s="34"/>
      <c r="W1135" s="34"/>
    </row>
    <row r="1136">
      <c r="A1136" s="30">
        <v>1.131</v>
      </c>
      <c r="B1136" s="31" t="s">
        <v>5073</v>
      </c>
      <c r="C1136" s="31" t="s">
        <v>3073</v>
      </c>
      <c r="D1136" s="31" t="s">
        <v>553</v>
      </c>
      <c r="E1136" s="31" t="s">
        <v>3419</v>
      </c>
      <c r="F1136" s="32">
        <v>44411.0</v>
      </c>
      <c r="G1136" s="32">
        <v>44472.0</v>
      </c>
      <c r="H1136" s="31" t="s">
        <v>453</v>
      </c>
      <c r="I1136" s="31" t="s">
        <v>454</v>
      </c>
      <c r="J1136" s="31" t="s">
        <v>3188</v>
      </c>
      <c r="K1136" s="31" t="s">
        <v>3420</v>
      </c>
      <c r="L1136" s="31" t="s">
        <v>558</v>
      </c>
      <c r="M1136" s="31" t="s">
        <v>5074</v>
      </c>
      <c r="N1136" s="31" t="s">
        <v>267</v>
      </c>
      <c r="O1136" s="34"/>
      <c r="P1136" s="34"/>
      <c r="Q1136" s="31" t="s">
        <v>307</v>
      </c>
      <c r="R1136" s="32">
        <v>33622.0</v>
      </c>
      <c r="S1136" s="31" t="s">
        <v>531</v>
      </c>
      <c r="T1136" s="31" t="s">
        <v>1281</v>
      </c>
      <c r="U1136" s="31" t="s">
        <v>460</v>
      </c>
      <c r="V1136" s="31" t="s">
        <v>3419</v>
      </c>
      <c r="W1136" s="34"/>
    </row>
    <row r="1137">
      <c r="A1137" s="30">
        <v>1.132</v>
      </c>
      <c r="B1137" s="31" t="s">
        <v>5075</v>
      </c>
      <c r="C1137" s="31" t="s">
        <v>5076</v>
      </c>
      <c r="D1137" s="31" t="s">
        <v>615</v>
      </c>
      <c r="E1137" s="31" t="s">
        <v>2887</v>
      </c>
      <c r="F1137" s="32">
        <v>43647.0</v>
      </c>
      <c r="G1137" s="32">
        <v>43709.0</v>
      </c>
      <c r="H1137" s="31" t="s">
        <v>453</v>
      </c>
      <c r="I1137" s="31" t="s">
        <v>566</v>
      </c>
      <c r="J1137" s="31" t="s">
        <v>2888</v>
      </c>
      <c r="K1137" s="31" t="s">
        <v>2889</v>
      </c>
      <c r="L1137" s="31" t="s">
        <v>618</v>
      </c>
      <c r="M1137" s="31" t="s">
        <v>5077</v>
      </c>
      <c r="N1137" s="31" t="s">
        <v>467</v>
      </c>
      <c r="O1137" s="34"/>
      <c r="P1137" s="34"/>
      <c r="Q1137" s="31" t="s">
        <v>307</v>
      </c>
      <c r="R1137" s="32">
        <v>34444.0</v>
      </c>
      <c r="S1137" s="31" t="s">
        <v>320</v>
      </c>
      <c r="T1137" s="31" t="s">
        <v>5078</v>
      </c>
      <c r="U1137" s="31" t="s">
        <v>480</v>
      </c>
      <c r="V1137" s="31" t="s">
        <v>2887</v>
      </c>
      <c r="W1137" s="34"/>
    </row>
    <row r="1138">
      <c r="A1138" s="30">
        <v>1.133</v>
      </c>
      <c r="B1138" s="31" t="s">
        <v>5079</v>
      </c>
      <c r="C1138" s="31" t="s">
        <v>5080</v>
      </c>
      <c r="D1138" s="31" t="s">
        <v>553</v>
      </c>
      <c r="E1138" s="31" t="s">
        <v>3419</v>
      </c>
      <c r="F1138" s="35">
        <v>43430.0</v>
      </c>
      <c r="G1138" s="32">
        <v>43491.0</v>
      </c>
      <c r="H1138" s="31" t="s">
        <v>453</v>
      </c>
      <c r="I1138" s="31" t="s">
        <v>454</v>
      </c>
      <c r="J1138" s="31" t="s">
        <v>3188</v>
      </c>
      <c r="K1138" s="31" t="s">
        <v>3420</v>
      </c>
      <c r="L1138" s="31" t="s">
        <v>558</v>
      </c>
      <c r="M1138" s="31" t="s">
        <v>5081</v>
      </c>
      <c r="N1138" s="31" t="s">
        <v>267</v>
      </c>
      <c r="O1138" s="34"/>
      <c r="P1138" s="34"/>
      <c r="Q1138" s="31" t="s">
        <v>307</v>
      </c>
      <c r="R1138" s="32">
        <v>33669.0</v>
      </c>
      <c r="S1138" s="31" t="s">
        <v>626</v>
      </c>
      <c r="T1138" s="31" t="s">
        <v>686</v>
      </c>
      <c r="U1138" s="31" t="s">
        <v>460</v>
      </c>
      <c r="V1138" s="31" t="s">
        <v>3419</v>
      </c>
      <c r="W1138" s="34"/>
    </row>
    <row r="1139">
      <c r="A1139" s="30">
        <v>1.134</v>
      </c>
      <c r="B1139" s="31" t="s">
        <v>5082</v>
      </c>
      <c r="C1139" s="31" t="s">
        <v>5083</v>
      </c>
      <c r="D1139" s="31" t="s">
        <v>5084</v>
      </c>
      <c r="E1139" s="31" t="s">
        <v>4917</v>
      </c>
      <c r="F1139" s="35">
        <v>44125.0</v>
      </c>
      <c r="G1139" s="35">
        <v>44186.0</v>
      </c>
      <c r="H1139" s="31" t="s">
        <v>453</v>
      </c>
      <c r="I1139" s="31" t="s">
        <v>454</v>
      </c>
      <c r="J1139" s="31" t="s">
        <v>4917</v>
      </c>
      <c r="K1139" s="31" t="s">
        <v>4918</v>
      </c>
      <c r="L1139" s="31" t="s">
        <v>5085</v>
      </c>
      <c r="M1139" s="31" t="s">
        <v>5086</v>
      </c>
      <c r="N1139" s="31" t="s">
        <v>267</v>
      </c>
      <c r="O1139" s="31">
        <v>1.0</v>
      </c>
      <c r="P1139" s="34"/>
      <c r="Q1139" s="31" t="s">
        <v>307</v>
      </c>
      <c r="R1139" s="35">
        <v>36081.0</v>
      </c>
      <c r="S1139" s="31" t="s">
        <v>1800</v>
      </c>
      <c r="T1139" s="31" t="s">
        <v>3116</v>
      </c>
      <c r="U1139" s="31" t="s">
        <v>480</v>
      </c>
      <c r="V1139" s="34"/>
      <c r="W1139" s="34"/>
    </row>
    <row r="1140">
      <c r="A1140" s="30">
        <v>1.135</v>
      </c>
      <c r="B1140" s="31" t="s">
        <v>5087</v>
      </c>
      <c r="C1140" s="31" t="s">
        <v>1065</v>
      </c>
      <c r="D1140" s="31" t="s">
        <v>472</v>
      </c>
      <c r="E1140" s="31" t="s">
        <v>2874</v>
      </c>
      <c r="F1140" s="32">
        <v>44308.0</v>
      </c>
      <c r="G1140" s="32">
        <v>44369.0</v>
      </c>
      <c r="H1140" s="31" t="s">
        <v>453</v>
      </c>
      <c r="I1140" s="31" t="s">
        <v>52</v>
      </c>
      <c r="J1140" s="31" t="s">
        <v>2874</v>
      </c>
      <c r="K1140" s="31" t="s">
        <v>2875</v>
      </c>
      <c r="L1140" s="31" t="s">
        <v>476</v>
      </c>
      <c r="M1140" s="31" t="s">
        <v>5088</v>
      </c>
      <c r="N1140" s="31" t="s">
        <v>467</v>
      </c>
      <c r="O1140" s="34"/>
      <c r="P1140" s="34"/>
      <c r="Q1140" s="31" t="s">
        <v>307</v>
      </c>
      <c r="R1140" s="32">
        <v>36161.0</v>
      </c>
      <c r="S1140" s="31" t="s">
        <v>468</v>
      </c>
      <c r="T1140" s="31" t="s">
        <v>718</v>
      </c>
      <c r="U1140" s="31" t="s">
        <v>643</v>
      </c>
      <c r="V1140" s="34"/>
      <c r="W1140" s="34"/>
    </row>
    <row r="1141">
      <c r="A1141" s="30">
        <v>1.136</v>
      </c>
      <c r="B1141" s="31" t="s">
        <v>5089</v>
      </c>
      <c r="C1141" s="31" t="s">
        <v>5090</v>
      </c>
      <c r="D1141" s="31" t="s">
        <v>4828</v>
      </c>
      <c r="E1141" s="31" t="s">
        <v>5091</v>
      </c>
      <c r="F1141" s="32">
        <v>44308.0</v>
      </c>
      <c r="G1141" s="32">
        <v>44369.0</v>
      </c>
      <c r="H1141" s="31" t="s">
        <v>453</v>
      </c>
      <c r="I1141" s="31" t="s">
        <v>2835</v>
      </c>
      <c r="J1141" s="31" t="s">
        <v>4612</v>
      </c>
      <c r="K1141" s="31" t="s">
        <v>5092</v>
      </c>
      <c r="L1141" s="31" t="s">
        <v>4829</v>
      </c>
      <c r="M1141" s="31" t="s">
        <v>5093</v>
      </c>
      <c r="N1141" s="31" t="s">
        <v>267</v>
      </c>
      <c r="O1141" s="31">
        <v>1.0</v>
      </c>
      <c r="P1141" s="34"/>
      <c r="Q1141" s="31" t="s">
        <v>307</v>
      </c>
      <c r="R1141" s="32">
        <v>35550.0</v>
      </c>
      <c r="S1141" s="31" t="s">
        <v>502</v>
      </c>
      <c r="T1141" s="31" t="s">
        <v>582</v>
      </c>
      <c r="U1141" s="31" t="s">
        <v>480</v>
      </c>
      <c r="V1141" s="31" t="s">
        <v>5091</v>
      </c>
      <c r="W1141" s="34"/>
    </row>
    <row r="1142">
      <c r="A1142" s="30">
        <v>1.137</v>
      </c>
      <c r="B1142" s="31" t="s">
        <v>5094</v>
      </c>
      <c r="C1142" s="31" t="s">
        <v>5095</v>
      </c>
      <c r="D1142" s="31" t="s">
        <v>553</v>
      </c>
      <c r="E1142" s="31" t="s">
        <v>2681</v>
      </c>
      <c r="F1142" s="32">
        <v>44410.0</v>
      </c>
      <c r="G1142" s="32">
        <v>44471.0</v>
      </c>
      <c r="H1142" s="31" t="s">
        <v>453</v>
      </c>
      <c r="I1142" s="31" t="s">
        <v>454</v>
      </c>
      <c r="J1142" s="31" t="s">
        <v>2682</v>
      </c>
      <c r="K1142" s="31" t="s">
        <v>2683</v>
      </c>
      <c r="L1142" s="31" t="s">
        <v>558</v>
      </c>
      <c r="M1142" s="31" t="s">
        <v>5096</v>
      </c>
      <c r="N1142" s="31" t="s">
        <v>267</v>
      </c>
      <c r="O1142" s="34"/>
      <c r="P1142" s="34"/>
      <c r="Q1142" s="31" t="s">
        <v>307</v>
      </c>
      <c r="R1142" s="35">
        <v>35714.0</v>
      </c>
      <c r="S1142" s="31" t="s">
        <v>591</v>
      </c>
      <c r="T1142" s="31" t="s">
        <v>3090</v>
      </c>
      <c r="U1142" s="31" t="s">
        <v>480</v>
      </c>
      <c r="V1142" s="31" t="s">
        <v>2681</v>
      </c>
      <c r="W1142" s="34"/>
    </row>
    <row r="1143">
      <c r="A1143" s="30">
        <v>1.138</v>
      </c>
      <c r="B1143" s="31" t="s">
        <v>5097</v>
      </c>
      <c r="C1143" s="31" t="s">
        <v>5098</v>
      </c>
      <c r="D1143" s="31" t="s">
        <v>5070</v>
      </c>
      <c r="E1143" s="31" t="s">
        <v>41</v>
      </c>
      <c r="F1143" s="32">
        <v>42171.0</v>
      </c>
      <c r="G1143" s="32">
        <v>42232.0</v>
      </c>
      <c r="H1143" s="31" t="s">
        <v>453</v>
      </c>
      <c r="I1143" s="31" t="s">
        <v>41</v>
      </c>
      <c r="J1143" s="34"/>
      <c r="K1143" s="31" t="s">
        <v>623</v>
      </c>
      <c r="L1143" s="31" t="s">
        <v>5071</v>
      </c>
      <c r="M1143" s="31" t="s">
        <v>5099</v>
      </c>
      <c r="N1143" s="31" t="s">
        <v>267</v>
      </c>
      <c r="O1143" s="31">
        <v>1.0</v>
      </c>
      <c r="P1143" s="34"/>
      <c r="Q1143" s="31" t="s">
        <v>307</v>
      </c>
      <c r="R1143" s="32">
        <v>33706.0</v>
      </c>
      <c r="S1143" s="31" t="s">
        <v>531</v>
      </c>
      <c r="T1143" s="31" t="s">
        <v>5100</v>
      </c>
      <c r="U1143" s="31" t="s">
        <v>480</v>
      </c>
      <c r="V1143" s="34"/>
      <c r="W1143" s="34"/>
    </row>
    <row r="1144">
      <c r="A1144" s="30">
        <v>1.139</v>
      </c>
      <c r="B1144" s="31" t="s">
        <v>5101</v>
      </c>
      <c r="C1144" s="31" t="s">
        <v>5102</v>
      </c>
      <c r="D1144" s="31" t="s">
        <v>553</v>
      </c>
      <c r="E1144" s="31" t="s">
        <v>4983</v>
      </c>
      <c r="F1144" s="32">
        <v>43899.0</v>
      </c>
      <c r="G1144" s="32">
        <v>43960.0</v>
      </c>
      <c r="H1144" s="31" t="s">
        <v>453</v>
      </c>
      <c r="I1144" s="31" t="s">
        <v>4330</v>
      </c>
      <c r="J1144" s="31" t="s">
        <v>4331</v>
      </c>
      <c r="K1144" s="31" t="s">
        <v>4984</v>
      </c>
      <c r="L1144" s="31" t="s">
        <v>558</v>
      </c>
      <c r="M1144" s="31" t="s">
        <v>5103</v>
      </c>
      <c r="N1144" s="31" t="s">
        <v>267</v>
      </c>
      <c r="O1144" s="34"/>
      <c r="P1144" s="34"/>
      <c r="Q1144" s="31" t="s">
        <v>307</v>
      </c>
      <c r="R1144" s="32">
        <v>34552.0</v>
      </c>
      <c r="S1144" s="31" t="s">
        <v>626</v>
      </c>
      <c r="T1144" s="31" t="s">
        <v>686</v>
      </c>
      <c r="U1144" s="31" t="s">
        <v>460</v>
      </c>
      <c r="V1144" s="31" t="s">
        <v>4983</v>
      </c>
      <c r="W1144" s="34"/>
    </row>
    <row r="1145">
      <c r="A1145" s="30">
        <v>1.14</v>
      </c>
      <c r="B1145" s="31" t="s">
        <v>5104</v>
      </c>
      <c r="C1145" s="31" t="s">
        <v>5105</v>
      </c>
      <c r="D1145" s="31" t="s">
        <v>499</v>
      </c>
      <c r="E1145" s="31" t="s">
        <v>5106</v>
      </c>
      <c r="F1145" s="32">
        <v>43885.0</v>
      </c>
      <c r="G1145" s="32">
        <v>43945.0</v>
      </c>
      <c r="H1145" s="31" t="s">
        <v>453</v>
      </c>
      <c r="I1145" s="31" t="s">
        <v>454</v>
      </c>
      <c r="J1145" s="31" t="s">
        <v>5107</v>
      </c>
      <c r="K1145" s="31" t="s">
        <v>5108</v>
      </c>
      <c r="L1145" s="31" t="s">
        <v>500</v>
      </c>
      <c r="M1145" s="31" t="s">
        <v>5109</v>
      </c>
      <c r="N1145" s="31" t="s">
        <v>467</v>
      </c>
      <c r="O1145" s="31">
        <v>1.0</v>
      </c>
      <c r="P1145" s="34"/>
      <c r="Q1145" s="31" t="s">
        <v>307</v>
      </c>
      <c r="R1145" s="32">
        <v>35677.0</v>
      </c>
      <c r="S1145" s="31" t="s">
        <v>495</v>
      </c>
      <c r="T1145" s="31" t="s">
        <v>752</v>
      </c>
      <c r="U1145" s="31" t="s">
        <v>480</v>
      </c>
      <c r="V1145" s="31" t="s">
        <v>5106</v>
      </c>
      <c r="W1145" s="34"/>
    </row>
    <row r="1146">
      <c r="A1146" s="30">
        <v>1.141</v>
      </c>
      <c r="B1146" s="31" t="s">
        <v>5110</v>
      </c>
      <c r="C1146" s="31" t="s">
        <v>5111</v>
      </c>
      <c r="D1146" s="31" t="s">
        <v>622</v>
      </c>
      <c r="E1146" s="31" t="s">
        <v>41</v>
      </c>
      <c r="F1146" s="32">
        <v>42614.0</v>
      </c>
      <c r="G1146" s="32">
        <v>42675.0</v>
      </c>
      <c r="H1146" s="31" t="s">
        <v>453</v>
      </c>
      <c r="I1146" s="31" t="s">
        <v>41</v>
      </c>
      <c r="J1146" s="34"/>
      <c r="K1146" s="31" t="s">
        <v>623</v>
      </c>
      <c r="L1146" s="31" t="s">
        <v>624</v>
      </c>
      <c r="M1146" s="31" t="s">
        <v>5112</v>
      </c>
      <c r="N1146" s="31" t="s">
        <v>267</v>
      </c>
      <c r="O1146" s="34"/>
      <c r="P1146" s="34"/>
      <c r="Q1146" s="31" t="s">
        <v>307</v>
      </c>
      <c r="R1146" s="32">
        <v>33144.0</v>
      </c>
      <c r="S1146" s="31" t="s">
        <v>531</v>
      </c>
      <c r="T1146" s="31" t="s">
        <v>5113</v>
      </c>
      <c r="U1146" s="31" t="s">
        <v>480</v>
      </c>
      <c r="V1146" s="34"/>
      <c r="W1146" s="34"/>
    </row>
    <row r="1147">
      <c r="A1147" s="30">
        <v>1.142</v>
      </c>
      <c r="B1147" s="31" t="s">
        <v>5114</v>
      </c>
      <c r="C1147" s="31" t="s">
        <v>4604</v>
      </c>
      <c r="D1147" s="31" t="s">
        <v>472</v>
      </c>
      <c r="E1147" s="31" t="s">
        <v>4983</v>
      </c>
      <c r="F1147" s="32">
        <v>44077.0</v>
      </c>
      <c r="G1147" s="32">
        <v>44138.0</v>
      </c>
      <c r="H1147" s="31" t="s">
        <v>453</v>
      </c>
      <c r="I1147" s="31" t="s">
        <v>4330</v>
      </c>
      <c r="J1147" s="31" t="s">
        <v>4331</v>
      </c>
      <c r="K1147" s="31" t="s">
        <v>4984</v>
      </c>
      <c r="L1147" s="31" t="s">
        <v>476</v>
      </c>
      <c r="M1147" s="31" t="s">
        <v>5115</v>
      </c>
      <c r="N1147" s="31" t="s">
        <v>467</v>
      </c>
      <c r="O1147" s="34"/>
      <c r="P1147" s="34"/>
      <c r="Q1147" s="31" t="s">
        <v>307</v>
      </c>
      <c r="R1147" s="32">
        <v>36381.0</v>
      </c>
      <c r="S1147" s="31" t="s">
        <v>490</v>
      </c>
      <c r="T1147" s="31" t="s">
        <v>479</v>
      </c>
      <c r="U1147" s="31" t="s">
        <v>460</v>
      </c>
      <c r="V1147" s="31" t="s">
        <v>4983</v>
      </c>
      <c r="W1147" s="34"/>
    </row>
    <row r="1148">
      <c r="A1148" s="30">
        <v>1.143</v>
      </c>
      <c r="B1148" s="31" t="s">
        <v>5116</v>
      </c>
      <c r="C1148" s="31" t="s">
        <v>5117</v>
      </c>
      <c r="D1148" s="31" t="s">
        <v>615</v>
      </c>
      <c r="E1148" s="31" t="s">
        <v>5118</v>
      </c>
      <c r="F1148" s="32">
        <v>43966.0</v>
      </c>
      <c r="G1148" s="32">
        <v>44027.0</v>
      </c>
      <c r="H1148" s="31" t="s">
        <v>453</v>
      </c>
      <c r="I1148" s="31" t="s">
        <v>454</v>
      </c>
      <c r="J1148" s="31" t="s">
        <v>4823</v>
      </c>
      <c r="K1148" s="31" t="s">
        <v>5119</v>
      </c>
      <c r="L1148" s="31" t="s">
        <v>618</v>
      </c>
      <c r="M1148" s="31" t="s">
        <v>5120</v>
      </c>
      <c r="N1148" s="31" t="s">
        <v>467</v>
      </c>
      <c r="O1148" s="34"/>
      <c r="P1148" s="34"/>
      <c r="Q1148" s="31" t="s">
        <v>307</v>
      </c>
      <c r="R1148" s="32">
        <v>34521.0</v>
      </c>
      <c r="S1148" s="31" t="s">
        <v>4976</v>
      </c>
      <c r="T1148" s="31" t="s">
        <v>5121</v>
      </c>
      <c r="U1148" s="31" t="s">
        <v>460</v>
      </c>
      <c r="V1148" s="31" t="s">
        <v>5118</v>
      </c>
      <c r="W1148" s="34"/>
    </row>
    <row r="1149">
      <c r="A1149" s="30">
        <v>1.144</v>
      </c>
      <c r="B1149" s="31" t="s">
        <v>5122</v>
      </c>
      <c r="C1149" s="31" t="s">
        <v>5123</v>
      </c>
      <c r="D1149" s="31" t="s">
        <v>472</v>
      </c>
      <c r="E1149" s="31" t="s">
        <v>5124</v>
      </c>
      <c r="F1149" s="32">
        <v>43864.0</v>
      </c>
      <c r="G1149" s="32">
        <v>43924.0</v>
      </c>
      <c r="H1149" s="31" t="s">
        <v>453</v>
      </c>
      <c r="I1149" s="31" t="s">
        <v>454</v>
      </c>
      <c r="J1149" s="31" t="s">
        <v>4823</v>
      </c>
      <c r="K1149" s="31" t="s">
        <v>5125</v>
      </c>
      <c r="L1149" s="31" t="s">
        <v>476</v>
      </c>
      <c r="M1149" s="31" t="s">
        <v>5126</v>
      </c>
      <c r="N1149" s="31" t="s">
        <v>467</v>
      </c>
      <c r="O1149" s="34"/>
      <c r="P1149" s="34"/>
      <c r="Q1149" s="31" t="s">
        <v>307</v>
      </c>
      <c r="R1149" s="32">
        <v>33847.0</v>
      </c>
      <c r="S1149" s="31" t="s">
        <v>560</v>
      </c>
      <c r="T1149" s="31" t="s">
        <v>5127</v>
      </c>
      <c r="U1149" s="31" t="s">
        <v>460</v>
      </c>
      <c r="V1149" s="31" t="s">
        <v>5124</v>
      </c>
      <c r="W1149" s="34"/>
    </row>
    <row r="1150">
      <c r="A1150" s="30">
        <v>1.145</v>
      </c>
      <c r="B1150" s="31" t="s">
        <v>5128</v>
      </c>
      <c r="C1150" s="31" t="s">
        <v>4491</v>
      </c>
      <c r="D1150" s="31" t="s">
        <v>472</v>
      </c>
      <c r="E1150" s="31" t="s">
        <v>2675</v>
      </c>
      <c r="F1150" s="32">
        <v>43885.0</v>
      </c>
      <c r="G1150" s="32">
        <v>43945.0</v>
      </c>
      <c r="H1150" s="31" t="s">
        <v>453</v>
      </c>
      <c r="I1150" s="31" t="s">
        <v>454</v>
      </c>
      <c r="J1150" s="31" t="s">
        <v>2676</v>
      </c>
      <c r="K1150" s="31" t="s">
        <v>2677</v>
      </c>
      <c r="L1150" s="31" t="s">
        <v>476</v>
      </c>
      <c r="M1150" s="31" t="s">
        <v>5129</v>
      </c>
      <c r="N1150" s="31" t="s">
        <v>467</v>
      </c>
      <c r="O1150" s="34"/>
      <c r="P1150" s="34"/>
      <c r="Q1150" s="31" t="s">
        <v>307</v>
      </c>
      <c r="R1150" s="32">
        <v>36232.0</v>
      </c>
      <c r="S1150" s="31" t="s">
        <v>560</v>
      </c>
      <c r="T1150" s="31" t="s">
        <v>479</v>
      </c>
      <c r="U1150" s="31" t="s">
        <v>480</v>
      </c>
      <c r="V1150" s="31" t="s">
        <v>2675</v>
      </c>
      <c r="W1150" s="34"/>
    </row>
    <row r="1151">
      <c r="A1151" s="30">
        <v>1.146</v>
      </c>
      <c r="B1151" s="31" t="s">
        <v>5130</v>
      </c>
      <c r="C1151" s="31" t="s">
        <v>5131</v>
      </c>
      <c r="D1151" s="31" t="s">
        <v>4996</v>
      </c>
      <c r="E1151" s="31" t="s">
        <v>4671</v>
      </c>
      <c r="F1151" s="32">
        <v>40651.0</v>
      </c>
      <c r="G1151" s="32">
        <v>40712.0</v>
      </c>
      <c r="H1151" s="31" t="s">
        <v>453</v>
      </c>
      <c r="I1151" s="31" t="s">
        <v>454</v>
      </c>
      <c r="J1151" s="31" t="s">
        <v>4671</v>
      </c>
      <c r="K1151" s="31" t="s">
        <v>4672</v>
      </c>
      <c r="L1151" s="31" t="s">
        <v>4998</v>
      </c>
      <c r="M1151" s="31" t="s">
        <v>5132</v>
      </c>
      <c r="N1151" s="31" t="s">
        <v>467</v>
      </c>
      <c r="O1151" s="31">
        <v>3.0</v>
      </c>
      <c r="P1151" s="34"/>
      <c r="Q1151" s="31" t="s">
        <v>307</v>
      </c>
      <c r="R1151" s="35">
        <v>33192.0</v>
      </c>
      <c r="S1151" s="31" t="s">
        <v>560</v>
      </c>
      <c r="T1151" s="31" t="s">
        <v>5133</v>
      </c>
      <c r="U1151" s="31" t="s">
        <v>460</v>
      </c>
      <c r="V1151" s="34"/>
      <c r="W1151" s="34"/>
    </row>
    <row r="1152">
      <c r="A1152" s="30">
        <v>1.147</v>
      </c>
      <c r="B1152" s="31" t="s">
        <v>5134</v>
      </c>
      <c r="C1152" s="31" t="s">
        <v>5135</v>
      </c>
      <c r="D1152" s="31" t="s">
        <v>472</v>
      </c>
      <c r="E1152" s="31" t="s">
        <v>5136</v>
      </c>
      <c r="F1152" s="32">
        <v>43906.0</v>
      </c>
      <c r="G1152" s="32">
        <v>43967.0</v>
      </c>
      <c r="H1152" s="31" t="s">
        <v>453</v>
      </c>
      <c r="I1152" s="31" t="s">
        <v>47</v>
      </c>
      <c r="J1152" s="31" t="s">
        <v>3397</v>
      </c>
      <c r="K1152" s="31" t="s">
        <v>5137</v>
      </c>
      <c r="L1152" s="31" t="s">
        <v>476</v>
      </c>
      <c r="M1152" s="31" t="s">
        <v>5138</v>
      </c>
      <c r="N1152" s="31" t="s">
        <v>467</v>
      </c>
      <c r="O1152" s="34"/>
      <c r="P1152" s="34"/>
      <c r="Q1152" s="31" t="s">
        <v>307</v>
      </c>
      <c r="R1152" s="32">
        <v>35897.0</v>
      </c>
      <c r="S1152" s="31" t="s">
        <v>5064</v>
      </c>
      <c r="T1152" s="31" t="s">
        <v>479</v>
      </c>
      <c r="U1152" s="31" t="s">
        <v>480</v>
      </c>
      <c r="V1152" s="31" t="s">
        <v>5136</v>
      </c>
      <c r="W1152" s="34"/>
    </row>
    <row r="1153">
      <c r="A1153" s="30">
        <v>1.148</v>
      </c>
      <c r="B1153" s="31" t="s">
        <v>5139</v>
      </c>
      <c r="C1153" s="31" t="s">
        <v>5140</v>
      </c>
      <c r="D1153" s="31" t="s">
        <v>4828</v>
      </c>
      <c r="E1153" s="31" t="s">
        <v>4414</v>
      </c>
      <c r="F1153" s="32">
        <v>40609.0</v>
      </c>
      <c r="G1153" s="32">
        <v>40664.0</v>
      </c>
      <c r="H1153" s="31" t="s">
        <v>453</v>
      </c>
      <c r="I1153" s="31" t="s">
        <v>607</v>
      </c>
      <c r="J1153" s="31" t="s">
        <v>4415</v>
      </c>
      <c r="K1153" s="31" t="s">
        <v>4416</v>
      </c>
      <c r="L1153" s="31" t="s">
        <v>4829</v>
      </c>
      <c r="M1153" s="31" t="s">
        <v>5141</v>
      </c>
      <c r="N1153" s="31" t="s">
        <v>267</v>
      </c>
      <c r="O1153" s="31">
        <v>1.0</v>
      </c>
      <c r="P1153" s="34"/>
      <c r="Q1153" s="31" t="s">
        <v>307</v>
      </c>
      <c r="R1153" s="32">
        <v>32415.0</v>
      </c>
      <c r="S1153" s="31" t="s">
        <v>626</v>
      </c>
      <c r="T1153" s="31" t="s">
        <v>686</v>
      </c>
      <c r="U1153" s="31" t="s">
        <v>643</v>
      </c>
      <c r="V1153" s="31" t="s">
        <v>4414</v>
      </c>
      <c r="W1153" s="34"/>
    </row>
    <row r="1154">
      <c r="A1154" s="30">
        <v>1.149</v>
      </c>
      <c r="B1154" s="31" t="s">
        <v>5142</v>
      </c>
      <c r="C1154" s="31" t="s">
        <v>5143</v>
      </c>
      <c r="D1154" s="31" t="s">
        <v>499</v>
      </c>
      <c r="E1154" s="31" t="s">
        <v>3603</v>
      </c>
      <c r="F1154" s="32">
        <v>43657.0</v>
      </c>
      <c r="G1154" s="32">
        <v>43719.0</v>
      </c>
      <c r="H1154" s="31" t="s">
        <v>453</v>
      </c>
      <c r="I1154" s="31" t="s">
        <v>454</v>
      </c>
      <c r="J1154" s="31" t="s">
        <v>3604</v>
      </c>
      <c r="K1154" s="31" t="s">
        <v>3605</v>
      </c>
      <c r="L1154" s="31" t="s">
        <v>500</v>
      </c>
      <c r="M1154" s="31" t="s">
        <v>5144</v>
      </c>
      <c r="N1154" s="31" t="s">
        <v>467</v>
      </c>
      <c r="O1154" s="31">
        <v>1.0</v>
      </c>
      <c r="P1154" s="34"/>
      <c r="Q1154" s="31" t="s">
        <v>307</v>
      </c>
      <c r="R1154" s="32">
        <v>35987.0</v>
      </c>
      <c r="S1154" s="31" t="s">
        <v>502</v>
      </c>
      <c r="T1154" s="31" t="s">
        <v>479</v>
      </c>
      <c r="U1154" s="31" t="s">
        <v>480</v>
      </c>
      <c r="V1154" s="31" t="s">
        <v>3603</v>
      </c>
      <c r="W1154" s="34"/>
    </row>
    <row r="1155">
      <c r="A1155" s="30">
        <v>1.15</v>
      </c>
      <c r="B1155" s="31" t="s">
        <v>5145</v>
      </c>
      <c r="C1155" s="31" t="s">
        <v>5146</v>
      </c>
      <c r="D1155" s="31" t="s">
        <v>472</v>
      </c>
      <c r="E1155" s="31" t="s">
        <v>3419</v>
      </c>
      <c r="F1155" s="32">
        <v>44396.0</v>
      </c>
      <c r="G1155" s="32">
        <v>44458.0</v>
      </c>
      <c r="H1155" s="31" t="s">
        <v>453</v>
      </c>
      <c r="I1155" s="31" t="s">
        <v>454</v>
      </c>
      <c r="J1155" s="31" t="s">
        <v>3188</v>
      </c>
      <c r="K1155" s="31" t="s">
        <v>3420</v>
      </c>
      <c r="L1155" s="31" t="s">
        <v>476</v>
      </c>
      <c r="M1155" s="31" t="s">
        <v>5147</v>
      </c>
      <c r="N1155" s="31" t="s">
        <v>467</v>
      </c>
      <c r="O1155" s="34"/>
      <c r="P1155" s="34"/>
      <c r="Q1155" s="31" t="s">
        <v>307</v>
      </c>
      <c r="R1155" s="35">
        <v>36857.0</v>
      </c>
      <c r="S1155" s="31" t="s">
        <v>3197</v>
      </c>
      <c r="T1155" s="31" t="s">
        <v>3198</v>
      </c>
      <c r="U1155" s="31" t="s">
        <v>460</v>
      </c>
      <c r="V1155" s="31" t="s">
        <v>3419</v>
      </c>
      <c r="W1155" s="34"/>
    </row>
    <row r="1156">
      <c r="A1156" s="30">
        <v>1.151</v>
      </c>
      <c r="B1156" s="31" t="s">
        <v>5148</v>
      </c>
      <c r="C1156" s="31" t="s">
        <v>5149</v>
      </c>
      <c r="D1156" s="31" t="s">
        <v>499</v>
      </c>
      <c r="E1156" s="31" t="s">
        <v>3563</v>
      </c>
      <c r="F1156" s="32">
        <v>44417.0</v>
      </c>
      <c r="G1156" s="32">
        <v>44478.0</v>
      </c>
      <c r="H1156" s="31" t="s">
        <v>453</v>
      </c>
      <c r="I1156" s="31" t="s">
        <v>2835</v>
      </c>
      <c r="J1156" s="31" t="s">
        <v>3564</v>
      </c>
      <c r="K1156" s="31" t="s">
        <v>3565</v>
      </c>
      <c r="L1156" s="31" t="s">
        <v>500</v>
      </c>
      <c r="M1156" s="31" t="s">
        <v>5150</v>
      </c>
      <c r="N1156" s="31" t="s">
        <v>467</v>
      </c>
      <c r="O1156" s="31">
        <v>1.0</v>
      </c>
      <c r="P1156" s="34"/>
      <c r="Q1156" s="31" t="s">
        <v>307</v>
      </c>
      <c r="R1156" s="32">
        <v>33696.0</v>
      </c>
      <c r="S1156" s="31" t="s">
        <v>751</v>
      </c>
      <c r="T1156" s="31" t="s">
        <v>496</v>
      </c>
      <c r="U1156" s="31" t="s">
        <v>480</v>
      </c>
      <c r="V1156" s="31" t="s">
        <v>3563</v>
      </c>
      <c r="W1156" s="34"/>
    </row>
    <row r="1157">
      <c r="A1157" s="30">
        <v>1.152</v>
      </c>
      <c r="B1157" s="31" t="s">
        <v>5151</v>
      </c>
      <c r="C1157" s="31" t="s">
        <v>5152</v>
      </c>
      <c r="D1157" s="31" t="s">
        <v>4828</v>
      </c>
      <c r="E1157" s="31" t="s">
        <v>3419</v>
      </c>
      <c r="F1157" s="32">
        <v>41000.0</v>
      </c>
      <c r="G1157" s="32">
        <v>41091.0</v>
      </c>
      <c r="H1157" s="31" t="s">
        <v>453</v>
      </c>
      <c r="I1157" s="31" t="s">
        <v>454</v>
      </c>
      <c r="J1157" s="31" t="s">
        <v>3188</v>
      </c>
      <c r="K1157" s="31" t="s">
        <v>3420</v>
      </c>
      <c r="L1157" s="31" t="s">
        <v>4829</v>
      </c>
      <c r="M1157" s="31" t="s">
        <v>5153</v>
      </c>
      <c r="N1157" s="31" t="s">
        <v>267</v>
      </c>
      <c r="O1157" s="31">
        <v>1.0</v>
      </c>
      <c r="P1157" s="34"/>
      <c r="Q1157" s="31" t="s">
        <v>307</v>
      </c>
      <c r="R1157" s="32">
        <v>32526.0</v>
      </c>
      <c r="S1157" s="31" t="s">
        <v>838</v>
      </c>
      <c r="T1157" s="31" t="s">
        <v>778</v>
      </c>
      <c r="U1157" s="31" t="s">
        <v>460</v>
      </c>
      <c r="V1157" s="31" t="s">
        <v>3419</v>
      </c>
      <c r="W1157" s="34"/>
    </row>
    <row r="1158">
      <c r="A1158" s="30">
        <v>1.153</v>
      </c>
      <c r="B1158" s="31" t="s">
        <v>5154</v>
      </c>
      <c r="C1158" s="31" t="s">
        <v>5155</v>
      </c>
      <c r="D1158" s="31" t="s">
        <v>499</v>
      </c>
      <c r="E1158" s="31" t="s">
        <v>4991</v>
      </c>
      <c r="F1158" s="32">
        <v>43102.0</v>
      </c>
      <c r="G1158" s="32">
        <v>43161.0</v>
      </c>
      <c r="H1158" s="31" t="s">
        <v>453</v>
      </c>
      <c r="I1158" s="31" t="s">
        <v>454</v>
      </c>
      <c r="J1158" s="31" t="s">
        <v>3217</v>
      </c>
      <c r="K1158" s="31" t="s">
        <v>4992</v>
      </c>
      <c r="L1158" s="31" t="s">
        <v>500</v>
      </c>
      <c r="M1158" s="31" t="s">
        <v>5156</v>
      </c>
      <c r="N1158" s="31" t="s">
        <v>467</v>
      </c>
      <c r="O1158" s="31">
        <v>1.0</v>
      </c>
      <c r="P1158" s="34"/>
      <c r="Q1158" s="31" t="s">
        <v>307</v>
      </c>
      <c r="R1158" s="32">
        <v>33416.0</v>
      </c>
      <c r="S1158" s="31" t="s">
        <v>560</v>
      </c>
      <c r="T1158" s="31" t="s">
        <v>672</v>
      </c>
      <c r="U1158" s="31" t="s">
        <v>480</v>
      </c>
      <c r="V1158" s="31" t="s">
        <v>4991</v>
      </c>
      <c r="W1158" s="34"/>
    </row>
    <row r="1159">
      <c r="A1159" s="30">
        <v>1.154</v>
      </c>
      <c r="B1159" s="31" t="s">
        <v>5157</v>
      </c>
      <c r="C1159" s="31" t="s">
        <v>5158</v>
      </c>
      <c r="D1159" s="31" t="s">
        <v>615</v>
      </c>
      <c r="E1159" s="31" t="s">
        <v>4917</v>
      </c>
      <c r="F1159" s="35">
        <v>43822.0</v>
      </c>
      <c r="G1159" s="32">
        <v>43884.0</v>
      </c>
      <c r="H1159" s="31" t="s">
        <v>453</v>
      </c>
      <c r="I1159" s="31" t="s">
        <v>454</v>
      </c>
      <c r="J1159" s="31" t="s">
        <v>4917</v>
      </c>
      <c r="K1159" s="31" t="s">
        <v>4918</v>
      </c>
      <c r="L1159" s="31" t="s">
        <v>618</v>
      </c>
      <c r="M1159" s="31" t="s">
        <v>5159</v>
      </c>
      <c r="N1159" s="31" t="s">
        <v>467</v>
      </c>
      <c r="O1159" s="34"/>
      <c r="P1159" s="34"/>
      <c r="Q1159" s="31" t="s">
        <v>307</v>
      </c>
      <c r="R1159" s="32">
        <v>34124.0</v>
      </c>
      <c r="S1159" s="31" t="s">
        <v>560</v>
      </c>
      <c r="T1159" s="31" t="s">
        <v>3748</v>
      </c>
      <c r="U1159" s="31" t="s">
        <v>480</v>
      </c>
      <c r="V1159" s="34"/>
      <c r="W1159" s="34"/>
    </row>
    <row r="1160">
      <c r="A1160" s="30">
        <v>1.155</v>
      </c>
      <c r="B1160" s="31" t="s">
        <v>5160</v>
      </c>
      <c r="C1160" s="31" t="s">
        <v>5161</v>
      </c>
      <c r="D1160" s="31" t="s">
        <v>472</v>
      </c>
      <c r="E1160" s="31" t="s">
        <v>4895</v>
      </c>
      <c r="F1160" s="32">
        <v>44389.0</v>
      </c>
      <c r="G1160" s="32">
        <v>44451.0</v>
      </c>
      <c r="H1160" s="31" t="s">
        <v>453</v>
      </c>
      <c r="I1160" s="31" t="s">
        <v>454</v>
      </c>
      <c r="J1160" s="31" t="s">
        <v>4823</v>
      </c>
      <c r="K1160" s="31" t="s">
        <v>4896</v>
      </c>
      <c r="L1160" s="31" t="s">
        <v>476</v>
      </c>
      <c r="M1160" s="31" t="s">
        <v>5162</v>
      </c>
      <c r="N1160" s="31" t="s">
        <v>467</v>
      </c>
      <c r="O1160" s="34"/>
      <c r="P1160" s="34"/>
      <c r="Q1160" s="31" t="s">
        <v>307</v>
      </c>
      <c r="R1160" s="32">
        <v>36742.0</v>
      </c>
      <c r="S1160" s="31" t="s">
        <v>3197</v>
      </c>
      <c r="T1160" s="31" t="s">
        <v>3198</v>
      </c>
      <c r="U1160" s="31" t="s">
        <v>460</v>
      </c>
      <c r="V1160" s="31" t="s">
        <v>4895</v>
      </c>
      <c r="W1160" s="34"/>
    </row>
    <row r="1161">
      <c r="A1161" s="30">
        <v>1.156</v>
      </c>
      <c r="B1161" s="31" t="s">
        <v>5163</v>
      </c>
      <c r="C1161" s="31" t="s">
        <v>5164</v>
      </c>
      <c r="D1161" s="31" t="s">
        <v>3644</v>
      </c>
      <c r="E1161" s="31" t="s">
        <v>2463</v>
      </c>
      <c r="F1161" s="32">
        <v>38056.0</v>
      </c>
      <c r="G1161" s="32">
        <v>38056.0</v>
      </c>
      <c r="H1161" s="31" t="s">
        <v>453</v>
      </c>
      <c r="I1161" s="31" t="s">
        <v>2717</v>
      </c>
      <c r="J1161" s="31" t="s">
        <v>2463</v>
      </c>
      <c r="K1161" s="31" t="s">
        <v>5165</v>
      </c>
      <c r="L1161" s="31" t="s">
        <v>3646</v>
      </c>
      <c r="M1161" s="31" t="s">
        <v>5166</v>
      </c>
      <c r="N1161" s="31" t="s">
        <v>467</v>
      </c>
      <c r="O1161" s="34"/>
      <c r="P1161" s="34"/>
      <c r="Q1161" s="31" t="s">
        <v>307</v>
      </c>
      <c r="R1161" s="32">
        <v>28860.0</v>
      </c>
      <c r="S1161" s="31" t="s">
        <v>5167</v>
      </c>
      <c r="T1161" s="31" t="s">
        <v>778</v>
      </c>
      <c r="U1161" s="31" t="s">
        <v>480</v>
      </c>
      <c r="V1161" s="34"/>
      <c r="W1161" s="34"/>
    </row>
    <row r="1162">
      <c r="A1162" s="30">
        <v>1.157</v>
      </c>
      <c r="B1162" s="31" t="s">
        <v>5168</v>
      </c>
      <c r="C1162" s="31" t="s">
        <v>5169</v>
      </c>
      <c r="D1162" s="31" t="s">
        <v>615</v>
      </c>
      <c r="E1162" s="31" t="s">
        <v>4329</v>
      </c>
      <c r="F1162" s="35">
        <v>43052.0</v>
      </c>
      <c r="G1162" s="32">
        <v>43113.0</v>
      </c>
      <c r="H1162" s="31" t="s">
        <v>453</v>
      </c>
      <c r="I1162" s="31" t="s">
        <v>4330</v>
      </c>
      <c r="J1162" s="31" t="s">
        <v>4331</v>
      </c>
      <c r="K1162" s="31" t="s">
        <v>4332</v>
      </c>
      <c r="L1162" s="31" t="s">
        <v>618</v>
      </c>
      <c r="M1162" s="31" t="s">
        <v>5170</v>
      </c>
      <c r="N1162" s="31" t="s">
        <v>467</v>
      </c>
      <c r="O1162" s="34"/>
      <c r="P1162" s="34"/>
      <c r="Q1162" s="31" t="s">
        <v>307</v>
      </c>
      <c r="R1162" s="32">
        <v>30822.0</v>
      </c>
      <c r="S1162" s="31" t="s">
        <v>560</v>
      </c>
      <c r="T1162" s="31" t="s">
        <v>4337</v>
      </c>
      <c r="U1162" s="31" t="s">
        <v>460</v>
      </c>
      <c r="V1162" s="31" t="s">
        <v>4329</v>
      </c>
      <c r="W1162" s="34"/>
    </row>
    <row r="1163">
      <c r="A1163" s="30">
        <v>1.158</v>
      </c>
      <c r="B1163" s="31" t="s">
        <v>5171</v>
      </c>
      <c r="C1163" s="31" t="s">
        <v>5172</v>
      </c>
      <c r="D1163" s="31" t="s">
        <v>615</v>
      </c>
      <c r="E1163" s="31" t="s">
        <v>5173</v>
      </c>
      <c r="F1163" s="32">
        <v>44371.0</v>
      </c>
      <c r="G1163" s="32">
        <v>44432.0</v>
      </c>
      <c r="H1163" s="31" t="s">
        <v>453</v>
      </c>
      <c r="I1163" s="31" t="s">
        <v>454</v>
      </c>
      <c r="J1163" s="31" t="s">
        <v>2676</v>
      </c>
      <c r="K1163" s="31" t="s">
        <v>5174</v>
      </c>
      <c r="L1163" s="31" t="s">
        <v>618</v>
      </c>
      <c r="M1163" s="31" t="s">
        <v>5175</v>
      </c>
      <c r="N1163" s="31" t="s">
        <v>267</v>
      </c>
      <c r="O1163" s="34"/>
      <c r="P1163" s="34"/>
      <c r="Q1163" s="31" t="s">
        <v>307</v>
      </c>
      <c r="R1163" s="32">
        <v>35127.0</v>
      </c>
      <c r="S1163" s="31" t="s">
        <v>5176</v>
      </c>
      <c r="T1163" s="31" t="s">
        <v>5177</v>
      </c>
      <c r="U1163" s="31" t="s">
        <v>480</v>
      </c>
      <c r="V1163" s="31" t="s">
        <v>5173</v>
      </c>
      <c r="W1163" s="34"/>
    </row>
    <row r="1164">
      <c r="A1164" s="30">
        <v>1.159</v>
      </c>
      <c r="B1164" s="31" t="s">
        <v>5178</v>
      </c>
      <c r="C1164" s="31" t="s">
        <v>5179</v>
      </c>
      <c r="D1164" s="31" t="s">
        <v>472</v>
      </c>
      <c r="E1164" s="31" t="s">
        <v>3377</v>
      </c>
      <c r="F1164" s="32">
        <v>44340.0</v>
      </c>
      <c r="G1164" s="32">
        <v>44401.0</v>
      </c>
      <c r="H1164" s="31" t="s">
        <v>453</v>
      </c>
      <c r="I1164" s="31" t="s">
        <v>454</v>
      </c>
      <c r="J1164" s="31" t="s">
        <v>3378</v>
      </c>
      <c r="K1164" s="31" t="s">
        <v>3379</v>
      </c>
      <c r="L1164" s="31" t="s">
        <v>476</v>
      </c>
      <c r="M1164" s="31" t="s">
        <v>5180</v>
      </c>
      <c r="N1164" s="31" t="s">
        <v>467</v>
      </c>
      <c r="O1164" s="34"/>
      <c r="P1164" s="34"/>
      <c r="Q1164" s="31" t="s">
        <v>307</v>
      </c>
      <c r="R1164" s="32">
        <v>34542.0</v>
      </c>
      <c r="S1164" s="31" t="s">
        <v>560</v>
      </c>
      <c r="T1164" s="31" t="s">
        <v>5181</v>
      </c>
      <c r="U1164" s="31" t="s">
        <v>460</v>
      </c>
      <c r="V1164" s="31" t="s">
        <v>3377</v>
      </c>
      <c r="W1164" s="34"/>
    </row>
    <row r="1165">
      <c r="A1165" s="30">
        <v>1.16</v>
      </c>
      <c r="B1165" s="31" t="s">
        <v>5182</v>
      </c>
      <c r="C1165" s="31" t="s">
        <v>5183</v>
      </c>
      <c r="D1165" s="31" t="s">
        <v>615</v>
      </c>
      <c r="E1165" s="31" t="s">
        <v>4953</v>
      </c>
      <c r="F1165" s="32">
        <v>42826.0</v>
      </c>
      <c r="G1165" s="32">
        <v>42887.0</v>
      </c>
      <c r="H1165" s="31" t="s">
        <v>453</v>
      </c>
      <c r="I1165" s="31" t="s">
        <v>454</v>
      </c>
      <c r="J1165" s="31" t="s">
        <v>2903</v>
      </c>
      <c r="K1165" s="31" t="s">
        <v>4954</v>
      </c>
      <c r="L1165" s="31" t="s">
        <v>618</v>
      </c>
      <c r="M1165" s="31" t="s">
        <v>5184</v>
      </c>
      <c r="N1165" s="31" t="s">
        <v>467</v>
      </c>
      <c r="O1165" s="34"/>
      <c r="P1165" s="34"/>
      <c r="Q1165" s="31" t="s">
        <v>307</v>
      </c>
      <c r="R1165" s="35">
        <v>33926.0</v>
      </c>
      <c r="S1165" s="31" t="s">
        <v>5185</v>
      </c>
      <c r="T1165" s="31" t="s">
        <v>5186</v>
      </c>
      <c r="U1165" s="31" t="s">
        <v>480</v>
      </c>
      <c r="V1165" s="31" t="s">
        <v>4953</v>
      </c>
      <c r="W1165" s="34"/>
    </row>
    <row r="1166">
      <c r="A1166" s="30">
        <v>1.161</v>
      </c>
      <c r="B1166" s="31" t="s">
        <v>5187</v>
      </c>
      <c r="C1166" s="31" t="s">
        <v>5188</v>
      </c>
      <c r="D1166" s="31" t="s">
        <v>564</v>
      </c>
      <c r="E1166" s="31" t="s">
        <v>556</v>
      </c>
      <c r="F1166" s="35">
        <v>42324.0</v>
      </c>
      <c r="G1166" s="32">
        <v>42385.0</v>
      </c>
      <c r="H1166" s="31" t="s">
        <v>453</v>
      </c>
      <c r="I1166" s="31" t="s">
        <v>555</v>
      </c>
      <c r="J1166" s="31" t="s">
        <v>556</v>
      </c>
      <c r="K1166" s="31" t="s">
        <v>5189</v>
      </c>
      <c r="L1166" s="31" t="s">
        <v>569</v>
      </c>
      <c r="M1166" s="31" t="s">
        <v>5190</v>
      </c>
      <c r="N1166" s="31" t="s">
        <v>267</v>
      </c>
      <c r="O1166" s="34"/>
      <c r="P1166" s="34"/>
      <c r="Q1166" s="31" t="s">
        <v>307</v>
      </c>
      <c r="R1166" s="35">
        <v>32461.0</v>
      </c>
      <c r="S1166" s="31" t="s">
        <v>846</v>
      </c>
      <c r="T1166" s="31" t="s">
        <v>686</v>
      </c>
      <c r="U1166" s="31" t="s">
        <v>480</v>
      </c>
      <c r="V1166" s="34"/>
      <c r="W1166" s="34"/>
    </row>
    <row r="1167">
      <c r="A1167" s="30">
        <v>1.162</v>
      </c>
      <c r="B1167" s="31" t="s">
        <v>5191</v>
      </c>
      <c r="C1167" s="31" t="s">
        <v>5192</v>
      </c>
      <c r="D1167" s="31" t="s">
        <v>5193</v>
      </c>
      <c r="E1167" s="31" t="s">
        <v>5194</v>
      </c>
      <c r="F1167" s="32">
        <v>41395.0</v>
      </c>
      <c r="G1167" s="32">
        <v>41426.0</v>
      </c>
      <c r="H1167" s="31" t="s">
        <v>453</v>
      </c>
      <c r="I1167" s="31" t="s">
        <v>555</v>
      </c>
      <c r="J1167" s="31" t="s">
        <v>5194</v>
      </c>
      <c r="K1167" s="31" t="s">
        <v>5195</v>
      </c>
      <c r="L1167" s="31" t="s">
        <v>5196</v>
      </c>
      <c r="M1167" s="31" t="s">
        <v>5197</v>
      </c>
      <c r="N1167" s="31" t="s">
        <v>467</v>
      </c>
      <c r="O1167" s="34"/>
      <c r="P1167" s="34"/>
      <c r="Q1167" s="31" t="s">
        <v>307</v>
      </c>
      <c r="R1167" s="32">
        <v>33036.0</v>
      </c>
      <c r="S1167" s="31" t="s">
        <v>490</v>
      </c>
      <c r="T1167" s="31" t="s">
        <v>503</v>
      </c>
      <c r="U1167" s="31" t="s">
        <v>480</v>
      </c>
      <c r="V1167" s="34"/>
      <c r="W1167" s="34"/>
    </row>
    <row r="1168">
      <c r="A1168" s="30">
        <v>1.163</v>
      </c>
      <c r="B1168" s="31" t="s">
        <v>5198</v>
      </c>
      <c r="C1168" s="31" t="s">
        <v>5199</v>
      </c>
      <c r="D1168" s="31" t="s">
        <v>622</v>
      </c>
      <c r="E1168" s="31" t="s">
        <v>41</v>
      </c>
      <c r="F1168" s="32">
        <v>42219.0</v>
      </c>
      <c r="G1168" s="32">
        <v>42278.0</v>
      </c>
      <c r="H1168" s="31" t="s">
        <v>453</v>
      </c>
      <c r="I1168" s="31" t="s">
        <v>41</v>
      </c>
      <c r="J1168" s="34"/>
      <c r="K1168" s="31" t="s">
        <v>623</v>
      </c>
      <c r="L1168" s="31" t="s">
        <v>624</v>
      </c>
      <c r="M1168" s="31" t="s">
        <v>5200</v>
      </c>
      <c r="N1168" s="31" t="s">
        <v>267</v>
      </c>
      <c r="O1168" s="34"/>
      <c r="P1168" s="34"/>
      <c r="Q1168" s="31" t="s">
        <v>307</v>
      </c>
      <c r="R1168" s="32">
        <v>34233.0</v>
      </c>
      <c r="S1168" s="31" t="s">
        <v>531</v>
      </c>
      <c r="T1168" s="31" t="s">
        <v>5201</v>
      </c>
      <c r="U1168" s="31" t="s">
        <v>480</v>
      </c>
      <c r="V1168" s="34"/>
      <c r="W1168" s="34"/>
    </row>
    <row r="1169">
      <c r="A1169" s="30">
        <v>1.164</v>
      </c>
      <c r="B1169" s="31" t="s">
        <v>5202</v>
      </c>
      <c r="C1169" s="31" t="s">
        <v>5203</v>
      </c>
      <c r="D1169" s="31" t="s">
        <v>463</v>
      </c>
      <c r="E1169" s="31" t="s">
        <v>5106</v>
      </c>
      <c r="F1169" s="32">
        <v>43353.0</v>
      </c>
      <c r="G1169" s="32">
        <v>43353.0</v>
      </c>
      <c r="H1169" s="31" t="s">
        <v>453</v>
      </c>
      <c r="I1169" s="31" t="s">
        <v>454</v>
      </c>
      <c r="J1169" s="31" t="s">
        <v>5107</v>
      </c>
      <c r="K1169" s="31" t="s">
        <v>5108</v>
      </c>
      <c r="L1169" s="31" t="s">
        <v>465</v>
      </c>
      <c r="M1169" s="31" t="s">
        <v>5204</v>
      </c>
      <c r="N1169" s="31" t="s">
        <v>467</v>
      </c>
      <c r="O1169" s="31">
        <v>2.0</v>
      </c>
      <c r="P1169" s="34"/>
      <c r="Q1169" s="31" t="s">
        <v>307</v>
      </c>
      <c r="R1169" s="32">
        <v>35403.0</v>
      </c>
      <c r="S1169" s="31" t="s">
        <v>560</v>
      </c>
      <c r="T1169" s="31" t="s">
        <v>752</v>
      </c>
      <c r="U1169" s="31" t="s">
        <v>480</v>
      </c>
      <c r="V1169" s="31" t="s">
        <v>5106</v>
      </c>
      <c r="W1169" s="34"/>
    </row>
    <row r="1170">
      <c r="A1170" s="30">
        <v>1.165</v>
      </c>
      <c r="B1170" s="31" t="s">
        <v>5205</v>
      </c>
      <c r="C1170" s="31" t="s">
        <v>5206</v>
      </c>
      <c r="D1170" s="31" t="s">
        <v>3092</v>
      </c>
      <c r="E1170" s="31" t="s">
        <v>5207</v>
      </c>
      <c r="F1170" s="35">
        <v>42293.0</v>
      </c>
      <c r="G1170" s="35">
        <v>42354.0</v>
      </c>
      <c r="H1170" s="31" t="s">
        <v>453</v>
      </c>
      <c r="I1170" s="31" t="s">
        <v>607</v>
      </c>
      <c r="J1170" s="31" t="s">
        <v>5207</v>
      </c>
      <c r="K1170" s="31" t="s">
        <v>5208</v>
      </c>
      <c r="L1170" s="31" t="s">
        <v>5209</v>
      </c>
      <c r="M1170" s="31" t="s">
        <v>5210</v>
      </c>
      <c r="N1170" s="31" t="s">
        <v>467</v>
      </c>
      <c r="O1170" s="34"/>
      <c r="P1170" s="34"/>
      <c r="Q1170" s="31" t="s">
        <v>307</v>
      </c>
      <c r="R1170" s="32">
        <v>33645.0</v>
      </c>
      <c r="S1170" s="31" t="s">
        <v>4675</v>
      </c>
      <c r="T1170" s="31" t="s">
        <v>496</v>
      </c>
      <c r="U1170" s="31" t="s">
        <v>480</v>
      </c>
      <c r="V1170" s="34"/>
      <c r="W1170" s="34"/>
    </row>
    <row r="1171">
      <c r="A1171" s="30">
        <v>1.166</v>
      </c>
      <c r="B1171" s="31" t="s">
        <v>5211</v>
      </c>
      <c r="C1171" s="31" t="s">
        <v>3725</v>
      </c>
      <c r="D1171" s="31" t="s">
        <v>499</v>
      </c>
      <c r="E1171" s="31" t="s">
        <v>3603</v>
      </c>
      <c r="F1171" s="32">
        <v>43472.0</v>
      </c>
      <c r="G1171" s="32">
        <v>43531.0</v>
      </c>
      <c r="H1171" s="31" t="s">
        <v>453</v>
      </c>
      <c r="I1171" s="31" t="s">
        <v>454</v>
      </c>
      <c r="J1171" s="31" t="s">
        <v>3604</v>
      </c>
      <c r="K1171" s="31" t="s">
        <v>3605</v>
      </c>
      <c r="L1171" s="31" t="s">
        <v>500</v>
      </c>
      <c r="M1171" s="31" t="s">
        <v>5212</v>
      </c>
      <c r="N1171" s="31" t="s">
        <v>467</v>
      </c>
      <c r="O1171" s="31">
        <v>1.0</v>
      </c>
      <c r="P1171" s="34"/>
      <c r="Q1171" s="31" t="s">
        <v>307</v>
      </c>
      <c r="R1171" s="32">
        <v>35579.0</v>
      </c>
      <c r="S1171" s="31" t="s">
        <v>490</v>
      </c>
      <c r="T1171" s="31" t="s">
        <v>2685</v>
      </c>
      <c r="U1171" s="31" t="s">
        <v>480</v>
      </c>
      <c r="V1171" s="31" t="s">
        <v>3603</v>
      </c>
      <c r="W1171" s="34"/>
    </row>
    <row r="1172">
      <c r="A1172" s="30">
        <v>1.167</v>
      </c>
      <c r="B1172" s="31" t="s">
        <v>5213</v>
      </c>
      <c r="C1172" s="31" t="s">
        <v>5214</v>
      </c>
      <c r="D1172" s="31" t="s">
        <v>4909</v>
      </c>
      <c r="E1172" s="31" t="s">
        <v>3377</v>
      </c>
      <c r="F1172" s="32">
        <v>42430.0</v>
      </c>
      <c r="G1172" s="32">
        <v>42491.0</v>
      </c>
      <c r="H1172" s="31" t="s">
        <v>453</v>
      </c>
      <c r="I1172" s="31" t="s">
        <v>454</v>
      </c>
      <c r="J1172" s="31" t="s">
        <v>3378</v>
      </c>
      <c r="K1172" s="31" t="s">
        <v>3379</v>
      </c>
      <c r="L1172" s="31" t="s">
        <v>4910</v>
      </c>
      <c r="M1172" s="31" t="s">
        <v>5215</v>
      </c>
      <c r="N1172" s="31" t="s">
        <v>467</v>
      </c>
      <c r="O1172" s="34"/>
      <c r="P1172" s="34"/>
      <c r="Q1172" s="31" t="s">
        <v>307</v>
      </c>
      <c r="R1172" s="32">
        <v>33118.0</v>
      </c>
      <c r="S1172" s="31" t="s">
        <v>468</v>
      </c>
      <c r="T1172" s="31" t="s">
        <v>752</v>
      </c>
      <c r="U1172" s="31" t="s">
        <v>460</v>
      </c>
      <c r="V1172" s="31" t="s">
        <v>3377</v>
      </c>
      <c r="W1172" s="34"/>
    </row>
    <row r="1173">
      <c r="A1173" s="30">
        <v>1.168</v>
      </c>
      <c r="B1173" s="31" t="s">
        <v>5216</v>
      </c>
      <c r="C1173" s="31" t="s">
        <v>5217</v>
      </c>
      <c r="D1173" s="31" t="s">
        <v>472</v>
      </c>
      <c r="E1173" s="31" t="s">
        <v>3419</v>
      </c>
      <c r="F1173" s="32">
        <v>43622.0</v>
      </c>
      <c r="G1173" s="32">
        <v>43683.0</v>
      </c>
      <c r="H1173" s="31" t="s">
        <v>453</v>
      </c>
      <c r="I1173" s="31" t="s">
        <v>454</v>
      </c>
      <c r="J1173" s="31" t="s">
        <v>3188</v>
      </c>
      <c r="K1173" s="31" t="s">
        <v>3420</v>
      </c>
      <c r="L1173" s="31" t="s">
        <v>476</v>
      </c>
      <c r="M1173" s="31" t="s">
        <v>5218</v>
      </c>
      <c r="N1173" s="31" t="s">
        <v>467</v>
      </c>
      <c r="O1173" s="34"/>
      <c r="P1173" s="34"/>
      <c r="Q1173" s="31" t="s">
        <v>307</v>
      </c>
      <c r="R1173" s="32">
        <v>35472.0</v>
      </c>
      <c r="S1173" s="31" t="s">
        <v>560</v>
      </c>
      <c r="T1173" s="31" t="s">
        <v>1370</v>
      </c>
      <c r="U1173" s="31" t="s">
        <v>460</v>
      </c>
      <c r="V1173" s="31" t="s">
        <v>3419</v>
      </c>
      <c r="W1173" s="34"/>
    </row>
    <row r="1174">
      <c r="A1174" s="30">
        <v>1.169</v>
      </c>
      <c r="B1174" s="31" t="s">
        <v>5219</v>
      </c>
      <c r="C1174" s="31" t="s">
        <v>5220</v>
      </c>
      <c r="D1174" s="31" t="s">
        <v>472</v>
      </c>
      <c r="E1174" s="31" t="s">
        <v>4926</v>
      </c>
      <c r="F1174" s="32">
        <v>43718.0</v>
      </c>
      <c r="G1174" s="35">
        <v>43779.0</v>
      </c>
      <c r="H1174" s="31" t="s">
        <v>453</v>
      </c>
      <c r="I1174" s="31" t="s">
        <v>607</v>
      </c>
      <c r="J1174" s="31" t="s">
        <v>4927</v>
      </c>
      <c r="K1174" s="31" t="s">
        <v>4928</v>
      </c>
      <c r="L1174" s="31" t="s">
        <v>476</v>
      </c>
      <c r="M1174" s="31" t="s">
        <v>5221</v>
      </c>
      <c r="N1174" s="31" t="s">
        <v>467</v>
      </c>
      <c r="O1174" s="34"/>
      <c r="P1174" s="34"/>
      <c r="Q1174" s="31" t="s">
        <v>307</v>
      </c>
      <c r="R1174" s="32">
        <v>36026.0</v>
      </c>
      <c r="S1174" s="31" t="s">
        <v>560</v>
      </c>
      <c r="T1174" s="31" t="s">
        <v>496</v>
      </c>
      <c r="U1174" s="31" t="s">
        <v>643</v>
      </c>
      <c r="V1174" s="31" t="s">
        <v>4926</v>
      </c>
      <c r="W1174" s="34"/>
    </row>
    <row r="1175">
      <c r="A1175" s="30">
        <v>1.17</v>
      </c>
      <c r="B1175" s="31" t="s">
        <v>5222</v>
      </c>
      <c r="C1175" s="31" t="s">
        <v>5223</v>
      </c>
      <c r="D1175" s="31" t="s">
        <v>472</v>
      </c>
      <c r="E1175" s="31" t="s">
        <v>2902</v>
      </c>
      <c r="F1175" s="32">
        <v>44330.0</v>
      </c>
      <c r="G1175" s="32">
        <v>44391.0</v>
      </c>
      <c r="H1175" s="31" t="s">
        <v>453</v>
      </c>
      <c r="I1175" s="31" t="s">
        <v>454</v>
      </c>
      <c r="J1175" s="31" t="s">
        <v>2903</v>
      </c>
      <c r="K1175" s="31" t="s">
        <v>2904</v>
      </c>
      <c r="L1175" s="31" t="s">
        <v>476</v>
      </c>
      <c r="M1175" s="31" t="s">
        <v>5224</v>
      </c>
      <c r="N1175" s="31" t="s">
        <v>467</v>
      </c>
      <c r="O1175" s="34"/>
      <c r="P1175" s="34"/>
      <c r="Q1175" s="31" t="s">
        <v>307</v>
      </c>
      <c r="R1175" s="32">
        <v>35943.0</v>
      </c>
      <c r="S1175" s="31" t="s">
        <v>468</v>
      </c>
      <c r="T1175" s="31" t="s">
        <v>4337</v>
      </c>
      <c r="U1175" s="31" t="s">
        <v>480</v>
      </c>
      <c r="V1175" s="31" t="s">
        <v>2902</v>
      </c>
      <c r="W1175" s="34"/>
    </row>
    <row r="1176">
      <c r="A1176" s="30">
        <v>1.171</v>
      </c>
      <c r="B1176" s="31" t="s">
        <v>5225</v>
      </c>
      <c r="C1176" s="31" t="s">
        <v>5226</v>
      </c>
      <c r="D1176" s="31" t="s">
        <v>3132</v>
      </c>
      <c r="E1176" s="31" t="s">
        <v>5227</v>
      </c>
      <c r="F1176" s="35">
        <v>43787.0</v>
      </c>
      <c r="G1176" s="32">
        <v>43848.0</v>
      </c>
      <c r="H1176" s="31" t="s">
        <v>453</v>
      </c>
      <c r="I1176" s="31" t="s">
        <v>454</v>
      </c>
      <c r="J1176" s="31" t="s">
        <v>5228</v>
      </c>
      <c r="K1176" s="31" t="s">
        <v>5229</v>
      </c>
      <c r="L1176" s="31" t="s">
        <v>3380</v>
      </c>
      <c r="M1176" s="31" t="s">
        <v>5230</v>
      </c>
      <c r="N1176" s="31" t="s">
        <v>267</v>
      </c>
      <c r="O1176" s="31">
        <v>2.0</v>
      </c>
      <c r="P1176" s="34"/>
      <c r="Q1176" s="31" t="s">
        <v>307</v>
      </c>
      <c r="R1176" s="35">
        <v>35384.0</v>
      </c>
      <c r="S1176" s="31" t="s">
        <v>458</v>
      </c>
      <c r="T1176" s="31" t="s">
        <v>686</v>
      </c>
      <c r="U1176" s="31" t="s">
        <v>460</v>
      </c>
      <c r="V1176" s="31" t="s">
        <v>5227</v>
      </c>
      <c r="W1176" s="34"/>
    </row>
    <row r="1177">
      <c r="A1177" s="30">
        <v>1.172</v>
      </c>
      <c r="B1177" s="31" t="s">
        <v>5231</v>
      </c>
      <c r="C1177" s="31" t="s">
        <v>5232</v>
      </c>
      <c r="D1177" s="31" t="s">
        <v>463</v>
      </c>
      <c r="E1177" s="31" t="s">
        <v>2893</v>
      </c>
      <c r="F1177" s="32">
        <v>43487.0</v>
      </c>
      <c r="G1177" s="32">
        <v>43546.0</v>
      </c>
      <c r="H1177" s="31" t="s">
        <v>453</v>
      </c>
      <c r="I1177" s="31" t="s">
        <v>566</v>
      </c>
      <c r="J1177" s="31" t="s">
        <v>2888</v>
      </c>
      <c r="K1177" s="31" t="s">
        <v>2894</v>
      </c>
      <c r="L1177" s="31" t="s">
        <v>465</v>
      </c>
      <c r="M1177" s="31" t="s">
        <v>5233</v>
      </c>
      <c r="N1177" s="31" t="s">
        <v>467</v>
      </c>
      <c r="O1177" s="31">
        <v>2.0</v>
      </c>
      <c r="P1177" s="34"/>
      <c r="Q1177" s="31" t="s">
        <v>307</v>
      </c>
      <c r="R1177" s="32">
        <v>35632.0</v>
      </c>
      <c r="S1177" s="31" t="s">
        <v>560</v>
      </c>
      <c r="T1177" s="31" t="s">
        <v>503</v>
      </c>
      <c r="U1177" s="31" t="s">
        <v>480</v>
      </c>
      <c r="V1177" s="31" t="s">
        <v>2893</v>
      </c>
      <c r="W1177" s="34"/>
    </row>
    <row r="1178">
      <c r="A1178" s="30">
        <v>1.173</v>
      </c>
      <c r="B1178" s="31" t="s">
        <v>5234</v>
      </c>
      <c r="C1178" s="31" t="s">
        <v>5235</v>
      </c>
      <c r="D1178" s="31" t="s">
        <v>4828</v>
      </c>
      <c r="E1178" s="31" t="s">
        <v>554</v>
      </c>
      <c r="F1178" s="32">
        <v>43892.0</v>
      </c>
      <c r="G1178" s="32">
        <v>43953.0</v>
      </c>
      <c r="H1178" s="31" t="s">
        <v>453</v>
      </c>
      <c r="I1178" s="31" t="s">
        <v>555</v>
      </c>
      <c r="J1178" s="31" t="s">
        <v>556</v>
      </c>
      <c r="K1178" s="31" t="s">
        <v>557</v>
      </c>
      <c r="L1178" s="31" t="s">
        <v>4829</v>
      </c>
      <c r="M1178" s="31" t="s">
        <v>5236</v>
      </c>
      <c r="N1178" s="31" t="s">
        <v>267</v>
      </c>
      <c r="O1178" s="31">
        <v>1.0</v>
      </c>
      <c r="P1178" s="34"/>
      <c r="Q1178" s="31" t="s">
        <v>307</v>
      </c>
      <c r="R1178" s="32">
        <v>35273.0</v>
      </c>
      <c r="S1178" s="31" t="s">
        <v>560</v>
      </c>
      <c r="T1178" s="31" t="s">
        <v>1242</v>
      </c>
      <c r="U1178" s="31" t="s">
        <v>480</v>
      </c>
      <c r="V1178" s="31" t="s">
        <v>554</v>
      </c>
      <c r="W1178" s="34"/>
    </row>
    <row r="1179">
      <c r="A1179" s="30">
        <v>1.174</v>
      </c>
      <c r="B1179" s="31" t="s">
        <v>5237</v>
      </c>
      <c r="C1179" s="31" t="s">
        <v>5238</v>
      </c>
      <c r="D1179" s="31" t="s">
        <v>472</v>
      </c>
      <c r="E1179" s="31" t="s">
        <v>2834</v>
      </c>
      <c r="F1179" s="32">
        <v>44058.0</v>
      </c>
      <c r="G1179" s="35">
        <v>44119.0</v>
      </c>
      <c r="H1179" s="31" t="s">
        <v>453</v>
      </c>
      <c r="I1179" s="31" t="s">
        <v>2835</v>
      </c>
      <c r="J1179" s="31" t="s">
        <v>2836</v>
      </c>
      <c r="K1179" s="31" t="s">
        <v>2837</v>
      </c>
      <c r="L1179" s="31" t="s">
        <v>476</v>
      </c>
      <c r="M1179" s="31" t="s">
        <v>5239</v>
      </c>
      <c r="N1179" s="31" t="s">
        <v>467</v>
      </c>
      <c r="O1179" s="34"/>
      <c r="P1179" s="34"/>
      <c r="Q1179" s="31" t="s">
        <v>307</v>
      </c>
      <c r="R1179" s="32">
        <v>35250.0</v>
      </c>
      <c r="S1179" s="31" t="s">
        <v>560</v>
      </c>
      <c r="T1179" s="31" t="s">
        <v>752</v>
      </c>
      <c r="U1179" s="31" t="s">
        <v>480</v>
      </c>
      <c r="V1179" s="31" t="s">
        <v>2834</v>
      </c>
      <c r="W1179" s="34"/>
    </row>
    <row r="1180">
      <c r="A1180" s="30">
        <v>1.175</v>
      </c>
      <c r="B1180" s="31" t="s">
        <v>5240</v>
      </c>
      <c r="C1180" s="31" t="s">
        <v>5241</v>
      </c>
      <c r="D1180" s="31" t="s">
        <v>3644</v>
      </c>
      <c r="E1180" s="31" t="s">
        <v>2463</v>
      </c>
      <c r="F1180" s="32">
        <v>42020.0</v>
      </c>
      <c r="G1180" s="32">
        <v>42078.0</v>
      </c>
      <c r="H1180" s="31" t="s">
        <v>453</v>
      </c>
      <c r="I1180" s="31" t="s">
        <v>2717</v>
      </c>
      <c r="J1180" s="31" t="s">
        <v>2463</v>
      </c>
      <c r="K1180" s="31" t="s">
        <v>5165</v>
      </c>
      <c r="L1180" s="31" t="s">
        <v>3646</v>
      </c>
      <c r="M1180" s="31" t="s">
        <v>5242</v>
      </c>
      <c r="N1180" s="31" t="s">
        <v>467</v>
      </c>
      <c r="O1180" s="34"/>
      <c r="P1180" s="34"/>
      <c r="Q1180" s="31" t="s">
        <v>307</v>
      </c>
      <c r="R1180" s="35">
        <v>30245.0</v>
      </c>
      <c r="S1180" s="31" t="s">
        <v>4679</v>
      </c>
      <c r="T1180" s="31" t="s">
        <v>5243</v>
      </c>
      <c r="U1180" s="31" t="s">
        <v>480</v>
      </c>
      <c r="V1180" s="34"/>
      <c r="W1180" s="34"/>
    </row>
    <row r="1181">
      <c r="A1181" s="30">
        <v>1.176</v>
      </c>
      <c r="B1181" s="31" t="s">
        <v>5244</v>
      </c>
      <c r="C1181" s="31" t="s">
        <v>908</v>
      </c>
      <c r="D1181" s="31" t="s">
        <v>472</v>
      </c>
      <c r="E1181" s="31" t="s">
        <v>4414</v>
      </c>
      <c r="F1181" s="32">
        <v>44375.0</v>
      </c>
      <c r="G1181" s="32">
        <v>44436.0</v>
      </c>
      <c r="H1181" s="31" t="s">
        <v>453</v>
      </c>
      <c r="I1181" s="31" t="s">
        <v>607</v>
      </c>
      <c r="J1181" s="31" t="s">
        <v>4415</v>
      </c>
      <c r="K1181" s="31" t="s">
        <v>4416</v>
      </c>
      <c r="L1181" s="31" t="s">
        <v>476</v>
      </c>
      <c r="M1181" s="31" t="s">
        <v>5245</v>
      </c>
      <c r="N1181" s="31" t="s">
        <v>267</v>
      </c>
      <c r="O1181" s="34"/>
      <c r="P1181" s="34"/>
      <c r="Q1181" s="31" t="s">
        <v>307</v>
      </c>
      <c r="R1181" s="35">
        <v>36115.0</v>
      </c>
      <c r="S1181" s="31" t="s">
        <v>5246</v>
      </c>
      <c r="T1181" s="31" t="s">
        <v>1370</v>
      </c>
      <c r="U1181" s="31" t="s">
        <v>643</v>
      </c>
      <c r="V1181" s="31" t="s">
        <v>4414</v>
      </c>
      <c r="W1181" s="34"/>
    </row>
    <row r="1182">
      <c r="A1182" s="30">
        <v>1.177</v>
      </c>
      <c r="B1182" s="31" t="s">
        <v>5247</v>
      </c>
      <c r="C1182" s="31" t="s">
        <v>5248</v>
      </c>
      <c r="D1182" s="31" t="s">
        <v>463</v>
      </c>
      <c r="E1182" s="31" t="s">
        <v>5091</v>
      </c>
      <c r="F1182" s="32">
        <v>43563.0</v>
      </c>
      <c r="G1182" s="32">
        <v>43624.0</v>
      </c>
      <c r="H1182" s="31" t="s">
        <v>453</v>
      </c>
      <c r="I1182" s="31" t="s">
        <v>2835</v>
      </c>
      <c r="J1182" s="31" t="s">
        <v>4612</v>
      </c>
      <c r="K1182" s="31" t="s">
        <v>5092</v>
      </c>
      <c r="L1182" s="31" t="s">
        <v>465</v>
      </c>
      <c r="M1182" s="31" t="s">
        <v>5249</v>
      </c>
      <c r="N1182" s="31" t="s">
        <v>467</v>
      </c>
      <c r="O1182" s="31">
        <v>2.0</v>
      </c>
      <c r="P1182" s="34"/>
      <c r="Q1182" s="31" t="s">
        <v>307</v>
      </c>
      <c r="R1182" s="32">
        <v>33121.0</v>
      </c>
      <c r="S1182" s="31" t="s">
        <v>560</v>
      </c>
      <c r="T1182" s="31" t="s">
        <v>5250</v>
      </c>
      <c r="U1182" s="31" t="s">
        <v>480</v>
      </c>
      <c r="V1182" s="31" t="s">
        <v>5091</v>
      </c>
      <c r="W1182" s="34"/>
    </row>
    <row r="1183">
      <c r="A1183" s="30">
        <v>1.178</v>
      </c>
      <c r="B1183" s="31" t="s">
        <v>5251</v>
      </c>
      <c r="C1183" s="31" t="s">
        <v>1183</v>
      </c>
      <c r="D1183" s="31" t="s">
        <v>472</v>
      </c>
      <c r="E1183" s="31" t="s">
        <v>4420</v>
      </c>
      <c r="F1183" s="32">
        <v>43277.0</v>
      </c>
      <c r="G1183" s="32">
        <v>43277.0</v>
      </c>
      <c r="H1183" s="31" t="s">
        <v>453</v>
      </c>
      <c r="I1183" s="31" t="s">
        <v>454</v>
      </c>
      <c r="J1183" s="31" t="s">
        <v>3378</v>
      </c>
      <c r="K1183" s="31" t="s">
        <v>4421</v>
      </c>
      <c r="L1183" s="31" t="s">
        <v>476</v>
      </c>
      <c r="M1183" s="31" t="s">
        <v>5252</v>
      </c>
      <c r="N1183" s="31" t="s">
        <v>267</v>
      </c>
      <c r="O1183" s="34"/>
      <c r="P1183" s="34"/>
      <c r="Q1183" s="31" t="s">
        <v>307</v>
      </c>
      <c r="R1183" s="35">
        <v>35059.0</v>
      </c>
      <c r="S1183" s="31" t="s">
        <v>560</v>
      </c>
      <c r="T1183" s="31" t="s">
        <v>3295</v>
      </c>
      <c r="U1183" s="31" t="s">
        <v>460</v>
      </c>
      <c r="V1183" s="31" t="s">
        <v>4420</v>
      </c>
      <c r="W1183" s="34"/>
    </row>
    <row r="1184">
      <c r="A1184" s="30">
        <v>1.179</v>
      </c>
      <c r="B1184" s="31" t="s">
        <v>5253</v>
      </c>
      <c r="C1184" s="31" t="s">
        <v>5254</v>
      </c>
      <c r="D1184" s="31" t="s">
        <v>499</v>
      </c>
      <c r="E1184" s="31" t="s">
        <v>3419</v>
      </c>
      <c r="F1184" s="35">
        <v>43815.0</v>
      </c>
      <c r="G1184" s="32">
        <v>43877.0</v>
      </c>
      <c r="H1184" s="31" t="s">
        <v>453</v>
      </c>
      <c r="I1184" s="31" t="s">
        <v>454</v>
      </c>
      <c r="J1184" s="31" t="s">
        <v>3188</v>
      </c>
      <c r="K1184" s="31" t="s">
        <v>3420</v>
      </c>
      <c r="L1184" s="31" t="s">
        <v>500</v>
      </c>
      <c r="M1184" s="31" t="s">
        <v>5255</v>
      </c>
      <c r="N1184" s="31" t="s">
        <v>467</v>
      </c>
      <c r="O1184" s="31">
        <v>1.0</v>
      </c>
      <c r="P1184" s="34"/>
      <c r="Q1184" s="31" t="s">
        <v>307</v>
      </c>
      <c r="R1184" s="32">
        <v>36029.0</v>
      </c>
      <c r="S1184" s="31" t="s">
        <v>468</v>
      </c>
      <c r="T1184" s="31" t="s">
        <v>1370</v>
      </c>
      <c r="U1184" s="31" t="s">
        <v>460</v>
      </c>
      <c r="V1184" s="31" t="s">
        <v>3419</v>
      </c>
      <c r="W1184" s="34"/>
    </row>
    <row r="1185">
      <c r="A1185" s="30">
        <v>1.18</v>
      </c>
      <c r="B1185" s="31" t="s">
        <v>5256</v>
      </c>
      <c r="C1185" s="31" t="s">
        <v>5257</v>
      </c>
      <c r="D1185" s="31" t="s">
        <v>463</v>
      </c>
      <c r="E1185" s="31" t="s">
        <v>4414</v>
      </c>
      <c r="F1185" s="32">
        <v>39699.0</v>
      </c>
      <c r="G1185" s="32">
        <v>39760.0</v>
      </c>
      <c r="H1185" s="31" t="s">
        <v>453</v>
      </c>
      <c r="I1185" s="31" t="s">
        <v>607</v>
      </c>
      <c r="J1185" s="31" t="s">
        <v>4415</v>
      </c>
      <c r="K1185" s="31" t="s">
        <v>4416</v>
      </c>
      <c r="L1185" s="31" t="s">
        <v>465</v>
      </c>
      <c r="M1185" s="31" t="s">
        <v>5258</v>
      </c>
      <c r="N1185" s="31" t="s">
        <v>467</v>
      </c>
      <c r="O1185" s="31">
        <v>2.0</v>
      </c>
      <c r="P1185" s="34"/>
      <c r="Q1185" s="31" t="s">
        <v>307</v>
      </c>
      <c r="R1185" s="32">
        <v>31637.0</v>
      </c>
      <c r="S1185" s="31" t="s">
        <v>502</v>
      </c>
      <c r="T1185" s="31" t="s">
        <v>479</v>
      </c>
      <c r="U1185" s="31" t="s">
        <v>643</v>
      </c>
      <c r="V1185" s="31" t="s">
        <v>4414</v>
      </c>
      <c r="W1185" s="34"/>
    </row>
    <row r="1186">
      <c r="A1186" s="30">
        <v>1.181</v>
      </c>
      <c r="B1186" s="31" t="s">
        <v>5259</v>
      </c>
      <c r="C1186" s="31" t="s">
        <v>4348</v>
      </c>
      <c r="D1186" s="31" t="s">
        <v>5260</v>
      </c>
      <c r="E1186" s="31" t="s">
        <v>2463</v>
      </c>
      <c r="F1186" s="32">
        <v>39941.0</v>
      </c>
      <c r="G1186" s="32">
        <v>40002.0</v>
      </c>
      <c r="H1186" s="31" t="s">
        <v>453</v>
      </c>
      <c r="I1186" s="31" t="s">
        <v>2717</v>
      </c>
      <c r="J1186" s="31" t="s">
        <v>2463</v>
      </c>
      <c r="K1186" s="31" t="s">
        <v>5165</v>
      </c>
      <c r="L1186" s="31" t="s">
        <v>5261</v>
      </c>
      <c r="M1186" s="31" t="s">
        <v>5262</v>
      </c>
      <c r="N1186" s="31" t="s">
        <v>267</v>
      </c>
      <c r="O1186" s="34"/>
      <c r="P1186" s="34"/>
      <c r="Q1186" s="31" t="s">
        <v>307</v>
      </c>
      <c r="R1186" s="32">
        <v>30767.0</v>
      </c>
      <c r="S1186" s="31" t="s">
        <v>1249</v>
      </c>
      <c r="T1186" s="31" t="s">
        <v>778</v>
      </c>
      <c r="U1186" s="31" t="s">
        <v>480</v>
      </c>
      <c r="V1186" s="34"/>
      <c r="W1186" s="34"/>
    </row>
    <row r="1187">
      <c r="A1187" s="30">
        <v>1.182</v>
      </c>
      <c r="B1187" s="31" t="s">
        <v>5263</v>
      </c>
      <c r="C1187" s="31" t="s">
        <v>5264</v>
      </c>
      <c r="D1187" s="31" t="s">
        <v>499</v>
      </c>
      <c r="E1187" s="31" t="s">
        <v>4379</v>
      </c>
      <c r="F1187" s="32">
        <v>43304.0</v>
      </c>
      <c r="G1187" s="32">
        <v>43304.0</v>
      </c>
      <c r="H1187" s="31" t="s">
        <v>453</v>
      </c>
      <c r="I1187" s="31" t="s">
        <v>607</v>
      </c>
      <c r="J1187" s="31" t="s">
        <v>4380</v>
      </c>
      <c r="K1187" s="31" t="s">
        <v>4381</v>
      </c>
      <c r="L1187" s="31" t="s">
        <v>500</v>
      </c>
      <c r="M1187" s="31" t="s">
        <v>5265</v>
      </c>
      <c r="N1187" s="31" t="s">
        <v>467</v>
      </c>
      <c r="O1187" s="31">
        <v>1.0</v>
      </c>
      <c r="P1187" s="34"/>
      <c r="Q1187" s="31" t="s">
        <v>307</v>
      </c>
      <c r="R1187" s="35">
        <v>35412.0</v>
      </c>
      <c r="S1187" s="31" t="s">
        <v>1622</v>
      </c>
      <c r="T1187" s="31" t="s">
        <v>503</v>
      </c>
      <c r="U1187" s="31" t="s">
        <v>643</v>
      </c>
      <c r="V1187" s="31" t="s">
        <v>4379</v>
      </c>
      <c r="W1187" s="34"/>
    </row>
    <row r="1188">
      <c r="A1188" s="30">
        <v>1.183</v>
      </c>
      <c r="B1188" s="31" t="s">
        <v>5266</v>
      </c>
      <c r="C1188" s="31" t="s">
        <v>5267</v>
      </c>
      <c r="D1188" s="31" t="s">
        <v>472</v>
      </c>
      <c r="E1188" s="31" t="s">
        <v>3419</v>
      </c>
      <c r="F1188" s="32">
        <v>43570.0</v>
      </c>
      <c r="G1188" s="32">
        <v>43631.0</v>
      </c>
      <c r="H1188" s="31" t="s">
        <v>453</v>
      </c>
      <c r="I1188" s="31" t="s">
        <v>454</v>
      </c>
      <c r="J1188" s="31" t="s">
        <v>3188</v>
      </c>
      <c r="K1188" s="31" t="s">
        <v>3420</v>
      </c>
      <c r="L1188" s="31" t="s">
        <v>476</v>
      </c>
      <c r="M1188" s="31" t="s">
        <v>5268</v>
      </c>
      <c r="N1188" s="31" t="s">
        <v>467</v>
      </c>
      <c r="O1188" s="34"/>
      <c r="P1188" s="34"/>
      <c r="Q1188" s="31" t="s">
        <v>307</v>
      </c>
      <c r="R1188" s="32">
        <v>35132.0</v>
      </c>
      <c r="S1188" s="31" t="s">
        <v>560</v>
      </c>
      <c r="T1188" s="31" t="s">
        <v>503</v>
      </c>
      <c r="U1188" s="31" t="s">
        <v>460</v>
      </c>
      <c r="V1188" s="31" t="s">
        <v>3419</v>
      </c>
      <c r="W1188" s="34"/>
    </row>
    <row r="1189">
      <c r="A1189" s="30">
        <v>1.184</v>
      </c>
      <c r="B1189" s="31" t="s">
        <v>5269</v>
      </c>
      <c r="C1189" s="31" t="s">
        <v>3783</v>
      </c>
      <c r="D1189" s="31" t="s">
        <v>4828</v>
      </c>
      <c r="E1189" s="31" t="s">
        <v>4983</v>
      </c>
      <c r="F1189" s="32">
        <v>43657.0</v>
      </c>
      <c r="G1189" s="32">
        <v>43719.0</v>
      </c>
      <c r="H1189" s="31" t="s">
        <v>453</v>
      </c>
      <c r="I1189" s="31" t="s">
        <v>4330</v>
      </c>
      <c r="J1189" s="31" t="s">
        <v>4331</v>
      </c>
      <c r="K1189" s="31" t="s">
        <v>4984</v>
      </c>
      <c r="L1189" s="31" t="s">
        <v>4829</v>
      </c>
      <c r="M1189" s="31" t="s">
        <v>5270</v>
      </c>
      <c r="N1189" s="31" t="s">
        <v>267</v>
      </c>
      <c r="O1189" s="31">
        <v>1.0</v>
      </c>
      <c r="P1189" s="34"/>
      <c r="Q1189" s="31" t="s">
        <v>307</v>
      </c>
      <c r="R1189" s="35">
        <v>33583.0</v>
      </c>
      <c r="S1189" s="31" t="s">
        <v>1249</v>
      </c>
      <c r="T1189" s="31" t="s">
        <v>947</v>
      </c>
      <c r="U1189" s="31" t="s">
        <v>460</v>
      </c>
      <c r="V1189" s="31" t="s">
        <v>4983</v>
      </c>
      <c r="W1189" s="34"/>
    </row>
    <row r="1190">
      <c r="A1190" s="30">
        <v>1.185</v>
      </c>
      <c r="B1190" s="31" t="s">
        <v>5271</v>
      </c>
      <c r="C1190" s="31" t="s">
        <v>5272</v>
      </c>
      <c r="D1190" s="31" t="s">
        <v>472</v>
      </c>
      <c r="E1190" s="31" t="s">
        <v>4414</v>
      </c>
      <c r="F1190" s="32">
        <v>43622.0</v>
      </c>
      <c r="G1190" s="32">
        <v>43683.0</v>
      </c>
      <c r="H1190" s="31" t="s">
        <v>453</v>
      </c>
      <c r="I1190" s="31" t="s">
        <v>607</v>
      </c>
      <c r="J1190" s="31" t="s">
        <v>4415</v>
      </c>
      <c r="K1190" s="31" t="s">
        <v>4416</v>
      </c>
      <c r="L1190" s="31" t="s">
        <v>476</v>
      </c>
      <c r="M1190" s="31" t="s">
        <v>5273</v>
      </c>
      <c r="N1190" s="31" t="s">
        <v>467</v>
      </c>
      <c r="O1190" s="34"/>
      <c r="P1190" s="34"/>
      <c r="Q1190" s="31" t="s">
        <v>307</v>
      </c>
      <c r="R1190" s="32">
        <v>35534.0</v>
      </c>
      <c r="S1190" s="31" t="s">
        <v>502</v>
      </c>
      <c r="T1190" s="31" t="s">
        <v>1370</v>
      </c>
      <c r="U1190" s="31" t="s">
        <v>643</v>
      </c>
      <c r="V1190" s="31" t="s">
        <v>4414</v>
      </c>
      <c r="W1190" s="34"/>
    </row>
    <row r="1191">
      <c r="A1191" s="30">
        <v>1.186</v>
      </c>
      <c r="B1191" s="31" t="s">
        <v>5274</v>
      </c>
      <c r="C1191" s="31" t="s">
        <v>5275</v>
      </c>
      <c r="D1191" s="31" t="s">
        <v>499</v>
      </c>
      <c r="E1191" s="31" t="s">
        <v>554</v>
      </c>
      <c r="F1191" s="32">
        <v>43178.0</v>
      </c>
      <c r="G1191" s="32">
        <v>43178.0</v>
      </c>
      <c r="H1191" s="31" t="s">
        <v>453</v>
      </c>
      <c r="I1191" s="31" t="s">
        <v>555</v>
      </c>
      <c r="J1191" s="31" t="s">
        <v>556</v>
      </c>
      <c r="K1191" s="31" t="s">
        <v>557</v>
      </c>
      <c r="L1191" s="31" t="s">
        <v>500</v>
      </c>
      <c r="M1191" s="31" t="s">
        <v>5276</v>
      </c>
      <c r="N1191" s="31" t="s">
        <v>467</v>
      </c>
      <c r="O1191" s="31">
        <v>1.0</v>
      </c>
      <c r="P1191" s="34"/>
      <c r="Q1191" s="31" t="s">
        <v>307</v>
      </c>
      <c r="R1191" s="32">
        <v>35122.0</v>
      </c>
      <c r="S1191" s="31" t="s">
        <v>560</v>
      </c>
      <c r="T1191" s="31" t="s">
        <v>479</v>
      </c>
      <c r="U1191" s="31" t="s">
        <v>480</v>
      </c>
      <c r="V1191" s="31" t="s">
        <v>554</v>
      </c>
      <c r="W1191" s="34"/>
    </row>
    <row r="1192">
      <c r="A1192" s="30">
        <v>1.187</v>
      </c>
      <c r="B1192" s="31" t="s">
        <v>5277</v>
      </c>
      <c r="C1192" s="31" t="s">
        <v>5278</v>
      </c>
      <c r="D1192" s="31" t="s">
        <v>499</v>
      </c>
      <c r="E1192" s="31" t="s">
        <v>3419</v>
      </c>
      <c r="F1192" s="32">
        <v>43570.0</v>
      </c>
      <c r="G1192" s="32">
        <v>43631.0</v>
      </c>
      <c r="H1192" s="31" t="s">
        <v>453</v>
      </c>
      <c r="I1192" s="31" t="s">
        <v>454</v>
      </c>
      <c r="J1192" s="31" t="s">
        <v>3188</v>
      </c>
      <c r="K1192" s="31" t="s">
        <v>3420</v>
      </c>
      <c r="L1192" s="31" t="s">
        <v>500</v>
      </c>
      <c r="M1192" s="31" t="s">
        <v>5279</v>
      </c>
      <c r="N1192" s="31" t="s">
        <v>467</v>
      </c>
      <c r="O1192" s="31">
        <v>1.0</v>
      </c>
      <c r="P1192" s="34"/>
      <c r="Q1192" s="31" t="s">
        <v>307</v>
      </c>
      <c r="R1192" s="35">
        <v>35748.0</v>
      </c>
      <c r="S1192" s="31" t="s">
        <v>560</v>
      </c>
      <c r="T1192" s="31" t="s">
        <v>496</v>
      </c>
      <c r="U1192" s="31" t="s">
        <v>460</v>
      </c>
      <c r="V1192" s="31" t="s">
        <v>3419</v>
      </c>
      <c r="W1192" s="34"/>
    </row>
    <row r="1193">
      <c r="A1193" s="30">
        <v>1.188</v>
      </c>
      <c r="B1193" s="31" t="s">
        <v>5280</v>
      </c>
      <c r="C1193" s="31" t="s">
        <v>5281</v>
      </c>
      <c r="D1193" s="31" t="s">
        <v>472</v>
      </c>
      <c r="E1193" s="31" t="s">
        <v>5282</v>
      </c>
      <c r="F1193" s="32">
        <v>44344.0</v>
      </c>
      <c r="G1193" s="32">
        <v>44405.0</v>
      </c>
      <c r="H1193" s="31" t="s">
        <v>453</v>
      </c>
      <c r="I1193" s="31" t="s">
        <v>47</v>
      </c>
      <c r="J1193" s="31" t="s">
        <v>4508</v>
      </c>
      <c r="K1193" s="31" t="s">
        <v>5283</v>
      </c>
      <c r="L1193" s="31" t="s">
        <v>476</v>
      </c>
      <c r="M1193" s="31" t="s">
        <v>5284</v>
      </c>
      <c r="N1193" s="31" t="s">
        <v>467</v>
      </c>
      <c r="O1193" s="34"/>
      <c r="P1193" s="34"/>
      <c r="Q1193" s="31" t="s">
        <v>307</v>
      </c>
      <c r="R1193" s="35">
        <v>36809.0</v>
      </c>
      <c r="S1193" s="31" t="s">
        <v>560</v>
      </c>
      <c r="T1193" s="31" t="s">
        <v>479</v>
      </c>
      <c r="U1193" s="31" t="s">
        <v>480</v>
      </c>
      <c r="V1193" s="31" t="s">
        <v>5282</v>
      </c>
      <c r="W1193" s="34"/>
    </row>
    <row r="1194">
      <c r="A1194" s="30">
        <v>1.189</v>
      </c>
      <c r="B1194" s="31" t="s">
        <v>5285</v>
      </c>
      <c r="C1194" s="31" t="s">
        <v>5286</v>
      </c>
      <c r="D1194" s="31" t="s">
        <v>553</v>
      </c>
      <c r="E1194" s="31" t="s">
        <v>3246</v>
      </c>
      <c r="F1194" s="32">
        <v>44053.0</v>
      </c>
      <c r="G1194" s="35">
        <v>44114.0</v>
      </c>
      <c r="H1194" s="31" t="s">
        <v>453</v>
      </c>
      <c r="I1194" s="31" t="s">
        <v>607</v>
      </c>
      <c r="J1194" s="31" t="s">
        <v>3247</v>
      </c>
      <c r="K1194" s="31" t="s">
        <v>3248</v>
      </c>
      <c r="L1194" s="31" t="s">
        <v>558</v>
      </c>
      <c r="M1194" s="31" t="s">
        <v>5287</v>
      </c>
      <c r="N1194" s="31" t="s">
        <v>267</v>
      </c>
      <c r="O1194" s="34"/>
      <c r="P1194" s="34"/>
      <c r="Q1194" s="31" t="s">
        <v>307</v>
      </c>
      <c r="R1194" s="32">
        <v>35582.0</v>
      </c>
      <c r="S1194" s="31" t="s">
        <v>5288</v>
      </c>
      <c r="T1194" s="31" t="s">
        <v>3174</v>
      </c>
      <c r="U1194" s="31" t="s">
        <v>480</v>
      </c>
      <c r="V1194" s="31" t="s">
        <v>3246</v>
      </c>
      <c r="W1194" s="34"/>
    </row>
    <row r="1195">
      <c r="A1195" s="30">
        <v>1.19</v>
      </c>
      <c r="B1195" s="31" t="s">
        <v>5289</v>
      </c>
      <c r="C1195" s="31" t="s">
        <v>4143</v>
      </c>
      <c r="D1195" s="31" t="s">
        <v>463</v>
      </c>
      <c r="E1195" s="31" t="s">
        <v>2651</v>
      </c>
      <c r="F1195" s="32">
        <v>41946.0</v>
      </c>
      <c r="G1195" s="32">
        <v>42007.0</v>
      </c>
      <c r="H1195" s="31" t="s">
        <v>453</v>
      </c>
      <c r="I1195" s="31" t="s">
        <v>566</v>
      </c>
      <c r="J1195" s="31" t="s">
        <v>567</v>
      </c>
      <c r="K1195" s="31" t="s">
        <v>2652</v>
      </c>
      <c r="L1195" s="31" t="s">
        <v>465</v>
      </c>
      <c r="M1195" s="31" t="s">
        <v>5290</v>
      </c>
      <c r="N1195" s="31" t="s">
        <v>467</v>
      </c>
      <c r="O1195" s="31">
        <v>2.0</v>
      </c>
      <c r="P1195" s="34"/>
      <c r="Q1195" s="31" t="s">
        <v>307</v>
      </c>
      <c r="R1195" s="32">
        <v>33789.0</v>
      </c>
      <c r="S1195" s="31" t="s">
        <v>468</v>
      </c>
      <c r="T1195" s="31" t="s">
        <v>479</v>
      </c>
      <c r="U1195" s="31" t="s">
        <v>480</v>
      </c>
      <c r="V1195" s="31" t="s">
        <v>2651</v>
      </c>
      <c r="W1195" s="34"/>
    </row>
    <row r="1196">
      <c r="A1196" s="30">
        <v>1.191</v>
      </c>
      <c r="B1196" s="31" t="s">
        <v>5291</v>
      </c>
      <c r="C1196" s="31" t="s">
        <v>5292</v>
      </c>
      <c r="D1196" s="31" t="s">
        <v>3644</v>
      </c>
      <c r="E1196" s="31" t="s">
        <v>2463</v>
      </c>
      <c r="F1196" s="32">
        <v>39890.0</v>
      </c>
      <c r="G1196" s="32">
        <v>39982.0</v>
      </c>
      <c r="H1196" s="31" t="s">
        <v>453</v>
      </c>
      <c r="I1196" s="31" t="s">
        <v>2717</v>
      </c>
      <c r="J1196" s="31" t="s">
        <v>2463</v>
      </c>
      <c r="K1196" s="31" t="s">
        <v>5165</v>
      </c>
      <c r="L1196" s="31" t="s">
        <v>3646</v>
      </c>
      <c r="M1196" s="31" t="s">
        <v>5293</v>
      </c>
      <c r="N1196" s="31" t="s">
        <v>467</v>
      </c>
      <c r="O1196" s="34"/>
      <c r="P1196" s="34"/>
      <c r="Q1196" s="31" t="s">
        <v>307</v>
      </c>
      <c r="R1196" s="32">
        <v>26946.0</v>
      </c>
      <c r="S1196" s="34"/>
      <c r="T1196" s="31" t="s">
        <v>5294</v>
      </c>
      <c r="U1196" s="31" t="s">
        <v>480</v>
      </c>
      <c r="V1196" s="34"/>
      <c r="W1196" s="34"/>
    </row>
    <row r="1197">
      <c r="A1197" s="30">
        <v>1.192</v>
      </c>
      <c r="B1197" s="31" t="s">
        <v>5295</v>
      </c>
      <c r="C1197" s="31" t="s">
        <v>5296</v>
      </c>
      <c r="D1197" s="31" t="s">
        <v>564</v>
      </c>
      <c r="E1197" s="31" t="s">
        <v>2676</v>
      </c>
      <c r="F1197" s="32">
        <v>43983.0</v>
      </c>
      <c r="G1197" s="32">
        <v>44044.0</v>
      </c>
      <c r="H1197" s="31" t="s">
        <v>453</v>
      </c>
      <c r="I1197" s="31" t="s">
        <v>454</v>
      </c>
      <c r="J1197" s="31" t="s">
        <v>2676</v>
      </c>
      <c r="K1197" s="31" t="s">
        <v>5297</v>
      </c>
      <c r="L1197" s="31" t="s">
        <v>569</v>
      </c>
      <c r="M1197" s="31" t="s">
        <v>5298</v>
      </c>
      <c r="N1197" s="31" t="s">
        <v>267</v>
      </c>
      <c r="O1197" s="34"/>
      <c r="P1197" s="34"/>
      <c r="Q1197" s="31" t="s">
        <v>307</v>
      </c>
      <c r="R1197" s="32">
        <v>35578.0</v>
      </c>
      <c r="S1197" s="31" t="s">
        <v>700</v>
      </c>
      <c r="T1197" s="31" t="s">
        <v>686</v>
      </c>
      <c r="U1197" s="31" t="s">
        <v>480</v>
      </c>
      <c r="V1197" s="34"/>
      <c r="W1197" s="34"/>
    </row>
    <row r="1198">
      <c r="A1198" s="30">
        <v>1.193</v>
      </c>
      <c r="B1198" s="31" t="s">
        <v>5299</v>
      </c>
      <c r="C1198" s="31" t="s">
        <v>3221</v>
      </c>
      <c r="D1198" s="31" t="s">
        <v>3132</v>
      </c>
      <c r="E1198" s="31" t="s">
        <v>4446</v>
      </c>
      <c r="F1198" s="32">
        <v>39153.0</v>
      </c>
      <c r="G1198" s="32">
        <v>39187.0</v>
      </c>
      <c r="H1198" s="31" t="s">
        <v>453</v>
      </c>
      <c r="I1198" s="31" t="s">
        <v>607</v>
      </c>
      <c r="J1198" s="31" t="s">
        <v>2697</v>
      </c>
      <c r="K1198" s="31" t="s">
        <v>4447</v>
      </c>
      <c r="L1198" s="31" t="s">
        <v>3380</v>
      </c>
      <c r="M1198" s="31" t="s">
        <v>5300</v>
      </c>
      <c r="N1198" s="31" t="s">
        <v>267</v>
      </c>
      <c r="O1198" s="31">
        <v>2.0</v>
      </c>
      <c r="P1198" s="34"/>
      <c r="Q1198" s="31" t="s">
        <v>307</v>
      </c>
      <c r="R1198" s="32">
        <v>30945.0</v>
      </c>
      <c r="S1198" s="31" t="s">
        <v>4887</v>
      </c>
      <c r="T1198" s="31" t="s">
        <v>778</v>
      </c>
      <c r="U1198" s="31" t="s">
        <v>643</v>
      </c>
      <c r="V1198" s="31" t="s">
        <v>4446</v>
      </c>
      <c r="W1198" s="34"/>
    </row>
    <row r="1199">
      <c r="A1199" s="30">
        <v>1.194</v>
      </c>
      <c r="B1199" s="31" t="s">
        <v>5301</v>
      </c>
      <c r="C1199" s="31" t="s">
        <v>5302</v>
      </c>
      <c r="D1199" s="31" t="s">
        <v>553</v>
      </c>
      <c r="E1199" s="31" t="s">
        <v>2834</v>
      </c>
      <c r="F1199" s="32">
        <v>40634.0</v>
      </c>
      <c r="G1199" s="32">
        <v>40695.0</v>
      </c>
      <c r="H1199" s="31" t="s">
        <v>453</v>
      </c>
      <c r="I1199" s="31" t="s">
        <v>2835</v>
      </c>
      <c r="J1199" s="31" t="s">
        <v>2836</v>
      </c>
      <c r="K1199" s="31" t="s">
        <v>2837</v>
      </c>
      <c r="L1199" s="31" t="s">
        <v>558</v>
      </c>
      <c r="M1199" s="31" t="s">
        <v>5303</v>
      </c>
      <c r="N1199" s="31" t="s">
        <v>267</v>
      </c>
      <c r="O1199" s="34"/>
      <c r="P1199" s="34"/>
      <c r="Q1199" s="31" t="s">
        <v>307</v>
      </c>
      <c r="R1199" s="32">
        <v>32222.0</v>
      </c>
      <c r="S1199" s="31" t="s">
        <v>626</v>
      </c>
      <c r="T1199" s="31" t="s">
        <v>5304</v>
      </c>
      <c r="U1199" s="31" t="s">
        <v>480</v>
      </c>
      <c r="V1199" s="31" t="s">
        <v>2834</v>
      </c>
      <c r="W1199" s="34"/>
    </row>
    <row r="1200">
      <c r="A1200" s="30">
        <v>1.195</v>
      </c>
      <c r="B1200" s="31" t="s">
        <v>5305</v>
      </c>
      <c r="C1200" s="31" t="s">
        <v>5306</v>
      </c>
      <c r="D1200" s="31" t="s">
        <v>499</v>
      </c>
      <c r="E1200" s="31" t="s">
        <v>3419</v>
      </c>
      <c r="F1200" s="32">
        <v>40651.0</v>
      </c>
      <c r="G1200" s="32">
        <v>40712.0</v>
      </c>
      <c r="H1200" s="31" t="s">
        <v>453</v>
      </c>
      <c r="I1200" s="31" t="s">
        <v>454</v>
      </c>
      <c r="J1200" s="31" t="s">
        <v>3188</v>
      </c>
      <c r="K1200" s="31" t="s">
        <v>3420</v>
      </c>
      <c r="L1200" s="31" t="s">
        <v>500</v>
      </c>
      <c r="M1200" s="31" t="s">
        <v>5307</v>
      </c>
      <c r="N1200" s="31" t="s">
        <v>467</v>
      </c>
      <c r="O1200" s="31">
        <v>1.0</v>
      </c>
      <c r="P1200" s="34"/>
      <c r="Q1200" s="31" t="s">
        <v>307</v>
      </c>
      <c r="R1200" s="32">
        <v>31103.0</v>
      </c>
      <c r="S1200" s="31" t="s">
        <v>4675</v>
      </c>
      <c r="T1200" s="31" t="s">
        <v>496</v>
      </c>
      <c r="U1200" s="31" t="s">
        <v>460</v>
      </c>
      <c r="V1200" s="31" t="s">
        <v>3419</v>
      </c>
      <c r="W1200" s="34"/>
    </row>
    <row r="1201">
      <c r="A1201" s="30">
        <v>1.196</v>
      </c>
      <c r="B1201" s="31" t="s">
        <v>5308</v>
      </c>
      <c r="C1201" s="31" t="s">
        <v>5309</v>
      </c>
      <c r="D1201" s="31" t="s">
        <v>472</v>
      </c>
      <c r="E1201" s="31" t="s">
        <v>2696</v>
      </c>
      <c r="F1201" s="32">
        <v>44320.0</v>
      </c>
      <c r="G1201" s="32">
        <v>44381.0</v>
      </c>
      <c r="H1201" s="31" t="s">
        <v>453</v>
      </c>
      <c r="I1201" s="31" t="s">
        <v>607</v>
      </c>
      <c r="J1201" s="31" t="s">
        <v>2697</v>
      </c>
      <c r="K1201" s="31" t="s">
        <v>2698</v>
      </c>
      <c r="L1201" s="31" t="s">
        <v>476</v>
      </c>
      <c r="M1201" s="31" t="s">
        <v>5310</v>
      </c>
      <c r="N1201" s="31" t="s">
        <v>467</v>
      </c>
      <c r="O1201" s="34"/>
      <c r="P1201" s="34"/>
      <c r="Q1201" s="31" t="s">
        <v>307</v>
      </c>
      <c r="R1201" s="35">
        <v>36086.0</v>
      </c>
      <c r="S1201" s="31" t="s">
        <v>591</v>
      </c>
      <c r="T1201" s="31" t="s">
        <v>961</v>
      </c>
      <c r="U1201" s="31" t="s">
        <v>643</v>
      </c>
      <c r="V1201" s="31" t="s">
        <v>2696</v>
      </c>
      <c r="W1201" s="34"/>
    </row>
    <row r="1202">
      <c r="A1202" s="30">
        <v>1.197</v>
      </c>
      <c r="B1202" s="31" t="s">
        <v>5311</v>
      </c>
      <c r="C1202" s="31" t="s">
        <v>5312</v>
      </c>
      <c r="D1202" s="31" t="s">
        <v>5070</v>
      </c>
      <c r="E1202" s="31" t="s">
        <v>41</v>
      </c>
      <c r="F1202" s="32">
        <v>43986.0</v>
      </c>
      <c r="G1202" s="32">
        <v>44047.0</v>
      </c>
      <c r="H1202" s="31" t="s">
        <v>453</v>
      </c>
      <c r="I1202" s="31" t="s">
        <v>41</v>
      </c>
      <c r="J1202" s="34"/>
      <c r="K1202" s="31" t="s">
        <v>623</v>
      </c>
      <c r="L1202" s="31" t="s">
        <v>5071</v>
      </c>
      <c r="M1202" s="31" t="s">
        <v>5313</v>
      </c>
      <c r="N1202" s="31" t="s">
        <v>267</v>
      </c>
      <c r="O1202" s="31">
        <v>1.0</v>
      </c>
      <c r="P1202" s="34"/>
      <c r="Q1202" s="31" t="s">
        <v>307</v>
      </c>
      <c r="R1202" s="35">
        <v>32070.0</v>
      </c>
      <c r="S1202" s="31" t="s">
        <v>531</v>
      </c>
      <c r="T1202" s="31" t="s">
        <v>1093</v>
      </c>
      <c r="U1202" s="31" t="s">
        <v>480</v>
      </c>
      <c r="V1202" s="34"/>
      <c r="W1202" s="34"/>
    </row>
    <row r="1203">
      <c r="A1203" s="30">
        <v>1.198</v>
      </c>
      <c r="B1203" s="31" t="s">
        <v>5314</v>
      </c>
      <c r="C1203" s="31" t="s">
        <v>4064</v>
      </c>
      <c r="D1203" s="31" t="s">
        <v>499</v>
      </c>
      <c r="E1203" s="31" t="s">
        <v>3419</v>
      </c>
      <c r="F1203" s="32">
        <v>38082.0</v>
      </c>
      <c r="G1203" s="32">
        <v>38082.0</v>
      </c>
      <c r="H1203" s="31" t="s">
        <v>453</v>
      </c>
      <c r="I1203" s="31" t="s">
        <v>454</v>
      </c>
      <c r="J1203" s="31" t="s">
        <v>3188</v>
      </c>
      <c r="K1203" s="31" t="s">
        <v>3420</v>
      </c>
      <c r="L1203" s="31" t="s">
        <v>500</v>
      </c>
      <c r="M1203" s="31" t="s">
        <v>5315</v>
      </c>
      <c r="N1203" s="31" t="s">
        <v>267</v>
      </c>
      <c r="O1203" s="31">
        <v>1.0</v>
      </c>
      <c r="P1203" s="34"/>
      <c r="Q1203" s="31" t="s">
        <v>307</v>
      </c>
      <c r="R1203" s="32">
        <v>28622.0</v>
      </c>
      <c r="S1203" s="31" t="s">
        <v>560</v>
      </c>
      <c r="T1203" s="31" t="s">
        <v>854</v>
      </c>
      <c r="U1203" s="31" t="s">
        <v>460</v>
      </c>
      <c r="V1203" s="31" t="s">
        <v>3419</v>
      </c>
      <c r="W1203" s="34"/>
    </row>
    <row r="1204">
      <c r="A1204" s="30">
        <v>1.199</v>
      </c>
      <c r="B1204" s="31" t="s">
        <v>5316</v>
      </c>
      <c r="C1204" s="31" t="s">
        <v>5317</v>
      </c>
      <c r="D1204" s="31" t="s">
        <v>499</v>
      </c>
      <c r="E1204" s="31" t="s">
        <v>2696</v>
      </c>
      <c r="F1204" s="32">
        <v>43649.0</v>
      </c>
      <c r="G1204" s="32">
        <v>43711.0</v>
      </c>
      <c r="H1204" s="31" t="s">
        <v>453</v>
      </c>
      <c r="I1204" s="31" t="s">
        <v>607</v>
      </c>
      <c r="J1204" s="31" t="s">
        <v>2697</v>
      </c>
      <c r="K1204" s="31" t="s">
        <v>2698</v>
      </c>
      <c r="L1204" s="31" t="s">
        <v>500</v>
      </c>
      <c r="M1204" s="31" t="s">
        <v>5318</v>
      </c>
      <c r="N1204" s="31" t="s">
        <v>467</v>
      </c>
      <c r="O1204" s="31">
        <v>1.0</v>
      </c>
      <c r="P1204" s="34"/>
      <c r="Q1204" s="31" t="s">
        <v>307</v>
      </c>
      <c r="R1204" s="32">
        <v>35868.0</v>
      </c>
      <c r="S1204" s="31" t="s">
        <v>502</v>
      </c>
      <c r="T1204" s="31" t="s">
        <v>479</v>
      </c>
      <c r="U1204" s="31" t="s">
        <v>643</v>
      </c>
      <c r="V1204" s="31" t="s">
        <v>2696</v>
      </c>
      <c r="W1204" s="34"/>
    </row>
    <row r="1205">
      <c r="A1205" s="30">
        <v>1.2</v>
      </c>
      <c r="B1205" s="31" t="s">
        <v>5319</v>
      </c>
      <c r="C1205" s="31" t="s">
        <v>5320</v>
      </c>
      <c r="D1205" s="31" t="s">
        <v>452</v>
      </c>
      <c r="E1205" s="31" t="s">
        <v>5118</v>
      </c>
      <c r="F1205" s="35">
        <v>39777.0</v>
      </c>
      <c r="G1205" s="32">
        <v>39838.0</v>
      </c>
      <c r="H1205" s="31" t="s">
        <v>453</v>
      </c>
      <c r="I1205" s="31" t="s">
        <v>454</v>
      </c>
      <c r="J1205" s="31" t="s">
        <v>4823</v>
      </c>
      <c r="K1205" s="31" t="s">
        <v>5119</v>
      </c>
      <c r="L1205" s="31" t="s">
        <v>456</v>
      </c>
      <c r="M1205" s="31" t="s">
        <v>5321</v>
      </c>
      <c r="N1205" s="31" t="s">
        <v>267</v>
      </c>
      <c r="O1205" s="34"/>
      <c r="P1205" s="34"/>
      <c r="Q1205" s="31" t="s">
        <v>307</v>
      </c>
      <c r="R1205" s="35">
        <v>31700.0</v>
      </c>
      <c r="S1205" s="31" t="s">
        <v>1249</v>
      </c>
      <c r="T1205" s="31" t="s">
        <v>686</v>
      </c>
      <c r="U1205" s="31" t="s">
        <v>460</v>
      </c>
      <c r="V1205" s="31" t="s">
        <v>5118</v>
      </c>
      <c r="W1205" s="34"/>
    </row>
    <row r="1206">
      <c r="A1206" s="30">
        <v>1.201</v>
      </c>
      <c r="B1206" s="31" t="s">
        <v>5322</v>
      </c>
      <c r="C1206" s="31" t="s">
        <v>5323</v>
      </c>
      <c r="D1206" s="31" t="s">
        <v>499</v>
      </c>
      <c r="E1206" s="31" t="s">
        <v>2696</v>
      </c>
      <c r="F1206" s="32">
        <v>43649.0</v>
      </c>
      <c r="G1206" s="32">
        <v>43711.0</v>
      </c>
      <c r="H1206" s="31" t="s">
        <v>453</v>
      </c>
      <c r="I1206" s="31" t="s">
        <v>607</v>
      </c>
      <c r="J1206" s="31" t="s">
        <v>2697</v>
      </c>
      <c r="K1206" s="31" t="s">
        <v>2698</v>
      </c>
      <c r="L1206" s="31" t="s">
        <v>500</v>
      </c>
      <c r="M1206" s="31" t="s">
        <v>5324</v>
      </c>
      <c r="N1206" s="31" t="s">
        <v>467</v>
      </c>
      <c r="O1206" s="31">
        <v>1.0</v>
      </c>
      <c r="P1206" s="34"/>
      <c r="Q1206" s="31" t="s">
        <v>307</v>
      </c>
      <c r="R1206" s="32">
        <v>36064.0</v>
      </c>
      <c r="S1206" s="31" t="s">
        <v>502</v>
      </c>
      <c r="T1206" s="31" t="s">
        <v>479</v>
      </c>
      <c r="U1206" s="31" t="s">
        <v>643</v>
      </c>
      <c r="V1206" s="31" t="s">
        <v>2696</v>
      </c>
      <c r="W1206" s="34"/>
    </row>
    <row r="1207">
      <c r="A1207" s="30">
        <v>1.202</v>
      </c>
      <c r="B1207" s="31" t="s">
        <v>5325</v>
      </c>
      <c r="C1207" s="31" t="s">
        <v>5326</v>
      </c>
      <c r="D1207" s="31" t="s">
        <v>499</v>
      </c>
      <c r="E1207" s="31" t="s">
        <v>2834</v>
      </c>
      <c r="F1207" s="32">
        <v>43118.0</v>
      </c>
      <c r="G1207" s="32">
        <v>43177.0</v>
      </c>
      <c r="H1207" s="31" t="s">
        <v>453</v>
      </c>
      <c r="I1207" s="31" t="s">
        <v>2835</v>
      </c>
      <c r="J1207" s="31" t="s">
        <v>2836</v>
      </c>
      <c r="K1207" s="31" t="s">
        <v>2837</v>
      </c>
      <c r="L1207" s="31" t="s">
        <v>500</v>
      </c>
      <c r="M1207" s="31" t="s">
        <v>5327</v>
      </c>
      <c r="N1207" s="31" t="s">
        <v>467</v>
      </c>
      <c r="O1207" s="31">
        <v>1.0</v>
      </c>
      <c r="P1207" s="34"/>
      <c r="Q1207" s="31" t="s">
        <v>307</v>
      </c>
      <c r="R1207" s="32">
        <v>34423.0</v>
      </c>
      <c r="S1207" s="31" t="s">
        <v>560</v>
      </c>
      <c r="T1207" s="31" t="s">
        <v>496</v>
      </c>
      <c r="U1207" s="31" t="s">
        <v>480</v>
      </c>
      <c r="V1207" s="31" t="s">
        <v>2834</v>
      </c>
      <c r="W1207" s="34"/>
    </row>
    <row r="1208">
      <c r="A1208" s="30">
        <v>1.203</v>
      </c>
      <c r="B1208" s="31" t="s">
        <v>5328</v>
      </c>
      <c r="C1208" s="31" t="s">
        <v>5329</v>
      </c>
      <c r="D1208" s="31" t="s">
        <v>5330</v>
      </c>
      <c r="E1208" s="31" t="s">
        <v>40</v>
      </c>
      <c r="F1208" s="32">
        <v>38534.0</v>
      </c>
      <c r="G1208" s="32">
        <v>38534.0</v>
      </c>
      <c r="H1208" s="31" t="s">
        <v>453</v>
      </c>
      <c r="I1208" s="31" t="s">
        <v>40</v>
      </c>
      <c r="J1208" s="34"/>
      <c r="K1208" s="31" t="s">
        <v>4969</v>
      </c>
      <c r="L1208" s="31" t="s">
        <v>5331</v>
      </c>
      <c r="M1208" s="31" t="s">
        <v>5332</v>
      </c>
      <c r="N1208" s="31" t="s">
        <v>267</v>
      </c>
      <c r="O1208" s="31">
        <v>2.0</v>
      </c>
      <c r="P1208" s="34"/>
      <c r="Q1208" s="31" t="s">
        <v>307</v>
      </c>
      <c r="R1208" s="32">
        <v>30398.0</v>
      </c>
      <c r="S1208" s="31" t="s">
        <v>560</v>
      </c>
      <c r="T1208" s="31" t="s">
        <v>503</v>
      </c>
      <c r="U1208" s="31" t="s">
        <v>480</v>
      </c>
      <c r="V1208" s="34"/>
      <c r="W1208" s="34"/>
    </row>
    <row r="1209">
      <c r="A1209" s="30">
        <v>1.204</v>
      </c>
      <c r="B1209" s="31" t="s">
        <v>5333</v>
      </c>
      <c r="C1209" s="31" t="s">
        <v>5334</v>
      </c>
      <c r="D1209" s="31" t="s">
        <v>499</v>
      </c>
      <c r="E1209" s="31" t="s">
        <v>4983</v>
      </c>
      <c r="F1209" s="32">
        <v>43570.0</v>
      </c>
      <c r="G1209" s="32">
        <v>43631.0</v>
      </c>
      <c r="H1209" s="31" t="s">
        <v>453</v>
      </c>
      <c r="I1209" s="31" t="s">
        <v>4330</v>
      </c>
      <c r="J1209" s="31" t="s">
        <v>4331</v>
      </c>
      <c r="K1209" s="31" t="s">
        <v>4984</v>
      </c>
      <c r="L1209" s="31" t="s">
        <v>500</v>
      </c>
      <c r="M1209" s="31" t="s">
        <v>5335</v>
      </c>
      <c r="N1209" s="31" t="s">
        <v>467</v>
      </c>
      <c r="O1209" s="31">
        <v>1.0</v>
      </c>
      <c r="P1209" s="34"/>
      <c r="Q1209" s="31" t="s">
        <v>307</v>
      </c>
      <c r="R1209" s="32">
        <v>35166.0</v>
      </c>
      <c r="S1209" s="31" t="s">
        <v>560</v>
      </c>
      <c r="T1209" s="31" t="s">
        <v>479</v>
      </c>
      <c r="U1209" s="31" t="s">
        <v>460</v>
      </c>
      <c r="V1209" s="31" t="s">
        <v>4983</v>
      </c>
      <c r="W1209" s="34"/>
    </row>
    <row r="1210">
      <c r="A1210" s="30">
        <v>1.205</v>
      </c>
      <c r="B1210" s="31" t="s">
        <v>5336</v>
      </c>
      <c r="C1210" s="31" t="s">
        <v>5337</v>
      </c>
      <c r="D1210" s="31" t="s">
        <v>4909</v>
      </c>
      <c r="E1210" s="31" t="s">
        <v>2893</v>
      </c>
      <c r="F1210" s="32">
        <v>43721.0</v>
      </c>
      <c r="G1210" s="35">
        <v>43782.0</v>
      </c>
      <c r="H1210" s="31" t="s">
        <v>453</v>
      </c>
      <c r="I1210" s="31" t="s">
        <v>566</v>
      </c>
      <c r="J1210" s="31" t="s">
        <v>2888</v>
      </c>
      <c r="K1210" s="31" t="s">
        <v>2894</v>
      </c>
      <c r="L1210" s="31" t="s">
        <v>4910</v>
      </c>
      <c r="M1210" s="31" t="s">
        <v>5338</v>
      </c>
      <c r="N1210" s="31" t="s">
        <v>467</v>
      </c>
      <c r="O1210" s="34"/>
      <c r="P1210" s="34"/>
      <c r="Q1210" s="31" t="s">
        <v>307</v>
      </c>
      <c r="R1210" s="32">
        <v>35522.0</v>
      </c>
      <c r="S1210" s="31" t="s">
        <v>468</v>
      </c>
      <c r="T1210" s="31" t="s">
        <v>1370</v>
      </c>
      <c r="U1210" s="31" t="s">
        <v>480</v>
      </c>
      <c r="V1210" s="31" t="s">
        <v>2893</v>
      </c>
      <c r="W1210" s="34"/>
    </row>
    <row r="1211">
      <c r="A1211" s="30">
        <v>1.206</v>
      </c>
      <c r="B1211" s="31" t="s">
        <v>5339</v>
      </c>
      <c r="C1211" s="31" t="s">
        <v>5340</v>
      </c>
      <c r="D1211" s="31" t="s">
        <v>463</v>
      </c>
      <c r="E1211" s="31" t="s">
        <v>3603</v>
      </c>
      <c r="F1211" s="32">
        <v>43182.0</v>
      </c>
      <c r="G1211" s="32">
        <v>43243.0</v>
      </c>
      <c r="H1211" s="31" t="s">
        <v>453</v>
      </c>
      <c r="I1211" s="31" t="s">
        <v>454</v>
      </c>
      <c r="J1211" s="31" t="s">
        <v>3604</v>
      </c>
      <c r="K1211" s="31" t="s">
        <v>3605</v>
      </c>
      <c r="L1211" s="31" t="s">
        <v>465</v>
      </c>
      <c r="M1211" s="31" t="s">
        <v>5341</v>
      </c>
      <c r="N1211" s="31" t="s">
        <v>467</v>
      </c>
      <c r="O1211" s="31">
        <v>2.0</v>
      </c>
      <c r="P1211" s="34"/>
      <c r="Q1211" s="31" t="s">
        <v>307</v>
      </c>
      <c r="R1211" s="32">
        <v>34921.0</v>
      </c>
      <c r="S1211" s="31" t="s">
        <v>468</v>
      </c>
      <c r="T1211" s="31" t="s">
        <v>1532</v>
      </c>
      <c r="U1211" s="31" t="s">
        <v>480</v>
      </c>
      <c r="V1211" s="31" t="s">
        <v>3603</v>
      </c>
      <c r="W1211" s="34"/>
    </row>
    <row r="1212">
      <c r="A1212" s="30">
        <v>1.207</v>
      </c>
      <c r="B1212" s="31" t="s">
        <v>5342</v>
      </c>
      <c r="C1212" s="31" t="s">
        <v>2907</v>
      </c>
      <c r="D1212" s="31" t="s">
        <v>553</v>
      </c>
      <c r="E1212" s="31" t="s">
        <v>4379</v>
      </c>
      <c r="F1212" s="32">
        <v>44004.0</v>
      </c>
      <c r="G1212" s="32">
        <v>44065.0</v>
      </c>
      <c r="H1212" s="31" t="s">
        <v>453</v>
      </c>
      <c r="I1212" s="31" t="s">
        <v>607</v>
      </c>
      <c r="J1212" s="31" t="s">
        <v>4380</v>
      </c>
      <c r="K1212" s="31" t="s">
        <v>4381</v>
      </c>
      <c r="L1212" s="31" t="s">
        <v>558</v>
      </c>
      <c r="M1212" s="31" t="s">
        <v>5343</v>
      </c>
      <c r="N1212" s="31" t="s">
        <v>267</v>
      </c>
      <c r="O1212" s="34"/>
      <c r="P1212" s="34"/>
      <c r="Q1212" s="31" t="s">
        <v>307</v>
      </c>
      <c r="R1212" s="32">
        <v>34938.0</v>
      </c>
      <c r="S1212" s="31" t="s">
        <v>458</v>
      </c>
      <c r="T1212" s="31" t="s">
        <v>686</v>
      </c>
      <c r="U1212" s="31" t="s">
        <v>643</v>
      </c>
      <c r="V1212" s="31" t="s">
        <v>4379</v>
      </c>
      <c r="W1212" s="34"/>
    </row>
    <row r="1213">
      <c r="A1213" s="30">
        <v>1.208</v>
      </c>
      <c r="B1213" s="31" t="s">
        <v>5344</v>
      </c>
      <c r="C1213" s="31" t="s">
        <v>5345</v>
      </c>
      <c r="D1213" s="31" t="s">
        <v>472</v>
      </c>
      <c r="E1213" s="31" t="s">
        <v>2696</v>
      </c>
      <c r="F1213" s="32">
        <v>43844.0</v>
      </c>
      <c r="G1213" s="32">
        <v>43904.0</v>
      </c>
      <c r="H1213" s="31" t="s">
        <v>453</v>
      </c>
      <c r="I1213" s="31" t="s">
        <v>607</v>
      </c>
      <c r="J1213" s="31" t="s">
        <v>2697</v>
      </c>
      <c r="K1213" s="31" t="s">
        <v>2698</v>
      </c>
      <c r="L1213" s="31" t="s">
        <v>476</v>
      </c>
      <c r="M1213" s="31" t="s">
        <v>5346</v>
      </c>
      <c r="N1213" s="31" t="s">
        <v>267</v>
      </c>
      <c r="O1213" s="34"/>
      <c r="P1213" s="34"/>
      <c r="Q1213" s="31" t="s">
        <v>307</v>
      </c>
      <c r="R1213" s="32">
        <v>36192.0</v>
      </c>
      <c r="S1213" s="31" t="s">
        <v>560</v>
      </c>
      <c r="T1213" s="31" t="s">
        <v>479</v>
      </c>
      <c r="U1213" s="31" t="s">
        <v>643</v>
      </c>
      <c r="V1213" s="31" t="s">
        <v>2696</v>
      </c>
      <c r="W1213" s="34"/>
    </row>
    <row r="1214">
      <c r="A1214" s="30">
        <v>1.209</v>
      </c>
      <c r="B1214" s="31" t="s">
        <v>5347</v>
      </c>
      <c r="C1214" s="31" t="s">
        <v>5348</v>
      </c>
      <c r="D1214" s="31" t="s">
        <v>472</v>
      </c>
      <c r="E1214" s="31" t="s">
        <v>3055</v>
      </c>
      <c r="F1214" s="32">
        <v>43353.0</v>
      </c>
      <c r="G1214" s="32">
        <v>43353.0</v>
      </c>
      <c r="H1214" s="31" t="s">
        <v>453</v>
      </c>
      <c r="I1214" s="31" t="s">
        <v>555</v>
      </c>
      <c r="J1214" s="31" t="s">
        <v>556</v>
      </c>
      <c r="K1214" s="31" t="s">
        <v>3056</v>
      </c>
      <c r="L1214" s="31" t="s">
        <v>476</v>
      </c>
      <c r="M1214" s="31" t="s">
        <v>5349</v>
      </c>
      <c r="N1214" s="31" t="s">
        <v>467</v>
      </c>
      <c r="O1214" s="34"/>
      <c r="P1214" s="34"/>
      <c r="Q1214" s="31" t="s">
        <v>307</v>
      </c>
      <c r="R1214" s="32">
        <v>35300.0</v>
      </c>
      <c r="S1214" s="31" t="s">
        <v>591</v>
      </c>
      <c r="T1214" s="31" t="s">
        <v>3295</v>
      </c>
      <c r="U1214" s="31" t="s">
        <v>480</v>
      </c>
      <c r="V1214" s="31" t="s">
        <v>3055</v>
      </c>
      <c r="W1214" s="34"/>
    </row>
    <row r="1215">
      <c r="A1215" s="30">
        <v>1.21</v>
      </c>
      <c r="B1215" s="31" t="s">
        <v>5350</v>
      </c>
      <c r="C1215" s="31" t="s">
        <v>5351</v>
      </c>
      <c r="D1215" s="31" t="s">
        <v>452</v>
      </c>
      <c r="E1215" s="31" t="s">
        <v>2887</v>
      </c>
      <c r="F1215" s="35">
        <v>43830.0</v>
      </c>
      <c r="G1215" s="32">
        <v>43891.0</v>
      </c>
      <c r="H1215" s="31" t="s">
        <v>453</v>
      </c>
      <c r="I1215" s="31" t="s">
        <v>566</v>
      </c>
      <c r="J1215" s="31" t="s">
        <v>2888</v>
      </c>
      <c r="K1215" s="31" t="s">
        <v>2889</v>
      </c>
      <c r="L1215" s="31" t="s">
        <v>456</v>
      </c>
      <c r="M1215" s="31" t="s">
        <v>5352</v>
      </c>
      <c r="N1215" s="31" t="s">
        <v>267</v>
      </c>
      <c r="O1215" s="34"/>
      <c r="P1215" s="34"/>
      <c r="Q1215" s="31" t="s">
        <v>307</v>
      </c>
      <c r="R1215" s="32">
        <v>36074.0</v>
      </c>
      <c r="S1215" s="31" t="s">
        <v>531</v>
      </c>
      <c r="T1215" s="31" t="s">
        <v>686</v>
      </c>
      <c r="U1215" s="31" t="s">
        <v>480</v>
      </c>
      <c r="V1215" s="31" t="s">
        <v>2887</v>
      </c>
      <c r="W1215" s="34"/>
    </row>
    <row r="1216">
      <c r="A1216" s="30">
        <v>1.211</v>
      </c>
      <c r="B1216" s="31" t="s">
        <v>5353</v>
      </c>
      <c r="C1216" s="31" t="s">
        <v>5354</v>
      </c>
      <c r="D1216" s="31" t="s">
        <v>5355</v>
      </c>
      <c r="E1216" s="31" t="s">
        <v>5356</v>
      </c>
      <c r="F1216" s="32">
        <v>40771.0</v>
      </c>
      <c r="G1216" s="32">
        <v>40802.0</v>
      </c>
      <c r="H1216" s="31" t="s">
        <v>453</v>
      </c>
      <c r="I1216" s="31" t="s">
        <v>5356</v>
      </c>
      <c r="J1216" s="34"/>
      <c r="K1216" s="31" t="s">
        <v>5357</v>
      </c>
      <c r="L1216" s="31" t="s">
        <v>5358</v>
      </c>
      <c r="M1216" s="31" t="s">
        <v>5359</v>
      </c>
      <c r="N1216" s="31" t="s">
        <v>467</v>
      </c>
      <c r="O1216" s="34"/>
      <c r="P1216" s="34"/>
      <c r="Q1216" s="31" t="s">
        <v>307</v>
      </c>
      <c r="R1216" s="35">
        <v>32129.0</v>
      </c>
      <c r="S1216" s="31" t="s">
        <v>490</v>
      </c>
      <c r="T1216" s="31" t="s">
        <v>503</v>
      </c>
      <c r="U1216" s="31" t="s">
        <v>480</v>
      </c>
      <c r="V1216" s="34"/>
      <c r="W1216" s="34"/>
    </row>
    <row r="1217">
      <c r="A1217" s="30">
        <v>1.212</v>
      </c>
      <c r="B1217" s="31" t="s">
        <v>5360</v>
      </c>
      <c r="C1217" s="31" t="s">
        <v>5361</v>
      </c>
      <c r="D1217" s="31" t="s">
        <v>463</v>
      </c>
      <c r="E1217" s="31" t="s">
        <v>4822</v>
      </c>
      <c r="F1217" s="32">
        <v>43207.0</v>
      </c>
      <c r="G1217" s="32">
        <v>43207.0</v>
      </c>
      <c r="H1217" s="31" t="s">
        <v>453</v>
      </c>
      <c r="I1217" s="31" t="s">
        <v>454</v>
      </c>
      <c r="J1217" s="31" t="s">
        <v>4823</v>
      </c>
      <c r="K1217" s="31" t="s">
        <v>4824</v>
      </c>
      <c r="L1217" s="31" t="s">
        <v>465</v>
      </c>
      <c r="M1217" s="31" t="s">
        <v>5362</v>
      </c>
      <c r="N1217" s="31" t="s">
        <v>467</v>
      </c>
      <c r="O1217" s="31">
        <v>2.0</v>
      </c>
      <c r="P1217" s="34"/>
      <c r="Q1217" s="31" t="s">
        <v>307</v>
      </c>
      <c r="R1217" s="32">
        <v>35185.0</v>
      </c>
      <c r="S1217" s="31" t="s">
        <v>490</v>
      </c>
      <c r="T1217" s="31" t="s">
        <v>503</v>
      </c>
      <c r="U1217" s="31" t="s">
        <v>460</v>
      </c>
      <c r="V1217" s="31" t="s">
        <v>4822</v>
      </c>
      <c r="W1217" s="34"/>
    </row>
    <row r="1218">
      <c r="A1218" s="30">
        <v>1.213</v>
      </c>
      <c r="B1218" s="31" t="s">
        <v>5363</v>
      </c>
      <c r="C1218" s="31" t="s">
        <v>5364</v>
      </c>
      <c r="D1218" s="31" t="s">
        <v>499</v>
      </c>
      <c r="E1218" s="31" t="s">
        <v>3569</v>
      </c>
      <c r="F1218" s="32">
        <v>43531.0</v>
      </c>
      <c r="G1218" s="32">
        <v>43592.0</v>
      </c>
      <c r="H1218" s="31" t="s">
        <v>453</v>
      </c>
      <c r="I1218" s="31" t="s">
        <v>454</v>
      </c>
      <c r="J1218" s="31" t="s">
        <v>3569</v>
      </c>
      <c r="K1218" s="31" t="s">
        <v>3570</v>
      </c>
      <c r="L1218" s="31" t="s">
        <v>500</v>
      </c>
      <c r="M1218" s="31" t="s">
        <v>5365</v>
      </c>
      <c r="N1218" s="31" t="s">
        <v>467</v>
      </c>
      <c r="O1218" s="31">
        <v>1.0</v>
      </c>
      <c r="P1218" s="34"/>
      <c r="Q1218" s="31" t="s">
        <v>307</v>
      </c>
      <c r="R1218" s="32">
        <v>34721.0</v>
      </c>
      <c r="S1218" s="31" t="s">
        <v>560</v>
      </c>
      <c r="T1218" s="31" t="s">
        <v>5366</v>
      </c>
      <c r="U1218" s="31" t="s">
        <v>480</v>
      </c>
      <c r="V1218" s="34"/>
      <c r="W1218" s="34"/>
    </row>
    <row r="1219">
      <c r="A1219" s="30">
        <v>1.214</v>
      </c>
      <c r="B1219" s="31" t="s">
        <v>5367</v>
      </c>
      <c r="C1219" s="31" t="s">
        <v>5368</v>
      </c>
      <c r="D1219" s="31" t="s">
        <v>472</v>
      </c>
      <c r="E1219" s="31" t="s">
        <v>3292</v>
      </c>
      <c r="F1219" s="32">
        <v>43178.0</v>
      </c>
      <c r="G1219" s="32">
        <v>43178.0</v>
      </c>
      <c r="H1219" s="31" t="s">
        <v>453</v>
      </c>
      <c r="I1219" s="31" t="s">
        <v>555</v>
      </c>
      <c r="J1219" s="31" t="s">
        <v>556</v>
      </c>
      <c r="K1219" s="31" t="s">
        <v>3293</v>
      </c>
      <c r="L1219" s="31" t="s">
        <v>3050</v>
      </c>
      <c r="M1219" s="31" t="s">
        <v>5369</v>
      </c>
      <c r="N1219" s="31" t="s">
        <v>467</v>
      </c>
      <c r="O1219" s="34"/>
      <c r="P1219" s="34"/>
      <c r="Q1219" s="31" t="s">
        <v>307</v>
      </c>
      <c r="R1219" s="32">
        <v>34812.0</v>
      </c>
      <c r="S1219" s="31" t="s">
        <v>560</v>
      </c>
      <c r="T1219" s="31" t="s">
        <v>3295</v>
      </c>
      <c r="U1219" s="31" t="s">
        <v>480</v>
      </c>
      <c r="V1219" s="31" t="s">
        <v>3292</v>
      </c>
      <c r="W1219" s="34"/>
    </row>
    <row r="1220">
      <c r="A1220" s="30">
        <v>1.215</v>
      </c>
      <c r="B1220" s="31" t="s">
        <v>5370</v>
      </c>
      <c r="C1220" s="31" t="s">
        <v>5371</v>
      </c>
      <c r="D1220" s="31" t="s">
        <v>472</v>
      </c>
      <c r="E1220" s="31" t="s">
        <v>2696</v>
      </c>
      <c r="F1220" s="32">
        <v>44368.0</v>
      </c>
      <c r="G1220" s="32">
        <v>44429.0</v>
      </c>
      <c r="H1220" s="31" t="s">
        <v>453</v>
      </c>
      <c r="I1220" s="31" t="s">
        <v>607</v>
      </c>
      <c r="J1220" s="31" t="s">
        <v>2697</v>
      </c>
      <c r="K1220" s="31" t="s">
        <v>2698</v>
      </c>
      <c r="L1220" s="31" t="s">
        <v>476</v>
      </c>
      <c r="M1220" s="31" t="s">
        <v>5372</v>
      </c>
      <c r="N1220" s="31" t="s">
        <v>467</v>
      </c>
      <c r="O1220" s="34"/>
      <c r="P1220" s="34"/>
      <c r="Q1220" s="31" t="s">
        <v>307</v>
      </c>
      <c r="R1220" s="32">
        <v>35996.0</v>
      </c>
      <c r="S1220" s="31" t="s">
        <v>560</v>
      </c>
      <c r="T1220" s="31" t="s">
        <v>1370</v>
      </c>
      <c r="U1220" s="31" t="s">
        <v>643</v>
      </c>
      <c r="V1220" s="31" t="s">
        <v>2696</v>
      </c>
      <c r="W1220" s="34"/>
    </row>
    <row r="1221">
      <c r="A1221" s="30">
        <v>1.216</v>
      </c>
      <c r="B1221" s="31" t="s">
        <v>5373</v>
      </c>
      <c r="C1221" s="31" t="s">
        <v>5374</v>
      </c>
      <c r="D1221" s="31" t="s">
        <v>3132</v>
      </c>
      <c r="E1221" s="31" t="s">
        <v>3216</v>
      </c>
      <c r="F1221" s="32">
        <v>43538.0</v>
      </c>
      <c r="G1221" s="32">
        <v>43599.0</v>
      </c>
      <c r="H1221" s="31" t="s">
        <v>453</v>
      </c>
      <c r="I1221" s="31" t="s">
        <v>454</v>
      </c>
      <c r="J1221" s="31" t="s">
        <v>3217</v>
      </c>
      <c r="K1221" s="31" t="s">
        <v>3218</v>
      </c>
      <c r="L1221" s="31" t="s">
        <v>3380</v>
      </c>
      <c r="M1221" s="31" t="s">
        <v>5375</v>
      </c>
      <c r="N1221" s="31" t="s">
        <v>267</v>
      </c>
      <c r="O1221" s="31">
        <v>2.0</v>
      </c>
      <c r="P1221" s="34"/>
      <c r="Q1221" s="31" t="s">
        <v>307</v>
      </c>
      <c r="R1221" s="32">
        <v>35674.0</v>
      </c>
      <c r="S1221" s="31" t="s">
        <v>4196</v>
      </c>
      <c r="T1221" s="31" t="s">
        <v>778</v>
      </c>
      <c r="U1221" s="31" t="s">
        <v>480</v>
      </c>
      <c r="V1221" s="31" t="s">
        <v>3216</v>
      </c>
      <c r="W1221" s="34"/>
    </row>
    <row r="1222">
      <c r="A1222" s="30">
        <v>1.217</v>
      </c>
      <c r="B1222" s="31" t="s">
        <v>5376</v>
      </c>
      <c r="C1222" s="31" t="s">
        <v>5377</v>
      </c>
      <c r="D1222" s="31" t="s">
        <v>463</v>
      </c>
      <c r="E1222" s="31" t="s">
        <v>2902</v>
      </c>
      <c r="F1222" s="32">
        <v>43252.0</v>
      </c>
      <c r="G1222" s="32">
        <v>43313.0</v>
      </c>
      <c r="H1222" s="31" t="s">
        <v>453</v>
      </c>
      <c r="I1222" s="31" t="s">
        <v>454</v>
      </c>
      <c r="J1222" s="31" t="s">
        <v>2903</v>
      </c>
      <c r="K1222" s="31" t="s">
        <v>2904</v>
      </c>
      <c r="L1222" s="31" t="s">
        <v>465</v>
      </c>
      <c r="M1222" s="31" t="s">
        <v>5378</v>
      </c>
      <c r="N1222" s="31" t="s">
        <v>467</v>
      </c>
      <c r="O1222" s="31">
        <v>2.0</v>
      </c>
      <c r="P1222" s="34"/>
      <c r="Q1222" s="31" t="s">
        <v>307</v>
      </c>
      <c r="R1222" s="32">
        <v>34586.0</v>
      </c>
      <c r="S1222" s="31" t="s">
        <v>495</v>
      </c>
      <c r="T1222" s="31" t="s">
        <v>718</v>
      </c>
      <c r="U1222" s="31" t="s">
        <v>480</v>
      </c>
      <c r="V1222" s="31" t="s">
        <v>2902</v>
      </c>
      <c r="W1222" s="34"/>
    </row>
    <row r="1223">
      <c r="A1223" s="30">
        <v>1.218</v>
      </c>
      <c r="B1223" s="31" t="s">
        <v>5379</v>
      </c>
      <c r="C1223" s="31" t="s">
        <v>5380</v>
      </c>
      <c r="D1223" s="31" t="s">
        <v>4747</v>
      </c>
      <c r="E1223" s="31" t="s">
        <v>2668</v>
      </c>
      <c r="F1223" s="32">
        <v>43304.0</v>
      </c>
      <c r="G1223" s="32">
        <v>43304.0</v>
      </c>
      <c r="H1223" s="31" t="s">
        <v>453</v>
      </c>
      <c r="I1223" s="31" t="s">
        <v>454</v>
      </c>
      <c r="J1223" s="31" t="s">
        <v>2669</v>
      </c>
      <c r="K1223" s="31" t="s">
        <v>2670</v>
      </c>
      <c r="L1223" s="31" t="s">
        <v>4748</v>
      </c>
      <c r="M1223" s="31" t="s">
        <v>5381</v>
      </c>
      <c r="N1223" s="31" t="s">
        <v>467</v>
      </c>
      <c r="O1223" s="34"/>
      <c r="P1223" s="34"/>
      <c r="Q1223" s="31" t="s">
        <v>307</v>
      </c>
      <c r="R1223" s="35">
        <v>34984.0</v>
      </c>
      <c r="S1223" s="31" t="s">
        <v>4675</v>
      </c>
      <c r="T1223" s="31" t="s">
        <v>496</v>
      </c>
      <c r="U1223" s="31" t="s">
        <v>480</v>
      </c>
      <c r="V1223" s="31" t="s">
        <v>2668</v>
      </c>
      <c r="W1223" s="34"/>
    </row>
    <row r="1224">
      <c r="A1224" s="30">
        <v>1.219</v>
      </c>
      <c r="B1224" s="31" t="s">
        <v>5382</v>
      </c>
      <c r="C1224" s="31" t="s">
        <v>5383</v>
      </c>
      <c r="D1224" s="31" t="s">
        <v>553</v>
      </c>
      <c r="E1224" s="31" t="s">
        <v>4983</v>
      </c>
      <c r="F1224" s="32">
        <v>43899.0</v>
      </c>
      <c r="G1224" s="32">
        <v>43960.0</v>
      </c>
      <c r="H1224" s="31" t="s">
        <v>453</v>
      </c>
      <c r="I1224" s="31" t="s">
        <v>4330</v>
      </c>
      <c r="J1224" s="31" t="s">
        <v>4331</v>
      </c>
      <c r="K1224" s="31" t="s">
        <v>4984</v>
      </c>
      <c r="L1224" s="31" t="s">
        <v>558</v>
      </c>
      <c r="M1224" s="31" t="s">
        <v>5384</v>
      </c>
      <c r="N1224" s="31" t="s">
        <v>267</v>
      </c>
      <c r="O1224" s="34"/>
      <c r="P1224" s="34"/>
      <c r="Q1224" s="31" t="s">
        <v>307</v>
      </c>
      <c r="R1224" s="35">
        <v>33894.0</v>
      </c>
      <c r="S1224" s="31" t="s">
        <v>531</v>
      </c>
      <c r="T1224" s="31" t="s">
        <v>1522</v>
      </c>
      <c r="U1224" s="31" t="s">
        <v>460</v>
      </c>
      <c r="V1224" s="31" t="s">
        <v>4983</v>
      </c>
      <c r="W1224" s="34"/>
    </row>
    <row r="1225">
      <c r="A1225" s="30">
        <v>1.22</v>
      </c>
      <c r="B1225" s="31" t="s">
        <v>5385</v>
      </c>
      <c r="C1225" s="31" t="s">
        <v>5386</v>
      </c>
      <c r="D1225" s="31" t="s">
        <v>615</v>
      </c>
      <c r="E1225" s="31" t="s">
        <v>5387</v>
      </c>
      <c r="F1225" s="32">
        <v>43577.0</v>
      </c>
      <c r="G1225" s="32">
        <v>43638.0</v>
      </c>
      <c r="H1225" s="31" t="s">
        <v>453</v>
      </c>
      <c r="I1225" s="31" t="s">
        <v>2835</v>
      </c>
      <c r="J1225" s="31" t="s">
        <v>3564</v>
      </c>
      <c r="K1225" s="31" t="s">
        <v>5388</v>
      </c>
      <c r="L1225" s="31" t="s">
        <v>618</v>
      </c>
      <c r="M1225" s="31" t="s">
        <v>5389</v>
      </c>
      <c r="N1225" s="31" t="s">
        <v>467</v>
      </c>
      <c r="O1225" s="34"/>
      <c r="P1225" s="34"/>
      <c r="Q1225" s="31" t="s">
        <v>307</v>
      </c>
      <c r="R1225" s="32">
        <v>34954.0</v>
      </c>
      <c r="S1225" s="31" t="s">
        <v>560</v>
      </c>
      <c r="T1225" s="31" t="s">
        <v>496</v>
      </c>
      <c r="U1225" s="31" t="s">
        <v>480</v>
      </c>
      <c r="V1225" s="31" t="s">
        <v>5387</v>
      </c>
      <c r="W1225" s="34"/>
    </row>
    <row r="1226">
      <c r="A1226" s="30">
        <v>1.221</v>
      </c>
      <c r="B1226" s="31" t="s">
        <v>5390</v>
      </c>
      <c r="C1226" s="31" t="s">
        <v>1388</v>
      </c>
      <c r="D1226" s="31" t="s">
        <v>472</v>
      </c>
      <c r="E1226" s="31" t="s">
        <v>3246</v>
      </c>
      <c r="F1226" s="32">
        <v>42807.0</v>
      </c>
      <c r="G1226" s="32">
        <v>42868.0</v>
      </c>
      <c r="H1226" s="31" t="s">
        <v>453</v>
      </c>
      <c r="I1226" s="31" t="s">
        <v>607</v>
      </c>
      <c r="J1226" s="31" t="s">
        <v>3247</v>
      </c>
      <c r="K1226" s="31" t="s">
        <v>3248</v>
      </c>
      <c r="L1226" s="31" t="s">
        <v>476</v>
      </c>
      <c r="M1226" s="31" t="s">
        <v>5391</v>
      </c>
      <c r="N1226" s="31" t="s">
        <v>467</v>
      </c>
      <c r="O1226" s="34"/>
      <c r="P1226" s="34"/>
      <c r="Q1226" s="31" t="s">
        <v>307</v>
      </c>
      <c r="R1226" s="32">
        <v>34711.0</v>
      </c>
      <c r="S1226" s="31" t="s">
        <v>468</v>
      </c>
      <c r="T1226" s="31" t="s">
        <v>1532</v>
      </c>
      <c r="U1226" s="31" t="s">
        <v>480</v>
      </c>
      <c r="V1226" s="31" t="s">
        <v>3246</v>
      </c>
      <c r="W1226" s="34"/>
    </row>
    <row r="1227">
      <c r="A1227" s="30">
        <v>1.222</v>
      </c>
      <c r="B1227" s="31" t="s">
        <v>5392</v>
      </c>
      <c r="C1227" s="31" t="s">
        <v>5393</v>
      </c>
      <c r="D1227" s="31" t="s">
        <v>472</v>
      </c>
      <c r="E1227" s="31" t="s">
        <v>4855</v>
      </c>
      <c r="F1227" s="32">
        <v>43661.0</v>
      </c>
      <c r="G1227" s="32">
        <v>43723.0</v>
      </c>
      <c r="H1227" s="31" t="s">
        <v>453</v>
      </c>
      <c r="I1227" s="31" t="s">
        <v>607</v>
      </c>
      <c r="J1227" s="31" t="s">
        <v>4856</v>
      </c>
      <c r="K1227" s="31" t="s">
        <v>4857</v>
      </c>
      <c r="L1227" s="31" t="s">
        <v>3050</v>
      </c>
      <c r="M1227" s="31" t="s">
        <v>5394</v>
      </c>
      <c r="N1227" s="31" t="s">
        <v>467</v>
      </c>
      <c r="O1227" s="34"/>
      <c r="P1227" s="34"/>
      <c r="Q1227" s="31" t="s">
        <v>307</v>
      </c>
      <c r="R1227" s="32">
        <v>35709.0</v>
      </c>
      <c r="S1227" s="31" t="s">
        <v>502</v>
      </c>
      <c r="T1227" s="31" t="s">
        <v>503</v>
      </c>
      <c r="U1227" s="31" t="s">
        <v>480</v>
      </c>
      <c r="V1227" s="31" t="s">
        <v>4855</v>
      </c>
      <c r="W1227" s="34"/>
    </row>
    <row r="1228">
      <c r="A1228" s="30">
        <v>1.223</v>
      </c>
      <c r="B1228" s="31" t="s">
        <v>5395</v>
      </c>
      <c r="C1228" s="31" t="s">
        <v>5396</v>
      </c>
      <c r="D1228" s="31" t="s">
        <v>463</v>
      </c>
      <c r="E1228" s="31" t="s">
        <v>5124</v>
      </c>
      <c r="F1228" s="32">
        <v>42310.0</v>
      </c>
      <c r="G1228" s="32">
        <v>42371.0</v>
      </c>
      <c r="H1228" s="31" t="s">
        <v>453</v>
      </c>
      <c r="I1228" s="31" t="s">
        <v>454</v>
      </c>
      <c r="J1228" s="31" t="s">
        <v>4823</v>
      </c>
      <c r="K1228" s="31" t="s">
        <v>5125</v>
      </c>
      <c r="L1228" s="31" t="s">
        <v>465</v>
      </c>
      <c r="M1228" s="31" t="s">
        <v>5397</v>
      </c>
      <c r="N1228" s="31" t="s">
        <v>467</v>
      </c>
      <c r="O1228" s="31">
        <v>2.0</v>
      </c>
      <c r="P1228" s="34"/>
      <c r="Q1228" s="31" t="s">
        <v>307</v>
      </c>
      <c r="R1228" s="32">
        <v>33211.0</v>
      </c>
      <c r="S1228" s="31" t="s">
        <v>502</v>
      </c>
      <c r="T1228" s="31" t="s">
        <v>5398</v>
      </c>
      <c r="U1228" s="31" t="s">
        <v>460</v>
      </c>
      <c r="V1228" s="31" t="s">
        <v>5124</v>
      </c>
      <c r="W1228" s="34"/>
    </row>
    <row r="1229">
      <c r="A1229" s="30">
        <v>1.224</v>
      </c>
      <c r="B1229" s="31" t="s">
        <v>5399</v>
      </c>
      <c r="C1229" s="31" t="s">
        <v>5400</v>
      </c>
      <c r="D1229" s="31" t="s">
        <v>472</v>
      </c>
      <c r="E1229" s="31" t="s">
        <v>2675</v>
      </c>
      <c r="F1229" s="32">
        <v>43721.0</v>
      </c>
      <c r="G1229" s="35">
        <v>43782.0</v>
      </c>
      <c r="H1229" s="31" t="s">
        <v>453</v>
      </c>
      <c r="I1229" s="31" t="s">
        <v>454</v>
      </c>
      <c r="J1229" s="31" t="s">
        <v>2676</v>
      </c>
      <c r="K1229" s="31" t="s">
        <v>2677</v>
      </c>
      <c r="L1229" s="31" t="s">
        <v>476</v>
      </c>
      <c r="M1229" s="31" t="s">
        <v>5401</v>
      </c>
      <c r="N1229" s="31" t="s">
        <v>467</v>
      </c>
      <c r="O1229" s="34"/>
      <c r="P1229" s="34"/>
      <c r="Q1229" s="31" t="s">
        <v>307</v>
      </c>
      <c r="R1229" s="32">
        <v>35443.0</v>
      </c>
      <c r="S1229" s="31" t="s">
        <v>468</v>
      </c>
      <c r="T1229" s="31" t="s">
        <v>1370</v>
      </c>
      <c r="U1229" s="31" t="s">
        <v>480</v>
      </c>
      <c r="V1229" s="31" t="s">
        <v>2675</v>
      </c>
      <c r="W1229" s="34"/>
    </row>
    <row r="1230">
      <c r="A1230" s="30">
        <v>1.225</v>
      </c>
      <c r="B1230" s="31" t="s">
        <v>5402</v>
      </c>
      <c r="C1230" s="31" t="s">
        <v>5403</v>
      </c>
      <c r="D1230" s="31" t="s">
        <v>472</v>
      </c>
      <c r="E1230" s="31" t="s">
        <v>4611</v>
      </c>
      <c r="F1230" s="32">
        <v>43525.0</v>
      </c>
      <c r="G1230" s="32">
        <v>43586.0</v>
      </c>
      <c r="H1230" s="31" t="s">
        <v>453</v>
      </c>
      <c r="I1230" s="31" t="s">
        <v>2835</v>
      </c>
      <c r="J1230" s="31" t="s">
        <v>4612</v>
      </c>
      <c r="K1230" s="31" t="s">
        <v>4613</v>
      </c>
      <c r="L1230" s="31" t="s">
        <v>3203</v>
      </c>
      <c r="M1230" s="31" t="s">
        <v>5404</v>
      </c>
      <c r="N1230" s="31" t="s">
        <v>467</v>
      </c>
      <c r="O1230" s="34"/>
      <c r="P1230" s="34"/>
      <c r="Q1230" s="31" t="s">
        <v>307</v>
      </c>
      <c r="R1230" s="35">
        <v>33903.0</v>
      </c>
      <c r="S1230" s="31" t="s">
        <v>560</v>
      </c>
      <c r="T1230" s="31" t="s">
        <v>3198</v>
      </c>
      <c r="U1230" s="31" t="s">
        <v>480</v>
      </c>
      <c r="V1230" s="31" t="s">
        <v>4611</v>
      </c>
      <c r="W1230" s="34"/>
    </row>
    <row r="1231">
      <c r="A1231" s="30">
        <v>1.226</v>
      </c>
      <c r="B1231" s="31" t="s">
        <v>5405</v>
      </c>
      <c r="C1231" s="31" t="s">
        <v>5406</v>
      </c>
      <c r="D1231" s="31" t="s">
        <v>463</v>
      </c>
      <c r="E1231" s="31" t="s">
        <v>3047</v>
      </c>
      <c r="F1231" s="32">
        <v>42811.0</v>
      </c>
      <c r="G1231" s="32">
        <v>42872.0</v>
      </c>
      <c r="H1231" s="31" t="s">
        <v>453</v>
      </c>
      <c r="I1231" s="31" t="s">
        <v>454</v>
      </c>
      <c r="J1231" s="31" t="s">
        <v>3048</v>
      </c>
      <c r="K1231" s="31" t="s">
        <v>3049</v>
      </c>
      <c r="L1231" s="31" t="s">
        <v>465</v>
      </c>
      <c r="M1231" s="31" t="s">
        <v>5407</v>
      </c>
      <c r="N1231" s="31" t="s">
        <v>467</v>
      </c>
      <c r="O1231" s="31">
        <v>2.0</v>
      </c>
      <c r="P1231" s="34"/>
      <c r="Q1231" s="31" t="s">
        <v>307</v>
      </c>
      <c r="R1231" s="35">
        <v>33928.0</v>
      </c>
      <c r="S1231" s="31" t="s">
        <v>490</v>
      </c>
      <c r="T1231" s="31" t="s">
        <v>503</v>
      </c>
      <c r="U1231" s="31" t="s">
        <v>480</v>
      </c>
      <c r="V1231" s="31" t="s">
        <v>3047</v>
      </c>
      <c r="W1231" s="34"/>
    </row>
    <row r="1232">
      <c r="A1232" s="30">
        <v>1.227</v>
      </c>
      <c r="B1232" s="31" t="s">
        <v>5408</v>
      </c>
      <c r="C1232" s="31" t="s">
        <v>5409</v>
      </c>
      <c r="D1232" s="31" t="s">
        <v>564</v>
      </c>
      <c r="E1232" s="31" t="s">
        <v>4823</v>
      </c>
      <c r="F1232" s="35">
        <v>43398.0</v>
      </c>
      <c r="G1232" s="35">
        <v>43459.0</v>
      </c>
      <c r="H1232" s="31" t="s">
        <v>453</v>
      </c>
      <c r="I1232" s="31" t="s">
        <v>454</v>
      </c>
      <c r="J1232" s="31" t="s">
        <v>4823</v>
      </c>
      <c r="K1232" s="31" t="s">
        <v>5410</v>
      </c>
      <c r="L1232" s="31" t="s">
        <v>569</v>
      </c>
      <c r="M1232" s="31" t="s">
        <v>5411</v>
      </c>
      <c r="N1232" s="31" t="s">
        <v>267</v>
      </c>
      <c r="O1232" s="34"/>
      <c r="P1232" s="34"/>
      <c r="Q1232" s="31" t="s">
        <v>307</v>
      </c>
      <c r="R1232" s="35">
        <v>32142.0</v>
      </c>
      <c r="S1232" s="31" t="s">
        <v>681</v>
      </c>
      <c r="T1232" s="31" t="s">
        <v>686</v>
      </c>
      <c r="U1232" s="31" t="s">
        <v>460</v>
      </c>
      <c r="V1232" s="34"/>
      <c r="W1232" s="34"/>
    </row>
    <row r="1233">
      <c r="A1233" s="30">
        <v>1.228</v>
      </c>
      <c r="B1233" s="31" t="s">
        <v>5412</v>
      </c>
      <c r="C1233" s="31" t="s">
        <v>5413</v>
      </c>
      <c r="D1233" s="31" t="s">
        <v>463</v>
      </c>
      <c r="E1233" s="31" t="s">
        <v>4869</v>
      </c>
      <c r="F1233" s="32">
        <v>39600.0</v>
      </c>
      <c r="G1233" s="32">
        <v>39661.0</v>
      </c>
      <c r="H1233" s="31" t="s">
        <v>453</v>
      </c>
      <c r="I1233" s="31" t="s">
        <v>47</v>
      </c>
      <c r="J1233" s="31" t="s">
        <v>3397</v>
      </c>
      <c r="K1233" s="31" t="s">
        <v>4870</v>
      </c>
      <c r="L1233" s="31" t="s">
        <v>465</v>
      </c>
      <c r="M1233" s="31" t="s">
        <v>5414</v>
      </c>
      <c r="N1233" s="31" t="s">
        <v>467</v>
      </c>
      <c r="O1233" s="31">
        <v>2.0</v>
      </c>
      <c r="P1233" s="34"/>
      <c r="Q1233" s="31" t="s">
        <v>307</v>
      </c>
      <c r="R1233" s="32">
        <v>31295.0</v>
      </c>
      <c r="S1233" s="31" t="s">
        <v>560</v>
      </c>
      <c r="T1233" s="31" t="s">
        <v>1281</v>
      </c>
      <c r="U1233" s="31" t="s">
        <v>480</v>
      </c>
      <c r="V1233" s="31" t="s">
        <v>4869</v>
      </c>
      <c r="W1233" s="34"/>
    </row>
    <row r="1234">
      <c r="A1234" s="30">
        <v>1.229</v>
      </c>
      <c r="B1234" s="31" t="s">
        <v>5415</v>
      </c>
      <c r="C1234" s="31" t="s">
        <v>2573</v>
      </c>
      <c r="D1234" s="31" t="s">
        <v>463</v>
      </c>
      <c r="E1234" s="31" t="s">
        <v>3377</v>
      </c>
      <c r="F1234" s="32">
        <v>39890.0</v>
      </c>
      <c r="G1234" s="32">
        <v>39951.0</v>
      </c>
      <c r="H1234" s="31" t="s">
        <v>453</v>
      </c>
      <c r="I1234" s="31" t="s">
        <v>454</v>
      </c>
      <c r="J1234" s="31" t="s">
        <v>3378</v>
      </c>
      <c r="K1234" s="31" t="s">
        <v>3379</v>
      </c>
      <c r="L1234" s="31" t="s">
        <v>465</v>
      </c>
      <c r="M1234" s="31" t="s">
        <v>5416</v>
      </c>
      <c r="N1234" s="31" t="s">
        <v>267</v>
      </c>
      <c r="O1234" s="31">
        <v>2.0</v>
      </c>
      <c r="P1234" s="34"/>
      <c r="Q1234" s="31" t="s">
        <v>307</v>
      </c>
      <c r="R1234" s="32">
        <v>31638.0</v>
      </c>
      <c r="S1234" s="31" t="s">
        <v>560</v>
      </c>
      <c r="T1234" s="31" t="s">
        <v>3295</v>
      </c>
      <c r="U1234" s="31" t="s">
        <v>460</v>
      </c>
      <c r="V1234" s="31" t="s">
        <v>3377</v>
      </c>
      <c r="W1234" s="34"/>
    </row>
    <row r="1235">
      <c r="A1235" s="30">
        <v>1.23</v>
      </c>
      <c r="B1235" s="31" t="s">
        <v>5417</v>
      </c>
      <c r="C1235" s="31" t="s">
        <v>5418</v>
      </c>
      <c r="D1235" s="31" t="s">
        <v>472</v>
      </c>
      <c r="E1235" s="31" t="s">
        <v>4822</v>
      </c>
      <c r="F1235" s="32">
        <v>43657.0</v>
      </c>
      <c r="G1235" s="32">
        <v>43719.0</v>
      </c>
      <c r="H1235" s="31" t="s">
        <v>453</v>
      </c>
      <c r="I1235" s="31" t="s">
        <v>454</v>
      </c>
      <c r="J1235" s="31" t="s">
        <v>4823</v>
      </c>
      <c r="K1235" s="31" t="s">
        <v>4824</v>
      </c>
      <c r="L1235" s="31" t="s">
        <v>476</v>
      </c>
      <c r="M1235" s="31" t="s">
        <v>5419</v>
      </c>
      <c r="N1235" s="31" t="s">
        <v>467</v>
      </c>
      <c r="O1235" s="34"/>
      <c r="P1235" s="34"/>
      <c r="Q1235" s="31" t="s">
        <v>307</v>
      </c>
      <c r="R1235" s="32">
        <v>35873.0</v>
      </c>
      <c r="S1235" s="31" t="s">
        <v>502</v>
      </c>
      <c r="T1235" s="31" t="s">
        <v>5420</v>
      </c>
      <c r="U1235" s="31" t="s">
        <v>460</v>
      </c>
      <c r="V1235" s="31" t="s">
        <v>4822</v>
      </c>
      <c r="W1235" s="34"/>
    </row>
    <row r="1236">
      <c r="A1236" s="30">
        <v>1.231</v>
      </c>
      <c r="B1236" s="31" t="s">
        <v>5421</v>
      </c>
      <c r="C1236" s="31" t="s">
        <v>5422</v>
      </c>
      <c r="D1236" s="31" t="s">
        <v>472</v>
      </c>
      <c r="E1236" s="31" t="s">
        <v>2681</v>
      </c>
      <c r="F1236" s="32">
        <v>44056.0</v>
      </c>
      <c r="G1236" s="35">
        <v>44117.0</v>
      </c>
      <c r="H1236" s="31" t="s">
        <v>453</v>
      </c>
      <c r="I1236" s="31" t="s">
        <v>454</v>
      </c>
      <c r="J1236" s="31" t="s">
        <v>2682</v>
      </c>
      <c r="K1236" s="31" t="s">
        <v>2683</v>
      </c>
      <c r="L1236" s="31" t="s">
        <v>476</v>
      </c>
      <c r="M1236" s="31" t="s">
        <v>5423</v>
      </c>
      <c r="N1236" s="31" t="s">
        <v>467</v>
      </c>
      <c r="O1236" s="34"/>
      <c r="P1236" s="34"/>
      <c r="Q1236" s="31" t="s">
        <v>307</v>
      </c>
      <c r="R1236" s="32">
        <v>36238.0</v>
      </c>
      <c r="S1236" s="31" t="s">
        <v>560</v>
      </c>
      <c r="T1236" s="31" t="s">
        <v>2685</v>
      </c>
      <c r="U1236" s="31" t="s">
        <v>480</v>
      </c>
      <c r="V1236" s="31" t="s">
        <v>2681</v>
      </c>
      <c r="W1236" s="34"/>
    </row>
    <row r="1237">
      <c r="A1237" s="30">
        <v>1.232</v>
      </c>
      <c r="B1237" s="31" t="s">
        <v>5424</v>
      </c>
      <c r="C1237" s="31" t="s">
        <v>5425</v>
      </c>
      <c r="D1237" s="31" t="s">
        <v>499</v>
      </c>
      <c r="E1237" s="31" t="s">
        <v>4836</v>
      </c>
      <c r="F1237" s="32">
        <v>40817.0</v>
      </c>
      <c r="G1237" s="32">
        <v>40878.0</v>
      </c>
      <c r="H1237" s="31" t="s">
        <v>453</v>
      </c>
      <c r="I1237" s="31" t="s">
        <v>47</v>
      </c>
      <c r="J1237" s="31" t="s">
        <v>4765</v>
      </c>
      <c r="K1237" s="31" t="s">
        <v>4837</v>
      </c>
      <c r="L1237" s="31" t="s">
        <v>500</v>
      </c>
      <c r="M1237" s="31" t="s">
        <v>5426</v>
      </c>
      <c r="N1237" s="31" t="s">
        <v>467</v>
      </c>
      <c r="O1237" s="31">
        <v>1.0</v>
      </c>
      <c r="P1237" s="34"/>
      <c r="Q1237" s="31" t="s">
        <v>307</v>
      </c>
      <c r="R1237" s="32">
        <v>31224.0</v>
      </c>
      <c r="S1237" s="31" t="s">
        <v>560</v>
      </c>
      <c r="T1237" s="31" t="s">
        <v>5427</v>
      </c>
      <c r="U1237" s="31" t="s">
        <v>480</v>
      </c>
      <c r="V1237" s="31" t="s">
        <v>4836</v>
      </c>
      <c r="W1237" s="34"/>
    </row>
    <row r="1238">
      <c r="A1238" s="30">
        <v>1.233</v>
      </c>
      <c r="B1238" s="31" t="s">
        <v>5428</v>
      </c>
      <c r="C1238" s="31" t="s">
        <v>3039</v>
      </c>
      <c r="D1238" s="31" t="s">
        <v>564</v>
      </c>
      <c r="E1238" s="31" t="s">
        <v>4380</v>
      </c>
      <c r="F1238" s="32">
        <v>42226.0</v>
      </c>
      <c r="G1238" s="35">
        <v>42287.0</v>
      </c>
      <c r="H1238" s="31" t="s">
        <v>453</v>
      </c>
      <c r="I1238" s="31" t="s">
        <v>607</v>
      </c>
      <c r="J1238" s="31" t="s">
        <v>4380</v>
      </c>
      <c r="K1238" s="31" t="s">
        <v>5429</v>
      </c>
      <c r="L1238" s="31" t="s">
        <v>569</v>
      </c>
      <c r="M1238" s="31" t="s">
        <v>5430</v>
      </c>
      <c r="N1238" s="31" t="s">
        <v>267</v>
      </c>
      <c r="O1238" s="34"/>
      <c r="P1238" s="34"/>
      <c r="Q1238" s="31" t="s">
        <v>307</v>
      </c>
      <c r="R1238" s="32">
        <v>32614.0</v>
      </c>
      <c r="S1238" s="31" t="s">
        <v>531</v>
      </c>
      <c r="T1238" s="31" t="s">
        <v>778</v>
      </c>
      <c r="U1238" s="31" t="s">
        <v>643</v>
      </c>
      <c r="V1238" s="34"/>
      <c r="W1238" s="34"/>
    </row>
    <row r="1239">
      <c r="A1239" s="30">
        <v>1.234</v>
      </c>
      <c r="B1239" s="31" t="s">
        <v>5431</v>
      </c>
      <c r="C1239" s="31" t="s">
        <v>5432</v>
      </c>
      <c r="D1239" s="31" t="s">
        <v>472</v>
      </c>
      <c r="E1239" s="31" t="s">
        <v>2696</v>
      </c>
      <c r="F1239" s="32">
        <v>43836.0</v>
      </c>
      <c r="G1239" s="32">
        <v>43896.0</v>
      </c>
      <c r="H1239" s="31" t="s">
        <v>453</v>
      </c>
      <c r="I1239" s="31" t="s">
        <v>607</v>
      </c>
      <c r="J1239" s="31" t="s">
        <v>2697</v>
      </c>
      <c r="K1239" s="31" t="s">
        <v>2698</v>
      </c>
      <c r="L1239" s="31" t="s">
        <v>476</v>
      </c>
      <c r="M1239" s="31" t="s">
        <v>5433</v>
      </c>
      <c r="N1239" s="31" t="s">
        <v>467</v>
      </c>
      <c r="O1239" s="34"/>
      <c r="P1239" s="34"/>
      <c r="Q1239" s="31" t="s">
        <v>307</v>
      </c>
      <c r="R1239" s="32">
        <v>36162.0</v>
      </c>
      <c r="S1239" s="31" t="s">
        <v>490</v>
      </c>
      <c r="T1239" s="31" t="s">
        <v>854</v>
      </c>
      <c r="U1239" s="31" t="s">
        <v>643</v>
      </c>
      <c r="V1239" s="31" t="s">
        <v>2696</v>
      </c>
      <c r="W1239" s="34"/>
    </row>
    <row r="1240">
      <c r="A1240" s="30">
        <v>1.235</v>
      </c>
      <c r="B1240" s="31" t="s">
        <v>5434</v>
      </c>
      <c r="C1240" s="31" t="s">
        <v>5435</v>
      </c>
      <c r="D1240" s="31" t="s">
        <v>499</v>
      </c>
      <c r="E1240" s="31" t="s">
        <v>2902</v>
      </c>
      <c r="F1240" s="32">
        <v>43241.0</v>
      </c>
      <c r="G1240" s="32">
        <v>43302.0</v>
      </c>
      <c r="H1240" s="31" t="s">
        <v>453</v>
      </c>
      <c r="I1240" s="31" t="s">
        <v>454</v>
      </c>
      <c r="J1240" s="31" t="s">
        <v>2903</v>
      </c>
      <c r="K1240" s="31" t="s">
        <v>2904</v>
      </c>
      <c r="L1240" s="31" t="s">
        <v>500</v>
      </c>
      <c r="M1240" s="31" t="s">
        <v>5436</v>
      </c>
      <c r="N1240" s="31" t="s">
        <v>467</v>
      </c>
      <c r="O1240" s="31">
        <v>1.0</v>
      </c>
      <c r="P1240" s="34"/>
      <c r="Q1240" s="31" t="s">
        <v>307</v>
      </c>
      <c r="R1240" s="32">
        <v>35339.0</v>
      </c>
      <c r="S1240" s="31" t="s">
        <v>560</v>
      </c>
      <c r="T1240" s="31" t="s">
        <v>503</v>
      </c>
      <c r="U1240" s="31" t="s">
        <v>480</v>
      </c>
      <c r="V1240" s="31" t="s">
        <v>2902</v>
      </c>
      <c r="W1240" s="34"/>
    </row>
    <row r="1241">
      <c r="A1241" s="30">
        <v>1.236</v>
      </c>
      <c r="B1241" s="31" t="s">
        <v>5437</v>
      </c>
      <c r="C1241" s="31" t="s">
        <v>5438</v>
      </c>
      <c r="D1241" s="31" t="s">
        <v>5439</v>
      </c>
      <c r="E1241" s="31" t="s">
        <v>39</v>
      </c>
      <c r="F1241" s="32">
        <v>42849.0</v>
      </c>
      <c r="G1241" s="32">
        <v>42910.0</v>
      </c>
      <c r="H1241" s="31" t="s">
        <v>453</v>
      </c>
      <c r="I1241" s="31" t="s">
        <v>39</v>
      </c>
      <c r="J1241" s="34"/>
      <c r="K1241" s="31" t="s">
        <v>4881</v>
      </c>
      <c r="L1241" s="31" t="s">
        <v>5440</v>
      </c>
      <c r="M1241" s="31" t="s">
        <v>5441</v>
      </c>
      <c r="N1241" s="31" t="s">
        <v>267</v>
      </c>
      <c r="O1241" s="31">
        <v>2.0</v>
      </c>
      <c r="P1241" s="34"/>
      <c r="Q1241" s="31" t="s">
        <v>307</v>
      </c>
      <c r="R1241" s="32">
        <v>34312.0</v>
      </c>
      <c r="S1241" s="31" t="s">
        <v>468</v>
      </c>
      <c r="T1241" s="31" t="s">
        <v>3198</v>
      </c>
      <c r="U1241" s="31" t="s">
        <v>480</v>
      </c>
      <c r="V1241" s="34"/>
      <c r="W1241" s="34"/>
    </row>
    <row r="1242">
      <c r="A1242" s="30">
        <v>1.237</v>
      </c>
      <c r="B1242" s="31" t="s">
        <v>5442</v>
      </c>
      <c r="C1242" s="31" t="s">
        <v>5443</v>
      </c>
      <c r="D1242" s="31" t="s">
        <v>4909</v>
      </c>
      <c r="E1242" s="31" t="s">
        <v>2675</v>
      </c>
      <c r="F1242" s="32">
        <v>44005.0</v>
      </c>
      <c r="G1242" s="32">
        <v>44066.0</v>
      </c>
      <c r="H1242" s="31" t="s">
        <v>453</v>
      </c>
      <c r="I1242" s="31" t="s">
        <v>454</v>
      </c>
      <c r="J1242" s="31" t="s">
        <v>2676</v>
      </c>
      <c r="K1242" s="31" t="s">
        <v>2677</v>
      </c>
      <c r="L1242" s="31" t="s">
        <v>4910</v>
      </c>
      <c r="M1242" s="31" t="s">
        <v>5444</v>
      </c>
      <c r="N1242" s="31" t="s">
        <v>467</v>
      </c>
      <c r="O1242" s="34"/>
      <c r="P1242" s="34"/>
      <c r="Q1242" s="31" t="s">
        <v>307</v>
      </c>
      <c r="R1242" s="32">
        <v>35691.0</v>
      </c>
      <c r="S1242" s="31" t="s">
        <v>472</v>
      </c>
      <c r="T1242" s="31" t="s">
        <v>5445</v>
      </c>
      <c r="U1242" s="31" t="s">
        <v>480</v>
      </c>
      <c r="V1242" s="31" t="s">
        <v>2675</v>
      </c>
      <c r="W1242" s="34"/>
    </row>
    <row r="1243">
      <c r="A1243" s="30">
        <v>1.238</v>
      </c>
      <c r="B1243" s="31" t="s">
        <v>5446</v>
      </c>
      <c r="C1243" s="31" t="s">
        <v>5447</v>
      </c>
      <c r="D1243" s="31" t="s">
        <v>4909</v>
      </c>
      <c r="E1243" s="31" t="s">
        <v>3419</v>
      </c>
      <c r="F1243" s="32">
        <v>44371.0</v>
      </c>
      <c r="G1243" s="32">
        <v>44432.0</v>
      </c>
      <c r="H1243" s="31" t="s">
        <v>453</v>
      </c>
      <c r="I1243" s="31" t="s">
        <v>454</v>
      </c>
      <c r="J1243" s="31" t="s">
        <v>3188</v>
      </c>
      <c r="K1243" s="31" t="s">
        <v>3420</v>
      </c>
      <c r="L1243" s="31" t="s">
        <v>4910</v>
      </c>
      <c r="M1243" s="31" t="s">
        <v>5448</v>
      </c>
      <c r="N1243" s="31" t="s">
        <v>467</v>
      </c>
      <c r="O1243" s="34"/>
      <c r="P1243" s="34"/>
      <c r="Q1243" s="31" t="s">
        <v>307</v>
      </c>
      <c r="R1243" s="32">
        <v>36227.0</v>
      </c>
      <c r="S1243" s="31" t="s">
        <v>490</v>
      </c>
      <c r="T1243" s="31" t="s">
        <v>496</v>
      </c>
      <c r="U1243" s="31" t="s">
        <v>460</v>
      </c>
      <c r="V1243" s="31" t="s">
        <v>3419</v>
      </c>
      <c r="W1243" s="34"/>
    </row>
    <row r="1244">
      <c r="A1244" s="30">
        <v>1.239</v>
      </c>
      <c r="B1244" s="31" t="s">
        <v>5449</v>
      </c>
      <c r="C1244" s="31" t="s">
        <v>5450</v>
      </c>
      <c r="D1244" s="31" t="s">
        <v>472</v>
      </c>
      <c r="E1244" s="31" t="s">
        <v>2902</v>
      </c>
      <c r="F1244" s="32">
        <v>44970.0</v>
      </c>
      <c r="G1244" s="32">
        <v>45029.0</v>
      </c>
      <c r="H1244" s="31" t="s">
        <v>453</v>
      </c>
      <c r="I1244" s="31" t="s">
        <v>454</v>
      </c>
      <c r="J1244" s="31" t="s">
        <v>2903</v>
      </c>
      <c r="K1244" s="31" t="s">
        <v>2904</v>
      </c>
      <c r="L1244" s="31" t="s">
        <v>476</v>
      </c>
      <c r="M1244" s="31" t="s">
        <v>5451</v>
      </c>
      <c r="N1244" s="31" t="s">
        <v>467</v>
      </c>
      <c r="O1244" s="34"/>
      <c r="P1244" s="34"/>
      <c r="Q1244" s="31" t="s">
        <v>307</v>
      </c>
      <c r="R1244" s="32">
        <v>36788.0</v>
      </c>
      <c r="S1244" s="31" t="s">
        <v>560</v>
      </c>
      <c r="T1244" s="31" t="s">
        <v>1156</v>
      </c>
      <c r="U1244" s="31" t="s">
        <v>480</v>
      </c>
      <c r="V1244" s="31" t="s">
        <v>2902</v>
      </c>
      <c r="W1244" s="34"/>
    </row>
    <row r="1245">
      <c r="A1245" s="30">
        <v>1.24</v>
      </c>
      <c r="B1245" s="31" t="s">
        <v>5452</v>
      </c>
      <c r="C1245" s="31" t="s">
        <v>5453</v>
      </c>
      <c r="D1245" s="31" t="s">
        <v>472</v>
      </c>
      <c r="E1245" s="31" t="s">
        <v>2651</v>
      </c>
      <c r="F1245" s="32">
        <v>44960.0</v>
      </c>
      <c r="G1245" s="32">
        <v>45019.0</v>
      </c>
      <c r="H1245" s="31" t="s">
        <v>453</v>
      </c>
      <c r="I1245" s="31" t="s">
        <v>566</v>
      </c>
      <c r="J1245" s="31" t="s">
        <v>567</v>
      </c>
      <c r="K1245" s="31" t="s">
        <v>2652</v>
      </c>
      <c r="L1245" s="31" t="s">
        <v>476</v>
      </c>
      <c r="M1245" s="31" t="s">
        <v>5454</v>
      </c>
      <c r="N1245" s="31" t="s">
        <v>467</v>
      </c>
      <c r="O1245" s="34"/>
      <c r="P1245" s="34"/>
      <c r="Q1245" s="31" t="s">
        <v>307</v>
      </c>
      <c r="R1245" s="32">
        <v>36312.0</v>
      </c>
      <c r="S1245" s="31" t="s">
        <v>468</v>
      </c>
      <c r="T1245" s="31" t="s">
        <v>5455</v>
      </c>
      <c r="U1245" s="31" t="s">
        <v>480</v>
      </c>
      <c r="V1245" s="31" t="s">
        <v>2651</v>
      </c>
      <c r="W1245" s="34"/>
    </row>
    <row r="1246">
      <c r="A1246" s="30">
        <v>1.241</v>
      </c>
      <c r="B1246" s="31" t="s">
        <v>5456</v>
      </c>
      <c r="C1246" s="31" t="s">
        <v>5457</v>
      </c>
      <c r="D1246" s="31" t="s">
        <v>472</v>
      </c>
      <c r="E1246" s="31" t="s">
        <v>3603</v>
      </c>
      <c r="F1246" s="32">
        <v>44959.0</v>
      </c>
      <c r="G1246" s="32">
        <v>45018.0</v>
      </c>
      <c r="H1246" s="31" t="s">
        <v>453</v>
      </c>
      <c r="I1246" s="31" t="s">
        <v>454</v>
      </c>
      <c r="J1246" s="31" t="s">
        <v>3604</v>
      </c>
      <c r="K1246" s="31" t="s">
        <v>3605</v>
      </c>
      <c r="L1246" s="31" t="s">
        <v>476</v>
      </c>
      <c r="M1246" s="31" t="s">
        <v>5458</v>
      </c>
      <c r="N1246" s="31" t="s">
        <v>467</v>
      </c>
      <c r="O1246" s="34"/>
      <c r="P1246" s="34"/>
      <c r="Q1246" s="31" t="s">
        <v>307</v>
      </c>
      <c r="R1246" s="32">
        <v>37153.0</v>
      </c>
      <c r="S1246" s="31" t="s">
        <v>560</v>
      </c>
      <c r="T1246" s="31" t="s">
        <v>3890</v>
      </c>
      <c r="U1246" s="31" t="s">
        <v>480</v>
      </c>
      <c r="V1246" s="31" t="s">
        <v>3603</v>
      </c>
      <c r="W1246" s="34"/>
    </row>
    <row r="1247">
      <c r="A1247" s="30">
        <v>1.242</v>
      </c>
      <c r="B1247" s="31" t="s">
        <v>5459</v>
      </c>
      <c r="C1247" s="31" t="s">
        <v>5460</v>
      </c>
      <c r="D1247" s="31" t="s">
        <v>472</v>
      </c>
      <c r="E1247" s="31" t="s">
        <v>3603</v>
      </c>
      <c r="F1247" s="32">
        <v>44959.0</v>
      </c>
      <c r="G1247" s="32">
        <v>45018.0</v>
      </c>
      <c r="H1247" s="31" t="s">
        <v>453</v>
      </c>
      <c r="I1247" s="31" t="s">
        <v>454</v>
      </c>
      <c r="J1247" s="31" t="s">
        <v>3604</v>
      </c>
      <c r="K1247" s="31" t="s">
        <v>3605</v>
      </c>
      <c r="L1247" s="31" t="s">
        <v>476</v>
      </c>
      <c r="M1247" s="31" t="s">
        <v>5461</v>
      </c>
      <c r="N1247" s="31" t="s">
        <v>467</v>
      </c>
      <c r="O1247" s="34"/>
      <c r="P1247" s="34"/>
      <c r="Q1247" s="31" t="s">
        <v>307</v>
      </c>
      <c r="R1247" s="35">
        <v>36824.0</v>
      </c>
      <c r="S1247" s="31" t="s">
        <v>502</v>
      </c>
      <c r="T1247" s="31" t="s">
        <v>592</v>
      </c>
      <c r="U1247" s="31" t="s">
        <v>480</v>
      </c>
      <c r="V1247" s="31" t="s">
        <v>3603</v>
      </c>
      <c r="W1247" s="34"/>
    </row>
    <row r="1248">
      <c r="A1248" s="30">
        <v>1.243</v>
      </c>
      <c r="B1248" s="31" t="s">
        <v>5462</v>
      </c>
      <c r="C1248" s="31" t="s">
        <v>5463</v>
      </c>
      <c r="D1248" s="31" t="s">
        <v>472</v>
      </c>
      <c r="E1248" s="31" t="s">
        <v>3246</v>
      </c>
      <c r="F1248" s="32">
        <v>44958.0</v>
      </c>
      <c r="G1248" s="32">
        <v>45017.0</v>
      </c>
      <c r="H1248" s="31" t="s">
        <v>453</v>
      </c>
      <c r="I1248" s="31" t="s">
        <v>607</v>
      </c>
      <c r="J1248" s="31" t="s">
        <v>3247</v>
      </c>
      <c r="K1248" s="31" t="s">
        <v>3248</v>
      </c>
      <c r="L1248" s="31" t="s">
        <v>476</v>
      </c>
      <c r="M1248" s="31" t="s">
        <v>5464</v>
      </c>
      <c r="N1248" s="31" t="s">
        <v>467</v>
      </c>
      <c r="O1248" s="34"/>
      <c r="P1248" s="34"/>
      <c r="Q1248" s="31" t="s">
        <v>307</v>
      </c>
      <c r="R1248" s="32">
        <v>37135.0</v>
      </c>
      <c r="S1248" s="31" t="s">
        <v>560</v>
      </c>
      <c r="T1248" s="31" t="s">
        <v>5465</v>
      </c>
      <c r="U1248" s="31" t="s">
        <v>480</v>
      </c>
      <c r="V1248" s="31" t="s">
        <v>3246</v>
      </c>
      <c r="W1248" s="34"/>
    </row>
    <row r="1249">
      <c r="A1249" s="30">
        <v>1.244</v>
      </c>
      <c r="B1249" s="31" t="s">
        <v>5466</v>
      </c>
      <c r="C1249" s="31" t="s">
        <v>5037</v>
      </c>
      <c r="D1249" s="31" t="s">
        <v>472</v>
      </c>
      <c r="E1249" s="31" t="s">
        <v>4836</v>
      </c>
      <c r="F1249" s="32">
        <v>44958.0</v>
      </c>
      <c r="G1249" s="32">
        <v>45017.0</v>
      </c>
      <c r="H1249" s="31" t="s">
        <v>453</v>
      </c>
      <c r="I1249" s="31" t="s">
        <v>47</v>
      </c>
      <c r="J1249" s="31" t="s">
        <v>4765</v>
      </c>
      <c r="K1249" s="31" t="s">
        <v>4837</v>
      </c>
      <c r="L1249" s="31" t="s">
        <v>476</v>
      </c>
      <c r="M1249" s="31" t="s">
        <v>5467</v>
      </c>
      <c r="N1249" s="31" t="s">
        <v>467</v>
      </c>
      <c r="O1249" s="34"/>
      <c r="P1249" s="34"/>
      <c r="Q1249" s="31" t="s">
        <v>307</v>
      </c>
      <c r="R1249" s="32">
        <v>36371.0</v>
      </c>
      <c r="S1249" s="31" t="s">
        <v>560</v>
      </c>
      <c r="T1249" s="31" t="s">
        <v>2672</v>
      </c>
      <c r="U1249" s="31" t="s">
        <v>480</v>
      </c>
      <c r="V1249" s="31" t="s">
        <v>4836</v>
      </c>
      <c r="W1249" s="34"/>
    </row>
    <row r="1250">
      <c r="A1250" s="30">
        <v>1.245</v>
      </c>
      <c r="B1250" s="31" t="s">
        <v>5468</v>
      </c>
      <c r="C1250" s="31" t="s">
        <v>5131</v>
      </c>
      <c r="D1250" s="31" t="s">
        <v>472</v>
      </c>
      <c r="E1250" s="31" t="s">
        <v>3603</v>
      </c>
      <c r="F1250" s="32">
        <v>44936.0</v>
      </c>
      <c r="G1250" s="32">
        <v>44995.0</v>
      </c>
      <c r="H1250" s="31" t="s">
        <v>453</v>
      </c>
      <c r="I1250" s="31" t="s">
        <v>454</v>
      </c>
      <c r="J1250" s="31" t="s">
        <v>3604</v>
      </c>
      <c r="K1250" s="31" t="s">
        <v>3605</v>
      </c>
      <c r="L1250" s="31" t="s">
        <v>476</v>
      </c>
      <c r="M1250" s="31" t="s">
        <v>5469</v>
      </c>
      <c r="N1250" s="31" t="s">
        <v>467</v>
      </c>
      <c r="O1250" s="34"/>
      <c r="P1250" s="34"/>
      <c r="Q1250" s="31" t="s">
        <v>307</v>
      </c>
      <c r="R1250" s="32">
        <v>36941.0</v>
      </c>
      <c r="S1250" s="31" t="s">
        <v>560</v>
      </c>
      <c r="T1250" s="31" t="s">
        <v>718</v>
      </c>
      <c r="U1250" s="31" t="s">
        <v>480</v>
      </c>
      <c r="V1250" s="31" t="s">
        <v>3603</v>
      </c>
      <c r="W1250" s="34"/>
    </row>
    <row r="1251">
      <c r="A1251" s="30">
        <v>1.246</v>
      </c>
      <c r="B1251" s="31" t="s">
        <v>5470</v>
      </c>
      <c r="C1251" s="31" t="s">
        <v>5471</v>
      </c>
      <c r="D1251" s="31" t="s">
        <v>452</v>
      </c>
      <c r="E1251" s="31" t="s">
        <v>3388</v>
      </c>
      <c r="F1251" s="32">
        <v>44931.0</v>
      </c>
      <c r="G1251" s="32">
        <v>44990.0</v>
      </c>
      <c r="H1251" s="31" t="s">
        <v>453</v>
      </c>
      <c r="I1251" s="31" t="s">
        <v>607</v>
      </c>
      <c r="J1251" s="31" t="s">
        <v>3247</v>
      </c>
      <c r="K1251" s="31" t="s">
        <v>3389</v>
      </c>
      <c r="L1251" s="31" t="s">
        <v>456</v>
      </c>
      <c r="M1251" s="31" t="s">
        <v>5472</v>
      </c>
      <c r="N1251" s="31" t="s">
        <v>267</v>
      </c>
      <c r="O1251" s="34"/>
      <c r="P1251" s="34"/>
      <c r="Q1251" s="31" t="s">
        <v>307</v>
      </c>
      <c r="R1251" s="32">
        <v>37164.0</v>
      </c>
      <c r="S1251" s="31" t="s">
        <v>1058</v>
      </c>
      <c r="T1251" s="31" t="s">
        <v>5473</v>
      </c>
      <c r="U1251" s="31" t="s">
        <v>480</v>
      </c>
      <c r="V1251" s="31" t="s">
        <v>3388</v>
      </c>
      <c r="W1251" s="34"/>
    </row>
    <row r="1252">
      <c r="A1252" s="30">
        <v>1.247</v>
      </c>
      <c r="B1252" s="31" t="s">
        <v>5474</v>
      </c>
      <c r="C1252" s="31" t="s">
        <v>5475</v>
      </c>
      <c r="D1252" s="31" t="s">
        <v>452</v>
      </c>
      <c r="E1252" s="31" t="s">
        <v>4446</v>
      </c>
      <c r="F1252" s="32">
        <v>44931.0</v>
      </c>
      <c r="G1252" s="32">
        <v>44990.0</v>
      </c>
      <c r="H1252" s="31" t="s">
        <v>453</v>
      </c>
      <c r="I1252" s="31" t="s">
        <v>607</v>
      </c>
      <c r="J1252" s="31" t="s">
        <v>2697</v>
      </c>
      <c r="K1252" s="31" t="s">
        <v>4447</v>
      </c>
      <c r="L1252" s="31" t="s">
        <v>456</v>
      </c>
      <c r="M1252" s="31" t="s">
        <v>5476</v>
      </c>
      <c r="N1252" s="31" t="s">
        <v>467</v>
      </c>
      <c r="O1252" s="34"/>
      <c r="P1252" s="34"/>
      <c r="Q1252" s="31" t="s">
        <v>307</v>
      </c>
      <c r="R1252" s="32">
        <v>37061.0</v>
      </c>
      <c r="S1252" s="31" t="s">
        <v>320</v>
      </c>
      <c r="T1252" s="31" t="s">
        <v>3159</v>
      </c>
      <c r="U1252" s="31" t="s">
        <v>643</v>
      </c>
      <c r="V1252" s="31" t="s">
        <v>4446</v>
      </c>
      <c r="W1252" s="34"/>
    </row>
    <row r="1253">
      <c r="A1253" s="30">
        <v>1.248</v>
      </c>
      <c r="B1253" s="31" t="s">
        <v>5477</v>
      </c>
      <c r="C1253" s="31" t="s">
        <v>5478</v>
      </c>
      <c r="D1253" s="31" t="s">
        <v>553</v>
      </c>
      <c r="E1253" s="31" t="s">
        <v>4414</v>
      </c>
      <c r="F1253" s="35">
        <v>44921.0</v>
      </c>
      <c r="G1253" s="32">
        <v>44983.0</v>
      </c>
      <c r="H1253" s="31" t="s">
        <v>453</v>
      </c>
      <c r="I1253" s="31" t="s">
        <v>607</v>
      </c>
      <c r="J1253" s="31" t="s">
        <v>4415</v>
      </c>
      <c r="K1253" s="31" t="s">
        <v>4416</v>
      </c>
      <c r="L1253" s="31" t="s">
        <v>558</v>
      </c>
      <c r="M1253" s="31" t="s">
        <v>5479</v>
      </c>
      <c r="N1253" s="31" t="s">
        <v>267</v>
      </c>
      <c r="O1253" s="34"/>
      <c r="P1253" s="34"/>
      <c r="Q1253" s="31" t="s">
        <v>307</v>
      </c>
      <c r="R1253" s="32">
        <v>36501.0</v>
      </c>
      <c r="S1253" s="31" t="s">
        <v>531</v>
      </c>
      <c r="T1253" s="31" t="s">
        <v>459</v>
      </c>
      <c r="U1253" s="31" t="s">
        <v>643</v>
      </c>
      <c r="V1253" s="31" t="s">
        <v>4414</v>
      </c>
      <c r="W1253" s="34"/>
    </row>
    <row r="1254">
      <c r="A1254" s="30">
        <v>1.249</v>
      </c>
      <c r="B1254" s="31" t="s">
        <v>5480</v>
      </c>
      <c r="C1254" s="31" t="s">
        <v>5481</v>
      </c>
      <c r="D1254" s="31" t="s">
        <v>472</v>
      </c>
      <c r="E1254" s="31" t="s">
        <v>2902</v>
      </c>
      <c r="F1254" s="35">
        <v>44916.0</v>
      </c>
      <c r="G1254" s="32">
        <v>44978.0</v>
      </c>
      <c r="H1254" s="31" t="s">
        <v>453</v>
      </c>
      <c r="I1254" s="31" t="s">
        <v>454</v>
      </c>
      <c r="J1254" s="31" t="s">
        <v>2903</v>
      </c>
      <c r="K1254" s="31" t="s">
        <v>2904</v>
      </c>
      <c r="L1254" s="31" t="s">
        <v>476</v>
      </c>
      <c r="M1254" s="31" t="s">
        <v>5482</v>
      </c>
      <c r="N1254" s="31" t="s">
        <v>467</v>
      </c>
      <c r="O1254" s="34"/>
      <c r="P1254" s="34"/>
      <c r="Q1254" s="31" t="s">
        <v>307</v>
      </c>
      <c r="R1254" s="32">
        <v>37010.0</v>
      </c>
      <c r="S1254" s="31" t="s">
        <v>3205</v>
      </c>
      <c r="T1254" s="31" t="s">
        <v>2685</v>
      </c>
      <c r="U1254" s="31" t="s">
        <v>480</v>
      </c>
      <c r="V1254" s="31" t="s">
        <v>2902</v>
      </c>
      <c r="W1254" s="34"/>
    </row>
    <row r="1255">
      <c r="A1255" s="30">
        <v>1.25</v>
      </c>
      <c r="B1255" s="31" t="s">
        <v>5483</v>
      </c>
      <c r="C1255" s="31" t="s">
        <v>5484</v>
      </c>
      <c r="D1255" s="31" t="s">
        <v>472</v>
      </c>
      <c r="E1255" s="31" t="s">
        <v>2902</v>
      </c>
      <c r="F1255" s="35">
        <v>44916.0</v>
      </c>
      <c r="G1255" s="32">
        <v>44978.0</v>
      </c>
      <c r="H1255" s="31" t="s">
        <v>453</v>
      </c>
      <c r="I1255" s="31" t="s">
        <v>454</v>
      </c>
      <c r="J1255" s="31" t="s">
        <v>2903</v>
      </c>
      <c r="K1255" s="31" t="s">
        <v>2904</v>
      </c>
      <c r="L1255" s="31" t="s">
        <v>476</v>
      </c>
      <c r="M1255" s="31" t="s">
        <v>5485</v>
      </c>
      <c r="N1255" s="31" t="s">
        <v>467</v>
      </c>
      <c r="O1255" s="34"/>
      <c r="P1255" s="34"/>
      <c r="Q1255" s="31" t="s">
        <v>307</v>
      </c>
      <c r="R1255" s="35">
        <v>36819.0</v>
      </c>
      <c r="S1255" s="31" t="s">
        <v>5486</v>
      </c>
      <c r="T1255" s="31" t="s">
        <v>2672</v>
      </c>
      <c r="U1255" s="31" t="s">
        <v>480</v>
      </c>
      <c r="V1255" s="31" t="s">
        <v>2902</v>
      </c>
      <c r="W1255" s="34"/>
    </row>
    <row r="1256">
      <c r="A1256" s="30">
        <v>1.251</v>
      </c>
      <c r="B1256" s="31" t="s">
        <v>5487</v>
      </c>
      <c r="C1256" s="31" t="s">
        <v>5488</v>
      </c>
      <c r="D1256" s="31" t="s">
        <v>472</v>
      </c>
      <c r="E1256" s="31" t="s">
        <v>2696</v>
      </c>
      <c r="F1256" s="32">
        <v>44903.0</v>
      </c>
      <c r="G1256" s="32">
        <v>44965.0</v>
      </c>
      <c r="H1256" s="31" t="s">
        <v>453</v>
      </c>
      <c r="I1256" s="31" t="s">
        <v>607</v>
      </c>
      <c r="J1256" s="31" t="s">
        <v>2697</v>
      </c>
      <c r="K1256" s="31" t="s">
        <v>2698</v>
      </c>
      <c r="L1256" s="31" t="s">
        <v>476</v>
      </c>
      <c r="M1256" s="31" t="s">
        <v>5489</v>
      </c>
      <c r="N1256" s="31" t="s">
        <v>467</v>
      </c>
      <c r="O1256" s="34"/>
      <c r="P1256" s="34"/>
      <c r="Q1256" s="31" t="s">
        <v>307</v>
      </c>
      <c r="R1256" s="32">
        <v>36582.0</v>
      </c>
      <c r="S1256" s="31" t="s">
        <v>560</v>
      </c>
      <c r="T1256" s="31" t="s">
        <v>3576</v>
      </c>
      <c r="U1256" s="31" t="s">
        <v>643</v>
      </c>
      <c r="V1256" s="31" t="s">
        <v>2696</v>
      </c>
      <c r="W1256" s="34"/>
    </row>
    <row r="1257">
      <c r="A1257" s="30">
        <v>1.252</v>
      </c>
      <c r="B1257" s="31" t="s">
        <v>5490</v>
      </c>
      <c r="C1257" s="31" t="s">
        <v>5491</v>
      </c>
      <c r="D1257" s="31" t="s">
        <v>615</v>
      </c>
      <c r="E1257" s="31" t="s">
        <v>5492</v>
      </c>
      <c r="F1257" s="32">
        <v>44902.0</v>
      </c>
      <c r="G1257" s="32">
        <v>44964.0</v>
      </c>
      <c r="H1257" s="31" t="s">
        <v>453</v>
      </c>
      <c r="I1257" s="31" t="s">
        <v>454</v>
      </c>
      <c r="J1257" s="31" t="s">
        <v>2682</v>
      </c>
      <c r="K1257" s="31" t="s">
        <v>5493</v>
      </c>
      <c r="L1257" s="31" t="s">
        <v>618</v>
      </c>
      <c r="M1257" s="31" t="s">
        <v>5494</v>
      </c>
      <c r="N1257" s="31" t="s">
        <v>467</v>
      </c>
      <c r="O1257" s="34"/>
      <c r="P1257" s="34"/>
      <c r="Q1257" s="31" t="s">
        <v>307</v>
      </c>
      <c r="R1257" s="32">
        <v>36786.0</v>
      </c>
      <c r="S1257" s="31" t="s">
        <v>5495</v>
      </c>
      <c r="T1257" s="31" t="s">
        <v>5496</v>
      </c>
      <c r="U1257" s="31" t="s">
        <v>480</v>
      </c>
      <c r="V1257" s="31" t="s">
        <v>5492</v>
      </c>
      <c r="W1257" s="34"/>
    </row>
    <row r="1258">
      <c r="A1258" s="30">
        <v>1.253</v>
      </c>
      <c r="B1258" s="31" t="s">
        <v>5497</v>
      </c>
      <c r="C1258" s="31" t="s">
        <v>5498</v>
      </c>
      <c r="D1258" s="31" t="s">
        <v>472</v>
      </c>
      <c r="E1258" s="31" t="s">
        <v>5499</v>
      </c>
      <c r="F1258" s="32">
        <v>44900.0</v>
      </c>
      <c r="G1258" s="32">
        <v>44962.0</v>
      </c>
      <c r="H1258" s="31" t="s">
        <v>453</v>
      </c>
      <c r="I1258" s="31" t="s">
        <v>607</v>
      </c>
      <c r="J1258" s="31" t="s">
        <v>3035</v>
      </c>
      <c r="K1258" s="31" t="s">
        <v>5500</v>
      </c>
      <c r="L1258" s="31" t="s">
        <v>476</v>
      </c>
      <c r="M1258" s="31" t="s">
        <v>5501</v>
      </c>
      <c r="N1258" s="31" t="s">
        <v>467</v>
      </c>
      <c r="O1258" s="34"/>
      <c r="P1258" s="34"/>
      <c r="Q1258" s="31" t="s">
        <v>307</v>
      </c>
      <c r="R1258" s="32">
        <v>36561.0</v>
      </c>
      <c r="S1258" s="31" t="s">
        <v>560</v>
      </c>
      <c r="T1258" s="31" t="s">
        <v>3167</v>
      </c>
      <c r="U1258" s="31" t="s">
        <v>480</v>
      </c>
      <c r="V1258" s="31" t="s">
        <v>5499</v>
      </c>
      <c r="W1258" s="34"/>
    </row>
    <row r="1259">
      <c r="A1259" s="30">
        <v>1.254</v>
      </c>
      <c r="B1259" s="31" t="s">
        <v>5502</v>
      </c>
      <c r="C1259" s="31" t="s">
        <v>4345</v>
      </c>
      <c r="D1259" s="31" t="s">
        <v>553</v>
      </c>
      <c r="E1259" s="31" t="s">
        <v>3055</v>
      </c>
      <c r="F1259" s="32">
        <v>44900.0</v>
      </c>
      <c r="G1259" s="32">
        <v>44962.0</v>
      </c>
      <c r="H1259" s="31" t="s">
        <v>453</v>
      </c>
      <c r="I1259" s="31" t="s">
        <v>555</v>
      </c>
      <c r="J1259" s="31" t="s">
        <v>556</v>
      </c>
      <c r="K1259" s="31" t="s">
        <v>3056</v>
      </c>
      <c r="L1259" s="31" t="s">
        <v>558</v>
      </c>
      <c r="M1259" s="31" t="s">
        <v>5503</v>
      </c>
      <c r="N1259" s="31" t="s">
        <v>267</v>
      </c>
      <c r="O1259" s="34"/>
      <c r="P1259" s="34"/>
      <c r="Q1259" s="31" t="s">
        <v>307</v>
      </c>
      <c r="R1259" s="32">
        <v>35592.0</v>
      </c>
      <c r="S1259" s="31" t="s">
        <v>1622</v>
      </c>
      <c r="T1259" s="31" t="s">
        <v>828</v>
      </c>
      <c r="U1259" s="31" t="s">
        <v>480</v>
      </c>
      <c r="V1259" s="31" t="s">
        <v>3055</v>
      </c>
      <c r="W1259" s="34"/>
    </row>
    <row r="1260">
      <c r="A1260" s="30">
        <v>1.255</v>
      </c>
      <c r="B1260" s="31" t="s">
        <v>5504</v>
      </c>
      <c r="C1260" s="31" t="s">
        <v>5505</v>
      </c>
      <c r="D1260" s="31" t="s">
        <v>472</v>
      </c>
      <c r="E1260" s="31" t="s">
        <v>5506</v>
      </c>
      <c r="F1260" s="32">
        <v>44900.0</v>
      </c>
      <c r="G1260" s="32">
        <v>44962.0</v>
      </c>
      <c r="H1260" s="31" t="s">
        <v>453</v>
      </c>
      <c r="I1260" s="31" t="s">
        <v>454</v>
      </c>
      <c r="J1260" s="31" t="s">
        <v>4777</v>
      </c>
      <c r="K1260" s="31" t="s">
        <v>5507</v>
      </c>
      <c r="L1260" s="31" t="s">
        <v>476</v>
      </c>
      <c r="M1260" s="31" t="s">
        <v>5508</v>
      </c>
      <c r="N1260" s="31" t="s">
        <v>467</v>
      </c>
      <c r="O1260" s="34"/>
      <c r="P1260" s="34"/>
      <c r="Q1260" s="31" t="s">
        <v>307</v>
      </c>
      <c r="R1260" s="32">
        <v>37005.0</v>
      </c>
      <c r="S1260" s="31" t="s">
        <v>1622</v>
      </c>
      <c r="T1260" s="31" t="s">
        <v>596</v>
      </c>
      <c r="U1260" s="31" t="s">
        <v>480</v>
      </c>
      <c r="V1260" s="31" t="s">
        <v>5506</v>
      </c>
      <c r="W1260" s="34"/>
    </row>
    <row r="1261">
      <c r="A1261" s="30">
        <v>1.256</v>
      </c>
      <c r="B1261" s="31" t="s">
        <v>5509</v>
      </c>
      <c r="C1261" s="31" t="s">
        <v>5510</v>
      </c>
      <c r="D1261" s="31" t="s">
        <v>472</v>
      </c>
      <c r="E1261" s="31" t="s">
        <v>4983</v>
      </c>
      <c r="F1261" s="32">
        <v>44896.0</v>
      </c>
      <c r="G1261" s="32">
        <v>44958.0</v>
      </c>
      <c r="H1261" s="31" t="s">
        <v>453</v>
      </c>
      <c r="I1261" s="31" t="s">
        <v>4330</v>
      </c>
      <c r="J1261" s="31" t="s">
        <v>4331</v>
      </c>
      <c r="K1261" s="31" t="s">
        <v>4984</v>
      </c>
      <c r="L1261" s="31" t="s">
        <v>476</v>
      </c>
      <c r="M1261" s="31" t="s">
        <v>5511</v>
      </c>
      <c r="N1261" s="31" t="s">
        <v>467</v>
      </c>
      <c r="O1261" s="34"/>
      <c r="P1261" s="34"/>
      <c r="Q1261" s="31" t="s">
        <v>307</v>
      </c>
      <c r="R1261" s="32">
        <v>37076.0</v>
      </c>
      <c r="S1261" s="31" t="s">
        <v>4498</v>
      </c>
      <c r="T1261" s="31" t="s">
        <v>596</v>
      </c>
      <c r="U1261" s="31" t="s">
        <v>460</v>
      </c>
      <c r="V1261" s="31" t="s">
        <v>4983</v>
      </c>
      <c r="W1261" s="34"/>
    </row>
    <row r="1262">
      <c r="A1262" s="30">
        <v>1.257</v>
      </c>
      <c r="B1262" s="31" t="s">
        <v>5512</v>
      </c>
      <c r="C1262" s="31" t="s">
        <v>5513</v>
      </c>
      <c r="D1262" s="31" t="s">
        <v>472</v>
      </c>
      <c r="E1262" s="31" t="s">
        <v>2696</v>
      </c>
      <c r="F1262" s="32">
        <v>44896.0</v>
      </c>
      <c r="G1262" s="32">
        <v>44958.0</v>
      </c>
      <c r="H1262" s="31" t="s">
        <v>453</v>
      </c>
      <c r="I1262" s="31" t="s">
        <v>607</v>
      </c>
      <c r="J1262" s="31" t="s">
        <v>2697</v>
      </c>
      <c r="K1262" s="31" t="s">
        <v>2698</v>
      </c>
      <c r="L1262" s="31" t="s">
        <v>476</v>
      </c>
      <c r="M1262" s="31" t="s">
        <v>5514</v>
      </c>
      <c r="N1262" s="31" t="s">
        <v>467</v>
      </c>
      <c r="O1262" s="34"/>
      <c r="P1262" s="34"/>
      <c r="Q1262" s="31" t="s">
        <v>307</v>
      </c>
      <c r="R1262" s="35">
        <v>37248.0</v>
      </c>
      <c r="S1262" s="31" t="s">
        <v>468</v>
      </c>
      <c r="T1262" s="31" t="s">
        <v>718</v>
      </c>
      <c r="U1262" s="31" t="s">
        <v>643</v>
      </c>
      <c r="V1262" s="31" t="s">
        <v>2696</v>
      </c>
      <c r="W1262" s="34"/>
    </row>
    <row r="1263">
      <c r="A1263" s="30">
        <v>1.258</v>
      </c>
      <c r="B1263" s="31" t="s">
        <v>5515</v>
      </c>
      <c r="C1263" s="31" t="s">
        <v>5516</v>
      </c>
      <c r="D1263" s="31" t="s">
        <v>472</v>
      </c>
      <c r="E1263" s="31" t="s">
        <v>2696</v>
      </c>
      <c r="F1263" s="32">
        <v>44896.0</v>
      </c>
      <c r="G1263" s="32">
        <v>44958.0</v>
      </c>
      <c r="H1263" s="31" t="s">
        <v>453</v>
      </c>
      <c r="I1263" s="31" t="s">
        <v>607</v>
      </c>
      <c r="J1263" s="31" t="s">
        <v>2697</v>
      </c>
      <c r="K1263" s="31" t="s">
        <v>2698</v>
      </c>
      <c r="L1263" s="31" t="s">
        <v>476</v>
      </c>
      <c r="M1263" s="31" t="s">
        <v>5517</v>
      </c>
      <c r="N1263" s="31" t="s">
        <v>467</v>
      </c>
      <c r="O1263" s="34"/>
      <c r="P1263" s="34"/>
      <c r="Q1263" s="31" t="s">
        <v>307</v>
      </c>
      <c r="R1263" s="35">
        <v>36821.0</v>
      </c>
      <c r="S1263" s="31" t="s">
        <v>591</v>
      </c>
      <c r="T1263" s="31" t="s">
        <v>592</v>
      </c>
      <c r="U1263" s="31" t="s">
        <v>643</v>
      </c>
      <c r="V1263" s="31" t="s">
        <v>2696</v>
      </c>
      <c r="W1263" s="34"/>
    </row>
    <row r="1264">
      <c r="A1264" s="30">
        <v>1.259</v>
      </c>
      <c r="B1264" s="31" t="s">
        <v>5518</v>
      </c>
      <c r="C1264" s="31" t="s">
        <v>5519</v>
      </c>
      <c r="D1264" s="31" t="s">
        <v>472</v>
      </c>
      <c r="E1264" s="31" t="s">
        <v>554</v>
      </c>
      <c r="F1264" s="32">
        <v>44896.0</v>
      </c>
      <c r="G1264" s="32">
        <v>44958.0</v>
      </c>
      <c r="H1264" s="31" t="s">
        <v>453</v>
      </c>
      <c r="I1264" s="31" t="s">
        <v>555</v>
      </c>
      <c r="J1264" s="31" t="s">
        <v>556</v>
      </c>
      <c r="K1264" s="31" t="s">
        <v>557</v>
      </c>
      <c r="L1264" s="31" t="s">
        <v>476</v>
      </c>
      <c r="M1264" s="31" t="s">
        <v>5520</v>
      </c>
      <c r="N1264" s="31" t="s">
        <v>467</v>
      </c>
      <c r="O1264" s="34"/>
      <c r="P1264" s="34"/>
      <c r="Q1264" s="31" t="s">
        <v>307</v>
      </c>
      <c r="R1264" s="32">
        <v>36802.0</v>
      </c>
      <c r="S1264" s="31" t="s">
        <v>560</v>
      </c>
      <c r="T1264" s="31" t="s">
        <v>5521</v>
      </c>
      <c r="U1264" s="31" t="s">
        <v>480</v>
      </c>
      <c r="V1264" s="31" t="s">
        <v>554</v>
      </c>
      <c r="W1264" s="34"/>
    </row>
    <row r="1265">
      <c r="A1265" s="30">
        <v>1.26</v>
      </c>
      <c r="B1265" s="31" t="s">
        <v>5522</v>
      </c>
      <c r="C1265" s="31" t="s">
        <v>5523</v>
      </c>
      <c r="D1265" s="31" t="s">
        <v>472</v>
      </c>
      <c r="E1265" s="31" t="s">
        <v>554</v>
      </c>
      <c r="F1265" s="32">
        <v>44896.0</v>
      </c>
      <c r="G1265" s="32">
        <v>44958.0</v>
      </c>
      <c r="H1265" s="31" t="s">
        <v>453</v>
      </c>
      <c r="I1265" s="31" t="s">
        <v>555</v>
      </c>
      <c r="J1265" s="31" t="s">
        <v>556</v>
      </c>
      <c r="K1265" s="31" t="s">
        <v>557</v>
      </c>
      <c r="L1265" s="31" t="s">
        <v>476</v>
      </c>
      <c r="M1265" s="31" t="s">
        <v>5524</v>
      </c>
      <c r="N1265" s="31" t="s">
        <v>467</v>
      </c>
      <c r="O1265" s="34"/>
      <c r="P1265" s="34"/>
      <c r="Q1265" s="31" t="s">
        <v>307</v>
      </c>
      <c r="R1265" s="32">
        <v>36747.0</v>
      </c>
      <c r="S1265" s="31" t="s">
        <v>560</v>
      </c>
      <c r="T1265" s="31" t="s">
        <v>5525</v>
      </c>
      <c r="U1265" s="31" t="s">
        <v>480</v>
      </c>
      <c r="V1265" s="31" t="s">
        <v>554</v>
      </c>
      <c r="W1265" s="34"/>
    </row>
    <row r="1266">
      <c r="A1266" s="30">
        <v>1.261</v>
      </c>
      <c r="B1266" s="31" t="s">
        <v>5526</v>
      </c>
      <c r="C1266" s="31" t="s">
        <v>5527</v>
      </c>
      <c r="D1266" s="31" t="s">
        <v>472</v>
      </c>
      <c r="E1266" s="31" t="s">
        <v>5136</v>
      </c>
      <c r="F1266" s="35">
        <v>44907.0</v>
      </c>
      <c r="G1266" s="32">
        <v>44969.0</v>
      </c>
      <c r="H1266" s="31" t="s">
        <v>453</v>
      </c>
      <c r="I1266" s="31" t="s">
        <v>47</v>
      </c>
      <c r="J1266" s="31" t="s">
        <v>3397</v>
      </c>
      <c r="K1266" s="31" t="s">
        <v>5137</v>
      </c>
      <c r="L1266" s="31" t="s">
        <v>476</v>
      </c>
      <c r="M1266" s="31" t="s">
        <v>5528</v>
      </c>
      <c r="N1266" s="31" t="s">
        <v>467</v>
      </c>
      <c r="O1266" s="34"/>
      <c r="P1266" s="34"/>
      <c r="Q1266" s="31" t="s">
        <v>307</v>
      </c>
      <c r="R1266" s="32">
        <v>37163.0</v>
      </c>
      <c r="S1266" s="31" t="s">
        <v>560</v>
      </c>
      <c r="T1266" s="31" t="s">
        <v>5529</v>
      </c>
      <c r="U1266" s="31" t="s">
        <v>480</v>
      </c>
      <c r="V1266" s="31" t="s">
        <v>5136</v>
      </c>
      <c r="W1266" s="34"/>
    </row>
    <row r="1267">
      <c r="A1267" s="30">
        <v>1.262</v>
      </c>
      <c r="B1267" s="31" t="s">
        <v>5530</v>
      </c>
      <c r="C1267" s="31" t="s">
        <v>5531</v>
      </c>
      <c r="D1267" s="31" t="s">
        <v>472</v>
      </c>
      <c r="E1267" s="31" t="s">
        <v>4836</v>
      </c>
      <c r="F1267" s="32">
        <v>44896.0</v>
      </c>
      <c r="G1267" s="32">
        <v>44958.0</v>
      </c>
      <c r="H1267" s="31" t="s">
        <v>453</v>
      </c>
      <c r="I1267" s="31" t="s">
        <v>47</v>
      </c>
      <c r="J1267" s="31" t="s">
        <v>4765</v>
      </c>
      <c r="K1267" s="31" t="s">
        <v>4837</v>
      </c>
      <c r="L1267" s="31" t="s">
        <v>476</v>
      </c>
      <c r="M1267" s="31" t="s">
        <v>5532</v>
      </c>
      <c r="N1267" s="31" t="s">
        <v>467</v>
      </c>
      <c r="O1267" s="34"/>
      <c r="P1267" s="34"/>
      <c r="Q1267" s="31" t="s">
        <v>307</v>
      </c>
      <c r="R1267" s="35">
        <v>36881.0</v>
      </c>
      <c r="S1267" s="31" t="s">
        <v>468</v>
      </c>
      <c r="T1267" s="31" t="s">
        <v>1532</v>
      </c>
      <c r="U1267" s="31" t="s">
        <v>480</v>
      </c>
      <c r="V1267" s="31" t="s">
        <v>4836</v>
      </c>
      <c r="W1267" s="34"/>
    </row>
    <row r="1268">
      <c r="A1268" s="30">
        <v>1.263</v>
      </c>
      <c r="B1268" s="31" t="s">
        <v>5533</v>
      </c>
      <c r="C1268" s="31" t="s">
        <v>5534</v>
      </c>
      <c r="D1268" s="31" t="s">
        <v>472</v>
      </c>
      <c r="E1268" s="31" t="s">
        <v>5282</v>
      </c>
      <c r="F1268" s="32">
        <v>44896.0</v>
      </c>
      <c r="G1268" s="32">
        <v>44958.0</v>
      </c>
      <c r="H1268" s="31" t="s">
        <v>453</v>
      </c>
      <c r="I1268" s="31" t="s">
        <v>47</v>
      </c>
      <c r="J1268" s="31" t="s">
        <v>4508</v>
      </c>
      <c r="K1268" s="31" t="s">
        <v>5283</v>
      </c>
      <c r="L1268" s="31" t="s">
        <v>476</v>
      </c>
      <c r="M1268" s="31" t="s">
        <v>5535</v>
      </c>
      <c r="N1268" s="31" t="s">
        <v>467</v>
      </c>
      <c r="O1268" s="34"/>
      <c r="P1268" s="34"/>
      <c r="Q1268" s="31" t="s">
        <v>307</v>
      </c>
      <c r="R1268" s="32">
        <v>37163.0</v>
      </c>
      <c r="S1268" s="31" t="s">
        <v>560</v>
      </c>
      <c r="T1268" s="31" t="s">
        <v>496</v>
      </c>
      <c r="U1268" s="31" t="s">
        <v>480</v>
      </c>
      <c r="V1268" s="31" t="s">
        <v>5282</v>
      </c>
      <c r="W1268" s="34"/>
    </row>
    <row r="1269">
      <c r="A1269" s="30">
        <v>1.264</v>
      </c>
      <c r="B1269" s="31" t="s">
        <v>5536</v>
      </c>
      <c r="C1269" s="31" t="s">
        <v>5537</v>
      </c>
      <c r="D1269" s="31" t="s">
        <v>472</v>
      </c>
      <c r="E1269" s="31" t="s">
        <v>5136</v>
      </c>
      <c r="F1269" s="32">
        <v>44896.0</v>
      </c>
      <c r="G1269" s="32">
        <v>44958.0</v>
      </c>
      <c r="H1269" s="31" t="s">
        <v>453</v>
      </c>
      <c r="I1269" s="31" t="s">
        <v>47</v>
      </c>
      <c r="J1269" s="31" t="s">
        <v>3397</v>
      </c>
      <c r="K1269" s="31" t="s">
        <v>5137</v>
      </c>
      <c r="L1269" s="31" t="s">
        <v>476</v>
      </c>
      <c r="M1269" s="31" t="s">
        <v>5538</v>
      </c>
      <c r="N1269" s="31" t="s">
        <v>467</v>
      </c>
      <c r="O1269" s="34"/>
      <c r="P1269" s="34"/>
      <c r="Q1269" s="31" t="s">
        <v>307</v>
      </c>
      <c r="R1269" s="32">
        <v>37062.0</v>
      </c>
      <c r="S1269" s="31" t="s">
        <v>490</v>
      </c>
      <c r="T1269" s="31" t="s">
        <v>496</v>
      </c>
      <c r="U1269" s="31" t="s">
        <v>480</v>
      </c>
      <c r="V1269" s="31" t="s">
        <v>5136</v>
      </c>
      <c r="W1269" s="34"/>
    </row>
    <row r="1270">
      <c r="A1270" s="30">
        <v>1.265</v>
      </c>
      <c r="B1270" s="31" t="s">
        <v>5539</v>
      </c>
      <c r="C1270" s="31" t="s">
        <v>5540</v>
      </c>
      <c r="D1270" s="31" t="s">
        <v>553</v>
      </c>
      <c r="E1270" s="31" t="s">
        <v>3419</v>
      </c>
      <c r="F1270" s="35">
        <v>44888.0</v>
      </c>
      <c r="G1270" s="32">
        <v>44949.0</v>
      </c>
      <c r="H1270" s="31" t="s">
        <v>453</v>
      </c>
      <c r="I1270" s="31" t="s">
        <v>454</v>
      </c>
      <c r="J1270" s="31" t="s">
        <v>3188</v>
      </c>
      <c r="K1270" s="31" t="s">
        <v>3420</v>
      </c>
      <c r="L1270" s="31" t="s">
        <v>558</v>
      </c>
      <c r="M1270" s="31" t="s">
        <v>5541</v>
      </c>
      <c r="N1270" s="31" t="s">
        <v>267</v>
      </c>
      <c r="O1270" s="34"/>
      <c r="P1270" s="34"/>
      <c r="Q1270" s="31" t="s">
        <v>307</v>
      </c>
      <c r="R1270" s="32">
        <v>36730.0</v>
      </c>
      <c r="S1270" s="31" t="s">
        <v>458</v>
      </c>
      <c r="T1270" s="31" t="s">
        <v>686</v>
      </c>
      <c r="U1270" s="31" t="s">
        <v>460</v>
      </c>
      <c r="V1270" s="31" t="s">
        <v>3419</v>
      </c>
      <c r="W1270" s="34"/>
    </row>
    <row r="1271">
      <c r="A1271" s="30">
        <v>1.266</v>
      </c>
      <c r="B1271" s="31" t="s">
        <v>5542</v>
      </c>
      <c r="C1271" s="31" t="s">
        <v>5543</v>
      </c>
      <c r="D1271" s="31" t="s">
        <v>636</v>
      </c>
      <c r="E1271" s="31" t="s">
        <v>637</v>
      </c>
      <c r="F1271" s="35">
        <v>44888.0</v>
      </c>
      <c r="G1271" s="32">
        <v>44949.0</v>
      </c>
      <c r="H1271" s="31" t="s">
        <v>453</v>
      </c>
      <c r="I1271" s="31" t="s">
        <v>52</v>
      </c>
      <c r="J1271" s="31" t="s">
        <v>638</v>
      </c>
      <c r="K1271" s="31" t="s">
        <v>639</v>
      </c>
      <c r="L1271" s="31" t="s">
        <v>640</v>
      </c>
      <c r="M1271" s="31" t="s">
        <v>5544</v>
      </c>
      <c r="N1271" s="31" t="s">
        <v>467</v>
      </c>
      <c r="O1271" s="34"/>
      <c r="P1271" s="34"/>
      <c r="Q1271" s="31" t="s">
        <v>307</v>
      </c>
      <c r="R1271" s="35">
        <v>37179.0</v>
      </c>
      <c r="S1271" s="31" t="s">
        <v>2700</v>
      </c>
      <c r="T1271" s="31" t="s">
        <v>2672</v>
      </c>
      <c r="U1271" s="31" t="s">
        <v>643</v>
      </c>
      <c r="V1271" s="31" t="s">
        <v>637</v>
      </c>
      <c r="W1271" s="34"/>
    </row>
    <row r="1272">
      <c r="A1272" s="30">
        <v>1.267</v>
      </c>
      <c r="B1272" s="31" t="s">
        <v>5545</v>
      </c>
      <c r="C1272" s="31" t="s">
        <v>5546</v>
      </c>
      <c r="D1272" s="31" t="s">
        <v>3162</v>
      </c>
      <c r="E1272" s="31" t="s">
        <v>3163</v>
      </c>
      <c r="F1272" s="35">
        <v>44881.0</v>
      </c>
      <c r="G1272" s="32">
        <v>44942.0</v>
      </c>
      <c r="H1272" s="31" t="s">
        <v>453</v>
      </c>
      <c r="I1272" s="31" t="s">
        <v>454</v>
      </c>
      <c r="J1272" s="31" t="s">
        <v>3163</v>
      </c>
      <c r="K1272" s="31" t="s">
        <v>3164</v>
      </c>
      <c r="L1272" s="31" t="s">
        <v>3165</v>
      </c>
      <c r="M1272" s="31" t="s">
        <v>5547</v>
      </c>
      <c r="N1272" s="31" t="s">
        <v>467</v>
      </c>
      <c r="O1272" s="34"/>
      <c r="P1272" s="34"/>
      <c r="Q1272" s="31" t="s">
        <v>307</v>
      </c>
      <c r="R1272" s="32">
        <v>34719.0</v>
      </c>
      <c r="S1272" s="31" t="s">
        <v>560</v>
      </c>
      <c r="T1272" s="31" t="s">
        <v>5548</v>
      </c>
      <c r="U1272" s="31" t="s">
        <v>460</v>
      </c>
      <c r="V1272" s="34"/>
      <c r="W1272" s="34"/>
    </row>
    <row r="1273">
      <c r="A1273" s="30">
        <v>1.268</v>
      </c>
      <c r="B1273" s="31" t="s">
        <v>5549</v>
      </c>
      <c r="C1273" s="31" t="s">
        <v>5550</v>
      </c>
      <c r="D1273" s="31" t="s">
        <v>472</v>
      </c>
      <c r="E1273" s="31" t="s">
        <v>4836</v>
      </c>
      <c r="F1273" s="35">
        <v>44875.0</v>
      </c>
      <c r="G1273" s="32">
        <v>44936.0</v>
      </c>
      <c r="H1273" s="31" t="s">
        <v>453</v>
      </c>
      <c r="I1273" s="31" t="s">
        <v>47</v>
      </c>
      <c r="J1273" s="31" t="s">
        <v>4765</v>
      </c>
      <c r="K1273" s="31" t="s">
        <v>4837</v>
      </c>
      <c r="L1273" s="31" t="s">
        <v>476</v>
      </c>
      <c r="M1273" s="31" t="s">
        <v>5551</v>
      </c>
      <c r="N1273" s="31" t="s">
        <v>467</v>
      </c>
      <c r="O1273" s="34"/>
      <c r="P1273" s="34"/>
      <c r="Q1273" s="31" t="s">
        <v>307</v>
      </c>
      <c r="R1273" s="32">
        <v>37123.0</v>
      </c>
      <c r="S1273" s="31" t="s">
        <v>560</v>
      </c>
      <c r="T1273" s="31" t="s">
        <v>5548</v>
      </c>
      <c r="U1273" s="31" t="s">
        <v>480</v>
      </c>
      <c r="V1273" s="31" t="s">
        <v>4836</v>
      </c>
      <c r="W1273" s="34"/>
    </row>
    <row r="1274">
      <c r="A1274" s="30">
        <v>1.269</v>
      </c>
      <c r="B1274" s="31" t="s">
        <v>5552</v>
      </c>
      <c r="C1274" s="31" t="s">
        <v>5553</v>
      </c>
      <c r="D1274" s="31" t="s">
        <v>472</v>
      </c>
      <c r="E1274" s="31" t="s">
        <v>5499</v>
      </c>
      <c r="F1274" s="32">
        <v>44874.0</v>
      </c>
      <c r="G1274" s="32">
        <v>44935.0</v>
      </c>
      <c r="H1274" s="31" t="s">
        <v>453</v>
      </c>
      <c r="I1274" s="31" t="s">
        <v>607</v>
      </c>
      <c r="J1274" s="31" t="s">
        <v>3035</v>
      </c>
      <c r="K1274" s="31" t="s">
        <v>5500</v>
      </c>
      <c r="L1274" s="31" t="s">
        <v>476</v>
      </c>
      <c r="M1274" s="31" t="s">
        <v>5554</v>
      </c>
      <c r="N1274" s="31" t="s">
        <v>467</v>
      </c>
      <c r="O1274" s="34"/>
      <c r="P1274" s="34"/>
      <c r="Q1274" s="31" t="s">
        <v>307</v>
      </c>
      <c r="R1274" s="32">
        <v>37198.0</v>
      </c>
      <c r="S1274" s="31" t="s">
        <v>560</v>
      </c>
      <c r="T1274" s="31" t="s">
        <v>3576</v>
      </c>
      <c r="U1274" s="31" t="s">
        <v>480</v>
      </c>
      <c r="V1274" s="31" t="s">
        <v>5499</v>
      </c>
      <c r="W1274" s="34"/>
    </row>
    <row r="1275">
      <c r="A1275" s="30">
        <v>1.27</v>
      </c>
      <c r="B1275" s="31" t="s">
        <v>5555</v>
      </c>
      <c r="C1275" s="31" t="s">
        <v>5556</v>
      </c>
      <c r="D1275" s="31" t="s">
        <v>553</v>
      </c>
      <c r="E1275" s="31" t="s">
        <v>4822</v>
      </c>
      <c r="F1275" s="32">
        <v>44874.0</v>
      </c>
      <c r="G1275" s="32">
        <v>44935.0</v>
      </c>
      <c r="H1275" s="31" t="s">
        <v>453</v>
      </c>
      <c r="I1275" s="31" t="s">
        <v>454</v>
      </c>
      <c r="J1275" s="31" t="s">
        <v>4823</v>
      </c>
      <c r="K1275" s="31" t="s">
        <v>4824</v>
      </c>
      <c r="L1275" s="31" t="s">
        <v>558</v>
      </c>
      <c r="M1275" s="31" t="s">
        <v>5557</v>
      </c>
      <c r="N1275" s="31" t="s">
        <v>267</v>
      </c>
      <c r="O1275" s="34"/>
      <c r="P1275" s="34"/>
      <c r="Q1275" s="31" t="s">
        <v>307</v>
      </c>
      <c r="R1275" s="32">
        <v>36746.0</v>
      </c>
      <c r="S1275" s="31" t="s">
        <v>458</v>
      </c>
      <c r="T1275" s="31" t="s">
        <v>360</v>
      </c>
      <c r="U1275" s="31" t="s">
        <v>460</v>
      </c>
      <c r="V1275" s="31" t="s">
        <v>4822</v>
      </c>
      <c r="W1275" s="34"/>
    </row>
    <row r="1276">
      <c r="A1276" s="30">
        <v>1.271</v>
      </c>
      <c r="B1276" s="31" t="s">
        <v>5558</v>
      </c>
      <c r="C1276" s="31" t="s">
        <v>5559</v>
      </c>
      <c r="D1276" s="31" t="s">
        <v>472</v>
      </c>
      <c r="E1276" s="31" t="s">
        <v>5282</v>
      </c>
      <c r="F1276" s="32">
        <v>44872.0</v>
      </c>
      <c r="G1276" s="32">
        <v>44933.0</v>
      </c>
      <c r="H1276" s="31" t="s">
        <v>453</v>
      </c>
      <c r="I1276" s="31" t="s">
        <v>47</v>
      </c>
      <c r="J1276" s="31" t="s">
        <v>4508</v>
      </c>
      <c r="K1276" s="31" t="s">
        <v>5283</v>
      </c>
      <c r="L1276" s="31" t="s">
        <v>476</v>
      </c>
      <c r="M1276" s="31" t="s">
        <v>5560</v>
      </c>
      <c r="N1276" s="31" t="s">
        <v>467</v>
      </c>
      <c r="O1276" s="34"/>
      <c r="P1276" s="34"/>
      <c r="Q1276" s="31" t="s">
        <v>307</v>
      </c>
      <c r="R1276" s="32">
        <v>36981.0</v>
      </c>
      <c r="S1276" s="31" t="s">
        <v>560</v>
      </c>
      <c r="T1276" s="31" t="s">
        <v>4435</v>
      </c>
      <c r="U1276" s="31" t="s">
        <v>480</v>
      </c>
      <c r="V1276" s="31" t="s">
        <v>5282</v>
      </c>
      <c r="W1276" s="34"/>
    </row>
    <row r="1277">
      <c r="A1277" s="30">
        <v>1.272</v>
      </c>
      <c r="B1277" s="31" t="s">
        <v>5561</v>
      </c>
      <c r="C1277" s="31" t="s">
        <v>5562</v>
      </c>
      <c r="D1277" s="31" t="s">
        <v>472</v>
      </c>
      <c r="E1277" s="31" t="s">
        <v>4836</v>
      </c>
      <c r="F1277" s="32">
        <v>44866.0</v>
      </c>
      <c r="G1277" s="32">
        <v>44927.0</v>
      </c>
      <c r="H1277" s="31" t="s">
        <v>453</v>
      </c>
      <c r="I1277" s="31" t="s">
        <v>47</v>
      </c>
      <c r="J1277" s="31" t="s">
        <v>4765</v>
      </c>
      <c r="K1277" s="31" t="s">
        <v>4837</v>
      </c>
      <c r="L1277" s="31" t="s">
        <v>476</v>
      </c>
      <c r="M1277" s="31" t="s">
        <v>5563</v>
      </c>
      <c r="N1277" s="31" t="s">
        <v>467</v>
      </c>
      <c r="O1277" s="34"/>
      <c r="P1277" s="34"/>
      <c r="Q1277" s="31" t="s">
        <v>307</v>
      </c>
      <c r="R1277" s="35">
        <v>36826.0</v>
      </c>
      <c r="S1277" s="31" t="s">
        <v>490</v>
      </c>
      <c r="T1277" s="31" t="s">
        <v>5455</v>
      </c>
      <c r="U1277" s="31" t="s">
        <v>480</v>
      </c>
      <c r="V1277" s="31" t="s">
        <v>4836</v>
      </c>
      <c r="W1277" s="34"/>
    </row>
    <row r="1278">
      <c r="A1278" s="30">
        <v>1.273</v>
      </c>
      <c r="B1278" s="31" t="s">
        <v>5564</v>
      </c>
      <c r="C1278" s="31" t="s">
        <v>5565</v>
      </c>
      <c r="D1278" s="31" t="s">
        <v>586</v>
      </c>
      <c r="E1278" s="31" t="s">
        <v>587</v>
      </c>
      <c r="F1278" s="32">
        <v>44866.0</v>
      </c>
      <c r="G1278" s="32">
        <v>44927.0</v>
      </c>
      <c r="H1278" s="31" t="s">
        <v>453</v>
      </c>
      <c r="I1278" s="31" t="s">
        <v>587</v>
      </c>
      <c r="J1278" s="34"/>
      <c r="K1278" s="31" t="s">
        <v>588</v>
      </c>
      <c r="L1278" s="31" t="s">
        <v>589</v>
      </c>
      <c r="M1278" s="31" t="s">
        <v>5566</v>
      </c>
      <c r="N1278" s="31" t="s">
        <v>467</v>
      </c>
      <c r="O1278" s="34"/>
      <c r="P1278" s="34"/>
      <c r="Q1278" s="31" t="s">
        <v>307</v>
      </c>
      <c r="R1278" s="32">
        <v>36751.0</v>
      </c>
      <c r="S1278" s="31" t="s">
        <v>591</v>
      </c>
      <c r="T1278" s="31" t="s">
        <v>5548</v>
      </c>
      <c r="U1278" s="31" t="s">
        <v>480</v>
      </c>
      <c r="V1278" s="34"/>
      <c r="W1278" s="34"/>
    </row>
    <row r="1279">
      <c r="A1279" s="30">
        <v>1.274</v>
      </c>
      <c r="B1279" s="31" t="s">
        <v>5567</v>
      </c>
      <c r="C1279" s="31" t="s">
        <v>5568</v>
      </c>
      <c r="D1279" s="31" t="s">
        <v>472</v>
      </c>
      <c r="E1279" s="31" t="s">
        <v>5506</v>
      </c>
      <c r="F1279" s="35">
        <v>44860.0</v>
      </c>
      <c r="G1279" s="35">
        <v>44921.0</v>
      </c>
      <c r="H1279" s="31" t="s">
        <v>453</v>
      </c>
      <c r="I1279" s="31" t="s">
        <v>454</v>
      </c>
      <c r="J1279" s="31" t="s">
        <v>4777</v>
      </c>
      <c r="K1279" s="31" t="s">
        <v>5507</v>
      </c>
      <c r="L1279" s="31" t="s">
        <v>476</v>
      </c>
      <c r="M1279" s="31" t="s">
        <v>5569</v>
      </c>
      <c r="N1279" s="31" t="s">
        <v>467</v>
      </c>
      <c r="O1279" s="34"/>
      <c r="P1279" s="34"/>
      <c r="Q1279" s="31" t="s">
        <v>307</v>
      </c>
      <c r="R1279" s="32">
        <v>36768.0</v>
      </c>
      <c r="S1279" s="31" t="s">
        <v>468</v>
      </c>
      <c r="T1279" s="31" t="s">
        <v>5548</v>
      </c>
      <c r="U1279" s="31" t="s">
        <v>480</v>
      </c>
      <c r="V1279" s="31" t="s">
        <v>5506</v>
      </c>
      <c r="W1279" s="34"/>
    </row>
    <row r="1280">
      <c r="A1280" s="30">
        <v>1.275</v>
      </c>
      <c r="B1280" s="31" t="s">
        <v>5570</v>
      </c>
      <c r="C1280" s="31" t="s">
        <v>5571</v>
      </c>
      <c r="D1280" s="31" t="s">
        <v>553</v>
      </c>
      <c r="E1280" s="31" t="s">
        <v>5506</v>
      </c>
      <c r="F1280" s="35">
        <v>44858.0</v>
      </c>
      <c r="G1280" s="35">
        <v>44919.0</v>
      </c>
      <c r="H1280" s="31" t="s">
        <v>453</v>
      </c>
      <c r="I1280" s="31" t="s">
        <v>454</v>
      </c>
      <c r="J1280" s="31" t="s">
        <v>4777</v>
      </c>
      <c r="K1280" s="31" t="s">
        <v>5507</v>
      </c>
      <c r="L1280" s="31" t="s">
        <v>558</v>
      </c>
      <c r="M1280" s="31" t="s">
        <v>5572</v>
      </c>
      <c r="N1280" s="31" t="s">
        <v>267</v>
      </c>
      <c r="O1280" s="34"/>
      <c r="P1280" s="34"/>
      <c r="Q1280" s="31" t="s">
        <v>307</v>
      </c>
      <c r="R1280" s="35">
        <v>37212.0</v>
      </c>
      <c r="S1280" s="31" t="s">
        <v>611</v>
      </c>
      <c r="T1280" s="31" t="s">
        <v>5573</v>
      </c>
      <c r="U1280" s="31" t="s">
        <v>480</v>
      </c>
      <c r="V1280" s="31" t="s">
        <v>5506</v>
      </c>
      <c r="W1280" s="34"/>
    </row>
    <row r="1281">
      <c r="A1281" s="30">
        <v>1.276</v>
      </c>
      <c r="B1281" s="31" t="s">
        <v>5574</v>
      </c>
      <c r="C1281" s="31" t="s">
        <v>5575</v>
      </c>
      <c r="D1281" s="31" t="s">
        <v>472</v>
      </c>
      <c r="E1281" s="31" t="s">
        <v>2902</v>
      </c>
      <c r="F1281" s="35">
        <v>44853.0</v>
      </c>
      <c r="G1281" s="35">
        <v>44914.0</v>
      </c>
      <c r="H1281" s="31" t="s">
        <v>453</v>
      </c>
      <c r="I1281" s="31" t="s">
        <v>454</v>
      </c>
      <c r="J1281" s="31" t="s">
        <v>2903</v>
      </c>
      <c r="K1281" s="31" t="s">
        <v>2904</v>
      </c>
      <c r="L1281" s="31" t="s">
        <v>476</v>
      </c>
      <c r="M1281" s="31" t="s">
        <v>5576</v>
      </c>
      <c r="N1281" s="31" t="s">
        <v>467</v>
      </c>
      <c r="O1281" s="34"/>
      <c r="P1281" s="34"/>
      <c r="Q1281" s="31" t="s">
        <v>307</v>
      </c>
      <c r="R1281" s="32">
        <v>37199.0</v>
      </c>
      <c r="S1281" s="31" t="s">
        <v>560</v>
      </c>
      <c r="T1281" s="31" t="s">
        <v>627</v>
      </c>
      <c r="U1281" s="31" t="s">
        <v>480</v>
      </c>
      <c r="V1281" s="31" t="s">
        <v>2902</v>
      </c>
      <c r="W1281" s="34"/>
    </row>
    <row r="1282">
      <c r="A1282" s="30">
        <v>1.277</v>
      </c>
      <c r="B1282" s="31" t="s">
        <v>5577</v>
      </c>
      <c r="C1282" s="31" t="s">
        <v>5578</v>
      </c>
      <c r="D1282" s="31" t="s">
        <v>472</v>
      </c>
      <c r="E1282" s="31" t="s">
        <v>2696</v>
      </c>
      <c r="F1282" s="35">
        <v>44853.0</v>
      </c>
      <c r="G1282" s="35">
        <v>44914.0</v>
      </c>
      <c r="H1282" s="31" t="s">
        <v>453</v>
      </c>
      <c r="I1282" s="31" t="s">
        <v>607</v>
      </c>
      <c r="J1282" s="31" t="s">
        <v>2697</v>
      </c>
      <c r="K1282" s="31" t="s">
        <v>2698</v>
      </c>
      <c r="L1282" s="31" t="s">
        <v>476</v>
      </c>
      <c r="M1282" s="31" t="s">
        <v>5579</v>
      </c>
      <c r="N1282" s="31" t="s">
        <v>467</v>
      </c>
      <c r="O1282" s="34"/>
      <c r="P1282" s="34"/>
      <c r="Q1282" s="31" t="s">
        <v>307</v>
      </c>
      <c r="R1282" s="32">
        <v>36561.0</v>
      </c>
      <c r="S1282" s="31" t="s">
        <v>560</v>
      </c>
      <c r="T1282" s="31" t="s">
        <v>1156</v>
      </c>
      <c r="U1282" s="31" t="s">
        <v>643</v>
      </c>
      <c r="V1282" s="31" t="s">
        <v>2696</v>
      </c>
      <c r="W1282" s="34"/>
    </row>
    <row r="1283">
      <c r="A1283" s="30">
        <v>1.278</v>
      </c>
      <c r="B1283" s="31" t="s">
        <v>5580</v>
      </c>
      <c r="C1283" s="31" t="s">
        <v>5581</v>
      </c>
      <c r="D1283" s="31" t="s">
        <v>472</v>
      </c>
      <c r="E1283" s="31" t="s">
        <v>3419</v>
      </c>
      <c r="F1283" s="35">
        <v>44853.0</v>
      </c>
      <c r="G1283" s="35">
        <v>44914.0</v>
      </c>
      <c r="H1283" s="31" t="s">
        <v>453</v>
      </c>
      <c r="I1283" s="31" t="s">
        <v>454</v>
      </c>
      <c r="J1283" s="31" t="s">
        <v>3188</v>
      </c>
      <c r="K1283" s="31" t="s">
        <v>3420</v>
      </c>
      <c r="L1283" s="31" t="s">
        <v>476</v>
      </c>
      <c r="M1283" s="31" t="s">
        <v>5582</v>
      </c>
      <c r="N1283" s="31" t="s">
        <v>467</v>
      </c>
      <c r="O1283" s="34"/>
      <c r="P1283" s="34"/>
      <c r="Q1283" s="31" t="s">
        <v>307</v>
      </c>
      <c r="R1283" s="32">
        <v>36599.0</v>
      </c>
      <c r="S1283" s="31" t="s">
        <v>1876</v>
      </c>
      <c r="T1283" s="31" t="s">
        <v>5583</v>
      </c>
      <c r="U1283" s="31" t="s">
        <v>460</v>
      </c>
      <c r="V1283" s="31" t="s">
        <v>3419</v>
      </c>
      <c r="W1283" s="34"/>
    </row>
    <row r="1284">
      <c r="A1284" s="30">
        <v>1.279</v>
      </c>
      <c r="B1284" s="31" t="s">
        <v>5584</v>
      </c>
      <c r="C1284" s="31" t="s">
        <v>5484</v>
      </c>
      <c r="D1284" s="31" t="s">
        <v>472</v>
      </c>
      <c r="E1284" s="31" t="s">
        <v>2902</v>
      </c>
      <c r="F1284" s="35">
        <v>44851.0</v>
      </c>
      <c r="G1284" s="35">
        <v>44912.0</v>
      </c>
      <c r="H1284" s="31" t="s">
        <v>453</v>
      </c>
      <c r="I1284" s="31" t="s">
        <v>454</v>
      </c>
      <c r="J1284" s="31" t="s">
        <v>2903</v>
      </c>
      <c r="K1284" s="31" t="s">
        <v>2904</v>
      </c>
      <c r="L1284" s="31" t="s">
        <v>476</v>
      </c>
      <c r="M1284" s="31" t="s">
        <v>5585</v>
      </c>
      <c r="N1284" s="31" t="s">
        <v>467</v>
      </c>
      <c r="O1284" s="34"/>
      <c r="P1284" s="34"/>
      <c r="Q1284" s="31" t="s">
        <v>307</v>
      </c>
      <c r="R1284" s="32">
        <v>36592.0</v>
      </c>
      <c r="S1284" s="31" t="s">
        <v>495</v>
      </c>
      <c r="T1284" s="31" t="s">
        <v>2672</v>
      </c>
      <c r="U1284" s="31" t="s">
        <v>480</v>
      </c>
      <c r="V1284" s="31" t="s">
        <v>2902</v>
      </c>
      <c r="W1284" s="34"/>
    </row>
    <row r="1285">
      <c r="A1285" s="30">
        <v>1.28</v>
      </c>
      <c r="B1285" s="31" t="s">
        <v>5586</v>
      </c>
      <c r="C1285" s="31" t="s">
        <v>5587</v>
      </c>
      <c r="D1285" s="31" t="s">
        <v>553</v>
      </c>
      <c r="E1285" s="31" t="s">
        <v>4414</v>
      </c>
      <c r="F1285" s="35">
        <v>44846.0</v>
      </c>
      <c r="G1285" s="35">
        <v>44907.0</v>
      </c>
      <c r="H1285" s="31" t="s">
        <v>453</v>
      </c>
      <c r="I1285" s="31" t="s">
        <v>607</v>
      </c>
      <c r="J1285" s="31" t="s">
        <v>4415</v>
      </c>
      <c r="K1285" s="31" t="s">
        <v>4416</v>
      </c>
      <c r="L1285" s="31" t="s">
        <v>558</v>
      </c>
      <c r="M1285" s="31" t="s">
        <v>5588</v>
      </c>
      <c r="N1285" s="31" t="s">
        <v>267</v>
      </c>
      <c r="O1285" s="34"/>
      <c r="P1285" s="34"/>
      <c r="Q1285" s="31" t="s">
        <v>307</v>
      </c>
      <c r="R1285" s="32">
        <v>35687.0</v>
      </c>
      <c r="S1285" s="31" t="s">
        <v>531</v>
      </c>
      <c r="T1285" s="31" t="s">
        <v>5589</v>
      </c>
      <c r="U1285" s="31" t="s">
        <v>643</v>
      </c>
      <c r="V1285" s="31" t="s">
        <v>4414</v>
      </c>
      <c r="W1285" s="34"/>
    </row>
    <row r="1286">
      <c r="A1286" s="30">
        <v>1.281</v>
      </c>
      <c r="B1286" s="31" t="s">
        <v>5590</v>
      </c>
      <c r="C1286" s="31" t="s">
        <v>5591</v>
      </c>
      <c r="D1286" s="31" t="s">
        <v>472</v>
      </c>
      <c r="E1286" s="31" t="s">
        <v>4983</v>
      </c>
      <c r="F1286" s="35">
        <v>44844.0</v>
      </c>
      <c r="G1286" s="35">
        <v>44905.0</v>
      </c>
      <c r="H1286" s="31" t="s">
        <v>453</v>
      </c>
      <c r="I1286" s="31" t="s">
        <v>4330</v>
      </c>
      <c r="J1286" s="31" t="s">
        <v>4331</v>
      </c>
      <c r="K1286" s="31" t="s">
        <v>4984</v>
      </c>
      <c r="L1286" s="31" t="s">
        <v>476</v>
      </c>
      <c r="M1286" s="31" t="s">
        <v>5592</v>
      </c>
      <c r="N1286" s="31" t="s">
        <v>467</v>
      </c>
      <c r="O1286" s="34"/>
      <c r="P1286" s="34"/>
      <c r="Q1286" s="31" t="s">
        <v>307</v>
      </c>
      <c r="R1286" s="32">
        <v>36995.0</v>
      </c>
      <c r="S1286" s="31" t="s">
        <v>560</v>
      </c>
      <c r="T1286" s="31" t="s">
        <v>627</v>
      </c>
      <c r="U1286" s="31" t="s">
        <v>460</v>
      </c>
      <c r="V1286" s="31" t="s">
        <v>4983</v>
      </c>
      <c r="W1286" s="34"/>
    </row>
    <row r="1287">
      <c r="A1287" s="30">
        <v>1.282</v>
      </c>
      <c r="B1287" s="31" t="s">
        <v>5593</v>
      </c>
      <c r="C1287" s="31" t="s">
        <v>5594</v>
      </c>
      <c r="D1287" s="31" t="s">
        <v>472</v>
      </c>
      <c r="E1287" s="31" t="s">
        <v>4379</v>
      </c>
      <c r="F1287" s="32">
        <v>44840.0</v>
      </c>
      <c r="G1287" s="32">
        <v>44901.0</v>
      </c>
      <c r="H1287" s="31" t="s">
        <v>453</v>
      </c>
      <c r="I1287" s="31" t="s">
        <v>607</v>
      </c>
      <c r="J1287" s="31" t="s">
        <v>4380</v>
      </c>
      <c r="K1287" s="31" t="s">
        <v>4381</v>
      </c>
      <c r="L1287" s="31" t="s">
        <v>476</v>
      </c>
      <c r="M1287" s="31" t="s">
        <v>5595</v>
      </c>
      <c r="N1287" s="31" t="s">
        <v>467</v>
      </c>
      <c r="O1287" s="34"/>
      <c r="P1287" s="34"/>
      <c r="Q1287" s="31" t="s">
        <v>307</v>
      </c>
      <c r="R1287" s="32">
        <v>37005.0</v>
      </c>
      <c r="S1287" s="31" t="s">
        <v>560</v>
      </c>
      <c r="T1287" s="31" t="s">
        <v>3167</v>
      </c>
      <c r="U1287" s="31" t="s">
        <v>643</v>
      </c>
      <c r="V1287" s="31" t="s">
        <v>4379</v>
      </c>
      <c r="W1287" s="34"/>
    </row>
    <row r="1288">
      <c r="A1288" s="30">
        <v>1.283</v>
      </c>
      <c r="B1288" s="31" t="s">
        <v>5596</v>
      </c>
      <c r="C1288" s="31" t="s">
        <v>5597</v>
      </c>
      <c r="D1288" s="31" t="s">
        <v>452</v>
      </c>
      <c r="E1288" s="31" t="s">
        <v>5598</v>
      </c>
      <c r="F1288" s="32">
        <v>44840.0</v>
      </c>
      <c r="G1288" s="32">
        <v>44901.0</v>
      </c>
      <c r="H1288" s="31" t="s">
        <v>453</v>
      </c>
      <c r="I1288" s="31" t="s">
        <v>454</v>
      </c>
      <c r="J1288" s="31" t="s">
        <v>5599</v>
      </c>
      <c r="K1288" s="31" t="s">
        <v>5600</v>
      </c>
      <c r="L1288" s="31" t="s">
        <v>456</v>
      </c>
      <c r="M1288" s="31" t="s">
        <v>5601</v>
      </c>
      <c r="N1288" s="31" t="s">
        <v>267</v>
      </c>
      <c r="O1288" s="34"/>
      <c r="P1288" s="34"/>
      <c r="Q1288" s="31" t="s">
        <v>307</v>
      </c>
      <c r="R1288" s="35">
        <v>36821.0</v>
      </c>
      <c r="S1288" s="31" t="s">
        <v>626</v>
      </c>
      <c r="T1288" s="31" t="s">
        <v>3834</v>
      </c>
      <c r="U1288" s="31" t="s">
        <v>460</v>
      </c>
      <c r="V1288" s="31" t="s">
        <v>5598</v>
      </c>
      <c r="W1288" s="34"/>
    </row>
    <row r="1289">
      <c r="A1289" s="30">
        <v>1.284</v>
      </c>
      <c r="B1289" s="31" t="s">
        <v>5602</v>
      </c>
      <c r="C1289" s="31" t="s">
        <v>5603</v>
      </c>
      <c r="D1289" s="31" t="s">
        <v>452</v>
      </c>
      <c r="E1289" s="31" t="s">
        <v>5604</v>
      </c>
      <c r="F1289" s="32">
        <v>44838.0</v>
      </c>
      <c r="G1289" s="32">
        <v>44899.0</v>
      </c>
      <c r="H1289" s="31" t="s">
        <v>453</v>
      </c>
      <c r="I1289" s="31" t="s">
        <v>454</v>
      </c>
      <c r="J1289" s="31" t="s">
        <v>5107</v>
      </c>
      <c r="K1289" s="31" t="s">
        <v>5605</v>
      </c>
      <c r="L1289" s="31" t="s">
        <v>456</v>
      </c>
      <c r="M1289" s="31" t="s">
        <v>5606</v>
      </c>
      <c r="N1289" s="31" t="s">
        <v>267</v>
      </c>
      <c r="O1289" s="34"/>
      <c r="P1289" s="34"/>
      <c r="Q1289" s="31" t="s">
        <v>307</v>
      </c>
      <c r="R1289" s="32">
        <v>36369.0</v>
      </c>
      <c r="S1289" s="31" t="s">
        <v>5607</v>
      </c>
      <c r="T1289" s="31" t="s">
        <v>3159</v>
      </c>
      <c r="U1289" s="31" t="s">
        <v>480</v>
      </c>
      <c r="V1289" s="31" t="s">
        <v>5604</v>
      </c>
      <c r="W1289" s="34"/>
    </row>
    <row r="1290">
      <c r="A1290" s="30">
        <v>1.285</v>
      </c>
      <c r="B1290" s="31" t="s">
        <v>5608</v>
      </c>
      <c r="C1290" s="31" t="s">
        <v>1518</v>
      </c>
      <c r="D1290" s="31" t="s">
        <v>452</v>
      </c>
      <c r="E1290" s="31" t="s">
        <v>3040</v>
      </c>
      <c r="F1290" s="32">
        <v>44838.0</v>
      </c>
      <c r="G1290" s="32">
        <v>44899.0</v>
      </c>
      <c r="H1290" s="31" t="s">
        <v>453</v>
      </c>
      <c r="I1290" s="31" t="s">
        <v>454</v>
      </c>
      <c r="J1290" s="31" t="s">
        <v>3041</v>
      </c>
      <c r="K1290" s="31" t="s">
        <v>3042</v>
      </c>
      <c r="L1290" s="31" t="s">
        <v>456</v>
      </c>
      <c r="M1290" s="31" t="s">
        <v>5609</v>
      </c>
      <c r="N1290" s="31" t="s">
        <v>267</v>
      </c>
      <c r="O1290" s="34"/>
      <c r="P1290" s="34"/>
      <c r="Q1290" s="31" t="s">
        <v>307</v>
      </c>
      <c r="R1290" s="32">
        <v>36711.0</v>
      </c>
      <c r="S1290" s="31" t="s">
        <v>537</v>
      </c>
      <c r="T1290" s="31" t="s">
        <v>3159</v>
      </c>
      <c r="U1290" s="31" t="s">
        <v>480</v>
      </c>
      <c r="V1290" s="31" t="s">
        <v>3040</v>
      </c>
      <c r="W1290" s="34"/>
    </row>
    <row r="1291">
      <c r="A1291" s="30">
        <v>1.286</v>
      </c>
      <c r="B1291" s="31" t="s">
        <v>5610</v>
      </c>
      <c r="C1291" s="31" t="s">
        <v>5611</v>
      </c>
      <c r="D1291" s="31" t="s">
        <v>452</v>
      </c>
      <c r="E1291" s="31" t="s">
        <v>3425</v>
      </c>
      <c r="F1291" s="32">
        <v>44838.0</v>
      </c>
      <c r="G1291" s="32">
        <v>44899.0</v>
      </c>
      <c r="H1291" s="31" t="s">
        <v>453</v>
      </c>
      <c r="I1291" s="31" t="s">
        <v>607</v>
      </c>
      <c r="J1291" s="31" t="s">
        <v>608</v>
      </c>
      <c r="K1291" s="31" t="s">
        <v>3426</v>
      </c>
      <c r="L1291" s="31" t="s">
        <v>456</v>
      </c>
      <c r="M1291" s="31" t="s">
        <v>5612</v>
      </c>
      <c r="N1291" s="31" t="s">
        <v>267</v>
      </c>
      <c r="O1291" s="34"/>
      <c r="P1291" s="34"/>
      <c r="Q1291" s="31" t="s">
        <v>307</v>
      </c>
      <c r="R1291" s="35">
        <v>37206.0</v>
      </c>
      <c r="S1291" s="31" t="s">
        <v>515</v>
      </c>
      <c r="T1291" s="31" t="s">
        <v>5613</v>
      </c>
      <c r="U1291" s="31" t="s">
        <v>480</v>
      </c>
      <c r="V1291" s="31" t="s">
        <v>3425</v>
      </c>
      <c r="W1291" s="34"/>
    </row>
    <row r="1292">
      <c r="A1292" s="30">
        <v>1.287</v>
      </c>
      <c r="B1292" s="31" t="s">
        <v>5614</v>
      </c>
      <c r="C1292" s="31" t="s">
        <v>5615</v>
      </c>
      <c r="D1292" s="31" t="s">
        <v>452</v>
      </c>
      <c r="E1292" s="31" t="s">
        <v>5387</v>
      </c>
      <c r="F1292" s="32">
        <v>44838.0</v>
      </c>
      <c r="G1292" s="32">
        <v>44899.0</v>
      </c>
      <c r="H1292" s="31" t="s">
        <v>453</v>
      </c>
      <c r="I1292" s="31" t="s">
        <v>2835</v>
      </c>
      <c r="J1292" s="31" t="s">
        <v>3564</v>
      </c>
      <c r="K1292" s="31" t="s">
        <v>5388</v>
      </c>
      <c r="L1292" s="31" t="s">
        <v>456</v>
      </c>
      <c r="M1292" s="31" t="s">
        <v>5616</v>
      </c>
      <c r="N1292" s="31" t="s">
        <v>267</v>
      </c>
      <c r="O1292" s="34"/>
      <c r="P1292" s="34"/>
      <c r="Q1292" s="31" t="s">
        <v>307</v>
      </c>
      <c r="R1292" s="32">
        <v>37011.0</v>
      </c>
      <c r="S1292" s="31" t="s">
        <v>320</v>
      </c>
      <c r="T1292" s="31" t="s">
        <v>5617</v>
      </c>
      <c r="U1292" s="31" t="s">
        <v>480</v>
      </c>
      <c r="V1292" s="31" t="s">
        <v>5387</v>
      </c>
      <c r="W1292" s="34"/>
    </row>
    <row r="1293">
      <c r="A1293" s="30">
        <v>1.288</v>
      </c>
      <c r="B1293" s="31" t="s">
        <v>5618</v>
      </c>
      <c r="C1293" s="31" t="s">
        <v>5619</v>
      </c>
      <c r="D1293" s="31" t="s">
        <v>452</v>
      </c>
      <c r="E1293" s="31" t="s">
        <v>5620</v>
      </c>
      <c r="F1293" s="32">
        <v>44840.0</v>
      </c>
      <c r="G1293" s="32">
        <v>44901.0</v>
      </c>
      <c r="H1293" s="31" t="s">
        <v>453</v>
      </c>
      <c r="I1293" s="31" t="s">
        <v>607</v>
      </c>
      <c r="J1293" s="31" t="s">
        <v>4380</v>
      </c>
      <c r="K1293" s="31" t="s">
        <v>5621</v>
      </c>
      <c r="L1293" s="31" t="s">
        <v>456</v>
      </c>
      <c r="M1293" s="31" t="s">
        <v>5622</v>
      </c>
      <c r="N1293" s="31" t="s">
        <v>267</v>
      </c>
      <c r="O1293" s="34"/>
      <c r="P1293" s="34"/>
      <c r="Q1293" s="31" t="s">
        <v>307</v>
      </c>
      <c r="R1293" s="32">
        <v>32586.0</v>
      </c>
      <c r="S1293" s="31" t="s">
        <v>1197</v>
      </c>
      <c r="T1293" s="31" t="s">
        <v>1059</v>
      </c>
      <c r="U1293" s="31" t="s">
        <v>643</v>
      </c>
      <c r="V1293" s="31" t="s">
        <v>5620</v>
      </c>
      <c r="W1293" s="34"/>
    </row>
    <row r="1294">
      <c r="A1294" s="30">
        <v>1.289</v>
      </c>
      <c r="B1294" s="31" t="s">
        <v>5623</v>
      </c>
      <c r="C1294" s="31" t="s">
        <v>5624</v>
      </c>
      <c r="D1294" s="31" t="s">
        <v>472</v>
      </c>
      <c r="E1294" s="31" t="s">
        <v>5625</v>
      </c>
      <c r="F1294" s="32">
        <v>44837.0</v>
      </c>
      <c r="G1294" s="32">
        <v>44898.0</v>
      </c>
      <c r="H1294" s="31" t="s">
        <v>453</v>
      </c>
      <c r="I1294" s="31" t="s">
        <v>607</v>
      </c>
      <c r="J1294" s="31" t="s">
        <v>5626</v>
      </c>
      <c r="K1294" s="31" t="s">
        <v>5627</v>
      </c>
      <c r="L1294" s="31" t="s">
        <v>476</v>
      </c>
      <c r="M1294" s="31" t="s">
        <v>5628</v>
      </c>
      <c r="N1294" s="31" t="s">
        <v>467</v>
      </c>
      <c r="O1294" s="34"/>
      <c r="P1294" s="34"/>
      <c r="Q1294" s="31" t="s">
        <v>307</v>
      </c>
      <c r="R1294" s="32">
        <v>37121.0</v>
      </c>
      <c r="S1294" s="31" t="s">
        <v>5629</v>
      </c>
      <c r="T1294" s="31" t="s">
        <v>5630</v>
      </c>
      <c r="U1294" s="31" t="s">
        <v>480</v>
      </c>
      <c r="V1294" s="31" t="s">
        <v>5625</v>
      </c>
      <c r="W1294" s="34"/>
    </row>
    <row r="1295">
      <c r="A1295" s="30">
        <v>1.29</v>
      </c>
      <c r="B1295" s="31" t="s">
        <v>5631</v>
      </c>
      <c r="C1295" s="31" t="s">
        <v>5632</v>
      </c>
      <c r="D1295" s="31" t="s">
        <v>4909</v>
      </c>
      <c r="E1295" s="31" t="s">
        <v>4836</v>
      </c>
      <c r="F1295" s="32">
        <v>44837.0</v>
      </c>
      <c r="G1295" s="32">
        <v>44898.0</v>
      </c>
      <c r="H1295" s="31" t="s">
        <v>453</v>
      </c>
      <c r="I1295" s="31" t="s">
        <v>47</v>
      </c>
      <c r="J1295" s="31" t="s">
        <v>4765</v>
      </c>
      <c r="K1295" s="31" t="s">
        <v>4837</v>
      </c>
      <c r="L1295" s="31" t="s">
        <v>4910</v>
      </c>
      <c r="M1295" s="31" t="s">
        <v>5633</v>
      </c>
      <c r="N1295" s="31" t="s">
        <v>467</v>
      </c>
      <c r="O1295" s="34"/>
      <c r="P1295" s="34"/>
      <c r="Q1295" s="31" t="s">
        <v>307</v>
      </c>
      <c r="R1295" s="32">
        <v>37160.0</v>
      </c>
      <c r="S1295" s="31" t="s">
        <v>490</v>
      </c>
      <c r="T1295" s="31" t="s">
        <v>5465</v>
      </c>
      <c r="U1295" s="31" t="s">
        <v>480</v>
      </c>
      <c r="V1295" s="31" t="s">
        <v>4836</v>
      </c>
      <c r="W1295" s="34"/>
    </row>
    <row r="1296">
      <c r="A1296" s="30">
        <v>1.291</v>
      </c>
      <c r="B1296" s="31" t="s">
        <v>5634</v>
      </c>
      <c r="C1296" s="31" t="s">
        <v>5635</v>
      </c>
      <c r="D1296" s="31" t="s">
        <v>472</v>
      </c>
      <c r="E1296" s="31" t="s">
        <v>2902</v>
      </c>
      <c r="F1296" s="32">
        <v>44837.0</v>
      </c>
      <c r="G1296" s="32">
        <v>44898.0</v>
      </c>
      <c r="H1296" s="31" t="s">
        <v>453</v>
      </c>
      <c r="I1296" s="31" t="s">
        <v>454</v>
      </c>
      <c r="J1296" s="31" t="s">
        <v>2903</v>
      </c>
      <c r="K1296" s="31" t="s">
        <v>2904</v>
      </c>
      <c r="L1296" s="31" t="s">
        <v>476</v>
      </c>
      <c r="M1296" s="31" t="s">
        <v>5636</v>
      </c>
      <c r="N1296" s="31" t="s">
        <v>467</v>
      </c>
      <c r="O1296" s="34"/>
      <c r="P1296" s="34"/>
      <c r="Q1296" s="31" t="s">
        <v>307</v>
      </c>
      <c r="R1296" s="35">
        <v>37177.0</v>
      </c>
      <c r="S1296" s="34"/>
      <c r="T1296" s="31" t="s">
        <v>5465</v>
      </c>
      <c r="U1296" s="31" t="s">
        <v>480</v>
      </c>
      <c r="V1296" s="31" t="s">
        <v>2902</v>
      </c>
      <c r="W1296" s="34"/>
    </row>
    <row r="1297">
      <c r="A1297" s="30">
        <v>1.292</v>
      </c>
      <c r="B1297" s="31" t="s">
        <v>5637</v>
      </c>
      <c r="C1297" s="31" t="s">
        <v>5638</v>
      </c>
      <c r="D1297" s="31" t="s">
        <v>472</v>
      </c>
      <c r="E1297" s="31" t="s">
        <v>5124</v>
      </c>
      <c r="F1297" s="32">
        <v>44830.0</v>
      </c>
      <c r="G1297" s="35">
        <v>44891.0</v>
      </c>
      <c r="H1297" s="31" t="s">
        <v>453</v>
      </c>
      <c r="I1297" s="31" t="s">
        <v>454</v>
      </c>
      <c r="J1297" s="31" t="s">
        <v>4823</v>
      </c>
      <c r="K1297" s="31" t="s">
        <v>5125</v>
      </c>
      <c r="L1297" s="31" t="s">
        <v>5011</v>
      </c>
      <c r="M1297" s="31" t="s">
        <v>5639</v>
      </c>
      <c r="N1297" s="31" t="s">
        <v>267</v>
      </c>
      <c r="O1297" s="34"/>
      <c r="P1297" s="34"/>
      <c r="Q1297" s="31" t="s">
        <v>307</v>
      </c>
      <c r="R1297" s="35">
        <v>35420.0</v>
      </c>
      <c r="S1297" s="31" t="s">
        <v>5640</v>
      </c>
      <c r="T1297" s="31" t="s">
        <v>3198</v>
      </c>
      <c r="U1297" s="31" t="s">
        <v>460</v>
      </c>
      <c r="V1297" s="31" t="s">
        <v>5124</v>
      </c>
      <c r="W1297" s="34"/>
    </row>
    <row r="1298">
      <c r="A1298" s="30">
        <v>1.293</v>
      </c>
      <c r="B1298" s="31" t="s">
        <v>5641</v>
      </c>
      <c r="C1298" s="31" t="s">
        <v>5642</v>
      </c>
      <c r="D1298" s="31" t="s">
        <v>472</v>
      </c>
      <c r="E1298" s="31" t="s">
        <v>2696</v>
      </c>
      <c r="F1298" s="32">
        <v>44827.0</v>
      </c>
      <c r="G1298" s="35">
        <v>44888.0</v>
      </c>
      <c r="H1298" s="31" t="s">
        <v>453</v>
      </c>
      <c r="I1298" s="31" t="s">
        <v>607</v>
      </c>
      <c r="J1298" s="31" t="s">
        <v>2697</v>
      </c>
      <c r="K1298" s="31" t="s">
        <v>2698</v>
      </c>
      <c r="L1298" s="31" t="s">
        <v>476</v>
      </c>
      <c r="M1298" s="31" t="s">
        <v>5643</v>
      </c>
      <c r="N1298" s="31" t="s">
        <v>467</v>
      </c>
      <c r="O1298" s="34"/>
      <c r="P1298" s="34"/>
      <c r="Q1298" s="31" t="s">
        <v>307</v>
      </c>
      <c r="R1298" s="32">
        <v>36925.0</v>
      </c>
      <c r="S1298" s="31" t="s">
        <v>560</v>
      </c>
      <c r="T1298" s="31" t="s">
        <v>2685</v>
      </c>
      <c r="U1298" s="31" t="s">
        <v>643</v>
      </c>
      <c r="V1298" s="31" t="s">
        <v>2696</v>
      </c>
      <c r="W1298" s="34"/>
    </row>
    <row r="1299">
      <c r="A1299" s="30">
        <v>1.294</v>
      </c>
      <c r="B1299" s="31" t="s">
        <v>5644</v>
      </c>
      <c r="C1299" s="31" t="s">
        <v>5645</v>
      </c>
      <c r="D1299" s="31" t="s">
        <v>472</v>
      </c>
      <c r="E1299" s="31" t="s">
        <v>2696</v>
      </c>
      <c r="F1299" s="32">
        <v>44827.0</v>
      </c>
      <c r="G1299" s="35">
        <v>44888.0</v>
      </c>
      <c r="H1299" s="31" t="s">
        <v>453</v>
      </c>
      <c r="I1299" s="31" t="s">
        <v>607</v>
      </c>
      <c r="J1299" s="31" t="s">
        <v>2697</v>
      </c>
      <c r="K1299" s="31" t="s">
        <v>2698</v>
      </c>
      <c r="L1299" s="31" t="s">
        <v>476</v>
      </c>
      <c r="M1299" s="31" t="s">
        <v>5646</v>
      </c>
      <c r="N1299" s="31" t="s">
        <v>467</v>
      </c>
      <c r="O1299" s="34"/>
      <c r="P1299" s="34"/>
      <c r="Q1299" s="31" t="s">
        <v>307</v>
      </c>
      <c r="R1299" s="35">
        <v>37184.0</v>
      </c>
      <c r="S1299" s="31" t="s">
        <v>5647</v>
      </c>
      <c r="T1299" s="31" t="s">
        <v>5465</v>
      </c>
      <c r="U1299" s="31" t="s">
        <v>643</v>
      </c>
      <c r="V1299" s="31" t="s">
        <v>2696</v>
      </c>
      <c r="W1299" s="34"/>
    </row>
    <row r="1300">
      <c r="A1300" s="30">
        <v>1.295</v>
      </c>
      <c r="B1300" s="31" t="s">
        <v>5648</v>
      </c>
      <c r="C1300" s="31" t="s">
        <v>5649</v>
      </c>
      <c r="D1300" s="31" t="s">
        <v>472</v>
      </c>
      <c r="E1300" s="31" t="s">
        <v>2696</v>
      </c>
      <c r="F1300" s="32">
        <v>44827.0</v>
      </c>
      <c r="G1300" s="35">
        <v>44888.0</v>
      </c>
      <c r="H1300" s="31" t="s">
        <v>453</v>
      </c>
      <c r="I1300" s="31" t="s">
        <v>607</v>
      </c>
      <c r="J1300" s="31" t="s">
        <v>2697</v>
      </c>
      <c r="K1300" s="31" t="s">
        <v>2698</v>
      </c>
      <c r="L1300" s="31" t="s">
        <v>476</v>
      </c>
      <c r="M1300" s="31" t="s">
        <v>5650</v>
      </c>
      <c r="N1300" s="31" t="s">
        <v>467</v>
      </c>
      <c r="O1300" s="34"/>
      <c r="P1300" s="34"/>
      <c r="Q1300" s="31" t="s">
        <v>307</v>
      </c>
      <c r="R1300" s="32">
        <v>36808.0</v>
      </c>
      <c r="S1300" s="31" t="s">
        <v>560</v>
      </c>
      <c r="T1300" s="31" t="s">
        <v>496</v>
      </c>
      <c r="U1300" s="31" t="s">
        <v>643</v>
      </c>
      <c r="V1300" s="31" t="s">
        <v>2696</v>
      </c>
      <c r="W1300" s="34"/>
    </row>
    <row r="1301">
      <c r="A1301" s="30">
        <v>1.296</v>
      </c>
      <c r="B1301" s="31" t="s">
        <v>5651</v>
      </c>
      <c r="C1301" s="31" t="s">
        <v>5652</v>
      </c>
      <c r="D1301" s="31" t="s">
        <v>4909</v>
      </c>
      <c r="E1301" s="31" t="s">
        <v>3603</v>
      </c>
      <c r="F1301" s="32">
        <v>44827.0</v>
      </c>
      <c r="G1301" s="35">
        <v>44888.0</v>
      </c>
      <c r="H1301" s="31" t="s">
        <v>453</v>
      </c>
      <c r="I1301" s="31" t="s">
        <v>454</v>
      </c>
      <c r="J1301" s="31" t="s">
        <v>3604</v>
      </c>
      <c r="K1301" s="31" t="s">
        <v>3605</v>
      </c>
      <c r="L1301" s="31" t="s">
        <v>4910</v>
      </c>
      <c r="M1301" s="31" t="s">
        <v>5653</v>
      </c>
      <c r="N1301" s="31" t="s">
        <v>467</v>
      </c>
      <c r="O1301" s="34"/>
      <c r="P1301" s="34"/>
      <c r="Q1301" s="31" t="s">
        <v>307</v>
      </c>
      <c r="R1301" s="32">
        <v>36933.0</v>
      </c>
      <c r="S1301" s="31" t="s">
        <v>5654</v>
      </c>
      <c r="T1301" s="31" t="s">
        <v>5655</v>
      </c>
      <c r="U1301" s="31" t="s">
        <v>480</v>
      </c>
      <c r="V1301" s="31" t="s">
        <v>3603</v>
      </c>
      <c r="W1301" s="34"/>
    </row>
    <row r="1302">
      <c r="A1302" s="30">
        <v>1.297</v>
      </c>
      <c r="B1302" s="31" t="s">
        <v>5656</v>
      </c>
      <c r="C1302" s="31" t="s">
        <v>5657</v>
      </c>
      <c r="D1302" s="31" t="s">
        <v>472</v>
      </c>
      <c r="E1302" s="31" t="s">
        <v>2696</v>
      </c>
      <c r="F1302" s="32">
        <v>44827.0</v>
      </c>
      <c r="G1302" s="35">
        <v>44888.0</v>
      </c>
      <c r="H1302" s="31" t="s">
        <v>453</v>
      </c>
      <c r="I1302" s="31" t="s">
        <v>607</v>
      </c>
      <c r="J1302" s="31" t="s">
        <v>2697</v>
      </c>
      <c r="K1302" s="31" t="s">
        <v>2698</v>
      </c>
      <c r="L1302" s="31" t="s">
        <v>476</v>
      </c>
      <c r="M1302" s="31" t="s">
        <v>5658</v>
      </c>
      <c r="N1302" s="31" t="s">
        <v>467</v>
      </c>
      <c r="O1302" s="34"/>
      <c r="P1302" s="34"/>
      <c r="Q1302" s="31" t="s">
        <v>307</v>
      </c>
      <c r="R1302" s="32">
        <v>37121.0</v>
      </c>
      <c r="S1302" s="31" t="s">
        <v>560</v>
      </c>
      <c r="T1302" s="31" t="s">
        <v>3167</v>
      </c>
      <c r="U1302" s="31" t="s">
        <v>643</v>
      </c>
      <c r="V1302" s="31" t="s">
        <v>2696</v>
      </c>
      <c r="W1302" s="34"/>
    </row>
    <row r="1303">
      <c r="A1303" s="30">
        <v>1.298</v>
      </c>
      <c r="B1303" s="31" t="s">
        <v>5659</v>
      </c>
      <c r="C1303" s="31" t="s">
        <v>5660</v>
      </c>
      <c r="D1303" s="31" t="s">
        <v>472</v>
      </c>
      <c r="E1303" s="31" t="s">
        <v>2696</v>
      </c>
      <c r="F1303" s="32">
        <v>44827.0</v>
      </c>
      <c r="G1303" s="35">
        <v>44888.0</v>
      </c>
      <c r="H1303" s="31" t="s">
        <v>453</v>
      </c>
      <c r="I1303" s="31" t="s">
        <v>607</v>
      </c>
      <c r="J1303" s="31" t="s">
        <v>2697</v>
      </c>
      <c r="K1303" s="31" t="s">
        <v>2698</v>
      </c>
      <c r="L1303" s="31" t="s">
        <v>476</v>
      </c>
      <c r="M1303" s="31" t="s">
        <v>5661</v>
      </c>
      <c r="N1303" s="31" t="s">
        <v>467</v>
      </c>
      <c r="O1303" s="34"/>
      <c r="P1303" s="34"/>
      <c r="Q1303" s="31" t="s">
        <v>307</v>
      </c>
      <c r="R1303" s="32">
        <v>37140.0</v>
      </c>
      <c r="S1303" s="31" t="s">
        <v>560</v>
      </c>
      <c r="T1303" s="31" t="s">
        <v>3167</v>
      </c>
      <c r="U1303" s="31" t="s">
        <v>643</v>
      </c>
      <c r="V1303" s="31" t="s">
        <v>2696</v>
      </c>
      <c r="W1303" s="34"/>
    </row>
    <row r="1304">
      <c r="A1304" s="30">
        <v>1.299</v>
      </c>
      <c r="B1304" s="31" t="s">
        <v>5662</v>
      </c>
      <c r="C1304" s="31" t="s">
        <v>5663</v>
      </c>
      <c r="D1304" s="31" t="s">
        <v>472</v>
      </c>
      <c r="E1304" s="31" t="s">
        <v>4414</v>
      </c>
      <c r="F1304" s="32">
        <v>44812.0</v>
      </c>
      <c r="G1304" s="32">
        <v>44873.0</v>
      </c>
      <c r="H1304" s="31" t="s">
        <v>453</v>
      </c>
      <c r="I1304" s="31" t="s">
        <v>607</v>
      </c>
      <c r="J1304" s="31" t="s">
        <v>4415</v>
      </c>
      <c r="K1304" s="31" t="s">
        <v>4416</v>
      </c>
      <c r="L1304" s="31" t="s">
        <v>476</v>
      </c>
      <c r="M1304" s="31" t="s">
        <v>5664</v>
      </c>
      <c r="N1304" s="31" t="s">
        <v>467</v>
      </c>
      <c r="O1304" s="34"/>
      <c r="P1304" s="34"/>
      <c r="Q1304" s="31" t="s">
        <v>307</v>
      </c>
      <c r="R1304" s="32">
        <v>36760.0</v>
      </c>
      <c r="S1304" s="31" t="s">
        <v>560</v>
      </c>
      <c r="T1304" s="31" t="s">
        <v>3155</v>
      </c>
      <c r="U1304" s="31" t="s">
        <v>643</v>
      </c>
      <c r="V1304" s="31" t="s">
        <v>4414</v>
      </c>
      <c r="W1304" s="34"/>
    </row>
    <row r="1305">
      <c r="A1305" s="30">
        <v>1.3</v>
      </c>
      <c r="B1305" s="31" t="s">
        <v>5665</v>
      </c>
      <c r="C1305" s="31" t="s">
        <v>5666</v>
      </c>
      <c r="D1305" s="31" t="s">
        <v>472</v>
      </c>
      <c r="E1305" s="31" t="s">
        <v>4895</v>
      </c>
      <c r="F1305" s="32">
        <v>44809.0</v>
      </c>
      <c r="G1305" s="32">
        <v>44870.0</v>
      </c>
      <c r="H1305" s="31" t="s">
        <v>453</v>
      </c>
      <c r="I1305" s="31" t="s">
        <v>454</v>
      </c>
      <c r="J1305" s="31" t="s">
        <v>4823</v>
      </c>
      <c r="K1305" s="31" t="s">
        <v>4896</v>
      </c>
      <c r="L1305" s="31" t="s">
        <v>476</v>
      </c>
      <c r="M1305" s="31" t="s">
        <v>5667</v>
      </c>
      <c r="N1305" s="31" t="s">
        <v>467</v>
      </c>
      <c r="O1305" s="34"/>
      <c r="P1305" s="34"/>
      <c r="Q1305" s="31" t="s">
        <v>307</v>
      </c>
      <c r="R1305" s="32">
        <v>36402.0</v>
      </c>
      <c r="S1305" s="31" t="s">
        <v>1622</v>
      </c>
      <c r="T1305" s="31" t="s">
        <v>5668</v>
      </c>
      <c r="U1305" s="31" t="s">
        <v>460</v>
      </c>
      <c r="V1305" s="31" t="s">
        <v>4895</v>
      </c>
      <c r="W1305" s="34"/>
    </row>
    <row r="1306">
      <c r="A1306" s="30">
        <v>1.301</v>
      </c>
      <c r="B1306" s="31" t="s">
        <v>5669</v>
      </c>
      <c r="C1306" s="31" t="s">
        <v>5670</v>
      </c>
      <c r="D1306" s="31" t="s">
        <v>472</v>
      </c>
      <c r="E1306" s="31" t="s">
        <v>4414</v>
      </c>
      <c r="F1306" s="32">
        <v>44740.0</v>
      </c>
      <c r="G1306" s="32">
        <v>44801.0</v>
      </c>
      <c r="H1306" s="31" t="s">
        <v>453</v>
      </c>
      <c r="I1306" s="31" t="s">
        <v>607</v>
      </c>
      <c r="J1306" s="31" t="s">
        <v>4415</v>
      </c>
      <c r="K1306" s="31" t="s">
        <v>4416</v>
      </c>
      <c r="L1306" s="31" t="s">
        <v>476</v>
      </c>
      <c r="M1306" s="31" t="s">
        <v>5671</v>
      </c>
      <c r="N1306" s="31" t="s">
        <v>467</v>
      </c>
      <c r="O1306" s="34"/>
      <c r="P1306" s="34"/>
      <c r="Q1306" s="31" t="s">
        <v>307</v>
      </c>
      <c r="R1306" s="32">
        <v>36804.0</v>
      </c>
      <c r="S1306" s="31" t="s">
        <v>4426</v>
      </c>
      <c r="T1306" s="31" t="s">
        <v>5672</v>
      </c>
      <c r="U1306" s="31" t="s">
        <v>643</v>
      </c>
      <c r="V1306" s="31" t="s">
        <v>4414</v>
      </c>
      <c r="W1306" s="34"/>
    </row>
    <row r="1307">
      <c r="A1307" s="30">
        <v>1.302</v>
      </c>
      <c r="B1307" s="31" t="s">
        <v>5673</v>
      </c>
      <c r="C1307" s="31" t="s">
        <v>5674</v>
      </c>
      <c r="D1307" s="31" t="s">
        <v>472</v>
      </c>
      <c r="E1307" s="31" t="s">
        <v>3563</v>
      </c>
      <c r="F1307" s="32">
        <v>44699.0</v>
      </c>
      <c r="G1307" s="32">
        <v>44760.0</v>
      </c>
      <c r="H1307" s="31" t="s">
        <v>453</v>
      </c>
      <c r="I1307" s="31" t="s">
        <v>2835</v>
      </c>
      <c r="J1307" s="31" t="s">
        <v>3564</v>
      </c>
      <c r="K1307" s="31" t="s">
        <v>3565</v>
      </c>
      <c r="L1307" s="31" t="s">
        <v>476</v>
      </c>
      <c r="M1307" s="31" t="s">
        <v>5675</v>
      </c>
      <c r="N1307" s="31" t="s">
        <v>467</v>
      </c>
      <c r="O1307" s="34"/>
      <c r="P1307" s="34"/>
      <c r="Q1307" s="31" t="s">
        <v>307</v>
      </c>
      <c r="R1307" s="32">
        <v>35657.0</v>
      </c>
      <c r="S1307" s="31" t="s">
        <v>560</v>
      </c>
      <c r="T1307" s="31" t="s">
        <v>496</v>
      </c>
      <c r="U1307" s="31" t="s">
        <v>480</v>
      </c>
      <c r="V1307" s="31" t="s">
        <v>3563</v>
      </c>
      <c r="W1307" s="34"/>
    </row>
    <row r="1308">
      <c r="A1308" s="30">
        <v>1.303</v>
      </c>
      <c r="B1308" s="31" t="s">
        <v>5676</v>
      </c>
      <c r="C1308" s="31" t="s">
        <v>5677</v>
      </c>
      <c r="D1308" s="31" t="s">
        <v>472</v>
      </c>
      <c r="E1308" s="31" t="s">
        <v>5506</v>
      </c>
      <c r="F1308" s="32">
        <v>44581.0</v>
      </c>
      <c r="G1308" s="32">
        <v>44640.0</v>
      </c>
      <c r="H1308" s="31" t="s">
        <v>453</v>
      </c>
      <c r="I1308" s="31" t="s">
        <v>454</v>
      </c>
      <c r="J1308" s="31" t="s">
        <v>4777</v>
      </c>
      <c r="K1308" s="31" t="s">
        <v>5507</v>
      </c>
      <c r="L1308" s="31" t="s">
        <v>476</v>
      </c>
      <c r="M1308" s="31" t="s">
        <v>5678</v>
      </c>
      <c r="N1308" s="31" t="s">
        <v>467</v>
      </c>
      <c r="O1308" s="34"/>
      <c r="P1308" s="34"/>
      <c r="Q1308" s="31" t="s">
        <v>307</v>
      </c>
      <c r="R1308" s="32">
        <v>36329.0</v>
      </c>
      <c r="S1308" s="31" t="s">
        <v>560</v>
      </c>
      <c r="T1308" s="31" t="s">
        <v>682</v>
      </c>
      <c r="U1308" s="31" t="s">
        <v>480</v>
      </c>
      <c r="V1308" s="31" t="s">
        <v>5506</v>
      </c>
      <c r="W1308" s="34"/>
    </row>
    <row r="1309">
      <c r="A1309" s="30">
        <v>1.304</v>
      </c>
      <c r="B1309" s="31" t="s">
        <v>5679</v>
      </c>
      <c r="C1309" s="31" t="s">
        <v>5680</v>
      </c>
      <c r="D1309" s="31" t="s">
        <v>4909</v>
      </c>
      <c r="E1309" s="31" t="s">
        <v>5506</v>
      </c>
      <c r="F1309" s="35">
        <v>44487.0</v>
      </c>
      <c r="G1309" s="35">
        <v>44548.0</v>
      </c>
      <c r="H1309" s="31" t="s">
        <v>453</v>
      </c>
      <c r="I1309" s="31" t="s">
        <v>454</v>
      </c>
      <c r="J1309" s="31" t="s">
        <v>4777</v>
      </c>
      <c r="K1309" s="31" t="s">
        <v>5507</v>
      </c>
      <c r="L1309" s="31" t="s">
        <v>4910</v>
      </c>
      <c r="M1309" s="31" t="s">
        <v>5681</v>
      </c>
      <c r="N1309" s="31" t="s">
        <v>467</v>
      </c>
      <c r="O1309" s="34"/>
      <c r="P1309" s="34"/>
      <c r="Q1309" s="31" t="s">
        <v>307</v>
      </c>
      <c r="R1309" s="32">
        <v>36694.0</v>
      </c>
      <c r="S1309" s="31" t="s">
        <v>560</v>
      </c>
      <c r="T1309" s="31" t="s">
        <v>496</v>
      </c>
      <c r="U1309" s="31" t="s">
        <v>480</v>
      </c>
      <c r="V1309" s="31" t="s">
        <v>5506</v>
      </c>
      <c r="W1309" s="34"/>
    </row>
    <row r="1310">
      <c r="A1310" s="30">
        <v>1.305</v>
      </c>
      <c r="B1310" s="31" t="s">
        <v>5682</v>
      </c>
      <c r="C1310" s="31" t="s">
        <v>5683</v>
      </c>
      <c r="D1310" s="31" t="s">
        <v>472</v>
      </c>
      <c r="E1310" s="31" t="s">
        <v>4414</v>
      </c>
      <c r="F1310" s="32">
        <v>44445.0</v>
      </c>
      <c r="G1310" s="32">
        <v>44506.0</v>
      </c>
      <c r="H1310" s="31" t="s">
        <v>453</v>
      </c>
      <c r="I1310" s="31" t="s">
        <v>607</v>
      </c>
      <c r="J1310" s="31" t="s">
        <v>4415</v>
      </c>
      <c r="K1310" s="31" t="s">
        <v>4416</v>
      </c>
      <c r="L1310" s="31" t="s">
        <v>476</v>
      </c>
      <c r="M1310" s="31" t="s">
        <v>5684</v>
      </c>
      <c r="N1310" s="31" t="s">
        <v>467</v>
      </c>
      <c r="O1310" s="34"/>
      <c r="P1310" s="34"/>
      <c r="Q1310" s="31" t="s">
        <v>307</v>
      </c>
      <c r="R1310" s="35">
        <v>36487.0</v>
      </c>
      <c r="S1310" s="31" t="s">
        <v>1622</v>
      </c>
      <c r="T1310" s="31" t="s">
        <v>503</v>
      </c>
      <c r="U1310" s="31" t="s">
        <v>643</v>
      </c>
      <c r="V1310" s="31" t="s">
        <v>4414</v>
      </c>
      <c r="W1310" s="34"/>
    </row>
    <row r="1311">
      <c r="A1311" s="30">
        <v>1.306</v>
      </c>
      <c r="B1311" s="31" t="s">
        <v>5685</v>
      </c>
      <c r="C1311" s="31" t="s">
        <v>5686</v>
      </c>
      <c r="D1311" s="31" t="s">
        <v>472</v>
      </c>
      <c r="E1311" s="31" t="s">
        <v>3603</v>
      </c>
      <c r="F1311" s="32">
        <v>44424.0</v>
      </c>
      <c r="G1311" s="35">
        <v>44485.0</v>
      </c>
      <c r="H1311" s="31" t="s">
        <v>453</v>
      </c>
      <c r="I1311" s="31" t="s">
        <v>454</v>
      </c>
      <c r="J1311" s="31" t="s">
        <v>3604</v>
      </c>
      <c r="K1311" s="31" t="s">
        <v>3605</v>
      </c>
      <c r="L1311" s="31" t="s">
        <v>476</v>
      </c>
      <c r="M1311" s="31" t="s">
        <v>5687</v>
      </c>
      <c r="N1311" s="31" t="s">
        <v>467</v>
      </c>
      <c r="O1311" s="34"/>
      <c r="P1311" s="34"/>
      <c r="Q1311" s="31" t="s">
        <v>307</v>
      </c>
      <c r="R1311" s="35">
        <v>36828.0</v>
      </c>
      <c r="S1311" s="31" t="s">
        <v>560</v>
      </c>
      <c r="T1311" s="31" t="s">
        <v>5250</v>
      </c>
      <c r="U1311" s="31" t="s">
        <v>480</v>
      </c>
      <c r="V1311" s="31" t="s">
        <v>3603</v>
      </c>
      <c r="W1311" s="34"/>
    </row>
    <row r="1312">
      <c r="A1312" s="30">
        <v>1.307</v>
      </c>
      <c r="B1312" s="31" t="s">
        <v>5688</v>
      </c>
      <c r="C1312" s="31" t="s">
        <v>5689</v>
      </c>
      <c r="D1312" s="31" t="s">
        <v>463</v>
      </c>
      <c r="E1312" s="31" t="s">
        <v>2668</v>
      </c>
      <c r="F1312" s="32">
        <v>43657.0</v>
      </c>
      <c r="G1312" s="32">
        <v>43719.0</v>
      </c>
      <c r="H1312" s="31" t="s">
        <v>453</v>
      </c>
      <c r="I1312" s="31" t="s">
        <v>454</v>
      </c>
      <c r="J1312" s="31" t="s">
        <v>2669</v>
      </c>
      <c r="K1312" s="31" t="s">
        <v>2670</v>
      </c>
      <c r="L1312" s="31" t="s">
        <v>465</v>
      </c>
      <c r="M1312" s="31" t="s">
        <v>5690</v>
      </c>
      <c r="N1312" s="31" t="s">
        <v>467</v>
      </c>
      <c r="O1312" s="31">
        <v>2.0</v>
      </c>
      <c r="P1312" s="34"/>
      <c r="Q1312" s="31" t="s">
        <v>307</v>
      </c>
      <c r="R1312" s="32">
        <v>35696.0</v>
      </c>
      <c r="S1312" s="31" t="s">
        <v>5691</v>
      </c>
      <c r="T1312" s="31" t="s">
        <v>3198</v>
      </c>
      <c r="U1312" s="31" t="s">
        <v>480</v>
      </c>
      <c r="V1312" s="31" t="s">
        <v>2668</v>
      </c>
      <c r="W1312" s="34"/>
    </row>
    <row r="1313">
      <c r="A1313" s="30">
        <v>1.308</v>
      </c>
      <c r="B1313" s="31" t="s">
        <v>5692</v>
      </c>
      <c r="C1313" s="31" t="s">
        <v>5693</v>
      </c>
      <c r="D1313" s="31" t="s">
        <v>463</v>
      </c>
      <c r="E1313" s="31" t="s">
        <v>5506</v>
      </c>
      <c r="F1313" s="32">
        <v>42186.0</v>
      </c>
      <c r="G1313" s="32">
        <v>42248.0</v>
      </c>
      <c r="H1313" s="31" t="s">
        <v>453</v>
      </c>
      <c r="I1313" s="31" t="s">
        <v>454</v>
      </c>
      <c r="J1313" s="31" t="s">
        <v>4777</v>
      </c>
      <c r="K1313" s="31" t="s">
        <v>5507</v>
      </c>
      <c r="L1313" s="31" t="s">
        <v>465</v>
      </c>
      <c r="M1313" s="31" t="s">
        <v>5694</v>
      </c>
      <c r="N1313" s="31" t="s">
        <v>467</v>
      </c>
      <c r="O1313" s="31">
        <v>2.0</v>
      </c>
      <c r="P1313" s="34"/>
      <c r="Q1313" s="31" t="s">
        <v>307</v>
      </c>
      <c r="R1313" s="32">
        <v>33679.0</v>
      </c>
      <c r="S1313" s="31" t="s">
        <v>560</v>
      </c>
      <c r="T1313" s="31" t="s">
        <v>496</v>
      </c>
      <c r="U1313" s="31" t="s">
        <v>480</v>
      </c>
      <c r="V1313" s="31" t="s">
        <v>5506</v>
      </c>
      <c r="W1313" s="34"/>
    </row>
    <row r="1314">
      <c r="A1314" s="30">
        <v>1.309</v>
      </c>
      <c r="B1314" s="31" t="s">
        <v>5695</v>
      </c>
      <c r="C1314" s="31" t="s">
        <v>5696</v>
      </c>
      <c r="D1314" s="31" t="s">
        <v>472</v>
      </c>
      <c r="E1314" s="31" t="s">
        <v>2893</v>
      </c>
      <c r="F1314" s="32">
        <v>44407.0</v>
      </c>
      <c r="G1314" s="32">
        <v>44469.0</v>
      </c>
      <c r="H1314" s="31" t="s">
        <v>453</v>
      </c>
      <c r="I1314" s="31" t="s">
        <v>566</v>
      </c>
      <c r="J1314" s="31" t="s">
        <v>2888</v>
      </c>
      <c r="K1314" s="31" t="s">
        <v>2894</v>
      </c>
      <c r="L1314" s="31" t="s">
        <v>476</v>
      </c>
      <c r="M1314" s="31" t="s">
        <v>5697</v>
      </c>
      <c r="N1314" s="31" t="s">
        <v>467</v>
      </c>
      <c r="O1314" s="34"/>
      <c r="P1314" s="34"/>
      <c r="Q1314" s="31" t="s">
        <v>307</v>
      </c>
      <c r="R1314" s="32">
        <v>36745.0</v>
      </c>
      <c r="S1314" s="31" t="s">
        <v>1622</v>
      </c>
      <c r="T1314" s="31" t="s">
        <v>503</v>
      </c>
      <c r="U1314" s="31" t="s">
        <v>480</v>
      </c>
      <c r="V1314" s="31" t="s">
        <v>2893</v>
      </c>
      <c r="W1314" s="34"/>
    </row>
    <row r="1315">
      <c r="A1315" s="30">
        <v>1.31</v>
      </c>
      <c r="B1315" s="31" t="s">
        <v>5698</v>
      </c>
      <c r="C1315" s="31" t="s">
        <v>5699</v>
      </c>
      <c r="D1315" s="31" t="s">
        <v>472</v>
      </c>
      <c r="E1315" s="31" t="s">
        <v>3055</v>
      </c>
      <c r="F1315" s="32">
        <v>43892.0</v>
      </c>
      <c r="G1315" s="32">
        <v>43953.0</v>
      </c>
      <c r="H1315" s="31" t="s">
        <v>453</v>
      </c>
      <c r="I1315" s="31" t="s">
        <v>555</v>
      </c>
      <c r="J1315" s="31" t="s">
        <v>556</v>
      </c>
      <c r="K1315" s="31" t="s">
        <v>3056</v>
      </c>
      <c r="L1315" s="31" t="s">
        <v>476</v>
      </c>
      <c r="M1315" s="31" t="s">
        <v>5700</v>
      </c>
      <c r="N1315" s="31" t="s">
        <v>467</v>
      </c>
      <c r="O1315" s="34"/>
      <c r="P1315" s="34"/>
      <c r="Q1315" s="31" t="s">
        <v>307</v>
      </c>
      <c r="R1315" s="32">
        <v>36413.0</v>
      </c>
      <c r="S1315" s="31" t="s">
        <v>560</v>
      </c>
      <c r="T1315" s="31" t="s">
        <v>5465</v>
      </c>
      <c r="U1315" s="31" t="s">
        <v>480</v>
      </c>
      <c r="V1315" s="31" t="s">
        <v>3055</v>
      </c>
      <c r="W1315" s="34"/>
    </row>
    <row r="1316">
      <c r="A1316" s="30">
        <v>1.311</v>
      </c>
      <c r="B1316" s="31" t="s">
        <v>5701</v>
      </c>
      <c r="C1316" s="31" t="s">
        <v>3966</v>
      </c>
      <c r="D1316" s="31" t="s">
        <v>615</v>
      </c>
      <c r="E1316" s="31" t="s">
        <v>4953</v>
      </c>
      <c r="F1316" s="32">
        <v>43864.0</v>
      </c>
      <c r="G1316" s="32">
        <v>43924.0</v>
      </c>
      <c r="H1316" s="31" t="s">
        <v>453</v>
      </c>
      <c r="I1316" s="31" t="s">
        <v>454</v>
      </c>
      <c r="J1316" s="31" t="s">
        <v>2903</v>
      </c>
      <c r="K1316" s="31" t="s">
        <v>4954</v>
      </c>
      <c r="L1316" s="31" t="s">
        <v>618</v>
      </c>
      <c r="M1316" s="31" t="s">
        <v>5702</v>
      </c>
      <c r="N1316" s="31" t="s">
        <v>267</v>
      </c>
      <c r="O1316" s="34"/>
      <c r="P1316" s="34"/>
      <c r="Q1316" s="31" t="s">
        <v>307</v>
      </c>
      <c r="R1316" s="32">
        <v>33414.0</v>
      </c>
      <c r="S1316" s="31" t="s">
        <v>4976</v>
      </c>
      <c r="T1316" s="31" t="s">
        <v>4337</v>
      </c>
      <c r="U1316" s="31" t="s">
        <v>480</v>
      </c>
      <c r="V1316" s="31" t="s">
        <v>4953</v>
      </c>
      <c r="W1316" s="34"/>
    </row>
    <row r="1317">
      <c r="A1317" s="30">
        <v>1.312</v>
      </c>
      <c r="B1317" s="31" t="s">
        <v>5703</v>
      </c>
      <c r="C1317" s="31" t="s">
        <v>5704</v>
      </c>
      <c r="D1317" s="31" t="s">
        <v>3222</v>
      </c>
      <c r="E1317" s="31" t="s">
        <v>5705</v>
      </c>
      <c r="F1317" s="32">
        <v>43955.0</v>
      </c>
      <c r="G1317" s="32">
        <v>44016.0</v>
      </c>
      <c r="H1317" s="31" t="s">
        <v>453</v>
      </c>
      <c r="I1317" s="31" t="s">
        <v>454</v>
      </c>
      <c r="J1317" s="31" t="s">
        <v>4777</v>
      </c>
      <c r="K1317" s="31" t="s">
        <v>5706</v>
      </c>
      <c r="L1317" s="31" t="s">
        <v>3223</v>
      </c>
      <c r="M1317" s="31" t="s">
        <v>5707</v>
      </c>
      <c r="N1317" s="31" t="s">
        <v>267</v>
      </c>
      <c r="O1317" s="34"/>
      <c r="P1317" s="34"/>
      <c r="Q1317" s="31" t="s">
        <v>307</v>
      </c>
      <c r="R1317" s="32">
        <v>35448.0</v>
      </c>
      <c r="S1317" s="31" t="s">
        <v>526</v>
      </c>
      <c r="T1317" s="31" t="s">
        <v>744</v>
      </c>
      <c r="U1317" s="31" t="s">
        <v>480</v>
      </c>
      <c r="V1317" s="31" t="s">
        <v>5705</v>
      </c>
      <c r="W1317" s="34"/>
    </row>
    <row r="1318">
      <c r="A1318" s="30">
        <v>1.313</v>
      </c>
      <c r="B1318" s="31" t="s">
        <v>5708</v>
      </c>
      <c r="C1318" s="31" t="s">
        <v>5709</v>
      </c>
      <c r="D1318" s="31" t="s">
        <v>452</v>
      </c>
      <c r="E1318" s="31" t="s">
        <v>4953</v>
      </c>
      <c r="F1318" s="32">
        <v>44348.0</v>
      </c>
      <c r="G1318" s="32">
        <v>44409.0</v>
      </c>
      <c r="H1318" s="31" t="s">
        <v>453</v>
      </c>
      <c r="I1318" s="31" t="s">
        <v>454</v>
      </c>
      <c r="J1318" s="31" t="s">
        <v>2903</v>
      </c>
      <c r="K1318" s="31" t="s">
        <v>4954</v>
      </c>
      <c r="L1318" s="31" t="s">
        <v>456</v>
      </c>
      <c r="M1318" s="31" t="s">
        <v>5710</v>
      </c>
      <c r="N1318" s="31" t="s">
        <v>267</v>
      </c>
      <c r="O1318" s="34"/>
      <c r="P1318" s="34"/>
      <c r="Q1318" s="31" t="s">
        <v>307</v>
      </c>
      <c r="R1318" s="35">
        <v>35350.0</v>
      </c>
      <c r="S1318" s="31" t="s">
        <v>5711</v>
      </c>
      <c r="T1318" s="31" t="s">
        <v>778</v>
      </c>
      <c r="U1318" s="31" t="s">
        <v>480</v>
      </c>
      <c r="V1318" s="31" t="s">
        <v>4953</v>
      </c>
      <c r="W1318" s="34"/>
    </row>
    <row r="1319">
      <c r="A1319" s="30">
        <v>1.314</v>
      </c>
      <c r="B1319" s="31" t="s">
        <v>5712</v>
      </c>
      <c r="C1319" s="31" t="s">
        <v>5713</v>
      </c>
      <c r="D1319" s="31" t="s">
        <v>553</v>
      </c>
      <c r="E1319" s="31" t="s">
        <v>4895</v>
      </c>
      <c r="F1319" s="32">
        <v>43411.0</v>
      </c>
      <c r="G1319" s="32">
        <v>43472.0</v>
      </c>
      <c r="H1319" s="31" t="s">
        <v>453</v>
      </c>
      <c r="I1319" s="31" t="s">
        <v>454</v>
      </c>
      <c r="J1319" s="31" t="s">
        <v>4823</v>
      </c>
      <c r="K1319" s="31" t="s">
        <v>4896</v>
      </c>
      <c r="L1319" s="31" t="s">
        <v>558</v>
      </c>
      <c r="M1319" s="31" t="s">
        <v>5714</v>
      </c>
      <c r="N1319" s="31" t="s">
        <v>267</v>
      </c>
      <c r="O1319" s="34"/>
      <c r="P1319" s="34"/>
      <c r="Q1319" s="31" t="s">
        <v>307</v>
      </c>
      <c r="R1319" s="32">
        <v>34477.0</v>
      </c>
      <c r="S1319" s="31" t="s">
        <v>531</v>
      </c>
      <c r="T1319" s="31" t="s">
        <v>5715</v>
      </c>
      <c r="U1319" s="31" t="s">
        <v>460</v>
      </c>
      <c r="V1319" s="31" t="s">
        <v>4895</v>
      </c>
      <c r="W1319" s="34"/>
    </row>
    <row r="1320">
      <c r="A1320" s="30">
        <v>1.315</v>
      </c>
      <c r="B1320" s="31" t="s">
        <v>5716</v>
      </c>
      <c r="C1320" s="31" t="s">
        <v>5717</v>
      </c>
      <c r="D1320" s="31" t="s">
        <v>472</v>
      </c>
      <c r="E1320" s="31" t="s">
        <v>5008</v>
      </c>
      <c r="F1320" s="32">
        <v>43962.0</v>
      </c>
      <c r="G1320" s="32">
        <v>44023.0</v>
      </c>
      <c r="H1320" s="31" t="s">
        <v>453</v>
      </c>
      <c r="I1320" s="31" t="s">
        <v>607</v>
      </c>
      <c r="J1320" s="31" t="s">
        <v>5009</v>
      </c>
      <c r="K1320" s="31" t="s">
        <v>5010</v>
      </c>
      <c r="L1320" s="31" t="s">
        <v>5011</v>
      </c>
      <c r="M1320" s="31" t="s">
        <v>5718</v>
      </c>
      <c r="N1320" s="31" t="s">
        <v>467</v>
      </c>
      <c r="O1320" s="34"/>
      <c r="P1320" s="34"/>
      <c r="Q1320" s="31" t="s">
        <v>307</v>
      </c>
      <c r="R1320" s="32">
        <v>34956.0</v>
      </c>
      <c r="S1320" s="31" t="s">
        <v>468</v>
      </c>
      <c r="T1320" s="31" t="s">
        <v>961</v>
      </c>
      <c r="U1320" s="31" t="s">
        <v>643</v>
      </c>
      <c r="V1320" s="31" t="s">
        <v>5008</v>
      </c>
      <c r="W1320" s="34"/>
    </row>
    <row r="1321">
      <c r="A1321" s="30">
        <v>1.316</v>
      </c>
      <c r="B1321" s="31" t="s">
        <v>5719</v>
      </c>
      <c r="C1321" s="31" t="s">
        <v>5720</v>
      </c>
      <c r="D1321" s="31" t="s">
        <v>472</v>
      </c>
      <c r="E1321" s="31" t="s">
        <v>4379</v>
      </c>
      <c r="F1321" s="32">
        <v>44259.0</v>
      </c>
      <c r="G1321" s="32">
        <v>44320.0</v>
      </c>
      <c r="H1321" s="31" t="s">
        <v>453</v>
      </c>
      <c r="I1321" s="31" t="s">
        <v>607</v>
      </c>
      <c r="J1321" s="31" t="s">
        <v>4380</v>
      </c>
      <c r="K1321" s="31" t="s">
        <v>4381</v>
      </c>
      <c r="L1321" s="31" t="s">
        <v>476</v>
      </c>
      <c r="M1321" s="31" t="s">
        <v>5721</v>
      </c>
      <c r="N1321" s="31" t="s">
        <v>467</v>
      </c>
      <c r="O1321" s="34"/>
      <c r="P1321" s="34"/>
      <c r="Q1321" s="31" t="s">
        <v>307</v>
      </c>
      <c r="R1321" s="32">
        <v>35850.0</v>
      </c>
      <c r="S1321" s="31" t="s">
        <v>468</v>
      </c>
      <c r="T1321" s="31" t="s">
        <v>3198</v>
      </c>
      <c r="U1321" s="31" t="s">
        <v>643</v>
      </c>
      <c r="V1321" s="31" t="s">
        <v>4379</v>
      </c>
      <c r="W1321" s="34"/>
    </row>
    <row r="1322">
      <c r="A1322" s="30">
        <v>1.317</v>
      </c>
      <c r="B1322" s="31" t="s">
        <v>5722</v>
      </c>
      <c r="C1322" s="31" t="s">
        <v>5723</v>
      </c>
      <c r="D1322" s="31" t="s">
        <v>553</v>
      </c>
      <c r="E1322" s="31" t="s">
        <v>2651</v>
      </c>
      <c r="F1322" s="32">
        <v>42773.0</v>
      </c>
      <c r="G1322" s="32">
        <v>42832.0</v>
      </c>
      <c r="H1322" s="31" t="s">
        <v>453</v>
      </c>
      <c r="I1322" s="31" t="s">
        <v>566</v>
      </c>
      <c r="J1322" s="31" t="s">
        <v>567</v>
      </c>
      <c r="K1322" s="31" t="s">
        <v>2652</v>
      </c>
      <c r="L1322" s="31" t="s">
        <v>558</v>
      </c>
      <c r="M1322" s="31" t="s">
        <v>5724</v>
      </c>
      <c r="N1322" s="31" t="s">
        <v>267</v>
      </c>
      <c r="O1322" s="34"/>
      <c r="P1322" s="34"/>
      <c r="Q1322" s="31" t="s">
        <v>307</v>
      </c>
      <c r="R1322" s="32">
        <v>33435.0</v>
      </c>
      <c r="S1322" s="31" t="s">
        <v>700</v>
      </c>
      <c r="T1322" s="31" t="s">
        <v>5725</v>
      </c>
      <c r="U1322" s="31" t="s">
        <v>480</v>
      </c>
      <c r="V1322" s="31" t="s">
        <v>2651</v>
      </c>
      <c r="W1322" s="34"/>
    </row>
    <row r="1323">
      <c r="A1323" s="30">
        <v>1.318</v>
      </c>
      <c r="B1323" s="31" t="s">
        <v>5726</v>
      </c>
      <c r="C1323" s="31" t="s">
        <v>5727</v>
      </c>
      <c r="D1323" s="31" t="s">
        <v>564</v>
      </c>
      <c r="E1323" s="31" t="s">
        <v>4331</v>
      </c>
      <c r="F1323" s="32">
        <v>43997.0</v>
      </c>
      <c r="G1323" s="32">
        <v>44058.0</v>
      </c>
      <c r="H1323" s="31" t="s">
        <v>453</v>
      </c>
      <c r="I1323" s="31" t="s">
        <v>4330</v>
      </c>
      <c r="J1323" s="31" t="s">
        <v>4331</v>
      </c>
      <c r="K1323" s="31" t="s">
        <v>5728</v>
      </c>
      <c r="L1323" s="31" t="s">
        <v>569</v>
      </c>
      <c r="M1323" s="31" t="s">
        <v>5729</v>
      </c>
      <c r="N1323" s="31" t="s">
        <v>267</v>
      </c>
      <c r="O1323" s="34"/>
      <c r="P1323" s="34"/>
      <c r="Q1323" s="31" t="s">
        <v>307</v>
      </c>
      <c r="R1323" s="32">
        <v>32893.0</v>
      </c>
      <c r="S1323" s="31" t="s">
        <v>700</v>
      </c>
      <c r="T1323" s="31" t="s">
        <v>686</v>
      </c>
      <c r="U1323" s="31" t="s">
        <v>460</v>
      </c>
      <c r="V1323" s="34"/>
      <c r="W1323" s="34"/>
    </row>
    <row r="1324">
      <c r="A1324" s="30">
        <v>1.319</v>
      </c>
      <c r="B1324" s="31" t="s">
        <v>5730</v>
      </c>
      <c r="C1324" s="31" t="s">
        <v>4147</v>
      </c>
      <c r="D1324" s="31" t="s">
        <v>472</v>
      </c>
      <c r="E1324" s="31" t="s">
        <v>3377</v>
      </c>
      <c r="F1324" s="35">
        <v>42723.0</v>
      </c>
      <c r="G1324" s="32">
        <v>42785.0</v>
      </c>
      <c r="H1324" s="31" t="s">
        <v>453</v>
      </c>
      <c r="I1324" s="31" t="s">
        <v>454</v>
      </c>
      <c r="J1324" s="31" t="s">
        <v>3378</v>
      </c>
      <c r="K1324" s="31" t="s">
        <v>3379</v>
      </c>
      <c r="L1324" s="31" t="s">
        <v>5011</v>
      </c>
      <c r="M1324" s="31" t="s">
        <v>5731</v>
      </c>
      <c r="N1324" s="31" t="s">
        <v>267</v>
      </c>
      <c r="O1324" s="34"/>
      <c r="P1324" s="34"/>
      <c r="Q1324" s="31" t="s">
        <v>307</v>
      </c>
      <c r="R1324" s="32">
        <v>33076.0</v>
      </c>
      <c r="S1324" s="31" t="s">
        <v>490</v>
      </c>
      <c r="T1324" s="31" t="s">
        <v>3699</v>
      </c>
      <c r="U1324" s="31" t="s">
        <v>460</v>
      </c>
      <c r="V1324" s="31" t="s">
        <v>3377</v>
      </c>
      <c r="W1324" s="34"/>
    </row>
    <row r="1325">
      <c r="A1325" s="30">
        <v>1.32</v>
      </c>
      <c r="B1325" s="31" t="s">
        <v>5732</v>
      </c>
      <c r="C1325" s="31" t="s">
        <v>5733</v>
      </c>
      <c r="D1325" s="31" t="s">
        <v>463</v>
      </c>
      <c r="E1325" s="31" t="s">
        <v>5734</v>
      </c>
      <c r="F1325" s="32">
        <v>41946.0</v>
      </c>
      <c r="G1325" s="32">
        <v>42007.0</v>
      </c>
      <c r="H1325" s="31" t="s">
        <v>453</v>
      </c>
      <c r="I1325" s="31" t="s">
        <v>454</v>
      </c>
      <c r="J1325" s="31" t="s">
        <v>4777</v>
      </c>
      <c r="K1325" s="31" t="s">
        <v>5735</v>
      </c>
      <c r="L1325" s="31" t="s">
        <v>465</v>
      </c>
      <c r="M1325" s="31" t="s">
        <v>5736</v>
      </c>
      <c r="N1325" s="31" t="s">
        <v>467</v>
      </c>
      <c r="O1325" s="31">
        <v>2.0</v>
      </c>
      <c r="P1325" s="34"/>
      <c r="Q1325" s="31" t="s">
        <v>307</v>
      </c>
      <c r="R1325" s="32">
        <v>33665.0</v>
      </c>
      <c r="S1325" s="31" t="s">
        <v>502</v>
      </c>
      <c r="T1325" s="31" t="s">
        <v>503</v>
      </c>
      <c r="U1325" s="31" t="s">
        <v>480</v>
      </c>
      <c r="V1325" s="31" t="s">
        <v>5734</v>
      </c>
      <c r="W1325" s="34"/>
    </row>
    <row r="1326">
      <c r="A1326" s="30">
        <v>1.321</v>
      </c>
      <c r="B1326" s="31" t="s">
        <v>5737</v>
      </c>
      <c r="C1326" s="31" t="s">
        <v>5738</v>
      </c>
      <c r="D1326" s="31" t="s">
        <v>472</v>
      </c>
      <c r="E1326" s="31" t="s">
        <v>5734</v>
      </c>
      <c r="F1326" s="32">
        <v>44809.0</v>
      </c>
      <c r="G1326" s="32">
        <v>44870.0</v>
      </c>
      <c r="H1326" s="31" t="s">
        <v>453</v>
      </c>
      <c r="I1326" s="31" t="s">
        <v>454</v>
      </c>
      <c r="J1326" s="31" t="s">
        <v>4777</v>
      </c>
      <c r="K1326" s="31" t="s">
        <v>5735</v>
      </c>
      <c r="L1326" s="31" t="s">
        <v>3050</v>
      </c>
      <c r="M1326" s="31" t="s">
        <v>5739</v>
      </c>
      <c r="N1326" s="31" t="s">
        <v>467</v>
      </c>
      <c r="O1326" s="34"/>
      <c r="P1326" s="34"/>
      <c r="Q1326" s="31" t="s">
        <v>307</v>
      </c>
      <c r="R1326" s="32">
        <v>33832.0</v>
      </c>
      <c r="S1326" s="31" t="s">
        <v>468</v>
      </c>
      <c r="T1326" s="31" t="s">
        <v>1532</v>
      </c>
      <c r="U1326" s="31" t="s">
        <v>480</v>
      </c>
      <c r="V1326" s="31" t="s">
        <v>5734</v>
      </c>
      <c r="W1326" s="34"/>
    </row>
    <row r="1327">
      <c r="A1327" s="30">
        <v>1.322</v>
      </c>
      <c r="B1327" s="31" t="s">
        <v>5740</v>
      </c>
      <c r="C1327" s="31" t="s">
        <v>5741</v>
      </c>
      <c r="D1327" s="31" t="s">
        <v>463</v>
      </c>
      <c r="E1327" s="31" t="s">
        <v>4611</v>
      </c>
      <c r="F1327" s="32">
        <v>43684.0</v>
      </c>
      <c r="G1327" s="32">
        <v>43745.0</v>
      </c>
      <c r="H1327" s="31" t="s">
        <v>453</v>
      </c>
      <c r="I1327" s="31" t="s">
        <v>2835</v>
      </c>
      <c r="J1327" s="31" t="s">
        <v>4612</v>
      </c>
      <c r="K1327" s="31" t="s">
        <v>4613</v>
      </c>
      <c r="L1327" s="31" t="s">
        <v>465</v>
      </c>
      <c r="M1327" s="31" t="s">
        <v>5742</v>
      </c>
      <c r="N1327" s="31" t="s">
        <v>467</v>
      </c>
      <c r="O1327" s="31">
        <v>2.0</v>
      </c>
      <c r="P1327" s="34"/>
      <c r="Q1327" s="31" t="s">
        <v>307</v>
      </c>
      <c r="R1327" s="32">
        <v>36032.0</v>
      </c>
      <c r="S1327" s="31" t="s">
        <v>560</v>
      </c>
      <c r="T1327" s="31" t="s">
        <v>479</v>
      </c>
      <c r="U1327" s="31" t="s">
        <v>480</v>
      </c>
      <c r="V1327" s="31" t="s">
        <v>4611</v>
      </c>
      <c r="W1327" s="34"/>
    </row>
    <row r="1328">
      <c r="A1328" s="30">
        <v>1.323</v>
      </c>
      <c r="B1328" s="31" t="s">
        <v>5743</v>
      </c>
      <c r="C1328" s="31" t="s">
        <v>5744</v>
      </c>
      <c r="D1328" s="31" t="s">
        <v>4996</v>
      </c>
      <c r="E1328" s="31" t="s">
        <v>4671</v>
      </c>
      <c r="F1328" s="32">
        <v>42236.0</v>
      </c>
      <c r="G1328" s="35">
        <v>42297.0</v>
      </c>
      <c r="H1328" s="31" t="s">
        <v>453</v>
      </c>
      <c r="I1328" s="31" t="s">
        <v>454</v>
      </c>
      <c r="J1328" s="31" t="s">
        <v>4671</v>
      </c>
      <c r="K1328" s="31" t="s">
        <v>4672</v>
      </c>
      <c r="L1328" s="31" t="s">
        <v>4998</v>
      </c>
      <c r="M1328" s="31" t="s">
        <v>5745</v>
      </c>
      <c r="N1328" s="31" t="s">
        <v>467</v>
      </c>
      <c r="O1328" s="31">
        <v>3.0</v>
      </c>
      <c r="P1328" s="34"/>
      <c r="Q1328" s="31" t="s">
        <v>307</v>
      </c>
      <c r="R1328" s="32">
        <v>33795.0</v>
      </c>
      <c r="S1328" s="31" t="s">
        <v>560</v>
      </c>
      <c r="T1328" s="31" t="s">
        <v>3748</v>
      </c>
      <c r="U1328" s="31" t="s">
        <v>480</v>
      </c>
      <c r="V1328" s="34"/>
      <c r="W1328" s="34"/>
    </row>
    <row r="1329">
      <c r="A1329" s="30">
        <v>1.324</v>
      </c>
      <c r="B1329" s="31" t="s">
        <v>5746</v>
      </c>
      <c r="C1329" s="31" t="s">
        <v>294</v>
      </c>
      <c r="D1329" s="31" t="s">
        <v>553</v>
      </c>
      <c r="E1329" s="31" t="s">
        <v>5747</v>
      </c>
      <c r="F1329" s="32">
        <v>44335.0</v>
      </c>
      <c r="G1329" s="32">
        <v>44396.0</v>
      </c>
      <c r="H1329" s="31" t="s">
        <v>453</v>
      </c>
      <c r="I1329" s="31" t="s">
        <v>454</v>
      </c>
      <c r="J1329" s="31" t="s">
        <v>3041</v>
      </c>
      <c r="K1329" s="31" t="s">
        <v>5748</v>
      </c>
      <c r="L1329" s="31" t="s">
        <v>558</v>
      </c>
      <c r="M1329" s="31" t="s">
        <v>5749</v>
      </c>
      <c r="N1329" s="31" t="s">
        <v>267</v>
      </c>
      <c r="O1329" s="34"/>
      <c r="P1329" s="34"/>
      <c r="Q1329" s="31" t="s">
        <v>307</v>
      </c>
      <c r="R1329" s="32">
        <v>33974.0</v>
      </c>
      <c r="S1329" s="31" t="s">
        <v>5750</v>
      </c>
      <c r="T1329" s="31" t="s">
        <v>5751</v>
      </c>
      <c r="U1329" s="31" t="s">
        <v>480</v>
      </c>
      <c r="V1329" s="31" t="s">
        <v>5747</v>
      </c>
      <c r="W1329" s="34"/>
    </row>
    <row r="1330">
      <c r="A1330" s="30">
        <v>1.325</v>
      </c>
      <c r="B1330" s="31" t="s">
        <v>5752</v>
      </c>
      <c r="C1330" s="31" t="s">
        <v>5753</v>
      </c>
      <c r="D1330" s="31" t="s">
        <v>4747</v>
      </c>
      <c r="E1330" s="31" t="s">
        <v>2902</v>
      </c>
      <c r="F1330" s="32">
        <v>43721.0</v>
      </c>
      <c r="G1330" s="35">
        <v>43782.0</v>
      </c>
      <c r="H1330" s="31" t="s">
        <v>453</v>
      </c>
      <c r="I1330" s="31" t="s">
        <v>454</v>
      </c>
      <c r="J1330" s="31" t="s">
        <v>2903</v>
      </c>
      <c r="K1330" s="31" t="s">
        <v>2904</v>
      </c>
      <c r="L1330" s="31" t="s">
        <v>4748</v>
      </c>
      <c r="M1330" s="31" t="s">
        <v>5754</v>
      </c>
      <c r="N1330" s="31" t="s">
        <v>467</v>
      </c>
      <c r="O1330" s="34"/>
      <c r="P1330" s="34"/>
      <c r="Q1330" s="31" t="s">
        <v>307</v>
      </c>
      <c r="R1330" s="32">
        <v>35596.0</v>
      </c>
      <c r="S1330" s="31" t="s">
        <v>591</v>
      </c>
      <c r="T1330" s="31" t="s">
        <v>1370</v>
      </c>
      <c r="U1330" s="31" t="s">
        <v>480</v>
      </c>
      <c r="V1330" s="31" t="s">
        <v>2902</v>
      </c>
      <c r="W1330" s="34"/>
    </row>
    <row r="1331">
      <c r="A1331" s="30">
        <v>1.326</v>
      </c>
      <c r="B1331" s="31" t="s">
        <v>5755</v>
      </c>
      <c r="C1331" s="31" t="s">
        <v>5756</v>
      </c>
      <c r="D1331" s="31" t="s">
        <v>636</v>
      </c>
      <c r="E1331" s="31" t="s">
        <v>638</v>
      </c>
      <c r="F1331" s="32">
        <v>43935.0</v>
      </c>
      <c r="G1331" s="32">
        <v>43996.0</v>
      </c>
      <c r="H1331" s="31" t="s">
        <v>453</v>
      </c>
      <c r="I1331" s="31" t="s">
        <v>52</v>
      </c>
      <c r="J1331" s="31" t="s">
        <v>638</v>
      </c>
      <c r="K1331" s="31" t="s">
        <v>3267</v>
      </c>
      <c r="L1331" s="31" t="s">
        <v>640</v>
      </c>
      <c r="M1331" s="31" t="s">
        <v>5757</v>
      </c>
      <c r="N1331" s="31" t="s">
        <v>467</v>
      </c>
      <c r="O1331" s="34"/>
      <c r="P1331" s="34"/>
      <c r="Q1331" s="31" t="s">
        <v>307</v>
      </c>
      <c r="R1331" s="35">
        <v>35776.0</v>
      </c>
      <c r="S1331" s="31" t="s">
        <v>591</v>
      </c>
      <c r="T1331" s="31" t="s">
        <v>3090</v>
      </c>
      <c r="U1331" s="31" t="s">
        <v>643</v>
      </c>
      <c r="V1331" s="34"/>
      <c r="W1331" s="34"/>
    </row>
    <row r="1332">
      <c r="A1332" s="30">
        <v>1.327</v>
      </c>
      <c r="B1332" s="31" t="s">
        <v>5758</v>
      </c>
      <c r="C1332" s="31" t="s">
        <v>5759</v>
      </c>
      <c r="D1332" s="31" t="s">
        <v>622</v>
      </c>
      <c r="E1332" s="31" t="s">
        <v>41</v>
      </c>
      <c r="F1332" s="32">
        <v>41487.0</v>
      </c>
      <c r="G1332" s="32">
        <v>41548.0</v>
      </c>
      <c r="H1332" s="31" t="s">
        <v>453</v>
      </c>
      <c r="I1332" s="31" t="s">
        <v>41</v>
      </c>
      <c r="J1332" s="34"/>
      <c r="K1332" s="31" t="s">
        <v>623</v>
      </c>
      <c r="L1332" s="31" t="s">
        <v>624</v>
      </c>
      <c r="M1332" s="31" t="s">
        <v>5760</v>
      </c>
      <c r="N1332" s="31" t="s">
        <v>267</v>
      </c>
      <c r="O1332" s="34"/>
      <c r="P1332" s="34"/>
      <c r="Q1332" s="31" t="s">
        <v>307</v>
      </c>
      <c r="R1332" s="35">
        <v>33562.0</v>
      </c>
      <c r="S1332" s="31" t="s">
        <v>1197</v>
      </c>
      <c r="T1332" s="31" t="s">
        <v>5761</v>
      </c>
      <c r="U1332" s="31" t="s">
        <v>480</v>
      </c>
      <c r="V1332" s="34"/>
      <c r="W1332" s="34"/>
    </row>
    <row r="1333">
      <c r="A1333" s="30">
        <v>1.328</v>
      </c>
      <c r="B1333" s="31" t="s">
        <v>5762</v>
      </c>
      <c r="C1333" s="31" t="s">
        <v>5763</v>
      </c>
      <c r="D1333" s="31" t="s">
        <v>499</v>
      </c>
      <c r="E1333" s="31" t="s">
        <v>2902</v>
      </c>
      <c r="F1333" s="32">
        <v>43472.0</v>
      </c>
      <c r="G1333" s="32">
        <v>44249.0</v>
      </c>
      <c r="H1333" s="31" t="s">
        <v>453</v>
      </c>
      <c r="I1333" s="31" t="s">
        <v>454</v>
      </c>
      <c r="J1333" s="31" t="s">
        <v>2903</v>
      </c>
      <c r="K1333" s="31" t="s">
        <v>2904</v>
      </c>
      <c r="L1333" s="31" t="s">
        <v>500</v>
      </c>
      <c r="M1333" s="31" t="s">
        <v>5764</v>
      </c>
      <c r="N1333" s="31" t="s">
        <v>467</v>
      </c>
      <c r="O1333" s="31">
        <v>1.0</v>
      </c>
      <c r="P1333" s="34"/>
      <c r="Q1333" s="31" t="s">
        <v>307</v>
      </c>
      <c r="R1333" s="32">
        <v>35535.0</v>
      </c>
      <c r="S1333" s="31" t="s">
        <v>560</v>
      </c>
      <c r="T1333" s="31" t="s">
        <v>4435</v>
      </c>
      <c r="U1333" s="31" t="s">
        <v>480</v>
      </c>
      <c r="V1333" s="31" t="s">
        <v>2902</v>
      </c>
      <c r="W1333" s="34"/>
    </row>
    <row r="1334">
      <c r="A1334" s="30">
        <v>1.329</v>
      </c>
      <c r="B1334" s="31" t="s">
        <v>5765</v>
      </c>
      <c r="C1334" s="31" t="s">
        <v>5766</v>
      </c>
      <c r="D1334" s="31" t="s">
        <v>3162</v>
      </c>
      <c r="E1334" s="31" t="s">
        <v>3163</v>
      </c>
      <c r="F1334" s="32">
        <v>43605.0</v>
      </c>
      <c r="G1334" s="32">
        <v>43666.0</v>
      </c>
      <c r="H1334" s="31" t="s">
        <v>453</v>
      </c>
      <c r="I1334" s="31" t="s">
        <v>454</v>
      </c>
      <c r="J1334" s="31" t="s">
        <v>3163</v>
      </c>
      <c r="K1334" s="31" t="s">
        <v>3164</v>
      </c>
      <c r="L1334" s="31" t="s">
        <v>3165</v>
      </c>
      <c r="M1334" s="31" t="s">
        <v>5767</v>
      </c>
      <c r="N1334" s="31" t="s">
        <v>467</v>
      </c>
      <c r="O1334" s="34"/>
      <c r="P1334" s="34"/>
      <c r="Q1334" s="31" t="s">
        <v>307</v>
      </c>
      <c r="R1334" s="32">
        <v>34974.0</v>
      </c>
      <c r="S1334" s="31" t="s">
        <v>502</v>
      </c>
      <c r="T1334" s="31" t="s">
        <v>4418</v>
      </c>
      <c r="U1334" s="31" t="s">
        <v>460</v>
      </c>
      <c r="V1334" s="34"/>
      <c r="W1334" s="34"/>
    </row>
    <row r="1335">
      <c r="A1335" s="30">
        <v>1.33</v>
      </c>
      <c r="B1335" s="31" t="s">
        <v>5768</v>
      </c>
      <c r="C1335" s="31" t="s">
        <v>5769</v>
      </c>
      <c r="D1335" s="31" t="s">
        <v>499</v>
      </c>
      <c r="E1335" s="31" t="s">
        <v>2902</v>
      </c>
      <c r="F1335" s="32">
        <v>43580.0</v>
      </c>
      <c r="G1335" s="32">
        <v>43641.0</v>
      </c>
      <c r="H1335" s="31" t="s">
        <v>453</v>
      </c>
      <c r="I1335" s="31" t="s">
        <v>454</v>
      </c>
      <c r="J1335" s="31" t="s">
        <v>2903</v>
      </c>
      <c r="K1335" s="31" t="s">
        <v>2904</v>
      </c>
      <c r="L1335" s="31" t="s">
        <v>500</v>
      </c>
      <c r="M1335" s="31" t="s">
        <v>5770</v>
      </c>
      <c r="N1335" s="31" t="s">
        <v>467</v>
      </c>
      <c r="O1335" s="31">
        <v>1.0</v>
      </c>
      <c r="P1335" s="34"/>
      <c r="Q1335" s="31" t="s">
        <v>307</v>
      </c>
      <c r="R1335" s="35">
        <v>34988.0</v>
      </c>
      <c r="S1335" s="31" t="s">
        <v>502</v>
      </c>
      <c r="T1335" s="31" t="s">
        <v>5771</v>
      </c>
      <c r="U1335" s="31" t="s">
        <v>480</v>
      </c>
      <c r="V1335" s="31" t="s">
        <v>2902</v>
      </c>
      <c r="W1335" s="34"/>
    </row>
    <row r="1336">
      <c r="A1336" s="30">
        <v>1.331</v>
      </c>
      <c r="B1336" s="31" t="s">
        <v>5772</v>
      </c>
      <c r="C1336" s="31" t="s">
        <v>5773</v>
      </c>
      <c r="D1336" s="31" t="s">
        <v>4909</v>
      </c>
      <c r="E1336" s="31" t="s">
        <v>3246</v>
      </c>
      <c r="F1336" s="32">
        <v>44284.0</v>
      </c>
      <c r="G1336" s="32">
        <v>44345.0</v>
      </c>
      <c r="H1336" s="31" t="s">
        <v>453</v>
      </c>
      <c r="I1336" s="31" t="s">
        <v>607</v>
      </c>
      <c r="J1336" s="31" t="s">
        <v>3247</v>
      </c>
      <c r="K1336" s="31" t="s">
        <v>3248</v>
      </c>
      <c r="L1336" s="31" t="s">
        <v>4910</v>
      </c>
      <c r="M1336" s="31" t="s">
        <v>5774</v>
      </c>
      <c r="N1336" s="31" t="s">
        <v>467</v>
      </c>
      <c r="O1336" s="34"/>
      <c r="P1336" s="34"/>
      <c r="Q1336" s="31" t="s">
        <v>307</v>
      </c>
      <c r="R1336" s="35">
        <v>36476.0</v>
      </c>
      <c r="S1336" s="31" t="s">
        <v>560</v>
      </c>
      <c r="T1336" s="31" t="s">
        <v>752</v>
      </c>
      <c r="U1336" s="31" t="s">
        <v>480</v>
      </c>
      <c r="V1336" s="31" t="s">
        <v>3246</v>
      </c>
      <c r="W1336" s="34"/>
    </row>
    <row r="1337">
      <c r="A1337" s="30">
        <v>1.332</v>
      </c>
      <c r="B1337" s="31" t="s">
        <v>5775</v>
      </c>
      <c r="C1337" s="31" t="s">
        <v>5776</v>
      </c>
      <c r="D1337" s="31" t="s">
        <v>499</v>
      </c>
      <c r="E1337" s="31" t="s">
        <v>2651</v>
      </c>
      <c r="F1337" s="32">
        <v>43207.0</v>
      </c>
      <c r="G1337" s="32">
        <v>43207.0</v>
      </c>
      <c r="H1337" s="31" t="s">
        <v>453</v>
      </c>
      <c r="I1337" s="31" t="s">
        <v>566</v>
      </c>
      <c r="J1337" s="31" t="s">
        <v>567</v>
      </c>
      <c r="K1337" s="31" t="s">
        <v>2652</v>
      </c>
      <c r="L1337" s="31" t="s">
        <v>500</v>
      </c>
      <c r="M1337" s="31" t="s">
        <v>5777</v>
      </c>
      <c r="N1337" s="31" t="s">
        <v>467</v>
      </c>
      <c r="O1337" s="31">
        <v>1.0</v>
      </c>
      <c r="P1337" s="34"/>
      <c r="Q1337" s="31" t="s">
        <v>307</v>
      </c>
      <c r="R1337" s="35">
        <v>35058.0</v>
      </c>
      <c r="S1337" s="31" t="s">
        <v>502</v>
      </c>
      <c r="T1337" s="31" t="s">
        <v>3198</v>
      </c>
      <c r="U1337" s="31" t="s">
        <v>480</v>
      </c>
      <c r="V1337" s="31" t="s">
        <v>2651</v>
      </c>
      <c r="W1337" s="34"/>
    </row>
    <row r="1338">
      <c r="A1338" s="30">
        <v>1.333</v>
      </c>
      <c r="B1338" s="31" t="s">
        <v>5778</v>
      </c>
      <c r="C1338" s="31" t="s">
        <v>5779</v>
      </c>
      <c r="D1338" s="31" t="s">
        <v>3222</v>
      </c>
      <c r="E1338" s="31" t="s">
        <v>5604</v>
      </c>
      <c r="F1338" s="32">
        <v>44403.0</v>
      </c>
      <c r="G1338" s="32">
        <v>44465.0</v>
      </c>
      <c r="H1338" s="31" t="s">
        <v>453</v>
      </c>
      <c r="I1338" s="31" t="s">
        <v>454</v>
      </c>
      <c r="J1338" s="31" t="s">
        <v>5107</v>
      </c>
      <c r="K1338" s="31" t="s">
        <v>5605</v>
      </c>
      <c r="L1338" s="31" t="s">
        <v>3223</v>
      </c>
      <c r="M1338" s="31" t="s">
        <v>5780</v>
      </c>
      <c r="N1338" s="31" t="s">
        <v>267</v>
      </c>
      <c r="O1338" s="34"/>
      <c r="P1338" s="34"/>
      <c r="Q1338" s="31" t="s">
        <v>307</v>
      </c>
      <c r="R1338" s="32">
        <v>36352.0</v>
      </c>
      <c r="S1338" s="31" t="s">
        <v>5781</v>
      </c>
      <c r="T1338" s="31" t="s">
        <v>3116</v>
      </c>
      <c r="U1338" s="31" t="s">
        <v>480</v>
      </c>
      <c r="V1338" s="31" t="s">
        <v>5604</v>
      </c>
      <c r="W1338" s="34"/>
    </row>
    <row r="1339">
      <c r="A1339" s="30">
        <v>1.334</v>
      </c>
      <c r="B1339" s="31" t="s">
        <v>5782</v>
      </c>
      <c r="C1339" s="31" t="s">
        <v>5783</v>
      </c>
      <c r="D1339" s="31" t="s">
        <v>472</v>
      </c>
      <c r="E1339" s="31" t="s">
        <v>4414</v>
      </c>
      <c r="F1339" s="32">
        <v>44407.0</v>
      </c>
      <c r="G1339" s="32">
        <v>44469.0</v>
      </c>
      <c r="H1339" s="31" t="s">
        <v>453</v>
      </c>
      <c r="I1339" s="31" t="s">
        <v>607</v>
      </c>
      <c r="J1339" s="31" t="s">
        <v>4415</v>
      </c>
      <c r="K1339" s="31" t="s">
        <v>4416</v>
      </c>
      <c r="L1339" s="31" t="s">
        <v>476</v>
      </c>
      <c r="M1339" s="31" t="s">
        <v>5784</v>
      </c>
      <c r="N1339" s="31" t="s">
        <v>467</v>
      </c>
      <c r="O1339" s="34"/>
      <c r="P1339" s="34"/>
      <c r="Q1339" s="31" t="s">
        <v>307</v>
      </c>
      <c r="R1339" s="32">
        <v>36257.0</v>
      </c>
      <c r="S1339" s="31" t="s">
        <v>490</v>
      </c>
      <c r="T1339" s="31" t="s">
        <v>496</v>
      </c>
      <c r="U1339" s="31" t="s">
        <v>643</v>
      </c>
      <c r="V1339" s="31" t="s">
        <v>4414</v>
      </c>
      <c r="W1339" s="34"/>
    </row>
    <row r="1340">
      <c r="A1340" s="30">
        <v>1.335</v>
      </c>
      <c r="B1340" s="31" t="s">
        <v>5785</v>
      </c>
      <c r="C1340" s="31" t="s">
        <v>5786</v>
      </c>
      <c r="D1340" s="31" t="s">
        <v>463</v>
      </c>
      <c r="E1340" s="31" t="s">
        <v>4991</v>
      </c>
      <c r="F1340" s="32">
        <v>41045.0</v>
      </c>
      <c r="G1340" s="32">
        <v>41106.0</v>
      </c>
      <c r="H1340" s="31" t="s">
        <v>453</v>
      </c>
      <c r="I1340" s="31" t="s">
        <v>454</v>
      </c>
      <c r="J1340" s="31" t="s">
        <v>3217</v>
      </c>
      <c r="K1340" s="31" t="s">
        <v>4992</v>
      </c>
      <c r="L1340" s="31" t="s">
        <v>465</v>
      </c>
      <c r="M1340" s="31" t="s">
        <v>5787</v>
      </c>
      <c r="N1340" s="31" t="s">
        <v>467</v>
      </c>
      <c r="O1340" s="31">
        <v>2.0</v>
      </c>
      <c r="P1340" s="34"/>
      <c r="Q1340" s="31" t="s">
        <v>307</v>
      </c>
      <c r="R1340" s="32">
        <v>32694.0</v>
      </c>
      <c r="S1340" s="31" t="s">
        <v>468</v>
      </c>
      <c r="T1340" s="31" t="s">
        <v>828</v>
      </c>
      <c r="U1340" s="31" t="s">
        <v>480</v>
      </c>
      <c r="V1340" s="31" t="s">
        <v>4991</v>
      </c>
      <c r="W1340" s="34"/>
    </row>
    <row r="1341">
      <c r="A1341" s="30">
        <v>1.336</v>
      </c>
      <c r="B1341" s="31" t="s">
        <v>5788</v>
      </c>
      <c r="C1341" s="31" t="s">
        <v>5789</v>
      </c>
      <c r="D1341" s="31" t="s">
        <v>472</v>
      </c>
      <c r="E1341" s="31" t="s">
        <v>3047</v>
      </c>
      <c r="F1341" s="32">
        <v>43678.0</v>
      </c>
      <c r="G1341" s="32">
        <v>43739.0</v>
      </c>
      <c r="H1341" s="31" t="s">
        <v>453</v>
      </c>
      <c r="I1341" s="31" t="s">
        <v>454</v>
      </c>
      <c r="J1341" s="31" t="s">
        <v>3048</v>
      </c>
      <c r="K1341" s="31" t="s">
        <v>3049</v>
      </c>
      <c r="L1341" s="31" t="s">
        <v>3050</v>
      </c>
      <c r="M1341" s="31" t="s">
        <v>5790</v>
      </c>
      <c r="N1341" s="31" t="s">
        <v>467</v>
      </c>
      <c r="O1341" s="34"/>
      <c r="P1341" s="34"/>
      <c r="Q1341" s="31" t="s">
        <v>307</v>
      </c>
      <c r="R1341" s="32">
        <v>35623.0</v>
      </c>
      <c r="S1341" s="31" t="s">
        <v>502</v>
      </c>
      <c r="T1341" s="31" t="s">
        <v>582</v>
      </c>
      <c r="U1341" s="31" t="s">
        <v>480</v>
      </c>
      <c r="V1341" s="31" t="s">
        <v>3047</v>
      </c>
      <c r="W1341" s="34"/>
    </row>
    <row r="1342">
      <c r="A1342" s="30">
        <v>1.337</v>
      </c>
      <c r="B1342" s="31" t="s">
        <v>5791</v>
      </c>
      <c r="C1342" s="31" t="s">
        <v>5792</v>
      </c>
      <c r="D1342" s="31" t="s">
        <v>472</v>
      </c>
      <c r="E1342" s="31" t="s">
        <v>4414</v>
      </c>
      <c r="F1342" s="32">
        <v>45180.0</v>
      </c>
      <c r="G1342" s="35">
        <v>45240.0</v>
      </c>
      <c r="H1342" s="31" t="s">
        <v>453</v>
      </c>
      <c r="I1342" s="31" t="s">
        <v>607</v>
      </c>
      <c r="J1342" s="31" t="s">
        <v>4415</v>
      </c>
      <c r="K1342" s="31" t="s">
        <v>4416</v>
      </c>
      <c r="L1342" s="31" t="s">
        <v>476</v>
      </c>
      <c r="M1342" s="31" t="s">
        <v>5793</v>
      </c>
      <c r="N1342" s="31" t="s">
        <v>467</v>
      </c>
      <c r="O1342" s="34"/>
      <c r="P1342" s="34"/>
      <c r="Q1342" s="31" t="s">
        <v>307</v>
      </c>
      <c r="R1342" s="32">
        <v>36266.0</v>
      </c>
      <c r="S1342" s="31" t="s">
        <v>560</v>
      </c>
      <c r="T1342" s="31" t="s">
        <v>5794</v>
      </c>
      <c r="U1342" s="31" t="s">
        <v>643</v>
      </c>
      <c r="V1342" s="31" t="s">
        <v>4414</v>
      </c>
      <c r="W1342" s="34"/>
    </row>
    <row r="1343">
      <c r="A1343" s="30">
        <v>1.338</v>
      </c>
      <c r="B1343" s="31" t="s">
        <v>5795</v>
      </c>
      <c r="C1343" s="31" t="s">
        <v>5796</v>
      </c>
      <c r="D1343" s="31" t="s">
        <v>553</v>
      </c>
      <c r="E1343" s="31" t="s">
        <v>5747</v>
      </c>
      <c r="F1343" s="32">
        <v>45159.0</v>
      </c>
      <c r="G1343" s="35">
        <v>45219.0</v>
      </c>
      <c r="H1343" s="31" t="s">
        <v>453</v>
      </c>
      <c r="I1343" s="31" t="s">
        <v>454</v>
      </c>
      <c r="J1343" s="31" t="s">
        <v>3041</v>
      </c>
      <c r="K1343" s="31" t="s">
        <v>5748</v>
      </c>
      <c r="L1343" s="31" t="s">
        <v>558</v>
      </c>
      <c r="M1343" s="31" t="s">
        <v>5797</v>
      </c>
      <c r="N1343" s="31" t="s">
        <v>267</v>
      </c>
      <c r="O1343" s="34"/>
      <c r="P1343" s="34"/>
      <c r="Q1343" s="31" t="s">
        <v>307</v>
      </c>
      <c r="R1343" s="32">
        <v>35548.0</v>
      </c>
      <c r="S1343" s="31" t="s">
        <v>804</v>
      </c>
      <c r="T1343" s="31" t="s">
        <v>786</v>
      </c>
      <c r="U1343" s="31" t="s">
        <v>480</v>
      </c>
      <c r="V1343" s="31" t="s">
        <v>5747</v>
      </c>
      <c r="W1343" s="34"/>
    </row>
    <row r="1344">
      <c r="A1344" s="30">
        <v>1.339</v>
      </c>
      <c r="B1344" s="31" t="s">
        <v>5798</v>
      </c>
      <c r="C1344" s="31" t="s">
        <v>5799</v>
      </c>
      <c r="D1344" s="31" t="s">
        <v>553</v>
      </c>
      <c r="E1344" s="31" t="s">
        <v>4414</v>
      </c>
      <c r="F1344" s="32">
        <v>45159.0</v>
      </c>
      <c r="G1344" s="35">
        <v>45219.0</v>
      </c>
      <c r="H1344" s="31" t="s">
        <v>453</v>
      </c>
      <c r="I1344" s="31" t="s">
        <v>607</v>
      </c>
      <c r="J1344" s="31" t="s">
        <v>4415</v>
      </c>
      <c r="K1344" s="31" t="s">
        <v>4416</v>
      </c>
      <c r="L1344" s="31" t="s">
        <v>558</v>
      </c>
      <c r="M1344" s="31" t="s">
        <v>5800</v>
      </c>
      <c r="N1344" s="31" t="s">
        <v>267</v>
      </c>
      <c r="O1344" s="34"/>
      <c r="P1344" s="34"/>
      <c r="Q1344" s="31" t="s">
        <v>307</v>
      </c>
      <c r="R1344" s="32">
        <v>33681.0</v>
      </c>
      <c r="S1344" s="31" t="s">
        <v>531</v>
      </c>
      <c r="T1344" s="31" t="s">
        <v>1127</v>
      </c>
      <c r="U1344" s="31" t="s">
        <v>643</v>
      </c>
      <c r="V1344" s="31" t="s">
        <v>4414</v>
      </c>
      <c r="W1344" s="34"/>
    </row>
    <row r="1345">
      <c r="A1345" s="30">
        <v>1.34</v>
      </c>
      <c r="B1345" s="31" t="s">
        <v>5801</v>
      </c>
      <c r="C1345" s="31" t="s">
        <v>5802</v>
      </c>
      <c r="D1345" s="31" t="s">
        <v>452</v>
      </c>
      <c r="E1345" s="31" t="s">
        <v>5387</v>
      </c>
      <c r="F1345" s="32">
        <v>45091.0</v>
      </c>
      <c r="G1345" s="32">
        <v>45151.0</v>
      </c>
      <c r="H1345" s="31" t="s">
        <v>453</v>
      </c>
      <c r="I1345" s="31" t="s">
        <v>2835</v>
      </c>
      <c r="J1345" s="31" t="s">
        <v>3564</v>
      </c>
      <c r="K1345" s="31" t="s">
        <v>5388</v>
      </c>
      <c r="L1345" s="31" t="s">
        <v>456</v>
      </c>
      <c r="M1345" s="31" t="s">
        <v>5803</v>
      </c>
      <c r="N1345" s="31" t="s">
        <v>467</v>
      </c>
      <c r="O1345" s="34"/>
      <c r="P1345" s="34"/>
      <c r="Q1345" s="31" t="s">
        <v>307</v>
      </c>
      <c r="R1345" s="32">
        <v>34808.0</v>
      </c>
      <c r="S1345" s="31" t="s">
        <v>5804</v>
      </c>
      <c r="T1345" s="31" t="s">
        <v>5805</v>
      </c>
      <c r="U1345" s="31" t="s">
        <v>480</v>
      </c>
      <c r="V1345" s="31" t="s">
        <v>5387</v>
      </c>
      <c r="W1345" s="34"/>
    </row>
    <row r="1346">
      <c r="A1346" s="30">
        <v>1.341</v>
      </c>
      <c r="B1346" s="31" t="s">
        <v>5806</v>
      </c>
      <c r="C1346" s="31" t="s">
        <v>5807</v>
      </c>
      <c r="D1346" s="31" t="s">
        <v>452</v>
      </c>
      <c r="E1346" s="31" t="s">
        <v>4764</v>
      </c>
      <c r="F1346" s="32">
        <v>45089.0</v>
      </c>
      <c r="G1346" s="32">
        <v>45149.0</v>
      </c>
      <c r="H1346" s="31" t="s">
        <v>453</v>
      </c>
      <c r="I1346" s="31" t="s">
        <v>47</v>
      </c>
      <c r="J1346" s="31" t="s">
        <v>4765</v>
      </c>
      <c r="K1346" s="31" t="s">
        <v>4766</v>
      </c>
      <c r="L1346" s="31" t="s">
        <v>456</v>
      </c>
      <c r="M1346" s="31" t="s">
        <v>5808</v>
      </c>
      <c r="N1346" s="31" t="s">
        <v>267</v>
      </c>
      <c r="O1346" s="34"/>
      <c r="P1346" s="34"/>
      <c r="Q1346" s="31" t="s">
        <v>307</v>
      </c>
      <c r="R1346" s="32">
        <v>33105.0</v>
      </c>
      <c r="S1346" s="31" t="s">
        <v>537</v>
      </c>
      <c r="T1346" s="31" t="s">
        <v>985</v>
      </c>
      <c r="U1346" s="31" t="s">
        <v>480</v>
      </c>
      <c r="V1346" s="31" t="s">
        <v>4764</v>
      </c>
      <c r="W1346" s="34"/>
    </row>
    <row r="1347">
      <c r="A1347" s="30">
        <v>1.342</v>
      </c>
      <c r="B1347" s="31" t="s">
        <v>5809</v>
      </c>
      <c r="C1347" s="31" t="s">
        <v>5810</v>
      </c>
      <c r="D1347" s="31" t="s">
        <v>553</v>
      </c>
      <c r="E1347" s="31" t="s">
        <v>3569</v>
      </c>
      <c r="F1347" s="32">
        <v>45082.0</v>
      </c>
      <c r="G1347" s="32">
        <v>45142.0</v>
      </c>
      <c r="H1347" s="31" t="s">
        <v>453</v>
      </c>
      <c r="I1347" s="31" t="s">
        <v>454</v>
      </c>
      <c r="J1347" s="31" t="s">
        <v>3569</v>
      </c>
      <c r="K1347" s="31" t="s">
        <v>3570</v>
      </c>
      <c r="L1347" s="31" t="s">
        <v>558</v>
      </c>
      <c r="M1347" s="31" t="s">
        <v>5811</v>
      </c>
      <c r="N1347" s="31" t="s">
        <v>267</v>
      </c>
      <c r="O1347" s="34"/>
      <c r="P1347" s="34"/>
      <c r="Q1347" s="31" t="s">
        <v>307</v>
      </c>
      <c r="R1347" s="32">
        <v>36622.0</v>
      </c>
      <c r="S1347" s="31" t="s">
        <v>468</v>
      </c>
      <c r="T1347" s="31" t="s">
        <v>5812</v>
      </c>
      <c r="U1347" s="31" t="s">
        <v>480</v>
      </c>
      <c r="V1347" s="34"/>
      <c r="W1347" s="34"/>
    </row>
    <row r="1348">
      <c r="A1348" s="30">
        <v>1.343</v>
      </c>
      <c r="B1348" s="31" t="s">
        <v>5813</v>
      </c>
      <c r="C1348" s="31" t="s">
        <v>5814</v>
      </c>
      <c r="D1348" s="31" t="s">
        <v>452</v>
      </c>
      <c r="E1348" s="31" t="s">
        <v>5118</v>
      </c>
      <c r="F1348" s="32">
        <v>45082.0</v>
      </c>
      <c r="G1348" s="32">
        <v>45142.0</v>
      </c>
      <c r="H1348" s="31" t="s">
        <v>453</v>
      </c>
      <c r="I1348" s="31" t="s">
        <v>454</v>
      </c>
      <c r="J1348" s="31" t="s">
        <v>4823</v>
      </c>
      <c r="K1348" s="31" t="s">
        <v>5119</v>
      </c>
      <c r="L1348" s="31" t="s">
        <v>456</v>
      </c>
      <c r="M1348" s="31" t="s">
        <v>5815</v>
      </c>
      <c r="N1348" s="31" t="s">
        <v>267</v>
      </c>
      <c r="O1348" s="34"/>
      <c r="P1348" s="34"/>
      <c r="Q1348" s="31" t="s">
        <v>307</v>
      </c>
      <c r="R1348" s="32">
        <v>36441.0</v>
      </c>
      <c r="S1348" s="31" t="s">
        <v>626</v>
      </c>
      <c r="T1348" s="31" t="s">
        <v>360</v>
      </c>
      <c r="U1348" s="31" t="s">
        <v>460</v>
      </c>
      <c r="V1348" s="31" t="s">
        <v>5118</v>
      </c>
      <c r="W1348" s="34"/>
    </row>
    <row r="1349">
      <c r="A1349" s="30">
        <v>1.344</v>
      </c>
      <c r="B1349" s="31" t="s">
        <v>5816</v>
      </c>
      <c r="C1349" s="31" t="s">
        <v>5817</v>
      </c>
      <c r="D1349" s="31" t="s">
        <v>615</v>
      </c>
      <c r="E1349" s="31" t="s">
        <v>3216</v>
      </c>
      <c r="F1349" s="32">
        <v>45078.0</v>
      </c>
      <c r="G1349" s="32">
        <v>45138.0</v>
      </c>
      <c r="H1349" s="31" t="s">
        <v>453</v>
      </c>
      <c r="I1349" s="31" t="s">
        <v>454</v>
      </c>
      <c r="J1349" s="31" t="s">
        <v>3217</v>
      </c>
      <c r="K1349" s="31" t="s">
        <v>3218</v>
      </c>
      <c r="L1349" s="31" t="s">
        <v>618</v>
      </c>
      <c r="M1349" s="31" t="s">
        <v>5818</v>
      </c>
      <c r="N1349" s="31" t="s">
        <v>467</v>
      </c>
      <c r="O1349" s="34"/>
      <c r="P1349" s="34"/>
      <c r="Q1349" s="31" t="s">
        <v>307</v>
      </c>
      <c r="R1349" s="32">
        <v>35466.0</v>
      </c>
      <c r="S1349" s="31" t="s">
        <v>4976</v>
      </c>
      <c r="T1349" s="31" t="s">
        <v>5819</v>
      </c>
      <c r="U1349" s="31" t="s">
        <v>480</v>
      </c>
      <c r="V1349" s="31" t="s">
        <v>3216</v>
      </c>
      <c r="W1349" s="34"/>
    </row>
    <row r="1350">
      <c r="A1350" s="30">
        <v>1.345</v>
      </c>
      <c r="B1350" s="31" t="s">
        <v>5820</v>
      </c>
      <c r="C1350" s="31" t="s">
        <v>5821</v>
      </c>
      <c r="D1350" s="31" t="s">
        <v>472</v>
      </c>
      <c r="E1350" s="31" t="s">
        <v>2893</v>
      </c>
      <c r="F1350" s="32">
        <v>45078.0</v>
      </c>
      <c r="G1350" s="32">
        <v>45138.0</v>
      </c>
      <c r="H1350" s="31" t="s">
        <v>453</v>
      </c>
      <c r="I1350" s="31" t="s">
        <v>566</v>
      </c>
      <c r="J1350" s="31" t="s">
        <v>2888</v>
      </c>
      <c r="K1350" s="31" t="s">
        <v>2894</v>
      </c>
      <c r="L1350" s="31" t="s">
        <v>476</v>
      </c>
      <c r="M1350" s="31" t="s">
        <v>5822</v>
      </c>
      <c r="N1350" s="31" t="s">
        <v>467</v>
      </c>
      <c r="O1350" s="34"/>
      <c r="P1350" s="34"/>
      <c r="Q1350" s="31" t="s">
        <v>307</v>
      </c>
      <c r="R1350" s="32">
        <v>37226.0</v>
      </c>
      <c r="S1350" s="31" t="s">
        <v>560</v>
      </c>
      <c r="T1350" s="31" t="s">
        <v>3778</v>
      </c>
      <c r="U1350" s="31" t="s">
        <v>480</v>
      </c>
      <c r="V1350" s="31" t="s">
        <v>2893</v>
      </c>
      <c r="W1350" s="34"/>
    </row>
    <row r="1351">
      <c r="A1351" s="30">
        <v>1.346</v>
      </c>
      <c r="B1351" s="31" t="s">
        <v>5823</v>
      </c>
      <c r="C1351" s="31" t="s">
        <v>5824</v>
      </c>
      <c r="D1351" s="31" t="s">
        <v>472</v>
      </c>
      <c r="E1351" s="31" t="s">
        <v>3419</v>
      </c>
      <c r="F1351" s="32">
        <v>45072.0</v>
      </c>
      <c r="G1351" s="32">
        <v>45133.0</v>
      </c>
      <c r="H1351" s="31" t="s">
        <v>453</v>
      </c>
      <c r="I1351" s="31" t="s">
        <v>454</v>
      </c>
      <c r="J1351" s="31" t="s">
        <v>3188</v>
      </c>
      <c r="K1351" s="31" t="s">
        <v>3420</v>
      </c>
      <c r="L1351" s="31" t="s">
        <v>476</v>
      </c>
      <c r="M1351" s="31" t="s">
        <v>5825</v>
      </c>
      <c r="N1351" s="31" t="s">
        <v>467</v>
      </c>
      <c r="O1351" s="34"/>
      <c r="P1351" s="34"/>
      <c r="Q1351" s="31" t="s">
        <v>307</v>
      </c>
      <c r="R1351" s="32">
        <v>37121.0</v>
      </c>
      <c r="S1351" s="31" t="s">
        <v>1622</v>
      </c>
      <c r="T1351" s="31" t="s">
        <v>503</v>
      </c>
      <c r="U1351" s="31" t="s">
        <v>460</v>
      </c>
      <c r="V1351" s="31" t="s">
        <v>3419</v>
      </c>
      <c r="W1351" s="34"/>
    </row>
    <row r="1352">
      <c r="A1352" s="30">
        <v>1.347</v>
      </c>
      <c r="B1352" s="31" t="s">
        <v>5826</v>
      </c>
      <c r="C1352" s="31" t="s">
        <v>5827</v>
      </c>
      <c r="D1352" s="31" t="s">
        <v>472</v>
      </c>
      <c r="E1352" s="31" t="s">
        <v>4983</v>
      </c>
      <c r="F1352" s="32">
        <v>45072.0</v>
      </c>
      <c r="G1352" s="32">
        <v>45133.0</v>
      </c>
      <c r="H1352" s="31" t="s">
        <v>453</v>
      </c>
      <c r="I1352" s="31" t="s">
        <v>4330</v>
      </c>
      <c r="J1352" s="31" t="s">
        <v>4331</v>
      </c>
      <c r="K1352" s="31" t="s">
        <v>4984</v>
      </c>
      <c r="L1352" s="31" t="s">
        <v>476</v>
      </c>
      <c r="M1352" s="31" t="s">
        <v>5828</v>
      </c>
      <c r="N1352" s="31" t="s">
        <v>467</v>
      </c>
      <c r="O1352" s="34"/>
      <c r="P1352" s="34"/>
      <c r="Q1352" s="31" t="s">
        <v>307</v>
      </c>
      <c r="R1352" s="32">
        <v>36924.0</v>
      </c>
      <c r="S1352" s="31" t="s">
        <v>1622</v>
      </c>
      <c r="T1352" s="31" t="s">
        <v>4440</v>
      </c>
      <c r="U1352" s="31" t="s">
        <v>460</v>
      </c>
      <c r="V1352" s="31" t="s">
        <v>4983</v>
      </c>
      <c r="W1352" s="34"/>
    </row>
    <row r="1353">
      <c r="A1353" s="30">
        <v>1.348</v>
      </c>
      <c r="B1353" s="31" t="s">
        <v>5829</v>
      </c>
      <c r="C1353" s="31" t="s">
        <v>5830</v>
      </c>
      <c r="D1353" s="31" t="s">
        <v>472</v>
      </c>
      <c r="E1353" s="31" t="s">
        <v>4822</v>
      </c>
      <c r="F1353" s="32">
        <v>45072.0</v>
      </c>
      <c r="G1353" s="32">
        <v>45133.0</v>
      </c>
      <c r="H1353" s="31" t="s">
        <v>453</v>
      </c>
      <c r="I1353" s="31" t="s">
        <v>454</v>
      </c>
      <c r="J1353" s="31" t="s">
        <v>4823</v>
      </c>
      <c r="K1353" s="31" t="s">
        <v>4824</v>
      </c>
      <c r="L1353" s="31" t="s">
        <v>476</v>
      </c>
      <c r="M1353" s="31" t="s">
        <v>5831</v>
      </c>
      <c r="N1353" s="31" t="s">
        <v>467</v>
      </c>
      <c r="O1353" s="34"/>
      <c r="P1353" s="34"/>
      <c r="Q1353" s="31" t="s">
        <v>307</v>
      </c>
      <c r="R1353" s="32">
        <v>37131.0</v>
      </c>
      <c r="S1353" s="31" t="s">
        <v>3205</v>
      </c>
      <c r="T1353" s="31" t="s">
        <v>2685</v>
      </c>
      <c r="U1353" s="31" t="s">
        <v>460</v>
      </c>
      <c r="V1353" s="31" t="s">
        <v>4822</v>
      </c>
      <c r="W1353" s="34"/>
    </row>
    <row r="1354">
      <c r="A1354" s="30">
        <v>1.349</v>
      </c>
      <c r="B1354" s="31" t="s">
        <v>5832</v>
      </c>
      <c r="C1354" s="31" t="s">
        <v>5833</v>
      </c>
      <c r="D1354" s="31" t="s">
        <v>472</v>
      </c>
      <c r="E1354" s="31" t="s">
        <v>2696</v>
      </c>
      <c r="F1354" s="32">
        <v>45072.0</v>
      </c>
      <c r="G1354" s="32">
        <v>45133.0</v>
      </c>
      <c r="H1354" s="31" t="s">
        <v>453</v>
      </c>
      <c r="I1354" s="31" t="s">
        <v>607</v>
      </c>
      <c r="J1354" s="31" t="s">
        <v>2697</v>
      </c>
      <c r="K1354" s="31" t="s">
        <v>2698</v>
      </c>
      <c r="L1354" s="31" t="s">
        <v>476</v>
      </c>
      <c r="M1354" s="31" t="s">
        <v>5834</v>
      </c>
      <c r="N1354" s="31" t="s">
        <v>467</v>
      </c>
      <c r="O1354" s="34"/>
      <c r="P1354" s="34"/>
      <c r="Q1354" s="31" t="s">
        <v>307</v>
      </c>
      <c r="R1354" s="35">
        <v>36825.0</v>
      </c>
      <c r="S1354" s="31" t="s">
        <v>4498</v>
      </c>
      <c r="T1354" s="31" t="s">
        <v>5835</v>
      </c>
      <c r="U1354" s="31" t="s">
        <v>643</v>
      </c>
      <c r="V1354" s="31" t="s">
        <v>2696</v>
      </c>
      <c r="W1354" s="34"/>
    </row>
    <row r="1355">
      <c r="A1355" s="30">
        <v>1.35</v>
      </c>
      <c r="B1355" s="31" t="s">
        <v>5836</v>
      </c>
      <c r="C1355" s="31" t="s">
        <v>5837</v>
      </c>
      <c r="D1355" s="31" t="s">
        <v>472</v>
      </c>
      <c r="E1355" s="31" t="s">
        <v>2696</v>
      </c>
      <c r="F1355" s="32">
        <v>45072.0</v>
      </c>
      <c r="G1355" s="32">
        <v>45133.0</v>
      </c>
      <c r="H1355" s="31" t="s">
        <v>453</v>
      </c>
      <c r="I1355" s="31" t="s">
        <v>607</v>
      </c>
      <c r="J1355" s="31" t="s">
        <v>2697</v>
      </c>
      <c r="K1355" s="31" t="s">
        <v>2698</v>
      </c>
      <c r="L1355" s="31" t="s">
        <v>476</v>
      </c>
      <c r="M1355" s="31" t="s">
        <v>5838</v>
      </c>
      <c r="N1355" s="31" t="s">
        <v>467</v>
      </c>
      <c r="O1355" s="34"/>
      <c r="P1355" s="34"/>
      <c r="Q1355" s="31" t="s">
        <v>307</v>
      </c>
      <c r="R1355" s="32">
        <v>37045.0</v>
      </c>
      <c r="S1355" s="31" t="s">
        <v>468</v>
      </c>
      <c r="T1355" s="31" t="s">
        <v>3778</v>
      </c>
      <c r="U1355" s="31" t="s">
        <v>643</v>
      </c>
      <c r="V1355" s="31" t="s">
        <v>2696</v>
      </c>
      <c r="W1355" s="34"/>
    </row>
    <row r="1356">
      <c r="A1356" s="30">
        <v>1.351</v>
      </c>
      <c r="B1356" s="31" t="s">
        <v>5839</v>
      </c>
      <c r="C1356" s="31" t="s">
        <v>5840</v>
      </c>
      <c r="D1356" s="31" t="s">
        <v>472</v>
      </c>
      <c r="E1356" s="31" t="s">
        <v>4379</v>
      </c>
      <c r="F1356" s="32">
        <v>45072.0</v>
      </c>
      <c r="G1356" s="32">
        <v>45133.0</v>
      </c>
      <c r="H1356" s="31" t="s">
        <v>453</v>
      </c>
      <c r="I1356" s="31" t="s">
        <v>607</v>
      </c>
      <c r="J1356" s="31" t="s">
        <v>4380</v>
      </c>
      <c r="K1356" s="31" t="s">
        <v>4381</v>
      </c>
      <c r="L1356" s="31" t="s">
        <v>476</v>
      </c>
      <c r="M1356" s="31" t="s">
        <v>5841</v>
      </c>
      <c r="N1356" s="31" t="s">
        <v>467</v>
      </c>
      <c r="O1356" s="34"/>
      <c r="P1356" s="34"/>
      <c r="Q1356" s="31" t="s">
        <v>307</v>
      </c>
      <c r="R1356" s="32">
        <v>36901.0</v>
      </c>
      <c r="S1356" s="31" t="s">
        <v>560</v>
      </c>
      <c r="T1356" s="31" t="s">
        <v>491</v>
      </c>
      <c r="U1356" s="31" t="s">
        <v>643</v>
      </c>
      <c r="V1356" s="31" t="s">
        <v>4379</v>
      </c>
      <c r="W1356" s="34"/>
    </row>
    <row r="1357">
      <c r="A1357" s="30">
        <v>1.352</v>
      </c>
      <c r="B1357" s="31" t="s">
        <v>5842</v>
      </c>
      <c r="C1357" s="31" t="s">
        <v>5843</v>
      </c>
      <c r="D1357" s="31" t="s">
        <v>472</v>
      </c>
      <c r="E1357" s="31" t="s">
        <v>2696</v>
      </c>
      <c r="F1357" s="32">
        <v>45072.0</v>
      </c>
      <c r="G1357" s="32">
        <v>45133.0</v>
      </c>
      <c r="H1357" s="31" t="s">
        <v>453</v>
      </c>
      <c r="I1357" s="31" t="s">
        <v>607</v>
      </c>
      <c r="J1357" s="31" t="s">
        <v>2697</v>
      </c>
      <c r="K1357" s="31" t="s">
        <v>2698</v>
      </c>
      <c r="L1357" s="31" t="s">
        <v>476</v>
      </c>
      <c r="M1357" s="31" t="s">
        <v>5844</v>
      </c>
      <c r="N1357" s="31" t="s">
        <v>467</v>
      </c>
      <c r="O1357" s="34"/>
      <c r="P1357" s="34"/>
      <c r="Q1357" s="31" t="s">
        <v>307</v>
      </c>
      <c r="R1357" s="32">
        <v>36969.0</v>
      </c>
      <c r="S1357" s="31" t="s">
        <v>560</v>
      </c>
      <c r="T1357" s="31" t="s">
        <v>491</v>
      </c>
      <c r="U1357" s="31" t="s">
        <v>643</v>
      </c>
      <c r="V1357" s="31" t="s">
        <v>2696</v>
      </c>
      <c r="W1357" s="34"/>
    </row>
    <row r="1358">
      <c r="A1358" s="30">
        <v>1.353</v>
      </c>
      <c r="B1358" s="31" t="s">
        <v>5845</v>
      </c>
      <c r="C1358" s="31" t="s">
        <v>5846</v>
      </c>
      <c r="D1358" s="31" t="s">
        <v>472</v>
      </c>
      <c r="E1358" s="31" t="s">
        <v>4379</v>
      </c>
      <c r="F1358" s="32">
        <v>45072.0</v>
      </c>
      <c r="G1358" s="32">
        <v>45133.0</v>
      </c>
      <c r="H1358" s="31" t="s">
        <v>453</v>
      </c>
      <c r="I1358" s="31" t="s">
        <v>607</v>
      </c>
      <c r="J1358" s="31" t="s">
        <v>4380</v>
      </c>
      <c r="K1358" s="31" t="s">
        <v>4381</v>
      </c>
      <c r="L1358" s="31" t="s">
        <v>476</v>
      </c>
      <c r="M1358" s="31" t="s">
        <v>5847</v>
      </c>
      <c r="N1358" s="31" t="s">
        <v>267</v>
      </c>
      <c r="O1358" s="34"/>
      <c r="P1358" s="34"/>
      <c r="Q1358" s="31" t="s">
        <v>307</v>
      </c>
      <c r="R1358" s="32">
        <v>37015.0</v>
      </c>
      <c r="S1358" s="31" t="s">
        <v>560</v>
      </c>
      <c r="T1358" s="31" t="s">
        <v>3155</v>
      </c>
      <c r="U1358" s="31" t="s">
        <v>643</v>
      </c>
      <c r="V1358" s="31" t="s">
        <v>4379</v>
      </c>
      <c r="W1358" s="34"/>
    </row>
    <row r="1359">
      <c r="A1359" s="30">
        <v>1.354</v>
      </c>
      <c r="B1359" s="31" t="s">
        <v>5848</v>
      </c>
      <c r="C1359" s="31" t="s">
        <v>5849</v>
      </c>
      <c r="D1359" s="31" t="s">
        <v>472</v>
      </c>
      <c r="E1359" s="31" t="s">
        <v>3563</v>
      </c>
      <c r="F1359" s="32">
        <v>45068.0</v>
      </c>
      <c r="G1359" s="32">
        <v>45129.0</v>
      </c>
      <c r="H1359" s="31" t="s">
        <v>453</v>
      </c>
      <c r="I1359" s="31" t="s">
        <v>2835</v>
      </c>
      <c r="J1359" s="31" t="s">
        <v>3564</v>
      </c>
      <c r="K1359" s="31" t="s">
        <v>3565</v>
      </c>
      <c r="L1359" s="31" t="s">
        <v>476</v>
      </c>
      <c r="M1359" s="31" t="s">
        <v>5850</v>
      </c>
      <c r="N1359" s="31" t="s">
        <v>467</v>
      </c>
      <c r="O1359" s="34"/>
      <c r="P1359" s="34"/>
      <c r="Q1359" s="31" t="s">
        <v>307</v>
      </c>
      <c r="R1359" s="35">
        <v>37174.0</v>
      </c>
      <c r="S1359" s="31" t="s">
        <v>1622</v>
      </c>
      <c r="T1359" s="31" t="s">
        <v>4440</v>
      </c>
      <c r="U1359" s="31" t="s">
        <v>480</v>
      </c>
      <c r="V1359" s="31" t="s">
        <v>3563</v>
      </c>
      <c r="W1359" s="34"/>
    </row>
    <row r="1360">
      <c r="A1360" s="30">
        <v>1.355</v>
      </c>
      <c r="B1360" s="31" t="s">
        <v>5851</v>
      </c>
      <c r="C1360" s="31" t="s">
        <v>5852</v>
      </c>
      <c r="D1360" s="31" t="s">
        <v>472</v>
      </c>
      <c r="E1360" s="31" t="s">
        <v>4822</v>
      </c>
      <c r="F1360" s="32">
        <v>45068.0</v>
      </c>
      <c r="G1360" s="32">
        <v>45129.0</v>
      </c>
      <c r="H1360" s="31" t="s">
        <v>453</v>
      </c>
      <c r="I1360" s="31" t="s">
        <v>454</v>
      </c>
      <c r="J1360" s="31" t="s">
        <v>4823</v>
      </c>
      <c r="K1360" s="31" t="s">
        <v>4824</v>
      </c>
      <c r="L1360" s="31" t="s">
        <v>476</v>
      </c>
      <c r="M1360" s="31" t="s">
        <v>5853</v>
      </c>
      <c r="N1360" s="31" t="s">
        <v>467</v>
      </c>
      <c r="O1360" s="34"/>
      <c r="P1360" s="34"/>
      <c r="Q1360" s="31" t="s">
        <v>307</v>
      </c>
      <c r="R1360" s="32">
        <v>37052.0</v>
      </c>
      <c r="S1360" s="31" t="s">
        <v>3205</v>
      </c>
      <c r="T1360" s="31" t="s">
        <v>1511</v>
      </c>
      <c r="U1360" s="31" t="s">
        <v>460</v>
      </c>
      <c r="V1360" s="31" t="s">
        <v>4822</v>
      </c>
      <c r="W1360" s="34"/>
    </row>
    <row r="1361">
      <c r="A1361" s="30">
        <v>1.356</v>
      </c>
      <c r="B1361" s="31" t="s">
        <v>5854</v>
      </c>
      <c r="C1361" s="31" t="s">
        <v>5855</v>
      </c>
      <c r="D1361" s="31" t="s">
        <v>472</v>
      </c>
      <c r="E1361" s="31" t="s">
        <v>5106</v>
      </c>
      <c r="F1361" s="32">
        <v>45064.0</v>
      </c>
      <c r="G1361" s="32">
        <v>45125.0</v>
      </c>
      <c r="H1361" s="31" t="s">
        <v>453</v>
      </c>
      <c r="I1361" s="31" t="s">
        <v>454</v>
      </c>
      <c r="J1361" s="31" t="s">
        <v>5107</v>
      </c>
      <c r="K1361" s="31" t="s">
        <v>5108</v>
      </c>
      <c r="L1361" s="31" t="s">
        <v>476</v>
      </c>
      <c r="M1361" s="31" t="s">
        <v>5856</v>
      </c>
      <c r="N1361" s="31" t="s">
        <v>467</v>
      </c>
      <c r="O1361" s="34"/>
      <c r="P1361" s="34"/>
      <c r="Q1361" s="31" t="s">
        <v>307</v>
      </c>
      <c r="R1361" s="32">
        <v>36983.0</v>
      </c>
      <c r="S1361" s="31" t="s">
        <v>560</v>
      </c>
      <c r="T1361" s="31" t="s">
        <v>4440</v>
      </c>
      <c r="U1361" s="31" t="s">
        <v>480</v>
      </c>
      <c r="V1361" s="31" t="s">
        <v>5106</v>
      </c>
      <c r="W1361" s="34"/>
    </row>
    <row r="1362">
      <c r="A1362" s="30">
        <v>1.357</v>
      </c>
      <c r="B1362" s="31" t="s">
        <v>5857</v>
      </c>
      <c r="C1362" s="31" t="s">
        <v>5858</v>
      </c>
      <c r="D1362" s="31" t="s">
        <v>499</v>
      </c>
      <c r="E1362" s="31" t="s">
        <v>637</v>
      </c>
      <c r="F1362" s="32">
        <v>45064.0</v>
      </c>
      <c r="G1362" s="32">
        <v>45125.0</v>
      </c>
      <c r="H1362" s="31" t="s">
        <v>453</v>
      </c>
      <c r="I1362" s="31" t="s">
        <v>52</v>
      </c>
      <c r="J1362" s="31" t="s">
        <v>638</v>
      </c>
      <c r="K1362" s="31" t="s">
        <v>639</v>
      </c>
      <c r="L1362" s="31" t="s">
        <v>500</v>
      </c>
      <c r="M1362" s="31" t="s">
        <v>5859</v>
      </c>
      <c r="N1362" s="31" t="s">
        <v>467</v>
      </c>
      <c r="O1362" s="31">
        <v>1.0</v>
      </c>
      <c r="P1362" s="34"/>
      <c r="Q1362" s="31" t="s">
        <v>307</v>
      </c>
      <c r="R1362" s="32">
        <v>33348.0</v>
      </c>
      <c r="S1362" s="31" t="s">
        <v>560</v>
      </c>
      <c r="T1362" s="31" t="s">
        <v>496</v>
      </c>
      <c r="U1362" s="31" t="s">
        <v>643</v>
      </c>
      <c r="V1362" s="31" t="s">
        <v>637</v>
      </c>
      <c r="W1362" s="34"/>
    </row>
    <row r="1363">
      <c r="A1363" s="30">
        <v>1.358</v>
      </c>
      <c r="B1363" s="31" t="s">
        <v>5860</v>
      </c>
      <c r="C1363" s="31" t="s">
        <v>3901</v>
      </c>
      <c r="D1363" s="31" t="s">
        <v>472</v>
      </c>
      <c r="E1363" s="31" t="s">
        <v>606</v>
      </c>
      <c r="F1363" s="32">
        <v>45050.0</v>
      </c>
      <c r="G1363" s="32">
        <v>45111.0</v>
      </c>
      <c r="H1363" s="31" t="s">
        <v>453</v>
      </c>
      <c r="I1363" s="31" t="s">
        <v>607</v>
      </c>
      <c r="J1363" s="31" t="s">
        <v>608</v>
      </c>
      <c r="K1363" s="31" t="s">
        <v>609</v>
      </c>
      <c r="L1363" s="31" t="s">
        <v>476</v>
      </c>
      <c r="M1363" s="31" t="s">
        <v>5861</v>
      </c>
      <c r="N1363" s="31" t="s">
        <v>267</v>
      </c>
      <c r="O1363" s="34"/>
      <c r="P1363" s="34"/>
      <c r="Q1363" s="31" t="s">
        <v>307</v>
      </c>
      <c r="R1363" s="35">
        <v>36517.0</v>
      </c>
      <c r="S1363" s="31" t="s">
        <v>560</v>
      </c>
      <c r="T1363" s="31" t="s">
        <v>1127</v>
      </c>
      <c r="U1363" s="31" t="s">
        <v>480</v>
      </c>
      <c r="V1363" s="31" t="s">
        <v>606</v>
      </c>
      <c r="W1363" s="34"/>
    </row>
    <row r="1364">
      <c r="A1364" s="30">
        <v>1.359</v>
      </c>
      <c r="B1364" s="31" t="s">
        <v>5862</v>
      </c>
      <c r="C1364" s="31" t="s">
        <v>5863</v>
      </c>
      <c r="D1364" s="31" t="s">
        <v>472</v>
      </c>
      <c r="E1364" s="31" t="s">
        <v>4611</v>
      </c>
      <c r="F1364" s="32">
        <v>45050.0</v>
      </c>
      <c r="G1364" s="32">
        <v>45111.0</v>
      </c>
      <c r="H1364" s="31" t="s">
        <v>453</v>
      </c>
      <c r="I1364" s="31" t="s">
        <v>2835</v>
      </c>
      <c r="J1364" s="31" t="s">
        <v>4612</v>
      </c>
      <c r="K1364" s="31" t="s">
        <v>4613</v>
      </c>
      <c r="L1364" s="31" t="s">
        <v>3050</v>
      </c>
      <c r="M1364" s="31" t="s">
        <v>5864</v>
      </c>
      <c r="N1364" s="31" t="s">
        <v>467</v>
      </c>
      <c r="O1364" s="34"/>
      <c r="P1364" s="34"/>
      <c r="Q1364" s="31" t="s">
        <v>307</v>
      </c>
      <c r="R1364" s="32">
        <v>35323.0</v>
      </c>
      <c r="S1364" s="31" t="s">
        <v>5865</v>
      </c>
      <c r="T1364" s="31" t="s">
        <v>496</v>
      </c>
      <c r="U1364" s="31" t="s">
        <v>480</v>
      </c>
      <c r="V1364" s="31" t="s">
        <v>4611</v>
      </c>
      <c r="W1364" s="34"/>
    </row>
    <row r="1365">
      <c r="A1365" s="30">
        <v>1.36</v>
      </c>
      <c r="B1365" s="31" t="s">
        <v>5866</v>
      </c>
      <c r="C1365" s="31" t="s">
        <v>1953</v>
      </c>
      <c r="D1365" s="31" t="s">
        <v>553</v>
      </c>
      <c r="E1365" s="31" t="s">
        <v>2675</v>
      </c>
      <c r="F1365" s="32">
        <v>45040.0</v>
      </c>
      <c r="G1365" s="32">
        <v>45101.0</v>
      </c>
      <c r="H1365" s="31" t="s">
        <v>453</v>
      </c>
      <c r="I1365" s="31" t="s">
        <v>454</v>
      </c>
      <c r="J1365" s="31" t="s">
        <v>2676</v>
      </c>
      <c r="K1365" s="31" t="s">
        <v>2677</v>
      </c>
      <c r="L1365" s="31" t="s">
        <v>558</v>
      </c>
      <c r="M1365" s="31" t="s">
        <v>5867</v>
      </c>
      <c r="N1365" s="31" t="s">
        <v>267</v>
      </c>
      <c r="O1365" s="34"/>
      <c r="P1365" s="34"/>
      <c r="Q1365" s="31" t="s">
        <v>307</v>
      </c>
      <c r="R1365" s="35">
        <v>36850.0</v>
      </c>
      <c r="S1365" s="31" t="s">
        <v>5868</v>
      </c>
      <c r="T1365" s="31" t="s">
        <v>503</v>
      </c>
      <c r="U1365" s="31" t="s">
        <v>480</v>
      </c>
      <c r="V1365" s="31" t="s">
        <v>2675</v>
      </c>
      <c r="W1365" s="34"/>
    </row>
    <row r="1366">
      <c r="A1366" s="30">
        <v>1.361</v>
      </c>
      <c r="B1366" s="31" t="s">
        <v>5869</v>
      </c>
      <c r="C1366" s="31" t="s">
        <v>5870</v>
      </c>
      <c r="D1366" s="31" t="s">
        <v>472</v>
      </c>
      <c r="E1366" s="31" t="s">
        <v>4822</v>
      </c>
      <c r="F1366" s="32">
        <v>45035.0</v>
      </c>
      <c r="G1366" s="32">
        <v>45096.0</v>
      </c>
      <c r="H1366" s="31" t="s">
        <v>453</v>
      </c>
      <c r="I1366" s="31" t="s">
        <v>454</v>
      </c>
      <c r="J1366" s="31" t="s">
        <v>4823</v>
      </c>
      <c r="K1366" s="31" t="s">
        <v>4824</v>
      </c>
      <c r="L1366" s="31" t="s">
        <v>476</v>
      </c>
      <c r="M1366" s="31" t="s">
        <v>5871</v>
      </c>
      <c r="N1366" s="31" t="s">
        <v>467</v>
      </c>
      <c r="O1366" s="34"/>
      <c r="P1366" s="34"/>
      <c r="Q1366" s="31" t="s">
        <v>307</v>
      </c>
      <c r="R1366" s="32">
        <v>37171.0</v>
      </c>
      <c r="S1366" s="31" t="s">
        <v>490</v>
      </c>
      <c r="T1366" s="31" t="s">
        <v>503</v>
      </c>
      <c r="U1366" s="31" t="s">
        <v>460</v>
      </c>
      <c r="V1366" s="31" t="s">
        <v>4822</v>
      </c>
      <c r="W1366" s="34"/>
    </row>
    <row r="1367">
      <c r="A1367" s="30">
        <v>1.362</v>
      </c>
      <c r="B1367" s="31" t="s">
        <v>5872</v>
      </c>
      <c r="C1367" s="31" t="s">
        <v>5873</v>
      </c>
      <c r="D1367" s="31" t="s">
        <v>472</v>
      </c>
      <c r="E1367" s="31" t="s">
        <v>3419</v>
      </c>
      <c r="F1367" s="32">
        <v>45035.0</v>
      </c>
      <c r="G1367" s="32">
        <v>45096.0</v>
      </c>
      <c r="H1367" s="31" t="s">
        <v>453</v>
      </c>
      <c r="I1367" s="31" t="s">
        <v>454</v>
      </c>
      <c r="J1367" s="31" t="s">
        <v>3188</v>
      </c>
      <c r="K1367" s="31" t="s">
        <v>3420</v>
      </c>
      <c r="L1367" s="31" t="s">
        <v>476</v>
      </c>
      <c r="M1367" s="31" t="s">
        <v>5874</v>
      </c>
      <c r="N1367" s="31" t="s">
        <v>467</v>
      </c>
      <c r="O1367" s="34"/>
      <c r="P1367" s="34"/>
      <c r="Q1367" s="31" t="s">
        <v>307</v>
      </c>
      <c r="R1367" s="32">
        <v>36973.0</v>
      </c>
      <c r="S1367" s="31" t="s">
        <v>468</v>
      </c>
      <c r="T1367" s="31" t="s">
        <v>5875</v>
      </c>
      <c r="U1367" s="31" t="s">
        <v>460</v>
      </c>
      <c r="V1367" s="31" t="s">
        <v>3419</v>
      </c>
      <c r="W1367" s="34"/>
    </row>
    <row r="1368">
      <c r="A1368" s="30">
        <v>1.363</v>
      </c>
      <c r="B1368" s="31" t="s">
        <v>5876</v>
      </c>
      <c r="C1368" s="31" t="s">
        <v>2826</v>
      </c>
      <c r="D1368" s="31" t="s">
        <v>472</v>
      </c>
      <c r="E1368" s="31" t="s">
        <v>4822</v>
      </c>
      <c r="F1368" s="32">
        <v>45028.0</v>
      </c>
      <c r="G1368" s="32">
        <v>45089.0</v>
      </c>
      <c r="H1368" s="31" t="s">
        <v>453</v>
      </c>
      <c r="I1368" s="31" t="s">
        <v>454</v>
      </c>
      <c r="J1368" s="31" t="s">
        <v>4823</v>
      </c>
      <c r="K1368" s="31" t="s">
        <v>4824</v>
      </c>
      <c r="L1368" s="31" t="s">
        <v>476</v>
      </c>
      <c r="M1368" s="31" t="s">
        <v>5877</v>
      </c>
      <c r="N1368" s="31" t="s">
        <v>467</v>
      </c>
      <c r="O1368" s="34"/>
      <c r="P1368" s="34"/>
      <c r="Q1368" s="31" t="s">
        <v>307</v>
      </c>
      <c r="R1368" s="32">
        <v>37115.0</v>
      </c>
      <c r="S1368" s="31" t="s">
        <v>560</v>
      </c>
      <c r="T1368" s="31" t="s">
        <v>503</v>
      </c>
      <c r="U1368" s="31" t="s">
        <v>460</v>
      </c>
      <c r="V1368" s="31" t="s">
        <v>4822</v>
      </c>
      <c r="W1368" s="34"/>
    </row>
    <row r="1369">
      <c r="A1369" s="30">
        <v>1.364</v>
      </c>
      <c r="B1369" s="31" t="s">
        <v>5878</v>
      </c>
      <c r="C1369" s="31" t="s">
        <v>5879</v>
      </c>
      <c r="D1369" s="31" t="s">
        <v>472</v>
      </c>
      <c r="E1369" s="31" t="s">
        <v>3419</v>
      </c>
      <c r="F1369" s="32">
        <v>45028.0</v>
      </c>
      <c r="G1369" s="32">
        <v>45089.0</v>
      </c>
      <c r="H1369" s="31" t="s">
        <v>453</v>
      </c>
      <c r="I1369" s="31" t="s">
        <v>454</v>
      </c>
      <c r="J1369" s="31" t="s">
        <v>3188</v>
      </c>
      <c r="K1369" s="31" t="s">
        <v>3420</v>
      </c>
      <c r="L1369" s="31" t="s">
        <v>476</v>
      </c>
      <c r="M1369" s="31" t="s">
        <v>5880</v>
      </c>
      <c r="N1369" s="31" t="s">
        <v>467</v>
      </c>
      <c r="O1369" s="34"/>
      <c r="P1369" s="34"/>
      <c r="Q1369" s="31" t="s">
        <v>307</v>
      </c>
      <c r="R1369" s="32">
        <v>36899.0</v>
      </c>
      <c r="S1369" s="31" t="s">
        <v>560</v>
      </c>
      <c r="T1369" s="31" t="s">
        <v>3422</v>
      </c>
      <c r="U1369" s="31" t="s">
        <v>460</v>
      </c>
      <c r="V1369" s="31" t="s">
        <v>3419</v>
      </c>
      <c r="W1369" s="34"/>
    </row>
    <row r="1370">
      <c r="A1370" s="30">
        <v>1.365</v>
      </c>
      <c r="B1370" s="31" t="s">
        <v>5881</v>
      </c>
      <c r="C1370" s="31" t="s">
        <v>784</v>
      </c>
      <c r="D1370" s="31" t="s">
        <v>472</v>
      </c>
      <c r="E1370" s="31" t="s">
        <v>606</v>
      </c>
      <c r="F1370" s="32">
        <v>45026.0</v>
      </c>
      <c r="G1370" s="32">
        <v>45087.0</v>
      </c>
      <c r="H1370" s="31" t="s">
        <v>453</v>
      </c>
      <c r="I1370" s="31" t="s">
        <v>607</v>
      </c>
      <c r="J1370" s="31" t="s">
        <v>608</v>
      </c>
      <c r="K1370" s="31" t="s">
        <v>609</v>
      </c>
      <c r="L1370" s="31" t="s">
        <v>476</v>
      </c>
      <c r="M1370" s="31" t="s">
        <v>5882</v>
      </c>
      <c r="N1370" s="31" t="s">
        <v>467</v>
      </c>
      <c r="O1370" s="34"/>
      <c r="P1370" s="34"/>
      <c r="Q1370" s="31" t="s">
        <v>307</v>
      </c>
      <c r="R1370" s="32">
        <v>36037.0</v>
      </c>
      <c r="S1370" s="31" t="s">
        <v>1622</v>
      </c>
      <c r="T1370" s="31" t="s">
        <v>596</v>
      </c>
      <c r="U1370" s="31" t="s">
        <v>480</v>
      </c>
      <c r="V1370" s="31" t="s">
        <v>606</v>
      </c>
      <c r="W1370" s="34"/>
    </row>
    <row r="1371">
      <c r="A1371" s="30">
        <v>1.366</v>
      </c>
      <c r="B1371" s="31" t="s">
        <v>5883</v>
      </c>
      <c r="C1371" s="31" t="s">
        <v>5884</v>
      </c>
      <c r="D1371" s="31" t="s">
        <v>472</v>
      </c>
      <c r="E1371" s="31" t="s">
        <v>4836</v>
      </c>
      <c r="F1371" s="32">
        <v>45026.0</v>
      </c>
      <c r="G1371" s="32">
        <v>45087.0</v>
      </c>
      <c r="H1371" s="31" t="s">
        <v>453</v>
      </c>
      <c r="I1371" s="31" t="s">
        <v>47</v>
      </c>
      <c r="J1371" s="31" t="s">
        <v>4765</v>
      </c>
      <c r="K1371" s="31" t="s">
        <v>4837</v>
      </c>
      <c r="L1371" s="31" t="s">
        <v>476</v>
      </c>
      <c r="M1371" s="31" t="s">
        <v>5885</v>
      </c>
      <c r="N1371" s="31" t="s">
        <v>267</v>
      </c>
      <c r="O1371" s="34"/>
      <c r="P1371" s="34"/>
      <c r="Q1371" s="31" t="s">
        <v>307</v>
      </c>
      <c r="R1371" s="35">
        <v>35354.0</v>
      </c>
      <c r="S1371" s="31" t="s">
        <v>490</v>
      </c>
      <c r="T1371" s="31" t="s">
        <v>1127</v>
      </c>
      <c r="U1371" s="31" t="s">
        <v>480</v>
      </c>
      <c r="V1371" s="31" t="s">
        <v>4836</v>
      </c>
      <c r="W1371" s="34"/>
    </row>
    <row r="1372">
      <c r="A1372" s="30">
        <v>1.367</v>
      </c>
      <c r="B1372" s="31" t="s">
        <v>5886</v>
      </c>
      <c r="C1372" s="31" t="s">
        <v>5887</v>
      </c>
      <c r="D1372" s="31" t="s">
        <v>472</v>
      </c>
      <c r="E1372" s="31" t="s">
        <v>4379</v>
      </c>
      <c r="F1372" s="32">
        <v>45019.0</v>
      </c>
      <c r="G1372" s="32">
        <v>45080.0</v>
      </c>
      <c r="H1372" s="31" t="s">
        <v>453</v>
      </c>
      <c r="I1372" s="31" t="s">
        <v>607</v>
      </c>
      <c r="J1372" s="31" t="s">
        <v>4380</v>
      </c>
      <c r="K1372" s="31" t="s">
        <v>4381</v>
      </c>
      <c r="L1372" s="31" t="s">
        <v>476</v>
      </c>
      <c r="M1372" s="31" t="s">
        <v>5888</v>
      </c>
      <c r="N1372" s="31" t="s">
        <v>467</v>
      </c>
      <c r="O1372" s="34"/>
      <c r="P1372" s="34"/>
      <c r="Q1372" s="31" t="s">
        <v>307</v>
      </c>
      <c r="R1372" s="32">
        <v>36617.0</v>
      </c>
      <c r="S1372" s="31" t="s">
        <v>560</v>
      </c>
      <c r="T1372" s="31" t="s">
        <v>5496</v>
      </c>
      <c r="U1372" s="31" t="s">
        <v>643</v>
      </c>
      <c r="V1372" s="31" t="s">
        <v>4379</v>
      </c>
      <c r="W1372" s="34"/>
    </row>
    <row r="1373">
      <c r="A1373" s="30">
        <v>1.368</v>
      </c>
      <c r="B1373" s="31" t="s">
        <v>5889</v>
      </c>
      <c r="C1373" s="31" t="s">
        <v>5890</v>
      </c>
      <c r="D1373" s="31" t="s">
        <v>553</v>
      </c>
      <c r="E1373" s="31" t="s">
        <v>4379</v>
      </c>
      <c r="F1373" s="32">
        <v>45019.0</v>
      </c>
      <c r="G1373" s="32">
        <v>45080.0</v>
      </c>
      <c r="H1373" s="31" t="s">
        <v>453</v>
      </c>
      <c r="I1373" s="31" t="s">
        <v>607</v>
      </c>
      <c r="J1373" s="31" t="s">
        <v>4380</v>
      </c>
      <c r="K1373" s="31" t="s">
        <v>4381</v>
      </c>
      <c r="L1373" s="31" t="s">
        <v>558</v>
      </c>
      <c r="M1373" s="31" t="s">
        <v>5891</v>
      </c>
      <c r="N1373" s="31" t="s">
        <v>267</v>
      </c>
      <c r="O1373" s="34"/>
      <c r="P1373" s="34"/>
      <c r="Q1373" s="31" t="s">
        <v>307</v>
      </c>
      <c r="R1373" s="32">
        <v>35570.0</v>
      </c>
      <c r="S1373" s="31" t="s">
        <v>458</v>
      </c>
      <c r="T1373" s="31" t="s">
        <v>1059</v>
      </c>
      <c r="U1373" s="31" t="s">
        <v>643</v>
      </c>
      <c r="V1373" s="31" t="s">
        <v>4379</v>
      </c>
      <c r="W1373" s="34"/>
    </row>
    <row r="1374">
      <c r="A1374" s="30">
        <v>1.369</v>
      </c>
      <c r="B1374" s="31" t="s">
        <v>5892</v>
      </c>
      <c r="C1374" s="31" t="s">
        <v>5893</v>
      </c>
      <c r="D1374" s="31" t="s">
        <v>472</v>
      </c>
      <c r="E1374" s="31" t="s">
        <v>4983</v>
      </c>
      <c r="F1374" s="32">
        <v>45019.0</v>
      </c>
      <c r="G1374" s="32">
        <v>45080.0</v>
      </c>
      <c r="H1374" s="31" t="s">
        <v>453</v>
      </c>
      <c r="I1374" s="31" t="s">
        <v>4330</v>
      </c>
      <c r="J1374" s="31" t="s">
        <v>4331</v>
      </c>
      <c r="K1374" s="31" t="s">
        <v>4984</v>
      </c>
      <c r="L1374" s="31" t="s">
        <v>476</v>
      </c>
      <c r="M1374" s="31" t="s">
        <v>5894</v>
      </c>
      <c r="N1374" s="31" t="s">
        <v>467</v>
      </c>
      <c r="O1374" s="34"/>
      <c r="P1374" s="34"/>
      <c r="Q1374" s="31" t="s">
        <v>307</v>
      </c>
      <c r="R1374" s="32">
        <v>36791.0</v>
      </c>
      <c r="S1374" s="31" t="s">
        <v>4426</v>
      </c>
      <c r="T1374" s="31" t="s">
        <v>596</v>
      </c>
      <c r="U1374" s="31" t="s">
        <v>460</v>
      </c>
      <c r="V1374" s="31" t="s">
        <v>4983</v>
      </c>
      <c r="W1374" s="34"/>
    </row>
    <row r="1375">
      <c r="A1375" s="30">
        <v>1.37</v>
      </c>
      <c r="B1375" s="31" t="s">
        <v>5895</v>
      </c>
      <c r="C1375" s="31" t="s">
        <v>5896</v>
      </c>
      <c r="D1375" s="31" t="s">
        <v>472</v>
      </c>
      <c r="E1375" s="31" t="s">
        <v>4991</v>
      </c>
      <c r="F1375" s="32">
        <v>45012.0</v>
      </c>
      <c r="G1375" s="32">
        <v>45073.0</v>
      </c>
      <c r="H1375" s="31" t="s">
        <v>453</v>
      </c>
      <c r="I1375" s="31" t="s">
        <v>454</v>
      </c>
      <c r="J1375" s="31" t="s">
        <v>3217</v>
      </c>
      <c r="K1375" s="31" t="s">
        <v>4992</v>
      </c>
      <c r="L1375" s="31" t="s">
        <v>476</v>
      </c>
      <c r="M1375" s="31" t="s">
        <v>5897</v>
      </c>
      <c r="N1375" s="31" t="s">
        <v>467</v>
      </c>
      <c r="O1375" s="34"/>
      <c r="P1375" s="34"/>
      <c r="Q1375" s="31" t="s">
        <v>307</v>
      </c>
      <c r="R1375" s="32">
        <v>37309.0</v>
      </c>
      <c r="S1375" s="31" t="s">
        <v>611</v>
      </c>
      <c r="T1375" s="31" t="s">
        <v>5898</v>
      </c>
      <c r="U1375" s="31" t="s">
        <v>480</v>
      </c>
      <c r="V1375" s="31" t="s">
        <v>4991</v>
      </c>
      <c r="W1375" s="34"/>
    </row>
    <row r="1376">
      <c r="A1376" s="30">
        <v>1.371</v>
      </c>
      <c r="B1376" s="31" t="s">
        <v>5899</v>
      </c>
      <c r="C1376" s="31" t="s">
        <v>5900</v>
      </c>
      <c r="D1376" s="31" t="s">
        <v>472</v>
      </c>
      <c r="E1376" s="31" t="s">
        <v>3419</v>
      </c>
      <c r="F1376" s="32">
        <v>45012.0</v>
      </c>
      <c r="G1376" s="32">
        <v>45073.0</v>
      </c>
      <c r="H1376" s="31" t="s">
        <v>453</v>
      </c>
      <c r="I1376" s="31" t="s">
        <v>454</v>
      </c>
      <c r="J1376" s="31" t="s">
        <v>3188</v>
      </c>
      <c r="K1376" s="31" t="s">
        <v>3420</v>
      </c>
      <c r="L1376" s="31" t="s">
        <v>476</v>
      </c>
      <c r="M1376" s="31" t="s">
        <v>5901</v>
      </c>
      <c r="N1376" s="31" t="s">
        <v>467</v>
      </c>
      <c r="O1376" s="34"/>
      <c r="P1376" s="34"/>
      <c r="Q1376" s="31" t="s">
        <v>307</v>
      </c>
      <c r="R1376" s="32">
        <v>36553.0</v>
      </c>
      <c r="S1376" s="31" t="s">
        <v>591</v>
      </c>
      <c r="T1376" s="31" t="s">
        <v>3090</v>
      </c>
      <c r="U1376" s="31" t="s">
        <v>460</v>
      </c>
      <c r="V1376" s="31" t="s">
        <v>3419</v>
      </c>
      <c r="W1376" s="34"/>
    </row>
    <row r="1377">
      <c r="A1377" s="30">
        <v>1.372</v>
      </c>
      <c r="B1377" s="31" t="s">
        <v>5902</v>
      </c>
      <c r="C1377" s="31" t="s">
        <v>5903</v>
      </c>
      <c r="D1377" s="31" t="s">
        <v>472</v>
      </c>
      <c r="E1377" s="31" t="s">
        <v>4864</v>
      </c>
      <c r="F1377" s="32">
        <v>45012.0</v>
      </c>
      <c r="G1377" s="32">
        <v>45073.0</v>
      </c>
      <c r="H1377" s="31" t="s">
        <v>453</v>
      </c>
      <c r="I1377" s="31" t="s">
        <v>47</v>
      </c>
      <c r="J1377" s="31" t="s">
        <v>4502</v>
      </c>
      <c r="K1377" s="31" t="s">
        <v>4865</v>
      </c>
      <c r="L1377" s="31" t="s">
        <v>476</v>
      </c>
      <c r="M1377" s="31" t="s">
        <v>5904</v>
      </c>
      <c r="N1377" s="31" t="s">
        <v>467</v>
      </c>
      <c r="O1377" s="34"/>
      <c r="P1377" s="34"/>
      <c r="Q1377" s="31" t="s">
        <v>307</v>
      </c>
      <c r="R1377" s="32">
        <v>36898.0</v>
      </c>
      <c r="S1377" s="31" t="s">
        <v>560</v>
      </c>
      <c r="T1377" s="31" t="s">
        <v>3422</v>
      </c>
      <c r="U1377" s="31" t="s">
        <v>480</v>
      </c>
      <c r="V1377" s="31" t="s">
        <v>4864</v>
      </c>
      <c r="W1377" s="34"/>
    </row>
    <row r="1378">
      <c r="A1378" s="30">
        <v>1.373</v>
      </c>
      <c r="B1378" s="31" t="s">
        <v>5905</v>
      </c>
      <c r="C1378" s="31" t="s">
        <v>5906</v>
      </c>
      <c r="D1378" s="31" t="s">
        <v>452</v>
      </c>
      <c r="E1378" s="31" t="s">
        <v>4446</v>
      </c>
      <c r="F1378" s="32">
        <v>45005.0</v>
      </c>
      <c r="G1378" s="32">
        <v>45066.0</v>
      </c>
      <c r="H1378" s="31" t="s">
        <v>453</v>
      </c>
      <c r="I1378" s="31" t="s">
        <v>607</v>
      </c>
      <c r="J1378" s="31" t="s">
        <v>2697</v>
      </c>
      <c r="K1378" s="31" t="s">
        <v>4447</v>
      </c>
      <c r="L1378" s="31" t="s">
        <v>456</v>
      </c>
      <c r="M1378" s="31" t="s">
        <v>5907</v>
      </c>
      <c r="N1378" s="31" t="s">
        <v>467</v>
      </c>
      <c r="O1378" s="34"/>
      <c r="P1378" s="34"/>
      <c r="Q1378" s="31" t="s">
        <v>307</v>
      </c>
      <c r="R1378" s="32">
        <v>36692.0</v>
      </c>
      <c r="S1378" s="31" t="s">
        <v>733</v>
      </c>
      <c r="T1378" s="31" t="s">
        <v>1133</v>
      </c>
      <c r="U1378" s="31" t="s">
        <v>643</v>
      </c>
      <c r="V1378" s="31" t="s">
        <v>4446</v>
      </c>
      <c r="W1378" s="34"/>
    </row>
    <row r="1379">
      <c r="A1379" s="30">
        <v>1.374</v>
      </c>
      <c r="B1379" s="31" t="s">
        <v>5908</v>
      </c>
      <c r="C1379" s="31" t="s">
        <v>5909</v>
      </c>
      <c r="D1379" s="31" t="s">
        <v>586</v>
      </c>
      <c r="E1379" s="31" t="s">
        <v>587</v>
      </c>
      <c r="F1379" s="32">
        <v>45002.0</v>
      </c>
      <c r="G1379" s="32">
        <v>45063.0</v>
      </c>
      <c r="H1379" s="31" t="s">
        <v>453</v>
      </c>
      <c r="I1379" s="31" t="s">
        <v>587</v>
      </c>
      <c r="J1379" s="34"/>
      <c r="K1379" s="31" t="s">
        <v>588</v>
      </c>
      <c r="L1379" s="31" t="s">
        <v>589</v>
      </c>
      <c r="M1379" s="31" t="s">
        <v>5910</v>
      </c>
      <c r="N1379" s="31" t="s">
        <v>467</v>
      </c>
      <c r="O1379" s="34"/>
      <c r="P1379" s="34"/>
      <c r="Q1379" s="31" t="s">
        <v>307</v>
      </c>
      <c r="R1379" s="32">
        <v>37038.0</v>
      </c>
      <c r="S1379" s="31" t="s">
        <v>591</v>
      </c>
      <c r="T1379" s="31" t="s">
        <v>3090</v>
      </c>
      <c r="U1379" s="31" t="s">
        <v>480</v>
      </c>
      <c r="V1379" s="34"/>
      <c r="W1379" s="34"/>
    </row>
    <row r="1380">
      <c r="A1380" s="30">
        <v>1.375</v>
      </c>
      <c r="B1380" s="31" t="s">
        <v>5911</v>
      </c>
      <c r="C1380" s="31" t="s">
        <v>5912</v>
      </c>
      <c r="D1380" s="31" t="s">
        <v>4394</v>
      </c>
      <c r="E1380" s="31" t="s">
        <v>39</v>
      </c>
      <c r="F1380" s="32">
        <v>45000.0</v>
      </c>
      <c r="G1380" s="32">
        <v>45061.0</v>
      </c>
      <c r="H1380" s="31" t="s">
        <v>453</v>
      </c>
      <c r="I1380" s="31" t="s">
        <v>39</v>
      </c>
      <c r="J1380" s="34"/>
      <c r="K1380" s="31" t="s">
        <v>4881</v>
      </c>
      <c r="L1380" s="31" t="s">
        <v>4396</v>
      </c>
      <c r="M1380" s="31" t="s">
        <v>5913</v>
      </c>
      <c r="N1380" s="31" t="s">
        <v>267</v>
      </c>
      <c r="O1380" s="34"/>
      <c r="P1380" s="34"/>
      <c r="Q1380" s="31" t="s">
        <v>307</v>
      </c>
      <c r="R1380" s="32">
        <v>37099.0</v>
      </c>
      <c r="S1380" s="31" t="s">
        <v>515</v>
      </c>
      <c r="T1380" s="31" t="s">
        <v>808</v>
      </c>
      <c r="U1380" s="31" t="s">
        <v>480</v>
      </c>
      <c r="V1380" s="34"/>
      <c r="W1380" s="34"/>
    </row>
    <row r="1381">
      <c r="A1381" s="30">
        <v>1.376</v>
      </c>
      <c r="B1381" s="31" t="s">
        <v>5914</v>
      </c>
      <c r="C1381" s="31" t="s">
        <v>5915</v>
      </c>
      <c r="D1381" s="31" t="s">
        <v>472</v>
      </c>
      <c r="E1381" s="31" t="s">
        <v>3419</v>
      </c>
      <c r="F1381" s="32">
        <v>44998.0</v>
      </c>
      <c r="G1381" s="32">
        <v>45059.0</v>
      </c>
      <c r="H1381" s="31" t="s">
        <v>453</v>
      </c>
      <c r="I1381" s="31" t="s">
        <v>454</v>
      </c>
      <c r="J1381" s="31" t="s">
        <v>3188</v>
      </c>
      <c r="K1381" s="31" t="s">
        <v>3420</v>
      </c>
      <c r="L1381" s="31" t="s">
        <v>476</v>
      </c>
      <c r="M1381" s="31" t="s">
        <v>5916</v>
      </c>
      <c r="N1381" s="31" t="s">
        <v>467</v>
      </c>
      <c r="O1381" s="34"/>
      <c r="P1381" s="34"/>
      <c r="Q1381" s="31" t="s">
        <v>307</v>
      </c>
      <c r="R1381" s="32">
        <v>36138.0</v>
      </c>
      <c r="S1381" s="31" t="s">
        <v>468</v>
      </c>
      <c r="T1381" s="31" t="s">
        <v>5917</v>
      </c>
      <c r="U1381" s="31" t="s">
        <v>460</v>
      </c>
      <c r="V1381" s="31" t="s">
        <v>3419</v>
      </c>
      <c r="W1381" s="34"/>
    </row>
    <row r="1382">
      <c r="A1382" s="30">
        <v>1.377</v>
      </c>
      <c r="B1382" s="31" t="s">
        <v>5918</v>
      </c>
      <c r="C1382" s="31" t="s">
        <v>5919</v>
      </c>
      <c r="D1382" s="31" t="s">
        <v>472</v>
      </c>
      <c r="E1382" s="31" t="s">
        <v>4864</v>
      </c>
      <c r="F1382" s="32">
        <v>44998.0</v>
      </c>
      <c r="G1382" s="32">
        <v>45059.0</v>
      </c>
      <c r="H1382" s="31" t="s">
        <v>453</v>
      </c>
      <c r="I1382" s="31" t="s">
        <v>47</v>
      </c>
      <c r="J1382" s="31" t="s">
        <v>4502</v>
      </c>
      <c r="K1382" s="31" t="s">
        <v>4865</v>
      </c>
      <c r="L1382" s="31" t="s">
        <v>476</v>
      </c>
      <c r="M1382" s="31" t="s">
        <v>5920</v>
      </c>
      <c r="N1382" s="31" t="s">
        <v>467</v>
      </c>
      <c r="O1382" s="34"/>
      <c r="P1382" s="34"/>
      <c r="Q1382" s="31" t="s">
        <v>307</v>
      </c>
      <c r="R1382" s="32">
        <v>33047.0</v>
      </c>
      <c r="S1382" s="31" t="s">
        <v>560</v>
      </c>
      <c r="T1382" s="31" t="s">
        <v>596</v>
      </c>
      <c r="U1382" s="31" t="s">
        <v>480</v>
      </c>
      <c r="V1382" s="31" t="s">
        <v>4864</v>
      </c>
      <c r="W1382" s="34"/>
    </row>
    <row r="1383">
      <c r="A1383" s="30">
        <v>1.378</v>
      </c>
      <c r="B1383" s="31" t="s">
        <v>5921</v>
      </c>
      <c r="C1383" s="31" t="s">
        <v>5922</v>
      </c>
      <c r="D1383" s="31" t="s">
        <v>452</v>
      </c>
      <c r="E1383" s="31" t="s">
        <v>2887</v>
      </c>
      <c r="F1383" s="32">
        <v>44995.0</v>
      </c>
      <c r="G1383" s="32">
        <v>45056.0</v>
      </c>
      <c r="H1383" s="31" t="s">
        <v>453</v>
      </c>
      <c r="I1383" s="31" t="s">
        <v>566</v>
      </c>
      <c r="J1383" s="31" t="s">
        <v>2888</v>
      </c>
      <c r="K1383" s="31" t="s">
        <v>2889</v>
      </c>
      <c r="L1383" s="31" t="s">
        <v>456</v>
      </c>
      <c r="M1383" s="31" t="s">
        <v>5923</v>
      </c>
      <c r="N1383" s="31" t="s">
        <v>267</v>
      </c>
      <c r="O1383" s="34"/>
      <c r="P1383" s="34"/>
      <c r="Q1383" s="31" t="s">
        <v>307</v>
      </c>
      <c r="R1383" s="32">
        <v>34955.0</v>
      </c>
      <c r="S1383" s="31" t="s">
        <v>478</v>
      </c>
      <c r="T1383" s="31" t="s">
        <v>5924</v>
      </c>
      <c r="U1383" s="31" t="s">
        <v>480</v>
      </c>
      <c r="V1383" s="31" t="s">
        <v>2887</v>
      </c>
      <c r="W1383" s="34"/>
    </row>
    <row r="1384">
      <c r="A1384" s="30">
        <v>1.379</v>
      </c>
      <c r="B1384" s="31" t="s">
        <v>5925</v>
      </c>
      <c r="C1384" s="31" t="s">
        <v>5926</v>
      </c>
      <c r="D1384" s="31" t="s">
        <v>564</v>
      </c>
      <c r="E1384" s="31" t="s">
        <v>2902</v>
      </c>
      <c r="F1384" s="32">
        <v>45033.0</v>
      </c>
      <c r="G1384" s="32">
        <v>45094.0</v>
      </c>
      <c r="H1384" s="31" t="s">
        <v>453</v>
      </c>
      <c r="I1384" s="31" t="s">
        <v>454</v>
      </c>
      <c r="J1384" s="31" t="s">
        <v>2903</v>
      </c>
      <c r="K1384" s="31" t="s">
        <v>2904</v>
      </c>
      <c r="L1384" s="31" t="s">
        <v>569</v>
      </c>
      <c r="M1384" s="31" t="s">
        <v>5927</v>
      </c>
      <c r="N1384" s="31" t="s">
        <v>267</v>
      </c>
      <c r="O1384" s="34"/>
      <c r="P1384" s="34"/>
      <c r="Q1384" s="31" t="s">
        <v>307</v>
      </c>
      <c r="R1384" s="32">
        <v>33657.0</v>
      </c>
      <c r="S1384" s="31" t="s">
        <v>1369</v>
      </c>
      <c r="T1384" s="31" t="s">
        <v>778</v>
      </c>
      <c r="U1384" s="31" t="s">
        <v>480</v>
      </c>
      <c r="V1384" s="31" t="s">
        <v>2902</v>
      </c>
      <c r="W1384" s="34"/>
    </row>
    <row r="1385">
      <c r="A1385" s="30">
        <v>1.38</v>
      </c>
      <c r="B1385" s="31" t="s">
        <v>5928</v>
      </c>
      <c r="C1385" s="31" t="s">
        <v>5929</v>
      </c>
      <c r="D1385" s="31" t="s">
        <v>636</v>
      </c>
      <c r="E1385" s="31" t="s">
        <v>637</v>
      </c>
      <c r="F1385" s="32">
        <v>44993.0</v>
      </c>
      <c r="G1385" s="32">
        <v>45054.0</v>
      </c>
      <c r="H1385" s="31" t="s">
        <v>453</v>
      </c>
      <c r="I1385" s="31" t="s">
        <v>52</v>
      </c>
      <c r="J1385" s="31" t="s">
        <v>638</v>
      </c>
      <c r="K1385" s="31" t="s">
        <v>639</v>
      </c>
      <c r="L1385" s="31" t="s">
        <v>640</v>
      </c>
      <c r="M1385" s="31" t="s">
        <v>5930</v>
      </c>
      <c r="N1385" s="31" t="s">
        <v>467</v>
      </c>
      <c r="O1385" s="34"/>
      <c r="P1385" s="34"/>
      <c r="Q1385" s="31" t="s">
        <v>307</v>
      </c>
      <c r="R1385" s="32">
        <v>34546.0</v>
      </c>
      <c r="S1385" s="31" t="s">
        <v>502</v>
      </c>
      <c r="T1385" s="31" t="s">
        <v>5931</v>
      </c>
      <c r="U1385" s="31" t="s">
        <v>643</v>
      </c>
      <c r="V1385" s="31" t="s">
        <v>637</v>
      </c>
      <c r="W1385" s="34"/>
    </row>
    <row r="1386">
      <c r="A1386" s="30">
        <v>1.381</v>
      </c>
      <c r="B1386" s="31" t="s">
        <v>5932</v>
      </c>
      <c r="C1386" s="31" t="s">
        <v>5933</v>
      </c>
      <c r="D1386" s="31" t="s">
        <v>472</v>
      </c>
      <c r="E1386" s="31" t="s">
        <v>3419</v>
      </c>
      <c r="F1386" s="32">
        <v>44991.0</v>
      </c>
      <c r="G1386" s="32">
        <v>45052.0</v>
      </c>
      <c r="H1386" s="31" t="s">
        <v>453</v>
      </c>
      <c r="I1386" s="31" t="s">
        <v>454</v>
      </c>
      <c r="J1386" s="31" t="s">
        <v>3188</v>
      </c>
      <c r="K1386" s="31" t="s">
        <v>3420</v>
      </c>
      <c r="L1386" s="31" t="s">
        <v>476</v>
      </c>
      <c r="M1386" s="31" t="s">
        <v>5934</v>
      </c>
      <c r="N1386" s="31" t="s">
        <v>467</v>
      </c>
      <c r="O1386" s="34"/>
      <c r="P1386" s="34"/>
      <c r="Q1386" s="31" t="s">
        <v>307</v>
      </c>
      <c r="R1386" s="32">
        <v>37163.0</v>
      </c>
      <c r="S1386" s="31" t="s">
        <v>560</v>
      </c>
      <c r="T1386" s="31" t="s">
        <v>3422</v>
      </c>
      <c r="U1386" s="31" t="s">
        <v>460</v>
      </c>
      <c r="V1386" s="31" t="s">
        <v>3419</v>
      </c>
      <c r="W1386" s="34"/>
    </row>
    <row r="1387">
      <c r="A1387" s="30">
        <v>1.382</v>
      </c>
      <c r="B1387" s="31" t="s">
        <v>5935</v>
      </c>
      <c r="C1387" s="31" t="s">
        <v>5936</v>
      </c>
      <c r="D1387" s="31" t="s">
        <v>472</v>
      </c>
      <c r="E1387" s="31" t="s">
        <v>3419</v>
      </c>
      <c r="F1387" s="32">
        <v>44991.0</v>
      </c>
      <c r="G1387" s="32">
        <v>45052.0</v>
      </c>
      <c r="H1387" s="31" t="s">
        <v>453</v>
      </c>
      <c r="I1387" s="31" t="s">
        <v>454</v>
      </c>
      <c r="J1387" s="31" t="s">
        <v>3188</v>
      </c>
      <c r="K1387" s="31" t="s">
        <v>3420</v>
      </c>
      <c r="L1387" s="31" t="s">
        <v>476</v>
      </c>
      <c r="M1387" s="31" t="s">
        <v>5937</v>
      </c>
      <c r="N1387" s="31" t="s">
        <v>467</v>
      </c>
      <c r="O1387" s="34"/>
      <c r="P1387" s="34"/>
      <c r="Q1387" s="31" t="s">
        <v>307</v>
      </c>
      <c r="R1387" s="32">
        <v>37078.0</v>
      </c>
      <c r="S1387" s="31" t="s">
        <v>3665</v>
      </c>
      <c r="T1387" s="31" t="s">
        <v>1127</v>
      </c>
      <c r="U1387" s="31" t="s">
        <v>460</v>
      </c>
      <c r="V1387" s="31" t="s">
        <v>3419</v>
      </c>
      <c r="W1387" s="34"/>
    </row>
    <row r="1388">
      <c r="A1388" s="30">
        <v>1.383</v>
      </c>
      <c r="B1388" s="31" t="s">
        <v>5938</v>
      </c>
      <c r="C1388" s="31" t="s">
        <v>5939</v>
      </c>
      <c r="D1388" s="31" t="s">
        <v>472</v>
      </c>
      <c r="E1388" s="31" t="s">
        <v>4983</v>
      </c>
      <c r="F1388" s="32">
        <v>44991.0</v>
      </c>
      <c r="G1388" s="32">
        <v>45052.0</v>
      </c>
      <c r="H1388" s="31" t="s">
        <v>453</v>
      </c>
      <c r="I1388" s="31" t="s">
        <v>4330</v>
      </c>
      <c r="J1388" s="31" t="s">
        <v>4331</v>
      </c>
      <c r="K1388" s="31" t="s">
        <v>4984</v>
      </c>
      <c r="L1388" s="31" t="s">
        <v>476</v>
      </c>
      <c r="M1388" s="31" t="s">
        <v>5940</v>
      </c>
      <c r="N1388" s="31" t="s">
        <v>467</v>
      </c>
      <c r="O1388" s="34"/>
      <c r="P1388" s="34"/>
      <c r="Q1388" s="31" t="s">
        <v>307</v>
      </c>
      <c r="R1388" s="35">
        <v>37239.0</v>
      </c>
      <c r="S1388" s="31" t="s">
        <v>560</v>
      </c>
      <c r="T1388" s="31" t="s">
        <v>3422</v>
      </c>
      <c r="U1388" s="31" t="s">
        <v>460</v>
      </c>
      <c r="V1388" s="31" t="s">
        <v>4983</v>
      </c>
      <c r="W1388" s="34"/>
    </row>
    <row r="1389">
      <c r="A1389" s="30">
        <v>1.384</v>
      </c>
      <c r="B1389" s="31" t="s">
        <v>5941</v>
      </c>
      <c r="C1389" s="31" t="s">
        <v>994</v>
      </c>
      <c r="D1389" s="31" t="s">
        <v>553</v>
      </c>
      <c r="E1389" s="31" t="s">
        <v>5008</v>
      </c>
      <c r="F1389" s="32">
        <v>44991.0</v>
      </c>
      <c r="G1389" s="32">
        <v>45052.0</v>
      </c>
      <c r="H1389" s="31" t="s">
        <v>453</v>
      </c>
      <c r="I1389" s="31" t="s">
        <v>607</v>
      </c>
      <c r="J1389" s="31" t="s">
        <v>5009</v>
      </c>
      <c r="K1389" s="31" t="s">
        <v>5010</v>
      </c>
      <c r="L1389" s="31" t="s">
        <v>558</v>
      </c>
      <c r="M1389" s="31" t="s">
        <v>5942</v>
      </c>
      <c r="N1389" s="31" t="s">
        <v>267</v>
      </c>
      <c r="O1389" s="34"/>
      <c r="P1389" s="34"/>
      <c r="Q1389" s="31" t="s">
        <v>307</v>
      </c>
      <c r="R1389" s="32">
        <v>36684.0</v>
      </c>
      <c r="S1389" s="31" t="s">
        <v>626</v>
      </c>
      <c r="T1389" s="31" t="s">
        <v>5943</v>
      </c>
      <c r="U1389" s="31" t="s">
        <v>643</v>
      </c>
      <c r="V1389" s="31" t="s">
        <v>5008</v>
      </c>
      <c r="W1389" s="34"/>
    </row>
    <row r="1390">
      <c r="A1390" s="30">
        <v>1.385</v>
      </c>
      <c r="B1390" s="31" t="s">
        <v>5944</v>
      </c>
      <c r="C1390" s="31" t="s">
        <v>5945</v>
      </c>
      <c r="D1390" s="31" t="s">
        <v>3162</v>
      </c>
      <c r="E1390" s="31" t="s">
        <v>3163</v>
      </c>
      <c r="F1390" s="32">
        <v>44986.0</v>
      </c>
      <c r="G1390" s="32">
        <v>45047.0</v>
      </c>
      <c r="H1390" s="31" t="s">
        <v>453</v>
      </c>
      <c r="I1390" s="31" t="s">
        <v>454</v>
      </c>
      <c r="J1390" s="31" t="s">
        <v>3163</v>
      </c>
      <c r="K1390" s="31" t="s">
        <v>3164</v>
      </c>
      <c r="L1390" s="31" t="s">
        <v>3165</v>
      </c>
      <c r="M1390" s="31" t="s">
        <v>5946</v>
      </c>
      <c r="N1390" s="31" t="s">
        <v>267</v>
      </c>
      <c r="O1390" s="34"/>
      <c r="P1390" s="34"/>
      <c r="Q1390" s="31" t="s">
        <v>307</v>
      </c>
      <c r="R1390" s="32">
        <v>36899.0</v>
      </c>
      <c r="S1390" s="31" t="s">
        <v>560</v>
      </c>
      <c r="T1390" s="31" t="s">
        <v>3174</v>
      </c>
      <c r="U1390" s="31" t="s">
        <v>460</v>
      </c>
      <c r="V1390" s="34"/>
      <c r="W1390" s="34"/>
    </row>
    <row r="1391">
      <c r="A1391" s="30">
        <v>1.386</v>
      </c>
      <c r="B1391" s="31" t="s">
        <v>5947</v>
      </c>
      <c r="C1391" s="31" t="s">
        <v>5484</v>
      </c>
      <c r="D1391" s="31" t="s">
        <v>472</v>
      </c>
      <c r="E1391" s="31" t="s">
        <v>3377</v>
      </c>
      <c r="F1391" s="32">
        <v>44977.0</v>
      </c>
      <c r="G1391" s="32">
        <v>45036.0</v>
      </c>
      <c r="H1391" s="31" t="s">
        <v>453</v>
      </c>
      <c r="I1391" s="31" t="s">
        <v>454</v>
      </c>
      <c r="J1391" s="31" t="s">
        <v>3378</v>
      </c>
      <c r="K1391" s="31" t="s">
        <v>3379</v>
      </c>
      <c r="L1391" s="31" t="s">
        <v>476</v>
      </c>
      <c r="M1391" s="31" t="s">
        <v>5948</v>
      </c>
      <c r="N1391" s="31" t="s">
        <v>467</v>
      </c>
      <c r="O1391" s="34"/>
      <c r="P1391" s="34"/>
      <c r="Q1391" s="31" t="s">
        <v>307</v>
      </c>
      <c r="R1391" s="32">
        <v>36258.0</v>
      </c>
      <c r="S1391" s="31" t="s">
        <v>495</v>
      </c>
      <c r="T1391" s="31" t="s">
        <v>5672</v>
      </c>
      <c r="U1391" s="31" t="s">
        <v>460</v>
      </c>
      <c r="V1391" s="31" t="s">
        <v>3377</v>
      </c>
      <c r="W1391" s="34"/>
    </row>
    <row r="1392">
      <c r="A1392" s="30">
        <v>1.387</v>
      </c>
      <c r="B1392" s="31" t="s">
        <v>5949</v>
      </c>
      <c r="C1392" s="31" t="s">
        <v>5950</v>
      </c>
      <c r="D1392" s="31" t="s">
        <v>3162</v>
      </c>
      <c r="E1392" s="31" t="s">
        <v>3163</v>
      </c>
      <c r="F1392" s="32">
        <v>44970.0</v>
      </c>
      <c r="G1392" s="32">
        <v>45029.0</v>
      </c>
      <c r="H1392" s="31" t="s">
        <v>453</v>
      </c>
      <c r="I1392" s="31" t="s">
        <v>454</v>
      </c>
      <c r="J1392" s="31" t="s">
        <v>3163</v>
      </c>
      <c r="K1392" s="31" t="s">
        <v>3164</v>
      </c>
      <c r="L1392" s="31" t="s">
        <v>3165</v>
      </c>
      <c r="M1392" s="31" t="s">
        <v>5951</v>
      </c>
      <c r="N1392" s="31" t="s">
        <v>467</v>
      </c>
      <c r="O1392" s="34"/>
      <c r="P1392" s="34"/>
      <c r="Q1392" s="31" t="s">
        <v>307</v>
      </c>
      <c r="R1392" s="32">
        <v>36789.0</v>
      </c>
      <c r="S1392" s="31" t="s">
        <v>5952</v>
      </c>
      <c r="T1392" s="31" t="s">
        <v>5953</v>
      </c>
      <c r="U1392" s="31" t="s">
        <v>460</v>
      </c>
      <c r="V1392" s="34"/>
      <c r="W1392" s="34"/>
    </row>
    <row r="1393">
      <c r="A1393" s="30">
        <v>1.388</v>
      </c>
      <c r="B1393" s="31" t="s">
        <v>5954</v>
      </c>
      <c r="C1393" s="31" t="s">
        <v>5955</v>
      </c>
      <c r="D1393" s="31" t="s">
        <v>3162</v>
      </c>
      <c r="E1393" s="31" t="s">
        <v>3163</v>
      </c>
      <c r="F1393" s="32">
        <v>44970.0</v>
      </c>
      <c r="G1393" s="32">
        <v>45029.0</v>
      </c>
      <c r="H1393" s="31" t="s">
        <v>453</v>
      </c>
      <c r="I1393" s="31" t="s">
        <v>454</v>
      </c>
      <c r="J1393" s="31" t="s">
        <v>3163</v>
      </c>
      <c r="K1393" s="31" t="s">
        <v>3164</v>
      </c>
      <c r="L1393" s="31" t="s">
        <v>3165</v>
      </c>
      <c r="M1393" s="31" t="s">
        <v>5956</v>
      </c>
      <c r="N1393" s="31" t="s">
        <v>267</v>
      </c>
      <c r="O1393" s="34"/>
      <c r="P1393" s="34"/>
      <c r="Q1393" s="31" t="s">
        <v>307</v>
      </c>
      <c r="R1393" s="32">
        <v>36988.0</v>
      </c>
      <c r="S1393" s="31" t="s">
        <v>560</v>
      </c>
      <c r="T1393" s="31" t="s">
        <v>5957</v>
      </c>
      <c r="U1393" s="31" t="s">
        <v>460</v>
      </c>
      <c r="V1393" s="34"/>
      <c r="W1393" s="34"/>
    </row>
    <row r="1394">
      <c r="A1394" s="30">
        <v>1.389</v>
      </c>
      <c r="B1394" s="31" t="s">
        <v>5958</v>
      </c>
      <c r="C1394" s="31" t="s">
        <v>5959</v>
      </c>
      <c r="D1394" s="31" t="s">
        <v>3162</v>
      </c>
      <c r="E1394" s="31" t="s">
        <v>3163</v>
      </c>
      <c r="F1394" s="32">
        <v>44970.0</v>
      </c>
      <c r="G1394" s="32">
        <v>45029.0</v>
      </c>
      <c r="H1394" s="31" t="s">
        <v>453</v>
      </c>
      <c r="I1394" s="31" t="s">
        <v>454</v>
      </c>
      <c r="J1394" s="31" t="s">
        <v>3163</v>
      </c>
      <c r="K1394" s="31" t="s">
        <v>3164</v>
      </c>
      <c r="L1394" s="31" t="s">
        <v>3165</v>
      </c>
      <c r="M1394" s="31" t="s">
        <v>5960</v>
      </c>
      <c r="N1394" s="31" t="s">
        <v>467</v>
      </c>
      <c r="O1394" s="34"/>
      <c r="P1394" s="34"/>
      <c r="Q1394" s="31" t="s">
        <v>307</v>
      </c>
      <c r="R1394" s="32">
        <v>34643.0</v>
      </c>
      <c r="S1394" s="31" t="s">
        <v>1584</v>
      </c>
      <c r="T1394" s="31" t="s">
        <v>1532</v>
      </c>
      <c r="U1394" s="31" t="s">
        <v>460</v>
      </c>
      <c r="V1394" s="34"/>
      <c r="W1394" s="34"/>
    </row>
    <row r="1395">
      <c r="A1395" s="30">
        <v>1.39</v>
      </c>
      <c r="B1395" s="31" t="s">
        <v>5961</v>
      </c>
      <c r="C1395" s="31" t="s">
        <v>5962</v>
      </c>
      <c r="D1395" s="31" t="s">
        <v>615</v>
      </c>
      <c r="E1395" s="31" t="s">
        <v>5118</v>
      </c>
      <c r="F1395" s="32">
        <v>44960.0</v>
      </c>
      <c r="G1395" s="32">
        <v>45019.0</v>
      </c>
      <c r="H1395" s="31" t="s">
        <v>453</v>
      </c>
      <c r="I1395" s="31" t="s">
        <v>454</v>
      </c>
      <c r="J1395" s="31" t="s">
        <v>4823</v>
      </c>
      <c r="K1395" s="31" t="s">
        <v>5119</v>
      </c>
      <c r="L1395" s="31" t="s">
        <v>618</v>
      </c>
      <c r="M1395" s="31" t="s">
        <v>5963</v>
      </c>
      <c r="N1395" s="31" t="s">
        <v>467</v>
      </c>
      <c r="O1395" s="34"/>
      <c r="P1395" s="34"/>
      <c r="Q1395" s="31" t="s">
        <v>307</v>
      </c>
      <c r="R1395" s="32">
        <v>36395.0</v>
      </c>
      <c r="S1395" s="31" t="s">
        <v>5964</v>
      </c>
      <c r="T1395" s="31" t="s">
        <v>2685</v>
      </c>
      <c r="U1395" s="31" t="s">
        <v>460</v>
      </c>
      <c r="V1395" s="31" t="s">
        <v>5118</v>
      </c>
      <c r="W1395" s="34"/>
    </row>
    <row r="1396">
      <c r="A1396" s="30">
        <v>1.391</v>
      </c>
      <c r="B1396" s="31" t="s">
        <v>5965</v>
      </c>
      <c r="C1396" s="31" t="s">
        <v>5966</v>
      </c>
      <c r="D1396" s="31" t="s">
        <v>472</v>
      </c>
      <c r="E1396" s="31" t="s">
        <v>4379</v>
      </c>
      <c r="F1396" s="32">
        <v>44960.0</v>
      </c>
      <c r="G1396" s="32">
        <v>45017.0</v>
      </c>
      <c r="H1396" s="31" t="s">
        <v>453</v>
      </c>
      <c r="I1396" s="31" t="s">
        <v>607</v>
      </c>
      <c r="J1396" s="31" t="s">
        <v>4380</v>
      </c>
      <c r="K1396" s="31" t="s">
        <v>4381</v>
      </c>
      <c r="L1396" s="31" t="s">
        <v>476</v>
      </c>
      <c r="M1396" s="31" t="s">
        <v>5967</v>
      </c>
      <c r="N1396" s="31" t="s">
        <v>467</v>
      </c>
      <c r="O1396" s="34"/>
      <c r="P1396" s="34"/>
      <c r="Q1396" s="31" t="s">
        <v>307</v>
      </c>
      <c r="R1396" s="35">
        <v>37182.0</v>
      </c>
      <c r="S1396" s="31" t="s">
        <v>2700</v>
      </c>
      <c r="T1396" s="31" t="s">
        <v>5968</v>
      </c>
      <c r="U1396" s="31" t="s">
        <v>643</v>
      </c>
      <c r="V1396" s="31" t="s">
        <v>4379</v>
      </c>
      <c r="W1396" s="34"/>
    </row>
    <row r="1397">
      <c r="A1397" s="30">
        <v>1.392</v>
      </c>
      <c r="B1397" s="31" t="s">
        <v>5969</v>
      </c>
      <c r="C1397" s="31" t="s">
        <v>5970</v>
      </c>
      <c r="D1397" s="31" t="s">
        <v>472</v>
      </c>
      <c r="E1397" s="31" t="s">
        <v>3419</v>
      </c>
      <c r="F1397" s="32">
        <v>44958.0</v>
      </c>
      <c r="G1397" s="32">
        <v>45017.0</v>
      </c>
      <c r="H1397" s="31" t="s">
        <v>453</v>
      </c>
      <c r="I1397" s="31" t="s">
        <v>454</v>
      </c>
      <c r="J1397" s="31" t="s">
        <v>3188</v>
      </c>
      <c r="K1397" s="31" t="s">
        <v>3420</v>
      </c>
      <c r="L1397" s="31" t="s">
        <v>476</v>
      </c>
      <c r="M1397" s="31" t="s">
        <v>5971</v>
      </c>
      <c r="N1397" s="31" t="s">
        <v>467</v>
      </c>
      <c r="O1397" s="34"/>
      <c r="P1397" s="34"/>
      <c r="Q1397" s="31" t="s">
        <v>307</v>
      </c>
      <c r="R1397" s="32">
        <v>36673.0</v>
      </c>
      <c r="S1397" s="31" t="s">
        <v>591</v>
      </c>
      <c r="T1397" s="31" t="s">
        <v>5972</v>
      </c>
      <c r="U1397" s="31" t="s">
        <v>460</v>
      </c>
      <c r="V1397" s="31" t="s">
        <v>3419</v>
      </c>
      <c r="W1397" s="34"/>
    </row>
    <row r="1398">
      <c r="A1398" s="30">
        <v>1.393</v>
      </c>
      <c r="B1398" s="31" t="s">
        <v>5973</v>
      </c>
      <c r="C1398" s="31" t="s">
        <v>4384</v>
      </c>
      <c r="D1398" s="31" t="s">
        <v>472</v>
      </c>
      <c r="E1398" s="31" t="s">
        <v>4983</v>
      </c>
      <c r="F1398" s="32">
        <v>44958.0</v>
      </c>
      <c r="G1398" s="32">
        <v>45017.0</v>
      </c>
      <c r="H1398" s="31" t="s">
        <v>453</v>
      </c>
      <c r="I1398" s="31" t="s">
        <v>4330</v>
      </c>
      <c r="J1398" s="31" t="s">
        <v>4331</v>
      </c>
      <c r="K1398" s="31" t="s">
        <v>4984</v>
      </c>
      <c r="L1398" s="31" t="s">
        <v>476</v>
      </c>
      <c r="M1398" s="31" t="s">
        <v>5974</v>
      </c>
      <c r="N1398" s="31" t="s">
        <v>467</v>
      </c>
      <c r="O1398" s="34"/>
      <c r="P1398" s="34"/>
      <c r="Q1398" s="31" t="s">
        <v>307</v>
      </c>
      <c r="R1398" s="32">
        <v>36932.0</v>
      </c>
      <c r="S1398" s="31" t="s">
        <v>490</v>
      </c>
      <c r="T1398" s="31" t="s">
        <v>503</v>
      </c>
      <c r="U1398" s="31" t="s">
        <v>460</v>
      </c>
      <c r="V1398" s="31" t="s">
        <v>4983</v>
      </c>
      <c r="W1398" s="34"/>
    </row>
    <row r="1399">
      <c r="A1399" s="30">
        <v>1.394</v>
      </c>
      <c r="B1399" s="31" t="s">
        <v>5975</v>
      </c>
      <c r="C1399" s="31" t="s">
        <v>573</v>
      </c>
      <c r="D1399" s="31" t="s">
        <v>452</v>
      </c>
      <c r="E1399" s="31" t="s">
        <v>4329</v>
      </c>
      <c r="F1399" s="32">
        <v>44931.0</v>
      </c>
      <c r="G1399" s="32">
        <v>44990.0</v>
      </c>
      <c r="H1399" s="31" t="s">
        <v>453</v>
      </c>
      <c r="I1399" s="31" t="s">
        <v>4330</v>
      </c>
      <c r="J1399" s="31" t="s">
        <v>4331</v>
      </c>
      <c r="K1399" s="31" t="s">
        <v>4332</v>
      </c>
      <c r="L1399" s="31" t="s">
        <v>456</v>
      </c>
      <c r="M1399" s="31" t="s">
        <v>5976</v>
      </c>
      <c r="N1399" s="31" t="s">
        <v>267</v>
      </c>
      <c r="O1399" s="34"/>
      <c r="P1399" s="34"/>
      <c r="Q1399" s="31" t="s">
        <v>307</v>
      </c>
      <c r="R1399" s="32">
        <v>36530.0</v>
      </c>
      <c r="S1399" s="31" t="s">
        <v>717</v>
      </c>
      <c r="T1399" s="31" t="s">
        <v>985</v>
      </c>
      <c r="U1399" s="31" t="s">
        <v>460</v>
      </c>
      <c r="V1399" s="31" t="s">
        <v>4329</v>
      </c>
      <c r="W1399" s="34"/>
    </row>
    <row r="1400">
      <c r="A1400" s="30">
        <v>1.395</v>
      </c>
      <c r="B1400" s="31" t="s">
        <v>5977</v>
      </c>
      <c r="C1400" s="31" t="s">
        <v>5978</v>
      </c>
      <c r="D1400" s="31" t="s">
        <v>553</v>
      </c>
      <c r="E1400" s="31" t="s">
        <v>5106</v>
      </c>
      <c r="F1400" s="32">
        <v>44929.0</v>
      </c>
      <c r="G1400" s="32">
        <v>44988.0</v>
      </c>
      <c r="H1400" s="31" t="s">
        <v>453</v>
      </c>
      <c r="I1400" s="31" t="s">
        <v>454</v>
      </c>
      <c r="J1400" s="31" t="s">
        <v>5107</v>
      </c>
      <c r="K1400" s="31" t="s">
        <v>5108</v>
      </c>
      <c r="L1400" s="31" t="s">
        <v>558</v>
      </c>
      <c r="M1400" s="31" t="s">
        <v>5979</v>
      </c>
      <c r="N1400" s="31" t="s">
        <v>267</v>
      </c>
      <c r="O1400" s="34"/>
      <c r="P1400" s="34"/>
      <c r="Q1400" s="31" t="s">
        <v>307</v>
      </c>
      <c r="R1400" s="35">
        <v>36160.0</v>
      </c>
      <c r="S1400" s="31" t="s">
        <v>560</v>
      </c>
      <c r="T1400" s="31" t="s">
        <v>5980</v>
      </c>
      <c r="U1400" s="31" t="s">
        <v>480</v>
      </c>
      <c r="V1400" s="31" t="s">
        <v>5106</v>
      </c>
      <c r="W1400" s="34"/>
    </row>
    <row r="1401">
      <c r="A1401" s="30">
        <v>1.396</v>
      </c>
      <c r="B1401" s="31" t="s">
        <v>5981</v>
      </c>
      <c r="C1401" s="31" t="s">
        <v>5982</v>
      </c>
      <c r="D1401" s="31" t="s">
        <v>553</v>
      </c>
      <c r="E1401" s="31" t="s">
        <v>606</v>
      </c>
      <c r="F1401" s="35">
        <v>44914.0</v>
      </c>
      <c r="G1401" s="32">
        <v>44976.0</v>
      </c>
      <c r="H1401" s="31" t="s">
        <v>453</v>
      </c>
      <c r="I1401" s="31" t="s">
        <v>607</v>
      </c>
      <c r="J1401" s="31" t="s">
        <v>608</v>
      </c>
      <c r="K1401" s="31" t="s">
        <v>609</v>
      </c>
      <c r="L1401" s="31" t="s">
        <v>558</v>
      </c>
      <c r="M1401" s="31" t="s">
        <v>5983</v>
      </c>
      <c r="N1401" s="31" t="s">
        <v>267</v>
      </c>
      <c r="O1401" s="34"/>
      <c r="P1401" s="34"/>
      <c r="Q1401" s="31" t="s">
        <v>307</v>
      </c>
      <c r="R1401" s="32">
        <v>34919.0</v>
      </c>
      <c r="S1401" s="31" t="s">
        <v>560</v>
      </c>
      <c r="T1401" s="31" t="s">
        <v>5984</v>
      </c>
      <c r="U1401" s="31" t="s">
        <v>480</v>
      </c>
      <c r="V1401" s="31" t="s">
        <v>606</v>
      </c>
      <c r="W1401" s="34"/>
    </row>
    <row r="1402">
      <c r="A1402" s="30">
        <v>1.397</v>
      </c>
      <c r="B1402" s="31" t="s">
        <v>5985</v>
      </c>
      <c r="C1402" s="31" t="s">
        <v>5986</v>
      </c>
      <c r="D1402" s="31" t="s">
        <v>472</v>
      </c>
      <c r="E1402" s="31" t="s">
        <v>4379</v>
      </c>
      <c r="F1402" s="32">
        <v>44896.0</v>
      </c>
      <c r="G1402" s="32">
        <v>44958.0</v>
      </c>
      <c r="H1402" s="31" t="s">
        <v>453</v>
      </c>
      <c r="I1402" s="31" t="s">
        <v>607</v>
      </c>
      <c r="J1402" s="31" t="s">
        <v>4380</v>
      </c>
      <c r="K1402" s="31" t="s">
        <v>4381</v>
      </c>
      <c r="L1402" s="31" t="s">
        <v>476</v>
      </c>
      <c r="M1402" s="31" t="s">
        <v>5987</v>
      </c>
      <c r="N1402" s="31" t="s">
        <v>467</v>
      </c>
      <c r="O1402" s="34"/>
      <c r="P1402" s="34"/>
      <c r="Q1402" s="31" t="s">
        <v>307</v>
      </c>
      <c r="R1402" s="35">
        <v>36887.0</v>
      </c>
      <c r="S1402" s="31" t="s">
        <v>3415</v>
      </c>
      <c r="T1402" s="31" t="s">
        <v>1532</v>
      </c>
      <c r="U1402" s="31" t="s">
        <v>643</v>
      </c>
      <c r="V1402" s="31" t="s">
        <v>4379</v>
      </c>
      <c r="W1402" s="34"/>
    </row>
    <row r="1403">
      <c r="A1403" s="30">
        <v>1.398</v>
      </c>
      <c r="B1403" s="31" t="s">
        <v>5988</v>
      </c>
      <c r="C1403" s="31" t="s">
        <v>5989</v>
      </c>
      <c r="D1403" s="31" t="s">
        <v>472</v>
      </c>
      <c r="E1403" s="31" t="s">
        <v>4379</v>
      </c>
      <c r="F1403" s="32">
        <v>44896.0</v>
      </c>
      <c r="G1403" s="32">
        <v>44958.0</v>
      </c>
      <c r="H1403" s="31" t="s">
        <v>453</v>
      </c>
      <c r="I1403" s="31" t="s">
        <v>607</v>
      </c>
      <c r="J1403" s="31" t="s">
        <v>4380</v>
      </c>
      <c r="K1403" s="31" t="s">
        <v>4381</v>
      </c>
      <c r="L1403" s="31" t="s">
        <v>476</v>
      </c>
      <c r="M1403" s="31" t="s">
        <v>5990</v>
      </c>
      <c r="N1403" s="31" t="s">
        <v>467</v>
      </c>
      <c r="O1403" s="34"/>
      <c r="P1403" s="34"/>
      <c r="Q1403" s="31" t="s">
        <v>307</v>
      </c>
      <c r="R1403" s="32">
        <v>37126.0</v>
      </c>
      <c r="S1403" s="31" t="s">
        <v>502</v>
      </c>
      <c r="T1403" s="31" t="s">
        <v>2685</v>
      </c>
      <c r="U1403" s="31" t="s">
        <v>643</v>
      </c>
      <c r="V1403" s="31" t="s">
        <v>4379</v>
      </c>
      <c r="W1403" s="34"/>
    </row>
    <row r="1404">
      <c r="A1404" s="30">
        <v>1.399</v>
      </c>
      <c r="B1404" s="31" t="s">
        <v>5991</v>
      </c>
      <c r="C1404" s="31" t="s">
        <v>5992</v>
      </c>
      <c r="D1404" s="31" t="s">
        <v>2840</v>
      </c>
      <c r="E1404" s="31" t="s">
        <v>2841</v>
      </c>
      <c r="F1404" s="35">
        <v>44886.0</v>
      </c>
      <c r="G1404" s="32">
        <v>44947.0</v>
      </c>
      <c r="H1404" s="31" t="s">
        <v>453</v>
      </c>
      <c r="I1404" s="31" t="s">
        <v>2841</v>
      </c>
      <c r="J1404" s="34"/>
      <c r="K1404" s="31" t="s">
        <v>2842</v>
      </c>
      <c r="L1404" s="31" t="s">
        <v>2843</v>
      </c>
      <c r="M1404" s="31" t="s">
        <v>5993</v>
      </c>
      <c r="N1404" s="31" t="s">
        <v>467</v>
      </c>
      <c r="O1404" s="34"/>
      <c r="P1404" s="34"/>
      <c r="Q1404" s="31" t="s">
        <v>307</v>
      </c>
      <c r="R1404" s="35">
        <v>33900.0</v>
      </c>
      <c r="S1404" s="31" t="s">
        <v>5994</v>
      </c>
      <c r="T1404" s="31" t="s">
        <v>5995</v>
      </c>
      <c r="U1404" s="31" t="s">
        <v>480</v>
      </c>
      <c r="V1404" s="34"/>
      <c r="W1404" s="34"/>
    </row>
    <row r="1405">
      <c r="A1405" s="30">
        <v>1.4</v>
      </c>
      <c r="B1405" s="31" t="s">
        <v>5996</v>
      </c>
      <c r="C1405" s="31" t="s">
        <v>5997</v>
      </c>
      <c r="D1405" s="31" t="s">
        <v>3644</v>
      </c>
      <c r="E1405" s="31" t="s">
        <v>2463</v>
      </c>
      <c r="F1405" s="35">
        <v>44881.0</v>
      </c>
      <c r="G1405" s="32">
        <v>44942.0</v>
      </c>
      <c r="H1405" s="31" t="s">
        <v>453</v>
      </c>
      <c r="I1405" s="31" t="s">
        <v>2717</v>
      </c>
      <c r="J1405" s="31" t="s">
        <v>2463</v>
      </c>
      <c r="K1405" s="31" t="s">
        <v>5165</v>
      </c>
      <c r="L1405" s="31" t="s">
        <v>3646</v>
      </c>
      <c r="M1405" s="31" t="s">
        <v>5998</v>
      </c>
      <c r="N1405" s="31" t="s">
        <v>467</v>
      </c>
      <c r="O1405" s="34"/>
      <c r="P1405" s="34"/>
      <c r="Q1405" s="31" t="s">
        <v>307</v>
      </c>
      <c r="R1405" s="32">
        <v>34639.0</v>
      </c>
      <c r="S1405" s="31" t="s">
        <v>531</v>
      </c>
      <c r="T1405" s="31" t="s">
        <v>5999</v>
      </c>
      <c r="U1405" s="31" t="s">
        <v>460</v>
      </c>
      <c r="V1405" s="34"/>
      <c r="W1405" s="34"/>
    </row>
    <row r="1406">
      <c r="A1406" s="30">
        <v>1.401</v>
      </c>
      <c r="B1406" s="31" t="s">
        <v>6000</v>
      </c>
      <c r="C1406" s="31" t="s">
        <v>6001</v>
      </c>
      <c r="D1406" s="31" t="s">
        <v>452</v>
      </c>
      <c r="E1406" s="31" t="s">
        <v>6002</v>
      </c>
      <c r="F1406" s="32">
        <v>44838.0</v>
      </c>
      <c r="G1406" s="32">
        <v>44899.0</v>
      </c>
      <c r="H1406" s="31" t="s">
        <v>453</v>
      </c>
      <c r="I1406" s="31" t="s">
        <v>454</v>
      </c>
      <c r="J1406" s="31" t="s">
        <v>2669</v>
      </c>
      <c r="K1406" s="31" t="s">
        <v>6003</v>
      </c>
      <c r="L1406" s="31" t="s">
        <v>456</v>
      </c>
      <c r="M1406" s="31" t="s">
        <v>6004</v>
      </c>
      <c r="N1406" s="31" t="s">
        <v>267</v>
      </c>
      <c r="O1406" s="34"/>
      <c r="P1406" s="34"/>
      <c r="Q1406" s="31" t="s">
        <v>307</v>
      </c>
      <c r="R1406" s="32">
        <v>37035.0</v>
      </c>
      <c r="S1406" s="31" t="s">
        <v>3044</v>
      </c>
      <c r="T1406" s="31" t="s">
        <v>3159</v>
      </c>
      <c r="U1406" s="31" t="s">
        <v>480</v>
      </c>
      <c r="V1406" s="31" t="s">
        <v>6002</v>
      </c>
      <c r="W1406" s="34"/>
    </row>
    <row r="1407">
      <c r="A1407" s="30">
        <v>1.402</v>
      </c>
      <c r="B1407" s="31" t="s">
        <v>6005</v>
      </c>
      <c r="C1407" s="31" t="s">
        <v>6006</v>
      </c>
      <c r="D1407" s="31" t="s">
        <v>452</v>
      </c>
      <c r="E1407" s="31" t="s">
        <v>5387</v>
      </c>
      <c r="F1407" s="32">
        <v>44838.0</v>
      </c>
      <c r="G1407" s="32">
        <v>44899.0</v>
      </c>
      <c r="H1407" s="31" t="s">
        <v>453</v>
      </c>
      <c r="I1407" s="31" t="s">
        <v>2835</v>
      </c>
      <c r="J1407" s="31" t="s">
        <v>3564</v>
      </c>
      <c r="K1407" s="31" t="s">
        <v>5388</v>
      </c>
      <c r="L1407" s="31" t="s">
        <v>456</v>
      </c>
      <c r="M1407" s="31" t="s">
        <v>6007</v>
      </c>
      <c r="N1407" s="31" t="s">
        <v>467</v>
      </c>
      <c r="O1407" s="34"/>
      <c r="P1407" s="34"/>
      <c r="Q1407" s="31" t="s">
        <v>307</v>
      </c>
      <c r="R1407" s="32">
        <v>36907.0</v>
      </c>
      <c r="S1407" s="31" t="s">
        <v>320</v>
      </c>
      <c r="T1407" s="31" t="s">
        <v>3159</v>
      </c>
      <c r="U1407" s="31" t="s">
        <v>480</v>
      </c>
      <c r="V1407" s="31" t="s">
        <v>5387</v>
      </c>
      <c r="W1407" s="34"/>
    </row>
    <row r="1408">
      <c r="A1408" s="30">
        <v>1.403</v>
      </c>
      <c r="B1408" s="31" t="s">
        <v>6008</v>
      </c>
      <c r="C1408" s="31" t="s">
        <v>6009</v>
      </c>
      <c r="D1408" s="31" t="s">
        <v>3162</v>
      </c>
      <c r="E1408" s="31" t="s">
        <v>3163</v>
      </c>
      <c r="F1408" s="32">
        <v>44816.0</v>
      </c>
      <c r="G1408" s="35">
        <v>44877.0</v>
      </c>
      <c r="H1408" s="31" t="s">
        <v>453</v>
      </c>
      <c r="I1408" s="31" t="s">
        <v>454</v>
      </c>
      <c r="J1408" s="31" t="s">
        <v>3163</v>
      </c>
      <c r="K1408" s="31" t="s">
        <v>3164</v>
      </c>
      <c r="L1408" s="31" t="s">
        <v>3165</v>
      </c>
      <c r="M1408" s="31" t="s">
        <v>6010</v>
      </c>
      <c r="N1408" s="31" t="s">
        <v>267</v>
      </c>
      <c r="O1408" s="34"/>
      <c r="P1408" s="34"/>
      <c r="Q1408" s="31" t="s">
        <v>307</v>
      </c>
      <c r="R1408" s="35">
        <v>32870.0</v>
      </c>
      <c r="S1408" s="31" t="s">
        <v>560</v>
      </c>
      <c r="T1408" s="31" t="s">
        <v>469</v>
      </c>
      <c r="U1408" s="31" t="s">
        <v>460</v>
      </c>
      <c r="V1408" s="34"/>
      <c r="W1408" s="34"/>
    </row>
    <row r="1409">
      <c r="A1409" s="30">
        <v>1.404</v>
      </c>
      <c r="B1409" s="31" t="s">
        <v>6011</v>
      </c>
      <c r="C1409" s="31" t="s">
        <v>6012</v>
      </c>
      <c r="D1409" s="31" t="s">
        <v>472</v>
      </c>
      <c r="E1409" s="31" t="s">
        <v>606</v>
      </c>
      <c r="F1409" s="32">
        <v>44812.0</v>
      </c>
      <c r="G1409" s="32">
        <v>44873.0</v>
      </c>
      <c r="H1409" s="31" t="s">
        <v>453</v>
      </c>
      <c r="I1409" s="31" t="s">
        <v>607</v>
      </c>
      <c r="J1409" s="31" t="s">
        <v>608</v>
      </c>
      <c r="K1409" s="31" t="s">
        <v>609</v>
      </c>
      <c r="L1409" s="31" t="s">
        <v>476</v>
      </c>
      <c r="M1409" s="31" t="s">
        <v>6013</v>
      </c>
      <c r="N1409" s="31" t="s">
        <v>467</v>
      </c>
      <c r="O1409" s="34"/>
      <c r="P1409" s="34"/>
      <c r="Q1409" s="31" t="s">
        <v>307</v>
      </c>
      <c r="R1409" s="32">
        <v>36989.0</v>
      </c>
      <c r="S1409" s="31" t="s">
        <v>1622</v>
      </c>
      <c r="T1409" s="31" t="s">
        <v>1127</v>
      </c>
      <c r="U1409" s="31" t="s">
        <v>480</v>
      </c>
      <c r="V1409" s="31" t="s">
        <v>606</v>
      </c>
      <c r="W1409" s="34"/>
    </row>
    <row r="1410">
      <c r="A1410" s="30">
        <v>1.405</v>
      </c>
      <c r="B1410" s="31" t="s">
        <v>6014</v>
      </c>
      <c r="C1410" s="31" t="s">
        <v>6015</v>
      </c>
      <c r="D1410" s="31" t="s">
        <v>472</v>
      </c>
      <c r="E1410" s="31" t="s">
        <v>5282</v>
      </c>
      <c r="F1410" s="32">
        <v>44809.0</v>
      </c>
      <c r="G1410" s="32">
        <v>44870.0</v>
      </c>
      <c r="H1410" s="31" t="s">
        <v>453</v>
      </c>
      <c r="I1410" s="31" t="s">
        <v>47</v>
      </c>
      <c r="J1410" s="31" t="s">
        <v>4508</v>
      </c>
      <c r="K1410" s="31" t="s">
        <v>5283</v>
      </c>
      <c r="L1410" s="31" t="s">
        <v>476</v>
      </c>
      <c r="M1410" s="31" t="s">
        <v>6016</v>
      </c>
      <c r="N1410" s="31" t="s">
        <v>467</v>
      </c>
      <c r="O1410" s="34"/>
      <c r="P1410" s="34"/>
      <c r="Q1410" s="31" t="s">
        <v>307</v>
      </c>
      <c r="R1410" s="32">
        <v>36903.0</v>
      </c>
      <c r="S1410" s="31" t="s">
        <v>502</v>
      </c>
      <c r="T1410" s="31" t="s">
        <v>592</v>
      </c>
      <c r="U1410" s="31" t="s">
        <v>480</v>
      </c>
      <c r="V1410" s="31" t="s">
        <v>5282</v>
      </c>
      <c r="W1410" s="34"/>
    </row>
    <row r="1411">
      <c r="A1411" s="30">
        <v>1.406</v>
      </c>
      <c r="B1411" s="31" t="s">
        <v>6017</v>
      </c>
      <c r="C1411" s="31" t="s">
        <v>6018</v>
      </c>
      <c r="D1411" s="31" t="s">
        <v>472</v>
      </c>
      <c r="E1411" s="31" t="s">
        <v>4991</v>
      </c>
      <c r="F1411" s="32">
        <v>44802.0</v>
      </c>
      <c r="G1411" s="35">
        <v>44863.0</v>
      </c>
      <c r="H1411" s="31" t="s">
        <v>453</v>
      </c>
      <c r="I1411" s="31" t="s">
        <v>454</v>
      </c>
      <c r="J1411" s="31" t="s">
        <v>3217</v>
      </c>
      <c r="K1411" s="31" t="s">
        <v>4992</v>
      </c>
      <c r="L1411" s="31" t="s">
        <v>476</v>
      </c>
      <c r="M1411" s="31" t="s">
        <v>6019</v>
      </c>
      <c r="N1411" s="31" t="s">
        <v>467</v>
      </c>
      <c r="O1411" s="34"/>
      <c r="P1411" s="34"/>
      <c r="Q1411" s="31" t="s">
        <v>307</v>
      </c>
      <c r="R1411" s="32">
        <v>37038.0</v>
      </c>
      <c r="S1411" s="31" t="s">
        <v>560</v>
      </c>
      <c r="T1411" s="31" t="s">
        <v>6020</v>
      </c>
      <c r="U1411" s="31" t="s">
        <v>480</v>
      </c>
      <c r="V1411" s="31" t="s">
        <v>4991</v>
      </c>
      <c r="W1411" s="34"/>
    </row>
    <row r="1412">
      <c r="A1412" s="30">
        <v>1.407</v>
      </c>
      <c r="B1412" s="31" t="s">
        <v>6021</v>
      </c>
      <c r="C1412" s="31" t="s">
        <v>6022</v>
      </c>
      <c r="D1412" s="31" t="s">
        <v>472</v>
      </c>
      <c r="E1412" s="31" t="s">
        <v>606</v>
      </c>
      <c r="F1412" s="32">
        <v>44827.0</v>
      </c>
      <c r="G1412" s="35">
        <v>44888.0</v>
      </c>
      <c r="H1412" s="31" t="s">
        <v>453</v>
      </c>
      <c r="I1412" s="31" t="s">
        <v>607</v>
      </c>
      <c r="J1412" s="31" t="s">
        <v>608</v>
      </c>
      <c r="K1412" s="31" t="s">
        <v>609</v>
      </c>
      <c r="L1412" s="31" t="s">
        <v>476</v>
      </c>
      <c r="M1412" s="31" t="s">
        <v>6023</v>
      </c>
      <c r="N1412" s="31" t="s">
        <v>467</v>
      </c>
      <c r="O1412" s="34"/>
      <c r="P1412" s="34"/>
      <c r="Q1412" s="31" t="s">
        <v>307</v>
      </c>
      <c r="R1412" s="35">
        <v>37240.0</v>
      </c>
      <c r="S1412" s="31" t="s">
        <v>560</v>
      </c>
      <c r="T1412" s="31" t="s">
        <v>5465</v>
      </c>
      <c r="U1412" s="31" t="s">
        <v>480</v>
      </c>
      <c r="V1412" s="31" t="s">
        <v>606</v>
      </c>
      <c r="W1412" s="34"/>
    </row>
    <row r="1413">
      <c r="A1413" s="30">
        <v>1.408</v>
      </c>
      <c r="B1413" s="31" t="s">
        <v>6024</v>
      </c>
      <c r="C1413" s="31" t="s">
        <v>6025</v>
      </c>
      <c r="D1413" s="31" t="s">
        <v>452</v>
      </c>
      <c r="E1413" s="31" t="s">
        <v>5387</v>
      </c>
      <c r="F1413" s="32">
        <v>44781.0</v>
      </c>
      <c r="G1413" s="32">
        <v>44842.0</v>
      </c>
      <c r="H1413" s="31" t="s">
        <v>453</v>
      </c>
      <c r="I1413" s="31" t="s">
        <v>2835</v>
      </c>
      <c r="J1413" s="31" t="s">
        <v>3564</v>
      </c>
      <c r="K1413" s="31" t="s">
        <v>5388</v>
      </c>
      <c r="L1413" s="31" t="s">
        <v>456</v>
      </c>
      <c r="M1413" s="31" t="s">
        <v>6026</v>
      </c>
      <c r="N1413" s="31" t="s">
        <v>267</v>
      </c>
      <c r="O1413" s="34"/>
      <c r="P1413" s="34"/>
      <c r="Q1413" s="31" t="s">
        <v>307</v>
      </c>
      <c r="R1413" s="32">
        <v>36388.0</v>
      </c>
      <c r="S1413" s="31" t="s">
        <v>320</v>
      </c>
      <c r="T1413" s="31" t="s">
        <v>4089</v>
      </c>
      <c r="U1413" s="31" t="s">
        <v>480</v>
      </c>
      <c r="V1413" s="31" t="s">
        <v>5387</v>
      </c>
      <c r="W1413" s="34"/>
    </row>
    <row r="1414">
      <c r="A1414" s="30">
        <v>1.409</v>
      </c>
      <c r="B1414" s="31" t="s">
        <v>6027</v>
      </c>
      <c r="C1414" s="31" t="s">
        <v>6028</v>
      </c>
      <c r="D1414" s="31" t="s">
        <v>452</v>
      </c>
      <c r="E1414" s="31" t="s">
        <v>616</v>
      </c>
      <c r="F1414" s="32">
        <v>44781.0</v>
      </c>
      <c r="G1414" s="32">
        <v>44842.0</v>
      </c>
      <c r="H1414" s="31" t="s">
        <v>453</v>
      </c>
      <c r="I1414" s="31" t="s">
        <v>555</v>
      </c>
      <c r="J1414" s="31" t="s">
        <v>556</v>
      </c>
      <c r="K1414" s="31" t="s">
        <v>617</v>
      </c>
      <c r="L1414" s="31" t="s">
        <v>456</v>
      </c>
      <c r="M1414" s="31" t="s">
        <v>6029</v>
      </c>
      <c r="N1414" s="31" t="s">
        <v>267</v>
      </c>
      <c r="O1414" s="34"/>
      <c r="P1414" s="34"/>
      <c r="Q1414" s="31" t="s">
        <v>307</v>
      </c>
      <c r="R1414" s="32">
        <v>36692.0</v>
      </c>
      <c r="S1414" s="31" t="s">
        <v>320</v>
      </c>
      <c r="T1414" s="31" t="s">
        <v>4089</v>
      </c>
      <c r="U1414" s="31" t="s">
        <v>480</v>
      </c>
      <c r="V1414" s="31" t="s">
        <v>616</v>
      </c>
      <c r="W1414" s="34"/>
    </row>
    <row r="1415">
      <c r="A1415" s="30">
        <v>1.41</v>
      </c>
      <c r="B1415" s="31" t="s">
        <v>6030</v>
      </c>
      <c r="C1415" s="31" t="s">
        <v>6031</v>
      </c>
      <c r="D1415" s="31" t="s">
        <v>553</v>
      </c>
      <c r="E1415" s="31" t="s">
        <v>4822</v>
      </c>
      <c r="F1415" s="32">
        <v>44666.0</v>
      </c>
      <c r="G1415" s="32">
        <v>44727.0</v>
      </c>
      <c r="H1415" s="31" t="s">
        <v>453</v>
      </c>
      <c r="I1415" s="31" t="s">
        <v>454</v>
      </c>
      <c r="J1415" s="31" t="s">
        <v>4823</v>
      </c>
      <c r="K1415" s="31" t="s">
        <v>4824</v>
      </c>
      <c r="L1415" s="31" t="s">
        <v>558</v>
      </c>
      <c r="M1415" s="31" t="s">
        <v>6032</v>
      </c>
      <c r="N1415" s="31" t="s">
        <v>267</v>
      </c>
      <c r="O1415" s="34"/>
      <c r="P1415" s="34"/>
      <c r="Q1415" s="31" t="s">
        <v>307</v>
      </c>
      <c r="R1415" s="32">
        <v>36137.0</v>
      </c>
      <c r="S1415" s="31" t="s">
        <v>531</v>
      </c>
      <c r="T1415" s="31" t="s">
        <v>722</v>
      </c>
      <c r="U1415" s="31" t="s">
        <v>460</v>
      </c>
      <c r="V1415" s="31" t="s">
        <v>4822</v>
      </c>
      <c r="W1415" s="34"/>
    </row>
    <row r="1416">
      <c r="A1416" s="30">
        <v>1.411</v>
      </c>
      <c r="B1416" s="31" t="s">
        <v>6033</v>
      </c>
      <c r="C1416" s="31" t="s">
        <v>4873</v>
      </c>
      <c r="D1416" s="31" t="s">
        <v>553</v>
      </c>
      <c r="E1416" s="31" t="s">
        <v>2696</v>
      </c>
      <c r="F1416" s="32">
        <v>44666.0</v>
      </c>
      <c r="G1416" s="32">
        <v>44727.0</v>
      </c>
      <c r="H1416" s="31" t="s">
        <v>453</v>
      </c>
      <c r="I1416" s="31" t="s">
        <v>607</v>
      </c>
      <c r="J1416" s="31" t="s">
        <v>2697</v>
      </c>
      <c r="K1416" s="31" t="s">
        <v>2698</v>
      </c>
      <c r="L1416" s="31" t="s">
        <v>558</v>
      </c>
      <c r="M1416" s="31" t="s">
        <v>6034</v>
      </c>
      <c r="N1416" s="31" t="s">
        <v>267</v>
      </c>
      <c r="O1416" s="34"/>
      <c r="P1416" s="34"/>
      <c r="Q1416" s="31" t="s">
        <v>307</v>
      </c>
      <c r="R1416" s="32">
        <v>33942.0</v>
      </c>
      <c r="S1416" s="31" t="s">
        <v>1197</v>
      </c>
      <c r="T1416" s="31" t="s">
        <v>6035</v>
      </c>
      <c r="U1416" s="31" t="s">
        <v>643</v>
      </c>
      <c r="V1416" s="31" t="s">
        <v>2696</v>
      </c>
      <c r="W1416" s="34"/>
    </row>
    <row r="1417">
      <c r="A1417" s="30">
        <v>1.412</v>
      </c>
      <c r="B1417" s="31" t="s">
        <v>6036</v>
      </c>
      <c r="C1417" s="31" t="s">
        <v>6037</v>
      </c>
      <c r="D1417" s="31" t="s">
        <v>472</v>
      </c>
      <c r="E1417" s="31" t="s">
        <v>4611</v>
      </c>
      <c r="F1417" s="32">
        <v>44657.0</v>
      </c>
      <c r="G1417" s="32">
        <v>44718.0</v>
      </c>
      <c r="H1417" s="31" t="s">
        <v>453</v>
      </c>
      <c r="I1417" s="31" t="s">
        <v>2835</v>
      </c>
      <c r="J1417" s="31" t="s">
        <v>4612</v>
      </c>
      <c r="K1417" s="31" t="s">
        <v>4613</v>
      </c>
      <c r="L1417" s="31" t="s">
        <v>3050</v>
      </c>
      <c r="M1417" s="31" t="s">
        <v>6038</v>
      </c>
      <c r="N1417" s="31" t="s">
        <v>467</v>
      </c>
      <c r="O1417" s="34"/>
      <c r="P1417" s="34"/>
      <c r="Q1417" s="31" t="s">
        <v>307</v>
      </c>
      <c r="R1417" s="32">
        <v>36598.0</v>
      </c>
      <c r="S1417" s="31" t="s">
        <v>5064</v>
      </c>
      <c r="T1417" s="31" t="s">
        <v>2685</v>
      </c>
      <c r="U1417" s="31" t="s">
        <v>480</v>
      </c>
      <c r="V1417" s="31" t="s">
        <v>4611</v>
      </c>
      <c r="W1417" s="34"/>
    </row>
    <row r="1418">
      <c r="A1418" s="30">
        <v>1.413</v>
      </c>
      <c r="B1418" s="31" t="s">
        <v>6039</v>
      </c>
      <c r="C1418" s="31" t="s">
        <v>6040</v>
      </c>
      <c r="D1418" s="31" t="s">
        <v>472</v>
      </c>
      <c r="E1418" s="31" t="s">
        <v>5091</v>
      </c>
      <c r="F1418" s="32">
        <v>44634.0</v>
      </c>
      <c r="G1418" s="32">
        <v>44695.0</v>
      </c>
      <c r="H1418" s="31" t="s">
        <v>453</v>
      </c>
      <c r="I1418" s="31" t="s">
        <v>2835</v>
      </c>
      <c r="J1418" s="31" t="s">
        <v>4612</v>
      </c>
      <c r="K1418" s="31" t="s">
        <v>5092</v>
      </c>
      <c r="L1418" s="31" t="s">
        <v>476</v>
      </c>
      <c r="M1418" s="31" t="s">
        <v>6041</v>
      </c>
      <c r="N1418" s="31" t="s">
        <v>467</v>
      </c>
      <c r="O1418" s="34"/>
      <c r="P1418" s="34"/>
      <c r="Q1418" s="31" t="s">
        <v>307</v>
      </c>
      <c r="R1418" s="35">
        <v>36891.0</v>
      </c>
      <c r="S1418" s="31" t="s">
        <v>6042</v>
      </c>
      <c r="T1418" s="31" t="s">
        <v>496</v>
      </c>
      <c r="U1418" s="31" t="s">
        <v>480</v>
      </c>
      <c r="V1418" s="31" t="s">
        <v>5091</v>
      </c>
      <c r="W1418" s="34"/>
    </row>
    <row r="1419">
      <c r="A1419" s="30">
        <v>1.414</v>
      </c>
      <c r="B1419" s="31" t="s">
        <v>6043</v>
      </c>
      <c r="C1419" s="31" t="s">
        <v>6044</v>
      </c>
      <c r="D1419" s="31" t="s">
        <v>472</v>
      </c>
      <c r="E1419" s="31" t="s">
        <v>2696</v>
      </c>
      <c r="F1419" s="32">
        <v>44539.0</v>
      </c>
      <c r="G1419" s="32">
        <v>44601.0</v>
      </c>
      <c r="H1419" s="31" t="s">
        <v>453</v>
      </c>
      <c r="I1419" s="31" t="s">
        <v>607</v>
      </c>
      <c r="J1419" s="31" t="s">
        <v>2697</v>
      </c>
      <c r="K1419" s="31" t="s">
        <v>2698</v>
      </c>
      <c r="L1419" s="31" t="s">
        <v>476</v>
      </c>
      <c r="M1419" s="31" t="s">
        <v>6045</v>
      </c>
      <c r="N1419" s="31" t="s">
        <v>467</v>
      </c>
      <c r="O1419" s="34"/>
      <c r="P1419" s="34"/>
      <c r="Q1419" s="31" t="s">
        <v>307</v>
      </c>
      <c r="R1419" s="32">
        <v>35262.0</v>
      </c>
      <c r="S1419" s="31" t="s">
        <v>560</v>
      </c>
      <c r="T1419" s="31" t="s">
        <v>5655</v>
      </c>
      <c r="U1419" s="31" t="s">
        <v>643</v>
      </c>
      <c r="V1419" s="31" t="s">
        <v>2696</v>
      </c>
      <c r="W1419" s="34"/>
    </row>
    <row r="1420">
      <c r="A1420" s="30">
        <v>1.415</v>
      </c>
      <c r="B1420" s="31" t="s">
        <v>6046</v>
      </c>
      <c r="C1420" s="31" t="s">
        <v>6047</v>
      </c>
      <c r="D1420" s="31" t="s">
        <v>472</v>
      </c>
      <c r="E1420" s="31" t="s">
        <v>2675</v>
      </c>
      <c r="F1420" s="32">
        <v>44501.0</v>
      </c>
      <c r="G1420" s="32">
        <v>44562.0</v>
      </c>
      <c r="H1420" s="31" t="s">
        <v>453</v>
      </c>
      <c r="I1420" s="31" t="s">
        <v>454</v>
      </c>
      <c r="J1420" s="31" t="s">
        <v>2676</v>
      </c>
      <c r="K1420" s="31" t="s">
        <v>2677</v>
      </c>
      <c r="L1420" s="31" t="s">
        <v>476</v>
      </c>
      <c r="M1420" s="31" t="s">
        <v>6048</v>
      </c>
      <c r="N1420" s="31" t="s">
        <v>467</v>
      </c>
      <c r="O1420" s="34"/>
      <c r="P1420" s="34"/>
      <c r="Q1420" s="31" t="s">
        <v>307</v>
      </c>
      <c r="R1420" s="35">
        <v>36871.0</v>
      </c>
      <c r="S1420" s="31" t="s">
        <v>560</v>
      </c>
      <c r="T1420" s="31" t="s">
        <v>1370</v>
      </c>
      <c r="U1420" s="31" t="s">
        <v>480</v>
      </c>
      <c r="V1420" s="31" t="s">
        <v>2675</v>
      </c>
      <c r="W1420" s="34"/>
    </row>
    <row r="1421">
      <c r="A1421" s="30">
        <v>1.416</v>
      </c>
      <c r="B1421" s="31" t="s">
        <v>6049</v>
      </c>
      <c r="C1421" s="31" t="s">
        <v>6050</v>
      </c>
      <c r="D1421" s="31" t="s">
        <v>472</v>
      </c>
      <c r="E1421" s="31" t="s">
        <v>4379</v>
      </c>
      <c r="F1421" s="32">
        <v>44452.0</v>
      </c>
      <c r="G1421" s="35">
        <v>44513.0</v>
      </c>
      <c r="H1421" s="31" t="s">
        <v>453</v>
      </c>
      <c r="I1421" s="31" t="s">
        <v>607</v>
      </c>
      <c r="J1421" s="31" t="s">
        <v>4380</v>
      </c>
      <c r="K1421" s="31" t="s">
        <v>4381</v>
      </c>
      <c r="L1421" s="31" t="s">
        <v>476</v>
      </c>
      <c r="M1421" s="31" t="s">
        <v>6051</v>
      </c>
      <c r="N1421" s="31" t="s">
        <v>467</v>
      </c>
      <c r="O1421" s="34"/>
      <c r="P1421" s="34"/>
      <c r="Q1421" s="31" t="s">
        <v>307</v>
      </c>
      <c r="R1421" s="32">
        <v>36692.0</v>
      </c>
      <c r="S1421" s="31" t="s">
        <v>560</v>
      </c>
      <c r="T1421" s="31" t="s">
        <v>1370</v>
      </c>
      <c r="U1421" s="31" t="s">
        <v>643</v>
      </c>
      <c r="V1421" s="31" t="s">
        <v>4379</v>
      </c>
      <c r="W1421" s="34"/>
    </row>
    <row r="1422">
      <c r="A1422" s="30">
        <v>1.417</v>
      </c>
      <c r="B1422" s="31" t="s">
        <v>6052</v>
      </c>
      <c r="C1422" s="31" t="s">
        <v>6053</v>
      </c>
      <c r="D1422" s="31" t="s">
        <v>472</v>
      </c>
      <c r="E1422" s="31" t="s">
        <v>606</v>
      </c>
      <c r="F1422" s="32">
        <v>44445.0</v>
      </c>
      <c r="G1422" s="32">
        <v>44506.0</v>
      </c>
      <c r="H1422" s="31" t="s">
        <v>453</v>
      </c>
      <c r="I1422" s="31" t="s">
        <v>607</v>
      </c>
      <c r="J1422" s="31" t="s">
        <v>608</v>
      </c>
      <c r="K1422" s="31" t="s">
        <v>609</v>
      </c>
      <c r="L1422" s="31" t="s">
        <v>476</v>
      </c>
      <c r="M1422" s="31" t="s">
        <v>6054</v>
      </c>
      <c r="N1422" s="31" t="s">
        <v>467</v>
      </c>
      <c r="O1422" s="34"/>
      <c r="P1422" s="34"/>
      <c r="Q1422" s="31" t="s">
        <v>307</v>
      </c>
      <c r="R1422" s="32">
        <v>36746.0</v>
      </c>
      <c r="S1422" s="31" t="s">
        <v>560</v>
      </c>
      <c r="T1422" s="31" t="s">
        <v>3125</v>
      </c>
      <c r="U1422" s="31" t="s">
        <v>480</v>
      </c>
      <c r="V1422" s="31" t="s">
        <v>606</v>
      </c>
      <c r="W1422" s="34"/>
    </row>
    <row r="1423">
      <c r="A1423" s="30">
        <v>1.418</v>
      </c>
      <c r="B1423" s="31" t="s">
        <v>6055</v>
      </c>
      <c r="C1423" s="31" t="s">
        <v>6056</v>
      </c>
      <c r="D1423" s="31" t="s">
        <v>553</v>
      </c>
      <c r="E1423" s="31" t="s">
        <v>4836</v>
      </c>
      <c r="F1423" s="32">
        <v>44426.0</v>
      </c>
      <c r="G1423" s="35">
        <v>44487.0</v>
      </c>
      <c r="H1423" s="31" t="s">
        <v>453</v>
      </c>
      <c r="I1423" s="31" t="s">
        <v>47</v>
      </c>
      <c r="J1423" s="31" t="s">
        <v>4765</v>
      </c>
      <c r="K1423" s="31" t="s">
        <v>4837</v>
      </c>
      <c r="L1423" s="31" t="s">
        <v>558</v>
      </c>
      <c r="M1423" s="31" t="s">
        <v>6057</v>
      </c>
      <c r="N1423" s="31" t="s">
        <v>267</v>
      </c>
      <c r="O1423" s="34"/>
      <c r="P1423" s="34"/>
      <c r="Q1423" s="31" t="s">
        <v>307</v>
      </c>
      <c r="R1423" s="32">
        <v>35191.0</v>
      </c>
      <c r="S1423" s="31" t="s">
        <v>495</v>
      </c>
      <c r="T1423" s="31" t="s">
        <v>1604</v>
      </c>
      <c r="U1423" s="31" t="s">
        <v>480</v>
      </c>
      <c r="V1423" s="31" t="s">
        <v>4836</v>
      </c>
      <c r="W1423" s="34"/>
    </row>
    <row r="1424">
      <c r="A1424" s="30">
        <v>1.419</v>
      </c>
      <c r="B1424" s="31" t="s">
        <v>6058</v>
      </c>
      <c r="C1424" s="31" t="s">
        <v>6059</v>
      </c>
      <c r="D1424" s="31" t="s">
        <v>499</v>
      </c>
      <c r="E1424" s="31" t="s">
        <v>4414</v>
      </c>
      <c r="F1424" s="32">
        <v>43718.0</v>
      </c>
      <c r="G1424" s="35">
        <v>43779.0</v>
      </c>
      <c r="H1424" s="31" t="s">
        <v>453</v>
      </c>
      <c r="I1424" s="31" t="s">
        <v>607</v>
      </c>
      <c r="J1424" s="31" t="s">
        <v>4415</v>
      </c>
      <c r="K1424" s="31" t="s">
        <v>4416</v>
      </c>
      <c r="L1424" s="31" t="s">
        <v>500</v>
      </c>
      <c r="M1424" s="31" t="s">
        <v>6060</v>
      </c>
      <c r="N1424" s="31" t="s">
        <v>467</v>
      </c>
      <c r="O1424" s="31">
        <v>1.0</v>
      </c>
      <c r="P1424" s="34"/>
      <c r="Q1424" s="31" t="s">
        <v>307</v>
      </c>
      <c r="R1424" s="35">
        <v>35725.0</v>
      </c>
      <c r="S1424" s="31" t="s">
        <v>560</v>
      </c>
      <c r="T1424" s="31" t="s">
        <v>1370</v>
      </c>
      <c r="U1424" s="31" t="s">
        <v>643</v>
      </c>
      <c r="V1424" s="31" t="s">
        <v>4414</v>
      </c>
      <c r="W1424" s="34"/>
    </row>
    <row r="1425">
      <c r="A1425" s="30">
        <v>1.42</v>
      </c>
      <c r="B1425" s="31" t="s">
        <v>6061</v>
      </c>
      <c r="C1425" s="31" t="s">
        <v>6062</v>
      </c>
      <c r="D1425" s="31" t="s">
        <v>4909</v>
      </c>
      <c r="E1425" s="31" t="s">
        <v>4379</v>
      </c>
      <c r="F1425" s="32">
        <v>43678.0</v>
      </c>
      <c r="G1425" s="32">
        <v>43739.0</v>
      </c>
      <c r="H1425" s="31" t="s">
        <v>453</v>
      </c>
      <c r="I1425" s="31" t="s">
        <v>607</v>
      </c>
      <c r="J1425" s="31" t="s">
        <v>4380</v>
      </c>
      <c r="K1425" s="31" t="s">
        <v>4381</v>
      </c>
      <c r="L1425" s="31" t="s">
        <v>4910</v>
      </c>
      <c r="M1425" s="31" t="s">
        <v>6063</v>
      </c>
      <c r="N1425" s="31" t="s">
        <v>467</v>
      </c>
      <c r="O1425" s="34"/>
      <c r="P1425" s="34"/>
      <c r="Q1425" s="31" t="s">
        <v>307</v>
      </c>
      <c r="R1425" s="32">
        <v>35470.0</v>
      </c>
      <c r="S1425" s="31" t="s">
        <v>515</v>
      </c>
      <c r="T1425" s="31" t="s">
        <v>503</v>
      </c>
      <c r="U1425" s="31" t="s">
        <v>643</v>
      </c>
      <c r="V1425" s="31" t="s">
        <v>4379</v>
      </c>
      <c r="W1425" s="34"/>
    </row>
    <row r="1426">
      <c r="A1426" s="30">
        <v>1.421</v>
      </c>
      <c r="B1426" s="31" t="s">
        <v>6064</v>
      </c>
      <c r="C1426" s="31" t="s">
        <v>6065</v>
      </c>
      <c r="D1426" s="31" t="s">
        <v>472</v>
      </c>
      <c r="E1426" s="31" t="s">
        <v>3055</v>
      </c>
      <c r="F1426" s="32">
        <v>44167.0</v>
      </c>
      <c r="G1426" s="32">
        <v>44229.0</v>
      </c>
      <c r="H1426" s="31" t="s">
        <v>453</v>
      </c>
      <c r="I1426" s="31" t="s">
        <v>555</v>
      </c>
      <c r="J1426" s="31" t="s">
        <v>556</v>
      </c>
      <c r="K1426" s="31" t="s">
        <v>3056</v>
      </c>
      <c r="L1426" s="31" t="s">
        <v>476</v>
      </c>
      <c r="M1426" s="31" t="s">
        <v>6066</v>
      </c>
      <c r="N1426" s="31" t="s">
        <v>467</v>
      </c>
      <c r="O1426" s="34"/>
      <c r="P1426" s="34"/>
      <c r="Q1426" s="31" t="s">
        <v>307</v>
      </c>
      <c r="R1426" s="35">
        <v>36490.0</v>
      </c>
      <c r="S1426" s="31" t="s">
        <v>560</v>
      </c>
      <c r="T1426" s="31" t="s">
        <v>4435</v>
      </c>
      <c r="U1426" s="31" t="s">
        <v>480</v>
      </c>
      <c r="V1426" s="31" t="s">
        <v>3055</v>
      </c>
      <c r="W1426" s="34"/>
    </row>
    <row r="1427">
      <c r="A1427" s="30">
        <v>1.422</v>
      </c>
      <c r="B1427" s="31" t="s">
        <v>6067</v>
      </c>
      <c r="C1427" s="31" t="s">
        <v>6068</v>
      </c>
      <c r="D1427" s="31" t="s">
        <v>452</v>
      </c>
      <c r="E1427" s="31" t="s">
        <v>4446</v>
      </c>
      <c r="F1427" s="32">
        <v>43840.0</v>
      </c>
      <c r="G1427" s="32">
        <v>43900.0</v>
      </c>
      <c r="H1427" s="31" t="s">
        <v>453</v>
      </c>
      <c r="I1427" s="31" t="s">
        <v>607</v>
      </c>
      <c r="J1427" s="31" t="s">
        <v>2697</v>
      </c>
      <c r="K1427" s="31" t="s">
        <v>4447</v>
      </c>
      <c r="L1427" s="31" t="s">
        <v>456</v>
      </c>
      <c r="M1427" s="31" t="s">
        <v>6069</v>
      </c>
      <c r="N1427" s="31" t="s">
        <v>267</v>
      </c>
      <c r="O1427" s="34"/>
      <c r="P1427" s="34"/>
      <c r="Q1427" s="31" t="s">
        <v>307</v>
      </c>
      <c r="R1427" s="32">
        <v>34499.0</v>
      </c>
      <c r="S1427" s="31" t="s">
        <v>1197</v>
      </c>
      <c r="T1427" s="31" t="s">
        <v>778</v>
      </c>
      <c r="U1427" s="31" t="s">
        <v>643</v>
      </c>
      <c r="V1427" s="31" t="s">
        <v>4446</v>
      </c>
      <c r="W1427" s="34"/>
    </row>
    <row r="1428">
      <c r="A1428" s="30">
        <v>1.423</v>
      </c>
      <c r="B1428" s="31" t="s">
        <v>6070</v>
      </c>
      <c r="C1428" s="31" t="s">
        <v>6071</v>
      </c>
      <c r="D1428" s="31" t="s">
        <v>3106</v>
      </c>
      <c r="E1428" s="31" t="s">
        <v>5194</v>
      </c>
      <c r="F1428" s="32">
        <v>43570.0</v>
      </c>
      <c r="G1428" s="32">
        <v>43631.0</v>
      </c>
      <c r="H1428" s="31" t="s">
        <v>453</v>
      </c>
      <c r="I1428" s="31" t="s">
        <v>555</v>
      </c>
      <c r="J1428" s="31" t="s">
        <v>5194</v>
      </c>
      <c r="K1428" s="31" t="s">
        <v>5195</v>
      </c>
      <c r="L1428" s="31" t="s">
        <v>5040</v>
      </c>
      <c r="M1428" s="31" t="s">
        <v>6072</v>
      </c>
      <c r="N1428" s="31" t="s">
        <v>467</v>
      </c>
      <c r="O1428" s="34"/>
      <c r="P1428" s="34"/>
      <c r="Q1428" s="31" t="s">
        <v>307</v>
      </c>
      <c r="R1428" s="32">
        <v>34722.0</v>
      </c>
      <c r="S1428" s="31" t="s">
        <v>468</v>
      </c>
      <c r="T1428" s="31" t="s">
        <v>6073</v>
      </c>
      <c r="U1428" s="31" t="s">
        <v>480</v>
      </c>
      <c r="V1428" s="34"/>
      <c r="W1428" s="34"/>
    </row>
    <row r="1429">
      <c r="A1429" s="30">
        <v>1.424</v>
      </c>
      <c r="B1429" s="31" t="s">
        <v>6074</v>
      </c>
      <c r="C1429" s="31" t="s">
        <v>6075</v>
      </c>
      <c r="D1429" s="31" t="s">
        <v>472</v>
      </c>
      <c r="E1429" s="31" t="s">
        <v>6076</v>
      </c>
      <c r="F1429" s="32">
        <v>41885.0</v>
      </c>
      <c r="G1429" s="32">
        <v>41946.0</v>
      </c>
      <c r="H1429" s="31" t="s">
        <v>453</v>
      </c>
      <c r="I1429" s="31" t="s">
        <v>6077</v>
      </c>
      <c r="J1429" s="31" t="s">
        <v>6078</v>
      </c>
      <c r="K1429" s="31" t="s">
        <v>6079</v>
      </c>
      <c r="L1429" s="31" t="s">
        <v>3203</v>
      </c>
      <c r="M1429" s="31" t="s">
        <v>6080</v>
      </c>
      <c r="N1429" s="31" t="s">
        <v>467</v>
      </c>
      <c r="O1429" s="34"/>
      <c r="P1429" s="34"/>
      <c r="Q1429" s="31" t="s">
        <v>307</v>
      </c>
      <c r="R1429" s="32">
        <v>32717.0</v>
      </c>
      <c r="S1429" s="31" t="s">
        <v>6081</v>
      </c>
      <c r="T1429" s="31" t="s">
        <v>479</v>
      </c>
      <c r="U1429" s="31" t="s">
        <v>480</v>
      </c>
      <c r="V1429" s="31" t="s">
        <v>6076</v>
      </c>
      <c r="W1429" s="34"/>
    </row>
    <row r="1430">
      <c r="A1430" s="30">
        <v>1.425</v>
      </c>
      <c r="B1430" s="31" t="s">
        <v>6082</v>
      </c>
      <c r="C1430" s="31" t="s">
        <v>6083</v>
      </c>
      <c r="D1430" s="31" t="s">
        <v>472</v>
      </c>
      <c r="E1430" s="31" t="s">
        <v>3569</v>
      </c>
      <c r="F1430" s="32">
        <v>43178.0</v>
      </c>
      <c r="G1430" s="32">
        <v>43178.0</v>
      </c>
      <c r="H1430" s="31" t="s">
        <v>453</v>
      </c>
      <c r="I1430" s="31" t="s">
        <v>454</v>
      </c>
      <c r="J1430" s="31" t="s">
        <v>3569</v>
      </c>
      <c r="K1430" s="31" t="s">
        <v>3570</v>
      </c>
      <c r="L1430" s="31" t="s">
        <v>3050</v>
      </c>
      <c r="M1430" s="31" t="s">
        <v>6084</v>
      </c>
      <c r="N1430" s="31" t="s">
        <v>467</v>
      </c>
      <c r="O1430" s="34"/>
      <c r="P1430" s="34"/>
      <c r="Q1430" s="31" t="s">
        <v>307</v>
      </c>
      <c r="R1430" s="32">
        <v>34611.0</v>
      </c>
      <c r="S1430" s="31" t="s">
        <v>560</v>
      </c>
      <c r="T1430" s="31" t="s">
        <v>496</v>
      </c>
      <c r="U1430" s="31" t="s">
        <v>480</v>
      </c>
      <c r="V1430" s="34"/>
      <c r="W1430" s="34"/>
    </row>
    <row r="1431">
      <c r="A1431" s="30">
        <v>1.426</v>
      </c>
      <c r="B1431" s="31" t="s">
        <v>6085</v>
      </c>
      <c r="C1431" s="31" t="s">
        <v>6086</v>
      </c>
      <c r="D1431" s="31" t="s">
        <v>472</v>
      </c>
      <c r="E1431" s="31" t="s">
        <v>5499</v>
      </c>
      <c r="F1431" s="32">
        <v>44109.0</v>
      </c>
      <c r="G1431" s="32">
        <v>44170.0</v>
      </c>
      <c r="H1431" s="31" t="s">
        <v>453</v>
      </c>
      <c r="I1431" s="31" t="s">
        <v>607</v>
      </c>
      <c r="J1431" s="31" t="s">
        <v>3035</v>
      </c>
      <c r="K1431" s="31" t="s">
        <v>5500</v>
      </c>
      <c r="L1431" s="31" t="s">
        <v>476</v>
      </c>
      <c r="M1431" s="31" t="s">
        <v>6087</v>
      </c>
      <c r="N1431" s="31" t="s">
        <v>467</v>
      </c>
      <c r="O1431" s="34"/>
      <c r="P1431" s="34"/>
      <c r="Q1431" s="31" t="s">
        <v>307</v>
      </c>
      <c r="R1431" s="32">
        <v>35463.0</v>
      </c>
      <c r="S1431" s="31" t="s">
        <v>468</v>
      </c>
      <c r="T1431" s="31" t="s">
        <v>672</v>
      </c>
      <c r="U1431" s="31" t="s">
        <v>480</v>
      </c>
      <c r="V1431" s="31" t="s">
        <v>5499</v>
      </c>
      <c r="W1431" s="34"/>
    </row>
    <row r="1432">
      <c r="A1432" s="30">
        <v>1.427</v>
      </c>
      <c r="B1432" s="31" t="s">
        <v>6088</v>
      </c>
      <c r="C1432" s="31" t="s">
        <v>6089</v>
      </c>
      <c r="D1432" s="31" t="s">
        <v>499</v>
      </c>
      <c r="E1432" s="31" t="s">
        <v>4864</v>
      </c>
      <c r="F1432" s="32">
        <v>43378.0</v>
      </c>
      <c r="G1432" s="32">
        <v>43378.0</v>
      </c>
      <c r="H1432" s="31" t="s">
        <v>453</v>
      </c>
      <c r="I1432" s="31" t="s">
        <v>47</v>
      </c>
      <c r="J1432" s="31" t="s">
        <v>4502</v>
      </c>
      <c r="K1432" s="31" t="s">
        <v>4865</v>
      </c>
      <c r="L1432" s="31" t="s">
        <v>500</v>
      </c>
      <c r="M1432" s="31" t="s">
        <v>6090</v>
      </c>
      <c r="N1432" s="31" t="s">
        <v>467</v>
      </c>
      <c r="O1432" s="31">
        <v>1.0</v>
      </c>
      <c r="P1432" s="34"/>
      <c r="Q1432" s="31" t="s">
        <v>307</v>
      </c>
      <c r="R1432" s="32">
        <v>35515.0</v>
      </c>
      <c r="S1432" s="31" t="s">
        <v>560</v>
      </c>
      <c r="T1432" s="31" t="s">
        <v>503</v>
      </c>
      <c r="U1432" s="31" t="s">
        <v>480</v>
      </c>
      <c r="V1432" s="31" t="s">
        <v>4864</v>
      </c>
      <c r="W1432" s="34"/>
    </row>
    <row r="1433">
      <c r="A1433" s="30">
        <v>1.428</v>
      </c>
      <c r="B1433" s="31" t="s">
        <v>6091</v>
      </c>
      <c r="C1433" s="31" t="s">
        <v>6092</v>
      </c>
      <c r="D1433" s="31" t="s">
        <v>472</v>
      </c>
      <c r="E1433" s="31" t="s">
        <v>6093</v>
      </c>
      <c r="F1433" s="32">
        <v>44344.0</v>
      </c>
      <c r="G1433" s="32">
        <v>44405.0</v>
      </c>
      <c r="H1433" s="31" t="s">
        <v>453</v>
      </c>
      <c r="I1433" s="31" t="s">
        <v>607</v>
      </c>
      <c r="J1433" s="31" t="s">
        <v>5626</v>
      </c>
      <c r="K1433" s="31" t="s">
        <v>6094</v>
      </c>
      <c r="L1433" s="31" t="s">
        <v>476</v>
      </c>
      <c r="M1433" s="31" t="s">
        <v>6095</v>
      </c>
      <c r="N1433" s="31" t="s">
        <v>467</v>
      </c>
      <c r="O1433" s="34"/>
      <c r="P1433" s="34"/>
      <c r="Q1433" s="31" t="s">
        <v>307</v>
      </c>
      <c r="R1433" s="32">
        <v>36766.0</v>
      </c>
      <c r="S1433" s="31" t="s">
        <v>3205</v>
      </c>
      <c r="T1433" s="31" t="s">
        <v>479</v>
      </c>
      <c r="U1433" s="31" t="s">
        <v>480</v>
      </c>
      <c r="V1433" s="31" t="s">
        <v>6093</v>
      </c>
      <c r="W1433" s="34"/>
    </row>
    <row r="1434">
      <c r="A1434" s="30">
        <v>1.429</v>
      </c>
      <c r="B1434" s="31" t="s">
        <v>6096</v>
      </c>
      <c r="C1434" s="31" t="s">
        <v>6097</v>
      </c>
      <c r="D1434" s="31" t="s">
        <v>499</v>
      </c>
      <c r="E1434" s="31" t="s">
        <v>3055</v>
      </c>
      <c r="F1434" s="32">
        <v>44004.0</v>
      </c>
      <c r="G1434" s="32">
        <v>44065.0</v>
      </c>
      <c r="H1434" s="31" t="s">
        <v>453</v>
      </c>
      <c r="I1434" s="31" t="s">
        <v>555</v>
      </c>
      <c r="J1434" s="31" t="s">
        <v>556</v>
      </c>
      <c r="K1434" s="31" t="s">
        <v>3056</v>
      </c>
      <c r="L1434" s="31" t="s">
        <v>500</v>
      </c>
      <c r="M1434" s="31" t="s">
        <v>6098</v>
      </c>
      <c r="N1434" s="31" t="s">
        <v>467</v>
      </c>
      <c r="O1434" s="31">
        <v>1.0</v>
      </c>
      <c r="P1434" s="34"/>
      <c r="Q1434" s="31" t="s">
        <v>307</v>
      </c>
      <c r="R1434" s="32">
        <v>36287.0</v>
      </c>
      <c r="S1434" s="31" t="s">
        <v>560</v>
      </c>
      <c r="T1434" s="31" t="s">
        <v>961</v>
      </c>
      <c r="U1434" s="31" t="s">
        <v>480</v>
      </c>
      <c r="V1434" s="31" t="s">
        <v>3055</v>
      </c>
      <c r="W1434" s="34"/>
    </row>
    <row r="1435">
      <c r="A1435" s="30">
        <v>1.43</v>
      </c>
      <c r="B1435" s="31" t="s">
        <v>6099</v>
      </c>
      <c r="C1435" s="31" t="s">
        <v>6100</v>
      </c>
      <c r="D1435" s="31" t="s">
        <v>4747</v>
      </c>
      <c r="E1435" s="31" t="s">
        <v>3377</v>
      </c>
      <c r="F1435" s="35">
        <v>43416.0</v>
      </c>
      <c r="G1435" s="32">
        <v>43477.0</v>
      </c>
      <c r="H1435" s="31" t="s">
        <v>453</v>
      </c>
      <c r="I1435" s="31" t="s">
        <v>454</v>
      </c>
      <c r="J1435" s="31" t="s">
        <v>3378</v>
      </c>
      <c r="K1435" s="31" t="s">
        <v>3379</v>
      </c>
      <c r="L1435" s="31" t="s">
        <v>4748</v>
      </c>
      <c r="M1435" s="31" t="s">
        <v>6101</v>
      </c>
      <c r="N1435" s="31" t="s">
        <v>467</v>
      </c>
      <c r="O1435" s="34"/>
      <c r="P1435" s="34"/>
      <c r="Q1435" s="31" t="s">
        <v>307</v>
      </c>
      <c r="R1435" s="32">
        <v>35661.0</v>
      </c>
      <c r="S1435" s="31" t="s">
        <v>560</v>
      </c>
      <c r="T1435" s="31" t="s">
        <v>2685</v>
      </c>
      <c r="U1435" s="31" t="s">
        <v>460</v>
      </c>
      <c r="V1435" s="31" t="s">
        <v>3377</v>
      </c>
      <c r="W1435" s="34"/>
    </row>
    <row r="1436">
      <c r="A1436" s="30">
        <v>1.431</v>
      </c>
      <c r="B1436" s="31" t="s">
        <v>6102</v>
      </c>
      <c r="C1436" s="31" t="s">
        <v>6103</v>
      </c>
      <c r="D1436" s="31" t="s">
        <v>463</v>
      </c>
      <c r="E1436" s="31" t="s">
        <v>4864</v>
      </c>
      <c r="F1436" s="32">
        <v>43110.0</v>
      </c>
      <c r="G1436" s="32">
        <v>43169.0</v>
      </c>
      <c r="H1436" s="31" t="s">
        <v>453</v>
      </c>
      <c r="I1436" s="31" t="s">
        <v>47</v>
      </c>
      <c r="J1436" s="31" t="s">
        <v>4502</v>
      </c>
      <c r="K1436" s="31" t="s">
        <v>4865</v>
      </c>
      <c r="L1436" s="31" t="s">
        <v>465</v>
      </c>
      <c r="M1436" s="31" t="s">
        <v>6104</v>
      </c>
      <c r="N1436" s="31" t="s">
        <v>467</v>
      </c>
      <c r="O1436" s="31">
        <v>2.0</v>
      </c>
      <c r="P1436" s="34"/>
      <c r="Q1436" s="31" t="s">
        <v>307</v>
      </c>
      <c r="R1436" s="35">
        <v>32791.0</v>
      </c>
      <c r="S1436" s="31" t="s">
        <v>4675</v>
      </c>
      <c r="T1436" s="31" t="s">
        <v>496</v>
      </c>
      <c r="U1436" s="31" t="s">
        <v>480</v>
      </c>
      <c r="V1436" s="31" t="s">
        <v>4864</v>
      </c>
      <c r="W1436" s="34"/>
    </row>
    <row r="1437">
      <c r="A1437" s="30">
        <v>1.432</v>
      </c>
      <c r="B1437" s="31" t="s">
        <v>6105</v>
      </c>
      <c r="C1437" s="31" t="s">
        <v>6106</v>
      </c>
      <c r="D1437" s="31" t="s">
        <v>622</v>
      </c>
      <c r="E1437" s="31" t="s">
        <v>41</v>
      </c>
      <c r="F1437" s="32">
        <v>44309.0</v>
      </c>
      <c r="G1437" s="32">
        <v>44370.0</v>
      </c>
      <c r="H1437" s="31" t="s">
        <v>453</v>
      </c>
      <c r="I1437" s="31" t="s">
        <v>41</v>
      </c>
      <c r="J1437" s="34"/>
      <c r="K1437" s="31" t="s">
        <v>623</v>
      </c>
      <c r="L1437" s="31" t="s">
        <v>624</v>
      </c>
      <c r="M1437" s="31" t="s">
        <v>6107</v>
      </c>
      <c r="N1437" s="31" t="s">
        <v>467</v>
      </c>
      <c r="O1437" s="34"/>
      <c r="P1437" s="34"/>
      <c r="Q1437" s="31" t="s">
        <v>307</v>
      </c>
      <c r="R1437" s="32">
        <v>36065.0</v>
      </c>
      <c r="S1437" s="31" t="s">
        <v>560</v>
      </c>
      <c r="T1437" s="31" t="s">
        <v>6108</v>
      </c>
      <c r="U1437" s="31" t="s">
        <v>480</v>
      </c>
      <c r="V1437" s="34"/>
      <c r="W1437" s="34"/>
    </row>
    <row r="1438">
      <c r="A1438" s="30">
        <v>1.433</v>
      </c>
      <c r="B1438" s="31" t="s">
        <v>6109</v>
      </c>
      <c r="C1438" s="31" t="s">
        <v>6110</v>
      </c>
      <c r="D1438" s="31" t="s">
        <v>472</v>
      </c>
      <c r="E1438" s="31" t="s">
        <v>3419</v>
      </c>
      <c r="F1438" s="35">
        <v>42723.0</v>
      </c>
      <c r="G1438" s="32">
        <v>42785.0</v>
      </c>
      <c r="H1438" s="31" t="s">
        <v>453</v>
      </c>
      <c r="I1438" s="31" t="s">
        <v>454</v>
      </c>
      <c r="J1438" s="31" t="s">
        <v>3188</v>
      </c>
      <c r="K1438" s="31" t="s">
        <v>3420</v>
      </c>
      <c r="L1438" s="31" t="s">
        <v>476</v>
      </c>
      <c r="M1438" s="31" t="s">
        <v>6111</v>
      </c>
      <c r="N1438" s="31" t="s">
        <v>467</v>
      </c>
      <c r="O1438" s="34"/>
      <c r="P1438" s="34"/>
      <c r="Q1438" s="31" t="s">
        <v>307</v>
      </c>
      <c r="R1438" s="35">
        <v>33596.0</v>
      </c>
      <c r="S1438" s="31" t="s">
        <v>6112</v>
      </c>
      <c r="T1438" s="31" t="s">
        <v>6113</v>
      </c>
      <c r="U1438" s="31" t="s">
        <v>460</v>
      </c>
      <c r="V1438" s="31" t="s">
        <v>3419</v>
      </c>
      <c r="W1438" s="34"/>
    </row>
    <row r="1439">
      <c r="A1439" s="30">
        <v>1.434</v>
      </c>
      <c r="B1439" s="31" t="s">
        <v>6114</v>
      </c>
      <c r="C1439" s="31" t="s">
        <v>6115</v>
      </c>
      <c r="D1439" s="31" t="s">
        <v>472</v>
      </c>
      <c r="E1439" s="31" t="s">
        <v>2681</v>
      </c>
      <c r="F1439" s="32">
        <v>44203.0</v>
      </c>
      <c r="G1439" s="32">
        <v>44262.0</v>
      </c>
      <c r="H1439" s="31" t="s">
        <v>453</v>
      </c>
      <c r="I1439" s="31" t="s">
        <v>454</v>
      </c>
      <c r="J1439" s="31" t="s">
        <v>2682</v>
      </c>
      <c r="K1439" s="31" t="s">
        <v>2683</v>
      </c>
      <c r="L1439" s="31" t="s">
        <v>476</v>
      </c>
      <c r="M1439" s="31" t="s">
        <v>6116</v>
      </c>
      <c r="N1439" s="31" t="s">
        <v>467</v>
      </c>
      <c r="O1439" s="34"/>
      <c r="P1439" s="34"/>
      <c r="Q1439" s="31" t="s">
        <v>307</v>
      </c>
      <c r="R1439" s="32">
        <v>36697.0</v>
      </c>
      <c r="S1439" s="31" t="s">
        <v>1622</v>
      </c>
      <c r="T1439" s="31" t="s">
        <v>503</v>
      </c>
      <c r="U1439" s="31" t="s">
        <v>480</v>
      </c>
      <c r="V1439" s="31" t="s">
        <v>2681</v>
      </c>
      <c r="W1439" s="34"/>
    </row>
    <row r="1440">
      <c r="A1440" s="30">
        <v>1.435</v>
      </c>
      <c r="B1440" s="31" t="s">
        <v>6117</v>
      </c>
      <c r="C1440" s="31" t="s">
        <v>6118</v>
      </c>
      <c r="D1440" s="31" t="s">
        <v>472</v>
      </c>
      <c r="E1440" s="31" t="s">
        <v>2668</v>
      </c>
      <c r="F1440" s="32">
        <v>44987.0</v>
      </c>
      <c r="G1440" s="32">
        <v>45048.0</v>
      </c>
      <c r="H1440" s="31" t="s">
        <v>453</v>
      </c>
      <c r="I1440" s="31" t="s">
        <v>454</v>
      </c>
      <c r="J1440" s="31" t="s">
        <v>2669</v>
      </c>
      <c r="K1440" s="31" t="s">
        <v>2670</v>
      </c>
      <c r="L1440" s="31" t="s">
        <v>476</v>
      </c>
      <c r="M1440" s="31" t="s">
        <v>6119</v>
      </c>
      <c r="N1440" s="31" t="s">
        <v>467</v>
      </c>
      <c r="O1440" s="34"/>
      <c r="P1440" s="34"/>
      <c r="Q1440" s="31" t="s">
        <v>307</v>
      </c>
      <c r="R1440" s="35">
        <v>36525.0</v>
      </c>
      <c r="S1440" s="31" t="s">
        <v>560</v>
      </c>
      <c r="T1440" s="31" t="s">
        <v>5047</v>
      </c>
      <c r="U1440" s="31" t="s">
        <v>480</v>
      </c>
      <c r="V1440" s="31" t="s">
        <v>2668</v>
      </c>
      <c r="W1440" s="34"/>
    </row>
    <row r="1441">
      <c r="A1441" s="30">
        <v>1.436</v>
      </c>
      <c r="B1441" s="31" t="s">
        <v>6120</v>
      </c>
      <c r="C1441" s="31" t="s">
        <v>4374</v>
      </c>
      <c r="D1441" s="31" t="s">
        <v>615</v>
      </c>
      <c r="E1441" s="31" t="s">
        <v>3396</v>
      </c>
      <c r="F1441" s="32">
        <v>43363.0</v>
      </c>
      <c r="G1441" s="35">
        <v>43424.0</v>
      </c>
      <c r="H1441" s="31" t="s">
        <v>453</v>
      </c>
      <c r="I1441" s="31" t="s">
        <v>47</v>
      </c>
      <c r="J1441" s="31" t="s">
        <v>3397</v>
      </c>
      <c r="K1441" s="31" t="s">
        <v>3398</v>
      </c>
      <c r="L1441" s="31" t="s">
        <v>618</v>
      </c>
      <c r="M1441" s="31" t="s">
        <v>6121</v>
      </c>
      <c r="N1441" s="31" t="s">
        <v>467</v>
      </c>
      <c r="O1441" s="34"/>
      <c r="P1441" s="34"/>
      <c r="Q1441" s="31" t="s">
        <v>307</v>
      </c>
      <c r="R1441" s="32">
        <v>33313.0</v>
      </c>
      <c r="S1441" s="31" t="s">
        <v>320</v>
      </c>
      <c r="T1441" s="31" t="s">
        <v>6122</v>
      </c>
      <c r="U1441" s="31" t="s">
        <v>480</v>
      </c>
      <c r="V1441" s="31" t="s">
        <v>3396</v>
      </c>
      <c r="W1441" s="34"/>
    </row>
    <row r="1442">
      <c r="A1442" s="30">
        <v>1.437</v>
      </c>
      <c r="B1442" s="31" t="s">
        <v>6123</v>
      </c>
      <c r="C1442" s="31" t="s">
        <v>6124</v>
      </c>
      <c r="D1442" s="31" t="s">
        <v>6125</v>
      </c>
      <c r="E1442" s="31" t="s">
        <v>36</v>
      </c>
      <c r="F1442" s="35">
        <v>43089.0</v>
      </c>
      <c r="G1442" s="35">
        <v>43759.0</v>
      </c>
      <c r="H1442" s="31" t="s">
        <v>453</v>
      </c>
      <c r="I1442" s="31" t="s">
        <v>2717</v>
      </c>
      <c r="J1442" s="31" t="s">
        <v>36</v>
      </c>
      <c r="K1442" s="31" t="s">
        <v>6126</v>
      </c>
      <c r="L1442" s="31" t="s">
        <v>6127</v>
      </c>
      <c r="M1442" s="31" t="s">
        <v>6128</v>
      </c>
      <c r="N1442" s="31" t="s">
        <v>267</v>
      </c>
      <c r="O1442" s="31">
        <v>2.0</v>
      </c>
      <c r="P1442" s="34"/>
      <c r="Q1442" s="31" t="s">
        <v>307</v>
      </c>
      <c r="R1442" s="32">
        <v>34370.0</v>
      </c>
      <c r="S1442" s="31" t="s">
        <v>320</v>
      </c>
      <c r="T1442" s="31" t="s">
        <v>999</v>
      </c>
      <c r="U1442" s="31" t="s">
        <v>480</v>
      </c>
      <c r="V1442" s="34"/>
      <c r="W1442" s="34"/>
    </row>
    <row r="1443">
      <c r="A1443" s="30">
        <v>1.438</v>
      </c>
      <c r="B1443" s="31" t="s">
        <v>6129</v>
      </c>
      <c r="C1443" s="31" t="s">
        <v>3792</v>
      </c>
      <c r="D1443" s="31" t="s">
        <v>472</v>
      </c>
      <c r="E1443" s="31" t="s">
        <v>3419</v>
      </c>
      <c r="F1443" s="32">
        <v>44389.0</v>
      </c>
      <c r="G1443" s="32">
        <v>44451.0</v>
      </c>
      <c r="H1443" s="31" t="s">
        <v>453</v>
      </c>
      <c r="I1443" s="31" t="s">
        <v>454</v>
      </c>
      <c r="J1443" s="31" t="s">
        <v>3188</v>
      </c>
      <c r="K1443" s="31" t="s">
        <v>3420</v>
      </c>
      <c r="L1443" s="31" t="s">
        <v>476</v>
      </c>
      <c r="M1443" s="31" t="s">
        <v>6130</v>
      </c>
      <c r="N1443" s="31" t="s">
        <v>467</v>
      </c>
      <c r="O1443" s="34"/>
      <c r="P1443" s="34"/>
      <c r="Q1443" s="31" t="s">
        <v>307</v>
      </c>
      <c r="R1443" s="35">
        <v>36459.0</v>
      </c>
      <c r="S1443" s="31" t="s">
        <v>3197</v>
      </c>
      <c r="T1443" s="31" t="s">
        <v>3198</v>
      </c>
      <c r="U1443" s="31" t="s">
        <v>460</v>
      </c>
      <c r="V1443" s="31" t="s">
        <v>3419</v>
      </c>
      <c r="W1443" s="34"/>
    </row>
    <row r="1444">
      <c r="A1444" s="30">
        <v>1.439</v>
      </c>
      <c r="B1444" s="31" t="s">
        <v>6131</v>
      </c>
      <c r="C1444" s="31" t="s">
        <v>6132</v>
      </c>
      <c r="D1444" s="31" t="s">
        <v>463</v>
      </c>
      <c r="E1444" s="31" t="s">
        <v>2675</v>
      </c>
      <c r="F1444" s="32">
        <v>43353.0</v>
      </c>
      <c r="G1444" s="32">
        <v>43353.0</v>
      </c>
      <c r="H1444" s="31" t="s">
        <v>453</v>
      </c>
      <c r="I1444" s="31" t="s">
        <v>454</v>
      </c>
      <c r="J1444" s="31" t="s">
        <v>2676</v>
      </c>
      <c r="K1444" s="31" t="s">
        <v>2677</v>
      </c>
      <c r="L1444" s="31" t="s">
        <v>465</v>
      </c>
      <c r="M1444" s="31" t="s">
        <v>6133</v>
      </c>
      <c r="N1444" s="31" t="s">
        <v>467</v>
      </c>
      <c r="O1444" s="31">
        <v>2.0</v>
      </c>
      <c r="P1444" s="34"/>
      <c r="Q1444" s="31" t="s">
        <v>307</v>
      </c>
      <c r="R1444" s="32">
        <v>34908.0</v>
      </c>
      <c r="S1444" s="31" t="s">
        <v>468</v>
      </c>
      <c r="T1444" s="31" t="s">
        <v>496</v>
      </c>
      <c r="U1444" s="31" t="s">
        <v>480</v>
      </c>
      <c r="V1444" s="31" t="s">
        <v>2675</v>
      </c>
      <c r="W1444" s="34"/>
    </row>
    <row r="1445">
      <c r="A1445" s="30">
        <v>1.44</v>
      </c>
      <c r="B1445" s="31" t="s">
        <v>6134</v>
      </c>
      <c r="C1445" s="31" t="s">
        <v>6135</v>
      </c>
      <c r="D1445" s="31" t="s">
        <v>6136</v>
      </c>
      <c r="E1445" s="31" t="s">
        <v>5356</v>
      </c>
      <c r="F1445" s="32">
        <v>41518.0</v>
      </c>
      <c r="G1445" s="32">
        <v>41579.0</v>
      </c>
      <c r="H1445" s="31" t="s">
        <v>453</v>
      </c>
      <c r="I1445" s="31" t="s">
        <v>5356</v>
      </c>
      <c r="J1445" s="34"/>
      <c r="K1445" s="31" t="s">
        <v>5357</v>
      </c>
      <c r="L1445" s="31" t="s">
        <v>6137</v>
      </c>
      <c r="M1445" s="31" t="s">
        <v>6138</v>
      </c>
      <c r="N1445" s="31" t="s">
        <v>467</v>
      </c>
      <c r="O1445" s="34"/>
      <c r="P1445" s="34"/>
      <c r="Q1445" s="31" t="s">
        <v>307</v>
      </c>
      <c r="R1445" s="32">
        <v>32422.0</v>
      </c>
      <c r="S1445" s="31" t="s">
        <v>495</v>
      </c>
      <c r="T1445" s="31" t="s">
        <v>6139</v>
      </c>
      <c r="U1445" s="31" t="s">
        <v>460</v>
      </c>
      <c r="V1445" s="34"/>
      <c r="W1445" s="34"/>
    </row>
    <row r="1446">
      <c r="A1446" s="30">
        <v>1.441</v>
      </c>
      <c r="B1446" s="31" t="s">
        <v>6140</v>
      </c>
      <c r="C1446" s="31" t="s">
        <v>6141</v>
      </c>
      <c r="D1446" s="31" t="s">
        <v>3122</v>
      </c>
      <c r="E1446" s="31" t="s">
        <v>4917</v>
      </c>
      <c r="F1446" s="32">
        <v>40336.0</v>
      </c>
      <c r="G1446" s="32">
        <v>40397.0</v>
      </c>
      <c r="H1446" s="31" t="s">
        <v>453</v>
      </c>
      <c r="I1446" s="31" t="s">
        <v>454</v>
      </c>
      <c r="J1446" s="31" t="s">
        <v>4917</v>
      </c>
      <c r="K1446" s="31" t="s">
        <v>4918</v>
      </c>
      <c r="L1446" s="31" t="s">
        <v>6142</v>
      </c>
      <c r="M1446" s="31" t="s">
        <v>6143</v>
      </c>
      <c r="N1446" s="31" t="s">
        <v>267</v>
      </c>
      <c r="O1446" s="34"/>
      <c r="P1446" s="34"/>
      <c r="Q1446" s="31" t="s">
        <v>307</v>
      </c>
      <c r="R1446" s="32">
        <v>31896.0</v>
      </c>
      <c r="S1446" s="31" t="s">
        <v>531</v>
      </c>
      <c r="T1446" s="31" t="s">
        <v>686</v>
      </c>
      <c r="U1446" s="31" t="s">
        <v>460</v>
      </c>
      <c r="V1446" s="34"/>
      <c r="W1446" s="34"/>
    </row>
    <row r="1447">
      <c r="A1447" s="30">
        <v>1.442</v>
      </c>
      <c r="B1447" s="31" t="s">
        <v>6144</v>
      </c>
      <c r="C1447" s="31" t="s">
        <v>6145</v>
      </c>
      <c r="D1447" s="31" t="s">
        <v>2451</v>
      </c>
      <c r="E1447" s="31" t="s">
        <v>36</v>
      </c>
      <c r="F1447" s="32">
        <v>40299.0</v>
      </c>
      <c r="G1447" s="32">
        <v>40360.0</v>
      </c>
      <c r="H1447" s="31" t="s">
        <v>453</v>
      </c>
      <c r="I1447" s="31" t="s">
        <v>2717</v>
      </c>
      <c r="J1447" s="31" t="s">
        <v>36</v>
      </c>
      <c r="K1447" s="31" t="s">
        <v>6126</v>
      </c>
      <c r="L1447" s="31" t="s">
        <v>2453</v>
      </c>
      <c r="M1447" s="31" t="s">
        <v>6146</v>
      </c>
      <c r="N1447" s="31" t="s">
        <v>267</v>
      </c>
      <c r="O1447" s="34"/>
      <c r="P1447" s="34"/>
      <c r="Q1447" s="31" t="s">
        <v>307</v>
      </c>
      <c r="R1447" s="32">
        <v>32354.0</v>
      </c>
      <c r="S1447" s="31" t="s">
        <v>1416</v>
      </c>
      <c r="T1447" s="31" t="s">
        <v>3174</v>
      </c>
      <c r="U1447" s="31" t="s">
        <v>480</v>
      </c>
      <c r="V1447" s="34"/>
      <c r="W1447" s="34"/>
    </row>
    <row r="1448">
      <c r="A1448" s="30">
        <v>1.443</v>
      </c>
      <c r="B1448" s="31" t="s">
        <v>6147</v>
      </c>
      <c r="C1448" s="31" t="s">
        <v>4345</v>
      </c>
      <c r="D1448" s="31" t="s">
        <v>4828</v>
      </c>
      <c r="E1448" s="31" t="s">
        <v>606</v>
      </c>
      <c r="F1448" s="32">
        <v>42416.0</v>
      </c>
      <c r="G1448" s="32">
        <v>42476.0</v>
      </c>
      <c r="H1448" s="31" t="s">
        <v>453</v>
      </c>
      <c r="I1448" s="31" t="s">
        <v>607</v>
      </c>
      <c r="J1448" s="31" t="s">
        <v>608</v>
      </c>
      <c r="K1448" s="31" t="s">
        <v>609</v>
      </c>
      <c r="L1448" s="31" t="s">
        <v>4829</v>
      </c>
      <c r="M1448" s="31" t="s">
        <v>6148</v>
      </c>
      <c r="N1448" s="31" t="s">
        <v>267</v>
      </c>
      <c r="O1448" s="31">
        <v>1.0</v>
      </c>
      <c r="P1448" s="34"/>
      <c r="Q1448" s="31" t="s">
        <v>307</v>
      </c>
      <c r="R1448" s="35">
        <v>34302.0</v>
      </c>
      <c r="S1448" s="31" t="s">
        <v>468</v>
      </c>
      <c r="T1448" s="31" t="s">
        <v>1370</v>
      </c>
      <c r="U1448" s="31" t="s">
        <v>480</v>
      </c>
      <c r="V1448" s="31" t="s">
        <v>606</v>
      </c>
      <c r="W1448" s="34"/>
    </row>
    <row r="1449">
      <c r="A1449" s="30">
        <v>1.444</v>
      </c>
      <c r="B1449" s="31" t="s">
        <v>6149</v>
      </c>
      <c r="C1449" s="31" t="s">
        <v>6150</v>
      </c>
      <c r="D1449" s="31" t="s">
        <v>4909</v>
      </c>
      <c r="E1449" s="31" t="s">
        <v>2902</v>
      </c>
      <c r="F1449" s="35">
        <v>43388.0</v>
      </c>
      <c r="G1449" s="35">
        <v>43388.0</v>
      </c>
      <c r="H1449" s="31" t="s">
        <v>453</v>
      </c>
      <c r="I1449" s="31" t="s">
        <v>454</v>
      </c>
      <c r="J1449" s="31" t="s">
        <v>2903</v>
      </c>
      <c r="K1449" s="31" t="s">
        <v>2904</v>
      </c>
      <c r="L1449" s="31" t="s">
        <v>4910</v>
      </c>
      <c r="M1449" s="31" t="s">
        <v>6151</v>
      </c>
      <c r="N1449" s="31" t="s">
        <v>467</v>
      </c>
      <c r="O1449" s="34"/>
      <c r="P1449" s="34"/>
      <c r="Q1449" s="31" t="s">
        <v>307</v>
      </c>
      <c r="R1449" s="32">
        <v>35126.0</v>
      </c>
      <c r="S1449" s="31" t="s">
        <v>560</v>
      </c>
      <c r="T1449" s="31" t="s">
        <v>479</v>
      </c>
      <c r="U1449" s="31" t="s">
        <v>480</v>
      </c>
      <c r="V1449" s="31" t="s">
        <v>2902</v>
      </c>
      <c r="W1449" s="34"/>
    </row>
    <row r="1450">
      <c r="A1450" s="30">
        <v>1.445</v>
      </c>
      <c r="B1450" s="31" t="s">
        <v>6152</v>
      </c>
      <c r="C1450" s="31" t="s">
        <v>6153</v>
      </c>
      <c r="D1450" s="31" t="s">
        <v>499</v>
      </c>
      <c r="E1450" s="31" t="s">
        <v>4836</v>
      </c>
      <c r="F1450" s="32">
        <v>44330.0</v>
      </c>
      <c r="G1450" s="32">
        <v>44391.0</v>
      </c>
      <c r="H1450" s="31" t="s">
        <v>453</v>
      </c>
      <c r="I1450" s="31" t="s">
        <v>47</v>
      </c>
      <c r="J1450" s="31" t="s">
        <v>4765</v>
      </c>
      <c r="K1450" s="31" t="s">
        <v>4837</v>
      </c>
      <c r="L1450" s="31" t="s">
        <v>500</v>
      </c>
      <c r="M1450" s="31" t="s">
        <v>6154</v>
      </c>
      <c r="N1450" s="31" t="s">
        <v>467</v>
      </c>
      <c r="O1450" s="31">
        <v>1.0</v>
      </c>
      <c r="P1450" s="34"/>
      <c r="Q1450" s="31" t="s">
        <v>307</v>
      </c>
      <c r="R1450" s="32">
        <v>36316.0</v>
      </c>
      <c r="S1450" s="31" t="s">
        <v>560</v>
      </c>
      <c r="T1450" s="31" t="s">
        <v>496</v>
      </c>
      <c r="U1450" s="31" t="s">
        <v>480</v>
      </c>
      <c r="V1450" s="31" t="s">
        <v>4836</v>
      </c>
      <c r="W1450" s="34"/>
    </row>
    <row r="1451">
      <c r="A1451" s="30">
        <v>1.446</v>
      </c>
      <c r="B1451" s="31" t="s">
        <v>6155</v>
      </c>
      <c r="C1451" s="31" t="s">
        <v>6156</v>
      </c>
      <c r="D1451" s="31" t="s">
        <v>499</v>
      </c>
      <c r="E1451" s="31" t="s">
        <v>2696</v>
      </c>
      <c r="F1451" s="32">
        <v>43200.0</v>
      </c>
      <c r="G1451" s="32">
        <v>43261.0</v>
      </c>
      <c r="H1451" s="31" t="s">
        <v>453</v>
      </c>
      <c r="I1451" s="31" t="s">
        <v>607</v>
      </c>
      <c r="J1451" s="31" t="s">
        <v>2697</v>
      </c>
      <c r="K1451" s="31" t="s">
        <v>2698</v>
      </c>
      <c r="L1451" s="31" t="s">
        <v>500</v>
      </c>
      <c r="M1451" s="31" t="s">
        <v>6157</v>
      </c>
      <c r="N1451" s="31" t="s">
        <v>467</v>
      </c>
      <c r="O1451" s="31">
        <v>1.0</v>
      </c>
      <c r="P1451" s="34"/>
      <c r="Q1451" s="31" t="s">
        <v>307</v>
      </c>
      <c r="R1451" s="32">
        <v>34499.0</v>
      </c>
      <c r="S1451" s="31" t="s">
        <v>560</v>
      </c>
      <c r="T1451" s="31" t="s">
        <v>1532</v>
      </c>
      <c r="U1451" s="31" t="s">
        <v>643</v>
      </c>
      <c r="V1451" s="31" t="s">
        <v>2696</v>
      </c>
      <c r="W1451" s="34"/>
    </row>
    <row r="1452">
      <c r="A1452" s="30">
        <v>1.447</v>
      </c>
      <c r="B1452" s="31" t="s">
        <v>6158</v>
      </c>
      <c r="C1452" s="31" t="s">
        <v>6159</v>
      </c>
      <c r="D1452" s="31" t="s">
        <v>472</v>
      </c>
      <c r="E1452" s="31" t="s">
        <v>5106</v>
      </c>
      <c r="F1452" s="32">
        <v>44203.0</v>
      </c>
      <c r="G1452" s="32">
        <v>44262.0</v>
      </c>
      <c r="H1452" s="31" t="s">
        <v>453</v>
      </c>
      <c r="I1452" s="31" t="s">
        <v>454</v>
      </c>
      <c r="J1452" s="31" t="s">
        <v>5107</v>
      </c>
      <c r="K1452" s="31" t="s">
        <v>5108</v>
      </c>
      <c r="L1452" s="31" t="s">
        <v>476</v>
      </c>
      <c r="M1452" s="31" t="s">
        <v>6160</v>
      </c>
      <c r="N1452" s="31" t="s">
        <v>467</v>
      </c>
      <c r="O1452" s="34"/>
      <c r="P1452" s="34"/>
      <c r="Q1452" s="31" t="s">
        <v>307</v>
      </c>
      <c r="R1452" s="32">
        <v>35880.0</v>
      </c>
      <c r="S1452" s="31" t="s">
        <v>591</v>
      </c>
      <c r="T1452" s="31" t="s">
        <v>961</v>
      </c>
      <c r="U1452" s="31" t="s">
        <v>480</v>
      </c>
      <c r="V1452" s="31" t="s">
        <v>5106</v>
      </c>
      <c r="W1452" s="34"/>
    </row>
    <row r="1453">
      <c r="A1453" s="30">
        <v>1.448</v>
      </c>
      <c r="B1453" s="31" t="s">
        <v>6161</v>
      </c>
      <c r="C1453" s="31" t="s">
        <v>6162</v>
      </c>
      <c r="D1453" s="31" t="s">
        <v>6163</v>
      </c>
      <c r="E1453" s="31" t="s">
        <v>43</v>
      </c>
      <c r="F1453" s="32">
        <v>41442.0</v>
      </c>
      <c r="G1453" s="32">
        <v>41502.0</v>
      </c>
      <c r="H1453" s="31" t="s">
        <v>453</v>
      </c>
      <c r="I1453" s="31" t="s">
        <v>43</v>
      </c>
      <c r="J1453" s="34"/>
      <c r="K1453" s="31" t="s">
        <v>6164</v>
      </c>
      <c r="L1453" s="31" t="s">
        <v>6165</v>
      </c>
      <c r="M1453" s="31" t="s">
        <v>6166</v>
      </c>
      <c r="N1453" s="31" t="s">
        <v>267</v>
      </c>
      <c r="O1453" s="31">
        <v>2.0</v>
      </c>
      <c r="P1453" s="34"/>
      <c r="Q1453" s="31" t="s">
        <v>307</v>
      </c>
      <c r="R1453" s="32">
        <v>32781.0</v>
      </c>
      <c r="S1453" s="31" t="s">
        <v>531</v>
      </c>
      <c r="T1453" s="31" t="s">
        <v>778</v>
      </c>
      <c r="U1453" s="31" t="s">
        <v>643</v>
      </c>
      <c r="V1453" s="34"/>
      <c r="W1453" s="34"/>
    </row>
    <row r="1454">
      <c r="A1454" s="30">
        <v>1.449</v>
      </c>
      <c r="B1454" s="31" t="s">
        <v>6167</v>
      </c>
      <c r="C1454" s="31" t="s">
        <v>6168</v>
      </c>
      <c r="D1454" s="31" t="s">
        <v>3132</v>
      </c>
      <c r="E1454" s="31" t="s">
        <v>4953</v>
      </c>
      <c r="F1454" s="32">
        <v>43174.0</v>
      </c>
      <c r="G1454" s="32">
        <v>43235.0</v>
      </c>
      <c r="H1454" s="31" t="s">
        <v>453</v>
      </c>
      <c r="I1454" s="31" t="s">
        <v>454</v>
      </c>
      <c r="J1454" s="31" t="s">
        <v>2903</v>
      </c>
      <c r="K1454" s="31" t="s">
        <v>4954</v>
      </c>
      <c r="L1454" s="31" t="s">
        <v>3380</v>
      </c>
      <c r="M1454" s="31" t="s">
        <v>6169</v>
      </c>
      <c r="N1454" s="31" t="s">
        <v>467</v>
      </c>
      <c r="O1454" s="31">
        <v>2.0</v>
      </c>
      <c r="P1454" s="34"/>
      <c r="Q1454" s="31" t="s">
        <v>307</v>
      </c>
      <c r="R1454" s="32">
        <v>34553.0</v>
      </c>
      <c r="S1454" s="31" t="s">
        <v>4196</v>
      </c>
      <c r="T1454" s="31" t="s">
        <v>778</v>
      </c>
      <c r="U1454" s="31" t="s">
        <v>480</v>
      </c>
      <c r="V1454" s="31" t="s">
        <v>4953</v>
      </c>
      <c r="W1454" s="34"/>
    </row>
    <row r="1455">
      <c r="A1455" s="30">
        <v>1.45</v>
      </c>
      <c r="B1455" s="31" t="s">
        <v>6170</v>
      </c>
      <c r="C1455" s="31" t="s">
        <v>6171</v>
      </c>
      <c r="D1455" s="31" t="s">
        <v>564</v>
      </c>
      <c r="E1455" s="31" t="s">
        <v>3377</v>
      </c>
      <c r="F1455" s="32">
        <v>39097.0</v>
      </c>
      <c r="G1455" s="32">
        <v>39187.0</v>
      </c>
      <c r="H1455" s="31" t="s">
        <v>453</v>
      </c>
      <c r="I1455" s="31" t="s">
        <v>454</v>
      </c>
      <c r="J1455" s="31" t="s">
        <v>3378</v>
      </c>
      <c r="K1455" s="31" t="s">
        <v>3379</v>
      </c>
      <c r="L1455" s="31" t="s">
        <v>569</v>
      </c>
      <c r="M1455" s="31" t="s">
        <v>6172</v>
      </c>
      <c r="N1455" s="31" t="s">
        <v>267</v>
      </c>
      <c r="O1455" s="34"/>
      <c r="P1455" s="34"/>
      <c r="Q1455" s="31" t="s">
        <v>307</v>
      </c>
      <c r="R1455" s="32">
        <v>31084.0</v>
      </c>
      <c r="S1455" s="31" t="s">
        <v>531</v>
      </c>
      <c r="T1455" s="31" t="s">
        <v>686</v>
      </c>
      <c r="U1455" s="31" t="s">
        <v>460</v>
      </c>
      <c r="V1455" s="31" t="s">
        <v>3377</v>
      </c>
      <c r="W1455" s="34"/>
    </row>
    <row r="1456">
      <c r="A1456" s="30">
        <v>1.451</v>
      </c>
      <c r="B1456" s="31" t="s">
        <v>6173</v>
      </c>
      <c r="C1456" s="31" t="s">
        <v>6174</v>
      </c>
      <c r="D1456" s="31" t="s">
        <v>452</v>
      </c>
      <c r="E1456" s="31" t="s">
        <v>5492</v>
      </c>
      <c r="F1456" s="32">
        <v>42339.0</v>
      </c>
      <c r="G1456" s="32">
        <v>42401.0</v>
      </c>
      <c r="H1456" s="31" t="s">
        <v>453</v>
      </c>
      <c r="I1456" s="31" t="s">
        <v>454</v>
      </c>
      <c r="J1456" s="31" t="s">
        <v>2682</v>
      </c>
      <c r="K1456" s="31" t="s">
        <v>5493</v>
      </c>
      <c r="L1456" s="31" t="s">
        <v>456</v>
      </c>
      <c r="M1456" s="31" t="s">
        <v>6175</v>
      </c>
      <c r="N1456" s="31" t="s">
        <v>267</v>
      </c>
      <c r="O1456" s="34"/>
      <c r="P1456" s="34"/>
      <c r="Q1456" s="31" t="s">
        <v>307</v>
      </c>
      <c r="R1456" s="35">
        <v>33958.0</v>
      </c>
      <c r="S1456" s="31" t="s">
        <v>531</v>
      </c>
      <c r="T1456" s="31" t="s">
        <v>1242</v>
      </c>
      <c r="U1456" s="31" t="s">
        <v>480</v>
      </c>
      <c r="V1456" s="31" t="s">
        <v>5492</v>
      </c>
      <c r="W1456" s="34"/>
    </row>
    <row r="1457">
      <c r="A1457" s="30">
        <v>1.452</v>
      </c>
      <c r="B1457" s="31" t="s">
        <v>6176</v>
      </c>
      <c r="C1457" s="31" t="s">
        <v>6177</v>
      </c>
      <c r="D1457" s="31" t="s">
        <v>463</v>
      </c>
      <c r="E1457" s="31" t="s">
        <v>4855</v>
      </c>
      <c r="F1457" s="32">
        <v>43844.0</v>
      </c>
      <c r="G1457" s="32">
        <v>43904.0</v>
      </c>
      <c r="H1457" s="31" t="s">
        <v>453</v>
      </c>
      <c r="I1457" s="31" t="s">
        <v>607</v>
      </c>
      <c r="J1457" s="31" t="s">
        <v>4856</v>
      </c>
      <c r="K1457" s="31" t="s">
        <v>4857</v>
      </c>
      <c r="L1457" s="31" t="s">
        <v>465</v>
      </c>
      <c r="M1457" s="31" t="s">
        <v>6178</v>
      </c>
      <c r="N1457" s="31" t="s">
        <v>467</v>
      </c>
      <c r="O1457" s="31">
        <v>2.0</v>
      </c>
      <c r="P1457" s="34"/>
      <c r="Q1457" s="31" t="s">
        <v>307</v>
      </c>
      <c r="R1457" s="32">
        <v>36359.0</v>
      </c>
      <c r="S1457" s="31" t="s">
        <v>560</v>
      </c>
      <c r="T1457" s="31" t="s">
        <v>479</v>
      </c>
      <c r="U1457" s="31" t="s">
        <v>480</v>
      </c>
      <c r="V1457" s="31" t="s">
        <v>4855</v>
      </c>
      <c r="W1457" s="34"/>
    </row>
    <row r="1458">
      <c r="A1458" s="30">
        <v>1.453</v>
      </c>
      <c r="B1458" s="31" t="s">
        <v>6179</v>
      </c>
      <c r="C1458" s="31" t="s">
        <v>6180</v>
      </c>
      <c r="D1458" s="31" t="s">
        <v>452</v>
      </c>
      <c r="E1458" s="31" t="s">
        <v>6181</v>
      </c>
      <c r="F1458" s="32">
        <v>43990.0</v>
      </c>
      <c r="G1458" s="32">
        <v>44051.0</v>
      </c>
      <c r="H1458" s="31" t="s">
        <v>453</v>
      </c>
      <c r="I1458" s="31" t="s">
        <v>607</v>
      </c>
      <c r="J1458" s="31" t="s">
        <v>4415</v>
      </c>
      <c r="K1458" s="31" t="s">
        <v>6182</v>
      </c>
      <c r="L1458" s="31" t="s">
        <v>456</v>
      </c>
      <c r="M1458" s="31" t="s">
        <v>6183</v>
      </c>
      <c r="N1458" s="31" t="s">
        <v>267</v>
      </c>
      <c r="O1458" s="34"/>
      <c r="P1458" s="34"/>
      <c r="Q1458" s="31" t="s">
        <v>307</v>
      </c>
      <c r="R1458" s="32">
        <v>34200.0</v>
      </c>
      <c r="S1458" s="31" t="s">
        <v>1197</v>
      </c>
      <c r="T1458" s="31" t="s">
        <v>778</v>
      </c>
      <c r="U1458" s="31" t="s">
        <v>643</v>
      </c>
      <c r="V1458" s="31" t="s">
        <v>6181</v>
      </c>
      <c r="W1458" s="34"/>
    </row>
    <row r="1459">
      <c r="A1459" s="30">
        <v>1.454</v>
      </c>
      <c r="B1459" s="31" t="s">
        <v>6184</v>
      </c>
      <c r="C1459" s="31" t="s">
        <v>6185</v>
      </c>
      <c r="D1459" s="31" t="s">
        <v>472</v>
      </c>
      <c r="E1459" s="31" t="s">
        <v>3419</v>
      </c>
      <c r="F1459" s="35">
        <v>43815.0</v>
      </c>
      <c r="G1459" s="32">
        <v>43877.0</v>
      </c>
      <c r="H1459" s="31" t="s">
        <v>453</v>
      </c>
      <c r="I1459" s="31" t="s">
        <v>454</v>
      </c>
      <c r="J1459" s="31" t="s">
        <v>3188</v>
      </c>
      <c r="K1459" s="31" t="s">
        <v>3420</v>
      </c>
      <c r="L1459" s="31" t="s">
        <v>476</v>
      </c>
      <c r="M1459" s="31" t="s">
        <v>6186</v>
      </c>
      <c r="N1459" s="31" t="s">
        <v>467</v>
      </c>
      <c r="O1459" s="34"/>
      <c r="P1459" s="34"/>
      <c r="Q1459" s="31" t="s">
        <v>307</v>
      </c>
      <c r="R1459" s="32">
        <v>35499.0</v>
      </c>
      <c r="S1459" s="31" t="s">
        <v>468</v>
      </c>
      <c r="T1459" s="31" t="s">
        <v>961</v>
      </c>
      <c r="U1459" s="31" t="s">
        <v>460</v>
      </c>
      <c r="V1459" s="31" t="s">
        <v>3419</v>
      </c>
      <c r="W1459" s="34"/>
    </row>
    <row r="1460">
      <c r="A1460" s="30">
        <v>1.455</v>
      </c>
      <c r="B1460" s="31" t="s">
        <v>6187</v>
      </c>
      <c r="C1460" s="31" t="s">
        <v>6188</v>
      </c>
      <c r="D1460" s="31" t="s">
        <v>4909</v>
      </c>
      <c r="E1460" s="31" t="s">
        <v>4420</v>
      </c>
      <c r="F1460" s="32">
        <v>43844.0</v>
      </c>
      <c r="G1460" s="32">
        <v>43904.0</v>
      </c>
      <c r="H1460" s="31" t="s">
        <v>453</v>
      </c>
      <c r="I1460" s="31" t="s">
        <v>454</v>
      </c>
      <c r="J1460" s="31" t="s">
        <v>3378</v>
      </c>
      <c r="K1460" s="31" t="s">
        <v>4421</v>
      </c>
      <c r="L1460" s="31" t="s">
        <v>4910</v>
      </c>
      <c r="M1460" s="31" t="s">
        <v>6189</v>
      </c>
      <c r="N1460" s="31" t="s">
        <v>467</v>
      </c>
      <c r="O1460" s="34"/>
      <c r="P1460" s="34"/>
      <c r="Q1460" s="31" t="s">
        <v>307</v>
      </c>
      <c r="R1460" s="35">
        <v>36481.0</v>
      </c>
      <c r="S1460" s="31" t="s">
        <v>560</v>
      </c>
      <c r="T1460" s="31" t="s">
        <v>5465</v>
      </c>
      <c r="U1460" s="31" t="s">
        <v>460</v>
      </c>
      <c r="V1460" s="31" t="s">
        <v>4420</v>
      </c>
      <c r="W1460" s="34"/>
    </row>
    <row r="1461">
      <c r="A1461" s="30">
        <v>1.456</v>
      </c>
      <c r="B1461" s="31" t="s">
        <v>6190</v>
      </c>
      <c r="C1461" s="31" t="s">
        <v>6191</v>
      </c>
      <c r="D1461" s="31" t="s">
        <v>499</v>
      </c>
      <c r="E1461" s="31" t="s">
        <v>3246</v>
      </c>
      <c r="F1461" s="32">
        <v>43657.0</v>
      </c>
      <c r="G1461" s="32">
        <v>43719.0</v>
      </c>
      <c r="H1461" s="31" t="s">
        <v>453</v>
      </c>
      <c r="I1461" s="31" t="s">
        <v>607</v>
      </c>
      <c r="J1461" s="31" t="s">
        <v>3247</v>
      </c>
      <c r="K1461" s="31" t="s">
        <v>3248</v>
      </c>
      <c r="L1461" s="31" t="s">
        <v>500</v>
      </c>
      <c r="M1461" s="31" t="s">
        <v>6192</v>
      </c>
      <c r="N1461" s="31" t="s">
        <v>467</v>
      </c>
      <c r="O1461" s="31">
        <v>1.0</v>
      </c>
      <c r="P1461" s="34"/>
      <c r="Q1461" s="31" t="s">
        <v>307</v>
      </c>
      <c r="R1461" s="32">
        <v>35952.0</v>
      </c>
      <c r="S1461" s="31" t="s">
        <v>560</v>
      </c>
      <c r="T1461" s="31" t="s">
        <v>479</v>
      </c>
      <c r="U1461" s="31" t="s">
        <v>480</v>
      </c>
      <c r="V1461" s="31" t="s">
        <v>3246</v>
      </c>
      <c r="W1461" s="34"/>
    </row>
    <row r="1462">
      <c r="A1462" s="30">
        <v>1.457</v>
      </c>
      <c r="B1462" s="31" t="s">
        <v>6193</v>
      </c>
      <c r="C1462" s="31" t="s">
        <v>6194</v>
      </c>
      <c r="D1462" s="31" t="s">
        <v>345</v>
      </c>
      <c r="E1462" s="31" t="s">
        <v>38</v>
      </c>
      <c r="F1462" s="35">
        <v>43830.0</v>
      </c>
      <c r="G1462" s="32">
        <v>43891.0</v>
      </c>
      <c r="H1462" s="31" t="s">
        <v>453</v>
      </c>
      <c r="I1462" s="31" t="s">
        <v>2717</v>
      </c>
      <c r="J1462" s="31" t="s">
        <v>38</v>
      </c>
      <c r="K1462" s="31" t="s">
        <v>2718</v>
      </c>
      <c r="L1462" s="31" t="s">
        <v>348</v>
      </c>
      <c r="M1462" s="31" t="s">
        <v>6195</v>
      </c>
      <c r="N1462" s="31" t="s">
        <v>267</v>
      </c>
      <c r="O1462" s="34"/>
      <c r="P1462" s="34"/>
      <c r="Q1462" s="31" t="s">
        <v>307</v>
      </c>
      <c r="R1462" s="32">
        <v>34335.0</v>
      </c>
      <c r="S1462" s="31" t="s">
        <v>1398</v>
      </c>
      <c r="T1462" s="31" t="s">
        <v>823</v>
      </c>
      <c r="U1462" s="31" t="s">
        <v>480</v>
      </c>
      <c r="V1462" s="34"/>
      <c r="W1462" s="34"/>
    </row>
    <row r="1463">
      <c r="A1463" s="30">
        <v>1.458</v>
      </c>
      <c r="B1463" s="31" t="s">
        <v>6196</v>
      </c>
      <c r="C1463" s="31" t="s">
        <v>6197</v>
      </c>
      <c r="D1463" s="31" t="s">
        <v>4909</v>
      </c>
      <c r="E1463" s="31" t="s">
        <v>4983</v>
      </c>
      <c r="F1463" s="32">
        <v>43657.0</v>
      </c>
      <c r="G1463" s="32">
        <v>43719.0</v>
      </c>
      <c r="H1463" s="31" t="s">
        <v>453</v>
      </c>
      <c r="I1463" s="31" t="s">
        <v>4330</v>
      </c>
      <c r="J1463" s="31" t="s">
        <v>4331</v>
      </c>
      <c r="K1463" s="31" t="s">
        <v>4984</v>
      </c>
      <c r="L1463" s="31" t="s">
        <v>4910</v>
      </c>
      <c r="M1463" s="31" t="s">
        <v>6198</v>
      </c>
      <c r="N1463" s="31" t="s">
        <v>467</v>
      </c>
      <c r="O1463" s="34"/>
      <c r="P1463" s="34"/>
      <c r="Q1463" s="31" t="s">
        <v>307</v>
      </c>
      <c r="R1463" s="32">
        <v>36058.0</v>
      </c>
      <c r="S1463" s="31" t="s">
        <v>560</v>
      </c>
      <c r="T1463" s="31" t="s">
        <v>479</v>
      </c>
      <c r="U1463" s="31" t="s">
        <v>460</v>
      </c>
      <c r="V1463" s="31" t="s">
        <v>4983</v>
      </c>
      <c r="W1463" s="34"/>
    </row>
    <row r="1464">
      <c r="A1464" s="30">
        <v>1.459</v>
      </c>
      <c r="B1464" s="31" t="s">
        <v>6199</v>
      </c>
      <c r="C1464" s="31" t="s">
        <v>6200</v>
      </c>
      <c r="D1464" s="31" t="s">
        <v>586</v>
      </c>
      <c r="E1464" s="31" t="s">
        <v>587</v>
      </c>
      <c r="F1464" s="32">
        <v>44048.0</v>
      </c>
      <c r="G1464" s="32">
        <v>44109.0</v>
      </c>
      <c r="H1464" s="31" t="s">
        <v>453</v>
      </c>
      <c r="I1464" s="31" t="s">
        <v>587</v>
      </c>
      <c r="J1464" s="34"/>
      <c r="K1464" s="31" t="s">
        <v>588</v>
      </c>
      <c r="L1464" s="31" t="s">
        <v>589</v>
      </c>
      <c r="M1464" s="31" t="s">
        <v>6201</v>
      </c>
      <c r="N1464" s="31" t="s">
        <v>467</v>
      </c>
      <c r="O1464" s="34"/>
      <c r="P1464" s="34"/>
      <c r="Q1464" s="31" t="s">
        <v>307</v>
      </c>
      <c r="R1464" s="32">
        <v>35854.0</v>
      </c>
      <c r="S1464" s="31" t="s">
        <v>591</v>
      </c>
      <c r="T1464" s="31" t="s">
        <v>3090</v>
      </c>
      <c r="U1464" s="31" t="s">
        <v>480</v>
      </c>
      <c r="V1464" s="34"/>
      <c r="W1464" s="34"/>
    </row>
    <row r="1465">
      <c r="A1465" s="30">
        <v>1.46</v>
      </c>
      <c r="B1465" s="31" t="s">
        <v>6202</v>
      </c>
      <c r="C1465" s="31" t="s">
        <v>6203</v>
      </c>
      <c r="D1465" s="31" t="s">
        <v>472</v>
      </c>
      <c r="E1465" s="31" t="s">
        <v>3377</v>
      </c>
      <c r="F1465" s="32">
        <v>45050.0</v>
      </c>
      <c r="G1465" s="32">
        <v>45111.0</v>
      </c>
      <c r="H1465" s="31" t="s">
        <v>453</v>
      </c>
      <c r="I1465" s="31" t="s">
        <v>454</v>
      </c>
      <c r="J1465" s="31" t="s">
        <v>3378</v>
      </c>
      <c r="K1465" s="31" t="s">
        <v>3379</v>
      </c>
      <c r="L1465" s="31" t="s">
        <v>476</v>
      </c>
      <c r="M1465" s="31" t="s">
        <v>6204</v>
      </c>
      <c r="N1465" s="31" t="s">
        <v>467</v>
      </c>
      <c r="O1465" s="34"/>
      <c r="P1465" s="34"/>
      <c r="Q1465" s="31" t="s">
        <v>307</v>
      </c>
      <c r="R1465" s="32">
        <v>35489.0</v>
      </c>
      <c r="S1465" s="31" t="s">
        <v>502</v>
      </c>
      <c r="T1465" s="31" t="s">
        <v>479</v>
      </c>
      <c r="U1465" s="31" t="s">
        <v>460</v>
      </c>
      <c r="V1465" s="31" t="s">
        <v>3377</v>
      </c>
      <c r="W1465" s="34"/>
    </row>
    <row r="1466">
      <c r="A1466" s="30">
        <v>1.461</v>
      </c>
      <c r="B1466" s="31" t="s">
        <v>6205</v>
      </c>
      <c r="C1466" s="31" t="s">
        <v>6206</v>
      </c>
      <c r="D1466" s="31" t="s">
        <v>553</v>
      </c>
      <c r="E1466" s="31" t="s">
        <v>4991</v>
      </c>
      <c r="F1466" s="35">
        <v>44180.0</v>
      </c>
      <c r="G1466" s="32">
        <v>44242.0</v>
      </c>
      <c r="H1466" s="31" t="s">
        <v>453</v>
      </c>
      <c r="I1466" s="31" t="s">
        <v>454</v>
      </c>
      <c r="J1466" s="31" t="s">
        <v>3217</v>
      </c>
      <c r="K1466" s="31" t="s">
        <v>4992</v>
      </c>
      <c r="L1466" s="31" t="s">
        <v>558</v>
      </c>
      <c r="M1466" s="31" t="s">
        <v>6207</v>
      </c>
      <c r="N1466" s="31" t="s">
        <v>267</v>
      </c>
      <c r="O1466" s="34"/>
      <c r="P1466" s="34"/>
      <c r="Q1466" s="31" t="s">
        <v>307</v>
      </c>
      <c r="R1466" s="32">
        <v>35815.0</v>
      </c>
      <c r="S1466" s="31" t="s">
        <v>1622</v>
      </c>
      <c r="T1466" s="31" t="s">
        <v>503</v>
      </c>
      <c r="U1466" s="31" t="s">
        <v>480</v>
      </c>
      <c r="V1466" s="31" t="s">
        <v>4991</v>
      </c>
      <c r="W1466" s="34"/>
    </row>
    <row r="1467">
      <c r="A1467" s="30">
        <v>1.462</v>
      </c>
      <c r="B1467" s="31" t="s">
        <v>6208</v>
      </c>
      <c r="C1467" s="31" t="s">
        <v>6209</v>
      </c>
      <c r="D1467" s="31" t="s">
        <v>4747</v>
      </c>
      <c r="E1467" s="31" t="s">
        <v>2874</v>
      </c>
      <c r="F1467" s="32">
        <v>41785.0</v>
      </c>
      <c r="G1467" s="32">
        <v>41846.0</v>
      </c>
      <c r="H1467" s="31" t="s">
        <v>453</v>
      </c>
      <c r="I1467" s="31" t="s">
        <v>52</v>
      </c>
      <c r="J1467" s="31" t="s">
        <v>2874</v>
      </c>
      <c r="K1467" s="31" t="s">
        <v>2875</v>
      </c>
      <c r="L1467" s="31" t="s">
        <v>4748</v>
      </c>
      <c r="M1467" s="31" t="s">
        <v>6210</v>
      </c>
      <c r="N1467" s="31" t="s">
        <v>467</v>
      </c>
      <c r="O1467" s="34"/>
      <c r="P1467" s="34"/>
      <c r="Q1467" s="31" t="s">
        <v>307</v>
      </c>
      <c r="R1467" s="32">
        <v>33718.0</v>
      </c>
      <c r="S1467" s="31" t="s">
        <v>468</v>
      </c>
      <c r="T1467" s="31" t="s">
        <v>503</v>
      </c>
      <c r="U1467" s="31" t="s">
        <v>480</v>
      </c>
      <c r="V1467" s="34"/>
      <c r="W1467" s="34"/>
    </row>
    <row r="1468">
      <c r="A1468" s="30">
        <v>1.463</v>
      </c>
      <c r="B1468" s="31" t="s">
        <v>6211</v>
      </c>
      <c r="C1468" s="31" t="s">
        <v>1203</v>
      </c>
      <c r="D1468" s="31" t="s">
        <v>499</v>
      </c>
      <c r="E1468" s="31" t="s">
        <v>5747</v>
      </c>
      <c r="F1468" s="32">
        <v>43661.0</v>
      </c>
      <c r="G1468" s="32">
        <v>43723.0</v>
      </c>
      <c r="H1468" s="31" t="s">
        <v>453</v>
      </c>
      <c r="I1468" s="31" t="s">
        <v>454</v>
      </c>
      <c r="J1468" s="31" t="s">
        <v>3041</v>
      </c>
      <c r="K1468" s="31" t="s">
        <v>5748</v>
      </c>
      <c r="L1468" s="31" t="s">
        <v>500</v>
      </c>
      <c r="M1468" s="31" t="s">
        <v>6212</v>
      </c>
      <c r="N1468" s="31" t="s">
        <v>467</v>
      </c>
      <c r="O1468" s="31">
        <v>1.0</v>
      </c>
      <c r="P1468" s="34"/>
      <c r="Q1468" s="31" t="s">
        <v>307</v>
      </c>
      <c r="R1468" s="32">
        <v>35655.0</v>
      </c>
      <c r="S1468" s="31" t="s">
        <v>5691</v>
      </c>
      <c r="T1468" s="31" t="s">
        <v>3147</v>
      </c>
      <c r="U1468" s="31" t="s">
        <v>480</v>
      </c>
      <c r="V1468" s="31" t="s">
        <v>5747</v>
      </c>
      <c r="W1468" s="34"/>
    </row>
    <row r="1469">
      <c r="A1469" s="30">
        <v>1.464</v>
      </c>
      <c r="B1469" s="31" t="s">
        <v>6213</v>
      </c>
      <c r="C1469" s="31" t="s">
        <v>6214</v>
      </c>
      <c r="D1469" s="31" t="s">
        <v>4909</v>
      </c>
      <c r="E1469" s="31" t="s">
        <v>4991</v>
      </c>
      <c r="F1469" s="32">
        <v>44228.0</v>
      </c>
      <c r="G1469" s="32">
        <v>44287.0</v>
      </c>
      <c r="H1469" s="31" t="s">
        <v>453</v>
      </c>
      <c r="I1469" s="31" t="s">
        <v>454</v>
      </c>
      <c r="J1469" s="31" t="s">
        <v>3217</v>
      </c>
      <c r="K1469" s="31" t="s">
        <v>4992</v>
      </c>
      <c r="L1469" s="31" t="s">
        <v>4910</v>
      </c>
      <c r="M1469" s="31" t="s">
        <v>6215</v>
      </c>
      <c r="N1469" s="31" t="s">
        <v>467</v>
      </c>
      <c r="O1469" s="34"/>
      <c r="P1469" s="34"/>
      <c r="Q1469" s="31" t="s">
        <v>307</v>
      </c>
      <c r="R1469" s="32">
        <v>36253.0</v>
      </c>
      <c r="S1469" s="31" t="s">
        <v>560</v>
      </c>
      <c r="T1469" s="31" t="s">
        <v>503</v>
      </c>
      <c r="U1469" s="31" t="s">
        <v>480</v>
      </c>
      <c r="V1469" s="31" t="s">
        <v>4991</v>
      </c>
      <c r="W1469" s="34"/>
    </row>
    <row r="1470">
      <c r="A1470" s="30">
        <v>1.465</v>
      </c>
      <c r="B1470" s="31" t="s">
        <v>6216</v>
      </c>
      <c r="C1470" s="31" t="s">
        <v>6217</v>
      </c>
      <c r="D1470" s="31" t="s">
        <v>463</v>
      </c>
      <c r="E1470" s="31" t="s">
        <v>5136</v>
      </c>
      <c r="F1470" s="32">
        <v>39583.0</v>
      </c>
      <c r="G1470" s="32">
        <v>39645.0</v>
      </c>
      <c r="H1470" s="31" t="s">
        <v>453</v>
      </c>
      <c r="I1470" s="31" t="s">
        <v>47</v>
      </c>
      <c r="J1470" s="31" t="s">
        <v>3397</v>
      </c>
      <c r="K1470" s="31" t="s">
        <v>5137</v>
      </c>
      <c r="L1470" s="31" t="s">
        <v>465</v>
      </c>
      <c r="M1470" s="31" t="s">
        <v>6218</v>
      </c>
      <c r="N1470" s="31" t="s">
        <v>467</v>
      </c>
      <c r="O1470" s="31">
        <v>2.0</v>
      </c>
      <c r="P1470" s="34"/>
      <c r="Q1470" s="31" t="s">
        <v>307</v>
      </c>
      <c r="R1470" s="32">
        <v>31297.0</v>
      </c>
      <c r="S1470" s="31" t="s">
        <v>560</v>
      </c>
      <c r="T1470" s="31" t="s">
        <v>3174</v>
      </c>
      <c r="U1470" s="31" t="s">
        <v>480</v>
      </c>
      <c r="V1470" s="31" t="s">
        <v>5136</v>
      </c>
      <c r="W1470" s="34"/>
    </row>
    <row r="1471">
      <c r="A1471" s="30">
        <v>1.466</v>
      </c>
      <c r="B1471" s="31" t="s">
        <v>6219</v>
      </c>
      <c r="C1471" s="31" t="s">
        <v>6220</v>
      </c>
      <c r="D1471" s="31" t="s">
        <v>472</v>
      </c>
      <c r="E1471" s="31" t="s">
        <v>2902</v>
      </c>
      <c r="F1471" s="32">
        <v>44209.0</v>
      </c>
      <c r="G1471" s="32">
        <v>44268.0</v>
      </c>
      <c r="H1471" s="31" t="s">
        <v>453</v>
      </c>
      <c r="I1471" s="31" t="s">
        <v>454</v>
      </c>
      <c r="J1471" s="31" t="s">
        <v>2903</v>
      </c>
      <c r="K1471" s="31" t="s">
        <v>2904</v>
      </c>
      <c r="L1471" s="31" t="s">
        <v>476</v>
      </c>
      <c r="M1471" s="31" t="s">
        <v>6221</v>
      </c>
      <c r="N1471" s="31" t="s">
        <v>467</v>
      </c>
      <c r="O1471" s="34"/>
      <c r="P1471" s="34"/>
      <c r="Q1471" s="31" t="s">
        <v>307</v>
      </c>
      <c r="R1471" s="32">
        <v>36163.0</v>
      </c>
      <c r="S1471" s="31" t="s">
        <v>490</v>
      </c>
      <c r="T1471" s="31" t="s">
        <v>496</v>
      </c>
      <c r="U1471" s="31" t="s">
        <v>480</v>
      </c>
      <c r="V1471" s="31" t="s">
        <v>2902</v>
      </c>
      <c r="W1471" s="34"/>
    </row>
    <row r="1472">
      <c r="A1472" s="30">
        <v>1.467</v>
      </c>
      <c r="B1472" s="31" t="s">
        <v>6222</v>
      </c>
      <c r="C1472" s="31" t="s">
        <v>6223</v>
      </c>
      <c r="D1472" s="31" t="s">
        <v>615</v>
      </c>
      <c r="E1472" s="31" t="s">
        <v>6181</v>
      </c>
      <c r="F1472" s="32">
        <v>44389.0</v>
      </c>
      <c r="G1472" s="32">
        <v>44451.0</v>
      </c>
      <c r="H1472" s="31" t="s">
        <v>453</v>
      </c>
      <c r="I1472" s="31" t="s">
        <v>607</v>
      </c>
      <c r="J1472" s="31" t="s">
        <v>4415</v>
      </c>
      <c r="K1472" s="31" t="s">
        <v>6182</v>
      </c>
      <c r="L1472" s="31" t="s">
        <v>618</v>
      </c>
      <c r="M1472" s="31" t="s">
        <v>6224</v>
      </c>
      <c r="N1472" s="31" t="s">
        <v>467</v>
      </c>
      <c r="O1472" s="34"/>
      <c r="P1472" s="34"/>
      <c r="Q1472" s="31" t="s">
        <v>307</v>
      </c>
      <c r="R1472" s="32">
        <v>34542.0</v>
      </c>
      <c r="S1472" s="31" t="s">
        <v>3790</v>
      </c>
      <c r="T1472" s="31" t="s">
        <v>5398</v>
      </c>
      <c r="U1472" s="31" t="s">
        <v>643</v>
      </c>
      <c r="V1472" s="31" t="s">
        <v>6181</v>
      </c>
      <c r="W1472" s="34"/>
    </row>
    <row r="1473">
      <c r="A1473" s="30">
        <v>1.468</v>
      </c>
      <c r="B1473" s="31" t="s">
        <v>6225</v>
      </c>
      <c r="C1473" s="31" t="s">
        <v>6226</v>
      </c>
      <c r="D1473" s="31" t="s">
        <v>4747</v>
      </c>
      <c r="E1473" s="31" t="s">
        <v>4822</v>
      </c>
      <c r="F1473" s="32">
        <v>40725.0</v>
      </c>
      <c r="G1473" s="32">
        <v>40787.0</v>
      </c>
      <c r="H1473" s="31" t="s">
        <v>453</v>
      </c>
      <c r="I1473" s="31" t="s">
        <v>454</v>
      </c>
      <c r="J1473" s="31" t="s">
        <v>4823</v>
      </c>
      <c r="K1473" s="31" t="s">
        <v>4824</v>
      </c>
      <c r="L1473" s="31" t="s">
        <v>4748</v>
      </c>
      <c r="M1473" s="31" t="s">
        <v>6227</v>
      </c>
      <c r="N1473" s="31" t="s">
        <v>267</v>
      </c>
      <c r="O1473" s="34"/>
      <c r="P1473" s="34"/>
      <c r="Q1473" s="31" t="s">
        <v>307</v>
      </c>
      <c r="R1473" s="32">
        <v>32821.0</v>
      </c>
      <c r="S1473" s="31" t="s">
        <v>468</v>
      </c>
      <c r="T1473" s="31" t="s">
        <v>479</v>
      </c>
      <c r="U1473" s="31" t="s">
        <v>460</v>
      </c>
      <c r="V1473" s="31" t="s">
        <v>4822</v>
      </c>
      <c r="W1473" s="34"/>
    </row>
    <row r="1474">
      <c r="A1474" s="30">
        <v>1.469</v>
      </c>
      <c r="B1474" s="31" t="s">
        <v>6228</v>
      </c>
      <c r="C1474" s="31" t="s">
        <v>5879</v>
      </c>
      <c r="D1474" s="31" t="s">
        <v>463</v>
      </c>
      <c r="E1474" s="31" t="s">
        <v>3246</v>
      </c>
      <c r="F1474" s="32">
        <v>40848.0</v>
      </c>
      <c r="G1474" s="32">
        <v>40909.0</v>
      </c>
      <c r="H1474" s="31" t="s">
        <v>453</v>
      </c>
      <c r="I1474" s="31" t="s">
        <v>607</v>
      </c>
      <c r="J1474" s="31" t="s">
        <v>3247</v>
      </c>
      <c r="K1474" s="31" t="s">
        <v>3248</v>
      </c>
      <c r="L1474" s="31" t="s">
        <v>465</v>
      </c>
      <c r="M1474" s="31" t="s">
        <v>6229</v>
      </c>
      <c r="N1474" s="31" t="s">
        <v>467</v>
      </c>
      <c r="O1474" s="31">
        <v>2.0</v>
      </c>
      <c r="P1474" s="34"/>
      <c r="Q1474" s="31" t="s">
        <v>307</v>
      </c>
      <c r="R1474" s="32">
        <v>33126.0</v>
      </c>
      <c r="S1474" s="31" t="s">
        <v>560</v>
      </c>
      <c r="T1474" s="31" t="s">
        <v>5133</v>
      </c>
      <c r="U1474" s="31" t="s">
        <v>480</v>
      </c>
      <c r="V1474" s="31" t="s">
        <v>3246</v>
      </c>
      <c r="W1474" s="34"/>
    </row>
    <row r="1475">
      <c r="A1475" s="30">
        <v>1.47</v>
      </c>
      <c r="B1475" s="31" t="s">
        <v>6230</v>
      </c>
      <c r="C1475" s="31" t="s">
        <v>6231</v>
      </c>
      <c r="D1475" s="31" t="s">
        <v>499</v>
      </c>
      <c r="E1475" s="31" t="s">
        <v>3377</v>
      </c>
      <c r="F1475" s="35">
        <v>42723.0</v>
      </c>
      <c r="G1475" s="32">
        <v>42785.0</v>
      </c>
      <c r="H1475" s="31" t="s">
        <v>453</v>
      </c>
      <c r="I1475" s="31" t="s">
        <v>454</v>
      </c>
      <c r="J1475" s="31" t="s">
        <v>3378</v>
      </c>
      <c r="K1475" s="31" t="s">
        <v>3379</v>
      </c>
      <c r="L1475" s="31" t="s">
        <v>500</v>
      </c>
      <c r="M1475" s="31" t="s">
        <v>6232</v>
      </c>
      <c r="N1475" s="31" t="s">
        <v>467</v>
      </c>
      <c r="O1475" s="31">
        <v>1.0</v>
      </c>
      <c r="P1475" s="34"/>
      <c r="Q1475" s="31" t="s">
        <v>307</v>
      </c>
      <c r="R1475" s="32">
        <v>34105.0</v>
      </c>
      <c r="S1475" s="31" t="s">
        <v>502</v>
      </c>
      <c r="T1475" s="31" t="s">
        <v>3198</v>
      </c>
      <c r="U1475" s="31" t="s">
        <v>460</v>
      </c>
      <c r="V1475" s="31" t="s">
        <v>3377</v>
      </c>
      <c r="W1475" s="34"/>
    </row>
    <row r="1476">
      <c r="A1476" s="30">
        <v>1.471</v>
      </c>
      <c r="B1476" s="31" t="s">
        <v>6233</v>
      </c>
      <c r="C1476" s="31" t="s">
        <v>6234</v>
      </c>
      <c r="D1476" s="31" t="s">
        <v>472</v>
      </c>
      <c r="E1476" s="31" t="s">
        <v>4864</v>
      </c>
      <c r="F1476" s="35">
        <v>44194.0</v>
      </c>
      <c r="G1476" s="32">
        <v>44256.0</v>
      </c>
      <c r="H1476" s="31" t="s">
        <v>453</v>
      </c>
      <c r="I1476" s="31" t="s">
        <v>47</v>
      </c>
      <c r="J1476" s="31" t="s">
        <v>4502</v>
      </c>
      <c r="K1476" s="31" t="s">
        <v>4865</v>
      </c>
      <c r="L1476" s="31" t="s">
        <v>476</v>
      </c>
      <c r="M1476" s="31" t="s">
        <v>6235</v>
      </c>
      <c r="N1476" s="31" t="s">
        <v>467</v>
      </c>
      <c r="O1476" s="34"/>
      <c r="P1476" s="34"/>
      <c r="Q1476" s="31" t="s">
        <v>307</v>
      </c>
      <c r="R1476" s="35">
        <v>36458.0</v>
      </c>
      <c r="S1476" s="31" t="s">
        <v>560</v>
      </c>
      <c r="T1476" s="31" t="s">
        <v>491</v>
      </c>
      <c r="U1476" s="31" t="s">
        <v>480</v>
      </c>
      <c r="V1476" s="31" t="s">
        <v>4864</v>
      </c>
      <c r="W1476" s="34"/>
    </row>
    <row r="1477">
      <c r="A1477" s="30">
        <v>1.472</v>
      </c>
      <c r="B1477" s="31" t="s">
        <v>6236</v>
      </c>
      <c r="C1477" s="31" t="s">
        <v>6237</v>
      </c>
      <c r="D1477" s="31" t="s">
        <v>4909</v>
      </c>
      <c r="E1477" s="31" t="s">
        <v>606</v>
      </c>
      <c r="F1477" s="32">
        <v>44291.0</v>
      </c>
      <c r="G1477" s="32">
        <v>44352.0</v>
      </c>
      <c r="H1477" s="31" t="s">
        <v>453</v>
      </c>
      <c r="I1477" s="31" t="s">
        <v>607</v>
      </c>
      <c r="J1477" s="31" t="s">
        <v>608</v>
      </c>
      <c r="K1477" s="31" t="s">
        <v>609</v>
      </c>
      <c r="L1477" s="31" t="s">
        <v>4910</v>
      </c>
      <c r="M1477" s="31" t="s">
        <v>6238</v>
      </c>
      <c r="N1477" s="31" t="s">
        <v>467</v>
      </c>
      <c r="O1477" s="34"/>
      <c r="P1477" s="34"/>
      <c r="Q1477" s="31" t="s">
        <v>307</v>
      </c>
      <c r="R1477" s="35">
        <v>36444.0</v>
      </c>
      <c r="S1477" s="31" t="s">
        <v>1622</v>
      </c>
      <c r="T1477" s="31" t="s">
        <v>503</v>
      </c>
      <c r="U1477" s="31" t="s">
        <v>480</v>
      </c>
      <c r="V1477" s="31" t="s">
        <v>606</v>
      </c>
      <c r="W1477" s="34"/>
    </row>
    <row r="1478">
      <c r="A1478" s="30">
        <v>1.473</v>
      </c>
      <c r="B1478" s="31" t="s">
        <v>6239</v>
      </c>
      <c r="C1478" s="31" t="s">
        <v>6240</v>
      </c>
      <c r="D1478" s="31" t="s">
        <v>472</v>
      </c>
      <c r="E1478" s="31" t="s">
        <v>5091</v>
      </c>
      <c r="F1478" s="32">
        <v>43277.0</v>
      </c>
      <c r="G1478" s="32">
        <v>43277.0</v>
      </c>
      <c r="H1478" s="31" t="s">
        <v>453</v>
      </c>
      <c r="I1478" s="31" t="s">
        <v>2835</v>
      </c>
      <c r="J1478" s="31" t="s">
        <v>4612</v>
      </c>
      <c r="K1478" s="31" t="s">
        <v>5092</v>
      </c>
      <c r="L1478" s="31" t="s">
        <v>476</v>
      </c>
      <c r="M1478" s="31" t="s">
        <v>6241</v>
      </c>
      <c r="N1478" s="31" t="s">
        <v>467</v>
      </c>
      <c r="O1478" s="34"/>
      <c r="P1478" s="34"/>
      <c r="Q1478" s="31" t="s">
        <v>307</v>
      </c>
      <c r="R1478" s="32">
        <v>35116.0</v>
      </c>
      <c r="S1478" s="31" t="s">
        <v>490</v>
      </c>
      <c r="T1478" s="31" t="s">
        <v>503</v>
      </c>
      <c r="U1478" s="31" t="s">
        <v>480</v>
      </c>
      <c r="V1478" s="31" t="s">
        <v>5091</v>
      </c>
      <c r="W1478" s="34"/>
    </row>
    <row r="1479">
      <c r="A1479" s="30">
        <v>1.474</v>
      </c>
      <c r="B1479" s="31" t="s">
        <v>6242</v>
      </c>
      <c r="C1479" s="31" t="s">
        <v>6243</v>
      </c>
      <c r="D1479" s="31" t="s">
        <v>472</v>
      </c>
      <c r="E1479" s="31" t="s">
        <v>3603</v>
      </c>
      <c r="F1479" s="32">
        <v>44046.0</v>
      </c>
      <c r="G1479" s="32">
        <v>44107.0</v>
      </c>
      <c r="H1479" s="31" t="s">
        <v>453</v>
      </c>
      <c r="I1479" s="31" t="s">
        <v>454</v>
      </c>
      <c r="J1479" s="31" t="s">
        <v>3604</v>
      </c>
      <c r="K1479" s="31" t="s">
        <v>3605</v>
      </c>
      <c r="L1479" s="31" t="s">
        <v>476</v>
      </c>
      <c r="M1479" s="31" t="s">
        <v>6244</v>
      </c>
      <c r="N1479" s="31" t="s">
        <v>467</v>
      </c>
      <c r="O1479" s="34"/>
      <c r="P1479" s="34"/>
      <c r="Q1479" s="31" t="s">
        <v>307</v>
      </c>
      <c r="R1479" s="32">
        <v>36192.0</v>
      </c>
      <c r="S1479" s="31" t="s">
        <v>560</v>
      </c>
      <c r="T1479" s="31" t="s">
        <v>479</v>
      </c>
      <c r="U1479" s="31" t="s">
        <v>480</v>
      </c>
      <c r="V1479" s="31" t="s">
        <v>3603</v>
      </c>
      <c r="W1479" s="34"/>
    </row>
    <row r="1480">
      <c r="A1480" s="30">
        <v>1.475</v>
      </c>
      <c r="B1480" s="31" t="s">
        <v>6245</v>
      </c>
      <c r="C1480" s="31" t="s">
        <v>1388</v>
      </c>
      <c r="D1480" s="31" t="s">
        <v>472</v>
      </c>
      <c r="E1480" s="31" t="s">
        <v>3419</v>
      </c>
      <c r="F1480" s="32">
        <v>43844.0</v>
      </c>
      <c r="G1480" s="32">
        <v>43904.0</v>
      </c>
      <c r="H1480" s="31" t="s">
        <v>453</v>
      </c>
      <c r="I1480" s="31" t="s">
        <v>454</v>
      </c>
      <c r="J1480" s="31" t="s">
        <v>3188</v>
      </c>
      <c r="K1480" s="31" t="s">
        <v>3420</v>
      </c>
      <c r="L1480" s="31" t="s">
        <v>476</v>
      </c>
      <c r="M1480" s="31" t="s">
        <v>6246</v>
      </c>
      <c r="N1480" s="31" t="s">
        <v>467</v>
      </c>
      <c r="O1480" s="34"/>
      <c r="P1480" s="34"/>
      <c r="Q1480" s="31" t="s">
        <v>307</v>
      </c>
      <c r="R1480" s="32">
        <v>36188.0</v>
      </c>
      <c r="S1480" s="31" t="s">
        <v>560</v>
      </c>
      <c r="T1480" s="31" t="s">
        <v>479</v>
      </c>
      <c r="U1480" s="31" t="s">
        <v>460</v>
      </c>
      <c r="V1480" s="31" t="s">
        <v>3419</v>
      </c>
      <c r="W1480" s="34"/>
    </row>
    <row r="1481">
      <c r="A1481" s="30">
        <v>1.476</v>
      </c>
      <c r="B1481" s="31" t="s">
        <v>6247</v>
      </c>
      <c r="C1481" s="31" t="s">
        <v>6248</v>
      </c>
      <c r="D1481" s="31" t="s">
        <v>499</v>
      </c>
      <c r="E1481" s="31" t="s">
        <v>3419</v>
      </c>
      <c r="F1481" s="35">
        <v>44180.0</v>
      </c>
      <c r="G1481" s="32">
        <v>44242.0</v>
      </c>
      <c r="H1481" s="31" t="s">
        <v>453</v>
      </c>
      <c r="I1481" s="31" t="s">
        <v>454</v>
      </c>
      <c r="J1481" s="31" t="s">
        <v>3188</v>
      </c>
      <c r="K1481" s="31" t="s">
        <v>3420</v>
      </c>
      <c r="L1481" s="31" t="s">
        <v>500</v>
      </c>
      <c r="M1481" s="31" t="s">
        <v>6249</v>
      </c>
      <c r="N1481" s="31" t="s">
        <v>467</v>
      </c>
      <c r="O1481" s="31">
        <v>1.0</v>
      </c>
      <c r="P1481" s="34"/>
      <c r="Q1481" s="31" t="s">
        <v>307</v>
      </c>
      <c r="R1481" s="32">
        <v>35976.0</v>
      </c>
      <c r="S1481" s="31" t="s">
        <v>1622</v>
      </c>
      <c r="T1481" s="31" t="s">
        <v>3198</v>
      </c>
      <c r="U1481" s="31" t="s">
        <v>460</v>
      </c>
      <c r="V1481" s="31" t="s">
        <v>3419</v>
      </c>
      <c r="W1481" s="34"/>
    </row>
    <row r="1482">
      <c r="A1482" s="30">
        <v>1.477</v>
      </c>
      <c r="B1482" s="31" t="s">
        <v>6250</v>
      </c>
      <c r="C1482" s="31" t="s">
        <v>6251</v>
      </c>
      <c r="D1482" s="31" t="s">
        <v>553</v>
      </c>
      <c r="E1482" s="31" t="s">
        <v>3419</v>
      </c>
      <c r="F1482" s="32">
        <v>42871.0</v>
      </c>
      <c r="G1482" s="32">
        <v>42933.0</v>
      </c>
      <c r="H1482" s="31" t="s">
        <v>453</v>
      </c>
      <c r="I1482" s="31" t="s">
        <v>454</v>
      </c>
      <c r="J1482" s="31" t="s">
        <v>3188</v>
      </c>
      <c r="K1482" s="31" t="s">
        <v>3420</v>
      </c>
      <c r="L1482" s="31" t="s">
        <v>558</v>
      </c>
      <c r="M1482" s="31" t="s">
        <v>6252</v>
      </c>
      <c r="N1482" s="31" t="s">
        <v>267</v>
      </c>
      <c r="O1482" s="34"/>
      <c r="P1482" s="34"/>
      <c r="Q1482" s="31" t="s">
        <v>307</v>
      </c>
      <c r="R1482" s="32">
        <v>34355.0</v>
      </c>
      <c r="S1482" s="31" t="s">
        <v>531</v>
      </c>
      <c r="T1482" s="31" t="s">
        <v>999</v>
      </c>
      <c r="U1482" s="31" t="s">
        <v>460</v>
      </c>
      <c r="V1482" s="31" t="s">
        <v>3419</v>
      </c>
      <c r="W1482" s="34"/>
    </row>
    <row r="1483">
      <c r="A1483" s="30">
        <v>1.478</v>
      </c>
      <c r="B1483" s="31" t="s">
        <v>6253</v>
      </c>
      <c r="C1483" s="31" t="s">
        <v>6254</v>
      </c>
      <c r="D1483" s="31" t="s">
        <v>472</v>
      </c>
      <c r="E1483" s="31" t="s">
        <v>4611</v>
      </c>
      <c r="F1483" s="32">
        <v>44252.0</v>
      </c>
      <c r="G1483" s="32">
        <v>44311.0</v>
      </c>
      <c r="H1483" s="31" t="s">
        <v>453</v>
      </c>
      <c r="I1483" s="31" t="s">
        <v>2835</v>
      </c>
      <c r="J1483" s="31" t="s">
        <v>4612</v>
      </c>
      <c r="K1483" s="31" t="s">
        <v>4613</v>
      </c>
      <c r="L1483" s="31" t="s">
        <v>3050</v>
      </c>
      <c r="M1483" s="31" t="s">
        <v>6255</v>
      </c>
      <c r="N1483" s="31" t="s">
        <v>467</v>
      </c>
      <c r="O1483" s="34"/>
      <c r="P1483" s="34"/>
      <c r="Q1483" s="31" t="s">
        <v>307</v>
      </c>
      <c r="R1483" s="35">
        <v>36444.0</v>
      </c>
      <c r="S1483" s="31" t="s">
        <v>6256</v>
      </c>
      <c r="T1483" s="31" t="s">
        <v>854</v>
      </c>
      <c r="U1483" s="31" t="s">
        <v>480</v>
      </c>
      <c r="V1483" s="31" t="s">
        <v>4611</v>
      </c>
      <c r="W1483" s="34"/>
    </row>
    <row r="1484">
      <c r="A1484" s="30">
        <v>1.479</v>
      </c>
      <c r="B1484" s="31" t="s">
        <v>6257</v>
      </c>
      <c r="C1484" s="31" t="s">
        <v>6258</v>
      </c>
      <c r="D1484" s="31" t="s">
        <v>472</v>
      </c>
      <c r="E1484" s="31" t="s">
        <v>4869</v>
      </c>
      <c r="F1484" s="32">
        <v>44382.0</v>
      </c>
      <c r="G1484" s="32">
        <v>44444.0</v>
      </c>
      <c r="H1484" s="31" t="s">
        <v>453</v>
      </c>
      <c r="I1484" s="31" t="s">
        <v>47</v>
      </c>
      <c r="J1484" s="31" t="s">
        <v>3397</v>
      </c>
      <c r="K1484" s="31" t="s">
        <v>4870</v>
      </c>
      <c r="L1484" s="31" t="s">
        <v>476</v>
      </c>
      <c r="M1484" s="31" t="s">
        <v>6259</v>
      </c>
      <c r="N1484" s="31" t="s">
        <v>467</v>
      </c>
      <c r="O1484" s="34"/>
      <c r="P1484" s="34"/>
      <c r="Q1484" s="31" t="s">
        <v>307</v>
      </c>
      <c r="R1484" s="32">
        <v>35302.0</v>
      </c>
      <c r="S1484" s="31" t="s">
        <v>560</v>
      </c>
      <c r="T1484" s="31" t="s">
        <v>828</v>
      </c>
      <c r="U1484" s="31" t="s">
        <v>480</v>
      </c>
      <c r="V1484" s="31" t="s">
        <v>4869</v>
      </c>
      <c r="W1484" s="34"/>
    </row>
    <row r="1485">
      <c r="A1485" s="30">
        <v>1.48</v>
      </c>
      <c r="B1485" s="31" t="s">
        <v>6260</v>
      </c>
      <c r="C1485" s="31" t="s">
        <v>6261</v>
      </c>
      <c r="D1485" s="31" t="s">
        <v>615</v>
      </c>
      <c r="E1485" s="31" t="s">
        <v>5387</v>
      </c>
      <c r="F1485" s="32">
        <v>42461.0</v>
      </c>
      <c r="G1485" s="32">
        <v>42522.0</v>
      </c>
      <c r="H1485" s="31" t="s">
        <v>453</v>
      </c>
      <c r="I1485" s="31" t="s">
        <v>2835</v>
      </c>
      <c r="J1485" s="31" t="s">
        <v>3564</v>
      </c>
      <c r="K1485" s="31" t="s">
        <v>5388</v>
      </c>
      <c r="L1485" s="31" t="s">
        <v>618</v>
      </c>
      <c r="M1485" s="31" t="s">
        <v>6262</v>
      </c>
      <c r="N1485" s="31" t="s">
        <v>467</v>
      </c>
      <c r="O1485" s="34"/>
      <c r="P1485" s="34"/>
      <c r="Q1485" s="31" t="s">
        <v>307</v>
      </c>
      <c r="R1485" s="32">
        <v>34213.0</v>
      </c>
      <c r="S1485" s="31" t="s">
        <v>560</v>
      </c>
      <c r="T1485" s="31" t="s">
        <v>1242</v>
      </c>
      <c r="U1485" s="31" t="s">
        <v>480</v>
      </c>
      <c r="V1485" s="31" t="s">
        <v>5387</v>
      </c>
      <c r="W1485" s="34"/>
    </row>
    <row r="1486">
      <c r="A1486" s="30">
        <v>1.481</v>
      </c>
      <c r="B1486" s="31" t="s">
        <v>6263</v>
      </c>
      <c r="C1486" s="31" t="s">
        <v>6264</v>
      </c>
      <c r="D1486" s="31" t="s">
        <v>622</v>
      </c>
      <c r="E1486" s="31" t="s">
        <v>41</v>
      </c>
      <c r="F1486" s="32">
        <v>43010.0</v>
      </c>
      <c r="G1486" s="32">
        <v>43072.0</v>
      </c>
      <c r="H1486" s="31" t="s">
        <v>453</v>
      </c>
      <c r="I1486" s="31" t="s">
        <v>41</v>
      </c>
      <c r="J1486" s="34"/>
      <c r="K1486" s="31" t="s">
        <v>623</v>
      </c>
      <c r="L1486" s="31" t="s">
        <v>624</v>
      </c>
      <c r="M1486" s="31" t="s">
        <v>6265</v>
      </c>
      <c r="N1486" s="31" t="s">
        <v>267</v>
      </c>
      <c r="O1486" s="34"/>
      <c r="P1486" s="34"/>
      <c r="Q1486" s="31" t="s">
        <v>307</v>
      </c>
      <c r="R1486" s="32">
        <v>34057.0</v>
      </c>
      <c r="S1486" s="31" t="s">
        <v>531</v>
      </c>
      <c r="T1486" s="31" t="s">
        <v>5181</v>
      </c>
      <c r="U1486" s="31" t="s">
        <v>480</v>
      </c>
      <c r="V1486" s="34"/>
      <c r="W1486" s="34"/>
    </row>
    <row r="1487">
      <c r="A1487" s="30">
        <v>1.482</v>
      </c>
      <c r="B1487" s="31" t="s">
        <v>6266</v>
      </c>
      <c r="C1487" s="31" t="s">
        <v>6267</v>
      </c>
      <c r="D1487" s="31" t="s">
        <v>472</v>
      </c>
      <c r="E1487" s="31" t="s">
        <v>3246</v>
      </c>
      <c r="F1487" s="32">
        <v>45117.0</v>
      </c>
      <c r="G1487" s="32">
        <v>45177.0</v>
      </c>
      <c r="H1487" s="31" t="s">
        <v>453</v>
      </c>
      <c r="I1487" s="31" t="s">
        <v>607</v>
      </c>
      <c r="J1487" s="31" t="s">
        <v>3247</v>
      </c>
      <c r="K1487" s="31" t="s">
        <v>3248</v>
      </c>
      <c r="L1487" s="31" t="s">
        <v>476</v>
      </c>
      <c r="M1487" s="31" t="s">
        <v>6268</v>
      </c>
      <c r="N1487" s="31" t="s">
        <v>467</v>
      </c>
      <c r="O1487" s="34"/>
      <c r="P1487" s="34"/>
      <c r="Q1487" s="31" t="s">
        <v>307</v>
      </c>
      <c r="R1487" s="32">
        <v>34595.0</v>
      </c>
      <c r="S1487" s="31" t="s">
        <v>560</v>
      </c>
      <c r="T1487" s="31" t="s">
        <v>496</v>
      </c>
      <c r="U1487" s="31" t="s">
        <v>480</v>
      </c>
      <c r="V1487" s="31" t="s">
        <v>3246</v>
      </c>
      <c r="W1487" s="34"/>
    </row>
    <row r="1488">
      <c r="A1488" s="30">
        <v>1.483</v>
      </c>
      <c r="B1488" s="31" t="s">
        <v>6269</v>
      </c>
      <c r="C1488" s="31" t="s">
        <v>6270</v>
      </c>
      <c r="D1488" s="31" t="s">
        <v>3106</v>
      </c>
      <c r="E1488" s="31" t="s">
        <v>4917</v>
      </c>
      <c r="F1488" s="32">
        <v>42835.0</v>
      </c>
      <c r="G1488" s="32">
        <v>42896.0</v>
      </c>
      <c r="H1488" s="31" t="s">
        <v>453</v>
      </c>
      <c r="I1488" s="31" t="s">
        <v>454</v>
      </c>
      <c r="J1488" s="31" t="s">
        <v>4917</v>
      </c>
      <c r="K1488" s="31" t="s">
        <v>4918</v>
      </c>
      <c r="L1488" s="31" t="s">
        <v>5040</v>
      </c>
      <c r="M1488" s="31" t="s">
        <v>6271</v>
      </c>
      <c r="N1488" s="31" t="s">
        <v>467</v>
      </c>
      <c r="O1488" s="34"/>
      <c r="P1488" s="34"/>
      <c r="Q1488" s="31" t="s">
        <v>307</v>
      </c>
      <c r="R1488" s="35">
        <v>34982.0</v>
      </c>
      <c r="S1488" s="31" t="s">
        <v>468</v>
      </c>
      <c r="T1488" s="31" t="s">
        <v>503</v>
      </c>
      <c r="U1488" s="31" t="s">
        <v>480</v>
      </c>
      <c r="V1488" s="34"/>
      <c r="W1488" s="34"/>
    </row>
    <row r="1489">
      <c r="A1489" s="30">
        <v>1.484</v>
      </c>
      <c r="B1489" s="31" t="s">
        <v>6272</v>
      </c>
      <c r="C1489" s="31" t="s">
        <v>6273</v>
      </c>
      <c r="D1489" s="31" t="s">
        <v>4828</v>
      </c>
      <c r="E1489" s="31" t="s">
        <v>5499</v>
      </c>
      <c r="F1489" s="32">
        <v>43983.0</v>
      </c>
      <c r="G1489" s="32">
        <v>44044.0</v>
      </c>
      <c r="H1489" s="31" t="s">
        <v>453</v>
      </c>
      <c r="I1489" s="31" t="s">
        <v>607</v>
      </c>
      <c r="J1489" s="31" t="s">
        <v>3035</v>
      </c>
      <c r="K1489" s="31" t="s">
        <v>5500</v>
      </c>
      <c r="L1489" s="31" t="s">
        <v>4829</v>
      </c>
      <c r="M1489" s="31" t="s">
        <v>6274</v>
      </c>
      <c r="N1489" s="31" t="s">
        <v>267</v>
      </c>
      <c r="O1489" s="31">
        <v>1.0</v>
      </c>
      <c r="P1489" s="34"/>
      <c r="Q1489" s="31" t="s">
        <v>307</v>
      </c>
      <c r="R1489" s="35">
        <v>34654.0</v>
      </c>
      <c r="S1489" s="31" t="s">
        <v>560</v>
      </c>
      <c r="T1489" s="31" t="s">
        <v>672</v>
      </c>
      <c r="U1489" s="31" t="s">
        <v>480</v>
      </c>
      <c r="V1489" s="31" t="s">
        <v>5499</v>
      </c>
      <c r="W1489" s="34"/>
    </row>
    <row r="1490">
      <c r="A1490" s="30">
        <v>1.485</v>
      </c>
      <c r="B1490" s="31" t="s">
        <v>6275</v>
      </c>
      <c r="C1490" s="31" t="s">
        <v>6276</v>
      </c>
      <c r="D1490" s="31" t="s">
        <v>463</v>
      </c>
      <c r="E1490" s="31" t="s">
        <v>5747</v>
      </c>
      <c r="F1490" s="32">
        <v>43213.0</v>
      </c>
      <c r="G1490" s="32">
        <v>43274.0</v>
      </c>
      <c r="H1490" s="31" t="s">
        <v>453</v>
      </c>
      <c r="I1490" s="31" t="s">
        <v>454</v>
      </c>
      <c r="J1490" s="31" t="s">
        <v>3041</v>
      </c>
      <c r="K1490" s="31" t="s">
        <v>5748</v>
      </c>
      <c r="L1490" s="31" t="s">
        <v>465</v>
      </c>
      <c r="M1490" s="31" t="s">
        <v>6277</v>
      </c>
      <c r="N1490" s="31" t="s">
        <v>467</v>
      </c>
      <c r="O1490" s="31">
        <v>2.0</v>
      </c>
      <c r="P1490" s="34"/>
      <c r="Q1490" s="31" t="s">
        <v>307</v>
      </c>
      <c r="R1490" s="32">
        <v>34442.0</v>
      </c>
      <c r="S1490" s="31" t="s">
        <v>468</v>
      </c>
      <c r="T1490" s="31" t="s">
        <v>961</v>
      </c>
      <c r="U1490" s="31" t="s">
        <v>480</v>
      </c>
      <c r="V1490" s="31" t="s">
        <v>5747</v>
      </c>
      <c r="W1490" s="34"/>
    </row>
    <row r="1491">
      <c r="A1491" s="30">
        <v>1.486</v>
      </c>
      <c r="B1491" s="31" t="s">
        <v>6278</v>
      </c>
      <c r="C1491" s="31" t="s">
        <v>6279</v>
      </c>
      <c r="D1491" s="31" t="s">
        <v>553</v>
      </c>
      <c r="E1491" s="31" t="s">
        <v>554</v>
      </c>
      <c r="F1491" s="32">
        <v>44308.0</v>
      </c>
      <c r="G1491" s="32">
        <v>44369.0</v>
      </c>
      <c r="H1491" s="31" t="s">
        <v>453</v>
      </c>
      <c r="I1491" s="31" t="s">
        <v>555</v>
      </c>
      <c r="J1491" s="31" t="s">
        <v>556</v>
      </c>
      <c r="K1491" s="31" t="s">
        <v>557</v>
      </c>
      <c r="L1491" s="31" t="s">
        <v>558</v>
      </c>
      <c r="M1491" s="31" t="s">
        <v>6280</v>
      </c>
      <c r="N1491" s="31" t="s">
        <v>267</v>
      </c>
      <c r="O1491" s="34"/>
      <c r="P1491" s="34"/>
      <c r="Q1491" s="31" t="s">
        <v>307</v>
      </c>
      <c r="R1491" s="32">
        <v>35927.0</v>
      </c>
      <c r="S1491" s="31" t="s">
        <v>6281</v>
      </c>
      <c r="T1491" s="31" t="s">
        <v>6282</v>
      </c>
      <c r="U1491" s="31" t="s">
        <v>480</v>
      </c>
      <c r="V1491" s="31" t="s">
        <v>554</v>
      </c>
      <c r="W1491" s="34"/>
    </row>
    <row r="1492">
      <c r="A1492" s="30">
        <v>1.487</v>
      </c>
      <c r="B1492" s="31" t="s">
        <v>6283</v>
      </c>
      <c r="C1492" s="31" t="s">
        <v>6284</v>
      </c>
      <c r="D1492" s="31" t="s">
        <v>622</v>
      </c>
      <c r="E1492" s="31" t="s">
        <v>41</v>
      </c>
      <c r="F1492" s="32">
        <v>42450.0</v>
      </c>
      <c r="G1492" s="32">
        <v>42511.0</v>
      </c>
      <c r="H1492" s="31" t="s">
        <v>453</v>
      </c>
      <c r="I1492" s="31" t="s">
        <v>41</v>
      </c>
      <c r="J1492" s="34"/>
      <c r="K1492" s="31" t="s">
        <v>623</v>
      </c>
      <c r="L1492" s="31" t="s">
        <v>624</v>
      </c>
      <c r="M1492" s="31" t="s">
        <v>6285</v>
      </c>
      <c r="N1492" s="31" t="s">
        <v>467</v>
      </c>
      <c r="O1492" s="34"/>
      <c r="P1492" s="34"/>
      <c r="Q1492" s="31" t="s">
        <v>307</v>
      </c>
      <c r="R1492" s="35">
        <v>32854.0</v>
      </c>
      <c r="S1492" s="31" t="s">
        <v>560</v>
      </c>
      <c r="T1492" s="31" t="s">
        <v>5201</v>
      </c>
      <c r="U1492" s="31" t="s">
        <v>480</v>
      </c>
      <c r="V1492" s="34"/>
      <c r="W1492" s="34"/>
    </row>
    <row r="1493">
      <c r="A1493" s="30">
        <v>1.488</v>
      </c>
      <c r="B1493" s="31" t="s">
        <v>6286</v>
      </c>
      <c r="C1493" s="31" t="s">
        <v>6287</v>
      </c>
      <c r="D1493" s="31" t="s">
        <v>6288</v>
      </c>
      <c r="E1493" s="31" t="s">
        <v>38</v>
      </c>
      <c r="F1493" s="32">
        <v>40725.0</v>
      </c>
      <c r="G1493" s="32">
        <v>40787.0</v>
      </c>
      <c r="H1493" s="31" t="s">
        <v>453</v>
      </c>
      <c r="I1493" s="31" t="s">
        <v>2717</v>
      </c>
      <c r="J1493" s="31" t="s">
        <v>38</v>
      </c>
      <c r="K1493" s="31" t="s">
        <v>2718</v>
      </c>
      <c r="L1493" s="31" t="s">
        <v>6289</v>
      </c>
      <c r="M1493" s="31" t="s">
        <v>6290</v>
      </c>
      <c r="N1493" s="31" t="s">
        <v>267</v>
      </c>
      <c r="O1493" s="31">
        <v>2.0</v>
      </c>
      <c r="P1493" s="34"/>
      <c r="Q1493" s="31" t="s">
        <v>307</v>
      </c>
      <c r="R1493" s="35">
        <v>32856.0</v>
      </c>
      <c r="S1493" s="31" t="s">
        <v>626</v>
      </c>
      <c r="T1493" s="31" t="s">
        <v>686</v>
      </c>
      <c r="U1493" s="31" t="s">
        <v>480</v>
      </c>
      <c r="V1493" s="34"/>
      <c r="W1493" s="34"/>
    </row>
    <row r="1494">
      <c r="A1494" s="30">
        <v>1.489</v>
      </c>
      <c r="B1494" s="31" t="s">
        <v>6291</v>
      </c>
      <c r="C1494" s="31" t="s">
        <v>6292</v>
      </c>
      <c r="D1494" s="31" t="s">
        <v>4747</v>
      </c>
      <c r="E1494" s="31" t="s">
        <v>2902</v>
      </c>
      <c r="F1494" s="32">
        <v>41775.0</v>
      </c>
      <c r="G1494" s="32">
        <v>41836.0</v>
      </c>
      <c r="H1494" s="31" t="s">
        <v>453</v>
      </c>
      <c r="I1494" s="31" t="s">
        <v>454</v>
      </c>
      <c r="J1494" s="31" t="s">
        <v>2903</v>
      </c>
      <c r="K1494" s="31" t="s">
        <v>2904</v>
      </c>
      <c r="L1494" s="31" t="s">
        <v>4748</v>
      </c>
      <c r="M1494" s="31" t="s">
        <v>6293</v>
      </c>
      <c r="N1494" s="31" t="s">
        <v>467</v>
      </c>
      <c r="O1494" s="34"/>
      <c r="P1494" s="34"/>
      <c r="Q1494" s="31" t="s">
        <v>307</v>
      </c>
      <c r="R1494" s="32">
        <v>33364.0</v>
      </c>
      <c r="S1494" s="31" t="s">
        <v>468</v>
      </c>
      <c r="T1494" s="31" t="s">
        <v>3198</v>
      </c>
      <c r="U1494" s="31" t="s">
        <v>480</v>
      </c>
      <c r="V1494" s="31" t="s">
        <v>2902</v>
      </c>
      <c r="W1494" s="34"/>
    </row>
    <row r="1495">
      <c r="A1495" s="30">
        <v>1.49</v>
      </c>
      <c r="B1495" s="31" t="s">
        <v>6294</v>
      </c>
      <c r="C1495" s="31" t="s">
        <v>6295</v>
      </c>
      <c r="D1495" s="31" t="s">
        <v>3644</v>
      </c>
      <c r="E1495" s="31" t="s">
        <v>2463</v>
      </c>
      <c r="F1495" s="32">
        <v>43271.0</v>
      </c>
      <c r="G1495" s="32">
        <v>43332.0</v>
      </c>
      <c r="H1495" s="31" t="s">
        <v>453</v>
      </c>
      <c r="I1495" s="31" t="s">
        <v>2717</v>
      </c>
      <c r="J1495" s="31" t="s">
        <v>2463</v>
      </c>
      <c r="K1495" s="31" t="s">
        <v>5165</v>
      </c>
      <c r="L1495" s="31" t="s">
        <v>3646</v>
      </c>
      <c r="M1495" s="31" t="s">
        <v>6296</v>
      </c>
      <c r="N1495" s="31" t="s">
        <v>267</v>
      </c>
      <c r="O1495" s="34"/>
      <c r="P1495" s="34"/>
      <c r="Q1495" s="31" t="s">
        <v>307</v>
      </c>
      <c r="R1495" s="35">
        <v>34654.0</v>
      </c>
      <c r="S1495" s="31" t="s">
        <v>560</v>
      </c>
      <c r="T1495" s="31" t="s">
        <v>828</v>
      </c>
      <c r="U1495" s="31" t="s">
        <v>480</v>
      </c>
      <c r="V1495" s="34"/>
      <c r="W1495" s="34"/>
    </row>
    <row r="1496">
      <c r="A1496" s="30">
        <v>1.491</v>
      </c>
      <c r="B1496" s="31" t="s">
        <v>6297</v>
      </c>
      <c r="C1496" s="31" t="s">
        <v>6298</v>
      </c>
      <c r="D1496" s="31" t="s">
        <v>463</v>
      </c>
      <c r="E1496" s="31" t="s">
        <v>4420</v>
      </c>
      <c r="F1496" s="32">
        <v>40651.0</v>
      </c>
      <c r="G1496" s="32">
        <v>40712.0</v>
      </c>
      <c r="H1496" s="31" t="s">
        <v>453</v>
      </c>
      <c r="I1496" s="31" t="s">
        <v>454</v>
      </c>
      <c r="J1496" s="31" t="s">
        <v>3378</v>
      </c>
      <c r="K1496" s="31" t="s">
        <v>4421</v>
      </c>
      <c r="L1496" s="31" t="s">
        <v>465</v>
      </c>
      <c r="M1496" s="31" t="s">
        <v>6299</v>
      </c>
      <c r="N1496" s="31" t="s">
        <v>467</v>
      </c>
      <c r="O1496" s="31">
        <v>2.0</v>
      </c>
      <c r="P1496" s="34"/>
      <c r="Q1496" s="31" t="s">
        <v>307</v>
      </c>
      <c r="R1496" s="32">
        <v>32317.0</v>
      </c>
      <c r="S1496" s="31" t="s">
        <v>560</v>
      </c>
      <c r="T1496" s="31" t="s">
        <v>3174</v>
      </c>
      <c r="U1496" s="31" t="s">
        <v>460</v>
      </c>
      <c r="V1496" s="31" t="s">
        <v>4420</v>
      </c>
      <c r="W1496" s="34"/>
    </row>
    <row r="1497">
      <c r="A1497" s="30">
        <v>1.492</v>
      </c>
      <c r="B1497" s="31" t="s">
        <v>6300</v>
      </c>
      <c r="C1497" s="31" t="s">
        <v>4230</v>
      </c>
      <c r="D1497" s="31" t="s">
        <v>3132</v>
      </c>
      <c r="E1497" s="31" t="s">
        <v>5387</v>
      </c>
      <c r="F1497" s="32">
        <v>44021.0</v>
      </c>
      <c r="G1497" s="32">
        <v>44083.0</v>
      </c>
      <c r="H1497" s="31" t="s">
        <v>453</v>
      </c>
      <c r="I1497" s="31" t="s">
        <v>2835</v>
      </c>
      <c r="J1497" s="31" t="s">
        <v>3564</v>
      </c>
      <c r="K1497" s="31" t="s">
        <v>5388</v>
      </c>
      <c r="L1497" s="31" t="s">
        <v>3380</v>
      </c>
      <c r="M1497" s="31" t="s">
        <v>6301</v>
      </c>
      <c r="N1497" s="31" t="s">
        <v>267</v>
      </c>
      <c r="O1497" s="31">
        <v>2.0</v>
      </c>
      <c r="P1497" s="34"/>
      <c r="Q1497" s="31" t="s">
        <v>307</v>
      </c>
      <c r="R1497" s="35">
        <v>35058.0</v>
      </c>
      <c r="S1497" s="31" t="s">
        <v>320</v>
      </c>
      <c r="T1497" s="31" t="s">
        <v>6302</v>
      </c>
      <c r="U1497" s="31" t="s">
        <v>480</v>
      </c>
      <c r="V1497" s="31" t="s">
        <v>5387</v>
      </c>
      <c r="W1497" s="34"/>
    </row>
    <row r="1498">
      <c r="A1498" s="30">
        <v>1.493</v>
      </c>
      <c r="B1498" s="31" t="s">
        <v>6303</v>
      </c>
      <c r="C1498" s="31" t="s">
        <v>6304</v>
      </c>
      <c r="D1498" s="31" t="s">
        <v>472</v>
      </c>
      <c r="E1498" s="31" t="s">
        <v>4991</v>
      </c>
      <c r="F1498" s="32">
        <v>44137.0</v>
      </c>
      <c r="G1498" s="32">
        <v>44198.0</v>
      </c>
      <c r="H1498" s="31" t="s">
        <v>453</v>
      </c>
      <c r="I1498" s="31" t="s">
        <v>454</v>
      </c>
      <c r="J1498" s="31" t="s">
        <v>3217</v>
      </c>
      <c r="K1498" s="31" t="s">
        <v>4992</v>
      </c>
      <c r="L1498" s="31" t="s">
        <v>476</v>
      </c>
      <c r="M1498" s="31" t="s">
        <v>6305</v>
      </c>
      <c r="N1498" s="31" t="s">
        <v>467</v>
      </c>
      <c r="O1498" s="34"/>
      <c r="P1498" s="34"/>
      <c r="Q1498" s="31" t="s">
        <v>307</v>
      </c>
      <c r="R1498" s="32">
        <v>33703.0</v>
      </c>
      <c r="S1498" s="31" t="s">
        <v>560</v>
      </c>
      <c r="T1498" s="31" t="s">
        <v>503</v>
      </c>
      <c r="U1498" s="31" t="s">
        <v>480</v>
      </c>
      <c r="V1498" s="31" t="s">
        <v>4991</v>
      </c>
      <c r="W1498" s="34"/>
    </row>
    <row r="1499">
      <c r="A1499" s="30">
        <v>1.494</v>
      </c>
      <c r="B1499" s="31" t="s">
        <v>6306</v>
      </c>
      <c r="C1499" s="31" t="s">
        <v>5179</v>
      </c>
      <c r="D1499" s="31" t="s">
        <v>6307</v>
      </c>
      <c r="E1499" s="31" t="s">
        <v>6308</v>
      </c>
      <c r="F1499" s="32">
        <v>43353.0</v>
      </c>
      <c r="G1499" s="35">
        <v>43414.0</v>
      </c>
      <c r="H1499" s="31" t="s">
        <v>453</v>
      </c>
      <c r="I1499" s="31" t="s">
        <v>47</v>
      </c>
      <c r="J1499" s="31" t="s">
        <v>6308</v>
      </c>
      <c r="K1499" s="31" t="s">
        <v>6309</v>
      </c>
      <c r="L1499" s="31" t="s">
        <v>6310</v>
      </c>
      <c r="M1499" s="31" t="s">
        <v>6311</v>
      </c>
      <c r="N1499" s="31" t="s">
        <v>467</v>
      </c>
      <c r="O1499" s="31">
        <v>2.0</v>
      </c>
      <c r="P1499" s="34"/>
      <c r="Q1499" s="31" t="s">
        <v>307</v>
      </c>
      <c r="R1499" s="32">
        <v>30761.0</v>
      </c>
      <c r="S1499" s="31" t="s">
        <v>6312</v>
      </c>
      <c r="T1499" s="31" t="s">
        <v>496</v>
      </c>
      <c r="U1499" s="31" t="s">
        <v>480</v>
      </c>
      <c r="V1499" s="34"/>
      <c r="W1499" s="34"/>
    </row>
    <row r="1500">
      <c r="A1500" s="30">
        <v>1.495</v>
      </c>
      <c r="B1500" s="31" t="s">
        <v>6313</v>
      </c>
      <c r="C1500" s="31" t="s">
        <v>6314</v>
      </c>
      <c r="D1500" s="31" t="s">
        <v>5193</v>
      </c>
      <c r="E1500" s="31" t="s">
        <v>4917</v>
      </c>
      <c r="F1500" s="32">
        <v>40969.0</v>
      </c>
      <c r="G1500" s="32">
        <v>41030.0</v>
      </c>
      <c r="H1500" s="31" t="s">
        <v>453</v>
      </c>
      <c r="I1500" s="31" t="s">
        <v>454</v>
      </c>
      <c r="J1500" s="31" t="s">
        <v>4917</v>
      </c>
      <c r="K1500" s="31" t="s">
        <v>4918</v>
      </c>
      <c r="L1500" s="31" t="s">
        <v>5196</v>
      </c>
      <c r="M1500" s="31" t="s">
        <v>6315</v>
      </c>
      <c r="N1500" s="31" t="s">
        <v>467</v>
      </c>
      <c r="O1500" s="34"/>
      <c r="P1500" s="34"/>
      <c r="Q1500" s="31" t="s">
        <v>307</v>
      </c>
      <c r="R1500" s="32">
        <v>32781.0</v>
      </c>
      <c r="S1500" s="31" t="s">
        <v>560</v>
      </c>
      <c r="T1500" s="31" t="s">
        <v>469</v>
      </c>
      <c r="U1500" s="31" t="s">
        <v>480</v>
      </c>
      <c r="V1500" s="34"/>
      <c r="W1500" s="34"/>
    </row>
    <row r="1501">
      <c r="A1501" s="30">
        <v>1.496</v>
      </c>
      <c r="B1501" s="31" t="s">
        <v>6316</v>
      </c>
      <c r="C1501" s="31" t="s">
        <v>419</v>
      </c>
      <c r="D1501" s="31" t="s">
        <v>452</v>
      </c>
      <c r="E1501" s="31" t="s">
        <v>3396</v>
      </c>
      <c r="F1501" s="32">
        <v>39173.0</v>
      </c>
      <c r="G1501" s="32">
        <v>39264.0</v>
      </c>
      <c r="H1501" s="31" t="s">
        <v>453</v>
      </c>
      <c r="I1501" s="31" t="s">
        <v>47</v>
      </c>
      <c r="J1501" s="31" t="s">
        <v>3397</v>
      </c>
      <c r="K1501" s="31" t="s">
        <v>3398</v>
      </c>
      <c r="L1501" s="31" t="s">
        <v>456</v>
      </c>
      <c r="M1501" s="31" t="s">
        <v>6317</v>
      </c>
      <c r="N1501" s="31" t="s">
        <v>267</v>
      </c>
      <c r="O1501" s="34"/>
      <c r="P1501" s="34"/>
      <c r="Q1501" s="31" t="s">
        <v>307</v>
      </c>
      <c r="R1501" s="35">
        <v>30672.0</v>
      </c>
      <c r="S1501" s="31" t="s">
        <v>531</v>
      </c>
      <c r="T1501" s="31" t="s">
        <v>2845</v>
      </c>
      <c r="U1501" s="31" t="s">
        <v>271</v>
      </c>
      <c r="V1501" s="31" t="s">
        <v>3396</v>
      </c>
      <c r="W1501" s="34"/>
    </row>
    <row r="1502">
      <c r="A1502" s="30">
        <v>1.497</v>
      </c>
      <c r="B1502" s="31" t="s">
        <v>6318</v>
      </c>
      <c r="C1502" s="31" t="s">
        <v>6319</v>
      </c>
      <c r="D1502" s="31" t="s">
        <v>622</v>
      </c>
      <c r="E1502" s="31" t="s">
        <v>41</v>
      </c>
      <c r="F1502" s="32">
        <v>42171.0</v>
      </c>
      <c r="G1502" s="32">
        <v>42232.0</v>
      </c>
      <c r="H1502" s="31" t="s">
        <v>453</v>
      </c>
      <c r="I1502" s="31" t="s">
        <v>41</v>
      </c>
      <c r="J1502" s="34"/>
      <c r="K1502" s="31" t="s">
        <v>623</v>
      </c>
      <c r="L1502" s="31" t="s">
        <v>624</v>
      </c>
      <c r="M1502" s="31" t="s">
        <v>6320</v>
      </c>
      <c r="N1502" s="31" t="s">
        <v>267</v>
      </c>
      <c r="O1502" s="34"/>
      <c r="P1502" s="34"/>
      <c r="Q1502" s="31" t="s">
        <v>307</v>
      </c>
      <c r="R1502" s="32">
        <v>34134.0</v>
      </c>
      <c r="S1502" s="31" t="s">
        <v>681</v>
      </c>
      <c r="T1502" s="31" t="s">
        <v>686</v>
      </c>
      <c r="U1502" s="31" t="s">
        <v>480</v>
      </c>
      <c r="V1502" s="34"/>
      <c r="W1502" s="34"/>
    </row>
    <row r="1503">
      <c r="A1503" s="30">
        <v>1.498</v>
      </c>
      <c r="B1503" s="31" t="s">
        <v>6321</v>
      </c>
      <c r="C1503" s="31" t="s">
        <v>6322</v>
      </c>
      <c r="D1503" s="31" t="s">
        <v>472</v>
      </c>
      <c r="E1503" s="31" t="s">
        <v>3419</v>
      </c>
      <c r="F1503" s="32">
        <v>39952.0</v>
      </c>
      <c r="G1503" s="32">
        <v>40013.0</v>
      </c>
      <c r="H1503" s="31" t="s">
        <v>453</v>
      </c>
      <c r="I1503" s="31" t="s">
        <v>454</v>
      </c>
      <c r="J1503" s="31" t="s">
        <v>3188</v>
      </c>
      <c r="K1503" s="31" t="s">
        <v>3420</v>
      </c>
      <c r="L1503" s="31" t="s">
        <v>476</v>
      </c>
      <c r="M1503" s="31" t="s">
        <v>6323</v>
      </c>
      <c r="N1503" s="31" t="s">
        <v>467</v>
      </c>
      <c r="O1503" s="34"/>
      <c r="P1503" s="34"/>
      <c r="Q1503" s="31" t="s">
        <v>307</v>
      </c>
      <c r="R1503" s="32">
        <v>30063.0</v>
      </c>
      <c r="S1503" s="31" t="s">
        <v>560</v>
      </c>
      <c r="T1503" s="31" t="s">
        <v>3198</v>
      </c>
      <c r="U1503" s="31" t="s">
        <v>460</v>
      </c>
      <c r="V1503" s="31" t="s">
        <v>3419</v>
      </c>
      <c r="W1503" s="34"/>
    </row>
    <row r="1504">
      <c r="A1504" s="30">
        <v>1.499</v>
      </c>
      <c r="B1504" s="31" t="s">
        <v>6324</v>
      </c>
      <c r="C1504" s="31" t="s">
        <v>6325</v>
      </c>
      <c r="D1504" s="31" t="s">
        <v>472</v>
      </c>
      <c r="E1504" s="31" t="s">
        <v>4414</v>
      </c>
      <c r="F1504" s="35">
        <v>44147.0</v>
      </c>
      <c r="G1504" s="32">
        <v>44208.0</v>
      </c>
      <c r="H1504" s="31" t="s">
        <v>453</v>
      </c>
      <c r="I1504" s="31" t="s">
        <v>607</v>
      </c>
      <c r="J1504" s="31" t="s">
        <v>4415</v>
      </c>
      <c r="K1504" s="31" t="s">
        <v>4416</v>
      </c>
      <c r="L1504" s="31" t="s">
        <v>476</v>
      </c>
      <c r="M1504" s="31" t="s">
        <v>6326</v>
      </c>
      <c r="N1504" s="31" t="s">
        <v>467</v>
      </c>
      <c r="O1504" s="34"/>
      <c r="P1504" s="34"/>
      <c r="Q1504" s="31" t="s">
        <v>307</v>
      </c>
      <c r="R1504" s="32">
        <v>36215.0</v>
      </c>
      <c r="S1504" s="31" t="s">
        <v>560</v>
      </c>
      <c r="T1504" s="31" t="s">
        <v>479</v>
      </c>
      <c r="U1504" s="31" t="s">
        <v>643</v>
      </c>
      <c r="V1504" s="31" t="s">
        <v>4414</v>
      </c>
      <c r="W1504" s="34"/>
    </row>
    <row r="1505">
      <c r="A1505" s="30">
        <v>1.5</v>
      </c>
      <c r="B1505" s="31" t="s">
        <v>6327</v>
      </c>
      <c r="C1505" s="31" t="s">
        <v>6328</v>
      </c>
      <c r="D1505" s="31" t="s">
        <v>499</v>
      </c>
      <c r="E1505" s="31" t="s">
        <v>3377</v>
      </c>
      <c r="F1505" s="32">
        <v>40728.0</v>
      </c>
      <c r="G1505" s="32">
        <v>42430.0</v>
      </c>
      <c r="H1505" s="31" t="s">
        <v>453</v>
      </c>
      <c r="I1505" s="31" t="s">
        <v>454</v>
      </c>
      <c r="J1505" s="31" t="s">
        <v>3378</v>
      </c>
      <c r="K1505" s="31" t="s">
        <v>3379</v>
      </c>
      <c r="L1505" s="31" t="s">
        <v>500</v>
      </c>
      <c r="M1505" s="31" t="s">
        <v>6329</v>
      </c>
      <c r="N1505" s="31" t="s">
        <v>467</v>
      </c>
      <c r="O1505" s="31">
        <v>1.0</v>
      </c>
      <c r="P1505" s="34"/>
      <c r="Q1505" s="31" t="s">
        <v>307</v>
      </c>
      <c r="R1505" s="32">
        <v>32613.0</v>
      </c>
      <c r="S1505" s="31" t="s">
        <v>468</v>
      </c>
      <c r="T1505" s="31" t="s">
        <v>1281</v>
      </c>
      <c r="U1505" s="31" t="s">
        <v>460</v>
      </c>
      <c r="V1505" s="31" t="s">
        <v>3377</v>
      </c>
      <c r="W1505" s="34"/>
    </row>
    <row r="1506">
      <c r="A1506" s="30">
        <v>1.501</v>
      </c>
      <c r="B1506" s="31" t="s">
        <v>6330</v>
      </c>
      <c r="C1506" s="31" t="s">
        <v>6331</v>
      </c>
      <c r="D1506" s="31" t="s">
        <v>472</v>
      </c>
      <c r="E1506" s="31" t="s">
        <v>2668</v>
      </c>
      <c r="F1506" s="32">
        <v>44231.0</v>
      </c>
      <c r="G1506" s="32">
        <v>44290.0</v>
      </c>
      <c r="H1506" s="31" t="s">
        <v>453</v>
      </c>
      <c r="I1506" s="31" t="s">
        <v>454</v>
      </c>
      <c r="J1506" s="31" t="s">
        <v>2669</v>
      </c>
      <c r="K1506" s="31" t="s">
        <v>2670</v>
      </c>
      <c r="L1506" s="31" t="s">
        <v>476</v>
      </c>
      <c r="M1506" s="31" t="s">
        <v>6332</v>
      </c>
      <c r="N1506" s="31" t="s">
        <v>467</v>
      </c>
      <c r="O1506" s="34"/>
      <c r="P1506" s="34"/>
      <c r="Q1506" s="31" t="s">
        <v>307</v>
      </c>
      <c r="R1506" s="35">
        <v>36519.0</v>
      </c>
      <c r="S1506" s="31" t="s">
        <v>502</v>
      </c>
      <c r="T1506" s="31" t="s">
        <v>503</v>
      </c>
      <c r="U1506" s="31" t="s">
        <v>480</v>
      </c>
      <c r="V1506" s="31" t="s">
        <v>2668</v>
      </c>
      <c r="W1506" s="34"/>
    </row>
    <row r="1507">
      <c r="A1507" s="30">
        <v>1.502</v>
      </c>
      <c r="B1507" s="31" t="s">
        <v>6333</v>
      </c>
      <c r="C1507" s="31" t="s">
        <v>6334</v>
      </c>
      <c r="D1507" s="31" t="s">
        <v>472</v>
      </c>
      <c r="E1507" s="31" t="s">
        <v>2696</v>
      </c>
      <c r="F1507" s="32">
        <v>44330.0</v>
      </c>
      <c r="G1507" s="32">
        <v>44391.0</v>
      </c>
      <c r="H1507" s="31" t="s">
        <v>453</v>
      </c>
      <c r="I1507" s="31" t="s">
        <v>607</v>
      </c>
      <c r="J1507" s="31" t="s">
        <v>2697</v>
      </c>
      <c r="K1507" s="31" t="s">
        <v>2698</v>
      </c>
      <c r="L1507" s="31" t="s">
        <v>476</v>
      </c>
      <c r="M1507" s="31" t="s">
        <v>6335</v>
      </c>
      <c r="N1507" s="31" t="s">
        <v>467</v>
      </c>
      <c r="O1507" s="34"/>
      <c r="P1507" s="34"/>
      <c r="Q1507" s="31" t="s">
        <v>307</v>
      </c>
      <c r="R1507" s="32">
        <v>35941.0</v>
      </c>
      <c r="S1507" s="31" t="s">
        <v>560</v>
      </c>
      <c r="T1507" s="31" t="s">
        <v>1242</v>
      </c>
      <c r="U1507" s="31" t="s">
        <v>643</v>
      </c>
      <c r="V1507" s="31" t="s">
        <v>2696</v>
      </c>
      <c r="W1507" s="34"/>
    </row>
    <row r="1508">
      <c r="A1508" s="30">
        <v>1.503</v>
      </c>
      <c r="B1508" s="31" t="s">
        <v>6336</v>
      </c>
      <c r="C1508" s="31" t="s">
        <v>3424</v>
      </c>
      <c r="D1508" s="31" t="s">
        <v>472</v>
      </c>
      <c r="E1508" s="31" t="s">
        <v>3419</v>
      </c>
      <c r="F1508" s="32">
        <v>44035.0</v>
      </c>
      <c r="G1508" s="32">
        <v>44097.0</v>
      </c>
      <c r="H1508" s="31" t="s">
        <v>453</v>
      </c>
      <c r="I1508" s="31" t="s">
        <v>454</v>
      </c>
      <c r="J1508" s="31" t="s">
        <v>3188</v>
      </c>
      <c r="K1508" s="31" t="s">
        <v>3420</v>
      </c>
      <c r="L1508" s="31" t="s">
        <v>476</v>
      </c>
      <c r="M1508" s="31" t="s">
        <v>6337</v>
      </c>
      <c r="N1508" s="31" t="s">
        <v>467</v>
      </c>
      <c r="O1508" s="34"/>
      <c r="P1508" s="34"/>
      <c r="Q1508" s="31" t="s">
        <v>307</v>
      </c>
      <c r="R1508" s="32">
        <v>35877.0</v>
      </c>
      <c r="S1508" s="31" t="s">
        <v>560</v>
      </c>
      <c r="T1508" s="31" t="s">
        <v>503</v>
      </c>
      <c r="U1508" s="31" t="s">
        <v>460</v>
      </c>
      <c r="V1508" s="31" t="s">
        <v>3419</v>
      </c>
      <c r="W1508" s="34"/>
    </row>
    <row r="1509">
      <c r="A1509" s="30">
        <v>1.504</v>
      </c>
      <c r="B1509" s="31" t="s">
        <v>6338</v>
      </c>
      <c r="C1509" s="31" t="s">
        <v>6339</v>
      </c>
      <c r="D1509" s="31" t="s">
        <v>553</v>
      </c>
      <c r="E1509" s="31" t="s">
        <v>3377</v>
      </c>
      <c r="F1509" s="35">
        <v>43395.0</v>
      </c>
      <c r="G1509" s="35">
        <v>43456.0</v>
      </c>
      <c r="H1509" s="31" t="s">
        <v>453</v>
      </c>
      <c r="I1509" s="31" t="s">
        <v>454</v>
      </c>
      <c r="J1509" s="31" t="s">
        <v>3378</v>
      </c>
      <c r="K1509" s="31" t="s">
        <v>3379</v>
      </c>
      <c r="L1509" s="31" t="s">
        <v>558</v>
      </c>
      <c r="M1509" s="31" t="s">
        <v>6340</v>
      </c>
      <c r="N1509" s="31" t="s">
        <v>267</v>
      </c>
      <c r="O1509" s="34"/>
      <c r="P1509" s="34"/>
      <c r="Q1509" s="31" t="s">
        <v>307</v>
      </c>
      <c r="R1509" s="32">
        <v>33052.0</v>
      </c>
      <c r="S1509" s="31" t="s">
        <v>495</v>
      </c>
      <c r="T1509" s="31" t="s">
        <v>4337</v>
      </c>
      <c r="U1509" s="31" t="s">
        <v>460</v>
      </c>
      <c r="V1509" s="31" t="s">
        <v>3377</v>
      </c>
      <c r="W1509" s="34"/>
    </row>
    <row r="1510">
      <c r="A1510" s="30">
        <v>1.505</v>
      </c>
      <c r="B1510" s="31" t="s">
        <v>6341</v>
      </c>
      <c r="C1510" s="31" t="s">
        <v>2539</v>
      </c>
      <c r="D1510" s="31" t="s">
        <v>6342</v>
      </c>
      <c r="E1510" s="31" t="s">
        <v>6181</v>
      </c>
      <c r="F1510" s="35">
        <v>42354.0</v>
      </c>
      <c r="G1510" s="32">
        <v>42416.0</v>
      </c>
      <c r="H1510" s="31" t="s">
        <v>453</v>
      </c>
      <c r="I1510" s="31" t="s">
        <v>607</v>
      </c>
      <c r="J1510" s="31" t="s">
        <v>4415</v>
      </c>
      <c r="K1510" s="31" t="s">
        <v>6182</v>
      </c>
      <c r="L1510" s="31" t="s">
        <v>6343</v>
      </c>
      <c r="M1510" s="31" t="s">
        <v>6344</v>
      </c>
      <c r="N1510" s="31" t="s">
        <v>267</v>
      </c>
      <c r="O1510" s="31">
        <v>1.0</v>
      </c>
      <c r="P1510" s="34"/>
      <c r="Q1510" s="31" t="s">
        <v>307</v>
      </c>
      <c r="R1510" s="32">
        <v>29844.0</v>
      </c>
      <c r="S1510" s="31" t="s">
        <v>531</v>
      </c>
      <c r="T1510" s="31" t="s">
        <v>778</v>
      </c>
      <c r="U1510" s="31" t="s">
        <v>643</v>
      </c>
      <c r="V1510" s="31" t="s">
        <v>6181</v>
      </c>
      <c r="W1510" s="34"/>
    </row>
    <row r="1511">
      <c r="A1511" s="30">
        <v>1.506</v>
      </c>
      <c r="B1511" s="31" t="s">
        <v>6345</v>
      </c>
      <c r="C1511" s="31" t="s">
        <v>6346</v>
      </c>
      <c r="D1511" s="31" t="s">
        <v>499</v>
      </c>
      <c r="E1511" s="31" t="s">
        <v>4379</v>
      </c>
      <c r="F1511" s="32">
        <v>39153.0</v>
      </c>
      <c r="G1511" s="32">
        <v>39187.0</v>
      </c>
      <c r="H1511" s="31" t="s">
        <v>453</v>
      </c>
      <c r="I1511" s="31" t="s">
        <v>607</v>
      </c>
      <c r="J1511" s="31" t="s">
        <v>4380</v>
      </c>
      <c r="K1511" s="31" t="s">
        <v>4381</v>
      </c>
      <c r="L1511" s="31" t="s">
        <v>500</v>
      </c>
      <c r="M1511" s="31" t="s">
        <v>6347</v>
      </c>
      <c r="N1511" s="31" t="s">
        <v>467</v>
      </c>
      <c r="O1511" s="31">
        <v>1.0</v>
      </c>
      <c r="P1511" s="34"/>
      <c r="Q1511" s="31" t="s">
        <v>307</v>
      </c>
      <c r="R1511" s="35">
        <v>29880.0</v>
      </c>
      <c r="S1511" s="31" t="s">
        <v>3850</v>
      </c>
      <c r="T1511" s="31" t="s">
        <v>4337</v>
      </c>
      <c r="U1511" s="31" t="s">
        <v>643</v>
      </c>
      <c r="V1511" s="31" t="s">
        <v>4379</v>
      </c>
      <c r="W1511" s="34"/>
    </row>
    <row r="1512">
      <c r="A1512" s="30">
        <v>1.507</v>
      </c>
      <c r="B1512" s="31" t="s">
        <v>6348</v>
      </c>
      <c r="C1512" s="31" t="s">
        <v>6349</v>
      </c>
      <c r="D1512" s="31" t="s">
        <v>472</v>
      </c>
      <c r="E1512" s="31" t="s">
        <v>4379</v>
      </c>
      <c r="F1512" s="32">
        <v>44249.0</v>
      </c>
      <c r="G1512" s="32">
        <v>44308.0</v>
      </c>
      <c r="H1512" s="31" t="s">
        <v>453</v>
      </c>
      <c r="I1512" s="31" t="s">
        <v>607</v>
      </c>
      <c r="J1512" s="31" t="s">
        <v>4380</v>
      </c>
      <c r="K1512" s="31" t="s">
        <v>4381</v>
      </c>
      <c r="L1512" s="31" t="s">
        <v>476</v>
      </c>
      <c r="M1512" s="31" t="s">
        <v>6350</v>
      </c>
      <c r="N1512" s="31" t="s">
        <v>467</v>
      </c>
      <c r="O1512" s="34"/>
      <c r="P1512" s="34"/>
      <c r="Q1512" s="31" t="s">
        <v>307</v>
      </c>
      <c r="R1512" s="32">
        <v>35815.0</v>
      </c>
      <c r="S1512" s="31" t="s">
        <v>1622</v>
      </c>
      <c r="T1512" s="31" t="s">
        <v>503</v>
      </c>
      <c r="U1512" s="31" t="s">
        <v>643</v>
      </c>
      <c r="V1512" s="31" t="s">
        <v>4379</v>
      </c>
      <c r="W1512" s="34"/>
    </row>
    <row r="1513">
      <c r="A1513" s="30">
        <v>1.508</v>
      </c>
      <c r="B1513" s="31" t="s">
        <v>6351</v>
      </c>
      <c r="C1513" s="31" t="s">
        <v>6352</v>
      </c>
      <c r="D1513" s="31" t="s">
        <v>472</v>
      </c>
      <c r="E1513" s="31" t="s">
        <v>3419</v>
      </c>
      <c r="F1513" s="32">
        <v>42474.0</v>
      </c>
      <c r="G1513" s="32">
        <v>42535.0</v>
      </c>
      <c r="H1513" s="31" t="s">
        <v>453</v>
      </c>
      <c r="I1513" s="31" t="s">
        <v>454</v>
      </c>
      <c r="J1513" s="31" t="s">
        <v>3188</v>
      </c>
      <c r="K1513" s="31" t="s">
        <v>3420</v>
      </c>
      <c r="L1513" s="31" t="s">
        <v>476</v>
      </c>
      <c r="M1513" s="31" t="s">
        <v>6353</v>
      </c>
      <c r="N1513" s="31" t="s">
        <v>467</v>
      </c>
      <c r="O1513" s="34"/>
      <c r="P1513" s="34"/>
      <c r="Q1513" s="31" t="s">
        <v>307</v>
      </c>
      <c r="R1513" s="32">
        <v>33724.0</v>
      </c>
      <c r="S1513" s="31" t="s">
        <v>468</v>
      </c>
      <c r="T1513" s="31" t="s">
        <v>1532</v>
      </c>
      <c r="U1513" s="31" t="s">
        <v>460</v>
      </c>
      <c r="V1513" s="31" t="s">
        <v>3419</v>
      </c>
      <c r="W1513" s="34"/>
    </row>
    <row r="1514">
      <c r="A1514" s="30">
        <v>1.509</v>
      </c>
      <c r="B1514" s="31" t="s">
        <v>6354</v>
      </c>
      <c r="C1514" s="31" t="s">
        <v>6355</v>
      </c>
      <c r="D1514" s="31" t="s">
        <v>636</v>
      </c>
      <c r="E1514" s="31" t="s">
        <v>638</v>
      </c>
      <c r="F1514" s="32">
        <v>45232.0</v>
      </c>
      <c r="G1514" s="32">
        <v>45292.0</v>
      </c>
      <c r="H1514" s="31" t="s">
        <v>453</v>
      </c>
      <c r="I1514" s="31" t="s">
        <v>52</v>
      </c>
      <c r="J1514" s="31" t="s">
        <v>638</v>
      </c>
      <c r="K1514" s="31" t="s">
        <v>3267</v>
      </c>
      <c r="L1514" s="31" t="s">
        <v>640</v>
      </c>
      <c r="M1514" s="31" t="s">
        <v>6356</v>
      </c>
      <c r="N1514" s="31" t="s">
        <v>267</v>
      </c>
      <c r="O1514" s="34"/>
      <c r="P1514" s="34"/>
      <c r="Q1514" s="31" t="s">
        <v>307</v>
      </c>
      <c r="R1514" s="32">
        <v>36755.0</v>
      </c>
      <c r="S1514" s="31" t="s">
        <v>2467</v>
      </c>
      <c r="T1514" s="31" t="s">
        <v>496</v>
      </c>
      <c r="U1514" s="31" t="s">
        <v>643</v>
      </c>
      <c r="V1514" s="34"/>
      <c r="W1514" s="34"/>
    </row>
    <row r="1515">
      <c r="A1515" s="30">
        <v>1.51</v>
      </c>
      <c r="B1515" s="31" t="s">
        <v>6357</v>
      </c>
      <c r="C1515" s="31" t="s">
        <v>6358</v>
      </c>
      <c r="D1515" s="31" t="s">
        <v>636</v>
      </c>
      <c r="E1515" s="31" t="s">
        <v>637</v>
      </c>
      <c r="F1515" s="32">
        <v>45232.0</v>
      </c>
      <c r="G1515" s="32">
        <v>45292.0</v>
      </c>
      <c r="H1515" s="31" t="s">
        <v>453</v>
      </c>
      <c r="I1515" s="31" t="s">
        <v>52</v>
      </c>
      <c r="J1515" s="31" t="s">
        <v>638</v>
      </c>
      <c r="K1515" s="31" t="s">
        <v>639</v>
      </c>
      <c r="L1515" s="31" t="s">
        <v>640</v>
      </c>
      <c r="M1515" s="31" t="s">
        <v>6359</v>
      </c>
      <c r="N1515" s="31" t="s">
        <v>467</v>
      </c>
      <c r="O1515" s="34"/>
      <c r="P1515" s="34"/>
      <c r="Q1515" s="31" t="s">
        <v>307</v>
      </c>
      <c r="R1515" s="32">
        <v>36789.0</v>
      </c>
      <c r="S1515" s="31" t="s">
        <v>6360</v>
      </c>
      <c r="T1515" s="31" t="s">
        <v>6361</v>
      </c>
      <c r="U1515" s="31" t="s">
        <v>643</v>
      </c>
      <c r="V1515" s="31" t="s">
        <v>637</v>
      </c>
      <c r="W1515" s="34"/>
    </row>
    <row r="1516">
      <c r="A1516" s="30">
        <v>1.511</v>
      </c>
      <c r="B1516" s="31" t="s">
        <v>6362</v>
      </c>
      <c r="C1516" s="31" t="s">
        <v>6363</v>
      </c>
      <c r="D1516" s="31" t="s">
        <v>472</v>
      </c>
      <c r="E1516" s="31" t="s">
        <v>4991</v>
      </c>
      <c r="F1516" s="32">
        <v>45232.0</v>
      </c>
      <c r="G1516" s="32">
        <v>45292.0</v>
      </c>
      <c r="H1516" s="31" t="s">
        <v>453</v>
      </c>
      <c r="I1516" s="31" t="s">
        <v>454</v>
      </c>
      <c r="J1516" s="31" t="s">
        <v>3217</v>
      </c>
      <c r="K1516" s="31" t="s">
        <v>4992</v>
      </c>
      <c r="L1516" s="31" t="s">
        <v>476</v>
      </c>
      <c r="M1516" s="31" t="s">
        <v>6364</v>
      </c>
      <c r="N1516" s="31" t="s">
        <v>467</v>
      </c>
      <c r="O1516" s="34"/>
      <c r="P1516" s="34"/>
      <c r="Q1516" s="31" t="s">
        <v>307</v>
      </c>
      <c r="R1516" s="32">
        <v>36766.0</v>
      </c>
      <c r="S1516" s="31" t="s">
        <v>6365</v>
      </c>
      <c r="T1516" s="31" t="s">
        <v>2672</v>
      </c>
      <c r="U1516" s="31" t="s">
        <v>480</v>
      </c>
      <c r="V1516" s="31" t="s">
        <v>4991</v>
      </c>
      <c r="W1516" s="34"/>
    </row>
    <row r="1517">
      <c r="A1517" s="30">
        <v>1.512</v>
      </c>
      <c r="B1517" s="31" t="s">
        <v>6366</v>
      </c>
      <c r="C1517" s="31" t="s">
        <v>6367</v>
      </c>
      <c r="D1517" s="31" t="s">
        <v>472</v>
      </c>
      <c r="E1517" s="31" t="s">
        <v>4991</v>
      </c>
      <c r="F1517" s="32">
        <v>45232.0</v>
      </c>
      <c r="G1517" s="32">
        <v>45292.0</v>
      </c>
      <c r="H1517" s="31" t="s">
        <v>453</v>
      </c>
      <c r="I1517" s="31" t="s">
        <v>454</v>
      </c>
      <c r="J1517" s="31" t="s">
        <v>3217</v>
      </c>
      <c r="K1517" s="31" t="s">
        <v>4992</v>
      </c>
      <c r="L1517" s="31" t="s">
        <v>476</v>
      </c>
      <c r="M1517" s="31" t="s">
        <v>6368</v>
      </c>
      <c r="N1517" s="31" t="s">
        <v>467</v>
      </c>
      <c r="O1517" s="34"/>
      <c r="P1517" s="34"/>
      <c r="Q1517" s="31" t="s">
        <v>307</v>
      </c>
      <c r="R1517" s="32">
        <v>37196.0</v>
      </c>
      <c r="S1517" s="31" t="s">
        <v>560</v>
      </c>
      <c r="T1517" s="31" t="s">
        <v>5398</v>
      </c>
      <c r="U1517" s="31" t="s">
        <v>480</v>
      </c>
      <c r="V1517" s="31" t="s">
        <v>4991</v>
      </c>
      <c r="W1517" s="34"/>
    </row>
    <row r="1518">
      <c r="A1518" s="30">
        <v>1.513</v>
      </c>
      <c r="B1518" s="31" t="s">
        <v>6369</v>
      </c>
      <c r="C1518" s="31" t="s">
        <v>6370</v>
      </c>
      <c r="D1518" s="31" t="s">
        <v>472</v>
      </c>
      <c r="E1518" s="31" t="s">
        <v>4414</v>
      </c>
      <c r="F1518" s="35">
        <v>45210.0</v>
      </c>
      <c r="G1518" s="35">
        <v>45270.0</v>
      </c>
      <c r="H1518" s="31" t="s">
        <v>453</v>
      </c>
      <c r="I1518" s="31" t="s">
        <v>607</v>
      </c>
      <c r="J1518" s="31" t="s">
        <v>4415</v>
      </c>
      <c r="K1518" s="31" t="s">
        <v>4416</v>
      </c>
      <c r="L1518" s="31" t="s">
        <v>476</v>
      </c>
      <c r="M1518" s="31" t="s">
        <v>6371</v>
      </c>
      <c r="N1518" s="31" t="s">
        <v>467</v>
      </c>
      <c r="O1518" s="34"/>
      <c r="P1518" s="34"/>
      <c r="Q1518" s="31" t="s">
        <v>307</v>
      </c>
      <c r="R1518" s="32">
        <v>37143.0</v>
      </c>
      <c r="S1518" s="31" t="s">
        <v>3205</v>
      </c>
      <c r="T1518" s="31" t="s">
        <v>2672</v>
      </c>
      <c r="U1518" s="31" t="s">
        <v>643</v>
      </c>
      <c r="V1518" s="31" t="s">
        <v>4414</v>
      </c>
      <c r="W1518" s="34"/>
    </row>
    <row r="1519">
      <c r="A1519" s="30">
        <v>1.514</v>
      </c>
      <c r="B1519" s="31" t="s">
        <v>6372</v>
      </c>
      <c r="C1519" s="31" t="s">
        <v>5966</v>
      </c>
      <c r="D1519" s="31" t="s">
        <v>472</v>
      </c>
      <c r="E1519" s="31" t="s">
        <v>2902</v>
      </c>
      <c r="F1519" s="32">
        <v>45201.0</v>
      </c>
      <c r="G1519" s="32">
        <v>45261.0</v>
      </c>
      <c r="H1519" s="31" t="s">
        <v>453</v>
      </c>
      <c r="I1519" s="31" t="s">
        <v>454</v>
      </c>
      <c r="J1519" s="31" t="s">
        <v>2903</v>
      </c>
      <c r="K1519" s="31" t="s">
        <v>2904</v>
      </c>
      <c r="L1519" s="31" t="s">
        <v>476</v>
      </c>
      <c r="M1519" s="31" t="s">
        <v>6373</v>
      </c>
      <c r="N1519" s="31" t="s">
        <v>467</v>
      </c>
      <c r="O1519" s="34"/>
      <c r="P1519" s="34"/>
      <c r="Q1519" s="31" t="s">
        <v>307</v>
      </c>
      <c r="R1519" s="32">
        <v>37525.0</v>
      </c>
      <c r="S1519" s="31" t="s">
        <v>560</v>
      </c>
      <c r="T1519" s="31" t="s">
        <v>503</v>
      </c>
      <c r="U1519" s="31" t="s">
        <v>480</v>
      </c>
      <c r="V1519" s="31" t="s">
        <v>2902</v>
      </c>
      <c r="W1519" s="34"/>
    </row>
    <row r="1520">
      <c r="A1520" s="30">
        <v>1.515</v>
      </c>
      <c r="B1520" s="31" t="s">
        <v>6374</v>
      </c>
      <c r="C1520" s="31" t="s">
        <v>6375</v>
      </c>
      <c r="D1520" s="31" t="s">
        <v>472</v>
      </c>
      <c r="E1520" s="31" t="s">
        <v>5091</v>
      </c>
      <c r="F1520" s="32">
        <v>45189.0</v>
      </c>
      <c r="G1520" s="35">
        <v>45249.0</v>
      </c>
      <c r="H1520" s="31" t="s">
        <v>453</v>
      </c>
      <c r="I1520" s="31" t="s">
        <v>2835</v>
      </c>
      <c r="J1520" s="31" t="s">
        <v>4612</v>
      </c>
      <c r="K1520" s="31" t="s">
        <v>5092</v>
      </c>
      <c r="L1520" s="31" t="s">
        <v>476</v>
      </c>
      <c r="M1520" s="31" t="s">
        <v>6376</v>
      </c>
      <c r="N1520" s="31" t="s">
        <v>467</v>
      </c>
      <c r="O1520" s="34"/>
      <c r="P1520" s="34"/>
      <c r="Q1520" s="31" t="s">
        <v>307</v>
      </c>
      <c r="R1520" s="32">
        <v>35984.0</v>
      </c>
      <c r="S1520" s="31" t="s">
        <v>560</v>
      </c>
      <c r="T1520" s="31" t="s">
        <v>3155</v>
      </c>
      <c r="U1520" s="31" t="s">
        <v>480</v>
      </c>
      <c r="V1520" s="31" t="s">
        <v>5091</v>
      </c>
      <c r="W1520" s="34"/>
    </row>
    <row r="1521">
      <c r="A1521" s="30">
        <v>1.516</v>
      </c>
      <c r="B1521" s="31" t="s">
        <v>6377</v>
      </c>
      <c r="C1521" s="31" t="s">
        <v>6378</v>
      </c>
      <c r="D1521" s="31" t="s">
        <v>472</v>
      </c>
      <c r="E1521" s="31" t="s">
        <v>3377</v>
      </c>
      <c r="F1521" s="32">
        <v>45189.0</v>
      </c>
      <c r="G1521" s="35">
        <v>45249.0</v>
      </c>
      <c r="H1521" s="31" t="s">
        <v>453</v>
      </c>
      <c r="I1521" s="31" t="s">
        <v>454</v>
      </c>
      <c r="J1521" s="31" t="s">
        <v>3378</v>
      </c>
      <c r="K1521" s="31" t="s">
        <v>3379</v>
      </c>
      <c r="L1521" s="31" t="s">
        <v>476</v>
      </c>
      <c r="M1521" s="31" t="s">
        <v>6379</v>
      </c>
      <c r="N1521" s="31" t="s">
        <v>467</v>
      </c>
      <c r="O1521" s="34"/>
      <c r="P1521" s="34"/>
      <c r="Q1521" s="31" t="s">
        <v>307</v>
      </c>
      <c r="R1521" s="32">
        <v>37408.0</v>
      </c>
      <c r="S1521" s="31" t="s">
        <v>560</v>
      </c>
      <c r="T1521" s="31" t="s">
        <v>4418</v>
      </c>
      <c r="U1521" s="31" t="s">
        <v>460</v>
      </c>
      <c r="V1521" s="31" t="s">
        <v>3377</v>
      </c>
      <c r="W1521" s="34"/>
    </row>
    <row r="1522">
      <c r="A1522" s="30">
        <v>1.517</v>
      </c>
      <c r="B1522" s="31" t="s">
        <v>6380</v>
      </c>
      <c r="C1522" s="31" t="s">
        <v>6381</v>
      </c>
      <c r="D1522" s="31" t="s">
        <v>472</v>
      </c>
      <c r="E1522" s="31" t="s">
        <v>6382</v>
      </c>
      <c r="F1522" s="32">
        <v>45189.0</v>
      </c>
      <c r="G1522" s="35">
        <v>45249.0</v>
      </c>
      <c r="H1522" s="31" t="s">
        <v>453</v>
      </c>
      <c r="I1522" s="31" t="s">
        <v>566</v>
      </c>
      <c r="J1522" s="31" t="s">
        <v>6383</v>
      </c>
      <c r="K1522" s="31" t="s">
        <v>6384</v>
      </c>
      <c r="L1522" s="31" t="s">
        <v>476</v>
      </c>
      <c r="M1522" s="31" t="s">
        <v>6385</v>
      </c>
      <c r="N1522" s="31" t="s">
        <v>467</v>
      </c>
      <c r="O1522" s="34"/>
      <c r="P1522" s="34"/>
      <c r="Q1522" s="31" t="s">
        <v>307</v>
      </c>
      <c r="R1522" s="32">
        <v>36674.0</v>
      </c>
      <c r="S1522" s="31" t="s">
        <v>502</v>
      </c>
      <c r="T1522" s="31" t="s">
        <v>496</v>
      </c>
      <c r="U1522" s="31" t="s">
        <v>480</v>
      </c>
      <c r="V1522" s="31" t="s">
        <v>6382</v>
      </c>
      <c r="W1522" s="34"/>
    </row>
    <row r="1523">
      <c r="A1523" s="30">
        <v>1.518</v>
      </c>
      <c r="B1523" s="31" t="s">
        <v>6386</v>
      </c>
      <c r="C1523" s="31" t="s">
        <v>6387</v>
      </c>
      <c r="D1523" s="31" t="s">
        <v>472</v>
      </c>
      <c r="E1523" s="31" t="s">
        <v>2893</v>
      </c>
      <c r="F1523" s="32">
        <v>45189.0</v>
      </c>
      <c r="G1523" s="35">
        <v>45249.0</v>
      </c>
      <c r="H1523" s="31" t="s">
        <v>453</v>
      </c>
      <c r="I1523" s="31" t="s">
        <v>566</v>
      </c>
      <c r="J1523" s="31" t="s">
        <v>2888</v>
      </c>
      <c r="K1523" s="31" t="s">
        <v>2894</v>
      </c>
      <c r="L1523" s="31" t="s">
        <v>476</v>
      </c>
      <c r="M1523" s="31" t="s">
        <v>6388</v>
      </c>
      <c r="N1523" s="31" t="s">
        <v>467</v>
      </c>
      <c r="O1523" s="34"/>
      <c r="P1523" s="34"/>
      <c r="Q1523" s="31" t="s">
        <v>307</v>
      </c>
      <c r="R1523" s="35">
        <v>37239.0</v>
      </c>
      <c r="S1523" s="31" t="s">
        <v>560</v>
      </c>
      <c r="T1523" s="31" t="s">
        <v>3167</v>
      </c>
      <c r="U1523" s="31" t="s">
        <v>480</v>
      </c>
      <c r="V1523" s="31" t="s">
        <v>2893</v>
      </c>
      <c r="W1523" s="34"/>
    </row>
    <row r="1524">
      <c r="A1524" s="30">
        <v>1.519</v>
      </c>
      <c r="B1524" s="31" t="s">
        <v>6389</v>
      </c>
      <c r="C1524" s="31" t="s">
        <v>6390</v>
      </c>
      <c r="D1524" s="31" t="s">
        <v>472</v>
      </c>
      <c r="E1524" s="31" t="s">
        <v>5091</v>
      </c>
      <c r="F1524" s="32">
        <v>45189.0</v>
      </c>
      <c r="G1524" s="35">
        <v>45249.0</v>
      </c>
      <c r="H1524" s="31" t="s">
        <v>453</v>
      </c>
      <c r="I1524" s="31" t="s">
        <v>2835</v>
      </c>
      <c r="J1524" s="31" t="s">
        <v>4612</v>
      </c>
      <c r="K1524" s="31" t="s">
        <v>5092</v>
      </c>
      <c r="L1524" s="31" t="s">
        <v>476</v>
      </c>
      <c r="M1524" s="31" t="s">
        <v>6391</v>
      </c>
      <c r="N1524" s="31" t="s">
        <v>467</v>
      </c>
      <c r="O1524" s="34"/>
      <c r="P1524" s="34"/>
      <c r="Q1524" s="31" t="s">
        <v>307</v>
      </c>
      <c r="R1524" s="32">
        <v>36986.0</v>
      </c>
      <c r="S1524" s="31" t="s">
        <v>560</v>
      </c>
      <c r="T1524" s="31" t="s">
        <v>1511</v>
      </c>
      <c r="U1524" s="31" t="s">
        <v>480</v>
      </c>
      <c r="V1524" s="31" t="s">
        <v>5091</v>
      </c>
      <c r="W1524" s="34"/>
    </row>
    <row r="1525">
      <c r="A1525" s="30">
        <v>1.52</v>
      </c>
      <c r="B1525" s="31" t="s">
        <v>6392</v>
      </c>
      <c r="C1525" s="31" t="s">
        <v>6393</v>
      </c>
      <c r="D1525" s="31" t="s">
        <v>472</v>
      </c>
      <c r="E1525" s="31" t="s">
        <v>2893</v>
      </c>
      <c r="F1525" s="32">
        <v>45189.0</v>
      </c>
      <c r="G1525" s="35">
        <v>45249.0</v>
      </c>
      <c r="H1525" s="31" t="s">
        <v>453</v>
      </c>
      <c r="I1525" s="31" t="s">
        <v>566</v>
      </c>
      <c r="J1525" s="31" t="s">
        <v>2888</v>
      </c>
      <c r="K1525" s="31" t="s">
        <v>2894</v>
      </c>
      <c r="L1525" s="31" t="s">
        <v>476</v>
      </c>
      <c r="M1525" s="31" t="s">
        <v>6394</v>
      </c>
      <c r="N1525" s="31" t="s">
        <v>467</v>
      </c>
      <c r="O1525" s="34"/>
      <c r="P1525" s="34"/>
      <c r="Q1525" s="31" t="s">
        <v>307</v>
      </c>
      <c r="R1525" s="32">
        <v>36948.0</v>
      </c>
      <c r="S1525" s="31" t="s">
        <v>560</v>
      </c>
      <c r="T1525" s="31" t="s">
        <v>3155</v>
      </c>
      <c r="U1525" s="31" t="s">
        <v>480</v>
      </c>
      <c r="V1525" s="31" t="s">
        <v>2893</v>
      </c>
      <c r="W1525" s="34"/>
    </row>
    <row r="1526">
      <c r="A1526" s="30">
        <v>1.521</v>
      </c>
      <c r="B1526" s="31" t="s">
        <v>6395</v>
      </c>
      <c r="C1526" s="31" t="s">
        <v>4384</v>
      </c>
      <c r="D1526" s="31" t="s">
        <v>472</v>
      </c>
      <c r="E1526" s="31" t="s">
        <v>4379</v>
      </c>
      <c r="F1526" s="32">
        <v>45180.0</v>
      </c>
      <c r="G1526" s="35">
        <v>45240.0</v>
      </c>
      <c r="H1526" s="31" t="s">
        <v>453</v>
      </c>
      <c r="I1526" s="31" t="s">
        <v>607</v>
      </c>
      <c r="J1526" s="31" t="s">
        <v>4380</v>
      </c>
      <c r="K1526" s="31" t="s">
        <v>4381</v>
      </c>
      <c r="L1526" s="31" t="s">
        <v>476</v>
      </c>
      <c r="M1526" s="31" t="s">
        <v>6396</v>
      </c>
      <c r="N1526" s="31" t="s">
        <v>467</v>
      </c>
      <c r="O1526" s="34"/>
      <c r="P1526" s="34"/>
      <c r="Q1526" s="31" t="s">
        <v>307</v>
      </c>
      <c r="R1526" s="32">
        <v>36919.0</v>
      </c>
      <c r="S1526" s="31" t="s">
        <v>4861</v>
      </c>
      <c r="T1526" s="31" t="s">
        <v>1511</v>
      </c>
      <c r="U1526" s="31" t="s">
        <v>643</v>
      </c>
      <c r="V1526" s="31" t="s">
        <v>4379</v>
      </c>
      <c r="W1526" s="34"/>
    </row>
    <row r="1527">
      <c r="A1527" s="30">
        <v>1.522</v>
      </c>
      <c r="B1527" s="31" t="s">
        <v>6397</v>
      </c>
      <c r="C1527" s="31" t="s">
        <v>6398</v>
      </c>
      <c r="D1527" s="31" t="s">
        <v>472</v>
      </c>
      <c r="E1527" s="31" t="s">
        <v>4414</v>
      </c>
      <c r="F1527" s="32">
        <v>45180.0</v>
      </c>
      <c r="G1527" s="35">
        <v>45240.0</v>
      </c>
      <c r="H1527" s="31" t="s">
        <v>453</v>
      </c>
      <c r="I1527" s="31" t="s">
        <v>607</v>
      </c>
      <c r="J1527" s="31" t="s">
        <v>4415</v>
      </c>
      <c r="K1527" s="31" t="s">
        <v>4416</v>
      </c>
      <c r="L1527" s="31" t="s">
        <v>476</v>
      </c>
      <c r="M1527" s="31" t="s">
        <v>6399</v>
      </c>
      <c r="N1527" s="31" t="s">
        <v>467</v>
      </c>
      <c r="O1527" s="34"/>
      <c r="P1527" s="34"/>
      <c r="Q1527" s="31" t="s">
        <v>307</v>
      </c>
      <c r="R1527" s="35">
        <v>37605.0</v>
      </c>
      <c r="S1527" s="31" t="s">
        <v>1622</v>
      </c>
      <c r="T1527" s="31" t="s">
        <v>1127</v>
      </c>
      <c r="U1527" s="31" t="s">
        <v>643</v>
      </c>
      <c r="V1527" s="31" t="s">
        <v>4414</v>
      </c>
      <c r="W1527" s="34"/>
    </row>
    <row r="1528">
      <c r="A1528" s="30">
        <v>1.523</v>
      </c>
      <c r="B1528" s="31" t="s">
        <v>6400</v>
      </c>
      <c r="C1528" s="31" t="s">
        <v>6401</v>
      </c>
      <c r="D1528" s="31" t="s">
        <v>472</v>
      </c>
      <c r="E1528" s="31" t="s">
        <v>2902</v>
      </c>
      <c r="F1528" s="32">
        <v>45180.0</v>
      </c>
      <c r="G1528" s="35">
        <v>45240.0</v>
      </c>
      <c r="H1528" s="31" t="s">
        <v>453</v>
      </c>
      <c r="I1528" s="31" t="s">
        <v>454</v>
      </c>
      <c r="J1528" s="31" t="s">
        <v>2903</v>
      </c>
      <c r="K1528" s="31" t="s">
        <v>2904</v>
      </c>
      <c r="L1528" s="31" t="s">
        <v>476</v>
      </c>
      <c r="M1528" s="31" t="s">
        <v>6402</v>
      </c>
      <c r="N1528" s="31" t="s">
        <v>467</v>
      </c>
      <c r="O1528" s="34"/>
      <c r="P1528" s="34"/>
      <c r="Q1528" s="31" t="s">
        <v>307</v>
      </c>
      <c r="R1528" s="32">
        <v>37167.0</v>
      </c>
      <c r="S1528" s="31" t="s">
        <v>3205</v>
      </c>
      <c r="T1528" s="31" t="s">
        <v>496</v>
      </c>
      <c r="U1528" s="31" t="s">
        <v>480</v>
      </c>
      <c r="V1528" s="31" t="s">
        <v>2902</v>
      </c>
      <c r="W1528" s="34"/>
    </row>
    <row r="1529">
      <c r="A1529" s="30">
        <v>1.524</v>
      </c>
      <c r="B1529" s="31" t="s">
        <v>6403</v>
      </c>
      <c r="C1529" s="31" t="s">
        <v>6404</v>
      </c>
      <c r="D1529" s="31" t="s">
        <v>472</v>
      </c>
      <c r="E1529" s="31" t="s">
        <v>2681</v>
      </c>
      <c r="F1529" s="32">
        <v>45180.0</v>
      </c>
      <c r="G1529" s="35">
        <v>45240.0</v>
      </c>
      <c r="H1529" s="31" t="s">
        <v>453</v>
      </c>
      <c r="I1529" s="31" t="s">
        <v>454</v>
      </c>
      <c r="J1529" s="31" t="s">
        <v>2682</v>
      </c>
      <c r="K1529" s="31" t="s">
        <v>2683</v>
      </c>
      <c r="L1529" s="31" t="s">
        <v>476</v>
      </c>
      <c r="M1529" s="31" t="s">
        <v>6405</v>
      </c>
      <c r="N1529" s="31" t="s">
        <v>467</v>
      </c>
      <c r="O1529" s="34"/>
      <c r="P1529" s="34"/>
      <c r="Q1529" s="31" t="s">
        <v>307</v>
      </c>
      <c r="R1529" s="32">
        <v>37347.0</v>
      </c>
      <c r="S1529" s="31" t="s">
        <v>560</v>
      </c>
      <c r="T1529" s="31" t="s">
        <v>491</v>
      </c>
      <c r="U1529" s="31" t="s">
        <v>480</v>
      </c>
      <c r="V1529" s="31" t="s">
        <v>2681</v>
      </c>
      <c r="W1529" s="34"/>
    </row>
    <row r="1530">
      <c r="A1530" s="30">
        <v>1.525</v>
      </c>
      <c r="B1530" s="31" t="s">
        <v>6406</v>
      </c>
      <c r="C1530" s="31" t="s">
        <v>6407</v>
      </c>
      <c r="D1530" s="31" t="s">
        <v>472</v>
      </c>
      <c r="E1530" s="31" t="s">
        <v>2681</v>
      </c>
      <c r="F1530" s="32">
        <v>45180.0</v>
      </c>
      <c r="G1530" s="35">
        <v>45240.0</v>
      </c>
      <c r="H1530" s="31" t="s">
        <v>453</v>
      </c>
      <c r="I1530" s="31" t="s">
        <v>454</v>
      </c>
      <c r="J1530" s="31" t="s">
        <v>2682</v>
      </c>
      <c r="K1530" s="31" t="s">
        <v>2683</v>
      </c>
      <c r="L1530" s="31" t="s">
        <v>476</v>
      </c>
      <c r="M1530" s="31" t="s">
        <v>6408</v>
      </c>
      <c r="N1530" s="31" t="s">
        <v>467</v>
      </c>
      <c r="O1530" s="34"/>
      <c r="P1530" s="34"/>
      <c r="Q1530" s="31" t="s">
        <v>307</v>
      </c>
      <c r="R1530" s="32">
        <v>36970.0</v>
      </c>
      <c r="S1530" s="31" t="s">
        <v>4426</v>
      </c>
      <c r="T1530" s="31" t="s">
        <v>6409</v>
      </c>
      <c r="U1530" s="31" t="s">
        <v>480</v>
      </c>
      <c r="V1530" s="31" t="s">
        <v>2681</v>
      </c>
      <c r="W1530" s="34"/>
    </row>
    <row r="1531">
      <c r="A1531" s="30">
        <v>1.526</v>
      </c>
      <c r="B1531" s="31" t="s">
        <v>6410</v>
      </c>
      <c r="C1531" s="31" t="s">
        <v>6411</v>
      </c>
      <c r="D1531" s="31" t="s">
        <v>472</v>
      </c>
      <c r="E1531" s="31" t="s">
        <v>5747</v>
      </c>
      <c r="F1531" s="32">
        <v>45180.0</v>
      </c>
      <c r="G1531" s="35">
        <v>45240.0</v>
      </c>
      <c r="H1531" s="31" t="s">
        <v>453</v>
      </c>
      <c r="I1531" s="31" t="s">
        <v>454</v>
      </c>
      <c r="J1531" s="31" t="s">
        <v>3041</v>
      </c>
      <c r="K1531" s="31" t="s">
        <v>5748</v>
      </c>
      <c r="L1531" s="31" t="s">
        <v>476</v>
      </c>
      <c r="M1531" s="31" t="s">
        <v>6412</v>
      </c>
      <c r="N1531" s="31" t="s">
        <v>467</v>
      </c>
      <c r="O1531" s="34"/>
      <c r="P1531" s="34"/>
      <c r="Q1531" s="31" t="s">
        <v>307</v>
      </c>
      <c r="R1531" s="32">
        <v>37413.0</v>
      </c>
      <c r="S1531" s="31" t="s">
        <v>560</v>
      </c>
      <c r="T1531" s="31" t="s">
        <v>1127</v>
      </c>
      <c r="U1531" s="31" t="s">
        <v>480</v>
      </c>
      <c r="V1531" s="31" t="s">
        <v>5747</v>
      </c>
      <c r="W1531" s="34"/>
    </row>
    <row r="1532">
      <c r="A1532" s="30">
        <v>1.527</v>
      </c>
      <c r="B1532" s="31" t="s">
        <v>6413</v>
      </c>
      <c r="C1532" s="31" t="s">
        <v>6414</v>
      </c>
      <c r="D1532" s="31" t="s">
        <v>472</v>
      </c>
      <c r="E1532" s="31" t="s">
        <v>4991</v>
      </c>
      <c r="F1532" s="32">
        <v>45133.0</v>
      </c>
      <c r="G1532" s="32">
        <v>45193.0</v>
      </c>
      <c r="H1532" s="31" t="s">
        <v>453</v>
      </c>
      <c r="I1532" s="31" t="s">
        <v>454</v>
      </c>
      <c r="J1532" s="31" t="s">
        <v>3217</v>
      </c>
      <c r="K1532" s="31" t="s">
        <v>4992</v>
      </c>
      <c r="L1532" s="31" t="s">
        <v>476</v>
      </c>
      <c r="M1532" s="31" t="s">
        <v>6415</v>
      </c>
      <c r="N1532" s="31" t="s">
        <v>467</v>
      </c>
      <c r="O1532" s="34"/>
      <c r="P1532" s="34"/>
      <c r="Q1532" s="31" t="s">
        <v>307</v>
      </c>
      <c r="R1532" s="32">
        <v>37485.0</v>
      </c>
      <c r="S1532" s="31" t="s">
        <v>560</v>
      </c>
      <c r="T1532" s="31" t="s">
        <v>3422</v>
      </c>
      <c r="U1532" s="31" t="s">
        <v>480</v>
      </c>
      <c r="V1532" s="31" t="s">
        <v>4991</v>
      </c>
      <c r="W1532" s="34"/>
    </row>
    <row r="1533">
      <c r="A1533" s="30">
        <v>1.528</v>
      </c>
      <c r="B1533" s="31" t="s">
        <v>6416</v>
      </c>
      <c r="C1533" s="31" t="s">
        <v>6417</v>
      </c>
      <c r="D1533" s="31" t="s">
        <v>472</v>
      </c>
      <c r="E1533" s="31" t="s">
        <v>2668</v>
      </c>
      <c r="F1533" s="32">
        <v>45127.0</v>
      </c>
      <c r="G1533" s="32">
        <v>45187.0</v>
      </c>
      <c r="H1533" s="31" t="s">
        <v>453</v>
      </c>
      <c r="I1533" s="31" t="s">
        <v>454</v>
      </c>
      <c r="J1533" s="31" t="s">
        <v>2669</v>
      </c>
      <c r="K1533" s="31" t="s">
        <v>2670</v>
      </c>
      <c r="L1533" s="31" t="s">
        <v>476</v>
      </c>
      <c r="M1533" s="31" t="s">
        <v>6418</v>
      </c>
      <c r="N1533" s="31" t="s">
        <v>467</v>
      </c>
      <c r="O1533" s="34"/>
      <c r="P1533" s="34"/>
      <c r="Q1533" s="31" t="s">
        <v>307</v>
      </c>
      <c r="R1533" s="32">
        <v>37120.0</v>
      </c>
      <c r="S1533" s="31" t="s">
        <v>6419</v>
      </c>
      <c r="T1533" s="31" t="s">
        <v>5794</v>
      </c>
      <c r="U1533" s="31" t="s">
        <v>480</v>
      </c>
      <c r="V1533" s="31" t="s">
        <v>2668</v>
      </c>
      <c r="W1533" s="34"/>
    </row>
    <row r="1534">
      <c r="A1534" s="30">
        <v>1.529</v>
      </c>
      <c r="B1534" s="31" t="s">
        <v>6420</v>
      </c>
      <c r="C1534" s="31" t="s">
        <v>447</v>
      </c>
      <c r="D1534" s="31" t="s">
        <v>553</v>
      </c>
      <c r="E1534" s="31" t="s">
        <v>3603</v>
      </c>
      <c r="F1534" s="32">
        <v>45118.0</v>
      </c>
      <c r="G1534" s="32">
        <v>45178.0</v>
      </c>
      <c r="H1534" s="31" t="s">
        <v>453</v>
      </c>
      <c r="I1534" s="31" t="s">
        <v>454</v>
      </c>
      <c r="J1534" s="31" t="s">
        <v>3604</v>
      </c>
      <c r="K1534" s="31" t="s">
        <v>3605</v>
      </c>
      <c r="L1534" s="31" t="s">
        <v>558</v>
      </c>
      <c r="M1534" s="31" t="s">
        <v>6421</v>
      </c>
      <c r="N1534" s="31" t="s">
        <v>267</v>
      </c>
      <c r="O1534" s="34"/>
      <c r="P1534" s="34"/>
      <c r="Q1534" s="31" t="s">
        <v>307</v>
      </c>
      <c r="R1534" s="32">
        <v>36200.0</v>
      </c>
      <c r="S1534" s="31" t="s">
        <v>6422</v>
      </c>
      <c r="T1534" s="31" t="s">
        <v>592</v>
      </c>
      <c r="U1534" s="31" t="s">
        <v>480</v>
      </c>
      <c r="V1534" s="31" t="s">
        <v>3603</v>
      </c>
      <c r="W1534" s="34"/>
    </row>
    <row r="1535">
      <c r="A1535" s="30">
        <v>1.53</v>
      </c>
      <c r="B1535" s="31" t="s">
        <v>6423</v>
      </c>
      <c r="C1535" s="31" t="s">
        <v>6424</v>
      </c>
      <c r="D1535" s="31" t="s">
        <v>452</v>
      </c>
      <c r="E1535" s="31" t="s">
        <v>6002</v>
      </c>
      <c r="F1535" s="32">
        <v>45117.0</v>
      </c>
      <c r="G1535" s="32">
        <v>45177.0</v>
      </c>
      <c r="H1535" s="31" t="s">
        <v>453</v>
      </c>
      <c r="I1535" s="31" t="s">
        <v>454</v>
      </c>
      <c r="J1535" s="31" t="s">
        <v>2669</v>
      </c>
      <c r="K1535" s="31" t="s">
        <v>6003</v>
      </c>
      <c r="L1535" s="31" t="s">
        <v>456</v>
      </c>
      <c r="M1535" s="31" t="s">
        <v>6425</v>
      </c>
      <c r="N1535" s="31" t="s">
        <v>267</v>
      </c>
      <c r="O1535" s="34"/>
      <c r="P1535" s="34"/>
      <c r="Q1535" s="31" t="s">
        <v>307</v>
      </c>
      <c r="R1535" s="35">
        <v>35718.0</v>
      </c>
      <c r="S1535" s="31" t="s">
        <v>6426</v>
      </c>
      <c r="T1535" s="31" t="s">
        <v>6427</v>
      </c>
      <c r="U1535" s="31" t="s">
        <v>480</v>
      </c>
      <c r="V1535" s="31" t="s">
        <v>6002</v>
      </c>
      <c r="W1535" s="34"/>
    </row>
    <row r="1536">
      <c r="A1536" s="30">
        <v>1.531</v>
      </c>
      <c r="B1536" s="31" t="s">
        <v>6428</v>
      </c>
      <c r="C1536" s="31" t="s">
        <v>1388</v>
      </c>
      <c r="D1536" s="31" t="s">
        <v>472</v>
      </c>
      <c r="E1536" s="31" t="s">
        <v>3377</v>
      </c>
      <c r="F1536" s="32">
        <v>45103.0</v>
      </c>
      <c r="G1536" s="32">
        <v>45163.0</v>
      </c>
      <c r="H1536" s="31" t="s">
        <v>453</v>
      </c>
      <c r="I1536" s="31" t="s">
        <v>454</v>
      </c>
      <c r="J1536" s="31" t="s">
        <v>3378</v>
      </c>
      <c r="K1536" s="31" t="s">
        <v>3379</v>
      </c>
      <c r="L1536" s="31" t="s">
        <v>476</v>
      </c>
      <c r="M1536" s="31" t="s">
        <v>6429</v>
      </c>
      <c r="N1536" s="31" t="s">
        <v>467</v>
      </c>
      <c r="O1536" s="34"/>
      <c r="P1536" s="34"/>
      <c r="Q1536" s="31" t="s">
        <v>307</v>
      </c>
      <c r="R1536" s="32">
        <v>36965.0</v>
      </c>
      <c r="S1536" s="31" t="s">
        <v>560</v>
      </c>
      <c r="T1536" s="31" t="s">
        <v>4440</v>
      </c>
      <c r="U1536" s="31" t="s">
        <v>460</v>
      </c>
      <c r="V1536" s="31" t="s">
        <v>3377</v>
      </c>
      <c r="W1536" s="34"/>
    </row>
    <row r="1537">
      <c r="A1537" s="30">
        <v>1.532</v>
      </c>
      <c r="B1537" s="31" t="s">
        <v>6430</v>
      </c>
      <c r="C1537" s="31" t="s">
        <v>6431</v>
      </c>
      <c r="D1537" s="31" t="s">
        <v>636</v>
      </c>
      <c r="E1537" s="31" t="s">
        <v>637</v>
      </c>
      <c r="F1537" s="32">
        <v>45103.0</v>
      </c>
      <c r="G1537" s="32">
        <v>45163.0</v>
      </c>
      <c r="H1537" s="31" t="s">
        <v>453</v>
      </c>
      <c r="I1537" s="31" t="s">
        <v>52</v>
      </c>
      <c r="J1537" s="31" t="s">
        <v>638</v>
      </c>
      <c r="K1537" s="31" t="s">
        <v>639</v>
      </c>
      <c r="L1537" s="31" t="s">
        <v>640</v>
      </c>
      <c r="M1537" s="31" t="s">
        <v>6432</v>
      </c>
      <c r="N1537" s="31" t="s">
        <v>467</v>
      </c>
      <c r="O1537" s="34"/>
      <c r="P1537" s="34"/>
      <c r="Q1537" s="31" t="s">
        <v>307</v>
      </c>
      <c r="R1537" s="32">
        <v>36899.0</v>
      </c>
      <c r="S1537" s="31" t="s">
        <v>6433</v>
      </c>
      <c r="T1537" s="31" t="s">
        <v>596</v>
      </c>
      <c r="U1537" s="31" t="s">
        <v>643</v>
      </c>
      <c r="V1537" s="31" t="s">
        <v>637</v>
      </c>
      <c r="W1537" s="34"/>
    </row>
    <row r="1538">
      <c r="A1538" s="30">
        <v>1.533</v>
      </c>
      <c r="B1538" s="31" t="s">
        <v>6434</v>
      </c>
      <c r="C1538" s="31" t="s">
        <v>6435</v>
      </c>
      <c r="D1538" s="31" t="s">
        <v>472</v>
      </c>
      <c r="E1538" s="31" t="s">
        <v>554</v>
      </c>
      <c r="F1538" s="32">
        <v>45103.0</v>
      </c>
      <c r="G1538" s="32">
        <v>45163.0</v>
      </c>
      <c r="H1538" s="31" t="s">
        <v>453</v>
      </c>
      <c r="I1538" s="31" t="s">
        <v>555</v>
      </c>
      <c r="J1538" s="31" t="s">
        <v>556</v>
      </c>
      <c r="K1538" s="31" t="s">
        <v>557</v>
      </c>
      <c r="L1538" s="31" t="s">
        <v>476</v>
      </c>
      <c r="M1538" s="31" t="s">
        <v>6436</v>
      </c>
      <c r="N1538" s="31" t="s">
        <v>467</v>
      </c>
      <c r="O1538" s="34"/>
      <c r="P1538" s="34"/>
      <c r="Q1538" s="31" t="s">
        <v>307</v>
      </c>
      <c r="R1538" s="32">
        <v>36951.0</v>
      </c>
      <c r="S1538" s="31" t="s">
        <v>490</v>
      </c>
      <c r="T1538" s="31" t="s">
        <v>496</v>
      </c>
      <c r="U1538" s="31" t="s">
        <v>480</v>
      </c>
      <c r="V1538" s="31" t="s">
        <v>554</v>
      </c>
      <c r="W1538" s="34"/>
    </row>
    <row r="1539">
      <c r="A1539" s="30">
        <v>1.534</v>
      </c>
      <c r="B1539" s="31" t="s">
        <v>6437</v>
      </c>
      <c r="C1539" s="31" t="s">
        <v>6438</v>
      </c>
      <c r="D1539" s="31" t="s">
        <v>472</v>
      </c>
      <c r="E1539" s="31" t="s">
        <v>606</v>
      </c>
      <c r="F1539" s="32">
        <v>45103.0</v>
      </c>
      <c r="G1539" s="32">
        <v>45163.0</v>
      </c>
      <c r="H1539" s="31" t="s">
        <v>453</v>
      </c>
      <c r="I1539" s="31" t="s">
        <v>607</v>
      </c>
      <c r="J1539" s="31" t="s">
        <v>608</v>
      </c>
      <c r="K1539" s="31" t="s">
        <v>609</v>
      </c>
      <c r="L1539" s="31" t="s">
        <v>476</v>
      </c>
      <c r="M1539" s="31" t="s">
        <v>6439</v>
      </c>
      <c r="N1539" s="31" t="s">
        <v>467</v>
      </c>
      <c r="O1539" s="34"/>
      <c r="P1539" s="34"/>
      <c r="Q1539" s="31" t="s">
        <v>307</v>
      </c>
      <c r="R1539" s="35">
        <v>37195.0</v>
      </c>
      <c r="S1539" s="31" t="s">
        <v>560</v>
      </c>
      <c r="T1539" s="31" t="s">
        <v>2685</v>
      </c>
      <c r="U1539" s="31" t="s">
        <v>480</v>
      </c>
      <c r="V1539" s="31" t="s">
        <v>606</v>
      </c>
      <c r="W1539" s="34"/>
    </row>
    <row r="1540">
      <c r="A1540" s="30">
        <v>1.535</v>
      </c>
      <c r="B1540" s="31" t="s">
        <v>6440</v>
      </c>
      <c r="C1540" s="31" t="s">
        <v>6441</v>
      </c>
      <c r="D1540" s="31" t="s">
        <v>615</v>
      </c>
      <c r="E1540" s="31" t="s">
        <v>3388</v>
      </c>
      <c r="F1540" s="32">
        <v>45096.0</v>
      </c>
      <c r="G1540" s="32">
        <v>45156.0</v>
      </c>
      <c r="H1540" s="31" t="s">
        <v>453</v>
      </c>
      <c r="I1540" s="31" t="s">
        <v>607</v>
      </c>
      <c r="J1540" s="31" t="s">
        <v>3247</v>
      </c>
      <c r="K1540" s="31" t="s">
        <v>3389</v>
      </c>
      <c r="L1540" s="31" t="s">
        <v>618</v>
      </c>
      <c r="M1540" s="31" t="s">
        <v>6442</v>
      </c>
      <c r="N1540" s="31" t="s">
        <v>467</v>
      </c>
      <c r="O1540" s="34"/>
      <c r="P1540" s="34"/>
      <c r="Q1540" s="31" t="s">
        <v>307</v>
      </c>
      <c r="R1540" s="32">
        <v>34907.0</v>
      </c>
      <c r="S1540" s="31" t="s">
        <v>4976</v>
      </c>
      <c r="T1540" s="31" t="s">
        <v>6443</v>
      </c>
      <c r="U1540" s="31" t="s">
        <v>480</v>
      </c>
      <c r="V1540" s="31" t="s">
        <v>3388</v>
      </c>
      <c r="W1540" s="34"/>
    </row>
    <row r="1541">
      <c r="A1541" s="30">
        <v>1.536</v>
      </c>
      <c r="B1541" s="31" t="s">
        <v>6444</v>
      </c>
      <c r="C1541" s="31" t="s">
        <v>6445</v>
      </c>
      <c r="D1541" s="31" t="s">
        <v>2840</v>
      </c>
      <c r="E1541" s="31" t="s">
        <v>2841</v>
      </c>
      <c r="F1541" s="32">
        <v>45050.0</v>
      </c>
      <c r="G1541" s="32">
        <v>45111.0</v>
      </c>
      <c r="H1541" s="31" t="s">
        <v>453</v>
      </c>
      <c r="I1541" s="31" t="s">
        <v>2841</v>
      </c>
      <c r="J1541" s="34"/>
      <c r="K1541" s="31" t="s">
        <v>2842</v>
      </c>
      <c r="L1541" s="31" t="s">
        <v>2843</v>
      </c>
      <c r="M1541" s="31" t="s">
        <v>6446</v>
      </c>
      <c r="N1541" s="31" t="s">
        <v>267</v>
      </c>
      <c r="O1541" s="34"/>
      <c r="P1541" s="34"/>
      <c r="Q1541" s="31" t="s">
        <v>307</v>
      </c>
      <c r="R1541" s="32">
        <v>34980.0</v>
      </c>
      <c r="S1541" s="31" t="s">
        <v>1755</v>
      </c>
      <c r="T1541" s="31" t="s">
        <v>985</v>
      </c>
      <c r="U1541" s="31" t="s">
        <v>480</v>
      </c>
      <c r="V1541" s="34"/>
      <c r="W1541" s="34"/>
    </row>
    <row r="1542">
      <c r="A1542" s="30">
        <v>1.537</v>
      </c>
      <c r="B1542" s="31" t="s">
        <v>6447</v>
      </c>
      <c r="C1542" s="31" t="s">
        <v>6448</v>
      </c>
      <c r="D1542" s="31" t="s">
        <v>472</v>
      </c>
      <c r="E1542" s="31" t="s">
        <v>5282</v>
      </c>
      <c r="F1542" s="32">
        <v>44986.0</v>
      </c>
      <c r="G1542" s="32">
        <v>45047.0</v>
      </c>
      <c r="H1542" s="31" t="s">
        <v>453</v>
      </c>
      <c r="I1542" s="31" t="s">
        <v>47</v>
      </c>
      <c r="J1542" s="31" t="s">
        <v>4508</v>
      </c>
      <c r="K1542" s="31" t="s">
        <v>5283</v>
      </c>
      <c r="L1542" s="31" t="s">
        <v>476</v>
      </c>
      <c r="M1542" s="31" t="s">
        <v>6449</v>
      </c>
      <c r="N1542" s="31" t="s">
        <v>467</v>
      </c>
      <c r="O1542" s="34"/>
      <c r="P1542" s="34"/>
      <c r="Q1542" s="31" t="s">
        <v>307</v>
      </c>
      <c r="R1542" s="32">
        <v>37154.0</v>
      </c>
      <c r="S1542" s="34"/>
      <c r="T1542" s="31" t="s">
        <v>718</v>
      </c>
      <c r="U1542" s="31" t="s">
        <v>480</v>
      </c>
      <c r="V1542" s="31" t="s">
        <v>5282</v>
      </c>
      <c r="W1542" s="34"/>
    </row>
    <row r="1543">
      <c r="A1543" s="30">
        <v>1.538</v>
      </c>
      <c r="B1543" s="31" t="s">
        <v>6450</v>
      </c>
      <c r="C1543" s="31" t="s">
        <v>6451</v>
      </c>
      <c r="D1543" s="31" t="s">
        <v>3162</v>
      </c>
      <c r="E1543" s="31" t="s">
        <v>3163</v>
      </c>
      <c r="F1543" s="32">
        <v>44970.0</v>
      </c>
      <c r="G1543" s="32">
        <v>45029.0</v>
      </c>
      <c r="H1543" s="31" t="s">
        <v>453</v>
      </c>
      <c r="I1543" s="31" t="s">
        <v>454</v>
      </c>
      <c r="J1543" s="31" t="s">
        <v>3163</v>
      </c>
      <c r="K1543" s="31" t="s">
        <v>3164</v>
      </c>
      <c r="L1543" s="31" t="s">
        <v>3165</v>
      </c>
      <c r="M1543" s="31" t="s">
        <v>6452</v>
      </c>
      <c r="N1543" s="31" t="s">
        <v>267</v>
      </c>
      <c r="O1543" s="34"/>
      <c r="P1543" s="34"/>
      <c r="Q1543" s="31" t="s">
        <v>307</v>
      </c>
      <c r="R1543" s="32">
        <v>35501.0</v>
      </c>
      <c r="S1543" s="31" t="s">
        <v>6453</v>
      </c>
      <c r="T1543" s="31" t="s">
        <v>3090</v>
      </c>
      <c r="U1543" s="31" t="s">
        <v>460</v>
      </c>
      <c r="V1543" s="34"/>
      <c r="W1543" s="34"/>
    </row>
    <row r="1544">
      <c r="A1544" s="30">
        <v>1.539</v>
      </c>
      <c r="B1544" s="31" t="s">
        <v>6454</v>
      </c>
      <c r="C1544" s="31" t="s">
        <v>6455</v>
      </c>
      <c r="D1544" s="31" t="s">
        <v>472</v>
      </c>
      <c r="E1544" s="31" t="s">
        <v>2874</v>
      </c>
      <c r="F1544" s="32">
        <v>44929.0</v>
      </c>
      <c r="G1544" s="32">
        <v>44988.0</v>
      </c>
      <c r="H1544" s="31" t="s">
        <v>453</v>
      </c>
      <c r="I1544" s="31" t="s">
        <v>52</v>
      </c>
      <c r="J1544" s="31" t="s">
        <v>2874</v>
      </c>
      <c r="K1544" s="31" t="s">
        <v>2875</v>
      </c>
      <c r="L1544" s="31" t="s">
        <v>476</v>
      </c>
      <c r="M1544" s="31" t="s">
        <v>6456</v>
      </c>
      <c r="N1544" s="31" t="s">
        <v>467</v>
      </c>
      <c r="O1544" s="34"/>
      <c r="P1544" s="34"/>
      <c r="Q1544" s="31" t="s">
        <v>307</v>
      </c>
      <c r="R1544" s="35">
        <v>36884.0</v>
      </c>
      <c r="S1544" s="31" t="s">
        <v>560</v>
      </c>
      <c r="T1544" s="31" t="s">
        <v>503</v>
      </c>
      <c r="U1544" s="31" t="s">
        <v>643</v>
      </c>
      <c r="V1544" s="34"/>
      <c r="W1544" s="34"/>
    </row>
    <row r="1545">
      <c r="A1545" s="30">
        <v>1.54</v>
      </c>
      <c r="B1545" s="31" t="s">
        <v>6457</v>
      </c>
      <c r="C1545" s="31" t="s">
        <v>6458</v>
      </c>
      <c r="D1545" s="31" t="s">
        <v>3222</v>
      </c>
      <c r="E1545" s="31" t="s">
        <v>4329</v>
      </c>
      <c r="F1545" s="32">
        <v>44900.0</v>
      </c>
      <c r="G1545" s="32">
        <v>44962.0</v>
      </c>
      <c r="H1545" s="31" t="s">
        <v>453</v>
      </c>
      <c r="I1545" s="31" t="s">
        <v>4330</v>
      </c>
      <c r="J1545" s="31" t="s">
        <v>4331</v>
      </c>
      <c r="K1545" s="31" t="s">
        <v>4332</v>
      </c>
      <c r="L1545" s="31" t="s">
        <v>3223</v>
      </c>
      <c r="M1545" s="31" t="s">
        <v>6459</v>
      </c>
      <c r="N1545" s="31" t="s">
        <v>267</v>
      </c>
      <c r="O1545" s="34"/>
      <c r="P1545" s="34"/>
      <c r="Q1545" s="31" t="s">
        <v>307</v>
      </c>
      <c r="R1545" s="32">
        <v>33791.0</v>
      </c>
      <c r="S1545" s="31" t="s">
        <v>531</v>
      </c>
      <c r="T1545" s="31" t="s">
        <v>6460</v>
      </c>
      <c r="U1545" s="31" t="s">
        <v>460</v>
      </c>
      <c r="V1545" s="31" t="s">
        <v>4329</v>
      </c>
      <c r="W1545" s="34"/>
    </row>
    <row r="1546">
      <c r="A1546" s="30">
        <v>1.541</v>
      </c>
      <c r="B1546" s="31" t="s">
        <v>6461</v>
      </c>
      <c r="C1546" s="31" t="s">
        <v>6462</v>
      </c>
      <c r="D1546" s="31" t="s">
        <v>472</v>
      </c>
      <c r="E1546" s="31" t="s">
        <v>5136</v>
      </c>
      <c r="F1546" s="32">
        <v>44896.0</v>
      </c>
      <c r="G1546" s="32">
        <v>44958.0</v>
      </c>
      <c r="H1546" s="31" t="s">
        <v>453</v>
      </c>
      <c r="I1546" s="31" t="s">
        <v>47</v>
      </c>
      <c r="J1546" s="31" t="s">
        <v>3397</v>
      </c>
      <c r="K1546" s="31" t="s">
        <v>5137</v>
      </c>
      <c r="L1546" s="31" t="s">
        <v>476</v>
      </c>
      <c r="M1546" s="31" t="s">
        <v>6463</v>
      </c>
      <c r="N1546" s="31" t="s">
        <v>467</v>
      </c>
      <c r="O1546" s="34"/>
      <c r="P1546" s="34"/>
      <c r="Q1546" s="31" t="s">
        <v>307</v>
      </c>
      <c r="R1546" s="32">
        <v>34742.0</v>
      </c>
      <c r="S1546" s="31" t="s">
        <v>560</v>
      </c>
      <c r="T1546" s="31" t="s">
        <v>642</v>
      </c>
      <c r="U1546" s="31" t="s">
        <v>480</v>
      </c>
      <c r="V1546" s="31" t="s">
        <v>5136</v>
      </c>
      <c r="W1546" s="34"/>
    </row>
    <row r="1547">
      <c r="A1547" s="30">
        <v>1.542</v>
      </c>
      <c r="B1547" s="31" t="s">
        <v>6464</v>
      </c>
      <c r="C1547" s="31" t="s">
        <v>6465</v>
      </c>
      <c r="D1547" s="31" t="s">
        <v>4909</v>
      </c>
      <c r="E1547" s="31" t="s">
        <v>6382</v>
      </c>
      <c r="F1547" s="35">
        <v>44858.0</v>
      </c>
      <c r="G1547" s="35">
        <v>44919.0</v>
      </c>
      <c r="H1547" s="31" t="s">
        <v>453</v>
      </c>
      <c r="I1547" s="31" t="s">
        <v>566</v>
      </c>
      <c r="J1547" s="31" t="s">
        <v>6383</v>
      </c>
      <c r="K1547" s="31" t="s">
        <v>6384</v>
      </c>
      <c r="L1547" s="31" t="s">
        <v>4910</v>
      </c>
      <c r="M1547" s="31" t="s">
        <v>6466</v>
      </c>
      <c r="N1547" s="31" t="s">
        <v>467</v>
      </c>
      <c r="O1547" s="34"/>
      <c r="P1547" s="34"/>
      <c r="Q1547" s="31" t="s">
        <v>307</v>
      </c>
      <c r="R1547" s="35">
        <v>37255.0</v>
      </c>
      <c r="S1547" s="31" t="s">
        <v>560</v>
      </c>
      <c r="T1547" s="31" t="s">
        <v>6467</v>
      </c>
      <c r="U1547" s="31" t="s">
        <v>480</v>
      </c>
      <c r="V1547" s="31" t="s">
        <v>6382</v>
      </c>
      <c r="W1547" s="34"/>
    </row>
    <row r="1548">
      <c r="A1548" s="30">
        <v>1.543</v>
      </c>
      <c r="B1548" s="31" t="s">
        <v>6468</v>
      </c>
      <c r="C1548" s="31" t="s">
        <v>6469</v>
      </c>
      <c r="D1548" s="31" t="s">
        <v>553</v>
      </c>
      <c r="E1548" s="31" t="s">
        <v>4414</v>
      </c>
      <c r="F1548" s="35">
        <v>44858.0</v>
      </c>
      <c r="G1548" s="35">
        <v>44919.0</v>
      </c>
      <c r="H1548" s="31" t="s">
        <v>453</v>
      </c>
      <c r="I1548" s="31" t="s">
        <v>607</v>
      </c>
      <c r="J1548" s="31" t="s">
        <v>4415</v>
      </c>
      <c r="K1548" s="31" t="s">
        <v>4416</v>
      </c>
      <c r="L1548" s="31" t="s">
        <v>558</v>
      </c>
      <c r="M1548" s="31" t="s">
        <v>6470</v>
      </c>
      <c r="N1548" s="31" t="s">
        <v>267</v>
      </c>
      <c r="O1548" s="34"/>
      <c r="P1548" s="34"/>
      <c r="Q1548" s="31" t="s">
        <v>581</v>
      </c>
      <c r="R1548" s="32">
        <v>36758.0</v>
      </c>
      <c r="S1548" s="31" t="s">
        <v>626</v>
      </c>
      <c r="T1548" s="31" t="s">
        <v>672</v>
      </c>
      <c r="U1548" s="31" t="s">
        <v>643</v>
      </c>
      <c r="V1548" s="31" t="s">
        <v>4414</v>
      </c>
      <c r="W1548" s="34"/>
    </row>
    <row r="1549">
      <c r="A1549" s="30">
        <v>1.544</v>
      </c>
      <c r="B1549" s="31" t="s">
        <v>6471</v>
      </c>
      <c r="C1549" s="31" t="s">
        <v>6472</v>
      </c>
      <c r="D1549" s="31" t="s">
        <v>452</v>
      </c>
      <c r="E1549" s="31" t="s">
        <v>4446</v>
      </c>
      <c r="F1549" s="32">
        <v>44838.0</v>
      </c>
      <c r="G1549" s="32">
        <v>44899.0</v>
      </c>
      <c r="H1549" s="31" t="s">
        <v>453</v>
      </c>
      <c r="I1549" s="31" t="s">
        <v>607</v>
      </c>
      <c r="J1549" s="31" t="s">
        <v>2697</v>
      </c>
      <c r="K1549" s="31" t="s">
        <v>4447</v>
      </c>
      <c r="L1549" s="31" t="s">
        <v>456</v>
      </c>
      <c r="M1549" s="31" t="s">
        <v>6473</v>
      </c>
      <c r="N1549" s="31" t="s">
        <v>267</v>
      </c>
      <c r="O1549" s="34"/>
      <c r="P1549" s="34"/>
      <c r="Q1549" s="31" t="s">
        <v>307</v>
      </c>
      <c r="R1549" s="32">
        <v>36744.0</v>
      </c>
      <c r="S1549" s="31" t="s">
        <v>6474</v>
      </c>
      <c r="T1549" s="31" t="s">
        <v>5725</v>
      </c>
      <c r="U1549" s="31" t="s">
        <v>643</v>
      </c>
      <c r="V1549" s="31" t="s">
        <v>4446</v>
      </c>
      <c r="W1549" s="34"/>
    </row>
    <row r="1550">
      <c r="A1550" s="30">
        <v>1.545</v>
      </c>
      <c r="B1550" s="31" t="s">
        <v>6475</v>
      </c>
      <c r="C1550" s="31" t="s">
        <v>6476</v>
      </c>
      <c r="D1550" s="31" t="s">
        <v>472</v>
      </c>
      <c r="E1550" s="31" t="s">
        <v>554</v>
      </c>
      <c r="F1550" s="32">
        <v>44837.0</v>
      </c>
      <c r="G1550" s="32">
        <v>44898.0</v>
      </c>
      <c r="H1550" s="31" t="s">
        <v>453</v>
      </c>
      <c r="I1550" s="31" t="s">
        <v>555</v>
      </c>
      <c r="J1550" s="31" t="s">
        <v>556</v>
      </c>
      <c r="K1550" s="31" t="s">
        <v>557</v>
      </c>
      <c r="L1550" s="31" t="s">
        <v>476</v>
      </c>
      <c r="M1550" s="31" t="s">
        <v>6477</v>
      </c>
      <c r="N1550" s="31" t="s">
        <v>467</v>
      </c>
      <c r="O1550" s="34"/>
      <c r="P1550" s="34"/>
      <c r="Q1550" s="31" t="s">
        <v>307</v>
      </c>
      <c r="R1550" s="35">
        <v>36850.0</v>
      </c>
      <c r="S1550" s="31" t="s">
        <v>468</v>
      </c>
      <c r="T1550" s="31" t="s">
        <v>2515</v>
      </c>
      <c r="U1550" s="31" t="s">
        <v>480</v>
      </c>
      <c r="V1550" s="31" t="s">
        <v>554</v>
      </c>
      <c r="W1550" s="34"/>
    </row>
    <row r="1551">
      <c r="A1551" s="30">
        <v>1.546</v>
      </c>
      <c r="B1551" s="31" t="s">
        <v>6478</v>
      </c>
      <c r="C1551" s="31" t="s">
        <v>4553</v>
      </c>
      <c r="D1551" s="31" t="s">
        <v>6479</v>
      </c>
      <c r="E1551" s="31" t="s">
        <v>38</v>
      </c>
      <c r="F1551" s="32">
        <v>44816.0</v>
      </c>
      <c r="G1551" s="35">
        <v>44877.0</v>
      </c>
      <c r="H1551" s="31" t="s">
        <v>453</v>
      </c>
      <c r="I1551" s="31" t="s">
        <v>2717</v>
      </c>
      <c r="J1551" s="31" t="s">
        <v>38</v>
      </c>
      <c r="K1551" s="31" t="s">
        <v>2718</v>
      </c>
      <c r="L1551" s="31" t="s">
        <v>6480</v>
      </c>
      <c r="M1551" s="31" t="s">
        <v>6481</v>
      </c>
      <c r="N1551" s="31" t="s">
        <v>267</v>
      </c>
      <c r="O1551" s="34"/>
      <c r="P1551" s="34"/>
      <c r="Q1551" s="31" t="s">
        <v>307</v>
      </c>
      <c r="R1551" s="32">
        <v>36227.0</v>
      </c>
      <c r="S1551" s="31" t="s">
        <v>756</v>
      </c>
      <c r="T1551" s="31" t="s">
        <v>360</v>
      </c>
      <c r="U1551" s="31" t="s">
        <v>480</v>
      </c>
      <c r="V1551" s="34"/>
      <c r="W1551" s="34"/>
    </row>
    <row r="1552">
      <c r="A1552" s="30">
        <v>1.547</v>
      </c>
      <c r="B1552" s="31" t="s">
        <v>6482</v>
      </c>
      <c r="C1552" s="31" t="s">
        <v>6483</v>
      </c>
      <c r="D1552" s="31" t="s">
        <v>452</v>
      </c>
      <c r="E1552" s="31" t="s">
        <v>6484</v>
      </c>
      <c r="F1552" s="32">
        <v>44816.0</v>
      </c>
      <c r="G1552" s="35">
        <v>44877.0</v>
      </c>
      <c r="H1552" s="31" t="s">
        <v>453</v>
      </c>
      <c r="I1552" s="31" t="s">
        <v>566</v>
      </c>
      <c r="J1552" s="31" t="s">
        <v>6383</v>
      </c>
      <c r="K1552" s="31" t="s">
        <v>6485</v>
      </c>
      <c r="L1552" s="31" t="s">
        <v>456</v>
      </c>
      <c r="M1552" s="31" t="s">
        <v>6486</v>
      </c>
      <c r="N1552" s="31" t="s">
        <v>467</v>
      </c>
      <c r="O1552" s="34"/>
      <c r="P1552" s="34"/>
      <c r="Q1552" s="31" t="s">
        <v>307</v>
      </c>
      <c r="R1552" s="32">
        <v>35654.0</v>
      </c>
      <c r="S1552" s="34"/>
      <c r="T1552" s="31" t="s">
        <v>1059</v>
      </c>
      <c r="U1552" s="31" t="s">
        <v>480</v>
      </c>
      <c r="V1552" s="31" t="s">
        <v>6484</v>
      </c>
      <c r="W1552" s="34"/>
    </row>
    <row r="1553">
      <c r="A1553" s="30">
        <v>1.548</v>
      </c>
      <c r="B1553" s="31" t="s">
        <v>6487</v>
      </c>
      <c r="C1553" s="31" t="s">
        <v>6488</v>
      </c>
      <c r="D1553" s="31" t="s">
        <v>472</v>
      </c>
      <c r="E1553" s="31" t="s">
        <v>2874</v>
      </c>
      <c r="F1553" s="32">
        <v>44732.0</v>
      </c>
      <c r="G1553" s="32">
        <v>44793.0</v>
      </c>
      <c r="H1553" s="31" t="s">
        <v>453</v>
      </c>
      <c r="I1553" s="31" t="s">
        <v>52</v>
      </c>
      <c r="J1553" s="31" t="s">
        <v>2874</v>
      </c>
      <c r="K1553" s="31" t="s">
        <v>2875</v>
      </c>
      <c r="L1553" s="31" t="s">
        <v>476</v>
      </c>
      <c r="M1553" s="31" t="s">
        <v>6489</v>
      </c>
      <c r="N1553" s="31" t="s">
        <v>467</v>
      </c>
      <c r="O1553" s="34"/>
      <c r="P1553" s="34"/>
      <c r="Q1553" s="31" t="s">
        <v>307</v>
      </c>
      <c r="R1553" s="32">
        <v>36100.0</v>
      </c>
      <c r="S1553" s="31" t="s">
        <v>560</v>
      </c>
      <c r="T1553" s="31" t="s">
        <v>6490</v>
      </c>
      <c r="U1553" s="31" t="s">
        <v>643</v>
      </c>
      <c r="V1553" s="34"/>
      <c r="W1553" s="34"/>
    </row>
    <row r="1554">
      <c r="A1554" s="30">
        <v>1.549</v>
      </c>
      <c r="B1554" s="31" t="s">
        <v>6491</v>
      </c>
      <c r="C1554" s="31" t="s">
        <v>5769</v>
      </c>
      <c r="D1554" s="31" t="s">
        <v>472</v>
      </c>
      <c r="E1554" s="31" t="s">
        <v>3419</v>
      </c>
      <c r="F1554" s="32">
        <v>44732.0</v>
      </c>
      <c r="G1554" s="32">
        <v>44793.0</v>
      </c>
      <c r="H1554" s="31" t="s">
        <v>453</v>
      </c>
      <c r="I1554" s="31" t="s">
        <v>454</v>
      </c>
      <c r="J1554" s="31" t="s">
        <v>3188</v>
      </c>
      <c r="K1554" s="31" t="s">
        <v>3420</v>
      </c>
      <c r="L1554" s="31" t="s">
        <v>476</v>
      </c>
      <c r="M1554" s="31" t="s">
        <v>6492</v>
      </c>
      <c r="N1554" s="31" t="s">
        <v>467</v>
      </c>
      <c r="O1554" s="34"/>
      <c r="P1554" s="34"/>
      <c r="Q1554" s="31" t="s">
        <v>307</v>
      </c>
      <c r="R1554" s="32">
        <v>36180.0</v>
      </c>
      <c r="S1554" s="31" t="s">
        <v>560</v>
      </c>
      <c r="T1554" s="31" t="s">
        <v>627</v>
      </c>
      <c r="U1554" s="31" t="s">
        <v>460</v>
      </c>
      <c r="V1554" s="31" t="s">
        <v>3419</v>
      </c>
      <c r="W1554" s="34"/>
    </row>
    <row r="1555">
      <c r="A1555" s="30">
        <v>1.55</v>
      </c>
      <c r="B1555" s="31" t="s">
        <v>6493</v>
      </c>
      <c r="C1555" s="31" t="s">
        <v>6494</v>
      </c>
      <c r="D1555" s="31" t="s">
        <v>472</v>
      </c>
      <c r="E1555" s="31" t="s">
        <v>6382</v>
      </c>
      <c r="F1555" s="32">
        <v>44713.0</v>
      </c>
      <c r="G1555" s="32">
        <v>44774.0</v>
      </c>
      <c r="H1555" s="31" t="s">
        <v>453</v>
      </c>
      <c r="I1555" s="31" t="s">
        <v>566</v>
      </c>
      <c r="J1555" s="31" t="s">
        <v>6383</v>
      </c>
      <c r="K1555" s="31" t="s">
        <v>6384</v>
      </c>
      <c r="L1555" s="31" t="s">
        <v>476</v>
      </c>
      <c r="M1555" s="31" t="s">
        <v>6495</v>
      </c>
      <c r="N1555" s="31" t="s">
        <v>467</v>
      </c>
      <c r="O1555" s="34"/>
      <c r="P1555" s="34"/>
      <c r="Q1555" s="31" t="s">
        <v>307</v>
      </c>
      <c r="R1555" s="35">
        <v>36882.0</v>
      </c>
      <c r="S1555" s="31" t="s">
        <v>560</v>
      </c>
      <c r="T1555" s="31" t="s">
        <v>5672</v>
      </c>
      <c r="U1555" s="31" t="s">
        <v>480</v>
      </c>
      <c r="V1555" s="31" t="s">
        <v>6382</v>
      </c>
      <c r="W1555" s="34"/>
    </row>
    <row r="1556">
      <c r="A1556" s="30">
        <v>1.551</v>
      </c>
      <c r="B1556" s="31" t="s">
        <v>6496</v>
      </c>
      <c r="C1556" s="31" t="s">
        <v>6497</v>
      </c>
      <c r="D1556" s="31" t="s">
        <v>6479</v>
      </c>
      <c r="E1556" s="31" t="s">
        <v>38</v>
      </c>
      <c r="F1556" s="32">
        <v>44685.0</v>
      </c>
      <c r="G1556" s="32">
        <v>44746.0</v>
      </c>
      <c r="H1556" s="31" t="s">
        <v>453</v>
      </c>
      <c r="I1556" s="31" t="s">
        <v>2717</v>
      </c>
      <c r="J1556" s="31" t="s">
        <v>38</v>
      </c>
      <c r="K1556" s="31" t="s">
        <v>2718</v>
      </c>
      <c r="L1556" s="31" t="s">
        <v>6480</v>
      </c>
      <c r="M1556" s="31" t="s">
        <v>6498</v>
      </c>
      <c r="N1556" s="31" t="s">
        <v>267</v>
      </c>
      <c r="O1556" s="34"/>
      <c r="P1556" s="34"/>
      <c r="Q1556" s="31" t="s">
        <v>307</v>
      </c>
      <c r="R1556" s="32">
        <v>34753.0</v>
      </c>
      <c r="S1556" s="31" t="s">
        <v>1398</v>
      </c>
      <c r="T1556" s="31" t="s">
        <v>2855</v>
      </c>
      <c r="U1556" s="31" t="s">
        <v>480</v>
      </c>
      <c r="V1556" s="34"/>
      <c r="W1556" s="34"/>
    </row>
    <row r="1557">
      <c r="A1557" s="30">
        <v>1.552</v>
      </c>
      <c r="B1557" s="31" t="s">
        <v>6499</v>
      </c>
      <c r="C1557" s="31" t="s">
        <v>6500</v>
      </c>
      <c r="D1557" s="31" t="s">
        <v>472</v>
      </c>
      <c r="E1557" s="31" t="s">
        <v>554</v>
      </c>
      <c r="F1557" s="32">
        <v>44676.0</v>
      </c>
      <c r="G1557" s="32">
        <v>44737.0</v>
      </c>
      <c r="H1557" s="31" t="s">
        <v>453</v>
      </c>
      <c r="I1557" s="31" t="s">
        <v>555</v>
      </c>
      <c r="J1557" s="31" t="s">
        <v>556</v>
      </c>
      <c r="K1557" s="31" t="s">
        <v>557</v>
      </c>
      <c r="L1557" s="31" t="s">
        <v>476</v>
      </c>
      <c r="M1557" s="31" t="s">
        <v>6501</v>
      </c>
      <c r="N1557" s="31" t="s">
        <v>467</v>
      </c>
      <c r="O1557" s="34"/>
      <c r="P1557" s="34"/>
      <c r="Q1557" s="31" t="s">
        <v>307</v>
      </c>
      <c r="R1557" s="32">
        <v>37162.0</v>
      </c>
      <c r="S1557" s="31" t="s">
        <v>560</v>
      </c>
      <c r="T1557" s="31" t="s">
        <v>491</v>
      </c>
      <c r="U1557" s="31" t="s">
        <v>480</v>
      </c>
      <c r="V1557" s="31" t="s">
        <v>554</v>
      </c>
      <c r="W1557" s="34"/>
    </row>
    <row r="1558">
      <c r="A1558" s="30">
        <v>1.553</v>
      </c>
      <c r="B1558" s="31" t="s">
        <v>6502</v>
      </c>
      <c r="C1558" s="31" t="s">
        <v>6503</v>
      </c>
      <c r="D1558" s="31" t="s">
        <v>472</v>
      </c>
      <c r="E1558" s="31" t="s">
        <v>606</v>
      </c>
      <c r="F1558" s="32">
        <v>44666.0</v>
      </c>
      <c r="G1558" s="32">
        <v>44727.0</v>
      </c>
      <c r="H1558" s="31" t="s">
        <v>453</v>
      </c>
      <c r="I1558" s="31" t="s">
        <v>607</v>
      </c>
      <c r="J1558" s="31" t="s">
        <v>608</v>
      </c>
      <c r="K1558" s="31" t="s">
        <v>609</v>
      </c>
      <c r="L1558" s="31" t="s">
        <v>476</v>
      </c>
      <c r="M1558" s="31" t="s">
        <v>6504</v>
      </c>
      <c r="N1558" s="31" t="s">
        <v>467</v>
      </c>
      <c r="O1558" s="34"/>
      <c r="P1558" s="34"/>
      <c r="Q1558" s="31" t="s">
        <v>307</v>
      </c>
      <c r="R1558" s="35">
        <v>36481.0</v>
      </c>
      <c r="S1558" s="31" t="s">
        <v>468</v>
      </c>
      <c r="T1558" s="31" t="s">
        <v>5953</v>
      </c>
      <c r="U1558" s="31" t="s">
        <v>480</v>
      </c>
      <c r="V1558" s="31" t="s">
        <v>606</v>
      </c>
      <c r="W1558" s="34"/>
    </row>
    <row r="1559">
      <c r="A1559" s="30">
        <v>1.554</v>
      </c>
      <c r="B1559" s="31" t="s">
        <v>6505</v>
      </c>
      <c r="C1559" s="31" t="s">
        <v>6506</v>
      </c>
      <c r="D1559" s="31" t="s">
        <v>472</v>
      </c>
      <c r="E1559" s="31" t="s">
        <v>3292</v>
      </c>
      <c r="F1559" s="32">
        <v>44657.0</v>
      </c>
      <c r="G1559" s="32">
        <v>44718.0</v>
      </c>
      <c r="H1559" s="31" t="s">
        <v>453</v>
      </c>
      <c r="I1559" s="31" t="s">
        <v>555</v>
      </c>
      <c r="J1559" s="31" t="s">
        <v>556</v>
      </c>
      <c r="K1559" s="31" t="s">
        <v>3293</v>
      </c>
      <c r="L1559" s="31" t="s">
        <v>3203</v>
      </c>
      <c r="M1559" s="31" t="s">
        <v>6507</v>
      </c>
      <c r="N1559" s="31" t="s">
        <v>467</v>
      </c>
      <c r="O1559" s="34"/>
      <c r="P1559" s="34"/>
      <c r="Q1559" s="31" t="s">
        <v>307</v>
      </c>
      <c r="R1559" s="32">
        <v>36758.0</v>
      </c>
      <c r="S1559" s="31" t="s">
        <v>560</v>
      </c>
      <c r="T1559" s="31" t="s">
        <v>469</v>
      </c>
      <c r="U1559" s="31" t="s">
        <v>480</v>
      </c>
      <c r="V1559" s="31" t="s">
        <v>3292</v>
      </c>
      <c r="W1559" s="34"/>
    </row>
    <row r="1560">
      <c r="A1560" s="30">
        <v>1.555</v>
      </c>
      <c r="B1560" s="31" t="s">
        <v>6508</v>
      </c>
      <c r="C1560" s="31" t="s">
        <v>6509</v>
      </c>
      <c r="D1560" s="31" t="s">
        <v>3132</v>
      </c>
      <c r="E1560" s="31" t="s">
        <v>2887</v>
      </c>
      <c r="F1560" s="32">
        <v>44655.0</v>
      </c>
      <c r="G1560" s="32">
        <v>44716.0</v>
      </c>
      <c r="H1560" s="31" t="s">
        <v>453</v>
      </c>
      <c r="I1560" s="31" t="s">
        <v>566</v>
      </c>
      <c r="J1560" s="31" t="s">
        <v>2888</v>
      </c>
      <c r="K1560" s="31" t="s">
        <v>2889</v>
      </c>
      <c r="L1560" s="31" t="s">
        <v>3380</v>
      </c>
      <c r="M1560" s="31" t="s">
        <v>6510</v>
      </c>
      <c r="N1560" s="31" t="s">
        <v>267</v>
      </c>
      <c r="O1560" s="31">
        <v>2.0</v>
      </c>
      <c r="P1560" s="34"/>
      <c r="Q1560" s="31" t="s">
        <v>307</v>
      </c>
      <c r="R1560" s="32">
        <v>34196.0</v>
      </c>
      <c r="S1560" s="31" t="s">
        <v>6365</v>
      </c>
      <c r="T1560" s="31" t="s">
        <v>561</v>
      </c>
      <c r="U1560" s="31" t="s">
        <v>480</v>
      </c>
      <c r="V1560" s="31" t="s">
        <v>2887</v>
      </c>
      <c r="W1560" s="34"/>
    </row>
    <row r="1561">
      <c r="A1561" s="30">
        <v>1.556</v>
      </c>
      <c r="B1561" s="31" t="s">
        <v>6511</v>
      </c>
      <c r="C1561" s="31" t="s">
        <v>443</v>
      </c>
      <c r="D1561" s="31" t="s">
        <v>452</v>
      </c>
      <c r="E1561" s="31" t="s">
        <v>4420</v>
      </c>
      <c r="F1561" s="32">
        <v>44641.0</v>
      </c>
      <c r="G1561" s="32">
        <v>44702.0</v>
      </c>
      <c r="H1561" s="31" t="s">
        <v>453</v>
      </c>
      <c r="I1561" s="31" t="s">
        <v>454</v>
      </c>
      <c r="J1561" s="31" t="s">
        <v>3378</v>
      </c>
      <c r="K1561" s="31" t="s">
        <v>4421</v>
      </c>
      <c r="L1561" s="31" t="s">
        <v>456</v>
      </c>
      <c r="M1561" s="31" t="s">
        <v>6512</v>
      </c>
      <c r="N1561" s="31" t="s">
        <v>267</v>
      </c>
      <c r="O1561" s="34"/>
      <c r="P1561" s="34"/>
      <c r="Q1561" s="31" t="s">
        <v>581</v>
      </c>
      <c r="R1561" s="35">
        <v>34685.0</v>
      </c>
      <c r="S1561" s="31" t="s">
        <v>320</v>
      </c>
      <c r="T1561" s="31" t="s">
        <v>744</v>
      </c>
      <c r="U1561" s="31" t="s">
        <v>460</v>
      </c>
      <c r="V1561" s="31" t="s">
        <v>4420</v>
      </c>
      <c r="W1561" s="34"/>
    </row>
    <row r="1562">
      <c r="A1562" s="30">
        <v>1.557</v>
      </c>
      <c r="B1562" s="31" t="s">
        <v>6513</v>
      </c>
      <c r="C1562" s="31" t="s">
        <v>6514</v>
      </c>
      <c r="D1562" s="31" t="s">
        <v>472</v>
      </c>
      <c r="E1562" s="31" t="s">
        <v>3603</v>
      </c>
      <c r="F1562" s="35">
        <v>44560.0</v>
      </c>
      <c r="G1562" s="32">
        <v>44621.0</v>
      </c>
      <c r="H1562" s="31" t="s">
        <v>453</v>
      </c>
      <c r="I1562" s="31" t="s">
        <v>454</v>
      </c>
      <c r="J1562" s="31" t="s">
        <v>3604</v>
      </c>
      <c r="K1562" s="31" t="s">
        <v>3605</v>
      </c>
      <c r="L1562" s="31" t="s">
        <v>476</v>
      </c>
      <c r="M1562" s="31" t="s">
        <v>6515</v>
      </c>
      <c r="N1562" s="31" t="s">
        <v>467</v>
      </c>
      <c r="O1562" s="34"/>
      <c r="P1562" s="34"/>
      <c r="Q1562" s="31" t="s">
        <v>307</v>
      </c>
      <c r="R1562" s="35">
        <v>36514.0</v>
      </c>
      <c r="S1562" s="31" t="s">
        <v>6516</v>
      </c>
      <c r="T1562" s="31" t="s">
        <v>2672</v>
      </c>
      <c r="U1562" s="31" t="s">
        <v>480</v>
      </c>
      <c r="V1562" s="31" t="s">
        <v>3603</v>
      </c>
      <c r="W1562" s="34"/>
    </row>
    <row r="1563">
      <c r="A1563" s="30">
        <v>1.558</v>
      </c>
      <c r="B1563" s="31" t="s">
        <v>6517</v>
      </c>
      <c r="C1563" s="31" t="s">
        <v>6518</v>
      </c>
      <c r="D1563" s="31" t="s">
        <v>472</v>
      </c>
      <c r="E1563" s="31" t="s">
        <v>4414</v>
      </c>
      <c r="F1563" s="35">
        <v>44490.0</v>
      </c>
      <c r="G1563" s="35">
        <v>44551.0</v>
      </c>
      <c r="H1563" s="31" t="s">
        <v>453</v>
      </c>
      <c r="I1563" s="31" t="s">
        <v>607</v>
      </c>
      <c r="J1563" s="31" t="s">
        <v>4415</v>
      </c>
      <c r="K1563" s="31" t="s">
        <v>4416</v>
      </c>
      <c r="L1563" s="31" t="s">
        <v>476</v>
      </c>
      <c r="M1563" s="31" t="s">
        <v>6519</v>
      </c>
      <c r="N1563" s="31" t="s">
        <v>467</v>
      </c>
      <c r="O1563" s="34"/>
      <c r="P1563" s="34"/>
      <c r="Q1563" s="31" t="s">
        <v>307</v>
      </c>
      <c r="R1563" s="35">
        <v>36490.0</v>
      </c>
      <c r="S1563" s="31" t="s">
        <v>560</v>
      </c>
      <c r="T1563" s="31" t="s">
        <v>469</v>
      </c>
      <c r="U1563" s="31" t="s">
        <v>643</v>
      </c>
      <c r="V1563" s="31" t="s">
        <v>4414</v>
      </c>
      <c r="W1563" s="34"/>
    </row>
    <row r="1564">
      <c r="A1564" s="30">
        <v>1.559</v>
      </c>
      <c r="B1564" s="31" t="s">
        <v>6520</v>
      </c>
      <c r="C1564" s="31" t="s">
        <v>6521</v>
      </c>
      <c r="D1564" s="31" t="s">
        <v>564</v>
      </c>
      <c r="E1564" s="31" t="s">
        <v>6383</v>
      </c>
      <c r="F1564" s="32">
        <v>44445.0</v>
      </c>
      <c r="G1564" s="32">
        <v>44506.0</v>
      </c>
      <c r="H1564" s="31" t="s">
        <v>453</v>
      </c>
      <c r="I1564" s="31" t="s">
        <v>566</v>
      </c>
      <c r="J1564" s="31" t="s">
        <v>6383</v>
      </c>
      <c r="K1564" s="31" t="s">
        <v>6522</v>
      </c>
      <c r="L1564" s="31" t="s">
        <v>569</v>
      </c>
      <c r="M1564" s="31" t="s">
        <v>6523</v>
      </c>
      <c r="N1564" s="31" t="s">
        <v>267</v>
      </c>
      <c r="O1564" s="34"/>
      <c r="P1564" s="34"/>
      <c r="Q1564" s="31" t="s">
        <v>307</v>
      </c>
      <c r="R1564" s="35">
        <v>35359.0</v>
      </c>
      <c r="S1564" s="31" t="s">
        <v>458</v>
      </c>
      <c r="T1564" s="31" t="s">
        <v>778</v>
      </c>
      <c r="U1564" s="31" t="s">
        <v>480</v>
      </c>
      <c r="V1564" s="34"/>
      <c r="W1564" s="34"/>
    </row>
    <row r="1565">
      <c r="A1565" s="30">
        <v>1.56</v>
      </c>
      <c r="B1565" s="31" t="s">
        <v>6524</v>
      </c>
      <c r="C1565" s="31" t="s">
        <v>6458</v>
      </c>
      <c r="D1565" s="31" t="s">
        <v>463</v>
      </c>
      <c r="E1565" s="31" t="s">
        <v>6382</v>
      </c>
      <c r="F1565" s="32">
        <v>43277.0</v>
      </c>
      <c r="G1565" s="32">
        <v>43277.0</v>
      </c>
      <c r="H1565" s="31" t="s">
        <v>453</v>
      </c>
      <c r="I1565" s="31" t="s">
        <v>566</v>
      </c>
      <c r="J1565" s="31" t="s">
        <v>6383</v>
      </c>
      <c r="K1565" s="31" t="s">
        <v>6384</v>
      </c>
      <c r="L1565" s="31" t="s">
        <v>465</v>
      </c>
      <c r="M1565" s="31" t="s">
        <v>6525</v>
      </c>
      <c r="N1565" s="31" t="s">
        <v>267</v>
      </c>
      <c r="O1565" s="31">
        <v>2.0</v>
      </c>
      <c r="P1565" s="34"/>
      <c r="Q1565" s="31" t="s">
        <v>307</v>
      </c>
      <c r="R1565" s="32">
        <v>34470.0</v>
      </c>
      <c r="S1565" s="31" t="s">
        <v>468</v>
      </c>
      <c r="T1565" s="31" t="s">
        <v>3198</v>
      </c>
      <c r="U1565" s="31" t="s">
        <v>480</v>
      </c>
      <c r="V1565" s="31" t="s">
        <v>6382</v>
      </c>
      <c r="W1565" s="34"/>
    </row>
    <row r="1566">
      <c r="A1566" s="30">
        <v>1.561</v>
      </c>
      <c r="B1566" s="31" t="s">
        <v>6526</v>
      </c>
      <c r="C1566" s="31" t="s">
        <v>2270</v>
      </c>
      <c r="D1566" s="31" t="s">
        <v>4828</v>
      </c>
      <c r="E1566" s="31" t="s">
        <v>2651</v>
      </c>
      <c r="F1566" s="32">
        <v>43126.0</v>
      </c>
      <c r="G1566" s="32">
        <v>43185.0</v>
      </c>
      <c r="H1566" s="31" t="s">
        <v>453</v>
      </c>
      <c r="I1566" s="31" t="s">
        <v>566</v>
      </c>
      <c r="J1566" s="31" t="s">
        <v>567</v>
      </c>
      <c r="K1566" s="31" t="s">
        <v>2652</v>
      </c>
      <c r="L1566" s="31" t="s">
        <v>4829</v>
      </c>
      <c r="M1566" s="31" t="s">
        <v>6527</v>
      </c>
      <c r="N1566" s="31" t="s">
        <v>267</v>
      </c>
      <c r="O1566" s="31">
        <v>1.0</v>
      </c>
      <c r="P1566" s="34"/>
      <c r="Q1566" s="31" t="s">
        <v>307</v>
      </c>
      <c r="R1566" s="32">
        <v>32735.0</v>
      </c>
      <c r="S1566" s="31" t="s">
        <v>468</v>
      </c>
      <c r="T1566" s="31" t="s">
        <v>3295</v>
      </c>
      <c r="U1566" s="31" t="s">
        <v>480</v>
      </c>
      <c r="V1566" s="31" t="s">
        <v>2651</v>
      </c>
      <c r="W1566" s="34"/>
    </row>
    <row r="1567">
      <c r="A1567" s="30">
        <v>1.562</v>
      </c>
      <c r="B1567" s="31" t="s">
        <v>6528</v>
      </c>
      <c r="C1567" s="31" t="s">
        <v>6529</v>
      </c>
      <c r="D1567" s="31" t="s">
        <v>4968</v>
      </c>
      <c r="E1567" s="31" t="s">
        <v>40</v>
      </c>
      <c r="F1567" s="32">
        <v>39448.0</v>
      </c>
      <c r="G1567" s="32">
        <v>39539.0</v>
      </c>
      <c r="H1567" s="31" t="s">
        <v>453</v>
      </c>
      <c r="I1567" s="31" t="s">
        <v>40</v>
      </c>
      <c r="J1567" s="34"/>
      <c r="K1567" s="31" t="s">
        <v>4969</v>
      </c>
      <c r="L1567" s="31" t="s">
        <v>4970</v>
      </c>
      <c r="M1567" s="31" t="s">
        <v>6530</v>
      </c>
      <c r="N1567" s="31" t="s">
        <v>467</v>
      </c>
      <c r="O1567" s="34"/>
      <c r="P1567" s="34"/>
      <c r="Q1567" s="31" t="s">
        <v>307</v>
      </c>
      <c r="R1567" s="35">
        <v>31350.0</v>
      </c>
      <c r="S1567" s="31" t="s">
        <v>560</v>
      </c>
      <c r="T1567" s="31" t="s">
        <v>503</v>
      </c>
      <c r="U1567" s="31" t="s">
        <v>310</v>
      </c>
      <c r="V1567" s="34"/>
      <c r="W1567" s="34"/>
    </row>
    <row r="1568">
      <c r="A1568" s="30">
        <v>1.563</v>
      </c>
      <c r="B1568" s="31" t="s">
        <v>6531</v>
      </c>
      <c r="C1568" s="31" t="s">
        <v>6532</v>
      </c>
      <c r="D1568" s="31" t="s">
        <v>4828</v>
      </c>
      <c r="E1568" s="31" t="s">
        <v>6382</v>
      </c>
      <c r="F1568" s="35">
        <v>43754.0</v>
      </c>
      <c r="G1568" s="35">
        <v>43815.0</v>
      </c>
      <c r="H1568" s="31" t="s">
        <v>453</v>
      </c>
      <c r="I1568" s="31" t="s">
        <v>566</v>
      </c>
      <c r="J1568" s="31" t="s">
        <v>6383</v>
      </c>
      <c r="K1568" s="31" t="s">
        <v>6384</v>
      </c>
      <c r="L1568" s="31" t="s">
        <v>4829</v>
      </c>
      <c r="M1568" s="31" t="s">
        <v>6533</v>
      </c>
      <c r="N1568" s="31" t="s">
        <v>267</v>
      </c>
      <c r="O1568" s="31">
        <v>1.0</v>
      </c>
      <c r="P1568" s="34"/>
      <c r="Q1568" s="31" t="s">
        <v>307</v>
      </c>
      <c r="R1568" s="32">
        <v>33886.0</v>
      </c>
      <c r="S1568" s="31" t="s">
        <v>1197</v>
      </c>
      <c r="T1568" s="31" t="s">
        <v>686</v>
      </c>
      <c r="U1568" s="31" t="s">
        <v>480</v>
      </c>
      <c r="V1568" s="31" t="s">
        <v>6382</v>
      </c>
      <c r="W1568" s="34"/>
    </row>
    <row r="1569">
      <c r="A1569" s="30">
        <v>1.564</v>
      </c>
      <c r="B1569" s="31" t="s">
        <v>6534</v>
      </c>
      <c r="C1569" s="31" t="s">
        <v>6535</v>
      </c>
      <c r="D1569" s="31" t="s">
        <v>553</v>
      </c>
      <c r="E1569" s="31" t="s">
        <v>2696</v>
      </c>
      <c r="F1569" s="32">
        <v>44305.0</v>
      </c>
      <c r="G1569" s="32">
        <v>44366.0</v>
      </c>
      <c r="H1569" s="31" t="s">
        <v>453</v>
      </c>
      <c r="I1569" s="31" t="s">
        <v>607</v>
      </c>
      <c r="J1569" s="31" t="s">
        <v>2697</v>
      </c>
      <c r="K1569" s="31" t="s">
        <v>2698</v>
      </c>
      <c r="L1569" s="31" t="s">
        <v>558</v>
      </c>
      <c r="M1569" s="31" t="s">
        <v>6536</v>
      </c>
      <c r="N1569" s="31" t="s">
        <v>267</v>
      </c>
      <c r="O1569" s="34"/>
      <c r="P1569" s="34"/>
      <c r="Q1569" s="31" t="s">
        <v>307</v>
      </c>
      <c r="R1569" s="32">
        <v>35500.0</v>
      </c>
      <c r="S1569" s="31" t="s">
        <v>560</v>
      </c>
      <c r="T1569" s="31" t="s">
        <v>503</v>
      </c>
      <c r="U1569" s="31" t="s">
        <v>643</v>
      </c>
      <c r="V1569" s="31" t="s">
        <v>2696</v>
      </c>
      <c r="W1569" s="34"/>
    </row>
    <row r="1570">
      <c r="A1570" s="30">
        <v>1.565</v>
      </c>
      <c r="B1570" s="31" t="s">
        <v>6537</v>
      </c>
      <c r="C1570" s="31" t="s">
        <v>6538</v>
      </c>
      <c r="D1570" s="31" t="s">
        <v>4968</v>
      </c>
      <c r="E1570" s="31" t="s">
        <v>40</v>
      </c>
      <c r="F1570" s="32">
        <v>42636.0</v>
      </c>
      <c r="G1570" s="35">
        <v>42697.0</v>
      </c>
      <c r="H1570" s="31" t="s">
        <v>453</v>
      </c>
      <c r="I1570" s="31" t="s">
        <v>40</v>
      </c>
      <c r="J1570" s="34"/>
      <c r="K1570" s="31" t="s">
        <v>4969</v>
      </c>
      <c r="L1570" s="31" t="s">
        <v>4970</v>
      </c>
      <c r="M1570" s="31" t="s">
        <v>6539</v>
      </c>
      <c r="N1570" s="31" t="s">
        <v>467</v>
      </c>
      <c r="O1570" s="34"/>
      <c r="P1570" s="34"/>
      <c r="Q1570" s="31" t="s">
        <v>307</v>
      </c>
      <c r="R1570" s="35">
        <v>33893.0</v>
      </c>
      <c r="S1570" s="31" t="s">
        <v>560</v>
      </c>
      <c r="T1570" s="31" t="s">
        <v>496</v>
      </c>
      <c r="U1570" s="31" t="s">
        <v>310</v>
      </c>
      <c r="V1570" s="34"/>
      <c r="W1570" s="34"/>
    </row>
    <row r="1571">
      <c r="A1571" s="30">
        <v>1.566</v>
      </c>
      <c r="B1571" s="31" t="s">
        <v>6540</v>
      </c>
      <c r="C1571" s="31" t="s">
        <v>6541</v>
      </c>
      <c r="D1571" s="31" t="s">
        <v>472</v>
      </c>
      <c r="E1571" s="31" t="s">
        <v>2874</v>
      </c>
      <c r="F1571" s="35">
        <v>43815.0</v>
      </c>
      <c r="G1571" s="32">
        <v>43877.0</v>
      </c>
      <c r="H1571" s="31" t="s">
        <v>453</v>
      </c>
      <c r="I1571" s="31" t="s">
        <v>52</v>
      </c>
      <c r="J1571" s="31" t="s">
        <v>2874</v>
      </c>
      <c r="K1571" s="31" t="s">
        <v>2875</v>
      </c>
      <c r="L1571" s="31" t="s">
        <v>476</v>
      </c>
      <c r="M1571" s="31" t="s">
        <v>6542</v>
      </c>
      <c r="N1571" s="31" t="s">
        <v>467</v>
      </c>
      <c r="O1571" s="34"/>
      <c r="P1571" s="34"/>
      <c r="Q1571" s="31" t="s">
        <v>307</v>
      </c>
      <c r="R1571" s="32">
        <v>35252.0</v>
      </c>
      <c r="S1571" s="31" t="s">
        <v>591</v>
      </c>
      <c r="T1571" s="31" t="s">
        <v>3198</v>
      </c>
      <c r="U1571" s="31" t="s">
        <v>643</v>
      </c>
      <c r="V1571" s="34"/>
      <c r="W1571" s="34"/>
    </row>
    <row r="1572">
      <c r="A1572" s="30">
        <v>1.567</v>
      </c>
      <c r="B1572" s="31" t="s">
        <v>6543</v>
      </c>
      <c r="C1572" s="31" t="s">
        <v>6544</v>
      </c>
      <c r="D1572" s="31" t="s">
        <v>3092</v>
      </c>
      <c r="E1572" s="31" t="s">
        <v>6545</v>
      </c>
      <c r="F1572" s="32">
        <v>42870.0</v>
      </c>
      <c r="G1572" s="32">
        <v>42931.0</v>
      </c>
      <c r="H1572" s="31" t="s">
        <v>453</v>
      </c>
      <c r="I1572" s="31" t="s">
        <v>566</v>
      </c>
      <c r="J1572" s="31" t="s">
        <v>6545</v>
      </c>
      <c r="K1572" s="31" t="s">
        <v>6546</v>
      </c>
      <c r="L1572" s="31" t="s">
        <v>5209</v>
      </c>
      <c r="M1572" s="31" t="s">
        <v>6547</v>
      </c>
      <c r="N1572" s="31" t="s">
        <v>467</v>
      </c>
      <c r="O1572" s="34"/>
      <c r="P1572" s="34"/>
      <c r="Q1572" s="31" t="s">
        <v>307</v>
      </c>
      <c r="R1572" s="32">
        <v>32956.0</v>
      </c>
      <c r="S1572" s="31" t="s">
        <v>6548</v>
      </c>
      <c r="T1572" s="31" t="s">
        <v>4337</v>
      </c>
      <c r="U1572" s="31" t="s">
        <v>480</v>
      </c>
      <c r="V1572" s="34"/>
      <c r="W1572" s="34"/>
    </row>
    <row r="1573">
      <c r="A1573" s="30">
        <v>1.568</v>
      </c>
      <c r="B1573" s="31" t="s">
        <v>6549</v>
      </c>
      <c r="C1573" s="31" t="s">
        <v>6550</v>
      </c>
      <c r="D1573" s="31" t="s">
        <v>472</v>
      </c>
      <c r="E1573" s="31" t="s">
        <v>4492</v>
      </c>
      <c r="F1573" s="32">
        <v>43255.0</v>
      </c>
      <c r="G1573" s="32">
        <v>43316.0</v>
      </c>
      <c r="H1573" s="31" t="s">
        <v>453</v>
      </c>
      <c r="I1573" s="31" t="s">
        <v>555</v>
      </c>
      <c r="J1573" s="31" t="s">
        <v>556</v>
      </c>
      <c r="K1573" s="31" t="s">
        <v>4493</v>
      </c>
      <c r="L1573" s="31" t="s">
        <v>476</v>
      </c>
      <c r="M1573" s="31" t="s">
        <v>6551</v>
      </c>
      <c r="N1573" s="31" t="s">
        <v>467</v>
      </c>
      <c r="O1573" s="34"/>
      <c r="P1573" s="34"/>
      <c r="Q1573" s="31" t="s">
        <v>307</v>
      </c>
      <c r="R1573" s="32">
        <v>33042.0</v>
      </c>
      <c r="S1573" s="31" t="s">
        <v>560</v>
      </c>
      <c r="T1573" s="31" t="s">
        <v>718</v>
      </c>
      <c r="U1573" s="31" t="s">
        <v>480</v>
      </c>
      <c r="V1573" s="31" t="s">
        <v>4492</v>
      </c>
      <c r="W1573" s="34"/>
    </row>
    <row r="1574">
      <c r="A1574" s="30">
        <v>1.569</v>
      </c>
      <c r="B1574" s="31" t="s">
        <v>6552</v>
      </c>
      <c r="C1574" s="31" t="s">
        <v>6553</v>
      </c>
      <c r="D1574" s="31" t="s">
        <v>472</v>
      </c>
      <c r="E1574" s="31" t="s">
        <v>606</v>
      </c>
      <c r="F1574" s="32">
        <v>43152.0</v>
      </c>
      <c r="G1574" s="32">
        <v>43211.0</v>
      </c>
      <c r="H1574" s="31" t="s">
        <v>453</v>
      </c>
      <c r="I1574" s="31" t="s">
        <v>607</v>
      </c>
      <c r="J1574" s="31" t="s">
        <v>608</v>
      </c>
      <c r="K1574" s="31" t="s">
        <v>609</v>
      </c>
      <c r="L1574" s="31" t="s">
        <v>476</v>
      </c>
      <c r="M1574" s="31" t="s">
        <v>6554</v>
      </c>
      <c r="N1574" s="31" t="s">
        <v>467</v>
      </c>
      <c r="O1574" s="34"/>
      <c r="P1574" s="34"/>
      <c r="Q1574" s="31" t="s">
        <v>307</v>
      </c>
      <c r="R1574" s="32">
        <v>33863.0</v>
      </c>
      <c r="S1574" s="31" t="s">
        <v>560</v>
      </c>
      <c r="T1574" s="31" t="s">
        <v>496</v>
      </c>
      <c r="U1574" s="31" t="s">
        <v>480</v>
      </c>
      <c r="V1574" s="31" t="s">
        <v>606</v>
      </c>
      <c r="W1574" s="34"/>
    </row>
    <row r="1575">
      <c r="A1575" s="30">
        <v>1.57</v>
      </c>
      <c r="B1575" s="31" t="s">
        <v>6555</v>
      </c>
      <c r="C1575" s="31" t="s">
        <v>817</v>
      </c>
      <c r="D1575" s="31" t="s">
        <v>5193</v>
      </c>
      <c r="E1575" s="31" t="s">
        <v>5207</v>
      </c>
      <c r="F1575" s="32">
        <v>41395.0</v>
      </c>
      <c r="G1575" s="32">
        <v>41456.0</v>
      </c>
      <c r="H1575" s="31" t="s">
        <v>453</v>
      </c>
      <c r="I1575" s="31" t="s">
        <v>607</v>
      </c>
      <c r="J1575" s="31" t="s">
        <v>5207</v>
      </c>
      <c r="K1575" s="31" t="s">
        <v>5208</v>
      </c>
      <c r="L1575" s="31" t="s">
        <v>5196</v>
      </c>
      <c r="M1575" s="31" t="s">
        <v>6556</v>
      </c>
      <c r="N1575" s="31" t="s">
        <v>267</v>
      </c>
      <c r="O1575" s="34"/>
      <c r="P1575" s="34"/>
      <c r="Q1575" s="31" t="s">
        <v>307</v>
      </c>
      <c r="R1575" s="32">
        <v>33314.0</v>
      </c>
      <c r="S1575" s="31" t="s">
        <v>468</v>
      </c>
      <c r="T1575" s="31" t="s">
        <v>1532</v>
      </c>
      <c r="U1575" s="31" t="s">
        <v>480</v>
      </c>
      <c r="V1575" s="34"/>
      <c r="W1575" s="34"/>
    </row>
    <row r="1576">
      <c r="A1576" s="30">
        <v>1.571</v>
      </c>
      <c r="B1576" s="31" t="s">
        <v>6557</v>
      </c>
      <c r="C1576" s="31" t="s">
        <v>6558</v>
      </c>
      <c r="D1576" s="31" t="s">
        <v>5050</v>
      </c>
      <c r="E1576" s="31" t="s">
        <v>4446</v>
      </c>
      <c r="F1576" s="32">
        <v>41518.0</v>
      </c>
      <c r="G1576" s="32">
        <v>41579.0</v>
      </c>
      <c r="H1576" s="31" t="s">
        <v>453</v>
      </c>
      <c r="I1576" s="31" t="s">
        <v>607</v>
      </c>
      <c r="J1576" s="31" t="s">
        <v>2697</v>
      </c>
      <c r="K1576" s="31" t="s">
        <v>4447</v>
      </c>
      <c r="L1576" s="31" t="s">
        <v>5051</v>
      </c>
      <c r="M1576" s="31" t="s">
        <v>6559</v>
      </c>
      <c r="N1576" s="31" t="s">
        <v>467</v>
      </c>
      <c r="O1576" s="31">
        <v>1.0</v>
      </c>
      <c r="P1576" s="34"/>
      <c r="Q1576" s="31" t="s">
        <v>307</v>
      </c>
      <c r="R1576" s="35">
        <v>32836.0</v>
      </c>
      <c r="S1576" s="31" t="s">
        <v>560</v>
      </c>
      <c r="T1576" s="31" t="s">
        <v>503</v>
      </c>
      <c r="U1576" s="31" t="s">
        <v>643</v>
      </c>
      <c r="V1576" s="31" t="s">
        <v>4446</v>
      </c>
      <c r="W1576" s="34"/>
    </row>
    <row r="1577">
      <c r="A1577" s="30">
        <v>1.572</v>
      </c>
      <c r="B1577" s="31" t="s">
        <v>6560</v>
      </c>
      <c r="C1577" s="31" t="s">
        <v>6561</v>
      </c>
      <c r="D1577" s="31" t="s">
        <v>499</v>
      </c>
      <c r="E1577" s="31" t="s">
        <v>5091</v>
      </c>
      <c r="F1577" s="32">
        <v>43290.0</v>
      </c>
      <c r="G1577" s="32">
        <v>43352.0</v>
      </c>
      <c r="H1577" s="31" t="s">
        <v>453</v>
      </c>
      <c r="I1577" s="31" t="s">
        <v>2835</v>
      </c>
      <c r="J1577" s="31" t="s">
        <v>4612</v>
      </c>
      <c r="K1577" s="31" t="s">
        <v>5092</v>
      </c>
      <c r="L1577" s="31" t="s">
        <v>500</v>
      </c>
      <c r="M1577" s="31" t="s">
        <v>6562</v>
      </c>
      <c r="N1577" s="31" t="s">
        <v>467</v>
      </c>
      <c r="O1577" s="31">
        <v>1.0</v>
      </c>
      <c r="P1577" s="34"/>
      <c r="Q1577" s="31" t="s">
        <v>307</v>
      </c>
      <c r="R1577" s="32">
        <v>33608.0</v>
      </c>
      <c r="S1577" s="31" t="s">
        <v>560</v>
      </c>
      <c r="T1577" s="31" t="s">
        <v>4923</v>
      </c>
      <c r="U1577" s="31" t="s">
        <v>480</v>
      </c>
      <c r="V1577" s="31" t="s">
        <v>5091</v>
      </c>
      <c r="W1577" s="34"/>
    </row>
    <row r="1578">
      <c r="A1578" s="30">
        <v>1.573</v>
      </c>
      <c r="B1578" s="31" t="s">
        <v>6563</v>
      </c>
      <c r="C1578" s="31" t="s">
        <v>4165</v>
      </c>
      <c r="D1578" s="31" t="s">
        <v>472</v>
      </c>
      <c r="E1578" s="31" t="s">
        <v>5506</v>
      </c>
      <c r="F1578" s="32">
        <v>38236.0</v>
      </c>
      <c r="G1578" s="32">
        <v>38236.0</v>
      </c>
      <c r="H1578" s="31" t="s">
        <v>453</v>
      </c>
      <c r="I1578" s="31" t="s">
        <v>454</v>
      </c>
      <c r="J1578" s="31" t="s">
        <v>4777</v>
      </c>
      <c r="K1578" s="31" t="s">
        <v>5507</v>
      </c>
      <c r="L1578" s="31" t="s">
        <v>476</v>
      </c>
      <c r="M1578" s="31" t="s">
        <v>6564</v>
      </c>
      <c r="N1578" s="31" t="s">
        <v>467</v>
      </c>
      <c r="O1578" s="34"/>
      <c r="P1578" s="34"/>
      <c r="Q1578" s="31" t="s">
        <v>307</v>
      </c>
      <c r="R1578" s="32">
        <v>28228.0</v>
      </c>
      <c r="S1578" s="31" t="s">
        <v>5167</v>
      </c>
      <c r="T1578" s="31" t="s">
        <v>778</v>
      </c>
      <c r="U1578" s="31" t="s">
        <v>480</v>
      </c>
      <c r="V1578" s="31" t="s">
        <v>5506</v>
      </c>
      <c r="W1578" s="34"/>
    </row>
    <row r="1579">
      <c r="A1579" s="30">
        <v>1.574</v>
      </c>
      <c r="B1579" s="31" t="s">
        <v>6565</v>
      </c>
      <c r="C1579" s="31" t="s">
        <v>6566</v>
      </c>
      <c r="D1579" s="31" t="s">
        <v>463</v>
      </c>
      <c r="E1579" s="31" t="s">
        <v>606</v>
      </c>
      <c r="F1579" s="32">
        <v>41785.0</v>
      </c>
      <c r="G1579" s="32">
        <v>41877.0</v>
      </c>
      <c r="H1579" s="31" t="s">
        <v>453</v>
      </c>
      <c r="I1579" s="31" t="s">
        <v>607</v>
      </c>
      <c r="J1579" s="31" t="s">
        <v>608</v>
      </c>
      <c r="K1579" s="31" t="s">
        <v>609</v>
      </c>
      <c r="L1579" s="31" t="s">
        <v>465</v>
      </c>
      <c r="M1579" s="31" t="s">
        <v>6567</v>
      </c>
      <c r="N1579" s="31" t="s">
        <v>467</v>
      </c>
      <c r="O1579" s="31">
        <v>2.0</v>
      </c>
      <c r="P1579" s="34"/>
      <c r="Q1579" s="31" t="s">
        <v>307</v>
      </c>
      <c r="R1579" s="35">
        <v>33930.0</v>
      </c>
      <c r="S1579" s="31" t="s">
        <v>560</v>
      </c>
      <c r="T1579" s="31" t="s">
        <v>1532</v>
      </c>
      <c r="U1579" s="31" t="s">
        <v>480</v>
      </c>
      <c r="V1579" s="31" t="s">
        <v>606</v>
      </c>
      <c r="W1579" s="34"/>
    </row>
    <row r="1580">
      <c r="A1580" s="30">
        <v>1.575</v>
      </c>
      <c r="B1580" s="31" t="s">
        <v>6568</v>
      </c>
      <c r="C1580" s="31" t="s">
        <v>6569</v>
      </c>
      <c r="D1580" s="31" t="s">
        <v>553</v>
      </c>
      <c r="E1580" s="31" t="s">
        <v>5091</v>
      </c>
      <c r="F1580" s="32">
        <v>44322.0</v>
      </c>
      <c r="G1580" s="32">
        <v>44383.0</v>
      </c>
      <c r="H1580" s="31" t="s">
        <v>453</v>
      </c>
      <c r="I1580" s="31" t="s">
        <v>2835</v>
      </c>
      <c r="J1580" s="31" t="s">
        <v>4612</v>
      </c>
      <c r="K1580" s="31" t="s">
        <v>5092</v>
      </c>
      <c r="L1580" s="31" t="s">
        <v>558</v>
      </c>
      <c r="M1580" s="31" t="s">
        <v>6570</v>
      </c>
      <c r="N1580" s="31" t="s">
        <v>267</v>
      </c>
      <c r="O1580" s="34"/>
      <c r="P1580" s="34"/>
      <c r="Q1580" s="31" t="s">
        <v>307</v>
      </c>
      <c r="R1580" s="32">
        <v>35509.0</v>
      </c>
      <c r="S1580" s="31" t="s">
        <v>515</v>
      </c>
      <c r="T1580" s="31" t="s">
        <v>744</v>
      </c>
      <c r="U1580" s="31" t="s">
        <v>480</v>
      </c>
      <c r="V1580" s="31" t="s">
        <v>5091</v>
      </c>
      <c r="W1580" s="34"/>
    </row>
    <row r="1581">
      <c r="A1581" s="30">
        <v>1.576</v>
      </c>
      <c r="B1581" s="31" t="s">
        <v>6571</v>
      </c>
      <c r="C1581" s="31" t="s">
        <v>6572</v>
      </c>
      <c r="D1581" s="31" t="s">
        <v>472</v>
      </c>
      <c r="E1581" s="31" t="s">
        <v>2651</v>
      </c>
      <c r="F1581" s="32">
        <v>44340.0</v>
      </c>
      <c r="G1581" s="32">
        <v>44401.0</v>
      </c>
      <c r="H1581" s="31" t="s">
        <v>453</v>
      </c>
      <c r="I1581" s="31" t="s">
        <v>566</v>
      </c>
      <c r="J1581" s="31" t="s">
        <v>567</v>
      </c>
      <c r="K1581" s="31" t="s">
        <v>2652</v>
      </c>
      <c r="L1581" s="31" t="s">
        <v>476</v>
      </c>
      <c r="M1581" s="31" t="s">
        <v>6573</v>
      </c>
      <c r="N1581" s="31" t="s">
        <v>467</v>
      </c>
      <c r="O1581" s="34"/>
      <c r="P1581" s="34"/>
      <c r="Q1581" s="31" t="s">
        <v>307</v>
      </c>
      <c r="R1581" s="35">
        <v>36148.0</v>
      </c>
      <c r="S1581" s="31" t="s">
        <v>560</v>
      </c>
      <c r="T1581" s="31" t="s">
        <v>752</v>
      </c>
      <c r="U1581" s="31" t="s">
        <v>480</v>
      </c>
      <c r="V1581" s="31" t="s">
        <v>2651</v>
      </c>
      <c r="W1581" s="34"/>
    </row>
    <row r="1582">
      <c r="A1582" s="30">
        <v>1.577</v>
      </c>
      <c r="B1582" s="31" t="s">
        <v>6574</v>
      </c>
      <c r="C1582" s="31" t="s">
        <v>6575</v>
      </c>
      <c r="D1582" s="31" t="s">
        <v>472</v>
      </c>
      <c r="E1582" s="31" t="s">
        <v>2651</v>
      </c>
      <c r="F1582" s="32">
        <v>44368.0</v>
      </c>
      <c r="G1582" s="32">
        <v>44429.0</v>
      </c>
      <c r="H1582" s="31" t="s">
        <v>453</v>
      </c>
      <c r="I1582" s="31" t="s">
        <v>566</v>
      </c>
      <c r="J1582" s="31" t="s">
        <v>567</v>
      </c>
      <c r="K1582" s="31" t="s">
        <v>2652</v>
      </c>
      <c r="L1582" s="31" t="s">
        <v>476</v>
      </c>
      <c r="M1582" s="31" t="s">
        <v>6576</v>
      </c>
      <c r="N1582" s="31" t="s">
        <v>467</v>
      </c>
      <c r="O1582" s="34"/>
      <c r="P1582" s="34"/>
      <c r="Q1582" s="31" t="s">
        <v>307</v>
      </c>
      <c r="R1582" s="35">
        <v>34998.0</v>
      </c>
      <c r="S1582" s="31" t="s">
        <v>1622</v>
      </c>
      <c r="T1582" s="31" t="s">
        <v>3198</v>
      </c>
      <c r="U1582" s="31" t="s">
        <v>480</v>
      </c>
      <c r="V1582" s="31" t="s">
        <v>2651</v>
      </c>
      <c r="W1582" s="34"/>
    </row>
    <row r="1583">
      <c r="A1583" s="30">
        <v>1.578</v>
      </c>
      <c r="B1583" s="31" t="s">
        <v>6577</v>
      </c>
      <c r="C1583" s="31" t="s">
        <v>6578</v>
      </c>
      <c r="D1583" s="31" t="s">
        <v>553</v>
      </c>
      <c r="E1583" s="31" t="s">
        <v>606</v>
      </c>
      <c r="F1583" s="32">
        <v>44284.0</v>
      </c>
      <c r="G1583" s="32">
        <v>44345.0</v>
      </c>
      <c r="H1583" s="31" t="s">
        <v>453</v>
      </c>
      <c r="I1583" s="31" t="s">
        <v>607</v>
      </c>
      <c r="J1583" s="31" t="s">
        <v>608</v>
      </c>
      <c r="K1583" s="31" t="s">
        <v>609</v>
      </c>
      <c r="L1583" s="31" t="s">
        <v>558</v>
      </c>
      <c r="M1583" s="31" t="s">
        <v>6579</v>
      </c>
      <c r="N1583" s="31" t="s">
        <v>267</v>
      </c>
      <c r="O1583" s="34"/>
      <c r="P1583" s="34"/>
      <c r="Q1583" s="31" t="s">
        <v>307</v>
      </c>
      <c r="R1583" s="35">
        <v>35348.0</v>
      </c>
      <c r="S1583" s="31" t="s">
        <v>838</v>
      </c>
      <c r="T1583" s="31" t="s">
        <v>686</v>
      </c>
      <c r="U1583" s="31" t="s">
        <v>480</v>
      </c>
      <c r="V1583" s="31" t="s">
        <v>606</v>
      </c>
      <c r="W1583" s="34"/>
    </row>
    <row r="1584">
      <c r="A1584" s="30">
        <v>1.579</v>
      </c>
      <c r="B1584" s="31" t="s">
        <v>6580</v>
      </c>
      <c r="C1584" s="31" t="s">
        <v>6581</v>
      </c>
      <c r="D1584" s="31" t="s">
        <v>4909</v>
      </c>
      <c r="E1584" s="31" t="s">
        <v>2874</v>
      </c>
      <c r="F1584" s="35">
        <v>44194.0</v>
      </c>
      <c r="G1584" s="32">
        <v>44256.0</v>
      </c>
      <c r="H1584" s="31" t="s">
        <v>453</v>
      </c>
      <c r="I1584" s="31" t="s">
        <v>52</v>
      </c>
      <c r="J1584" s="31" t="s">
        <v>2874</v>
      </c>
      <c r="K1584" s="31" t="s">
        <v>2875</v>
      </c>
      <c r="L1584" s="31" t="s">
        <v>4910</v>
      </c>
      <c r="M1584" s="31" t="s">
        <v>6582</v>
      </c>
      <c r="N1584" s="31" t="s">
        <v>467</v>
      </c>
      <c r="O1584" s="34"/>
      <c r="P1584" s="34"/>
      <c r="Q1584" s="31" t="s">
        <v>307</v>
      </c>
      <c r="R1584" s="35">
        <v>36143.0</v>
      </c>
      <c r="S1584" s="31" t="s">
        <v>502</v>
      </c>
      <c r="T1584" s="31" t="s">
        <v>1370</v>
      </c>
      <c r="U1584" s="31" t="s">
        <v>643</v>
      </c>
      <c r="V1584" s="34"/>
      <c r="W1584" s="34"/>
    </row>
    <row r="1585">
      <c r="A1585" s="30">
        <v>1.58</v>
      </c>
      <c r="B1585" s="31" t="s">
        <v>6583</v>
      </c>
      <c r="C1585" s="31" t="s">
        <v>6584</v>
      </c>
      <c r="D1585" s="31" t="s">
        <v>4968</v>
      </c>
      <c r="E1585" s="31" t="s">
        <v>40</v>
      </c>
      <c r="F1585" s="32">
        <v>40092.0</v>
      </c>
      <c r="G1585" s="32">
        <v>40092.0</v>
      </c>
      <c r="H1585" s="31" t="s">
        <v>453</v>
      </c>
      <c r="I1585" s="31" t="s">
        <v>40</v>
      </c>
      <c r="J1585" s="34"/>
      <c r="K1585" s="31" t="s">
        <v>4969</v>
      </c>
      <c r="L1585" s="31" t="s">
        <v>4970</v>
      </c>
      <c r="M1585" s="31" t="s">
        <v>6585</v>
      </c>
      <c r="N1585" s="31" t="s">
        <v>467</v>
      </c>
      <c r="O1585" s="34"/>
      <c r="P1585" s="34"/>
      <c r="Q1585" s="31" t="s">
        <v>307</v>
      </c>
      <c r="R1585" s="35">
        <v>32061.0</v>
      </c>
      <c r="S1585" s="31" t="s">
        <v>560</v>
      </c>
      <c r="T1585" s="31" t="s">
        <v>1532</v>
      </c>
      <c r="U1585" s="31" t="s">
        <v>310</v>
      </c>
      <c r="V1585" s="34"/>
      <c r="W1585" s="34"/>
    </row>
    <row r="1586">
      <c r="A1586" s="30">
        <v>1.581</v>
      </c>
      <c r="B1586" s="31" t="s">
        <v>6586</v>
      </c>
      <c r="C1586" s="31" t="s">
        <v>6587</v>
      </c>
      <c r="D1586" s="31" t="s">
        <v>463</v>
      </c>
      <c r="E1586" s="31" t="s">
        <v>2874</v>
      </c>
      <c r="F1586" s="35">
        <v>43383.0</v>
      </c>
      <c r="G1586" s="35">
        <v>43383.0</v>
      </c>
      <c r="H1586" s="31" t="s">
        <v>453</v>
      </c>
      <c r="I1586" s="31" t="s">
        <v>52</v>
      </c>
      <c r="J1586" s="31" t="s">
        <v>2874</v>
      </c>
      <c r="K1586" s="31" t="s">
        <v>2875</v>
      </c>
      <c r="L1586" s="31" t="s">
        <v>465</v>
      </c>
      <c r="M1586" s="31" t="s">
        <v>6588</v>
      </c>
      <c r="N1586" s="31" t="s">
        <v>467</v>
      </c>
      <c r="O1586" s="31">
        <v>2.0</v>
      </c>
      <c r="P1586" s="34"/>
      <c r="Q1586" s="31" t="s">
        <v>307</v>
      </c>
      <c r="R1586" s="32">
        <v>35274.0</v>
      </c>
      <c r="S1586" s="31" t="s">
        <v>560</v>
      </c>
      <c r="T1586" s="31" t="s">
        <v>503</v>
      </c>
      <c r="U1586" s="31" t="s">
        <v>643</v>
      </c>
      <c r="V1586" s="34"/>
      <c r="W1586" s="34"/>
    </row>
    <row r="1587">
      <c r="A1587" s="30">
        <v>1.582</v>
      </c>
      <c r="B1587" s="31" t="s">
        <v>6589</v>
      </c>
      <c r="C1587" s="31" t="s">
        <v>6590</v>
      </c>
      <c r="D1587" s="31" t="s">
        <v>4968</v>
      </c>
      <c r="E1587" s="31" t="s">
        <v>40</v>
      </c>
      <c r="F1587" s="32">
        <v>43577.0</v>
      </c>
      <c r="G1587" s="32">
        <v>43699.0</v>
      </c>
      <c r="H1587" s="31" t="s">
        <v>453</v>
      </c>
      <c r="I1587" s="31" t="s">
        <v>40</v>
      </c>
      <c r="J1587" s="34"/>
      <c r="K1587" s="31" t="s">
        <v>4969</v>
      </c>
      <c r="L1587" s="31" t="s">
        <v>4970</v>
      </c>
      <c r="M1587" s="31" t="s">
        <v>6591</v>
      </c>
      <c r="N1587" s="31" t="s">
        <v>467</v>
      </c>
      <c r="O1587" s="34"/>
      <c r="P1587" s="34"/>
      <c r="Q1587" s="31" t="s">
        <v>307</v>
      </c>
      <c r="R1587" s="32">
        <v>35649.0</v>
      </c>
      <c r="S1587" s="31" t="s">
        <v>591</v>
      </c>
      <c r="T1587" s="31" t="s">
        <v>6592</v>
      </c>
      <c r="U1587" s="31" t="s">
        <v>310</v>
      </c>
      <c r="V1587" s="34"/>
      <c r="W1587" s="34"/>
    </row>
    <row r="1588">
      <c r="A1588" s="30">
        <v>1.583</v>
      </c>
      <c r="B1588" s="31" t="s">
        <v>6593</v>
      </c>
      <c r="C1588" s="31" t="s">
        <v>6594</v>
      </c>
      <c r="D1588" s="31" t="s">
        <v>5193</v>
      </c>
      <c r="E1588" s="31" t="s">
        <v>6545</v>
      </c>
      <c r="F1588" s="32">
        <v>40651.0</v>
      </c>
      <c r="G1588" s="32">
        <v>40712.0</v>
      </c>
      <c r="H1588" s="31" t="s">
        <v>453</v>
      </c>
      <c r="I1588" s="31" t="s">
        <v>566</v>
      </c>
      <c r="J1588" s="31" t="s">
        <v>6545</v>
      </c>
      <c r="K1588" s="31" t="s">
        <v>6546</v>
      </c>
      <c r="L1588" s="31" t="s">
        <v>5196</v>
      </c>
      <c r="M1588" s="31" t="s">
        <v>6595</v>
      </c>
      <c r="N1588" s="31" t="s">
        <v>467</v>
      </c>
      <c r="O1588" s="34"/>
      <c r="P1588" s="34"/>
      <c r="Q1588" s="31" t="s">
        <v>307</v>
      </c>
      <c r="R1588" s="32">
        <v>32200.0</v>
      </c>
      <c r="S1588" s="31" t="s">
        <v>560</v>
      </c>
      <c r="T1588" s="31" t="s">
        <v>503</v>
      </c>
      <c r="U1588" s="31" t="s">
        <v>480</v>
      </c>
      <c r="V1588" s="34"/>
      <c r="W1588" s="34"/>
    </row>
    <row r="1589">
      <c r="A1589" s="30">
        <v>1.584</v>
      </c>
      <c r="B1589" s="31" t="s">
        <v>6596</v>
      </c>
      <c r="C1589" s="31" t="s">
        <v>6597</v>
      </c>
      <c r="D1589" s="31" t="s">
        <v>615</v>
      </c>
      <c r="E1589" s="31" t="s">
        <v>565</v>
      </c>
      <c r="F1589" s="32">
        <v>44320.0</v>
      </c>
      <c r="G1589" s="32">
        <v>44381.0</v>
      </c>
      <c r="H1589" s="31" t="s">
        <v>453</v>
      </c>
      <c r="I1589" s="31" t="s">
        <v>566</v>
      </c>
      <c r="J1589" s="31" t="s">
        <v>567</v>
      </c>
      <c r="K1589" s="31" t="s">
        <v>568</v>
      </c>
      <c r="L1589" s="31" t="s">
        <v>618</v>
      </c>
      <c r="M1589" s="31" t="s">
        <v>6598</v>
      </c>
      <c r="N1589" s="31" t="s">
        <v>467</v>
      </c>
      <c r="O1589" s="34"/>
      <c r="P1589" s="34"/>
      <c r="Q1589" s="31" t="s">
        <v>307</v>
      </c>
      <c r="R1589" s="32">
        <v>32956.0</v>
      </c>
      <c r="S1589" s="31" t="s">
        <v>4976</v>
      </c>
      <c r="T1589" s="31" t="s">
        <v>6599</v>
      </c>
      <c r="U1589" s="31" t="s">
        <v>480</v>
      </c>
      <c r="V1589" s="31" t="s">
        <v>565</v>
      </c>
      <c r="W1589" s="34"/>
    </row>
    <row r="1590">
      <c r="A1590" s="30">
        <v>1.585</v>
      </c>
      <c r="B1590" s="31" t="s">
        <v>6600</v>
      </c>
      <c r="C1590" s="31" t="s">
        <v>6601</v>
      </c>
      <c r="D1590" s="31" t="s">
        <v>4747</v>
      </c>
      <c r="E1590" s="31" t="s">
        <v>4895</v>
      </c>
      <c r="F1590" s="32">
        <v>43277.0</v>
      </c>
      <c r="G1590" s="32">
        <v>43277.0</v>
      </c>
      <c r="H1590" s="31" t="s">
        <v>453</v>
      </c>
      <c r="I1590" s="31" t="s">
        <v>454</v>
      </c>
      <c r="J1590" s="31" t="s">
        <v>4823</v>
      </c>
      <c r="K1590" s="31" t="s">
        <v>4896</v>
      </c>
      <c r="L1590" s="31" t="s">
        <v>4748</v>
      </c>
      <c r="M1590" s="31" t="s">
        <v>6602</v>
      </c>
      <c r="N1590" s="31" t="s">
        <v>467</v>
      </c>
      <c r="O1590" s="34"/>
      <c r="P1590" s="34"/>
      <c r="Q1590" s="31" t="s">
        <v>307</v>
      </c>
      <c r="R1590" s="35">
        <v>35058.0</v>
      </c>
      <c r="S1590" s="31" t="s">
        <v>560</v>
      </c>
      <c r="T1590" s="31" t="s">
        <v>503</v>
      </c>
      <c r="U1590" s="31" t="s">
        <v>460</v>
      </c>
      <c r="V1590" s="31" t="s">
        <v>4895</v>
      </c>
      <c r="W1590" s="34"/>
    </row>
    <row r="1591">
      <c r="A1591" s="30">
        <v>1.586</v>
      </c>
      <c r="B1591" s="31" t="s">
        <v>6603</v>
      </c>
      <c r="C1591" s="31" t="s">
        <v>6604</v>
      </c>
      <c r="D1591" s="31" t="s">
        <v>553</v>
      </c>
      <c r="E1591" s="31" t="s">
        <v>4991</v>
      </c>
      <c r="F1591" s="35">
        <v>44159.0</v>
      </c>
      <c r="G1591" s="32">
        <v>44220.0</v>
      </c>
      <c r="H1591" s="31" t="s">
        <v>453</v>
      </c>
      <c r="I1591" s="31" t="s">
        <v>454</v>
      </c>
      <c r="J1591" s="31" t="s">
        <v>3217</v>
      </c>
      <c r="K1591" s="31" t="s">
        <v>4992</v>
      </c>
      <c r="L1591" s="31" t="s">
        <v>558</v>
      </c>
      <c r="M1591" s="31" t="s">
        <v>6605</v>
      </c>
      <c r="N1591" s="31" t="s">
        <v>267</v>
      </c>
      <c r="O1591" s="34"/>
      <c r="P1591" s="34"/>
      <c r="Q1591" s="31" t="s">
        <v>581</v>
      </c>
      <c r="R1591" s="32">
        <v>36380.0</v>
      </c>
      <c r="S1591" s="31" t="s">
        <v>6606</v>
      </c>
      <c r="T1591" s="31" t="s">
        <v>6607</v>
      </c>
      <c r="U1591" s="31" t="s">
        <v>480</v>
      </c>
      <c r="V1591" s="31" t="s">
        <v>4991</v>
      </c>
      <c r="W1591" s="34"/>
    </row>
    <row r="1592">
      <c r="A1592" s="30">
        <v>1.587</v>
      </c>
      <c r="B1592" s="31" t="s">
        <v>6608</v>
      </c>
      <c r="C1592" s="31" t="s">
        <v>6609</v>
      </c>
      <c r="D1592" s="31" t="s">
        <v>472</v>
      </c>
      <c r="E1592" s="31" t="s">
        <v>5499</v>
      </c>
      <c r="F1592" s="32">
        <v>43353.0</v>
      </c>
      <c r="G1592" s="32">
        <v>43353.0</v>
      </c>
      <c r="H1592" s="31" t="s">
        <v>453</v>
      </c>
      <c r="I1592" s="31" t="s">
        <v>607</v>
      </c>
      <c r="J1592" s="31" t="s">
        <v>3035</v>
      </c>
      <c r="K1592" s="31" t="s">
        <v>5500</v>
      </c>
      <c r="L1592" s="31" t="s">
        <v>476</v>
      </c>
      <c r="M1592" s="31" t="s">
        <v>6610</v>
      </c>
      <c r="N1592" s="31" t="s">
        <v>467</v>
      </c>
      <c r="O1592" s="34"/>
      <c r="P1592" s="34"/>
      <c r="Q1592" s="31" t="s">
        <v>307</v>
      </c>
      <c r="R1592" s="32">
        <v>35188.0</v>
      </c>
      <c r="S1592" s="31" t="s">
        <v>560</v>
      </c>
      <c r="T1592" s="31" t="s">
        <v>3295</v>
      </c>
      <c r="U1592" s="31" t="s">
        <v>480</v>
      </c>
      <c r="V1592" s="31" t="s">
        <v>5499</v>
      </c>
      <c r="W1592" s="34"/>
    </row>
    <row r="1593">
      <c r="A1593" s="30">
        <v>1.588</v>
      </c>
      <c r="B1593" s="31" t="s">
        <v>6611</v>
      </c>
      <c r="C1593" s="31" t="s">
        <v>6612</v>
      </c>
      <c r="D1593" s="31" t="s">
        <v>6613</v>
      </c>
      <c r="E1593" s="31" t="s">
        <v>4917</v>
      </c>
      <c r="F1593" s="32">
        <v>41051.0</v>
      </c>
      <c r="G1593" s="32">
        <v>41106.0</v>
      </c>
      <c r="H1593" s="31" t="s">
        <v>453</v>
      </c>
      <c r="I1593" s="31" t="s">
        <v>454</v>
      </c>
      <c r="J1593" s="31" t="s">
        <v>4917</v>
      </c>
      <c r="K1593" s="31" t="s">
        <v>4918</v>
      </c>
      <c r="L1593" s="31" t="s">
        <v>6614</v>
      </c>
      <c r="M1593" s="31" t="s">
        <v>6615</v>
      </c>
      <c r="N1593" s="31" t="s">
        <v>467</v>
      </c>
      <c r="O1593" s="34"/>
      <c r="P1593" s="34"/>
      <c r="Q1593" s="31" t="s">
        <v>307</v>
      </c>
      <c r="R1593" s="32">
        <v>31253.0</v>
      </c>
      <c r="S1593" s="31" t="s">
        <v>560</v>
      </c>
      <c r="T1593" s="31" t="s">
        <v>3052</v>
      </c>
      <c r="U1593" s="31" t="s">
        <v>480</v>
      </c>
      <c r="V1593" s="34"/>
      <c r="W1593" s="34"/>
    </row>
    <row r="1594">
      <c r="A1594" s="30">
        <v>1.589</v>
      </c>
      <c r="B1594" s="31" t="s">
        <v>6616</v>
      </c>
      <c r="C1594" s="31" t="s">
        <v>6617</v>
      </c>
      <c r="D1594" s="31" t="s">
        <v>463</v>
      </c>
      <c r="E1594" s="31" t="s">
        <v>4379</v>
      </c>
      <c r="F1594" s="32">
        <v>42474.0</v>
      </c>
      <c r="G1594" s="32">
        <v>42535.0</v>
      </c>
      <c r="H1594" s="31" t="s">
        <v>453</v>
      </c>
      <c r="I1594" s="31" t="s">
        <v>607</v>
      </c>
      <c r="J1594" s="31" t="s">
        <v>4380</v>
      </c>
      <c r="K1594" s="31" t="s">
        <v>4381</v>
      </c>
      <c r="L1594" s="31" t="s">
        <v>465</v>
      </c>
      <c r="M1594" s="31" t="s">
        <v>6618</v>
      </c>
      <c r="N1594" s="31" t="s">
        <v>467</v>
      </c>
      <c r="O1594" s="31">
        <v>2.0</v>
      </c>
      <c r="P1594" s="34"/>
      <c r="Q1594" s="31" t="s">
        <v>307</v>
      </c>
      <c r="R1594" s="35">
        <v>34629.0</v>
      </c>
      <c r="S1594" s="31" t="s">
        <v>472</v>
      </c>
      <c r="T1594" s="31" t="s">
        <v>5366</v>
      </c>
      <c r="U1594" s="31" t="s">
        <v>643</v>
      </c>
      <c r="V1594" s="31" t="s">
        <v>4379</v>
      </c>
      <c r="W1594" s="34"/>
    </row>
    <row r="1595">
      <c r="A1595" s="30">
        <v>1.59</v>
      </c>
      <c r="B1595" s="31" t="s">
        <v>6619</v>
      </c>
      <c r="C1595" s="31" t="s">
        <v>6620</v>
      </c>
      <c r="D1595" s="31" t="s">
        <v>452</v>
      </c>
      <c r="E1595" s="31" t="s">
        <v>4329</v>
      </c>
      <c r="F1595" s="32">
        <v>44371.0</v>
      </c>
      <c r="G1595" s="32">
        <v>44432.0</v>
      </c>
      <c r="H1595" s="31" t="s">
        <v>453</v>
      </c>
      <c r="I1595" s="31" t="s">
        <v>4330</v>
      </c>
      <c r="J1595" s="31" t="s">
        <v>4331</v>
      </c>
      <c r="K1595" s="31" t="s">
        <v>4332</v>
      </c>
      <c r="L1595" s="31" t="s">
        <v>456</v>
      </c>
      <c r="M1595" s="31" t="s">
        <v>6621</v>
      </c>
      <c r="N1595" s="31" t="s">
        <v>267</v>
      </c>
      <c r="O1595" s="34"/>
      <c r="P1595" s="34"/>
      <c r="Q1595" s="31" t="s">
        <v>307</v>
      </c>
      <c r="R1595" s="32">
        <v>34067.0</v>
      </c>
      <c r="S1595" s="31" t="s">
        <v>531</v>
      </c>
      <c r="T1595" s="31" t="s">
        <v>686</v>
      </c>
      <c r="U1595" s="31" t="s">
        <v>460</v>
      </c>
      <c r="V1595" s="31" t="s">
        <v>4329</v>
      </c>
      <c r="W1595" s="34"/>
    </row>
    <row r="1596">
      <c r="A1596" s="30">
        <v>1.591</v>
      </c>
      <c r="B1596" s="31" t="s">
        <v>6622</v>
      </c>
      <c r="C1596" s="31" t="s">
        <v>6623</v>
      </c>
      <c r="D1596" s="31" t="s">
        <v>6613</v>
      </c>
      <c r="E1596" s="31" t="s">
        <v>5207</v>
      </c>
      <c r="F1596" s="32">
        <v>39952.0</v>
      </c>
      <c r="G1596" s="32">
        <v>40013.0</v>
      </c>
      <c r="H1596" s="31" t="s">
        <v>453</v>
      </c>
      <c r="I1596" s="31" t="s">
        <v>607</v>
      </c>
      <c r="J1596" s="31" t="s">
        <v>5207</v>
      </c>
      <c r="K1596" s="31" t="s">
        <v>5208</v>
      </c>
      <c r="L1596" s="31" t="s">
        <v>6614</v>
      </c>
      <c r="M1596" s="31" t="s">
        <v>6624</v>
      </c>
      <c r="N1596" s="31" t="s">
        <v>467</v>
      </c>
      <c r="O1596" s="34"/>
      <c r="P1596" s="34"/>
      <c r="Q1596" s="31" t="s">
        <v>307</v>
      </c>
      <c r="R1596" s="32">
        <v>30846.0</v>
      </c>
      <c r="S1596" s="31" t="s">
        <v>1268</v>
      </c>
      <c r="T1596" s="31" t="s">
        <v>503</v>
      </c>
      <c r="U1596" s="31" t="s">
        <v>480</v>
      </c>
      <c r="V1596" s="34"/>
      <c r="W1596" s="34"/>
    </row>
    <row r="1597">
      <c r="A1597" s="30">
        <v>1.592</v>
      </c>
      <c r="B1597" s="31" t="s">
        <v>6625</v>
      </c>
      <c r="C1597" s="31" t="s">
        <v>6626</v>
      </c>
      <c r="D1597" s="31" t="s">
        <v>553</v>
      </c>
      <c r="E1597" s="31" t="s">
        <v>3563</v>
      </c>
      <c r="F1597" s="32">
        <v>43871.0</v>
      </c>
      <c r="G1597" s="32">
        <v>43931.0</v>
      </c>
      <c r="H1597" s="31" t="s">
        <v>453</v>
      </c>
      <c r="I1597" s="31" t="s">
        <v>2835</v>
      </c>
      <c r="J1597" s="31" t="s">
        <v>3564</v>
      </c>
      <c r="K1597" s="31" t="s">
        <v>3565</v>
      </c>
      <c r="L1597" s="31" t="s">
        <v>558</v>
      </c>
      <c r="M1597" s="31" t="s">
        <v>6627</v>
      </c>
      <c r="N1597" s="31" t="s">
        <v>267</v>
      </c>
      <c r="O1597" s="34"/>
      <c r="P1597" s="34"/>
      <c r="Q1597" s="31" t="s">
        <v>307</v>
      </c>
      <c r="R1597" s="32">
        <v>35636.0</v>
      </c>
      <c r="S1597" s="31" t="s">
        <v>468</v>
      </c>
      <c r="T1597" s="31" t="s">
        <v>718</v>
      </c>
      <c r="U1597" s="31" t="s">
        <v>480</v>
      </c>
      <c r="V1597" s="31" t="s">
        <v>3563</v>
      </c>
      <c r="W1597" s="34"/>
    </row>
    <row r="1598">
      <c r="A1598" s="30">
        <v>1.593</v>
      </c>
      <c r="B1598" s="31" t="s">
        <v>6628</v>
      </c>
      <c r="C1598" s="31" t="s">
        <v>6629</v>
      </c>
      <c r="D1598" s="31" t="s">
        <v>452</v>
      </c>
      <c r="E1598" s="31" t="s">
        <v>3216</v>
      </c>
      <c r="F1598" s="32">
        <v>44378.0</v>
      </c>
      <c r="G1598" s="32">
        <v>44440.0</v>
      </c>
      <c r="H1598" s="31" t="s">
        <v>453</v>
      </c>
      <c r="I1598" s="31" t="s">
        <v>454</v>
      </c>
      <c r="J1598" s="31" t="s">
        <v>3217</v>
      </c>
      <c r="K1598" s="31" t="s">
        <v>3218</v>
      </c>
      <c r="L1598" s="31" t="s">
        <v>456</v>
      </c>
      <c r="M1598" s="31" t="s">
        <v>6630</v>
      </c>
      <c r="N1598" s="31" t="s">
        <v>267</v>
      </c>
      <c r="O1598" s="34"/>
      <c r="P1598" s="34"/>
      <c r="Q1598" s="31" t="s">
        <v>307</v>
      </c>
      <c r="R1598" s="32">
        <v>36175.0</v>
      </c>
      <c r="S1598" s="31" t="s">
        <v>700</v>
      </c>
      <c r="T1598" s="31" t="s">
        <v>503</v>
      </c>
      <c r="U1598" s="31" t="s">
        <v>480</v>
      </c>
      <c r="V1598" s="31" t="s">
        <v>3216</v>
      </c>
      <c r="W1598" s="34"/>
    </row>
    <row r="1599">
      <c r="A1599" s="30">
        <v>1.594</v>
      </c>
      <c r="B1599" s="31" t="s">
        <v>6631</v>
      </c>
      <c r="C1599" s="31" t="s">
        <v>6632</v>
      </c>
      <c r="D1599" s="31" t="s">
        <v>472</v>
      </c>
      <c r="E1599" s="31" t="s">
        <v>3419</v>
      </c>
      <c r="F1599" s="32">
        <v>45139.0</v>
      </c>
      <c r="G1599" s="32">
        <v>45199.0</v>
      </c>
      <c r="H1599" s="31" t="s">
        <v>453</v>
      </c>
      <c r="I1599" s="31" t="s">
        <v>454</v>
      </c>
      <c r="J1599" s="31" t="s">
        <v>3188</v>
      </c>
      <c r="K1599" s="31" t="s">
        <v>3420</v>
      </c>
      <c r="L1599" s="31" t="s">
        <v>476</v>
      </c>
      <c r="M1599" s="31" t="s">
        <v>6633</v>
      </c>
      <c r="N1599" s="31" t="s">
        <v>467</v>
      </c>
      <c r="O1599" s="34"/>
      <c r="P1599" s="34"/>
      <c r="Q1599" s="31" t="s">
        <v>307</v>
      </c>
      <c r="R1599" s="32">
        <v>37058.0</v>
      </c>
      <c r="S1599" s="31" t="s">
        <v>560</v>
      </c>
      <c r="T1599" s="31" t="s">
        <v>1511</v>
      </c>
      <c r="U1599" s="31" t="s">
        <v>460</v>
      </c>
      <c r="V1599" s="31" t="s">
        <v>3419</v>
      </c>
      <c r="W1599" s="34"/>
    </row>
    <row r="1600">
      <c r="A1600" s="30">
        <v>1.595</v>
      </c>
      <c r="B1600" s="31" t="s">
        <v>6634</v>
      </c>
      <c r="C1600" s="31" t="s">
        <v>6635</v>
      </c>
      <c r="D1600" s="31" t="s">
        <v>472</v>
      </c>
      <c r="E1600" s="31" t="s">
        <v>4414</v>
      </c>
      <c r="F1600" s="32">
        <v>45103.0</v>
      </c>
      <c r="G1600" s="32">
        <v>45163.0</v>
      </c>
      <c r="H1600" s="31" t="s">
        <v>453</v>
      </c>
      <c r="I1600" s="31" t="s">
        <v>607</v>
      </c>
      <c r="J1600" s="31" t="s">
        <v>4415</v>
      </c>
      <c r="K1600" s="31" t="s">
        <v>4416</v>
      </c>
      <c r="L1600" s="31" t="s">
        <v>476</v>
      </c>
      <c r="M1600" s="31" t="s">
        <v>6636</v>
      </c>
      <c r="N1600" s="31" t="s">
        <v>467</v>
      </c>
      <c r="O1600" s="34"/>
      <c r="P1600" s="34"/>
      <c r="Q1600" s="31" t="s">
        <v>307</v>
      </c>
      <c r="R1600" s="32">
        <v>37137.0</v>
      </c>
      <c r="S1600" s="31" t="s">
        <v>560</v>
      </c>
      <c r="T1600" s="31" t="s">
        <v>4440</v>
      </c>
      <c r="U1600" s="31" t="s">
        <v>643</v>
      </c>
      <c r="V1600" s="31" t="s">
        <v>4414</v>
      </c>
      <c r="W1600" s="34"/>
    </row>
    <row r="1601">
      <c r="A1601" s="30">
        <v>1.596</v>
      </c>
      <c r="B1601" s="31" t="s">
        <v>6637</v>
      </c>
      <c r="C1601" s="31" t="s">
        <v>6638</v>
      </c>
      <c r="D1601" s="31" t="s">
        <v>3132</v>
      </c>
      <c r="E1601" s="31" t="s">
        <v>6639</v>
      </c>
      <c r="F1601" s="32">
        <v>45103.0</v>
      </c>
      <c r="G1601" s="32">
        <v>45163.0</v>
      </c>
      <c r="H1601" s="31" t="s">
        <v>453</v>
      </c>
      <c r="I1601" s="31" t="s">
        <v>454</v>
      </c>
      <c r="J1601" s="31" t="s">
        <v>4597</v>
      </c>
      <c r="K1601" s="31" t="s">
        <v>6640</v>
      </c>
      <c r="L1601" s="31" t="s">
        <v>3380</v>
      </c>
      <c r="M1601" s="31" t="s">
        <v>6641</v>
      </c>
      <c r="N1601" s="31" t="s">
        <v>467</v>
      </c>
      <c r="O1601" s="31">
        <v>2.0</v>
      </c>
      <c r="P1601" s="34"/>
      <c r="Q1601" s="31" t="s">
        <v>307</v>
      </c>
      <c r="R1601" s="32">
        <v>32727.0</v>
      </c>
      <c r="S1601" s="31" t="s">
        <v>5994</v>
      </c>
      <c r="T1601" s="31" t="s">
        <v>1522</v>
      </c>
      <c r="U1601" s="31" t="s">
        <v>460</v>
      </c>
      <c r="V1601" s="31" t="s">
        <v>6639</v>
      </c>
      <c r="W1601" s="34"/>
    </row>
    <row r="1602">
      <c r="A1602" s="30">
        <v>1.597</v>
      </c>
      <c r="B1602" s="31" t="s">
        <v>6642</v>
      </c>
      <c r="C1602" s="31" t="s">
        <v>6643</v>
      </c>
      <c r="D1602" s="31" t="s">
        <v>472</v>
      </c>
      <c r="E1602" s="31" t="s">
        <v>4895</v>
      </c>
      <c r="F1602" s="32">
        <v>45098.0</v>
      </c>
      <c r="G1602" s="32">
        <v>45158.0</v>
      </c>
      <c r="H1602" s="31" t="s">
        <v>453</v>
      </c>
      <c r="I1602" s="31" t="s">
        <v>454</v>
      </c>
      <c r="J1602" s="31" t="s">
        <v>4823</v>
      </c>
      <c r="K1602" s="31" t="s">
        <v>4896</v>
      </c>
      <c r="L1602" s="31" t="s">
        <v>476</v>
      </c>
      <c r="M1602" s="31" t="s">
        <v>6644</v>
      </c>
      <c r="N1602" s="31" t="s">
        <v>467</v>
      </c>
      <c r="O1602" s="34"/>
      <c r="P1602" s="34"/>
      <c r="Q1602" s="31" t="s">
        <v>307</v>
      </c>
      <c r="R1602" s="32">
        <v>36967.0</v>
      </c>
      <c r="S1602" s="31" t="s">
        <v>1622</v>
      </c>
      <c r="T1602" s="31" t="s">
        <v>3422</v>
      </c>
      <c r="U1602" s="31" t="s">
        <v>460</v>
      </c>
      <c r="V1602" s="31" t="s">
        <v>4895</v>
      </c>
      <c r="W1602" s="34"/>
    </row>
    <row r="1603">
      <c r="A1603" s="30">
        <v>1.598</v>
      </c>
      <c r="B1603" s="31" t="s">
        <v>6645</v>
      </c>
      <c r="C1603" s="31" t="s">
        <v>6646</v>
      </c>
      <c r="D1603" s="31" t="s">
        <v>472</v>
      </c>
      <c r="E1603" s="31" t="s">
        <v>4420</v>
      </c>
      <c r="F1603" s="32">
        <v>45098.0</v>
      </c>
      <c r="G1603" s="32">
        <v>45158.0</v>
      </c>
      <c r="H1603" s="31" t="s">
        <v>453</v>
      </c>
      <c r="I1603" s="31" t="s">
        <v>454</v>
      </c>
      <c r="J1603" s="31" t="s">
        <v>3378</v>
      </c>
      <c r="K1603" s="31" t="s">
        <v>4421</v>
      </c>
      <c r="L1603" s="31" t="s">
        <v>476</v>
      </c>
      <c r="M1603" s="31" t="s">
        <v>6647</v>
      </c>
      <c r="N1603" s="31" t="s">
        <v>267</v>
      </c>
      <c r="O1603" s="34"/>
      <c r="P1603" s="34"/>
      <c r="Q1603" s="31" t="s">
        <v>307</v>
      </c>
      <c r="R1603" s="32">
        <v>36932.0</v>
      </c>
      <c r="S1603" s="31" t="s">
        <v>2700</v>
      </c>
      <c r="T1603" s="31" t="s">
        <v>2672</v>
      </c>
      <c r="U1603" s="31" t="s">
        <v>460</v>
      </c>
      <c r="V1603" s="31" t="s">
        <v>4420</v>
      </c>
      <c r="W1603" s="34"/>
    </row>
    <row r="1604">
      <c r="A1604" s="30">
        <v>1.599</v>
      </c>
      <c r="B1604" s="31" t="s">
        <v>6648</v>
      </c>
      <c r="C1604" s="31" t="s">
        <v>5354</v>
      </c>
      <c r="D1604" s="31" t="s">
        <v>472</v>
      </c>
      <c r="E1604" s="31" t="s">
        <v>5106</v>
      </c>
      <c r="F1604" s="32">
        <v>45064.0</v>
      </c>
      <c r="G1604" s="32">
        <v>45125.0</v>
      </c>
      <c r="H1604" s="31" t="s">
        <v>453</v>
      </c>
      <c r="I1604" s="31" t="s">
        <v>454</v>
      </c>
      <c r="J1604" s="31" t="s">
        <v>5107</v>
      </c>
      <c r="K1604" s="31" t="s">
        <v>5108</v>
      </c>
      <c r="L1604" s="31" t="s">
        <v>476</v>
      </c>
      <c r="M1604" s="31" t="s">
        <v>6649</v>
      </c>
      <c r="N1604" s="31" t="s">
        <v>467</v>
      </c>
      <c r="O1604" s="34"/>
      <c r="P1604" s="34"/>
      <c r="Q1604" s="31" t="s">
        <v>307</v>
      </c>
      <c r="R1604" s="32">
        <v>36958.0</v>
      </c>
      <c r="S1604" s="31" t="s">
        <v>560</v>
      </c>
      <c r="T1604" s="31" t="s">
        <v>5794</v>
      </c>
      <c r="U1604" s="31" t="s">
        <v>480</v>
      </c>
      <c r="V1604" s="31" t="s">
        <v>5106</v>
      </c>
      <c r="W1604" s="34"/>
    </row>
    <row r="1605">
      <c r="A1605" s="30">
        <v>1.6</v>
      </c>
      <c r="B1605" s="31" t="s">
        <v>6650</v>
      </c>
      <c r="C1605" s="31" t="s">
        <v>6651</v>
      </c>
      <c r="D1605" s="31" t="s">
        <v>553</v>
      </c>
      <c r="E1605" s="31" t="s">
        <v>2668</v>
      </c>
      <c r="F1605" s="32">
        <v>45061.0</v>
      </c>
      <c r="G1605" s="32">
        <v>45122.0</v>
      </c>
      <c r="H1605" s="31" t="s">
        <v>453</v>
      </c>
      <c r="I1605" s="31" t="s">
        <v>454</v>
      </c>
      <c r="J1605" s="31" t="s">
        <v>2669</v>
      </c>
      <c r="K1605" s="31" t="s">
        <v>2670</v>
      </c>
      <c r="L1605" s="31" t="s">
        <v>558</v>
      </c>
      <c r="M1605" s="31" t="s">
        <v>6652</v>
      </c>
      <c r="N1605" s="31" t="s">
        <v>267</v>
      </c>
      <c r="O1605" s="34"/>
      <c r="P1605" s="34"/>
      <c r="Q1605" s="31" t="s">
        <v>307</v>
      </c>
      <c r="R1605" s="32">
        <v>36390.0</v>
      </c>
      <c r="S1605" s="31" t="s">
        <v>468</v>
      </c>
      <c r="T1605" s="31" t="s">
        <v>6653</v>
      </c>
      <c r="U1605" s="31" t="s">
        <v>480</v>
      </c>
      <c r="V1605" s="31" t="s">
        <v>2668</v>
      </c>
      <c r="W1605" s="34"/>
    </row>
    <row r="1606">
      <c r="A1606" s="30">
        <v>1.601</v>
      </c>
      <c r="B1606" s="31" t="s">
        <v>6654</v>
      </c>
      <c r="C1606" s="31" t="s">
        <v>6655</v>
      </c>
      <c r="D1606" s="31" t="s">
        <v>472</v>
      </c>
      <c r="E1606" s="31" t="s">
        <v>4379</v>
      </c>
      <c r="F1606" s="32">
        <v>45040.0</v>
      </c>
      <c r="G1606" s="32">
        <v>45101.0</v>
      </c>
      <c r="H1606" s="31" t="s">
        <v>453</v>
      </c>
      <c r="I1606" s="31" t="s">
        <v>607</v>
      </c>
      <c r="J1606" s="31" t="s">
        <v>4380</v>
      </c>
      <c r="K1606" s="31" t="s">
        <v>4381</v>
      </c>
      <c r="L1606" s="31" t="s">
        <v>476</v>
      </c>
      <c r="M1606" s="31" t="s">
        <v>6656</v>
      </c>
      <c r="N1606" s="31" t="s">
        <v>267</v>
      </c>
      <c r="O1606" s="34"/>
      <c r="P1606" s="34"/>
      <c r="Q1606" s="31" t="s">
        <v>581</v>
      </c>
      <c r="R1606" s="32">
        <v>36137.0</v>
      </c>
      <c r="S1606" s="31" t="s">
        <v>2700</v>
      </c>
      <c r="T1606" s="31" t="s">
        <v>5655</v>
      </c>
      <c r="U1606" s="31" t="s">
        <v>643</v>
      </c>
      <c r="V1606" s="31" t="s">
        <v>4379</v>
      </c>
      <c r="W1606" s="34"/>
    </row>
    <row r="1607">
      <c r="A1607" s="30">
        <v>1.602</v>
      </c>
      <c r="B1607" s="31" t="s">
        <v>6657</v>
      </c>
      <c r="C1607" s="31" t="s">
        <v>6658</v>
      </c>
      <c r="D1607" s="31" t="s">
        <v>452</v>
      </c>
      <c r="E1607" s="31" t="s">
        <v>6639</v>
      </c>
      <c r="F1607" s="32">
        <v>45033.0</v>
      </c>
      <c r="G1607" s="32">
        <v>45094.0</v>
      </c>
      <c r="H1607" s="31" t="s">
        <v>453</v>
      </c>
      <c r="I1607" s="31" t="s">
        <v>454</v>
      </c>
      <c r="J1607" s="31" t="s">
        <v>4597</v>
      </c>
      <c r="K1607" s="31" t="s">
        <v>6640</v>
      </c>
      <c r="L1607" s="31" t="s">
        <v>456</v>
      </c>
      <c r="M1607" s="31" t="s">
        <v>6659</v>
      </c>
      <c r="N1607" s="31" t="s">
        <v>267</v>
      </c>
      <c r="O1607" s="34"/>
      <c r="P1607" s="34"/>
      <c r="Q1607" s="31" t="s">
        <v>307</v>
      </c>
      <c r="R1607" s="32">
        <v>34205.0</v>
      </c>
      <c r="S1607" s="31" t="s">
        <v>560</v>
      </c>
      <c r="T1607" s="31" t="s">
        <v>5181</v>
      </c>
      <c r="U1607" s="31" t="s">
        <v>460</v>
      </c>
      <c r="V1607" s="31" t="s">
        <v>6639</v>
      </c>
      <c r="W1607" s="34"/>
    </row>
    <row r="1608">
      <c r="A1608" s="30">
        <v>1.603</v>
      </c>
      <c r="B1608" s="31" t="s">
        <v>6660</v>
      </c>
      <c r="C1608" s="31" t="s">
        <v>6661</v>
      </c>
      <c r="D1608" s="31" t="s">
        <v>472</v>
      </c>
      <c r="E1608" s="31" t="s">
        <v>4895</v>
      </c>
      <c r="F1608" s="32">
        <v>45028.0</v>
      </c>
      <c r="G1608" s="32">
        <v>45089.0</v>
      </c>
      <c r="H1608" s="31" t="s">
        <v>453</v>
      </c>
      <c r="I1608" s="31" t="s">
        <v>454</v>
      </c>
      <c r="J1608" s="31" t="s">
        <v>4823</v>
      </c>
      <c r="K1608" s="31" t="s">
        <v>4896</v>
      </c>
      <c r="L1608" s="31" t="s">
        <v>476</v>
      </c>
      <c r="M1608" s="31" t="s">
        <v>6662</v>
      </c>
      <c r="N1608" s="31" t="s">
        <v>467</v>
      </c>
      <c r="O1608" s="34"/>
      <c r="P1608" s="34"/>
      <c r="Q1608" s="31" t="s">
        <v>307</v>
      </c>
      <c r="R1608" s="32">
        <v>36930.0</v>
      </c>
      <c r="S1608" s="31" t="s">
        <v>560</v>
      </c>
      <c r="T1608" s="31" t="s">
        <v>705</v>
      </c>
      <c r="U1608" s="31" t="s">
        <v>460</v>
      </c>
      <c r="V1608" s="31" t="s">
        <v>4895</v>
      </c>
      <c r="W1608" s="34"/>
    </row>
    <row r="1609">
      <c r="A1609" s="30">
        <v>1.604</v>
      </c>
      <c r="B1609" s="31" t="s">
        <v>6663</v>
      </c>
      <c r="C1609" s="31" t="s">
        <v>6664</v>
      </c>
      <c r="D1609" s="31" t="s">
        <v>4394</v>
      </c>
      <c r="E1609" s="31" t="s">
        <v>39</v>
      </c>
      <c r="F1609" s="32">
        <v>45000.0</v>
      </c>
      <c r="G1609" s="32">
        <v>45061.0</v>
      </c>
      <c r="H1609" s="31" t="s">
        <v>453</v>
      </c>
      <c r="I1609" s="31" t="s">
        <v>39</v>
      </c>
      <c r="J1609" s="34"/>
      <c r="K1609" s="31" t="s">
        <v>4881</v>
      </c>
      <c r="L1609" s="31" t="s">
        <v>4396</v>
      </c>
      <c r="M1609" s="31" t="s">
        <v>6665</v>
      </c>
      <c r="N1609" s="31" t="s">
        <v>267</v>
      </c>
      <c r="O1609" s="34"/>
      <c r="P1609" s="34"/>
      <c r="Q1609" s="31" t="s">
        <v>307</v>
      </c>
      <c r="R1609" s="32">
        <v>37164.0</v>
      </c>
      <c r="S1609" s="31" t="s">
        <v>515</v>
      </c>
      <c r="T1609" s="31" t="s">
        <v>1059</v>
      </c>
      <c r="U1609" s="31" t="s">
        <v>480</v>
      </c>
      <c r="V1609" s="34"/>
      <c r="W1609" s="34"/>
    </row>
    <row r="1610">
      <c r="A1610" s="30">
        <v>1.605</v>
      </c>
      <c r="B1610" s="31" t="s">
        <v>6666</v>
      </c>
      <c r="C1610" s="31" t="s">
        <v>6667</v>
      </c>
      <c r="D1610" s="31" t="s">
        <v>472</v>
      </c>
      <c r="E1610" s="31" t="s">
        <v>3419</v>
      </c>
      <c r="F1610" s="32">
        <v>44986.0</v>
      </c>
      <c r="G1610" s="32">
        <v>45047.0</v>
      </c>
      <c r="H1610" s="31" t="s">
        <v>453</v>
      </c>
      <c r="I1610" s="31" t="s">
        <v>454</v>
      </c>
      <c r="J1610" s="31" t="s">
        <v>3188</v>
      </c>
      <c r="K1610" s="31" t="s">
        <v>3420</v>
      </c>
      <c r="L1610" s="31" t="s">
        <v>476</v>
      </c>
      <c r="M1610" s="31" t="s">
        <v>6668</v>
      </c>
      <c r="N1610" s="31" t="s">
        <v>467</v>
      </c>
      <c r="O1610" s="34"/>
      <c r="P1610" s="34"/>
      <c r="Q1610" s="31" t="s">
        <v>307</v>
      </c>
      <c r="R1610" s="32">
        <v>34235.0</v>
      </c>
      <c r="S1610" s="31" t="s">
        <v>560</v>
      </c>
      <c r="T1610" s="31" t="s">
        <v>5931</v>
      </c>
      <c r="U1610" s="31" t="s">
        <v>460</v>
      </c>
      <c r="V1610" s="31" t="s">
        <v>3419</v>
      </c>
      <c r="W1610" s="34"/>
    </row>
    <row r="1611">
      <c r="A1611" s="30">
        <v>1.606</v>
      </c>
      <c r="B1611" s="31" t="s">
        <v>6669</v>
      </c>
      <c r="C1611" s="31" t="s">
        <v>6670</v>
      </c>
      <c r="D1611" s="31" t="s">
        <v>3222</v>
      </c>
      <c r="E1611" s="31" t="s">
        <v>3388</v>
      </c>
      <c r="F1611" s="32">
        <v>44958.0</v>
      </c>
      <c r="G1611" s="32">
        <v>45017.0</v>
      </c>
      <c r="H1611" s="31" t="s">
        <v>453</v>
      </c>
      <c r="I1611" s="31" t="s">
        <v>607</v>
      </c>
      <c r="J1611" s="31" t="s">
        <v>3247</v>
      </c>
      <c r="K1611" s="31" t="s">
        <v>3389</v>
      </c>
      <c r="L1611" s="31" t="s">
        <v>3223</v>
      </c>
      <c r="M1611" s="31" t="s">
        <v>6671</v>
      </c>
      <c r="N1611" s="31" t="s">
        <v>267</v>
      </c>
      <c r="O1611" s="34"/>
      <c r="P1611" s="34"/>
      <c r="Q1611" s="31" t="s">
        <v>307</v>
      </c>
      <c r="R1611" s="32">
        <v>36784.0</v>
      </c>
      <c r="S1611" s="31" t="s">
        <v>737</v>
      </c>
      <c r="T1611" s="31" t="s">
        <v>686</v>
      </c>
      <c r="U1611" s="31" t="s">
        <v>480</v>
      </c>
      <c r="V1611" s="31" t="s">
        <v>3388</v>
      </c>
      <c r="W1611" s="34"/>
    </row>
    <row r="1612">
      <c r="A1612" s="30">
        <v>1.607</v>
      </c>
      <c r="B1612" s="31" t="s">
        <v>6672</v>
      </c>
      <c r="C1612" s="31" t="s">
        <v>6673</v>
      </c>
      <c r="D1612" s="31" t="s">
        <v>472</v>
      </c>
      <c r="E1612" s="31" t="s">
        <v>4596</v>
      </c>
      <c r="F1612" s="35">
        <v>44917.0</v>
      </c>
      <c r="G1612" s="32">
        <v>44978.0</v>
      </c>
      <c r="H1612" s="31" t="s">
        <v>453</v>
      </c>
      <c r="I1612" s="31" t="s">
        <v>454</v>
      </c>
      <c r="J1612" s="31" t="s">
        <v>4597</v>
      </c>
      <c r="K1612" s="31" t="s">
        <v>4598</v>
      </c>
      <c r="L1612" s="31" t="s">
        <v>476</v>
      </c>
      <c r="M1612" s="31" t="s">
        <v>6674</v>
      </c>
      <c r="N1612" s="31" t="s">
        <v>467</v>
      </c>
      <c r="O1612" s="34"/>
      <c r="P1612" s="34"/>
      <c r="Q1612" s="31" t="s">
        <v>307</v>
      </c>
      <c r="R1612" s="32">
        <v>37124.0</v>
      </c>
      <c r="S1612" s="31" t="s">
        <v>490</v>
      </c>
      <c r="T1612" s="31" t="s">
        <v>496</v>
      </c>
      <c r="U1612" s="31" t="s">
        <v>460</v>
      </c>
      <c r="V1612" s="31" t="s">
        <v>4596</v>
      </c>
      <c r="W1612" s="34"/>
    </row>
    <row r="1613">
      <c r="A1613" s="30">
        <v>1.608</v>
      </c>
      <c r="B1613" s="31" t="s">
        <v>6675</v>
      </c>
      <c r="C1613" s="31" t="s">
        <v>6676</v>
      </c>
      <c r="D1613" s="31" t="s">
        <v>345</v>
      </c>
      <c r="E1613" s="31" t="s">
        <v>38</v>
      </c>
      <c r="F1613" s="35">
        <v>44879.0</v>
      </c>
      <c r="G1613" s="32">
        <v>44940.0</v>
      </c>
      <c r="H1613" s="31" t="s">
        <v>453</v>
      </c>
      <c r="I1613" s="31" t="s">
        <v>2717</v>
      </c>
      <c r="J1613" s="31" t="s">
        <v>38</v>
      </c>
      <c r="K1613" s="31" t="s">
        <v>2718</v>
      </c>
      <c r="L1613" s="31" t="s">
        <v>348</v>
      </c>
      <c r="M1613" s="31" t="s">
        <v>6677</v>
      </c>
      <c r="N1613" s="31" t="s">
        <v>267</v>
      </c>
      <c r="O1613" s="34"/>
      <c r="P1613" s="34"/>
      <c r="Q1613" s="31" t="s">
        <v>307</v>
      </c>
      <c r="R1613" s="32">
        <v>36974.0</v>
      </c>
      <c r="S1613" s="31" t="s">
        <v>1398</v>
      </c>
      <c r="T1613" s="31" t="s">
        <v>5617</v>
      </c>
      <c r="U1613" s="31" t="s">
        <v>643</v>
      </c>
      <c r="V1613" s="34"/>
      <c r="W1613" s="34"/>
    </row>
    <row r="1614">
      <c r="A1614" s="30">
        <v>1.609</v>
      </c>
      <c r="B1614" s="31" t="s">
        <v>6678</v>
      </c>
      <c r="C1614" s="31" t="s">
        <v>6679</v>
      </c>
      <c r="D1614" s="31" t="s">
        <v>472</v>
      </c>
      <c r="E1614" s="31" t="s">
        <v>4596</v>
      </c>
      <c r="F1614" s="32">
        <v>44866.0</v>
      </c>
      <c r="G1614" s="32">
        <v>44927.0</v>
      </c>
      <c r="H1614" s="31" t="s">
        <v>453</v>
      </c>
      <c r="I1614" s="31" t="s">
        <v>454</v>
      </c>
      <c r="J1614" s="31" t="s">
        <v>4597</v>
      </c>
      <c r="K1614" s="31" t="s">
        <v>4598</v>
      </c>
      <c r="L1614" s="31" t="s">
        <v>476</v>
      </c>
      <c r="M1614" s="31" t="s">
        <v>6680</v>
      </c>
      <c r="N1614" s="31" t="s">
        <v>467</v>
      </c>
      <c r="O1614" s="34"/>
      <c r="P1614" s="34"/>
      <c r="Q1614" s="31" t="s">
        <v>307</v>
      </c>
      <c r="R1614" s="35">
        <v>37243.0</v>
      </c>
      <c r="S1614" s="31" t="s">
        <v>472</v>
      </c>
      <c r="T1614" s="31" t="s">
        <v>5047</v>
      </c>
      <c r="U1614" s="31" t="s">
        <v>460</v>
      </c>
      <c r="V1614" s="31" t="s">
        <v>4596</v>
      </c>
      <c r="W1614" s="34"/>
    </row>
    <row r="1615">
      <c r="A1615" s="30">
        <v>1.61</v>
      </c>
      <c r="B1615" s="31" t="s">
        <v>6681</v>
      </c>
      <c r="C1615" s="31" t="s">
        <v>6682</v>
      </c>
      <c r="D1615" s="31" t="s">
        <v>472</v>
      </c>
      <c r="E1615" s="31" t="s">
        <v>6382</v>
      </c>
      <c r="F1615" s="35">
        <v>44858.0</v>
      </c>
      <c r="G1615" s="35">
        <v>44919.0</v>
      </c>
      <c r="H1615" s="31" t="s">
        <v>453</v>
      </c>
      <c r="I1615" s="31" t="s">
        <v>566</v>
      </c>
      <c r="J1615" s="31" t="s">
        <v>6383</v>
      </c>
      <c r="K1615" s="31" t="s">
        <v>6384</v>
      </c>
      <c r="L1615" s="31" t="s">
        <v>476</v>
      </c>
      <c r="M1615" s="31" t="s">
        <v>6683</v>
      </c>
      <c r="N1615" s="31" t="s">
        <v>267</v>
      </c>
      <c r="O1615" s="34"/>
      <c r="P1615" s="34"/>
      <c r="Q1615" s="31" t="s">
        <v>307</v>
      </c>
      <c r="R1615" s="32">
        <v>36767.0</v>
      </c>
      <c r="S1615" s="31" t="s">
        <v>6684</v>
      </c>
      <c r="T1615" s="31" t="s">
        <v>596</v>
      </c>
      <c r="U1615" s="31" t="s">
        <v>480</v>
      </c>
      <c r="V1615" s="31" t="s">
        <v>6382</v>
      </c>
      <c r="W1615" s="34"/>
    </row>
    <row r="1616">
      <c r="A1616" s="30">
        <v>1.611</v>
      </c>
      <c r="B1616" s="31" t="s">
        <v>6685</v>
      </c>
      <c r="C1616" s="31" t="s">
        <v>6686</v>
      </c>
      <c r="D1616" s="31" t="s">
        <v>472</v>
      </c>
      <c r="E1616" s="31" t="s">
        <v>4596</v>
      </c>
      <c r="F1616" s="35">
        <v>44853.0</v>
      </c>
      <c r="G1616" s="35">
        <v>44914.0</v>
      </c>
      <c r="H1616" s="31" t="s">
        <v>453</v>
      </c>
      <c r="I1616" s="31" t="s">
        <v>454</v>
      </c>
      <c r="J1616" s="31" t="s">
        <v>4597</v>
      </c>
      <c r="K1616" s="31" t="s">
        <v>4598</v>
      </c>
      <c r="L1616" s="31" t="s">
        <v>476</v>
      </c>
      <c r="M1616" s="31" t="s">
        <v>6687</v>
      </c>
      <c r="N1616" s="31" t="s">
        <v>267</v>
      </c>
      <c r="O1616" s="34"/>
      <c r="P1616" s="34"/>
      <c r="Q1616" s="31" t="s">
        <v>307</v>
      </c>
      <c r="R1616" s="32">
        <v>36683.0</v>
      </c>
      <c r="S1616" s="31" t="s">
        <v>560</v>
      </c>
      <c r="T1616" s="31" t="s">
        <v>6688</v>
      </c>
      <c r="U1616" s="31" t="s">
        <v>460</v>
      </c>
      <c r="V1616" s="31" t="s">
        <v>4596</v>
      </c>
      <c r="W1616" s="34"/>
    </row>
    <row r="1617">
      <c r="A1617" s="30">
        <v>1.612</v>
      </c>
      <c r="B1617" s="31" t="s">
        <v>6689</v>
      </c>
      <c r="C1617" s="31" t="s">
        <v>6690</v>
      </c>
      <c r="D1617" s="31" t="s">
        <v>452</v>
      </c>
      <c r="E1617" s="31" t="s">
        <v>5620</v>
      </c>
      <c r="F1617" s="32">
        <v>44838.0</v>
      </c>
      <c r="G1617" s="32">
        <v>44899.0</v>
      </c>
      <c r="H1617" s="31" t="s">
        <v>453</v>
      </c>
      <c r="I1617" s="31" t="s">
        <v>607</v>
      </c>
      <c r="J1617" s="31" t="s">
        <v>4380</v>
      </c>
      <c r="K1617" s="31" t="s">
        <v>5621</v>
      </c>
      <c r="L1617" s="31" t="s">
        <v>456</v>
      </c>
      <c r="M1617" s="31" t="s">
        <v>6691</v>
      </c>
      <c r="N1617" s="31" t="s">
        <v>267</v>
      </c>
      <c r="O1617" s="34"/>
      <c r="P1617" s="34"/>
      <c r="Q1617" s="31" t="s">
        <v>307</v>
      </c>
      <c r="R1617" s="32">
        <v>37005.0</v>
      </c>
      <c r="S1617" s="31" t="s">
        <v>6692</v>
      </c>
      <c r="T1617" s="31" t="s">
        <v>6693</v>
      </c>
      <c r="U1617" s="31" t="s">
        <v>643</v>
      </c>
      <c r="V1617" s="31" t="s">
        <v>5620</v>
      </c>
      <c r="W1617" s="34"/>
    </row>
    <row r="1618">
      <c r="A1618" s="30">
        <v>1.613</v>
      </c>
      <c r="B1618" s="31" t="s">
        <v>6694</v>
      </c>
      <c r="C1618" s="31" t="s">
        <v>6695</v>
      </c>
      <c r="D1618" s="31" t="s">
        <v>6696</v>
      </c>
      <c r="E1618" s="31" t="s">
        <v>637</v>
      </c>
      <c r="F1618" s="32">
        <v>44839.0</v>
      </c>
      <c r="G1618" s="32">
        <v>44900.0</v>
      </c>
      <c r="H1618" s="31" t="s">
        <v>453</v>
      </c>
      <c r="I1618" s="31" t="s">
        <v>52</v>
      </c>
      <c r="J1618" s="31" t="s">
        <v>638</v>
      </c>
      <c r="K1618" s="31" t="s">
        <v>639</v>
      </c>
      <c r="L1618" s="31" t="s">
        <v>6697</v>
      </c>
      <c r="M1618" s="31" t="s">
        <v>6698</v>
      </c>
      <c r="N1618" s="31" t="s">
        <v>267</v>
      </c>
      <c r="O1618" s="34"/>
      <c r="P1618" s="34"/>
      <c r="Q1618" s="31" t="s">
        <v>307</v>
      </c>
      <c r="R1618" s="32">
        <v>36549.0</v>
      </c>
      <c r="S1618" s="31" t="s">
        <v>490</v>
      </c>
      <c r="T1618" s="31" t="s">
        <v>2672</v>
      </c>
      <c r="U1618" s="31" t="s">
        <v>643</v>
      </c>
      <c r="V1618" s="31" t="s">
        <v>637</v>
      </c>
      <c r="W1618" s="34"/>
    </row>
    <row r="1619">
      <c r="A1619" s="30">
        <v>1.614</v>
      </c>
      <c r="B1619" s="31" t="s">
        <v>6699</v>
      </c>
      <c r="C1619" s="31" t="s">
        <v>6700</v>
      </c>
      <c r="D1619" s="31" t="s">
        <v>472</v>
      </c>
      <c r="E1619" s="31" t="s">
        <v>3419</v>
      </c>
      <c r="F1619" s="32">
        <v>44837.0</v>
      </c>
      <c r="G1619" s="32">
        <v>44898.0</v>
      </c>
      <c r="H1619" s="31" t="s">
        <v>453</v>
      </c>
      <c r="I1619" s="31" t="s">
        <v>454</v>
      </c>
      <c r="J1619" s="31" t="s">
        <v>3188</v>
      </c>
      <c r="K1619" s="31" t="s">
        <v>3420</v>
      </c>
      <c r="L1619" s="31" t="s">
        <v>476</v>
      </c>
      <c r="M1619" s="31" t="s">
        <v>6701</v>
      </c>
      <c r="N1619" s="31" t="s">
        <v>467</v>
      </c>
      <c r="O1619" s="34"/>
      <c r="P1619" s="34"/>
      <c r="Q1619" s="31" t="s">
        <v>307</v>
      </c>
      <c r="R1619" s="32">
        <v>35702.0</v>
      </c>
      <c r="S1619" s="31" t="s">
        <v>1622</v>
      </c>
      <c r="T1619" s="31" t="s">
        <v>828</v>
      </c>
      <c r="U1619" s="31" t="s">
        <v>460</v>
      </c>
      <c r="V1619" s="31" t="s">
        <v>3419</v>
      </c>
      <c r="W1619" s="34"/>
    </row>
    <row r="1620">
      <c r="A1620" s="30">
        <v>1.615</v>
      </c>
      <c r="B1620" s="31" t="s">
        <v>6702</v>
      </c>
      <c r="C1620" s="31" t="s">
        <v>6703</v>
      </c>
      <c r="D1620" s="31" t="s">
        <v>472</v>
      </c>
      <c r="E1620" s="31" t="s">
        <v>4596</v>
      </c>
      <c r="F1620" s="32">
        <v>44837.0</v>
      </c>
      <c r="G1620" s="32">
        <v>44898.0</v>
      </c>
      <c r="H1620" s="31" t="s">
        <v>453</v>
      </c>
      <c r="I1620" s="31" t="s">
        <v>454</v>
      </c>
      <c r="J1620" s="31" t="s">
        <v>4597</v>
      </c>
      <c r="K1620" s="31" t="s">
        <v>4598</v>
      </c>
      <c r="L1620" s="31" t="s">
        <v>476</v>
      </c>
      <c r="M1620" s="31" t="s">
        <v>6704</v>
      </c>
      <c r="N1620" s="31" t="s">
        <v>467</v>
      </c>
      <c r="O1620" s="34"/>
      <c r="P1620" s="34"/>
      <c r="Q1620" s="31" t="s">
        <v>307</v>
      </c>
      <c r="R1620" s="32">
        <v>37057.0</v>
      </c>
      <c r="S1620" s="31" t="s">
        <v>3205</v>
      </c>
      <c r="T1620" s="31" t="s">
        <v>2685</v>
      </c>
      <c r="U1620" s="31" t="s">
        <v>460</v>
      </c>
      <c r="V1620" s="31" t="s">
        <v>4596</v>
      </c>
      <c r="W1620" s="34"/>
    </row>
    <row r="1621">
      <c r="A1621" s="30">
        <v>1.616</v>
      </c>
      <c r="B1621" s="31" t="s">
        <v>6705</v>
      </c>
      <c r="C1621" s="31" t="s">
        <v>1692</v>
      </c>
      <c r="D1621" s="31" t="s">
        <v>472</v>
      </c>
      <c r="E1621" s="31" t="s">
        <v>4596</v>
      </c>
      <c r="F1621" s="32">
        <v>44837.0</v>
      </c>
      <c r="G1621" s="32">
        <v>44898.0</v>
      </c>
      <c r="H1621" s="31" t="s">
        <v>453</v>
      </c>
      <c r="I1621" s="31" t="s">
        <v>454</v>
      </c>
      <c r="J1621" s="31" t="s">
        <v>4597</v>
      </c>
      <c r="K1621" s="31" t="s">
        <v>4598</v>
      </c>
      <c r="L1621" s="31" t="s">
        <v>476</v>
      </c>
      <c r="M1621" s="31" t="s">
        <v>6706</v>
      </c>
      <c r="N1621" s="31" t="s">
        <v>467</v>
      </c>
      <c r="O1621" s="34"/>
      <c r="P1621" s="34"/>
      <c r="Q1621" s="31" t="s">
        <v>307</v>
      </c>
      <c r="R1621" s="32">
        <v>37148.0</v>
      </c>
      <c r="S1621" s="31" t="s">
        <v>490</v>
      </c>
      <c r="T1621" s="31" t="s">
        <v>5725</v>
      </c>
      <c r="U1621" s="31" t="s">
        <v>460</v>
      </c>
      <c r="V1621" s="31" t="s">
        <v>4596</v>
      </c>
      <c r="W1621" s="34"/>
    </row>
    <row r="1622">
      <c r="A1622" s="30">
        <v>1.617</v>
      </c>
      <c r="B1622" s="31" t="s">
        <v>6707</v>
      </c>
      <c r="C1622" s="31" t="s">
        <v>6708</v>
      </c>
      <c r="D1622" s="31" t="s">
        <v>472</v>
      </c>
      <c r="E1622" s="31" t="s">
        <v>5506</v>
      </c>
      <c r="F1622" s="32">
        <v>44832.0</v>
      </c>
      <c r="G1622" s="35">
        <v>44893.0</v>
      </c>
      <c r="H1622" s="31" t="s">
        <v>453</v>
      </c>
      <c r="I1622" s="31" t="s">
        <v>454</v>
      </c>
      <c r="J1622" s="31" t="s">
        <v>4777</v>
      </c>
      <c r="K1622" s="31" t="s">
        <v>5507</v>
      </c>
      <c r="L1622" s="31" t="s">
        <v>476</v>
      </c>
      <c r="M1622" s="31" t="s">
        <v>6709</v>
      </c>
      <c r="N1622" s="31" t="s">
        <v>467</v>
      </c>
      <c r="O1622" s="34"/>
      <c r="P1622" s="34"/>
      <c r="Q1622" s="31" t="s">
        <v>307</v>
      </c>
      <c r="R1622" s="35">
        <v>35360.0</v>
      </c>
      <c r="S1622" s="31" t="s">
        <v>468</v>
      </c>
      <c r="T1622" s="31" t="s">
        <v>6710</v>
      </c>
      <c r="U1622" s="31" t="s">
        <v>480</v>
      </c>
      <c r="V1622" s="31" t="s">
        <v>5506</v>
      </c>
      <c r="W1622" s="34"/>
    </row>
    <row r="1623">
      <c r="A1623" s="30">
        <v>1.618</v>
      </c>
      <c r="B1623" s="31" t="s">
        <v>6711</v>
      </c>
      <c r="C1623" s="31" t="s">
        <v>6712</v>
      </c>
      <c r="D1623" s="31" t="s">
        <v>472</v>
      </c>
      <c r="E1623" s="31" t="s">
        <v>2696</v>
      </c>
      <c r="F1623" s="32">
        <v>44827.0</v>
      </c>
      <c r="G1623" s="35">
        <v>44888.0</v>
      </c>
      <c r="H1623" s="31" t="s">
        <v>453</v>
      </c>
      <c r="I1623" s="31" t="s">
        <v>607</v>
      </c>
      <c r="J1623" s="31" t="s">
        <v>2697</v>
      </c>
      <c r="K1623" s="31" t="s">
        <v>2698</v>
      </c>
      <c r="L1623" s="31" t="s">
        <v>476</v>
      </c>
      <c r="M1623" s="31" t="s">
        <v>6713</v>
      </c>
      <c r="N1623" s="31" t="s">
        <v>267</v>
      </c>
      <c r="O1623" s="34"/>
      <c r="P1623" s="34"/>
      <c r="Q1623" s="31" t="s">
        <v>307</v>
      </c>
      <c r="R1623" s="32">
        <v>37060.0</v>
      </c>
      <c r="S1623" s="31" t="s">
        <v>560</v>
      </c>
      <c r="T1623" s="31" t="s">
        <v>3167</v>
      </c>
      <c r="U1623" s="31" t="s">
        <v>643</v>
      </c>
      <c r="V1623" s="31" t="s">
        <v>2696</v>
      </c>
      <c r="W1623" s="34"/>
    </row>
    <row r="1624">
      <c r="A1624" s="30">
        <v>1.619</v>
      </c>
      <c r="B1624" s="31" t="s">
        <v>6714</v>
      </c>
      <c r="C1624" s="31" t="s">
        <v>6715</v>
      </c>
      <c r="D1624" s="31" t="s">
        <v>472</v>
      </c>
      <c r="E1624" s="31" t="s">
        <v>5136</v>
      </c>
      <c r="F1624" s="32">
        <v>44825.0</v>
      </c>
      <c r="G1624" s="35">
        <v>44886.0</v>
      </c>
      <c r="H1624" s="31" t="s">
        <v>453</v>
      </c>
      <c r="I1624" s="31" t="s">
        <v>47</v>
      </c>
      <c r="J1624" s="31" t="s">
        <v>3397</v>
      </c>
      <c r="K1624" s="31" t="s">
        <v>5137</v>
      </c>
      <c r="L1624" s="31" t="s">
        <v>476</v>
      </c>
      <c r="M1624" s="31" t="s">
        <v>6716</v>
      </c>
      <c r="N1624" s="31" t="s">
        <v>467</v>
      </c>
      <c r="O1624" s="34"/>
      <c r="P1624" s="34"/>
      <c r="Q1624" s="31" t="s">
        <v>307</v>
      </c>
      <c r="R1624" s="32">
        <v>32678.0</v>
      </c>
      <c r="S1624" s="31" t="s">
        <v>6516</v>
      </c>
      <c r="T1624" s="31" t="s">
        <v>2672</v>
      </c>
      <c r="U1624" s="31" t="s">
        <v>480</v>
      </c>
      <c r="V1624" s="31" t="s">
        <v>5136</v>
      </c>
      <c r="W1624" s="34"/>
    </row>
    <row r="1625">
      <c r="A1625" s="30">
        <v>1.62</v>
      </c>
      <c r="B1625" s="31" t="s">
        <v>6717</v>
      </c>
      <c r="C1625" s="31" t="s">
        <v>6718</v>
      </c>
      <c r="D1625" s="31" t="s">
        <v>472</v>
      </c>
      <c r="E1625" s="31" t="s">
        <v>3055</v>
      </c>
      <c r="F1625" s="32">
        <v>44819.0</v>
      </c>
      <c r="G1625" s="35">
        <v>44880.0</v>
      </c>
      <c r="H1625" s="31" t="s">
        <v>453</v>
      </c>
      <c r="I1625" s="31" t="s">
        <v>555</v>
      </c>
      <c r="J1625" s="31" t="s">
        <v>556</v>
      </c>
      <c r="K1625" s="31" t="s">
        <v>3056</v>
      </c>
      <c r="L1625" s="31" t="s">
        <v>476</v>
      </c>
      <c r="M1625" s="31" t="s">
        <v>6719</v>
      </c>
      <c r="N1625" s="31" t="s">
        <v>467</v>
      </c>
      <c r="O1625" s="34"/>
      <c r="P1625" s="34"/>
      <c r="Q1625" s="31" t="s">
        <v>307</v>
      </c>
      <c r="R1625" s="32">
        <v>36660.0</v>
      </c>
      <c r="S1625" s="31" t="s">
        <v>4498</v>
      </c>
      <c r="T1625" s="31" t="s">
        <v>596</v>
      </c>
      <c r="U1625" s="31" t="s">
        <v>480</v>
      </c>
      <c r="V1625" s="31" t="s">
        <v>3055</v>
      </c>
      <c r="W1625" s="34"/>
    </row>
    <row r="1626">
      <c r="A1626" s="30">
        <v>1.621</v>
      </c>
      <c r="B1626" s="31" t="s">
        <v>6720</v>
      </c>
      <c r="C1626" s="31" t="s">
        <v>6721</v>
      </c>
      <c r="D1626" s="31" t="s">
        <v>472</v>
      </c>
      <c r="E1626" s="31" t="s">
        <v>3563</v>
      </c>
      <c r="F1626" s="32">
        <v>44809.0</v>
      </c>
      <c r="G1626" s="32">
        <v>44870.0</v>
      </c>
      <c r="H1626" s="31" t="s">
        <v>453</v>
      </c>
      <c r="I1626" s="31" t="s">
        <v>2835</v>
      </c>
      <c r="J1626" s="31" t="s">
        <v>3564</v>
      </c>
      <c r="K1626" s="31" t="s">
        <v>3565</v>
      </c>
      <c r="L1626" s="31" t="s">
        <v>476</v>
      </c>
      <c r="M1626" s="31" t="s">
        <v>6722</v>
      </c>
      <c r="N1626" s="31" t="s">
        <v>467</v>
      </c>
      <c r="O1626" s="34"/>
      <c r="P1626" s="34"/>
      <c r="Q1626" s="31" t="s">
        <v>307</v>
      </c>
      <c r="R1626" s="32">
        <v>37144.0</v>
      </c>
      <c r="S1626" s="31" t="s">
        <v>560</v>
      </c>
      <c r="T1626" s="31" t="s">
        <v>1127</v>
      </c>
      <c r="U1626" s="31" t="s">
        <v>480</v>
      </c>
      <c r="V1626" s="31" t="s">
        <v>3563</v>
      </c>
      <c r="W1626" s="34"/>
    </row>
    <row r="1627">
      <c r="A1627" s="30">
        <v>1.622</v>
      </c>
      <c r="B1627" s="31" t="s">
        <v>6723</v>
      </c>
      <c r="C1627" s="31" t="s">
        <v>6724</v>
      </c>
      <c r="D1627" s="31" t="s">
        <v>472</v>
      </c>
      <c r="E1627" s="31" t="s">
        <v>5747</v>
      </c>
      <c r="F1627" s="32">
        <v>44802.0</v>
      </c>
      <c r="G1627" s="35">
        <v>44863.0</v>
      </c>
      <c r="H1627" s="31" t="s">
        <v>453</v>
      </c>
      <c r="I1627" s="31" t="s">
        <v>454</v>
      </c>
      <c r="J1627" s="31" t="s">
        <v>3041</v>
      </c>
      <c r="K1627" s="31" t="s">
        <v>5748</v>
      </c>
      <c r="L1627" s="31" t="s">
        <v>476</v>
      </c>
      <c r="M1627" s="31" t="s">
        <v>6725</v>
      </c>
      <c r="N1627" s="31" t="s">
        <v>467</v>
      </c>
      <c r="O1627" s="34"/>
      <c r="P1627" s="34"/>
      <c r="Q1627" s="31" t="s">
        <v>307</v>
      </c>
      <c r="R1627" s="32">
        <v>37153.0</v>
      </c>
      <c r="S1627" s="31" t="s">
        <v>560</v>
      </c>
      <c r="T1627" s="31" t="s">
        <v>3167</v>
      </c>
      <c r="U1627" s="31" t="s">
        <v>480</v>
      </c>
      <c r="V1627" s="31" t="s">
        <v>5747</v>
      </c>
      <c r="W1627" s="34"/>
    </row>
    <row r="1628">
      <c r="A1628" s="30">
        <v>1.623</v>
      </c>
      <c r="B1628" s="31" t="s">
        <v>6726</v>
      </c>
      <c r="C1628" s="31" t="s">
        <v>6727</v>
      </c>
      <c r="D1628" s="31" t="s">
        <v>472</v>
      </c>
      <c r="E1628" s="31" t="s">
        <v>2834</v>
      </c>
      <c r="F1628" s="32">
        <v>44799.0</v>
      </c>
      <c r="G1628" s="35">
        <v>44860.0</v>
      </c>
      <c r="H1628" s="31" t="s">
        <v>453</v>
      </c>
      <c r="I1628" s="31" t="s">
        <v>2835</v>
      </c>
      <c r="J1628" s="31" t="s">
        <v>2836</v>
      </c>
      <c r="K1628" s="31" t="s">
        <v>2837</v>
      </c>
      <c r="L1628" s="31" t="s">
        <v>476</v>
      </c>
      <c r="M1628" s="31" t="s">
        <v>6728</v>
      </c>
      <c r="N1628" s="31" t="s">
        <v>467</v>
      </c>
      <c r="O1628" s="34"/>
      <c r="P1628" s="34"/>
      <c r="Q1628" s="31" t="s">
        <v>307</v>
      </c>
      <c r="R1628" s="32">
        <v>36428.0</v>
      </c>
      <c r="S1628" s="31" t="s">
        <v>3205</v>
      </c>
      <c r="T1628" s="31" t="s">
        <v>4435</v>
      </c>
      <c r="U1628" s="31" t="s">
        <v>480</v>
      </c>
      <c r="V1628" s="31" t="s">
        <v>2834</v>
      </c>
      <c r="W1628" s="34"/>
    </row>
    <row r="1629">
      <c r="A1629" s="30">
        <v>1.624</v>
      </c>
      <c r="B1629" s="31" t="s">
        <v>6729</v>
      </c>
      <c r="C1629" s="31" t="s">
        <v>6730</v>
      </c>
      <c r="D1629" s="31" t="s">
        <v>615</v>
      </c>
      <c r="E1629" s="31" t="s">
        <v>3425</v>
      </c>
      <c r="F1629" s="32">
        <v>44791.0</v>
      </c>
      <c r="G1629" s="35">
        <v>44852.0</v>
      </c>
      <c r="H1629" s="31" t="s">
        <v>453</v>
      </c>
      <c r="I1629" s="31" t="s">
        <v>607</v>
      </c>
      <c r="J1629" s="31" t="s">
        <v>608</v>
      </c>
      <c r="K1629" s="31" t="s">
        <v>3426</v>
      </c>
      <c r="L1629" s="31" t="s">
        <v>618</v>
      </c>
      <c r="M1629" s="31" t="s">
        <v>6731</v>
      </c>
      <c r="N1629" s="31" t="s">
        <v>267</v>
      </c>
      <c r="O1629" s="34"/>
      <c r="P1629" s="34"/>
      <c r="Q1629" s="31" t="s">
        <v>307</v>
      </c>
      <c r="R1629" s="32">
        <v>36665.0</v>
      </c>
      <c r="S1629" s="31" t="s">
        <v>2998</v>
      </c>
      <c r="T1629" s="31" t="s">
        <v>1156</v>
      </c>
      <c r="U1629" s="31" t="s">
        <v>480</v>
      </c>
      <c r="V1629" s="31" t="s">
        <v>3425</v>
      </c>
      <c r="W1629" s="34"/>
    </row>
    <row r="1630">
      <c r="A1630" s="30">
        <v>1.625</v>
      </c>
      <c r="B1630" s="31" t="s">
        <v>6732</v>
      </c>
      <c r="C1630" s="31" t="s">
        <v>6733</v>
      </c>
      <c r="D1630" s="31" t="s">
        <v>452</v>
      </c>
      <c r="E1630" s="31" t="s">
        <v>4446</v>
      </c>
      <c r="F1630" s="32">
        <v>44781.0</v>
      </c>
      <c r="G1630" s="32">
        <v>44842.0</v>
      </c>
      <c r="H1630" s="31" t="s">
        <v>453</v>
      </c>
      <c r="I1630" s="31" t="s">
        <v>607</v>
      </c>
      <c r="J1630" s="31" t="s">
        <v>2697</v>
      </c>
      <c r="K1630" s="31" t="s">
        <v>4447</v>
      </c>
      <c r="L1630" s="31" t="s">
        <v>456</v>
      </c>
      <c r="M1630" s="31" t="s">
        <v>6734</v>
      </c>
      <c r="N1630" s="31" t="s">
        <v>267</v>
      </c>
      <c r="O1630" s="34"/>
      <c r="P1630" s="34"/>
      <c r="Q1630" s="31" t="s">
        <v>307</v>
      </c>
      <c r="R1630" s="32">
        <v>36467.0</v>
      </c>
      <c r="S1630" s="31" t="s">
        <v>458</v>
      </c>
      <c r="T1630" s="31" t="s">
        <v>1059</v>
      </c>
      <c r="U1630" s="31" t="s">
        <v>643</v>
      </c>
      <c r="V1630" s="31" t="s">
        <v>4446</v>
      </c>
      <c r="W1630" s="34"/>
    </row>
    <row r="1631">
      <c r="A1631" s="30">
        <v>1.626</v>
      </c>
      <c r="B1631" s="31" t="s">
        <v>6735</v>
      </c>
      <c r="C1631" s="31" t="s">
        <v>6736</v>
      </c>
      <c r="D1631" s="31" t="s">
        <v>452</v>
      </c>
      <c r="E1631" s="31" t="s">
        <v>5173</v>
      </c>
      <c r="F1631" s="32">
        <v>44774.0</v>
      </c>
      <c r="G1631" s="32">
        <v>44835.0</v>
      </c>
      <c r="H1631" s="31" t="s">
        <v>453</v>
      </c>
      <c r="I1631" s="31" t="s">
        <v>454</v>
      </c>
      <c r="J1631" s="31" t="s">
        <v>2676</v>
      </c>
      <c r="K1631" s="31" t="s">
        <v>5174</v>
      </c>
      <c r="L1631" s="31" t="s">
        <v>456</v>
      </c>
      <c r="M1631" s="31" t="s">
        <v>6737</v>
      </c>
      <c r="N1631" s="31" t="s">
        <v>267</v>
      </c>
      <c r="O1631" s="34"/>
      <c r="P1631" s="34"/>
      <c r="Q1631" s="31" t="s">
        <v>307</v>
      </c>
      <c r="R1631" s="32">
        <v>35843.0</v>
      </c>
      <c r="S1631" s="31" t="s">
        <v>6738</v>
      </c>
      <c r="T1631" s="31" t="s">
        <v>1059</v>
      </c>
      <c r="U1631" s="31" t="s">
        <v>480</v>
      </c>
      <c r="V1631" s="31" t="s">
        <v>5173</v>
      </c>
      <c r="W1631" s="34"/>
    </row>
    <row r="1632">
      <c r="A1632" s="30">
        <v>1.627</v>
      </c>
      <c r="B1632" s="31" t="s">
        <v>6739</v>
      </c>
      <c r="C1632" s="31" t="s">
        <v>6740</v>
      </c>
      <c r="D1632" s="31" t="s">
        <v>472</v>
      </c>
      <c r="E1632" s="31" t="s">
        <v>6382</v>
      </c>
      <c r="F1632" s="32">
        <v>44774.0</v>
      </c>
      <c r="G1632" s="32">
        <v>44835.0</v>
      </c>
      <c r="H1632" s="31" t="s">
        <v>453</v>
      </c>
      <c r="I1632" s="31" t="s">
        <v>566</v>
      </c>
      <c r="J1632" s="31" t="s">
        <v>6383</v>
      </c>
      <c r="K1632" s="31" t="s">
        <v>6384</v>
      </c>
      <c r="L1632" s="31" t="s">
        <v>476</v>
      </c>
      <c r="M1632" s="31" t="s">
        <v>6741</v>
      </c>
      <c r="N1632" s="31" t="s">
        <v>467</v>
      </c>
      <c r="O1632" s="34"/>
      <c r="P1632" s="34"/>
      <c r="Q1632" s="31" t="s">
        <v>307</v>
      </c>
      <c r="R1632" s="32">
        <v>34135.0</v>
      </c>
      <c r="S1632" s="31" t="s">
        <v>6742</v>
      </c>
      <c r="T1632" s="31" t="s">
        <v>6743</v>
      </c>
      <c r="U1632" s="31" t="s">
        <v>480</v>
      </c>
      <c r="V1632" s="31" t="s">
        <v>6382</v>
      </c>
      <c r="W1632" s="34"/>
    </row>
    <row r="1633">
      <c r="A1633" s="30">
        <v>1.628</v>
      </c>
      <c r="B1633" s="31" t="s">
        <v>6744</v>
      </c>
      <c r="C1633" s="31" t="s">
        <v>6745</v>
      </c>
      <c r="D1633" s="31" t="s">
        <v>472</v>
      </c>
      <c r="E1633" s="31" t="s">
        <v>4596</v>
      </c>
      <c r="F1633" s="32">
        <v>44746.0</v>
      </c>
      <c r="G1633" s="32">
        <v>44808.0</v>
      </c>
      <c r="H1633" s="31" t="s">
        <v>453</v>
      </c>
      <c r="I1633" s="31" t="s">
        <v>454</v>
      </c>
      <c r="J1633" s="31" t="s">
        <v>4597</v>
      </c>
      <c r="K1633" s="31" t="s">
        <v>4598</v>
      </c>
      <c r="L1633" s="31" t="s">
        <v>476</v>
      </c>
      <c r="M1633" s="31" t="s">
        <v>6746</v>
      </c>
      <c r="N1633" s="31" t="s">
        <v>467</v>
      </c>
      <c r="O1633" s="34"/>
      <c r="P1633" s="34"/>
      <c r="Q1633" s="31" t="s">
        <v>307</v>
      </c>
      <c r="R1633" s="35">
        <v>36844.0</v>
      </c>
      <c r="S1633" s="31" t="s">
        <v>560</v>
      </c>
      <c r="T1633" s="31" t="s">
        <v>713</v>
      </c>
      <c r="U1633" s="31" t="s">
        <v>460</v>
      </c>
      <c r="V1633" s="31" t="s">
        <v>4596</v>
      </c>
      <c r="W1633" s="34"/>
    </row>
    <row r="1634">
      <c r="A1634" s="30">
        <v>1.629</v>
      </c>
      <c r="B1634" s="31" t="s">
        <v>6747</v>
      </c>
      <c r="C1634" s="31" t="s">
        <v>6748</v>
      </c>
      <c r="D1634" s="31" t="s">
        <v>636</v>
      </c>
      <c r="E1634" s="31" t="s">
        <v>637</v>
      </c>
      <c r="F1634" s="32">
        <v>44735.0</v>
      </c>
      <c r="G1634" s="32">
        <v>44796.0</v>
      </c>
      <c r="H1634" s="31" t="s">
        <v>453</v>
      </c>
      <c r="I1634" s="31" t="s">
        <v>52</v>
      </c>
      <c r="J1634" s="31" t="s">
        <v>638</v>
      </c>
      <c r="K1634" s="31" t="s">
        <v>639</v>
      </c>
      <c r="L1634" s="31" t="s">
        <v>640</v>
      </c>
      <c r="M1634" s="31" t="s">
        <v>6749</v>
      </c>
      <c r="N1634" s="31" t="s">
        <v>467</v>
      </c>
      <c r="O1634" s="34"/>
      <c r="P1634" s="34"/>
      <c r="Q1634" s="31" t="s">
        <v>307</v>
      </c>
      <c r="R1634" s="32">
        <v>36835.0</v>
      </c>
      <c r="S1634" s="31" t="s">
        <v>560</v>
      </c>
      <c r="T1634" s="31" t="s">
        <v>503</v>
      </c>
      <c r="U1634" s="31" t="s">
        <v>643</v>
      </c>
      <c r="V1634" s="31" t="s">
        <v>637</v>
      </c>
      <c r="W1634" s="34"/>
    </row>
    <row r="1635">
      <c r="A1635" s="30">
        <v>1.63</v>
      </c>
      <c r="B1635" s="31" t="s">
        <v>6750</v>
      </c>
      <c r="C1635" s="31" t="s">
        <v>1760</v>
      </c>
      <c r="D1635" s="31" t="s">
        <v>452</v>
      </c>
      <c r="E1635" s="31" t="s">
        <v>4329</v>
      </c>
      <c r="F1635" s="32">
        <v>44732.0</v>
      </c>
      <c r="G1635" s="32">
        <v>44793.0</v>
      </c>
      <c r="H1635" s="31" t="s">
        <v>453</v>
      </c>
      <c r="I1635" s="31" t="s">
        <v>4330</v>
      </c>
      <c r="J1635" s="31" t="s">
        <v>4331</v>
      </c>
      <c r="K1635" s="31" t="s">
        <v>4332</v>
      </c>
      <c r="L1635" s="31" t="s">
        <v>456</v>
      </c>
      <c r="M1635" s="31" t="s">
        <v>6751</v>
      </c>
      <c r="N1635" s="31" t="s">
        <v>267</v>
      </c>
      <c r="O1635" s="34"/>
      <c r="P1635" s="34"/>
      <c r="Q1635" s="31" t="s">
        <v>307</v>
      </c>
      <c r="R1635" s="32">
        <v>36363.0</v>
      </c>
      <c r="S1635" s="31" t="s">
        <v>458</v>
      </c>
      <c r="T1635" s="31" t="s">
        <v>1059</v>
      </c>
      <c r="U1635" s="31" t="s">
        <v>460</v>
      </c>
      <c r="V1635" s="31" t="s">
        <v>4329</v>
      </c>
      <c r="W1635" s="34"/>
    </row>
    <row r="1636">
      <c r="A1636" s="30">
        <v>1.631</v>
      </c>
      <c r="B1636" s="31" t="s">
        <v>6752</v>
      </c>
      <c r="C1636" s="31" t="s">
        <v>6753</v>
      </c>
      <c r="D1636" s="31" t="s">
        <v>452</v>
      </c>
      <c r="E1636" s="31" t="s">
        <v>2887</v>
      </c>
      <c r="F1636" s="32">
        <v>44699.0</v>
      </c>
      <c r="G1636" s="32">
        <v>44760.0</v>
      </c>
      <c r="H1636" s="31" t="s">
        <v>453</v>
      </c>
      <c r="I1636" s="31" t="s">
        <v>566</v>
      </c>
      <c r="J1636" s="31" t="s">
        <v>2888</v>
      </c>
      <c r="K1636" s="31" t="s">
        <v>2889</v>
      </c>
      <c r="L1636" s="31" t="s">
        <v>456</v>
      </c>
      <c r="M1636" s="31" t="s">
        <v>6754</v>
      </c>
      <c r="N1636" s="31" t="s">
        <v>267</v>
      </c>
      <c r="O1636" s="34"/>
      <c r="P1636" s="34"/>
      <c r="Q1636" s="31" t="s">
        <v>307</v>
      </c>
      <c r="R1636" s="32">
        <v>36257.0</v>
      </c>
      <c r="S1636" s="31" t="s">
        <v>733</v>
      </c>
      <c r="T1636" s="31" t="s">
        <v>686</v>
      </c>
      <c r="U1636" s="31" t="s">
        <v>480</v>
      </c>
      <c r="V1636" s="31" t="s">
        <v>2887</v>
      </c>
      <c r="W1636" s="34"/>
    </row>
    <row r="1637">
      <c r="A1637" s="30">
        <v>1.632</v>
      </c>
      <c r="B1637" s="31" t="s">
        <v>6755</v>
      </c>
      <c r="C1637" s="31" t="s">
        <v>6756</v>
      </c>
      <c r="D1637" s="31" t="s">
        <v>553</v>
      </c>
      <c r="E1637" s="31" t="s">
        <v>4855</v>
      </c>
      <c r="F1637" s="32">
        <v>44697.0</v>
      </c>
      <c r="G1637" s="32">
        <v>44758.0</v>
      </c>
      <c r="H1637" s="31" t="s">
        <v>453</v>
      </c>
      <c r="I1637" s="31" t="s">
        <v>607</v>
      </c>
      <c r="J1637" s="31" t="s">
        <v>4856</v>
      </c>
      <c r="K1637" s="31" t="s">
        <v>4857</v>
      </c>
      <c r="L1637" s="31" t="s">
        <v>558</v>
      </c>
      <c r="M1637" s="31" t="s">
        <v>6757</v>
      </c>
      <c r="N1637" s="31" t="s">
        <v>267</v>
      </c>
      <c r="O1637" s="34"/>
      <c r="P1637" s="34"/>
      <c r="Q1637" s="31" t="s">
        <v>307</v>
      </c>
      <c r="R1637" s="32">
        <v>36233.0</v>
      </c>
      <c r="S1637" s="31" t="s">
        <v>3205</v>
      </c>
      <c r="T1637" s="31" t="s">
        <v>503</v>
      </c>
      <c r="U1637" s="31" t="s">
        <v>480</v>
      </c>
      <c r="V1637" s="31" t="s">
        <v>4855</v>
      </c>
      <c r="W1637" s="34"/>
    </row>
    <row r="1638">
      <c r="A1638" s="30">
        <v>1.633</v>
      </c>
      <c r="B1638" s="31" t="s">
        <v>6758</v>
      </c>
      <c r="C1638" s="31" t="s">
        <v>6759</v>
      </c>
      <c r="D1638" s="31" t="s">
        <v>3222</v>
      </c>
      <c r="E1638" s="31" t="s">
        <v>6181</v>
      </c>
      <c r="F1638" s="32">
        <v>44691.0</v>
      </c>
      <c r="G1638" s="32">
        <v>44752.0</v>
      </c>
      <c r="H1638" s="31" t="s">
        <v>453</v>
      </c>
      <c r="I1638" s="31" t="s">
        <v>607</v>
      </c>
      <c r="J1638" s="31" t="s">
        <v>4415</v>
      </c>
      <c r="K1638" s="31" t="s">
        <v>6182</v>
      </c>
      <c r="L1638" s="31" t="s">
        <v>3223</v>
      </c>
      <c r="M1638" s="31" t="s">
        <v>6760</v>
      </c>
      <c r="N1638" s="31" t="s">
        <v>267</v>
      </c>
      <c r="O1638" s="34"/>
      <c r="P1638" s="34"/>
      <c r="Q1638" s="31" t="s">
        <v>307</v>
      </c>
      <c r="R1638" s="32">
        <v>35886.0</v>
      </c>
      <c r="S1638" s="31" t="s">
        <v>1041</v>
      </c>
      <c r="T1638" s="31" t="s">
        <v>6761</v>
      </c>
      <c r="U1638" s="31" t="s">
        <v>643</v>
      </c>
      <c r="V1638" s="31" t="s">
        <v>6181</v>
      </c>
      <c r="W1638" s="34"/>
    </row>
    <row r="1639">
      <c r="A1639" s="30">
        <v>1.634</v>
      </c>
      <c r="B1639" s="31" t="s">
        <v>6762</v>
      </c>
      <c r="C1639" s="31" t="s">
        <v>6763</v>
      </c>
      <c r="D1639" s="31" t="s">
        <v>472</v>
      </c>
      <c r="E1639" s="31" t="s">
        <v>5091</v>
      </c>
      <c r="F1639" s="32">
        <v>44666.0</v>
      </c>
      <c r="G1639" s="32">
        <v>44727.0</v>
      </c>
      <c r="H1639" s="31" t="s">
        <v>453</v>
      </c>
      <c r="I1639" s="31" t="s">
        <v>2835</v>
      </c>
      <c r="J1639" s="31" t="s">
        <v>4612</v>
      </c>
      <c r="K1639" s="31" t="s">
        <v>5092</v>
      </c>
      <c r="L1639" s="31" t="s">
        <v>476</v>
      </c>
      <c r="M1639" s="31" t="s">
        <v>6764</v>
      </c>
      <c r="N1639" s="31" t="s">
        <v>467</v>
      </c>
      <c r="O1639" s="34"/>
      <c r="P1639" s="34"/>
      <c r="Q1639" s="31" t="s">
        <v>307</v>
      </c>
      <c r="R1639" s="32">
        <v>35678.0</v>
      </c>
      <c r="S1639" s="31" t="s">
        <v>560</v>
      </c>
      <c r="T1639" s="31" t="s">
        <v>6765</v>
      </c>
      <c r="U1639" s="31" t="s">
        <v>480</v>
      </c>
      <c r="V1639" s="31" t="s">
        <v>5091</v>
      </c>
      <c r="W1639" s="34"/>
    </row>
    <row r="1640">
      <c r="A1640" s="30">
        <v>1.635</v>
      </c>
      <c r="B1640" s="31" t="s">
        <v>6766</v>
      </c>
      <c r="C1640" s="31" t="s">
        <v>6767</v>
      </c>
      <c r="D1640" s="31" t="s">
        <v>472</v>
      </c>
      <c r="E1640" s="31" t="s">
        <v>4596</v>
      </c>
      <c r="F1640" s="32">
        <v>44664.0</v>
      </c>
      <c r="G1640" s="32">
        <v>44725.0</v>
      </c>
      <c r="H1640" s="31" t="s">
        <v>453</v>
      </c>
      <c r="I1640" s="31" t="s">
        <v>454</v>
      </c>
      <c r="J1640" s="31" t="s">
        <v>4597</v>
      </c>
      <c r="K1640" s="31" t="s">
        <v>4598</v>
      </c>
      <c r="L1640" s="31" t="s">
        <v>476</v>
      </c>
      <c r="M1640" s="31" t="s">
        <v>6768</v>
      </c>
      <c r="N1640" s="31" t="s">
        <v>467</v>
      </c>
      <c r="O1640" s="34"/>
      <c r="P1640" s="34"/>
      <c r="Q1640" s="31" t="s">
        <v>307</v>
      </c>
      <c r="R1640" s="35">
        <v>36860.0</v>
      </c>
      <c r="S1640" s="31" t="s">
        <v>6360</v>
      </c>
      <c r="T1640" s="31" t="s">
        <v>496</v>
      </c>
      <c r="U1640" s="31" t="s">
        <v>460</v>
      </c>
      <c r="V1640" s="31" t="s">
        <v>4596</v>
      </c>
      <c r="W1640" s="34"/>
    </row>
    <row r="1641">
      <c r="A1641" s="30">
        <v>1.636</v>
      </c>
      <c r="B1641" s="31" t="s">
        <v>6769</v>
      </c>
      <c r="C1641" s="31" t="s">
        <v>6770</v>
      </c>
      <c r="D1641" s="31" t="s">
        <v>472</v>
      </c>
      <c r="E1641" s="31" t="s">
        <v>3419</v>
      </c>
      <c r="F1641" s="32">
        <v>44655.0</v>
      </c>
      <c r="G1641" s="32">
        <v>44716.0</v>
      </c>
      <c r="H1641" s="31" t="s">
        <v>453</v>
      </c>
      <c r="I1641" s="31" t="s">
        <v>454</v>
      </c>
      <c r="J1641" s="31" t="s">
        <v>3188</v>
      </c>
      <c r="K1641" s="31" t="s">
        <v>3420</v>
      </c>
      <c r="L1641" s="31" t="s">
        <v>476</v>
      </c>
      <c r="M1641" s="31" t="s">
        <v>6771</v>
      </c>
      <c r="N1641" s="31" t="s">
        <v>467</v>
      </c>
      <c r="O1641" s="34"/>
      <c r="P1641" s="34"/>
      <c r="Q1641" s="31" t="s">
        <v>307</v>
      </c>
      <c r="R1641" s="32">
        <v>34428.0</v>
      </c>
      <c r="S1641" s="31" t="s">
        <v>490</v>
      </c>
      <c r="T1641" s="31" t="s">
        <v>6772</v>
      </c>
      <c r="U1641" s="31" t="s">
        <v>460</v>
      </c>
      <c r="V1641" s="31" t="s">
        <v>3419</v>
      </c>
      <c r="W1641" s="34"/>
    </row>
    <row r="1642">
      <c r="A1642" s="30">
        <v>1.637</v>
      </c>
      <c r="B1642" s="31" t="s">
        <v>6773</v>
      </c>
      <c r="C1642" s="31" t="s">
        <v>6774</v>
      </c>
      <c r="D1642" s="31" t="s">
        <v>472</v>
      </c>
      <c r="E1642" s="31" t="s">
        <v>2675</v>
      </c>
      <c r="F1642" s="32">
        <v>44565.0</v>
      </c>
      <c r="G1642" s="32">
        <v>44624.0</v>
      </c>
      <c r="H1642" s="31" t="s">
        <v>453</v>
      </c>
      <c r="I1642" s="31" t="s">
        <v>454</v>
      </c>
      <c r="J1642" s="31" t="s">
        <v>2676</v>
      </c>
      <c r="K1642" s="31" t="s">
        <v>2677</v>
      </c>
      <c r="L1642" s="31" t="s">
        <v>476</v>
      </c>
      <c r="M1642" s="31" t="s">
        <v>6775</v>
      </c>
      <c r="N1642" s="31" t="s">
        <v>467</v>
      </c>
      <c r="O1642" s="34"/>
      <c r="P1642" s="34"/>
      <c r="Q1642" s="31" t="s">
        <v>307</v>
      </c>
      <c r="R1642" s="32">
        <v>35907.0</v>
      </c>
      <c r="S1642" s="31" t="s">
        <v>3415</v>
      </c>
      <c r="T1642" s="31" t="s">
        <v>1532</v>
      </c>
      <c r="U1642" s="31" t="s">
        <v>480</v>
      </c>
      <c r="V1642" s="31" t="s">
        <v>2675</v>
      </c>
      <c r="W1642" s="34"/>
    </row>
    <row r="1643">
      <c r="A1643" s="30">
        <v>1.638</v>
      </c>
      <c r="B1643" s="31" t="s">
        <v>6776</v>
      </c>
      <c r="C1643" s="31" t="s">
        <v>6777</v>
      </c>
      <c r="D1643" s="31" t="s">
        <v>553</v>
      </c>
      <c r="E1643" s="31" t="s">
        <v>4836</v>
      </c>
      <c r="F1643" s="32">
        <v>44536.0</v>
      </c>
      <c r="G1643" s="32">
        <v>44598.0</v>
      </c>
      <c r="H1643" s="31" t="s">
        <v>453</v>
      </c>
      <c r="I1643" s="31" t="s">
        <v>47</v>
      </c>
      <c r="J1643" s="31" t="s">
        <v>4765</v>
      </c>
      <c r="K1643" s="31" t="s">
        <v>4837</v>
      </c>
      <c r="L1643" s="31" t="s">
        <v>558</v>
      </c>
      <c r="M1643" s="31" t="s">
        <v>6778</v>
      </c>
      <c r="N1643" s="31" t="s">
        <v>267</v>
      </c>
      <c r="O1643" s="34"/>
      <c r="P1643" s="34"/>
      <c r="Q1643" s="31" t="s">
        <v>307</v>
      </c>
      <c r="R1643" s="32">
        <v>34304.0</v>
      </c>
      <c r="S1643" s="31" t="s">
        <v>700</v>
      </c>
      <c r="T1643" s="31" t="s">
        <v>503</v>
      </c>
      <c r="U1643" s="31" t="s">
        <v>480</v>
      </c>
      <c r="V1643" s="31" t="s">
        <v>4836</v>
      </c>
      <c r="W1643" s="34"/>
    </row>
    <row r="1644">
      <c r="A1644" s="30">
        <v>1.639</v>
      </c>
      <c r="B1644" s="31" t="s">
        <v>6779</v>
      </c>
      <c r="C1644" s="31" t="s">
        <v>6780</v>
      </c>
      <c r="D1644" s="31" t="s">
        <v>452</v>
      </c>
      <c r="E1644" s="31" t="s">
        <v>3187</v>
      </c>
      <c r="F1644" s="35">
        <v>44525.0</v>
      </c>
      <c r="G1644" s="32">
        <v>44586.0</v>
      </c>
      <c r="H1644" s="31" t="s">
        <v>453</v>
      </c>
      <c r="I1644" s="31" t="s">
        <v>454</v>
      </c>
      <c r="J1644" s="31" t="s">
        <v>3188</v>
      </c>
      <c r="K1644" s="31" t="s">
        <v>3189</v>
      </c>
      <c r="L1644" s="31" t="s">
        <v>456</v>
      </c>
      <c r="M1644" s="31" t="s">
        <v>6781</v>
      </c>
      <c r="N1644" s="31" t="s">
        <v>267</v>
      </c>
      <c r="O1644" s="34"/>
      <c r="P1644" s="34"/>
      <c r="Q1644" s="31" t="s">
        <v>307</v>
      </c>
      <c r="R1644" s="32">
        <v>35736.0</v>
      </c>
      <c r="S1644" s="31" t="s">
        <v>531</v>
      </c>
      <c r="T1644" s="31" t="s">
        <v>686</v>
      </c>
      <c r="U1644" s="31" t="s">
        <v>460</v>
      </c>
      <c r="V1644" s="31" t="s">
        <v>3187</v>
      </c>
      <c r="W1644" s="34"/>
    </row>
    <row r="1645">
      <c r="A1645" s="30">
        <v>1.64</v>
      </c>
      <c r="B1645" s="31" t="s">
        <v>6782</v>
      </c>
      <c r="C1645" s="31" t="s">
        <v>6783</v>
      </c>
      <c r="D1645" s="31" t="s">
        <v>472</v>
      </c>
      <c r="E1645" s="31" t="s">
        <v>4836</v>
      </c>
      <c r="F1645" s="32">
        <v>44470.0</v>
      </c>
      <c r="G1645" s="32">
        <v>44531.0</v>
      </c>
      <c r="H1645" s="31" t="s">
        <v>453</v>
      </c>
      <c r="I1645" s="31" t="s">
        <v>47</v>
      </c>
      <c r="J1645" s="31" t="s">
        <v>4765</v>
      </c>
      <c r="K1645" s="31" t="s">
        <v>4837</v>
      </c>
      <c r="L1645" s="31" t="s">
        <v>476</v>
      </c>
      <c r="M1645" s="31" t="s">
        <v>6784</v>
      </c>
      <c r="N1645" s="31" t="s">
        <v>467</v>
      </c>
      <c r="O1645" s="34"/>
      <c r="P1645" s="34"/>
      <c r="Q1645" s="31" t="s">
        <v>307</v>
      </c>
      <c r="R1645" s="32">
        <v>36498.0</v>
      </c>
      <c r="S1645" s="31" t="s">
        <v>5868</v>
      </c>
      <c r="T1645" s="31" t="s">
        <v>2672</v>
      </c>
      <c r="U1645" s="31" t="s">
        <v>480</v>
      </c>
      <c r="V1645" s="31" t="s">
        <v>4836</v>
      </c>
      <c r="W1645" s="34"/>
    </row>
    <row r="1646">
      <c r="A1646" s="30">
        <v>1.641</v>
      </c>
      <c r="B1646" s="31" t="s">
        <v>6785</v>
      </c>
      <c r="C1646" s="31" t="s">
        <v>6786</v>
      </c>
      <c r="D1646" s="31" t="s">
        <v>6787</v>
      </c>
      <c r="E1646" s="31" t="s">
        <v>6788</v>
      </c>
      <c r="F1646" s="32">
        <v>44424.0</v>
      </c>
      <c r="G1646" s="35">
        <v>44516.0</v>
      </c>
      <c r="H1646" s="31" t="s">
        <v>453</v>
      </c>
      <c r="I1646" s="31" t="s">
        <v>2717</v>
      </c>
      <c r="J1646" s="31" t="s">
        <v>6788</v>
      </c>
      <c r="K1646" s="31" t="s">
        <v>6789</v>
      </c>
      <c r="L1646" s="31" t="s">
        <v>6790</v>
      </c>
      <c r="M1646" s="31" t="s">
        <v>6791</v>
      </c>
      <c r="N1646" s="31" t="s">
        <v>267</v>
      </c>
      <c r="O1646" s="31">
        <v>4.0</v>
      </c>
      <c r="P1646" s="34"/>
      <c r="Q1646" s="31" t="s">
        <v>307</v>
      </c>
      <c r="R1646" s="32">
        <v>32175.0</v>
      </c>
      <c r="S1646" s="31" t="s">
        <v>320</v>
      </c>
      <c r="T1646" s="31" t="s">
        <v>6792</v>
      </c>
      <c r="U1646" s="31" t="s">
        <v>480</v>
      </c>
      <c r="V1646" s="34"/>
      <c r="W1646" s="34"/>
    </row>
    <row r="1647">
      <c r="A1647" s="30">
        <v>1.642</v>
      </c>
      <c r="B1647" s="31" t="s">
        <v>6793</v>
      </c>
      <c r="C1647" s="31" t="s">
        <v>6794</v>
      </c>
      <c r="D1647" s="31" t="s">
        <v>6795</v>
      </c>
      <c r="E1647" s="31" t="s">
        <v>2463</v>
      </c>
      <c r="F1647" s="32">
        <v>39153.0</v>
      </c>
      <c r="G1647" s="32">
        <v>39187.0</v>
      </c>
      <c r="H1647" s="31" t="s">
        <v>453</v>
      </c>
      <c r="I1647" s="31" t="s">
        <v>2717</v>
      </c>
      <c r="J1647" s="31" t="s">
        <v>2463</v>
      </c>
      <c r="K1647" s="31" t="s">
        <v>5165</v>
      </c>
      <c r="L1647" s="31" t="s">
        <v>6796</v>
      </c>
      <c r="M1647" s="31" t="s">
        <v>6797</v>
      </c>
      <c r="N1647" s="31" t="s">
        <v>267</v>
      </c>
      <c r="O1647" s="34"/>
      <c r="P1647" s="34"/>
      <c r="Q1647" s="31" t="s">
        <v>307</v>
      </c>
      <c r="R1647" s="32">
        <v>30290.0</v>
      </c>
      <c r="S1647" s="31" t="s">
        <v>3850</v>
      </c>
      <c r="T1647" s="31" t="s">
        <v>1178</v>
      </c>
      <c r="U1647" s="31" t="s">
        <v>480</v>
      </c>
      <c r="V1647" s="34"/>
      <c r="W1647" s="34"/>
    </row>
    <row r="1648">
      <c r="A1648" s="30">
        <v>1.643</v>
      </c>
      <c r="B1648" s="31" t="s">
        <v>6798</v>
      </c>
      <c r="C1648" s="31" t="s">
        <v>6799</v>
      </c>
      <c r="D1648" s="31" t="s">
        <v>4968</v>
      </c>
      <c r="E1648" s="31" t="s">
        <v>40</v>
      </c>
      <c r="F1648" s="32">
        <v>42583.0</v>
      </c>
      <c r="G1648" s="32">
        <v>42644.0</v>
      </c>
      <c r="H1648" s="31" t="s">
        <v>453</v>
      </c>
      <c r="I1648" s="31" t="s">
        <v>40</v>
      </c>
      <c r="J1648" s="34"/>
      <c r="K1648" s="31" t="s">
        <v>4969</v>
      </c>
      <c r="L1648" s="31" t="s">
        <v>4970</v>
      </c>
      <c r="M1648" s="31" t="s">
        <v>6800</v>
      </c>
      <c r="N1648" s="31" t="s">
        <v>467</v>
      </c>
      <c r="O1648" s="34"/>
      <c r="P1648" s="34"/>
      <c r="Q1648" s="31" t="s">
        <v>307</v>
      </c>
      <c r="R1648" s="32">
        <v>31887.0</v>
      </c>
      <c r="S1648" s="31" t="s">
        <v>3553</v>
      </c>
      <c r="T1648" s="31" t="s">
        <v>6801</v>
      </c>
      <c r="U1648" s="31" t="s">
        <v>310</v>
      </c>
      <c r="V1648" s="34"/>
      <c r="W1648" s="34"/>
    </row>
    <row r="1649">
      <c r="A1649" s="30">
        <v>1.644</v>
      </c>
      <c r="B1649" s="31" t="s">
        <v>6802</v>
      </c>
      <c r="C1649" s="31" t="s">
        <v>6803</v>
      </c>
      <c r="D1649" s="31" t="s">
        <v>472</v>
      </c>
      <c r="E1649" s="31" t="s">
        <v>2668</v>
      </c>
      <c r="F1649" s="32">
        <v>43885.0</v>
      </c>
      <c r="G1649" s="32">
        <v>43945.0</v>
      </c>
      <c r="H1649" s="31" t="s">
        <v>453</v>
      </c>
      <c r="I1649" s="31" t="s">
        <v>454</v>
      </c>
      <c r="J1649" s="31" t="s">
        <v>2669</v>
      </c>
      <c r="K1649" s="31" t="s">
        <v>2670</v>
      </c>
      <c r="L1649" s="31" t="s">
        <v>476</v>
      </c>
      <c r="M1649" s="31" t="s">
        <v>6804</v>
      </c>
      <c r="N1649" s="31" t="s">
        <v>467</v>
      </c>
      <c r="O1649" s="34"/>
      <c r="P1649" s="34"/>
      <c r="Q1649" s="31" t="s">
        <v>307</v>
      </c>
      <c r="R1649" s="32">
        <v>35979.0</v>
      </c>
      <c r="S1649" s="31" t="s">
        <v>560</v>
      </c>
      <c r="T1649" s="31" t="s">
        <v>503</v>
      </c>
      <c r="U1649" s="31" t="s">
        <v>480</v>
      </c>
      <c r="V1649" s="31" t="s">
        <v>2668</v>
      </c>
      <c r="W1649" s="34"/>
    </row>
    <row r="1650">
      <c r="A1650" s="30">
        <v>1.645</v>
      </c>
      <c r="B1650" s="31" t="s">
        <v>6805</v>
      </c>
      <c r="C1650" s="31" t="s">
        <v>1593</v>
      </c>
      <c r="D1650" s="31" t="s">
        <v>622</v>
      </c>
      <c r="E1650" s="31" t="s">
        <v>41</v>
      </c>
      <c r="F1650" s="32">
        <v>43664.0</v>
      </c>
      <c r="G1650" s="32">
        <v>43726.0</v>
      </c>
      <c r="H1650" s="31" t="s">
        <v>453</v>
      </c>
      <c r="I1650" s="31" t="s">
        <v>41</v>
      </c>
      <c r="J1650" s="34"/>
      <c r="K1650" s="31" t="s">
        <v>623</v>
      </c>
      <c r="L1650" s="31" t="s">
        <v>624</v>
      </c>
      <c r="M1650" s="31" t="s">
        <v>6806</v>
      </c>
      <c r="N1650" s="31" t="s">
        <v>267</v>
      </c>
      <c r="O1650" s="34"/>
      <c r="P1650" s="34"/>
      <c r="Q1650" s="31" t="s">
        <v>581</v>
      </c>
      <c r="R1650" s="32">
        <v>35256.0</v>
      </c>
      <c r="S1650" s="31" t="s">
        <v>681</v>
      </c>
      <c r="T1650" s="31" t="s">
        <v>686</v>
      </c>
      <c r="U1650" s="31" t="s">
        <v>480</v>
      </c>
      <c r="V1650" s="34"/>
      <c r="W1650" s="34"/>
    </row>
    <row r="1651">
      <c r="A1651" s="30">
        <v>1.646</v>
      </c>
      <c r="B1651" s="31" t="s">
        <v>6807</v>
      </c>
      <c r="C1651" s="31" t="s">
        <v>6808</v>
      </c>
      <c r="D1651" s="31" t="s">
        <v>463</v>
      </c>
      <c r="E1651" s="31" t="s">
        <v>6809</v>
      </c>
      <c r="F1651" s="32">
        <v>43570.0</v>
      </c>
      <c r="G1651" s="32">
        <v>43631.0</v>
      </c>
      <c r="H1651" s="31" t="s">
        <v>453</v>
      </c>
      <c r="I1651" s="31" t="s">
        <v>454</v>
      </c>
      <c r="J1651" s="31" t="s">
        <v>5228</v>
      </c>
      <c r="K1651" s="31" t="s">
        <v>6810</v>
      </c>
      <c r="L1651" s="31" t="s">
        <v>465</v>
      </c>
      <c r="M1651" s="31" t="s">
        <v>6811</v>
      </c>
      <c r="N1651" s="31" t="s">
        <v>467</v>
      </c>
      <c r="O1651" s="31">
        <v>2.0</v>
      </c>
      <c r="P1651" s="34"/>
      <c r="Q1651" s="31" t="s">
        <v>307</v>
      </c>
      <c r="R1651" s="32">
        <v>35680.0</v>
      </c>
      <c r="S1651" s="31" t="s">
        <v>468</v>
      </c>
      <c r="T1651" s="31" t="s">
        <v>469</v>
      </c>
      <c r="U1651" s="31" t="s">
        <v>460</v>
      </c>
      <c r="V1651" s="31" t="s">
        <v>6809</v>
      </c>
      <c r="W1651" s="34"/>
    </row>
    <row r="1652">
      <c r="A1652" s="30">
        <v>1.647</v>
      </c>
      <c r="B1652" s="31" t="s">
        <v>6812</v>
      </c>
      <c r="C1652" s="31" t="s">
        <v>6813</v>
      </c>
      <c r="D1652" s="31" t="s">
        <v>452</v>
      </c>
      <c r="E1652" s="31" t="s">
        <v>6181</v>
      </c>
      <c r="F1652" s="32">
        <v>42516.0</v>
      </c>
      <c r="G1652" s="32">
        <v>42577.0</v>
      </c>
      <c r="H1652" s="31" t="s">
        <v>453</v>
      </c>
      <c r="I1652" s="31" t="s">
        <v>607</v>
      </c>
      <c r="J1652" s="31" t="s">
        <v>4415</v>
      </c>
      <c r="K1652" s="31" t="s">
        <v>6182</v>
      </c>
      <c r="L1652" s="31" t="s">
        <v>456</v>
      </c>
      <c r="M1652" s="31" t="s">
        <v>6814</v>
      </c>
      <c r="N1652" s="31" t="s">
        <v>267</v>
      </c>
      <c r="O1652" s="34"/>
      <c r="P1652" s="34"/>
      <c r="Q1652" s="31" t="s">
        <v>307</v>
      </c>
      <c r="R1652" s="32">
        <v>34531.0</v>
      </c>
      <c r="S1652" s="31" t="s">
        <v>1041</v>
      </c>
      <c r="T1652" s="31" t="s">
        <v>744</v>
      </c>
      <c r="U1652" s="31" t="s">
        <v>643</v>
      </c>
      <c r="V1652" s="31" t="s">
        <v>6181</v>
      </c>
      <c r="W1652" s="34"/>
    </row>
    <row r="1653">
      <c r="A1653" s="30">
        <v>1.648</v>
      </c>
      <c r="B1653" s="31" t="s">
        <v>6815</v>
      </c>
      <c r="C1653" s="31" t="s">
        <v>3039</v>
      </c>
      <c r="D1653" s="31" t="s">
        <v>472</v>
      </c>
      <c r="E1653" s="31" t="s">
        <v>2893</v>
      </c>
      <c r="F1653" s="32">
        <v>44167.0</v>
      </c>
      <c r="G1653" s="32">
        <v>44229.0</v>
      </c>
      <c r="H1653" s="31" t="s">
        <v>453</v>
      </c>
      <c r="I1653" s="31" t="s">
        <v>566</v>
      </c>
      <c r="J1653" s="31" t="s">
        <v>2888</v>
      </c>
      <c r="K1653" s="31" t="s">
        <v>2894</v>
      </c>
      <c r="L1653" s="31" t="s">
        <v>476</v>
      </c>
      <c r="M1653" s="31" t="s">
        <v>6816</v>
      </c>
      <c r="N1653" s="31" t="s">
        <v>267</v>
      </c>
      <c r="O1653" s="34"/>
      <c r="P1653" s="34"/>
      <c r="Q1653" s="31" t="s">
        <v>307</v>
      </c>
      <c r="R1653" s="35">
        <v>36475.0</v>
      </c>
      <c r="S1653" s="31" t="s">
        <v>560</v>
      </c>
      <c r="T1653" s="31" t="s">
        <v>479</v>
      </c>
      <c r="U1653" s="31" t="s">
        <v>480</v>
      </c>
      <c r="V1653" s="31" t="s">
        <v>2893</v>
      </c>
      <c r="W1653" s="34"/>
    </row>
    <row r="1654">
      <c r="A1654" s="30">
        <v>1.649</v>
      </c>
      <c r="B1654" s="31" t="s">
        <v>6817</v>
      </c>
      <c r="C1654" s="31" t="s">
        <v>6818</v>
      </c>
      <c r="D1654" s="31" t="s">
        <v>4968</v>
      </c>
      <c r="E1654" s="31" t="s">
        <v>40</v>
      </c>
      <c r="F1654" s="32">
        <v>43549.0</v>
      </c>
      <c r="G1654" s="32">
        <v>43611.0</v>
      </c>
      <c r="H1654" s="31" t="s">
        <v>453</v>
      </c>
      <c r="I1654" s="31" t="s">
        <v>40</v>
      </c>
      <c r="J1654" s="34"/>
      <c r="K1654" s="31" t="s">
        <v>4969</v>
      </c>
      <c r="L1654" s="31" t="s">
        <v>4970</v>
      </c>
      <c r="M1654" s="31" t="s">
        <v>6819</v>
      </c>
      <c r="N1654" s="31" t="s">
        <v>467</v>
      </c>
      <c r="O1654" s="34"/>
      <c r="P1654" s="34"/>
      <c r="Q1654" s="31" t="s">
        <v>307</v>
      </c>
      <c r="R1654" s="32">
        <v>35652.0</v>
      </c>
      <c r="S1654" s="31" t="s">
        <v>560</v>
      </c>
      <c r="T1654" s="31" t="s">
        <v>705</v>
      </c>
      <c r="U1654" s="31" t="s">
        <v>480</v>
      </c>
      <c r="V1654" s="34"/>
      <c r="W1654" s="34"/>
    </row>
    <row r="1655">
      <c r="A1655" s="30">
        <v>1.65</v>
      </c>
      <c r="B1655" s="31" t="s">
        <v>6820</v>
      </c>
      <c r="C1655" s="31" t="s">
        <v>6821</v>
      </c>
      <c r="D1655" s="31" t="s">
        <v>452</v>
      </c>
      <c r="E1655" s="31" t="s">
        <v>6639</v>
      </c>
      <c r="F1655" s="35">
        <v>43759.0</v>
      </c>
      <c r="G1655" s="35">
        <v>43821.0</v>
      </c>
      <c r="H1655" s="31" t="s">
        <v>453</v>
      </c>
      <c r="I1655" s="31" t="s">
        <v>454</v>
      </c>
      <c r="J1655" s="31" t="s">
        <v>4597</v>
      </c>
      <c r="K1655" s="31" t="s">
        <v>6640</v>
      </c>
      <c r="L1655" s="31" t="s">
        <v>456</v>
      </c>
      <c r="M1655" s="31" t="s">
        <v>6822</v>
      </c>
      <c r="N1655" s="31" t="s">
        <v>267</v>
      </c>
      <c r="O1655" s="34"/>
      <c r="P1655" s="34"/>
      <c r="Q1655" s="31" t="s">
        <v>307</v>
      </c>
      <c r="R1655" s="32">
        <v>35697.0</v>
      </c>
      <c r="S1655" s="31" t="s">
        <v>468</v>
      </c>
      <c r="T1655" s="31" t="s">
        <v>6823</v>
      </c>
      <c r="U1655" s="31" t="s">
        <v>460</v>
      </c>
      <c r="V1655" s="31" t="s">
        <v>6639</v>
      </c>
      <c r="W1655" s="34"/>
    </row>
    <row r="1656">
      <c r="A1656" s="30">
        <v>1.651</v>
      </c>
      <c r="B1656" s="31" t="s">
        <v>6824</v>
      </c>
      <c r="C1656" s="31" t="s">
        <v>6825</v>
      </c>
      <c r="D1656" s="31" t="s">
        <v>472</v>
      </c>
      <c r="E1656" s="31" t="s">
        <v>5124</v>
      </c>
      <c r="F1656" s="32">
        <v>43556.0</v>
      </c>
      <c r="G1656" s="32">
        <v>43617.0</v>
      </c>
      <c r="H1656" s="31" t="s">
        <v>453</v>
      </c>
      <c r="I1656" s="31" t="s">
        <v>454</v>
      </c>
      <c r="J1656" s="31" t="s">
        <v>4823</v>
      </c>
      <c r="K1656" s="31" t="s">
        <v>5125</v>
      </c>
      <c r="L1656" s="31" t="s">
        <v>5011</v>
      </c>
      <c r="M1656" s="31" t="s">
        <v>6826</v>
      </c>
      <c r="N1656" s="31" t="s">
        <v>467</v>
      </c>
      <c r="O1656" s="34"/>
      <c r="P1656" s="34"/>
      <c r="Q1656" s="31" t="s">
        <v>307</v>
      </c>
      <c r="R1656" s="32">
        <v>32264.0</v>
      </c>
      <c r="S1656" s="31" t="s">
        <v>6312</v>
      </c>
      <c r="T1656" s="31" t="s">
        <v>682</v>
      </c>
      <c r="U1656" s="31" t="s">
        <v>460</v>
      </c>
      <c r="V1656" s="31" t="s">
        <v>5124</v>
      </c>
      <c r="W1656" s="34"/>
    </row>
    <row r="1657">
      <c r="A1657" s="30">
        <v>1.652</v>
      </c>
      <c r="B1657" s="31" t="s">
        <v>6827</v>
      </c>
      <c r="C1657" s="31" t="s">
        <v>6828</v>
      </c>
      <c r="D1657" s="31" t="s">
        <v>472</v>
      </c>
      <c r="E1657" s="31" t="s">
        <v>5106</v>
      </c>
      <c r="F1657" s="32">
        <v>44137.0</v>
      </c>
      <c r="G1657" s="32">
        <v>44198.0</v>
      </c>
      <c r="H1657" s="31" t="s">
        <v>453</v>
      </c>
      <c r="I1657" s="31" t="s">
        <v>454</v>
      </c>
      <c r="J1657" s="31" t="s">
        <v>5107</v>
      </c>
      <c r="K1657" s="31" t="s">
        <v>5108</v>
      </c>
      <c r="L1657" s="31" t="s">
        <v>476</v>
      </c>
      <c r="M1657" s="31" t="s">
        <v>6829</v>
      </c>
      <c r="N1657" s="31" t="s">
        <v>467</v>
      </c>
      <c r="O1657" s="34"/>
      <c r="P1657" s="34"/>
      <c r="Q1657" s="31" t="s">
        <v>307</v>
      </c>
      <c r="R1657" s="32">
        <v>36253.0</v>
      </c>
      <c r="S1657" s="31" t="s">
        <v>560</v>
      </c>
      <c r="T1657" s="31" t="s">
        <v>479</v>
      </c>
      <c r="U1657" s="31" t="s">
        <v>480</v>
      </c>
      <c r="V1657" s="31" t="s">
        <v>5106</v>
      </c>
      <c r="W1657" s="34"/>
    </row>
    <row r="1658">
      <c r="A1658" s="30">
        <v>1.653</v>
      </c>
      <c r="B1658" s="31" t="s">
        <v>6830</v>
      </c>
      <c r="C1658" s="31" t="s">
        <v>6831</v>
      </c>
      <c r="D1658" s="31" t="s">
        <v>4909</v>
      </c>
      <c r="E1658" s="31" t="s">
        <v>4596</v>
      </c>
      <c r="F1658" s="32">
        <v>44077.0</v>
      </c>
      <c r="G1658" s="32">
        <v>44138.0</v>
      </c>
      <c r="H1658" s="31" t="s">
        <v>453</v>
      </c>
      <c r="I1658" s="31" t="s">
        <v>454</v>
      </c>
      <c r="J1658" s="31" t="s">
        <v>4597</v>
      </c>
      <c r="K1658" s="31" t="s">
        <v>4598</v>
      </c>
      <c r="L1658" s="31" t="s">
        <v>4910</v>
      </c>
      <c r="M1658" s="31" t="s">
        <v>6832</v>
      </c>
      <c r="N1658" s="31" t="s">
        <v>467</v>
      </c>
      <c r="O1658" s="34"/>
      <c r="P1658" s="34"/>
      <c r="Q1658" s="31" t="s">
        <v>307</v>
      </c>
      <c r="R1658" s="32">
        <v>36230.0</v>
      </c>
      <c r="S1658" s="31" t="s">
        <v>560</v>
      </c>
      <c r="T1658" s="31" t="s">
        <v>479</v>
      </c>
      <c r="U1658" s="31" t="s">
        <v>460</v>
      </c>
      <c r="V1658" s="31" t="s">
        <v>4596</v>
      </c>
      <c r="W1658" s="34"/>
    </row>
    <row r="1659">
      <c r="A1659" s="30">
        <v>1.654</v>
      </c>
      <c r="B1659" s="31" t="s">
        <v>6833</v>
      </c>
      <c r="C1659" s="31" t="s">
        <v>6834</v>
      </c>
      <c r="D1659" s="31" t="s">
        <v>472</v>
      </c>
      <c r="E1659" s="31" t="s">
        <v>554</v>
      </c>
      <c r="F1659" s="32">
        <v>44410.0</v>
      </c>
      <c r="G1659" s="32">
        <v>44471.0</v>
      </c>
      <c r="H1659" s="31" t="s">
        <v>453</v>
      </c>
      <c r="I1659" s="31" t="s">
        <v>555</v>
      </c>
      <c r="J1659" s="31" t="s">
        <v>556</v>
      </c>
      <c r="K1659" s="31" t="s">
        <v>557</v>
      </c>
      <c r="L1659" s="31" t="s">
        <v>476</v>
      </c>
      <c r="M1659" s="31" t="s">
        <v>6835</v>
      </c>
      <c r="N1659" s="31" t="s">
        <v>467</v>
      </c>
      <c r="O1659" s="34"/>
      <c r="P1659" s="34"/>
      <c r="Q1659" s="31" t="s">
        <v>307</v>
      </c>
      <c r="R1659" s="32">
        <v>36294.0</v>
      </c>
      <c r="S1659" s="31" t="s">
        <v>6836</v>
      </c>
      <c r="T1659" s="31" t="s">
        <v>5953</v>
      </c>
      <c r="U1659" s="31" t="s">
        <v>480</v>
      </c>
      <c r="V1659" s="31" t="s">
        <v>554</v>
      </c>
      <c r="W1659" s="34"/>
    </row>
    <row r="1660">
      <c r="A1660" s="30">
        <v>1.655</v>
      </c>
      <c r="B1660" s="31" t="s">
        <v>6837</v>
      </c>
      <c r="C1660" s="31" t="s">
        <v>6838</v>
      </c>
      <c r="D1660" s="31" t="s">
        <v>472</v>
      </c>
      <c r="E1660" s="31" t="s">
        <v>3419</v>
      </c>
      <c r="F1660" s="32">
        <v>43507.0</v>
      </c>
      <c r="G1660" s="32">
        <v>43566.0</v>
      </c>
      <c r="H1660" s="31" t="s">
        <v>453</v>
      </c>
      <c r="I1660" s="31" t="s">
        <v>454</v>
      </c>
      <c r="J1660" s="31" t="s">
        <v>3188</v>
      </c>
      <c r="K1660" s="31" t="s">
        <v>3420</v>
      </c>
      <c r="L1660" s="31" t="s">
        <v>476</v>
      </c>
      <c r="M1660" s="31" t="s">
        <v>6839</v>
      </c>
      <c r="N1660" s="31" t="s">
        <v>267</v>
      </c>
      <c r="O1660" s="34"/>
      <c r="P1660" s="34"/>
      <c r="Q1660" s="31" t="s">
        <v>307</v>
      </c>
      <c r="R1660" s="35">
        <v>35386.0</v>
      </c>
      <c r="S1660" s="31" t="s">
        <v>468</v>
      </c>
      <c r="T1660" s="31" t="s">
        <v>4337</v>
      </c>
      <c r="U1660" s="31" t="s">
        <v>460</v>
      </c>
      <c r="V1660" s="31" t="s">
        <v>3419</v>
      </c>
      <c r="W1660" s="34"/>
    </row>
    <row r="1661">
      <c r="A1661" s="30">
        <v>1.656</v>
      </c>
      <c r="B1661" s="31" t="s">
        <v>6840</v>
      </c>
      <c r="C1661" s="31" t="s">
        <v>6841</v>
      </c>
      <c r="D1661" s="31" t="s">
        <v>6842</v>
      </c>
      <c r="E1661" s="31" t="s">
        <v>4917</v>
      </c>
      <c r="F1661" s="32">
        <v>44256.0</v>
      </c>
      <c r="G1661" s="32">
        <v>44317.0</v>
      </c>
      <c r="H1661" s="31" t="s">
        <v>453</v>
      </c>
      <c r="I1661" s="31" t="s">
        <v>454</v>
      </c>
      <c r="J1661" s="31" t="s">
        <v>4917</v>
      </c>
      <c r="K1661" s="31" t="s">
        <v>4918</v>
      </c>
      <c r="L1661" s="31" t="s">
        <v>6843</v>
      </c>
      <c r="M1661" s="31" t="s">
        <v>6844</v>
      </c>
      <c r="N1661" s="31" t="s">
        <v>467</v>
      </c>
      <c r="O1661" s="34"/>
      <c r="P1661" s="34"/>
      <c r="Q1661" s="31" t="s">
        <v>307</v>
      </c>
      <c r="R1661" s="32">
        <v>33019.0</v>
      </c>
      <c r="S1661" s="31" t="s">
        <v>531</v>
      </c>
      <c r="T1661" s="31" t="s">
        <v>6845</v>
      </c>
      <c r="U1661" s="31" t="s">
        <v>460</v>
      </c>
      <c r="V1661" s="34"/>
      <c r="W1661" s="34"/>
    </row>
    <row r="1662">
      <c r="A1662" s="30">
        <v>1.657</v>
      </c>
      <c r="B1662" s="31" t="s">
        <v>6846</v>
      </c>
      <c r="C1662" s="31" t="s">
        <v>6847</v>
      </c>
      <c r="D1662" s="31" t="s">
        <v>6848</v>
      </c>
      <c r="E1662" s="31" t="s">
        <v>2463</v>
      </c>
      <c r="F1662" s="32">
        <v>39909.0</v>
      </c>
      <c r="G1662" s="32">
        <v>39970.0</v>
      </c>
      <c r="H1662" s="31" t="s">
        <v>453</v>
      </c>
      <c r="I1662" s="31" t="s">
        <v>2717</v>
      </c>
      <c r="J1662" s="31" t="s">
        <v>2463</v>
      </c>
      <c r="K1662" s="31" t="s">
        <v>5165</v>
      </c>
      <c r="L1662" s="31" t="s">
        <v>6849</v>
      </c>
      <c r="M1662" s="31" t="s">
        <v>6850</v>
      </c>
      <c r="N1662" s="31" t="s">
        <v>267</v>
      </c>
      <c r="O1662" s="31">
        <v>2.0</v>
      </c>
      <c r="P1662" s="34"/>
      <c r="Q1662" s="31" t="s">
        <v>307</v>
      </c>
      <c r="R1662" s="32">
        <v>30461.0</v>
      </c>
      <c r="S1662" s="31" t="s">
        <v>526</v>
      </c>
      <c r="T1662" s="31" t="s">
        <v>744</v>
      </c>
      <c r="U1662" s="31" t="s">
        <v>480</v>
      </c>
      <c r="V1662" s="34"/>
      <c r="W1662" s="34"/>
    </row>
    <row r="1663">
      <c r="A1663" s="30">
        <v>1.658</v>
      </c>
      <c r="B1663" s="31" t="s">
        <v>6851</v>
      </c>
      <c r="C1663" s="31" t="s">
        <v>6852</v>
      </c>
      <c r="D1663" s="31" t="s">
        <v>472</v>
      </c>
      <c r="E1663" s="31" t="s">
        <v>5747</v>
      </c>
      <c r="F1663" s="32">
        <v>43487.0</v>
      </c>
      <c r="G1663" s="32">
        <v>43546.0</v>
      </c>
      <c r="H1663" s="31" t="s">
        <v>453</v>
      </c>
      <c r="I1663" s="31" t="s">
        <v>454</v>
      </c>
      <c r="J1663" s="31" t="s">
        <v>3041</v>
      </c>
      <c r="K1663" s="31" t="s">
        <v>5748</v>
      </c>
      <c r="L1663" s="31" t="s">
        <v>476</v>
      </c>
      <c r="M1663" s="31" t="s">
        <v>6853</v>
      </c>
      <c r="N1663" s="31" t="s">
        <v>467</v>
      </c>
      <c r="O1663" s="34"/>
      <c r="P1663" s="34"/>
      <c r="Q1663" s="31" t="s">
        <v>307</v>
      </c>
      <c r="R1663" s="32">
        <v>35530.0</v>
      </c>
      <c r="S1663" s="31" t="s">
        <v>560</v>
      </c>
      <c r="T1663" s="31" t="s">
        <v>503</v>
      </c>
      <c r="U1663" s="31" t="s">
        <v>480</v>
      </c>
      <c r="V1663" s="31" t="s">
        <v>5747</v>
      </c>
      <c r="W1663" s="34"/>
    </row>
    <row r="1664">
      <c r="A1664" s="30">
        <v>1.659</v>
      </c>
      <c r="B1664" s="31" t="s">
        <v>6854</v>
      </c>
      <c r="C1664" s="31" t="s">
        <v>6855</v>
      </c>
      <c r="D1664" s="31" t="s">
        <v>6856</v>
      </c>
      <c r="E1664" s="31" t="s">
        <v>5194</v>
      </c>
      <c r="F1664" s="32">
        <v>41031.0</v>
      </c>
      <c r="G1664" s="32">
        <v>41092.0</v>
      </c>
      <c r="H1664" s="31" t="s">
        <v>453</v>
      </c>
      <c r="I1664" s="31" t="s">
        <v>555</v>
      </c>
      <c r="J1664" s="31" t="s">
        <v>5194</v>
      </c>
      <c r="K1664" s="31" t="s">
        <v>5195</v>
      </c>
      <c r="L1664" s="31" t="s">
        <v>6857</v>
      </c>
      <c r="M1664" s="31" t="s">
        <v>6858</v>
      </c>
      <c r="N1664" s="31" t="s">
        <v>467</v>
      </c>
      <c r="O1664" s="34"/>
      <c r="P1664" s="34"/>
      <c r="Q1664" s="31" t="s">
        <v>307</v>
      </c>
      <c r="R1664" s="32">
        <v>31922.0</v>
      </c>
      <c r="S1664" s="31" t="s">
        <v>560</v>
      </c>
      <c r="T1664" s="31" t="s">
        <v>496</v>
      </c>
      <c r="U1664" s="31" t="s">
        <v>480</v>
      </c>
      <c r="V1664" s="34"/>
      <c r="W1664" s="34"/>
    </row>
    <row r="1665">
      <c r="A1665" s="30">
        <v>1.66</v>
      </c>
      <c r="B1665" s="31" t="s">
        <v>6859</v>
      </c>
      <c r="C1665" s="31" t="s">
        <v>6860</v>
      </c>
      <c r="D1665" s="31" t="s">
        <v>3222</v>
      </c>
      <c r="E1665" s="31" t="s">
        <v>5492</v>
      </c>
      <c r="F1665" s="32">
        <v>44244.0</v>
      </c>
      <c r="G1665" s="32">
        <v>44303.0</v>
      </c>
      <c r="H1665" s="31" t="s">
        <v>453</v>
      </c>
      <c r="I1665" s="31" t="s">
        <v>454</v>
      </c>
      <c r="J1665" s="31" t="s">
        <v>2682</v>
      </c>
      <c r="K1665" s="31" t="s">
        <v>5493</v>
      </c>
      <c r="L1665" s="31" t="s">
        <v>3223</v>
      </c>
      <c r="M1665" s="31" t="s">
        <v>6861</v>
      </c>
      <c r="N1665" s="31" t="s">
        <v>267</v>
      </c>
      <c r="O1665" s="34"/>
      <c r="P1665" s="34"/>
      <c r="Q1665" s="31" t="s">
        <v>307</v>
      </c>
      <c r="R1665" s="32">
        <v>35287.0</v>
      </c>
      <c r="S1665" s="31" t="s">
        <v>531</v>
      </c>
      <c r="T1665" s="31" t="s">
        <v>665</v>
      </c>
      <c r="U1665" s="31" t="s">
        <v>480</v>
      </c>
      <c r="V1665" s="31" t="s">
        <v>5492</v>
      </c>
      <c r="W1665" s="34"/>
    </row>
    <row r="1666">
      <c r="A1666" s="30">
        <v>1.661</v>
      </c>
      <c r="B1666" s="31" t="s">
        <v>6862</v>
      </c>
      <c r="C1666" s="31" t="s">
        <v>6863</v>
      </c>
      <c r="D1666" s="31" t="s">
        <v>472</v>
      </c>
      <c r="E1666" s="31" t="s">
        <v>4983</v>
      </c>
      <c r="F1666" s="32">
        <v>44407.0</v>
      </c>
      <c r="G1666" s="32">
        <v>44469.0</v>
      </c>
      <c r="H1666" s="31" t="s">
        <v>453</v>
      </c>
      <c r="I1666" s="31" t="s">
        <v>4330</v>
      </c>
      <c r="J1666" s="31" t="s">
        <v>4331</v>
      </c>
      <c r="K1666" s="31" t="s">
        <v>4984</v>
      </c>
      <c r="L1666" s="31" t="s">
        <v>476</v>
      </c>
      <c r="M1666" s="31" t="s">
        <v>6864</v>
      </c>
      <c r="N1666" s="31" t="s">
        <v>467</v>
      </c>
      <c r="O1666" s="34"/>
      <c r="P1666" s="34"/>
      <c r="Q1666" s="31" t="s">
        <v>307</v>
      </c>
      <c r="R1666" s="32">
        <v>36692.0</v>
      </c>
      <c r="S1666" s="31" t="s">
        <v>1622</v>
      </c>
      <c r="T1666" s="31" t="s">
        <v>503</v>
      </c>
      <c r="U1666" s="31" t="s">
        <v>460</v>
      </c>
      <c r="V1666" s="31" t="s">
        <v>4983</v>
      </c>
      <c r="W1666" s="34"/>
    </row>
    <row r="1667">
      <c r="A1667" s="30">
        <v>1.662</v>
      </c>
      <c r="B1667" s="31" t="s">
        <v>6865</v>
      </c>
      <c r="C1667" s="31" t="s">
        <v>6866</v>
      </c>
      <c r="D1667" s="31" t="s">
        <v>472</v>
      </c>
      <c r="E1667" s="31" t="s">
        <v>6076</v>
      </c>
      <c r="F1667" s="32">
        <v>43207.0</v>
      </c>
      <c r="G1667" s="32">
        <v>43207.0</v>
      </c>
      <c r="H1667" s="31" t="s">
        <v>453</v>
      </c>
      <c r="I1667" s="31" t="s">
        <v>6077</v>
      </c>
      <c r="J1667" s="31" t="s">
        <v>6078</v>
      </c>
      <c r="K1667" s="31" t="s">
        <v>6079</v>
      </c>
      <c r="L1667" s="31" t="s">
        <v>3050</v>
      </c>
      <c r="M1667" s="31" t="s">
        <v>6867</v>
      </c>
      <c r="N1667" s="31" t="s">
        <v>467</v>
      </c>
      <c r="O1667" s="34"/>
      <c r="P1667" s="34"/>
      <c r="Q1667" s="31" t="s">
        <v>307</v>
      </c>
      <c r="R1667" s="32">
        <v>35165.0</v>
      </c>
      <c r="S1667" s="31" t="s">
        <v>1622</v>
      </c>
      <c r="T1667" s="31" t="s">
        <v>503</v>
      </c>
      <c r="U1667" s="31" t="s">
        <v>480</v>
      </c>
      <c r="V1667" s="31" t="s">
        <v>6076</v>
      </c>
      <c r="W1667" s="34"/>
    </row>
    <row r="1668">
      <c r="A1668" s="30">
        <v>1.663</v>
      </c>
      <c r="B1668" s="31" t="s">
        <v>6868</v>
      </c>
      <c r="C1668" s="31" t="s">
        <v>6869</v>
      </c>
      <c r="D1668" s="31" t="s">
        <v>472</v>
      </c>
      <c r="E1668" s="31" t="s">
        <v>3246</v>
      </c>
      <c r="F1668" s="32">
        <v>44368.0</v>
      </c>
      <c r="G1668" s="32">
        <v>44429.0</v>
      </c>
      <c r="H1668" s="31" t="s">
        <v>453</v>
      </c>
      <c r="I1668" s="31" t="s">
        <v>607</v>
      </c>
      <c r="J1668" s="31" t="s">
        <v>3247</v>
      </c>
      <c r="K1668" s="31" t="s">
        <v>3248</v>
      </c>
      <c r="L1668" s="31" t="s">
        <v>476</v>
      </c>
      <c r="M1668" s="31" t="s">
        <v>6870</v>
      </c>
      <c r="N1668" s="31" t="s">
        <v>467</v>
      </c>
      <c r="O1668" s="34"/>
      <c r="P1668" s="34"/>
      <c r="Q1668" s="31" t="s">
        <v>307</v>
      </c>
      <c r="R1668" s="35">
        <v>36852.0</v>
      </c>
      <c r="S1668" s="31" t="s">
        <v>1622</v>
      </c>
      <c r="T1668" s="31" t="s">
        <v>503</v>
      </c>
      <c r="U1668" s="31" t="s">
        <v>480</v>
      </c>
      <c r="V1668" s="31" t="s">
        <v>3246</v>
      </c>
      <c r="W1668" s="34"/>
    </row>
    <row r="1669">
      <c r="A1669" s="30">
        <v>1.664</v>
      </c>
      <c r="B1669" s="31" t="s">
        <v>6871</v>
      </c>
      <c r="C1669" s="31" t="s">
        <v>6872</v>
      </c>
      <c r="D1669" s="31" t="s">
        <v>4968</v>
      </c>
      <c r="E1669" s="31" t="s">
        <v>40</v>
      </c>
      <c r="F1669" s="32">
        <v>44137.0</v>
      </c>
      <c r="G1669" s="32">
        <v>44198.0</v>
      </c>
      <c r="H1669" s="31" t="s">
        <v>453</v>
      </c>
      <c r="I1669" s="31" t="s">
        <v>40</v>
      </c>
      <c r="J1669" s="34"/>
      <c r="K1669" s="31" t="s">
        <v>4969</v>
      </c>
      <c r="L1669" s="31" t="s">
        <v>4970</v>
      </c>
      <c r="M1669" s="31" t="s">
        <v>6873</v>
      </c>
      <c r="N1669" s="31" t="s">
        <v>467</v>
      </c>
      <c r="O1669" s="34"/>
      <c r="P1669" s="34"/>
      <c r="Q1669" s="31" t="s">
        <v>307</v>
      </c>
      <c r="R1669" s="35">
        <v>34998.0</v>
      </c>
      <c r="S1669" s="31" t="s">
        <v>560</v>
      </c>
      <c r="T1669" s="31" t="s">
        <v>3090</v>
      </c>
      <c r="U1669" s="31" t="s">
        <v>480</v>
      </c>
      <c r="V1669" s="34"/>
      <c r="W1669" s="34"/>
    </row>
    <row r="1670">
      <c r="A1670" s="30">
        <v>1.665</v>
      </c>
      <c r="B1670" s="31" t="s">
        <v>6874</v>
      </c>
      <c r="C1670" s="31" t="s">
        <v>6875</v>
      </c>
      <c r="D1670" s="31" t="s">
        <v>6876</v>
      </c>
      <c r="E1670" s="31" t="s">
        <v>40</v>
      </c>
      <c r="F1670" s="32">
        <v>43608.0</v>
      </c>
      <c r="G1670" s="32">
        <v>43669.0</v>
      </c>
      <c r="H1670" s="31" t="s">
        <v>453</v>
      </c>
      <c r="I1670" s="31" t="s">
        <v>40</v>
      </c>
      <c r="J1670" s="34"/>
      <c r="K1670" s="31" t="s">
        <v>4969</v>
      </c>
      <c r="L1670" s="31" t="s">
        <v>6877</v>
      </c>
      <c r="M1670" s="31" t="s">
        <v>6878</v>
      </c>
      <c r="N1670" s="31" t="s">
        <v>467</v>
      </c>
      <c r="O1670" s="31">
        <v>2.0</v>
      </c>
      <c r="P1670" s="34"/>
      <c r="Q1670" s="31" t="s">
        <v>307</v>
      </c>
      <c r="R1670" s="32">
        <v>31552.0</v>
      </c>
      <c r="S1670" s="31" t="s">
        <v>2467</v>
      </c>
      <c r="T1670" s="31" t="s">
        <v>496</v>
      </c>
      <c r="U1670" s="31" t="s">
        <v>310</v>
      </c>
      <c r="V1670" s="34"/>
      <c r="W1670" s="34"/>
    </row>
    <row r="1671">
      <c r="A1671" s="30">
        <v>1.666</v>
      </c>
      <c r="B1671" s="31" t="s">
        <v>6879</v>
      </c>
      <c r="C1671" s="31" t="s">
        <v>6880</v>
      </c>
      <c r="D1671" s="31" t="s">
        <v>452</v>
      </c>
      <c r="E1671" s="31" t="s">
        <v>3187</v>
      </c>
      <c r="F1671" s="32">
        <v>44013.0</v>
      </c>
      <c r="G1671" s="32">
        <v>44075.0</v>
      </c>
      <c r="H1671" s="31" t="s">
        <v>453</v>
      </c>
      <c r="I1671" s="31" t="s">
        <v>454</v>
      </c>
      <c r="J1671" s="31" t="s">
        <v>3188</v>
      </c>
      <c r="K1671" s="31" t="s">
        <v>3189</v>
      </c>
      <c r="L1671" s="31" t="s">
        <v>456</v>
      </c>
      <c r="M1671" s="31" t="s">
        <v>6881</v>
      </c>
      <c r="N1671" s="31" t="s">
        <v>267</v>
      </c>
      <c r="O1671" s="34"/>
      <c r="P1671" s="34"/>
      <c r="Q1671" s="31" t="s">
        <v>307</v>
      </c>
      <c r="R1671" s="32">
        <v>33750.0</v>
      </c>
      <c r="S1671" s="31" t="s">
        <v>626</v>
      </c>
      <c r="T1671" s="31" t="s">
        <v>459</v>
      </c>
      <c r="U1671" s="31" t="s">
        <v>460</v>
      </c>
      <c r="V1671" s="31" t="s">
        <v>3187</v>
      </c>
      <c r="W1671" s="34"/>
    </row>
    <row r="1672">
      <c r="A1672" s="30">
        <v>1.667</v>
      </c>
      <c r="B1672" s="31" t="s">
        <v>6882</v>
      </c>
      <c r="C1672" s="31" t="s">
        <v>6883</v>
      </c>
      <c r="D1672" s="31" t="s">
        <v>2422</v>
      </c>
      <c r="E1672" s="31" t="s">
        <v>38</v>
      </c>
      <c r="F1672" s="32">
        <v>40148.0</v>
      </c>
      <c r="G1672" s="32">
        <v>40210.0</v>
      </c>
      <c r="H1672" s="31" t="s">
        <v>453</v>
      </c>
      <c r="I1672" s="31" t="s">
        <v>2717</v>
      </c>
      <c r="J1672" s="31" t="s">
        <v>38</v>
      </c>
      <c r="K1672" s="31" t="s">
        <v>2718</v>
      </c>
      <c r="L1672" s="31" t="s">
        <v>2424</v>
      </c>
      <c r="M1672" s="31" t="s">
        <v>6884</v>
      </c>
      <c r="N1672" s="31" t="s">
        <v>267</v>
      </c>
      <c r="O1672" s="34"/>
      <c r="P1672" s="34"/>
      <c r="Q1672" s="31" t="s">
        <v>307</v>
      </c>
      <c r="R1672" s="35">
        <v>31364.0</v>
      </c>
      <c r="S1672" s="31" t="s">
        <v>6885</v>
      </c>
      <c r="T1672" s="31" t="s">
        <v>6886</v>
      </c>
      <c r="U1672" s="31" t="s">
        <v>460</v>
      </c>
      <c r="V1672" s="34"/>
      <c r="W1672" s="34"/>
    </row>
    <row r="1673">
      <c r="A1673" s="30">
        <v>1.668</v>
      </c>
      <c r="B1673" s="31" t="s">
        <v>6887</v>
      </c>
      <c r="C1673" s="31" t="s">
        <v>6888</v>
      </c>
      <c r="D1673" s="31" t="s">
        <v>452</v>
      </c>
      <c r="E1673" s="31" t="s">
        <v>6889</v>
      </c>
      <c r="F1673" s="32">
        <v>44403.0</v>
      </c>
      <c r="G1673" s="32">
        <v>44465.0</v>
      </c>
      <c r="H1673" s="31" t="s">
        <v>453</v>
      </c>
      <c r="I1673" s="31" t="s">
        <v>607</v>
      </c>
      <c r="J1673" s="31" t="s">
        <v>6890</v>
      </c>
      <c r="K1673" s="31" t="s">
        <v>6891</v>
      </c>
      <c r="L1673" s="31" t="s">
        <v>456</v>
      </c>
      <c r="M1673" s="31" t="s">
        <v>6892</v>
      </c>
      <c r="N1673" s="31" t="s">
        <v>467</v>
      </c>
      <c r="O1673" s="34"/>
      <c r="P1673" s="34"/>
      <c r="Q1673" s="31" t="s">
        <v>307</v>
      </c>
      <c r="R1673" s="32">
        <v>34351.0</v>
      </c>
      <c r="S1673" s="31" t="s">
        <v>458</v>
      </c>
      <c r="T1673" s="31" t="s">
        <v>778</v>
      </c>
      <c r="U1673" s="31" t="s">
        <v>643</v>
      </c>
      <c r="V1673" s="31" t="s">
        <v>6889</v>
      </c>
      <c r="W1673" s="34"/>
    </row>
    <row r="1674">
      <c r="A1674" s="30">
        <v>1.669</v>
      </c>
      <c r="B1674" s="31" t="s">
        <v>6893</v>
      </c>
      <c r="C1674" s="31" t="s">
        <v>6894</v>
      </c>
      <c r="D1674" s="31" t="s">
        <v>452</v>
      </c>
      <c r="E1674" s="31" t="s">
        <v>3377</v>
      </c>
      <c r="F1674" s="32">
        <v>44207.0</v>
      </c>
      <c r="G1674" s="32">
        <v>44266.0</v>
      </c>
      <c r="H1674" s="31" t="s">
        <v>453</v>
      </c>
      <c r="I1674" s="31" t="s">
        <v>454</v>
      </c>
      <c r="J1674" s="31" t="s">
        <v>3378</v>
      </c>
      <c r="K1674" s="31" t="s">
        <v>3379</v>
      </c>
      <c r="L1674" s="31" t="s">
        <v>456</v>
      </c>
      <c r="M1674" s="31" t="s">
        <v>6895</v>
      </c>
      <c r="N1674" s="31" t="s">
        <v>267</v>
      </c>
      <c r="O1674" s="34"/>
      <c r="P1674" s="34"/>
      <c r="Q1674" s="31" t="s">
        <v>307</v>
      </c>
      <c r="R1674" s="35">
        <v>33554.0</v>
      </c>
      <c r="S1674" s="31" t="s">
        <v>531</v>
      </c>
      <c r="T1674" s="31" t="s">
        <v>778</v>
      </c>
      <c r="U1674" s="31" t="s">
        <v>460</v>
      </c>
      <c r="V1674" s="31" t="s">
        <v>3377</v>
      </c>
      <c r="W1674" s="34"/>
    </row>
    <row r="1675">
      <c r="A1675" s="30">
        <v>1.67</v>
      </c>
      <c r="B1675" s="31" t="s">
        <v>6896</v>
      </c>
      <c r="C1675" s="31" t="s">
        <v>6897</v>
      </c>
      <c r="D1675" s="31" t="s">
        <v>2422</v>
      </c>
      <c r="E1675" s="31" t="s">
        <v>38</v>
      </c>
      <c r="F1675" s="32">
        <v>40652.0</v>
      </c>
      <c r="G1675" s="32">
        <v>40713.0</v>
      </c>
      <c r="H1675" s="31" t="s">
        <v>453</v>
      </c>
      <c r="I1675" s="31" t="s">
        <v>2717</v>
      </c>
      <c r="J1675" s="31" t="s">
        <v>38</v>
      </c>
      <c r="K1675" s="31" t="s">
        <v>2718</v>
      </c>
      <c r="L1675" s="31" t="s">
        <v>2424</v>
      </c>
      <c r="M1675" s="31" t="s">
        <v>6898</v>
      </c>
      <c r="N1675" s="31" t="s">
        <v>267</v>
      </c>
      <c r="O1675" s="34"/>
      <c r="P1675" s="34"/>
      <c r="Q1675" s="31" t="s">
        <v>307</v>
      </c>
      <c r="R1675" s="32">
        <v>31088.0</v>
      </c>
      <c r="S1675" s="31" t="s">
        <v>531</v>
      </c>
      <c r="T1675" s="31" t="s">
        <v>778</v>
      </c>
      <c r="U1675" s="31" t="s">
        <v>480</v>
      </c>
      <c r="V1675" s="34"/>
      <c r="W1675" s="34"/>
    </row>
    <row r="1676">
      <c r="A1676" s="30">
        <v>1.671</v>
      </c>
      <c r="B1676" s="31" t="s">
        <v>6899</v>
      </c>
      <c r="C1676" s="31" t="s">
        <v>6900</v>
      </c>
      <c r="D1676" s="31" t="s">
        <v>472</v>
      </c>
      <c r="E1676" s="31" t="s">
        <v>2696</v>
      </c>
      <c r="F1676" s="32">
        <v>44333.0</v>
      </c>
      <c r="G1676" s="32">
        <v>44394.0</v>
      </c>
      <c r="H1676" s="31" t="s">
        <v>453</v>
      </c>
      <c r="I1676" s="31" t="s">
        <v>607</v>
      </c>
      <c r="J1676" s="31" t="s">
        <v>2697</v>
      </c>
      <c r="K1676" s="31" t="s">
        <v>2698</v>
      </c>
      <c r="L1676" s="31" t="s">
        <v>476</v>
      </c>
      <c r="M1676" s="31" t="s">
        <v>6901</v>
      </c>
      <c r="N1676" s="31" t="s">
        <v>467</v>
      </c>
      <c r="O1676" s="34"/>
      <c r="P1676" s="34"/>
      <c r="Q1676" s="31" t="s">
        <v>307</v>
      </c>
      <c r="R1676" s="35">
        <v>35782.0</v>
      </c>
      <c r="S1676" s="31" t="s">
        <v>6256</v>
      </c>
      <c r="T1676" s="31" t="s">
        <v>6902</v>
      </c>
      <c r="U1676" s="31" t="s">
        <v>643</v>
      </c>
      <c r="V1676" s="31" t="s">
        <v>2696</v>
      </c>
      <c r="W1676" s="34"/>
    </row>
    <row r="1677">
      <c r="A1677" s="30">
        <v>1.672</v>
      </c>
      <c r="B1677" s="31" t="s">
        <v>6903</v>
      </c>
      <c r="C1677" s="31" t="s">
        <v>6904</v>
      </c>
      <c r="D1677" s="31" t="s">
        <v>499</v>
      </c>
      <c r="E1677" s="31" t="s">
        <v>4596</v>
      </c>
      <c r="F1677" s="32">
        <v>44371.0</v>
      </c>
      <c r="G1677" s="32">
        <v>44432.0</v>
      </c>
      <c r="H1677" s="31" t="s">
        <v>453</v>
      </c>
      <c r="I1677" s="31" t="s">
        <v>454</v>
      </c>
      <c r="J1677" s="31" t="s">
        <v>4597</v>
      </c>
      <c r="K1677" s="31" t="s">
        <v>4598</v>
      </c>
      <c r="L1677" s="31" t="s">
        <v>500</v>
      </c>
      <c r="M1677" s="31" t="s">
        <v>6905</v>
      </c>
      <c r="N1677" s="31" t="s">
        <v>467</v>
      </c>
      <c r="O1677" s="31">
        <v>1.0</v>
      </c>
      <c r="P1677" s="34"/>
      <c r="Q1677" s="31" t="s">
        <v>307</v>
      </c>
      <c r="R1677" s="32">
        <v>34363.0</v>
      </c>
      <c r="S1677" s="31" t="s">
        <v>560</v>
      </c>
      <c r="T1677" s="31" t="s">
        <v>496</v>
      </c>
      <c r="U1677" s="31" t="s">
        <v>460</v>
      </c>
      <c r="V1677" s="31" t="s">
        <v>4596</v>
      </c>
      <c r="W1677" s="34"/>
    </row>
    <row r="1678">
      <c r="A1678" s="30">
        <v>1.673</v>
      </c>
      <c r="B1678" s="31" t="s">
        <v>6906</v>
      </c>
      <c r="C1678" s="31" t="s">
        <v>6907</v>
      </c>
      <c r="D1678" s="31" t="s">
        <v>472</v>
      </c>
      <c r="E1678" s="31" t="s">
        <v>5747</v>
      </c>
      <c r="F1678" s="32">
        <v>43742.0</v>
      </c>
      <c r="G1678" s="32">
        <v>43803.0</v>
      </c>
      <c r="H1678" s="31" t="s">
        <v>453</v>
      </c>
      <c r="I1678" s="31" t="s">
        <v>454</v>
      </c>
      <c r="J1678" s="31" t="s">
        <v>3041</v>
      </c>
      <c r="K1678" s="31" t="s">
        <v>5748</v>
      </c>
      <c r="L1678" s="31" t="s">
        <v>476</v>
      </c>
      <c r="M1678" s="31" t="s">
        <v>6908</v>
      </c>
      <c r="N1678" s="31" t="s">
        <v>467</v>
      </c>
      <c r="O1678" s="34"/>
      <c r="P1678" s="34"/>
      <c r="Q1678" s="31" t="s">
        <v>307</v>
      </c>
      <c r="R1678" s="32">
        <v>35934.0</v>
      </c>
      <c r="S1678" s="31" t="s">
        <v>468</v>
      </c>
      <c r="T1678" s="31" t="s">
        <v>3198</v>
      </c>
      <c r="U1678" s="31" t="s">
        <v>480</v>
      </c>
      <c r="V1678" s="31" t="s">
        <v>5747</v>
      </c>
      <c r="W1678" s="34"/>
    </row>
    <row r="1679">
      <c r="A1679" s="30">
        <v>1.674</v>
      </c>
      <c r="B1679" s="31" t="s">
        <v>6909</v>
      </c>
      <c r="C1679" s="31" t="s">
        <v>6910</v>
      </c>
      <c r="D1679" s="31" t="s">
        <v>3132</v>
      </c>
      <c r="E1679" s="31" t="s">
        <v>3425</v>
      </c>
      <c r="F1679" s="32">
        <v>44410.0</v>
      </c>
      <c r="G1679" s="32">
        <v>44471.0</v>
      </c>
      <c r="H1679" s="31" t="s">
        <v>453</v>
      </c>
      <c r="I1679" s="31" t="s">
        <v>607</v>
      </c>
      <c r="J1679" s="31" t="s">
        <v>608</v>
      </c>
      <c r="K1679" s="31" t="s">
        <v>3426</v>
      </c>
      <c r="L1679" s="31" t="s">
        <v>3380</v>
      </c>
      <c r="M1679" s="31" t="s">
        <v>6911</v>
      </c>
      <c r="N1679" s="31" t="s">
        <v>467</v>
      </c>
      <c r="O1679" s="31">
        <v>2.0</v>
      </c>
      <c r="P1679" s="34"/>
      <c r="Q1679" s="31" t="s">
        <v>307</v>
      </c>
      <c r="R1679" s="32">
        <v>35401.0</v>
      </c>
      <c r="S1679" s="31" t="s">
        <v>433</v>
      </c>
      <c r="T1679" s="31" t="s">
        <v>778</v>
      </c>
      <c r="U1679" s="31" t="s">
        <v>480</v>
      </c>
      <c r="V1679" s="31" t="s">
        <v>3425</v>
      </c>
      <c r="W1679" s="34"/>
    </row>
    <row r="1680">
      <c r="A1680" s="30">
        <v>1.675</v>
      </c>
      <c r="B1680" s="31" t="s">
        <v>6912</v>
      </c>
      <c r="C1680" s="31" t="s">
        <v>6913</v>
      </c>
      <c r="D1680" s="31" t="s">
        <v>5330</v>
      </c>
      <c r="E1680" s="31" t="s">
        <v>40</v>
      </c>
      <c r="F1680" s="32">
        <v>39934.0</v>
      </c>
      <c r="G1680" s="32">
        <v>39995.0</v>
      </c>
      <c r="H1680" s="31" t="s">
        <v>453</v>
      </c>
      <c r="I1680" s="31" t="s">
        <v>40</v>
      </c>
      <c r="J1680" s="34"/>
      <c r="K1680" s="31" t="s">
        <v>4969</v>
      </c>
      <c r="L1680" s="31" t="s">
        <v>5331</v>
      </c>
      <c r="M1680" s="31" t="s">
        <v>6914</v>
      </c>
      <c r="N1680" s="31" t="s">
        <v>467</v>
      </c>
      <c r="O1680" s="31">
        <v>2.0</v>
      </c>
      <c r="P1680" s="34"/>
      <c r="Q1680" s="31" t="s">
        <v>307</v>
      </c>
      <c r="R1680" s="32">
        <v>29954.0</v>
      </c>
      <c r="S1680" s="31" t="s">
        <v>6915</v>
      </c>
      <c r="T1680" s="31" t="s">
        <v>6916</v>
      </c>
      <c r="U1680" s="31" t="s">
        <v>310</v>
      </c>
      <c r="V1680" s="34"/>
      <c r="W1680" s="34"/>
    </row>
    <row r="1681">
      <c r="A1681" s="30">
        <v>1.676</v>
      </c>
      <c r="B1681" s="31" t="s">
        <v>6917</v>
      </c>
      <c r="C1681" s="31" t="s">
        <v>6918</v>
      </c>
      <c r="D1681" s="31" t="s">
        <v>4747</v>
      </c>
      <c r="E1681" s="31" t="s">
        <v>3419</v>
      </c>
      <c r="F1681" s="32">
        <v>40817.0</v>
      </c>
      <c r="G1681" s="32">
        <v>40878.0</v>
      </c>
      <c r="H1681" s="31" t="s">
        <v>453</v>
      </c>
      <c r="I1681" s="31" t="s">
        <v>454</v>
      </c>
      <c r="J1681" s="31" t="s">
        <v>3188</v>
      </c>
      <c r="K1681" s="31" t="s">
        <v>3420</v>
      </c>
      <c r="L1681" s="31" t="s">
        <v>4748</v>
      </c>
      <c r="M1681" s="31" t="s">
        <v>6919</v>
      </c>
      <c r="N1681" s="31" t="s">
        <v>267</v>
      </c>
      <c r="O1681" s="34"/>
      <c r="P1681" s="34"/>
      <c r="Q1681" s="31" t="s">
        <v>581</v>
      </c>
      <c r="R1681" s="32">
        <v>31844.0</v>
      </c>
      <c r="S1681" s="31" t="s">
        <v>502</v>
      </c>
      <c r="T1681" s="31" t="s">
        <v>479</v>
      </c>
      <c r="U1681" s="31" t="s">
        <v>460</v>
      </c>
      <c r="V1681" s="31" t="s">
        <v>3419</v>
      </c>
      <c r="W1681" s="34"/>
    </row>
    <row r="1682">
      <c r="A1682" s="30">
        <v>1.677</v>
      </c>
      <c r="B1682" s="31" t="s">
        <v>6920</v>
      </c>
      <c r="C1682" s="31" t="s">
        <v>6097</v>
      </c>
      <c r="D1682" s="31" t="s">
        <v>499</v>
      </c>
      <c r="E1682" s="31" t="s">
        <v>4983</v>
      </c>
      <c r="F1682" s="32">
        <v>43698.0</v>
      </c>
      <c r="G1682" s="35">
        <v>43759.0</v>
      </c>
      <c r="H1682" s="31" t="s">
        <v>453</v>
      </c>
      <c r="I1682" s="31" t="s">
        <v>4330</v>
      </c>
      <c r="J1682" s="31" t="s">
        <v>4331</v>
      </c>
      <c r="K1682" s="31" t="s">
        <v>4984</v>
      </c>
      <c r="L1682" s="31" t="s">
        <v>500</v>
      </c>
      <c r="M1682" s="31" t="s">
        <v>6921</v>
      </c>
      <c r="N1682" s="31" t="s">
        <v>467</v>
      </c>
      <c r="O1682" s="31">
        <v>1.0</v>
      </c>
      <c r="P1682" s="34"/>
      <c r="Q1682" s="31" t="s">
        <v>307</v>
      </c>
      <c r="R1682" s="35">
        <v>35753.0</v>
      </c>
      <c r="S1682" s="31" t="s">
        <v>502</v>
      </c>
      <c r="T1682" s="31" t="s">
        <v>1370</v>
      </c>
      <c r="U1682" s="31" t="s">
        <v>460</v>
      </c>
      <c r="V1682" s="31" t="s">
        <v>4983</v>
      </c>
      <c r="W1682" s="34"/>
    </row>
    <row r="1683">
      <c r="A1683" s="30">
        <v>1.678</v>
      </c>
      <c r="B1683" s="31" t="s">
        <v>6922</v>
      </c>
      <c r="C1683" s="31" t="s">
        <v>4335</v>
      </c>
      <c r="D1683" s="31" t="s">
        <v>452</v>
      </c>
      <c r="E1683" s="31" t="s">
        <v>5705</v>
      </c>
      <c r="F1683" s="32">
        <v>44396.0</v>
      </c>
      <c r="G1683" s="32">
        <v>44458.0</v>
      </c>
      <c r="H1683" s="31" t="s">
        <v>453</v>
      </c>
      <c r="I1683" s="31" t="s">
        <v>454</v>
      </c>
      <c r="J1683" s="31" t="s">
        <v>4777</v>
      </c>
      <c r="K1683" s="31" t="s">
        <v>5706</v>
      </c>
      <c r="L1683" s="31" t="s">
        <v>456</v>
      </c>
      <c r="M1683" s="31" t="s">
        <v>6923</v>
      </c>
      <c r="N1683" s="31" t="s">
        <v>267</v>
      </c>
      <c r="O1683" s="34"/>
      <c r="P1683" s="34"/>
      <c r="Q1683" s="31" t="s">
        <v>307</v>
      </c>
      <c r="R1683" s="35">
        <v>35794.0</v>
      </c>
      <c r="S1683" s="31" t="s">
        <v>320</v>
      </c>
      <c r="T1683" s="31" t="s">
        <v>1522</v>
      </c>
      <c r="U1683" s="31" t="s">
        <v>480</v>
      </c>
      <c r="V1683" s="31" t="s">
        <v>5705</v>
      </c>
      <c r="W1683" s="34"/>
    </row>
    <row r="1684">
      <c r="A1684" s="30">
        <v>1.679</v>
      </c>
      <c r="B1684" s="31" t="s">
        <v>6924</v>
      </c>
      <c r="C1684" s="31" t="s">
        <v>6925</v>
      </c>
      <c r="D1684" s="31" t="s">
        <v>6926</v>
      </c>
      <c r="E1684" s="31" t="s">
        <v>587</v>
      </c>
      <c r="F1684" s="35">
        <v>38338.0</v>
      </c>
      <c r="G1684" s="35">
        <v>38338.0</v>
      </c>
      <c r="H1684" s="31" t="s">
        <v>453</v>
      </c>
      <c r="I1684" s="31" t="s">
        <v>587</v>
      </c>
      <c r="J1684" s="34"/>
      <c r="K1684" s="31" t="s">
        <v>588</v>
      </c>
      <c r="L1684" s="31" t="s">
        <v>6927</v>
      </c>
      <c r="M1684" s="31" t="s">
        <v>6928</v>
      </c>
      <c r="N1684" s="31" t="s">
        <v>467</v>
      </c>
      <c r="O1684" s="31">
        <v>4.0</v>
      </c>
      <c r="P1684" s="34"/>
      <c r="Q1684" s="31" t="s">
        <v>307</v>
      </c>
      <c r="R1684" s="32">
        <v>30210.0</v>
      </c>
      <c r="S1684" s="31" t="s">
        <v>560</v>
      </c>
      <c r="T1684" s="31" t="s">
        <v>479</v>
      </c>
      <c r="U1684" s="31" t="s">
        <v>480</v>
      </c>
      <c r="V1684" s="34"/>
      <c r="W1684" s="34"/>
    </row>
    <row r="1685">
      <c r="A1685" s="30">
        <v>1.68</v>
      </c>
      <c r="B1685" s="31" t="s">
        <v>6929</v>
      </c>
      <c r="C1685" s="31" t="s">
        <v>6930</v>
      </c>
      <c r="D1685" s="31" t="s">
        <v>472</v>
      </c>
      <c r="E1685" s="31" t="s">
        <v>4991</v>
      </c>
      <c r="F1685" s="32">
        <v>44228.0</v>
      </c>
      <c r="G1685" s="32">
        <v>44287.0</v>
      </c>
      <c r="H1685" s="31" t="s">
        <v>453</v>
      </c>
      <c r="I1685" s="31" t="s">
        <v>454</v>
      </c>
      <c r="J1685" s="31" t="s">
        <v>3217</v>
      </c>
      <c r="K1685" s="31" t="s">
        <v>4992</v>
      </c>
      <c r="L1685" s="31" t="s">
        <v>476</v>
      </c>
      <c r="M1685" s="31" t="s">
        <v>6931</v>
      </c>
      <c r="N1685" s="31" t="s">
        <v>467</v>
      </c>
      <c r="O1685" s="34"/>
      <c r="P1685" s="34"/>
      <c r="Q1685" s="31" t="s">
        <v>307</v>
      </c>
      <c r="R1685" s="32">
        <v>36266.0</v>
      </c>
      <c r="S1685" s="31" t="s">
        <v>560</v>
      </c>
      <c r="T1685" s="31" t="s">
        <v>752</v>
      </c>
      <c r="U1685" s="31" t="s">
        <v>480</v>
      </c>
      <c r="V1685" s="31" t="s">
        <v>4991</v>
      </c>
      <c r="W1685" s="34"/>
    </row>
    <row r="1686">
      <c r="A1686" s="30">
        <v>1.681</v>
      </c>
      <c r="B1686" s="31" t="s">
        <v>6932</v>
      </c>
      <c r="C1686" s="31" t="s">
        <v>6933</v>
      </c>
      <c r="D1686" s="31" t="s">
        <v>6934</v>
      </c>
      <c r="E1686" s="31" t="s">
        <v>2841</v>
      </c>
      <c r="F1686" s="32">
        <v>40664.0</v>
      </c>
      <c r="G1686" s="32">
        <v>40725.0</v>
      </c>
      <c r="H1686" s="31" t="s">
        <v>453</v>
      </c>
      <c r="I1686" s="31" t="s">
        <v>2841</v>
      </c>
      <c r="J1686" s="34"/>
      <c r="K1686" s="31" t="s">
        <v>2842</v>
      </c>
      <c r="L1686" s="31" t="s">
        <v>6935</v>
      </c>
      <c r="M1686" s="31" t="s">
        <v>6936</v>
      </c>
      <c r="N1686" s="31" t="s">
        <v>267</v>
      </c>
      <c r="O1686" s="34"/>
      <c r="P1686" s="34"/>
      <c r="Q1686" s="31" t="s">
        <v>307</v>
      </c>
      <c r="R1686" s="35">
        <v>32840.0</v>
      </c>
      <c r="S1686" s="31" t="s">
        <v>1332</v>
      </c>
      <c r="T1686" s="31" t="s">
        <v>2845</v>
      </c>
      <c r="U1686" s="31" t="s">
        <v>271</v>
      </c>
      <c r="V1686" s="34"/>
      <c r="W1686" s="34"/>
    </row>
    <row r="1687">
      <c r="A1687" s="30">
        <v>1.682</v>
      </c>
      <c r="B1687" s="31" t="s">
        <v>6937</v>
      </c>
      <c r="C1687" s="31" t="s">
        <v>6938</v>
      </c>
      <c r="D1687" s="31" t="s">
        <v>472</v>
      </c>
      <c r="E1687" s="31" t="s">
        <v>5091</v>
      </c>
      <c r="F1687" s="32">
        <v>42961.0</v>
      </c>
      <c r="G1687" s="35">
        <v>43022.0</v>
      </c>
      <c r="H1687" s="31" t="s">
        <v>453</v>
      </c>
      <c r="I1687" s="31" t="s">
        <v>2835</v>
      </c>
      <c r="J1687" s="31" t="s">
        <v>4612</v>
      </c>
      <c r="K1687" s="31" t="s">
        <v>5092</v>
      </c>
      <c r="L1687" s="31" t="s">
        <v>476</v>
      </c>
      <c r="M1687" s="31" t="s">
        <v>6939</v>
      </c>
      <c r="N1687" s="31" t="s">
        <v>467</v>
      </c>
      <c r="O1687" s="34"/>
      <c r="P1687" s="34"/>
      <c r="Q1687" s="31" t="s">
        <v>307</v>
      </c>
      <c r="R1687" s="32">
        <v>34798.0</v>
      </c>
      <c r="S1687" s="31" t="s">
        <v>6256</v>
      </c>
      <c r="T1687" s="31" t="s">
        <v>854</v>
      </c>
      <c r="U1687" s="31" t="s">
        <v>480</v>
      </c>
      <c r="V1687" s="31" t="s">
        <v>5091</v>
      </c>
      <c r="W1687" s="34"/>
    </row>
    <row r="1688">
      <c r="A1688" s="30">
        <v>1.683</v>
      </c>
      <c r="B1688" s="31" t="s">
        <v>6940</v>
      </c>
      <c r="C1688" s="31" t="s">
        <v>6941</v>
      </c>
      <c r="D1688" s="31" t="s">
        <v>553</v>
      </c>
      <c r="E1688" s="31" t="s">
        <v>4414</v>
      </c>
      <c r="F1688" s="32">
        <v>42171.0</v>
      </c>
      <c r="G1688" s="32">
        <v>42234.0</v>
      </c>
      <c r="H1688" s="31" t="s">
        <v>453</v>
      </c>
      <c r="I1688" s="31" t="s">
        <v>607</v>
      </c>
      <c r="J1688" s="31" t="s">
        <v>4415</v>
      </c>
      <c r="K1688" s="31" t="s">
        <v>4416</v>
      </c>
      <c r="L1688" s="31" t="s">
        <v>558</v>
      </c>
      <c r="M1688" s="31" t="s">
        <v>6942</v>
      </c>
      <c r="N1688" s="31" t="s">
        <v>267</v>
      </c>
      <c r="O1688" s="34"/>
      <c r="P1688" s="34"/>
      <c r="Q1688" s="31" t="s">
        <v>581</v>
      </c>
      <c r="R1688" s="32">
        <v>34176.0</v>
      </c>
      <c r="S1688" s="31" t="s">
        <v>626</v>
      </c>
      <c r="T1688" s="31" t="s">
        <v>744</v>
      </c>
      <c r="U1688" s="31" t="s">
        <v>643</v>
      </c>
      <c r="V1688" s="31" t="s">
        <v>4414</v>
      </c>
      <c r="W1688" s="34"/>
    </row>
    <row r="1689">
      <c r="A1689" s="30">
        <v>1.684</v>
      </c>
      <c r="B1689" s="31" t="s">
        <v>6943</v>
      </c>
      <c r="C1689" s="31" t="s">
        <v>6944</v>
      </c>
      <c r="D1689" s="31" t="s">
        <v>6945</v>
      </c>
      <c r="E1689" s="31" t="s">
        <v>6946</v>
      </c>
      <c r="F1689" s="32">
        <v>39790.0</v>
      </c>
      <c r="G1689" s="32">
        <v>39852.0</v>
      </c>
      <c r="H1689" s="31" t="s">
        <v>453</v>
      </c>
      <c r="I1689" s="31" t="s">
        <v>52</v>
      </c>
      <c r="J1689" s="31" t="s">
        <v>6946</v>
      </c>
      <c r="K1689" s="31" t="s">
        <v>6947</v>
      </c>
      <c r="L1689" s="31" t="s">
        <v>6948</v>
      </c>
      <c r="M1689" s="31" t="s">
        <v>6949</v>
      </c>
      <c r="N1689" s="31" t="s">
        <v>467</v>
      </c>
      <c r="O1689" s="31">
        <v>4.0</v>
      </c>
      <c r="P1689" s="34"/>
      <c r="Q1689" s="31" t="s">
        <v>307</v>
      </c>
      <c r="R1689" s="32">
        <v>31185.0</v>
      </c>
      <c r="S1689" s="31" t="s">
        <v>560</v>
      </c>
      <c r="T1689" s="31" t="s">
        <v>479</v>
      </c>
      <c r="U1689" s="31" t="s">
        <v>643</v>
      </c>
      <c r="V1689" s="34"/>
      <c r="W1689" s="34"/>
    </row>
    <row r="1690">
      <c r="A1690" s="30">
        <v>1.685</v>
      </c>
      <c r="B1690" s="31" t="s">
        <v>6950</v>
      </c>
      <c r="C1690" s="31" t="s">
        <v>6951</v>
      </c>
      <c r="D1690" s="31" t="s">
        <v>472</v>
      </c>
      <c r="E1690" s="31" t="s">
        <v>606</v>
      </c>
      <c r="F1690" s="32">
        <v>44308.0</v>
      </c>
      <c r="G1690" s="32">
        <v>44369.0</v>
      </c>
      <c r="H1690" s="31" t="s">
        <v>453</v>
      </c>
      <c r="I1690" s="31" t="s">
        <v>607</v>
      </c>
      <c r="J1690" s="31" t="s">
        <v>608</v>
      </c>
      <c r="K1690" s="31" t="s">
        <v>609</v>
      </c>
      <c r="L1690" s="31" t="s">
        <v>476</v>
      </c>
      <c r="M1690" s="31" t="s">
        <v>6952</v>
      </c>
      <c r="N1690" s="31" t="s">
        <v>467</v>
      </c>
      <c r="O1690" s="34"/>
      <c r="P1690" s="34"/>
      <c r="Q1690" s="31" t="s">
        <v>307</v>
      </c>
      <c r="R1690" s="32">
        <v>36331.0</v>
      </c>
      <c r="S1690" s="31" t="s">
        <v>560</v>
      </c>
      <c r="T1690" s="31" t="s">
        <v>503</v>
      </c>
      <c r="U1690" s="31" t="s">
        <v>480</v>
      </c>
      <c r="V1690" s="31" t="s">
        <v>606</v>
      </c>
      <c r="W1690" s="34"/>
    </row>
    <row r="1691">
      <c r="A1691" s="30">
        <v>1.686</v>
      </c>
      <c r="B1691" s="31" t="s">
        <v>6953</v>
      </c>
      <c r="C1691" s="31" t="s">
        <v>6954</v>
      </c>
      <c r="D1691" s="31" t="s">
        <v>622</v>
      </c>
      <c r="E1691" s="31" t="s">
        <v>41</v>
      </c>
      <c r="F1691" s="32">
        <v>42614.0</v>
      </c>
      <c r="G1691" s="32">
        <v>42675.0</v>
      </c>
      <c r="H1691" s="31" t="s">
        <v>453</v>
      </c>
      <c r="I1691" s="31" t="s">
        <v>41</v>
      </c>
      <c r="J1691" s="34"/>
      <c r="K1691" s="31" t="s">
        <v>623</v>
      </c>
      <c r="L1691" s="31" t="s">
        <v>624</v>
      </c>
      <c r="M1691" s="31" t="s">
        <v>6955</v>
      </c>
      <c r="N1691" s="31" t="s">
        <v>267</v>
      </c>
      <c r="O1691" s="34"/>
      <c r="P1691" s="34"/>
      <c r="Q1691" s="31" t="s">
        <v>307</v>
      </c>
      <c r="R1691" s="32">
        <v>34607.0</v>
      </c>
      <c r="S1691" s="31" t="s">
        <v>458</v>
      </c>
      <c r="T1691" s="31" t="s">
        <v>686</v>
      </c>
      <c r="U1691" s="31" t="s">
        <v>480</v>
      </c>
      <c r="V1691" s="34"/>
      <c r="W1691" s="34"/>
    </row>
    <row r="1692">
      <c r="A1692" s="30">
        <v>1.687</v>
      </c>
      <c r="B1692" s="31" t="s">
        <v>6956</v>
      </c>
      <c r="C1692" s="31" t="s">
        <v>6957</v>
      </c>
      <c r="D1692" s="31" t="s">
        <v>472</v>
      </c>
      <c r="E1692" s="31" t="s">
        <v>6382</v>
      </c>
      <c r="F1692" s="32">
        <v>44368.0</v>
      </c>
      <c r="G1692" s="32">
        <v>44429.0</v>
      </c>
      <c r="H1692" s="31" t="s">
        <v>453</v>
      </c>
      <c r="I1692" s="31" t="s">
        <v>566</v>
      </c>
      <c r="J1692" s="31" t="s">
        <v>6383</v>
      </c>
      <c r="K1692" s="31" t="s">
        <v>6384</v>
      </c>
      <c r="L1692" s="31" t="s">
        <v>476</v>
      </c>
      <c r="M1692" s="31" t="s">
        <v>6958</v>
      </c>
      <c r="N1692" s="31" t="s">
        <v>467</v>
      </c>
      <c r="O1692" s="34"/>
      <c r="P1692" s="34"/>
      <c r="Q1692" s="31" t="s">
        <v>307</v>
      </c>
      <c r="R1692" s="35">
        <v>36887.0</v>
      </c>
      <c r="S1692" s="31" t="s">
        <v>560</v>
      </c>
      <c r="T1692" s="31" t="s">
        <v>479</v>
      </c>
      <c r="U1692" s="31" t="s">
        <v>480</v>
      </c>
      <c r="V1692" s="31" t="s">
        <v>6382</v>
      </c>
      <c r="W1692" s="34"/>
    </row>
    <row r="1693">
      <c r="A1693" s="30">
        <v>1.688</v>
      </c>
      <c r="B1693" s="31" t="s">
        <v>6959</v>
      </c>
      <c r="C1693" s="31" t="s">
        <v>6960</v>
      </c>
      <c r="D1693" s="31" t="s">
        <v>472</v>
      </c>
      <c r="E1693" s="31" t="s">
        <v>4822</v>
      </c>
      <c r="F1693" s="32">
        <v>43622.0</v>
      </c>
      <c r="G1693" s="32">
        <v>43683.0</v>
      </c>
      <c r="H1693" s="31" t="s">
        <v>453</v>
      </c>
      <c r="I1693" s="31" t="s">
        <v>454</v>
      </c>
      <c r="J1693" s="31" t="s">
        <v>4823</v>
      </c>
      <c r="K1693" s="31" t="s">
        <v>4824</v>
      </c>
      <c r="L1693" s="31" t="s">
        <v>476</v>
      </c>
      <c r="M1693" s="31" t="s">
        <v>6961</v>
      </c>
      <c r="N1693" s="31" t="s">
        <v>467</v>
      </c>
      <c r="O1693" s="34"/>
      <c r="P1693" s="34"/>
      <c r="Q1693" s="31" t="s">
        <v>307</v>
      </c>
      <c r="R1693" s="32">
        <v>35475.0</v>
      </c>
      <c r="S1693" s="31" t="s">
        <v>515</v>
      </c>
      <c r="T1693" s="31" t="s">
        <v>3198</v>
      </c>
      <c r="U1693" s="31" t="s">
        <v>460</v>
      </c>
      <c r="V1693" s="31" t="s">
        <v>4822</v>
      </c>
      <c r="W1693" s="34"/>
    </row>
    <row r="1694">
      <c r="A1694" s="30">
        <v>1.689</v>
      </c>
      <c r="B1694" s="31" t="s">
        <v>6962</v>
      </c>
      <c r="C1694" s="31" t="s">
        <v>6963</v>
      </c>
      <c r="D1694" s="31" t="s">
        <v>472</v>
      </c>
      <c r="E1694" s="31" t="s">
        <v>4983</v>
      </c>
      <c r="F1694" s="32">
        <v>44021.0</v>
      </c>
      <c r="G1694" s="32">
        <v>44083.0</v>
      </c>
      <c r="H1694" s="31" t="s">
        <v>453</v>
      </c>
      <c r="I1694" s="31" t="s">
        <v>4330</v>
      </c>
      <c r="J1694" s="31" t="s">
        <v>4331</v>
      </c>
      <c r="K1694" s="31" t="s">
        <v>4984</v>
      </c>
      <c r="L1694" s="31" t="s">
        <v>476</v>
      </c>
      <c r="M1694" s="31" t="s">
        <v>6964</v>
      </c>
      <c r="N1694" s="31" t="s">
        <v>467</v>
      </c>
      <c r="O1694" s="34"/>
      <c r="P1694" s="34"/>
      <c r="Q1694" s="31" t="s">
        <v>307</v>
      </c>
      <c r="R1694" s="32">
        <v>36382.0</v>
      </c>
      <c r="S1694" s="31" t="s">
        <v>560</v>
      </c>
      <c r="T1694" s="31" t="s">
        <v>479</v>
      </c>
      <c r="U1694" s="31" t="s">
        <v>460</v>
      </c>
      <c r="V1694" s="31" t="s">
        <v>4983</v>
      </c>
      <c r="W1694" s="34"/>
    </row>
    <row r="1695">
      <c r="A1695" s="30">
        <v>1.69</v>
      </c>
      <c r="B1695" s="31" t="s">
        <v>6965</v>
      </c>
      <c r="C1695" s="31" t="s">
        <v>6966</v>
      </c>
      <c r="D1695" s="31" t="s">
        <v>4747</v>
      </c>
      <c r="E1695" s="31" t="s">
        <v>2874</v>
      </c>
      <c r="F1695" s="32">
        <v>39852.0</v>
      </c>
      <c r="G1695" s="32">
        <v>44711.0</v>
      </c>
      <c r="H1695" s="31" t="s">
        <v>453</v>
      </c>
      <c r="I1695" s="31" t="s">
        <v>52</v>
      </c>
      <c r="J1695" s="31" t="s">
        <v>2874</v>
      </c>
      <c r="K1695" s="31" t="s">
        <v>2875</v>
      </c>
      <c r="L1695" s="31" t="s">
        <v>4748</v>
      </c>
      <c r="M1695" s="31" t="s">
        <v>6967</v>
      </c>
      <c r="N1695" s="31" t="s">
        <v>467</v>
      </c>
      <c r="O1695" s="34"/>
      <c r="P1695" s="34"/>
      <c r="Q1695" s="31" t="s">
        <v>307</v>
      </c>
      <c r="R1695" s="32">
        <v>30823.0</v>
      </c>
      <c r="S1695" s="31" t="s">
        <v>3205</v>
      </c>
      <c r="T1695" s="31" t="s">
        <v>6968</v>
      </c>
      <c r="U1695" s="31" t="s">
        <v>643</v>
      </c>
      <c r="V1695" s="34"/>
      <c r="W1695" s="34"/>
    </row>
    <row r="1696">
      <c r="A1696" s="30">
        <v>1.691</v>
      </c>
      <c r="B1696" s="31" t="s">
        <v>6969</v>
      </c>
      <c r="C1696" s="31" t="s">
        <v>6970</v>
      </c>
      <c r="D1696" s="31" t="s">
        <v>615</v>
      </c>
      <c r="E1696" s="31" t="s">
        <v>4764</v>
      </c>
      <c r="F1696" s="32">
        <v>44348.0</v>
      </c>
      <c r="G1696" s="32">
        <v>44409.0</v>
      </c>
      <c r="H1696" s="31" t="s">
        <v>453</v>
      </c>
      <c r="I1696" s="31" t="s">
        <v>47</v>
      </c>
      <c r="J1696" s="31" t="s">
        <v>4765</v>
      </c>
      <c r="K1696" s="31" t="s">
        <v>4766</v>
      </c>
      <c r="L1696" s="31" t="s">
        <v>618</v>
      </c>
      <c r="M1696" s="31" t="s">
        <v>6971</v>
      </c>
      <c r="N1696" s="31" t="s">
        <v>267</v>
      </c>
      <c r="O1696" s="34"/>
      <c r="P1696" s="34"/>
      <c r="Q1696" s="31" t="s">
        <v>307</v>
      </c>
      <c r="R1696" s="32">
        <v>35229.0</v>
      </c>
      <c r="S1696" s="31" t="s">
        <v>4976</v>
      </c>
      <c r="T1696" s="31" t="s">
        <v>1865</v>
      </c>
      <c r="U1696" s="31" t="s">
        <v>480</v>
      </c>
      <c r="V1696" s="31" t="s">
        <v>4764</v>
      </c>
      <c r="W1696" s="34"/>
    </row>
    <row r="1697">
      <c r="A1697" s="30">
        <v>1.692</v>
      </c>
      <c r="B1697" s="31" t="s">
        <v>6972</v>
      </c>
      <c r="C1697" s="31" t="s">
        <v>6973</v>
      </c>
      <c r="D1697" s="31" t="s">
        <v>472</v>
      </c>
      <c r="E1697" s="31" t="s">
        <v>5106</v>
      </c>
      <c r="F1697" s="32">
        <v>44308.0</v>
      </c>
      <c r="G1697" s="32">
        <v>44369.0</v>
      </c>
      <c r="H1697" s="31" t="s">
        <v>453</v>
      </c>
      <c r="I1697" s="31" t="s">
        <v>454</v>
      </c>
      <c r="J1697" s="31" t="s">
        <v>5107</v>
      </c>
      <c r="K1697" s="31" t="s">
        <v>5108</v>
      </c>
      <c r="L1697" s="31" t="s">
        <v>476</v>
      </c>
      <c r="M1697" s="31" t="s">
        <v>6974</v>
      </c>
      <c r="N1697" s="31" t="s">
        <v>467</v>
      </c>
      <c r="O1697" s="34"/>
      <c r="P1697" s="34"/>
      <c r="Q1697" s="31" t="s">
        <v>307</v>
      </c>
      <c r="R1697" s="32">
        <v>35636.0</v>
      </c>
      <c r="S1697" s="31" t="s">
        <v>468</v>
      </c>
      <c r="T1697" s="31" t="s">
        <v>4337</v>
      </c>
      <c r="U1697" s="31" t="s">
        <v>480</v>
      </c>
      <c r="V1697" s="31" t="s">
        <v>5106</v>
      </c>
      <c r="W1697" s="34"/>
    </row>
    <row r="1698">
      <c r="A1698" s="30">
        <v>1.693</v>
      </c>
      <c r="B1698" s="31" t="s">
        <v>6975</v>
      </c>
      <c r="C1698" s="31" t="s">
        <v>6976</v>
      </c>
      <c r="D1698" s="31" t="s">
        <v>499</v>
      </c>
      <c r="E1698" s="31" t="s">
        <v>4414</v>
      </c>
      <c r="F1698" s="32">
        <v>43203.0</v>
      </c>
      <c r="G1698" s="32">
        <v>43962.0</v>
      </c>
      <c r="H1698" s="31" t="s">
        <v>453</v>
      </c>
      <c r="I1698" s="31" t="s">
        <v>607</v>
      </c>
      <c r="J1698" s="31" t="s">
        <v>4415</v>
      </c>
      <c r="K1698" s="31" t="s">
        <v>4416</v>
      </c>
      <c r="L1698" s="31" t="s">
        <v>500</v>
      </c>
      <c r="M1698" s="31" t="s">
        <v>6977</v>
      </c>
      <c r="N1698" s="31" t="s">
        <v>467</v>
      </c>
      <c r="O1698" s="31">
        <v>1.0</v>
      </c>
      <c r="P1698" s="34"/>
      <c r="Q1698" s="31" t="s">
        <v>307</v>
      </c>
      <c r="R1698" s="32">
        <v>35074.0</v>
      </c>
      <c r="S1698" s="31" t="s">
        <v>560</v>
      </c>
      <c r="T1698" s="31" t="s">
        <v>6978</v>
      </c>
      <c r="U1698" s="31" t="s">
        <v>643</v>
      </c>
      <c r="V1698" s="31" t="s">
        <v>4414</v>
      </c>
      <c r="W1698" s="34"/>
    </row>
    <row r="1699">
      <c r="A1699" s="30">
        <v>1.694</v>
      </c>
      <c r="B1699" s="31" t="s">
        <v>6979</v>
      </c>
      <c r="C1699" s="31" t="s">
        <v>6980</v>
      </c>
      <c r="D1699" s="31" t="s">
        <v>6981</v>
      </c>
      <c r="E1699" s="31" t="s">
        <v>4917</v>
      </c>
      <c r="F1699" s="32">
        <v>42131.0</v>
      </c>
      <c r="G1699" s="32">
        <v>42192.0</v>
      </c>
      <c r="H1699" s="31" t="s">
        <v>453</v>
      </c>
      <c r="I1699" s="31" t="s">
        <v>454</v>
      </c>
      <c r="J1699" s="31" t="s">
        <v>4917</v>
      </c>
      <c r="K1699" s="31" t="s">
        <v>4918</v>
      </c>
      <c r="L1699" s="31" t="s">
        <v>6982</v>
      </c>
      <c r="M1699" s="31" t="s">
        <v>6983</v>
      </c>
      <c r="N1699" s="31" t="s">
        <v>267</v>
      </c>
      <c r="O1699" s="34"/>
      <c r="P1699" s="34"/>
      <c r="Q1699" s="31" t="s">
        <v>581</v>
      </c>
      <c r="R1699" s="32">
        <v>33208.0</v>
      </c>
      <c r="S1699" s="31" t="s">
        <v>320</v>
      </c>
      <c r="T1699" s="31" t="s">
        <v>999</v>
      </c>
      <c r="U1699" s="31" t="s">
        <v>480</v>
      </c>
      <c r="V1699" s="34"/>
      <c r="W1699" s="34"/>
    </row>
    <row r="1700">
      <c r="A1700" s="30">
        <v>1.695</v>
      </c>
      <c r="B1700" s="31" t="s">
        <v>6984</v>
      </c>
      <c r="C1700" s="31" t="s">
        <v>6985</v>
      </c>
      <c r="D1700" s="31" t="s">
        <v>472</v>
      </c>
      <c r="E1700" s="31" t="s">
        <v>4492</v>
      </c>
      <c r="F1700" s="32">
        <v>44137.0</v>
      </c>
      <c r="G1700" s="32">
        <v>44198.0</v>
      </c>
      <c r="H1700" s="31" t="s">
        <v>453</v>
      </c>
      <c r="I1700" s="31" t="s">
        <v>555</v>
      </c>
      <c r="J1700" s="31" t="s">
        <v>556</v>
      </c>
      <c r="K1700" s="31" t="s">
        <v>4493</v>
      </c>
      <c r="L1700" s="31" t="s">
        <v>476</v>
      </c>
      <c r="M1700" s="31" t="s">
        <v>6986</v>
      </c>
      <c r="N1700" s="31" t="s">
        <v>467</v>
      </c>
      <c r="O1700" s="34"/>
      <c r="P1700" s="34"/>
      <c r="Q1700" s="31" t="s">
        <v>307</v>
      </c>
      <c r="R1700" s="35">
        <v>36085.0</v>
      </c>
      <c r="S1700" s="31" t="s">
        <v>591</v>
      </c>
      <c r="T1700" s="31" t="s">
        <v>961</v>
      </c>
      <c r="U1700" s="31" t="s">
        <v>480</v>
      </c>
      <c r="V1700" s="31" t="s">
        <v>4492</v>
      </c>
      <c r="W1700" s="34"/>
    </row>
    <row r="1701">
      <c r="A1701" s="30">
        <v>1.696</v>
      </c>
      <c r="B1701" s="31" t="s">
        <v>6987</v>
      </c>
      <c r="C1701" s="31" t="s">
        <v>5884</v>
      </c>
      <c r="D1701" s="31" t="s">
        <v>4828</v>
      </c>
      <c r="E1701" s="31" t="s">
        <v>2696</v>
      </c>
      <c r="F1701" s="35">
        <v>43416.0</v>
      </c>
      <c r="G1701" s="32">
        <v>43477.0</v>
      </c>
      <c r="H1701" s="31" t="s">
        <v>453</v>
      </c>
      <c r="I1701" s="31" t="s">
        <v>607</v>
      </c>
      <c r="J1701" s="31" t="s">
        <v>2697</v>
      </c>
      <c r="K1701" s="31" t="s">
        <v>2698</v>
      </c>
      <c r="L1701" s="31" t="s">
        <v>4829</v>
      </c>
      <c r="M1701" s="31" t="s">
        <v>6988</v>
      </c>
      <c r="N1701" s="31" t="s">
        <v>267</v>
      </c>
      <c r="O1701" s="31">
        <v>1.0</v>
      </c>
      <c r="P1701" s="34"/>
      <c r="Q1701" s="31" t="s">
        <v>581</v>
      </c>
      <c r="R1701" s="35">
        <v>34992.0</v>
      </c>
      <c r="S1701" s="31" t="s">
        <v>4887</v>
      </c>
      <c r="T1701" s="31" t="s">
        <v>6113</v>
      </c>
      <c r="U1701" s="31" t="s">
        <v>643</v>
      </c>
      <c r="V1701" s="31" t="s">
        <v>2696</v>
      </c>
      <c r="W1701" s="34"/>
    </row>
    <row r="1702">
      <c r="A1702" s="30">
        <v>1.697</v>
      </c>
      <c r="B1702" s="31" t="s">
        <v>6989</v>
      </c>
      <c r="C1702" s="31" t="s">
        <v>6990</v>
      </c>
      <c r="D1702" s="31" t="s">
        <v>4828</v>
      </c>
      <c r="E1702" s="31" t="s">
        <v>3377</v>
      </c>
      <c r="F1702" s="32">
        <v>40513.0</v>
      </c>
      <c r="G1702" s="32">
        <v>40575.0</v>
      </c>
      <c r="H1702" s="31" t="s">
        <v>453</v>
      </c>
      <c r="I1702" s="31" t="s">
        <v>454</v>
      </c>
      <c r="J1702" s="31" t="s">
        <v>3378</v>
      </c>
      <c r="K1702" s="31" t="s">
        <v>3379</v>
      </c>
      <c r="L1702" s="31" t="s">
        <v>4829</v>
      </c>
      <c r="M1702" s="31" t="s">
        <v>6991</v>
      </c>
      <c r="N1702" s="31" t="s">
        <v>267</v>
      </c>
      <c r="O1702" s="31">
        <v>1.0</v>
      </c>
      <c r="P1702" s="34"/>
      <c r="Q1702" s="31" t="s">
        <v>307</v>
      </c>
      <c r="R1702" s="32">
        <v>32371.0</v>
      </c>
      <c r="S1702" s="31" t="s">
        <v>700</v>
      </c>
      <c r="T1702" s="31" t="s">
        <v>686</v>
      </c>
      <c r="U1702" s="31" t="s">
        <v>460</v>
      </c>
      <c r="V1702" s="31" t="s">
        <v>3377</v>
      </c>
      <c r="W1702" s="34"/>
    </row>
    <row r="1703">
      <c r="A1703" s="30">
        <v>1.698</v>
      </c>
      <c r="B1703" s="31" t="s">
        <v>6992</v>
      </c>
      <c r="C1703" s="31" t="s">
        <v>6993</v>
      </c>
      <c r="D1703" s="31" t="s">
        <v>499</v>
      </c>
      <c r="E1703" s="31" t="s">
        <v>4596</v>
      </c>
      <c r="F1703" s="32">
        <v>43353.0</v>
      </c>
      <c r="G1703" s="32">
        <v>43353.0</v>
      </c>
      <c r="H1703" s="31" t="s">
        <v>453</v>
      </c>
      <c r="I1703" s="31" t="s">
        <v>454</v>
      </c>
      <c r="J1703" s="31" t="s">
        <v>4597</v>
      </c>
      <c r="K1703" s="31" t="s">
        <v>4598</v>
      </c>
      <c r="L1703" s="31" t="s">
        <v>500</v>
      </c>
      <c r="M1703" s="31" t="s">
        <v>6994</v>
      </c>
      <c r="N1703" s="31" t="s">
        <v>467</v>
      </c>
      <c r="O1703" s="31">
        <v>1.0</v>
      </c>
      <c r="P1703" s="34"/>
      <c r="Q1703" s="31" t="s">
        <v>307</v>
      </c>
      <c r="R1703" s="32">
        <v>35339.0</v>
      </c>
      <c r="S1703" s="31" t="s">
        <v>591</v>
      </c>
      <c r="T1703" s="31" t="s">
        <v>496</v>
      </c>
      <c r="U1703" s="31" t="s">
        <v>460</v>
      </c>
      <c r="V1703" s="31" t="s">
        <v>4596</v>
      </c>
      <c r="W1703" s="34"/>
    </row>
    <row r="1704">
      <c r="A1704" s="30">
        <v>1.699</v>
      </c>
      <c r="B1704" s="31" t="s">
        <v>6995</v>
      </c>
      <c r="C1704" s="31" t="s">
        <v>1482</v>
      </c>
      <c r="D1704" s="31" t="s">
        <v>553</v>
      </c>
      <c r="E1704" s="31" t="s">
        <v>4991</v>
      </c>
      <c r="F1704" s="32">
        <v>44207.0</v>
      </c>
      <c r="G1704" s="32">
        <v>44266.0</v>
      </c>
      <c r="H1704" s="31" t="s">
        <v>453</v>
      </c>
      <c r="I1704" s="31" t="s">
        <v>454</v>
      </c>
      <c r="J1704" s="31" t="s">
        <v>3217</v>
      </c>
      <c r="K1704" s="31" t="s">
        <v>4992</v>
      </c>
      <c r="L1704" s="31" t="s">
        <v>558</v>
      </c>
      <c r="M1704" s="31" t="s">
        <v>6996</v>
      </c>
      <c r="N1704" s="31" t="s">
        <v>267</v>
      </c>
      <c r="O1704" s="34"/>
      <c r="P1704" s="34"/>
      <c r="Q1704" s="31" t="s">
        <v>307</v>
      </c>
      <c r="R1704" s="32">
        <v>35469.0</v>
      </c>
      <c r="S1704" s="31" t="s">
        <v>468</v>
      </c>
      <c r="T1704" s="31" t="s">
        <v>672</v>
      </c>
      <c r="U1704" s="31" t="s">
        <v>480</v>
      </c>
      <c r="V1704" s="31" t="s">
        <v>4991</v>
      </c>
      <c r="W1704" s="34"/>
    </row>
    <row r="1705">
      <c r="A1705" s="30">
        <v>1.7</v>
      </c>
      <c r="B1705" s="31" t="s">
        <v>6997</v>
      </c>
      <c r="C1705" s="31" t="s">
        <v>6998</v>
      </c>
      <c r="D1705" s="31" t="s">
        <v>2716</v>
      </c>
      <c r="E1705" s="31" t="s">
        <v>38</v>
      </c>
      <c r="F1705" s="32">
        <v>43329.0</v>
      </c>
      <c r="G1705" s="35">
        <v>43390.0</v>
      </c>
      <c r="H1705" s="31" t="s">
        <v>453</v>
      </c>
      <c r="I1705" s="31" t="s">
        <v>2717</v>
      </c>
      <c r="J1705" s="31" t="s">
        <v>38</v>
      </c>
      <c r="K1705" s="31" t="s">
        <v>2718</v>
      </c>
      <c r="L1705" s="31" t="s">
        <v>2719</v>
      </c>
      <c r="M1705" s="31" t="s">
        <v>6999</v>
      </c>
      <c r="N1705" s="31" t="s">
        <v>267</v>
      </c>
      <c r="O1705" s="34"/>
      <c r="P1705" s="34"/>
      <c r="Q1705" s="31" t="s">
        <v>307</v>
      </c>
      <c r="R1705" s="32">
        <v>33826.0</v>
      </c>
      <c r="S1705" s="31" t="s">
        <v>1309</v>
      </c>
      <c r="T1705" s="31" t="s">
        <v>7000</v>
      </c>
      <c r="U1705" s="31" t="s">
        <v>460</v>
      </c>
      <c r="V1705" s="34"/>
      <c r="W1705" s="34"/>
    </row>
    <row r="1706">
      <c r="A1706" s="30">
        <v>1.701</v>
      </c>
      <c r="B1706" s="31" t="s">
        <v>7001</v>
      </c>
      <c r="C1706" s="31" t="s">
        <v>7002</v>
      </c>
      <c r="D1706" s="31" t="s">
        <v>499</v>
      </c>
      <c r="E1706" s="31" t="s">
        <v>4991</v>
      </c>
      <c r="F1706" s="32">
        <v>43892.0</v>
      </c>
      <c r="G1706" s="32">
        <v>43953.0</v>
      </c>
      <c r="H1706" s="31" t="s">
        <v>453</v>
      </c>
      <c r="I1706" s="31" t="s">
        <v>454</v>
      </c>
      <c r="J1706" s="31" t="s">
        <v>3217</v>
      </c>
      <c r="K1706" s="31" t="s">
        <v>4992</v>
      </c>
      <c r="L1706" s="31" t="s">
        <v>500</v>
      </c>
      <c r="M1706" s="31" t="s">
        <v>7003</v>
      </c>
      <c r="N1706" s="31" t="s">
        <v>467</v>
      </c>
      <c r="O1706" s="31">
        <v>1.0</v>
      </c>
      <c r="P1706" s="34"/>
      <c r="Q1706" s="31" t="s">
        <v>307</v>
      </c>
      <c r="R1706" s="32">
        <v>36360.0</v>
      </c>
      <c r="S1706" s="31" t="s">
        <v>490</v>
      </c>
      <c r="T1706" s="31" t="s">
        <v>479</v>
      </c>
      <c r="U1706" s="31" t="s">
        <v>480</v>
      </c>
      <c r="V1706" s="31" t="s">
        <v>4991</v>
      </c>
      <c r="W1706" s="34"/>
    </row>
    <row r="1707">
      <c r="A1707" s="30">
        <v>1.702</v>
      </c>
      <c r="B1707" s="31" t="s">
        <v>7004</v>
      </c>
      <c r="C1707" s="31" t="s">
        <v>7005</v>
      </c>
      <c r="D1707" s="31" t="s">
        <v>4828</v>
      </c>
      <c r="E1707" s="31" t="s">
        <v>3419</v>
      </c>
      <c r="F1707" s="32">
        <v>39904.0</v>
      </c>
      <c r="G1707" s="32">
        <v>39965.0</v>
      </c>
      <c r="H1707" s="31" t="s">
        <v>453</v>
      </c>
      <c r="I1707" s="31" t="s">
        <v>454</v>
      </c>
      <c r="J1707" s="31" t="s">
        <v>3188</v>
      </c>
      <c r="K1707" s="31" t="s">
        <v>3420</v>
      </c>
      <c r="L1707" s="31" t="s">
        <v>4829</v>
      </c>
      <c r="M1707" s="31" t="s">
        <v>7006</v>
      </c>
      <c r="N1707" s="31" t="s">
        <v>267</v>
      </c>
      <c r="O1707" s="31">
        <v>1.0</v>
      </c>
      <c r="P1707" s="34"/>
      <c r="Q1707" s="31" t="s">
        <v>307</v>
      </c>
      <c r="R1707" s="35">
        <v>31728.0</v>
      </c>
      <c r="S1707" s="31" t="s">
        <v>846</v>
      </c>
      <c r="T1707" s="31" t="s">
        <v>686</v>
      </c>
      <c r="U1707" s="31" t="s">
        <v>460</v>
      </c>
      <c r="V1707" s="31" t="s">
        <v>3419</v>
      </c>
      <c r="W1707" s="34"/>
    </row>
    <row r="1708">
      <c r="A1708" s="30">
        <v>1.703</v>
      </c>
      <c r="B1708" s="31" t="s">
        <v>7007</v>
      </c>
      <c r="C1708" s="31" t="s">
        <v>7008</v>
      </c>
      <c r="D1708" s="31" t="s">
        <v>472</v>
      </c>
      <c r="E1708" s="31" t="s">
        <v>3246</v>
      </c>
      <c r="F1708" s="32">
        <v>44344.0</v>
      </c>
      <c r="G1708" s="32">
        <v>44405.0</v>
      </c>
      <c r="H1708" s="31" t="s">
        <v>453</v>
      </c>
      <c r="I1708" s="31" t="s">
        <v>607</v>
      </c>
      <c r="J1708" s="31" t="s">
        <v>3247</v>
      </c>
      <c r="K1708" s="31" t="s">
        <v>3248</v>
      </c>
      <c r="L1708" s="31" t="s">
        <v>476</v>
      </c>
      <c r="M1708" s="31" t="s">
        <v>7009</v>
      </c>
      <c r="N1708" s="31" t="s">
        <v>467</v>
      </c>
      <c r="O1708" s="34"/>
      <c r="P1708" s="34"/>
      <c r="Q1708" s="31" t="s">
        <v>307</v>
      </c>
      <c r="R1708" s="32">
        <v>36646.0</v>
      </c>
      <c r="S1708" s="31" t="s">
        <v>560</v>
      </c>
      <c r="T1708" s="31" t="s">
        <v>479</v>
      </c>
      <c r="U1708" s="31" t="s">
        <v>480</v>
      </c>
      <c r="V1708" s="31" t="s">
        <v>3246</v>
      </c>
      <c r="W1708" s="34"/>
    </row>
    <row r="1709">
      <c r="A1709" s="30">
        <v>1.704</v>
      </c>
      <c r="B1709" s="31" t="s">
        <v>7010</v>
      </c>
      <c r="C1709" s="31" t="s">
        <v>7011</v>
      </c>
      <c r="D1709" s="31" t="s">
        <v>463</v>
      </c>
      <c r="E1709" s="31" t="s">
        <v>4983</v>
      </c>
      <c r="F1709" s="32">
        <v>43570.0</v>
      </c>
      <c r="G1709" s="32">
        <v>43631.0</v>
      </c>
      <c r="H1709" s="31" t="s">
        <v>453</v>
      </c>
      <c r="I1709" s="31" t="s">
        <v>4330</v>
      </c>
      <c r="J1709" s="31" t="s">
        <v>4331</v>
      </c>
      <c r="K1709" s="31" t="s">
        <v>4984</v>
      </c>
      <c r="L1709" s="31" t="s">
        <v>465</v>
      </c>
      <c r="M1709" s="31" t="s">
        <v>7012</v>
      </c>
      <c r="N1709" s="31" t="s">
        <v>467</v>
      </c>
      <c r="O1709" s="31">
        <v>2.0</v>
      </c>
      <c r="P1709" s="34"/>
      <c r="Q1709" s="31" t="s">
        <v>307</v>
      </c>
      <c r="R1709" s="32">
        <v>35593.0</v>
      </c>
      <c r="S1709" s="31" t="s">
        <v>502</v>
      </c>
      <c r="T1709" s="31" t="s">
        <v>1370</v>
      </c>
      <c r="U1709" s="31" t="s">
        <v>460</v>
      </c>
      <c r="V1709" s="31" t="s">
        <v>4983</v>
      </c>
      <c r="W1709" s="34"/>
    </row>
    <row r="1710">
      <c r="A1710" s="30">
        <v>1.705</v>
      </c>
      <c r="B1710" s="31" t="s">
        <v>7013</v>
      </c>
      <c r="C1710" s="31" t="s">
        <v>7014</v>
      </c>
      <c r="D1710" s="31" t="s">
        <v>499</v>
      </c>
      <c r="E1710" s="31" t="s">
        <v>3377</v>
      </c>
      <c r="F1710" s="32">
        <v>41518.0</v>
      </c>
      <c r="G1710" s="32">
        <v>41579.0</v>
      </c>
      <c r="H1710" s="31" t="s">
        <v>453</v>
      </c>
      <c r="I1710" s="31" t="s">
        <v>454</v>
      </c>
      <c r="J1710" s="31" t="s">
        <v>3378</v>
      </c>
      <c r="K1710" s="31" t="s">
        <v>3379</v>
      </c>
      <c r="L1710" s="31" t="s">
        <v>500</v>
      </c>
      <c r="M1710" s="31" t="s">
        <v>7015</v>
      </c>
      <c r="N1710" s="31" t="s">
        <v>267</v>
      </c>
      <c r="O1710" s="31">
        <v>1.0</v>
      </c>
      <c r="P1710" s="34"/>
      <c r="Q1710" s="31" t="s">
        <v>307</v>
      </c>
      <c r="R1710" s="32">
        <v>33053.0</v>
      </c>
      <c r="S1710" s="31" t="s">
        <v>490</v>
      </c>
      <c r="T1710" s="31" t="s">
        <v>3699</v>
      </c>
      <c r="U1710" s="31" t="s">
        <v>460</v>
      </c>
      <c r="V1710" s="31" t="s">
        <v>3377</v>
      </c>
      <c r="W1710" s="34"/>
    </row>
    <row r="1711">
      <c r="A1711" s="30">
        <v>1.706</v>
      </c>
      <c r="B1711" s="31" t="s">
        <v>7016</v>
      </c>
      <c r="C1711" s="31" t="s">
        <v>7017</v>
      </c>
      <c r="D1711" s="31" t="s">
        <v>6981</v>
      </c>
      <c r="E1711" s="31" t="s">
        <v>5207</v>
      </c>
      <c r="F1711" s="35">
        <v>42324.0</v>
      </c>
      <c r="G1711" s="32">
        <v>42385.0</v>
      </c>
      <c r="H1711" s="31" t="s">
        <v>453</v>
      </c>
      <c r="I1711" s="31" t="s">
        <v>607</v>
      </c>
      <c r="J1711" s="31" t="s">
        <v>5207</v>
      </c>
      <c r="K1711" s="31" t="s">
        <v>5208</v>
      </c>
      <c r="L1711" s="31" t="s">
        <v>6982</v>
      </c>
      <c r="M1711" s="31" t="s">
        <v>7018</v>
      </c>
      <c r="N1711" s="31" t="s">
        <v>267</v>
      </c>
      <c r="O1711" s="34"/>
      <c r="P1711" s="34"/>
      <c r="Q1711" s="31" t="s">
        <v>307</v>
      </c>
      <c r="R1711" s="32">
        <v>30713.0</v>
      </c>
      <c r="S1711" s="31" t="s">
        <v>531</v>
      </c>
      <c r="T1711" s="31" t="s">
        <v>686</v>
      </c>
      <c r="U1711" s="31" t="s">
        <v>643</v>
      </c>
      <c r="V1711" s="34"/>
      <c r="W1711" s="34"/>
    </row>
    <row r="1712">
      <c r="A1712" s="30">
        <v>1.707</v>
      </c>
      <c r="B1712" s="31" t="s">
        <v>7019</v>
      </c>
      <c r="C1712" s="31" t="s">
        <v>7020</v>
      </c>
      <c r="D1712" s="31" t="s">
        <v>3122</v>
      </c>
      <c r="E1712" s="31" t="s">
        <v>5207</v>
      </c>
      <c r="F1712" s="32">
        <v>40269.0</v>
      </c>
      <c r="G1712" s="32">
        <v>40330.0</v>
      </c>
      <c r="H1712" s="31" t="s">
        <v>453</v>
      </c>
      <c r="I1712" s="31" t="s">
        <v>607</v>
      </c>
      <c r="J1712" s="31" t="s">
        <v>5207</v>
      </c>
      <c r="K1712" s="31" t="s">
        <v>5208</v>
      </c>
      <c r="L1712" s="31" t="s">
        <v>6142</v>
      </c>
      <c r="M1712" s="31" t="s">
        <v>7021</v>
      </c>
      <c r="N1712" s="31" t="s">
        <v>267</v>
      </c>
      <c r="O1712" s="34"/>
      <c r="P1712" s="34"/>
      <c r="Q1712" s="31" t="s">
        <v>307</v>
      </c>
      <c r="R1712" s="35">
        <v>32463.0</v>
      </c>
      <c r="S1712" s="31" t="s">
        <v>846</v>
      </c>
      <c r="T1712" s="31" t="s">
        <v>686</v>
      </c>
      <c r="U1712" s="31" t="s">
        <v>643</v>
      </c>
      <c r="V1712" s="34"/>
      <c r="W1712" s="34"/>
    </row>
    <row r="1713">
      <c r="A1713" s="30">
        <v>1.708</v>
      </c>
      <c r="B1713" s="31" t="s">
        <v>7022</v>
      </c>
      <c r="C1713" s="31" t="s">
        <v>7023</v>
      </c>
      <c r="D1713" s="31" t="s">
        <v>472</v>
      </c>
      <c r="E1713" s="31" t="s">
        <v>3419</v>
      </c>
      <c r="F1713" s="32">
        <v>45131.0</v>
      </c>
      <c r="G1713" s="32">
        <v>45191.0</v>
      </c>
      <c r="H1713" s="31" t="s">
        <v>453</v>
      </c>
      <c r="I1713" s="31" t="s">
        <v>454</v>
      </c>
      <c r="J1713" s="31" t="s">
        <v>3188</v>
      </c>
      <c r="K1713" s="31" t="s">
        <v>3420</v>
      </c>
      <c r="L1713" s="31" t="s">
        <v>476</v>
      </c>
      <c r="M1713" s="31" t="s">
        <v>7024</v>
      </c>
      <c r="N1713" s="31" t="s">
        <v>467</v>
      </c>
      <c r="O1713" s="34"/>
      <c r="P1713" s="34"/>
      <c r="Q1713" s="31" t="s">
        <v>307</v>
      </c>
      <c r="R1713" s="32">
        <v>35589.0</v>
      </c>
      <c r="S1713" s="31" t="s">
        <v>468</v>
      </c>
      <c r="T1713" s="31" t="s">
        <v>672</v>
      </c>
      <c r="U1713" s="31" t="s">
        <v>460</v>
      </c>
      <c r="V1713" s="31" t="s">
        <v>3419</v>
      </c>
      <c r="W1713" s="34"/>
    </row>
    <row r="1714">
      <c r="A1714" s="30">
        <v>1.709</v>
      </c>
      <c r="B1714" s="31" t="s">
        <v>7025</v>
      </c>
      <c r="C1714" s="31" t="s">
        <v>3510</v>
      </c>
      <c r="D1714" s="31" t="s">
        <v>553</v>
      </c>
      <c r="E1714" s="31" t="s">
        <v>4991</v>
      </c>
      <c r="F1714" s="32">
        <v>44312.0</v>
      </c>
      <c r="G1714" s="32">
        <v>44373.0</v>
      </c>
      <c r="H1714" s="31" t="s">
        <v>453</v>
      </c>
      <c r="I1714" s="31" t="s">
        <v>454</v>
      </c>
      <c r="J1714" s="31" t="s">
        <v>3217</v>
      </c>
      <c r="K1714" s="31" t="s">
        <v>4992</v>
      </c>
      <c r="L1714" s="31" t="s">
        <v>558</v>
      </c>
      <c r="M1714" s="31" t="s">
        <v>7026</v>
      </c>
      <c r="N1714" s="31" t="s">
        <v>267</v>
      </c>
      <c r="O1714" s="34"/>
      <c r="P1714" s="34"/>
      <c r="Q1714" s="31" t="s">
        <v>581</v>
      </c>
      <c r="R1714" s="32">
        <v>35372.0</v>
      </c>
      <c r="S1714" s="31" t="s">
        <v>560</v>
      </c>
      <c r="T1714" s="31" t="s">
        <v>6978</v>
      </c>
      <c r="U1714" s="31" t="s">
        <v>480</v>
      </c>
      <c r="V1714" s="31" t="s">
        <v>4991</v>
      </c>
      <c r="W1714" s="34"/>
    </row>
    <row r="1715">
      <c r="A1715" s="30">
        <v>1.71</v>
      </c>
      <c r="B1715" s="31" t="s">
        <v>7027</v>
      </c>
      <c r="C1715" s="31" t="s">
        <v>7028</v>
      </c>
      <c r="D1715" s="31" t="s">
        <v>3132</v>
      </c>
      <c r="E1715" s="31" t="s">
        <v>2887</v>
      </c>
      <c r="F1715" s="32">
        <v>43626.0</v>
      </c>
      <c r="G1715" s="32">
        <v>43687.0</v>
      </c>
      <c r="H1715" s="31" t="s">
        <v>453</v>
      </c>
      <c r="I1715" s="31" t="s">
        <v>566</v>
      </c>
      <c r="J1715" s="31" t="s">
        <v>2888</v>
      </c>
      <c r="K1715" s="31" t="s">
        <v>2889</v>
      </c>
      <c r="L1715" s="31" t="s">
        <v>3380</v>
      </c>
      <c r="M1715" s="31" t="s">
        <v>7029</v>
      </c>
      <c r="N1715" s="31" t="s">
        <v>267</v>
      </c>
      <c r="O1715" s="31">
        <v>2.0</v>
      </c>
      <c r="P1715" s="34"/>
      <c r="Q1715" s="31" t="s">
        <v>581</v>
      </c>
      <c r="R1715" s="32">
        <v>35531.0</v>
      </c>
      <c r="S1715" s="31" t="s">
        <v>4196</v>
      </c>
      <c r="T1715" s="31" t="s">
        <v>778</v>
      </c>
      <c r="U1715" s="31" t="s">
        <v>480</v>
      </c>
      <c r="V1715" s="31" t="s">
        <v>2887</v>
      </c>
      <c r="W1715" s="34"/>
    </row>
    <row r="1716">
      <c r="A1716" s="30">
        <v>1.711</v>
      </c>
      <c r="B1716" s="31" t="s">
        <v>7030</v>
      </c>
      <c r="C1716" s="31" t="s">
        <v>7031</v>
      </c>
      <c r="D1716" s="31" t="s">
        <v>499</v>
      </c>
      <c r="E1716" s="31" t="s">
        <v>606</v>
      </c>
      <c r="F1716" s="32">
        <v>43580.0</v>
      </c>
      <c r="G1716" s="32">
        <v>43641.0</v>
      </c>
      <c r="H1716" s="31" t="s">
        <v>453</v>
      </c>
      <c r="I1716" s="31" t="s">
        <v>607</v>
      </c>
      <c r="J1716" s="31" t="s">
        <v>608</v>
      </c>
      <c r="K1716" s="31" t="s">
        <v>609</v>
      </c>
      <c r="L1716" s="31" t="s">
        <v>500</v>
      </c>
      <c r="M1716" s="31" t="s">
        <v>7032</v>
      </c>
      <c r="N1716" s="31" t="s">
        <v>467</v>
      </c>
      <c r="O1716" s="31">
        <v>1.0</v>
      </c>
      <c r="P1716" s="34"/>
      <c r="Q1716" s="31" t="s">
        <v>307</v>
      </c>
      <c r="R1716" s="35">
        <v>35349.0</v>
      </c>
      <c r="S1716" s="31" t="s">
        <v>468</v>
      </c>
      <c r="T1716" s="31" t="s">
        <v>2672</v>
      </c>
      <c r="U1716" s="31" t="s">
        <v>480</v>
      </c>
      <c r="V1716" s="31" t="s">
        <v>606</v>
      </c>
      <c r="W1716" s="34"/>
    </row>
    <row r="1717">
      <c r="A1717" s="30">
        <v>1.712</v>
      </c>
      <c r="B1717" s="31" t="s">
        <v>7033</v>
      </c>
      <c r="C1717" s="31" t="s">
        <v>7034</v>
      </c>
      <c r="D1717" s="31" t="s">
        <v>4968</v>
      </c>
      <c r="E1717" s="31" t="s">
        <v>40</v>
      </c>
      <c r="F1717" s="32">
        <v>42483.0</v>
      </c>
      <c r="G1717" s="32">
        <v>42544.0</v>
      </c>
      <c r="H1717" s="31" t="s">
        <v>453</v>
      </c>
      <c r="I1717" s="31" t="s">
        <v>40</v>
      </c>
      <c r="J1717" s="34"/>
      <c r="K1717" s="31" t="s">
        <v>4969</v>
      </c>
      <c r="L1717" s="31" t="s">
        <v>4970</v>
      </c>
      <c r="M1717" s="31" t="s">
        <v>7035</v>
      </c>
      <c r="N1717" s="31" t="s">
        <v>467</v>
      </c>
      <c r="O1717" s="34"/>
      <c r="P1717" s="34"/>
      <c r="Q1717" s="31" t="s">
        <v>307</v>
      </c>
      <c r="R1717" s="32">
        <v>32660.0</v>
      </c>
      <c r="S1717" s="31" t="s">
        <v>560</v>
      </c>
      <c r="T1717" s="31" t="s">
        <v>682</v>
      </c>
      <c r="U1717" s="31" t="s">
        <v>310</v>
      </c>
      <c r="V1717" s="34"/>
      <c r="W1717" s="34"/>
    </row>
    <row r="1718">
      <c r="A1718" s="30">
        <v>1.713</v>
      </c>
      <c r="B1718" s="31" t="s">
        <v>7036</v>
      </c>
      <c r="C1718" s="31" t="s">
        <v>7037</v>
      </c>
      <c r="D1718" s="31" t="s">
        <v>472</v>
      </c>
      <c r="E1718" s="31" t="s">
        <v>5124</v>
      </c>
      <c r="F1718" s="32">
        <v>42261.0</v>
      </c>
      <c r="G1718" s="35">
        <v>42322.0</v>
      </c>
      <c r="H1718" s="31" t="s">
        <v>453</v>
      </c>
      <c r="I1718" s="31" t="s">
        <v>454</v>
      </c>
      <c r="J1718" s="31" t="s">
        <v>4823</v>
      </c>
      <c r="K1718" s="31" t="s">
        <v>5125</v>
      </c>
      <c r="L1718" s="31" t="s">
        <v>476</v>
      </c>
      <c r="M1718" s="31" t="s">
        <v>7038</v>
      </c>
      <c r="N1718" s="31" t="s">
        <v>467</v>
      </c>
      <c r="O1718" s="34"/>
      <c r="P1718" s="34"/>
      <c r="Q1718" s="31" t="s">
        <v>307</v>
      </c>
      <c r="R1718" s="32">
        <v>33104.0</v>
      </c>
      <c r="S1718" s="31" t="s">
        <v>6081</v>
      </c>
      <c r="T1718" s="31" t="s">
        <v>479</v>
      </c>
      <c r="U1718" s="31" t="s">
        <v>460</v>
      </c>
      <c r="V1718" s="31" t="s">
        <v>5124</v>
      </c>
      <c r="W1718" s="34"/>
    </row>
    <row r="1719">
      <c r="A1719" s="30">
        <v>1.714</v>
      </c>
      <c r="B1719" s="31" t="s">
        <v>7039</v>
      </c>
      <c r="C1719" s="31" t="s">
        <v>5527</v>
      </c>
      <c r="D1719" s="31" t="s">
        <v>472</v>
      </c>
      <c r="E1719" s="31" t="s">
        <v>4822</v>
      </c>
      <c r="F1719" s="32">
        <v>43629.0</v>
      </c>
      <c r="G1719" s="32">
        <v>45234.0</v>
      </c>
      <c r="H1719" s="31" t="s">
        <v>453</v>
      </c>
      <c r="I1719" s="31" t="s">
        <v>454</v>
      </c>
      <c r="J1719" s="31" t="s">
        <v>4823</v>
      </c>
      <c r="K1719" s="31" t="s">
        <v>4824</v>
      </c>
      <c r="L1719" s="31" t="s">
        <v>476</v>
      </c>
      <c r="M1719" s="31" t="s">
        <v>7040</v>
      </c>
      <c r="N1719" s="31" t="s">
        <v>467</v>
      </c>
      <c r="O1719" s="34"/>
      <c r="P1719" s="34"/>
      <c r="Q1719" s="31" t="s">
        <v>307</v>
      </c>
      <c r="R1719" s="35">
        <v>35760.0</v>
      </c>
      <c r="S1719" s="31" t="s">
        <v>1622</v>
      </c>
      <c r="T1719" s="31" t="s">
        <v>503</v>
      </c>
      <c r="U1719" s="31" t="s">
        <v>460</v>
      </c>
      <c r="V1719" s="31" t="s">
        <v>4822</v>
      </c>
      <c r="W1719" s="34"/>
    </row>
    <row r="1720">
      <c r="A1720" s="30">
        <v>1.715</v>
      </c>
      <c r="B1720" s="31" t="s">
        <v>7041</v>
      </c>
      <c r="C1720" s="31" t="s">
        <v>7042</v>
      </c>
      <c r="D1720" s="31" t="s">
        <v>463</v>
      </c>
      <c r="E1720" s="31" t="s">
        <v>3055</v>
      </c>
      <c r="F1720" s="32">
        <v>44056.0</v>
      </c>
      <c r="G1720" s="35">
        <v>44117.0</v>
      </c>
      <c r="H1720" s="31" t="s">
        <v>453</v>
      </c>
      <c r="I1720" s="31" t="s">
        <v>555</v>
      </c>
      <c r="J1720" s="31" t="s">
        <v>556</v>
      </c>
      <c r="K1720" s="31" t="s">
        <v>3056</v>
      </c>
      <c r="L1720" s="31" t="s">
        <v>465</v>
      </c>
      <c r="M1720" s="31" t="s">
        <v>7043</v>
      </c>
      <c r="N1720" s="31" t="s">
        <v>467</v>
      </c>
      <c r="O1720" s="31">
        <v>2.0</v>
      </c>
      <c r="P1720" s="34"/>
      <c r="Q1720" s="31" t="s">
        <v>307</v>
      </c>
      <c r="R1720" s="32">
        <v>35560.0</v>
      </c>
      <c r="S1720" s="31" t="s">
        <v>560</v>
      </c>
      <c r="T1720" s="31" t="s">
        <v>1093</v>
      </c>
      <c r="U1720" s="31" t="s">
        <v>480</v>
      </c>
      <c r="V1720" s="31" t="s">
        <v>3055</v>
      </c>
      <c r="W1720" s="34"/>
    </row>
    <row r="1721">
      <c r="A1721" s="30">
        <v>1.716</v>
      </c>
      <c r="B1721" s="31" t="s">
        <v>7044</v>
      </c>
      <c r="C1721" s="31" t="s">
        <v>7045</v>
      </c>
      <c r="D1721" s="31" t="s">
        <v>4670</v>
      </c>
      <c r="E1721" s="31" t="s">
        <v>63</v>
      </c>
      <c r="F1721" s="32">
        <v>39952.0</v>
      </c>
      <c r="G1721" s="32">
        <v>40013.0</v>
      </c>
      <c r="H1721" s="31" t="s">
        <v>453</v>
      </c>
      <c r="I1721" s="31" t="s">
        <v>607</v>
      </c>
      <c r="J1721" s="31" t="s">
        <v>63</v>
      </c>
      <c r="K1721" s="31" t="s">
        <v>4997</v>
      </c>
      <c r="L1721" s="31" t="s">
        <v>4673</v>
      </c>
      <c r="M1721" s="31" t="s">
        <v>7046</v>
      </c>
      <c r="N1721" s="31" t="s">
        <v>467</v>
      </c>
      <c r="O1721" s="31">
        <v>3.0</v>
      </c>
      <c r="P1721" s="34"/>
      <c r="Q1721" s="31" t="s">
        <v>307</v>
      </c>
      <c r="R1721" s="32">
        <v>31721.0</v>
      </c>
      <c r="S1721" s="31" t="s">
        <v>468</v>
      </c>
      <c r="T1721" s="31" t="s">
        <v>7047</v>
      </c>
      <c r="U1721" s="31" t="s">
        <v>643</v>
      </c>
      <c r="V1721" s="34"/>
      <c r="W1721" s="34"/>
    </row>
    <row r="1722">
      <c r="A1722" s="30">
        <v>1.717</v>
      </c>
      <c r="B1722" s="31" t="s">
        <v>7048</v>
      </c>
      <c r="C1722" s="31" t="s">
        <v>7049</v>
      </c>
      <c r="D1722" s="31" t="s">
        <v>499</v>
      </c>
      <c r="E1722" s="31" t="s">
        <v>2696</v>
      </c>
      <c r="F1722" s="32">
        <v>42835.0</v>
      </c>
      <c r="G1722" s="32">
        <v>42896.0</v>
      </c>
      <c r="H1722" s="31" t="s">
        <v>453</v>
      </c>
      <c r="I1722" s="31" t="s">
        <v>607</v>
      </c>
      <c r="J1722" s="31" t="s">
        <v>2697</v>
      </c>
      <c r="K1722" s="31" t="s">
        <v>2698</v>
      </c>
      <c r="L1722" s="31" t="s">
        <v>500</v>
      </c>
      <c r="M1722" s="31" t="s">
        <v>7050</v>
      </c>
      <c r="N1722" s="31" t="s">
        <v>267</v>
      </c>
      <c r="O1722" s="31">
        <v>1.0</v>
      </c>
      <c r="P1722" s="34"/>
      <c r="Q1722" s="31" t="s">
        <v>581</v>
      </c>
      <c r="R1722" s="32">
        <v>34749.0</v>
      </c>
      <c r="S1722" s="31" t="s">
        <v>1622</v>
      </c>
      <c r="T1722" s="31" t="s">
        <v>503</v>
      </c>
      <c r="U1722" s="31" t="s">
        <v>643</v>
      </c>
      <c r="V1722" s="31" t="s">
        <v>2696</v>
      </c>
      <c r="W1722" s="34"/>
    </row>
    <row r="1723">
      <c r="A1723" s="30">
        <v>1.718</v>
      </c>
      <c r="B1723" s="31" t="s">
        <v>7051</v>
      </c>
      <c r="C1723" s="31" t="s">
        <v>7052</v>
      </c>
      <c r="D1723" s="31" t="s">
        <v>622</v>
      </c>
      <c r="E1723" s="31" t="s">
        <v>41</v>
      </c>
      <c r="F1723" s="32">
        <v>42171.0</v>
      </c>
      <c r="G1723" s="32">
        <v>42232.0</v>
      </c>
      <c r="H1723" s="31" t="s">
        <v>453</v>
      </c>
      <c r="I1723" s="31" t="s">
        <v>41</v>
      </c>
      <c r="J1723" s="34"/>
      <c r="K1723" s="31" t="s">
        <v>623</v>
      </c>
      <c r="L1723" s="31" t="s">
        <v>624</v>
      </c>
      <c r="M1723" s="31" t="s">
        <v>7053</v>
      </c>
      <c r="N1723" s="31" t="s">
        <v>267</v>
      </c>
      <c r="O1723" s="34"/>
      <c r="P1723" s="34"/>
      <c r="Q1723" s="31" t="s">
        <v>307</v>
      </c>
      <c r="R1723" s="35">
        <v>34318.0</v>
      </c>
      <c r="S1723" s="31" t="s">
        <v>531</v>
      </c>
      <c r="T1723" s="31" t="s">
        <v>7054</v>
      </c>
      <c r="U1723" s="31" t="s">
        <v>480</v>
      </c>
      <c r="V1723" s="34"/>
      <c r="W1723" s="34"/>
    </row>
    <row r="1724">
      <c r="A1724" s="30">
        <v>1.719</v>
      </c>
      <c r="B1724" s="31" t="s">
        <v>7055</v>
      </c>
      <c r="C1724" s="31" t="s">
        <v>7056</v>
      </c>
      <c r="D1724" s="31" t="s">
        <v>452</v>
      </c>
      <c r="E1724" s="31" t="s">
        <v>5118</v>
      </c>
      <c r="F1724" s="32">
        <v>42614.0</v>
      </c>
      <c r="G1724" s="32">
        <v>42675.0</v>
      </c>
      <c r="H1724" s="31" t="s">
        <v>453</v>
      </c>
      <c r="I1724" s="31" t="s">
        <v>454</v>
      </c>
      <c r="J1724" s="31" t="s">
        <v>4823</v>
      </c>
      <c r="K1724" s="31" t="s">
        <v>5119</v>
      </c>
      <c r="L1724" s="31" t="s">
        <v>456</v>
      </c>
      <c r="M1724" s="31" t="s">
        <v>7057</v>
      </c>
      <c r="N1724" s="31" t="s">
        <v>267</v>
      </c>
      <c r="O1724" s="34"/>
      <c r="P1724" s="34"/>
      <c r="Q1724" s="31" t="s">
        <v>307</v>
      </c>
      <c r="R1724" s="32">
        <v>34399.0</v>
      </c>
      <c r="S1724" s="31" t="s">
        <v>700</v>
      </c>
      <c r="T1724" s="31" t="s">
        <v>686</v>
      </c>
      <c r="U1724" s="31" t="s">
        <v>460</v>
      </c>
      <c r="V1724" s="31" t="s">
        <v>5118</v>
      </c>
      <c r="W1724" s="34"/>
    </row>
    <row r="1725">
      <c r="A1725" s="30">
        <v>1.72</v>
      </c>
      <c r="B1725" s="31" t="s">
        <v>7058</v>
      </c>
      <c r="C1725" s="31" t="s">
        <v>7059</v>
      </c>
      <c r="D1725" s="31" t="s">
        <v>472</v>
      </c>
      <c r="E1725" s="31" t="s">
        <v>5106</v>
      </c>
      <c r="F1725" s="32">
        <v>42811.0</v>
      </c>
      <c r="G1725" s="32">
        <v>42872.0</v>
      </c>
      <c r="H1725" s="31" t="s">
        <v>453</v>
      </c>
      <c r="I1725" s="31" t="s">
        <v>454</v>
      </c>
      <c r="J1725" s="31" t="s">
        <v>5107</v>
      </c>
      <c r="K1725" s="31" t="s">
        <v>5108</v>
      </c>
      <c r="L1725" s="31" t="s">
        <v>476</v>
      </c>
      <c r="M1725" s="31" t="s">
        <v>7060</v>
      </c>
      <c r="N1725" s="31" t="s">
        <v>267</v>
      </c>
      <c r="O1725" s="34"/>
      <c r="P1725" s="34"/>
      <c r="Q1725" s="31" t="s">
        <v>307</v>
      </c>
      <c r="R1725" s="35">
        <v>32061.0</v>
      </c>
      <c r="S1725" s="31" t="s">
        <v>4675</v>
      </c>
      <c r="T1725" s="31" t="s">
        <v>5761</v>
      </c>
      <c r="U1725" s="31" t="s">
        <v>480</v>
      </c>
      <c r="V1725" s="31" t="s">
        <v>5106</v>
      </c>
      <c r="W1725" s="34"/>
    </row>
    <row r="1726">
      <c r="A1726" s="30">
        <v>1.721</v>
      </c>
      <c r="B1726" s="31" t="s">
        <v>7061</v>
      </c>
      <c r="C1726" s="31" t="s">
        <v>7062</v>
      </c>
      <c r="D1726" s="31" t="s">
        <v>4828</v>
      </c>
      <c r="E1726" s="31" t="s">
        <v>3246</v>
      </c>
      <c r="F1726" s="35">
        <v>42718.0</v>
      </c>
      <c r="G1726" s="32">
        <v>42780.0</v>
      </c>
      <c r="H1726" s="31" t="s">
        <v>453</v>
      </c>
      <c r="I1726" s="31" t="s">
        <v>607</v>
      </c>
      <c r="J1726" s="31" t="s">
        <v>3247</v>
      </c>
      <c r="K1726" s="31" t="s">
        <v>3248</v>
      </c>
      <c r="L1726" s="31" t="s">
        <v>4829</v>
      </c>
      <c r="M1726" s="31" t="s">
        <v>7063</v>
      </c>
      <c r="N1726" s="31" t="s">
        <v>267</v>
      </c>
      <c r="O1726" s="31">
        <v>1.0</v>
      </c>
      <c r="P1726" s="34"/>
      <c r="Q1726" s="31" t="s">
        <v>307</v>
      </c>
      <c r="R1726" s="32">
        <v>34588.0</v>
      </c>
      <c r="S1726" s="31" t="s">
        <v>468</v>
      </c>
      <c r="T1726" s="31" t="s">
        <v>6978</v>
      </c>
      <c r="U1726" s="31" t="s">
        <v>480</v>
      </c>
      <c r="V1726" s="31" t="s">
        <v>3246</v>
      </c>
      <c r="W1726" s="34"/>
    </row>
    <row r="1727">
      <c r="A1727" s="30">
        <v>1.722</v>
      </c>
      <c r="B1727" s="31" t="s">
        <v>7064</v>
      </c>
      <c r="C1727" s="31" t="s">
        <v>7065</v>
      </c>
      <c r="D1727" s="31" t="s">
        <v>553</v>
      </c>
      <c r="E1727" s="31" t="s">
        <v>3419</v>
      </c>
      <c r="F1727" s="35">
        <v>44159.0</v>
      </c>
      <c r="G1727" s="32">
        <v>44220.0</v>
      </c>
      <c r="H1727" s="31" t="s">
        <v>453</v>
      </c>
      <c r="I1727" s="31" t="s">
        <v>454</v>
      </c>
      <c r="J1727" s="31" t="s">
        <v>3188</v>
      </c>
      <c r="K1727" s="31" t="s">
        <v>3420</v>
      </c>
      <c r="L1727" s="31" t="s">
        <v>558</v>
      </c>
      <c r="M1727" s="31" t="s">
        <v>7066</v>
      </c>
      <c r="N1727" s="31" t="s">
        <v>267</v>
      </c>
      <c r="O1727" s="34"/>
      <c r="P1727" s="34"/>
      <c r="Q1727" s="31" t="s">
        <v>307</v>
      </c>
      <c r="R1727" s="32">
        <v>35204.0</v>
      </c>
      <c r="S1727" s="31" t="s">
        <v>6692</v>
      </c>
      <c r="T1727" s="31" t="s">
        <v>778</v>
      </c>
      <c r="U1727" s="31" t="s">
        <v>460</v>
      </c>
      <c r="V1727" s="31" t="s">
        <v>3419</v>
      </c>
      <c r="W1727" s="34"/>
    </row>
    <row r="1728">
      <c r="A1728" s="30">
        <v>1.723</v>
      </c>
      <c r="B1728" s="31" t="s">
        <v>7067</v>
      </c>
      <c r="C1728" s="31" t="s">
        <v>7068</v>
      </c>
      <c r="D1728" s="31" t="s">
        <v>499</v>
      </c>
      <c r="E1728" s="31" t="s">
        <v>606</v>
      </c>
      <c r="F1728" s="32">
        <v>43178.0</v>
      </c>
      <c r="G1728" s="32">
        <v>43178.0</v>
      </c>
      <c r="H1728" s="31" t="s">
        <v>453</v>
      </c>
      <c r="I1728" s="31" t="s">
        <v>607</v>
      </c>
      <c r="J1728" s="31" t="s">
        <v>608</v>
      </c>
      <c r="K1728" s="31" t="s">
        <v>609</v>
      </c>
      <c r="L1728" s="31" t="s">
        <v>500</v>
      </c>
      <c r="M1728" s="31" t="s">
        <v>7069</v>
      </c>
      <c r="N1728" s="31" t="s">
        <v>467</v>
      </c>
      <c r="O1728" s="31">
        <v>1.0</v>
      </c>
      <c r="P1728" s="34"/>
      <c r="Q1728" s="31" t="s">
        <v>307</v>
      </c>
      <c r="R1728" s="35">
        <v>35421.0</v>
      </c>
      <c r="S1728" s="31" t="s">
        <v>560</v>
      </c>
      <c r="T1728" s="31" t="s">
        <v>479</v>
      </c>
      <c r="U1728" s="31" t="s">
        <v>480</v>
      </c>
      <c r="V1728" s="31" t="s">
        <v>606</v>
      </c>
      <c r="W1728" s="34"/>
    </row>
    <row r="1729">
      <c r="A1729" s="30">
        <v>1.724</v>
      </c>
      <c r="B1729" s="31" t="s">
        <v>7070</v>
      </c>
      <c r="C1729" s="31" t="s">
        <v>7071</v>
      </c>
      <c r="D1729" s="31" t="s">
        <v>3644</v>
      </c>
      <c r="E1729" s="31" t="s">
        <v>2463</v>
      </c>
      <c r="F1729" s="32">
        <v>42996.0</v>
      </c>
      <c r="G1729" s="35">
        <v>43057.0</v>
      </c>
      <c r="H1729" s="31" t="s">
        <v>453</v>
      </c>
      <c r="I1729" s="31" t="s">
        <v>2717</v>
      </c>
      <c r="J1729" s="31" t="s">
        <v>2463</v>
      </c>
      <c r="K1729" s="31" t="s">
        <v>5165</v>
      </c>
      <c r="L1729" s="31" t="s">
        <v>3646</v>
      </c>
      <c r="M1729" s="31" t="s">
        <v>7072</v>
      </c>
      <c r="N1729" s="31" t="s">
        <v>467</v>
      </c>
      <c r="O1729" s="34"/>
      <c r="P1729" s="34"/>
      <c r="Q1729" s="31" t="s">
        <v>307</v>
      </c>
      <c r="R1729" s="32">
        <v>22377.0</v>
      </c>
      <c r="S1729" s="31" t="s">
        <v>7073</v>
      </c>
      <c r="T1729" s="31" t="s">
        <v>7074</v>
      </c>
      <c r="U1729" s="31" t="s">
        <v>643</v>
      </c>
      <c r="V1729" s="34"/>
      <c r="W1729" s="34"/>
    </row>
    <row r="1730">
      <c r="A1730" s="30">
        <v>1.725</v>
      </c>
      <c r="B1730" s="31" t="s">
        <v>7075</v>
      </c>
      <c r="C1730" s="31" t="s">
        <v>7076</v>
      </c>
      <c r="D1730" s="31" t="s">
        <v>553</v>
      </c>
      <c r="E1730" s="31" t="s">
        <v>4991</v>
      </c>
      <c r="F1730" s="35">
        <v>43024.0</v>
      </c>
      <c r="G1730" s="35">
        <v>43085.0</v>
      </c>
      <c r="H1730" s="31" t="s">
        <v>453</v>
      </c>
      <c r="I1730" s="31" t="s">
        <v>454</v>
      </c>
      <c r="J1730" s="31" t="s">
        <v>3217</v>
      </c>
      <c r="K1730" s="31" t="s">
        <v>4992</v>
      </c>
      <c r="L1730" s="31" t="s">
        <v>558</v>
      </c>
      <c r="M1730" s="31" t="s">
        <v>7077</v>
      </c>
      <c r="N1730" s="31" t="s">
        <v>267</v>
      </c>
      <c r="O1730" s="34"/>
      <c r="P1730" s="34"/>
      <c r="Q1730" s="31" t="s">
        <v>307</v>
      </c>
      <c r="R1730" s="32">
        <v>34190.0</v>
      </c>
      <c r="S1730" s="31" t="s">
        <v>560</v>
      </c>
      <c r="T1730" s="31" t="s">
        <v>1242</v>
      </c>
      <c r="U1730" s="31" t="s">
        <v>480</v>
      </c>
      <c r="V1730" s="31" t="s">
        <v>4991</v>
      </c>
      <c r="W1730" s="34"/>
    </row>
    <row r="1731">
      <c r="A1731" s="30">
        <v>1.726</v>
      </c>
      <c r="B1731" s="31" t="s">
        <v>7078</v>
      </c>
      <c r="C1731" s="31" t="s">
        <v>7079</v>
      </c>
      <c r="D1731" s="31" t="s">
        <v>472</v>
      </c>
      <c r="E1731" s="31" t="s">
        <v>2874</v>
      </c>
      <c r="F1731" s="32">
        <v>42191.0</v>
      </c>
      <c r="G1731" s="32">
        <v>42253.0</v>
      </c>
      <c r="H1731" s="31" t="s">
        <v>453</v>
      </c>
      <c r="I1731" s="31" t="s">
        <v>52</v>
      </c>
      <c r="J1731" s="31" t="s">
        <v>2874</v>
      </c>
      <c r="K1731" s="31" t="s">
        <v>2875</v>
      </c>
      <c r="L1731" s="31" t="s">
        <v>476</v>
      </c>
      <c r="M1731" s="31" t="s">
        <v>7080</v>
      </c>
      <c r="N1731" s="31" t="s">
        <v>467</v>
      </c>
      <c r="O1731" s="34"/>
      <c r="P1731" s="34"/>
      <c r="Q1731" s="31" t="s">
        <v>307</v>
      </c>
      <c r="R1731" s="32">
        <v>32743.0</v>
      </c>
      <c r="S1731" s="31" t="s">
        <v>560</v>
      </c>
      <c r="T1731" s="31" t="s">
        <v>1865</v>
      </c>
      <c r="U1731" s="31" t="s">
        <v>643</v>
      </c>
      <c r="V1731" s="34"/>
      <c r="W1731" s="34"/>
    </row>
    <row r="1732">
      <c r="A1732" s="30">
        <v>1.727</v>
      </c>
      <c r="B1732" s="31" t="s">
        <v>7081</v>
      </c>
      <c r="C1732" s="31" t="s">
        <v>7082</v>
      </c>
      <c r="D1732" s="31" t="s">
        <v>472</v>
      </c>
      <c r="E1732" s="31" t="s">
        <v>4466</v>
      </c>
      <c r="F1732" s="32">
        <v>42768.0</v>
      </c>
      <c r="G1732" s="32">
        <v>42827.0</v>
      </c>
      <c r="H1732" s="31" t="s">
        <v>453</v>
      </c>
      <c r="I1732" s="31" t="s">
        <v>566</v>
      </c>
      <c r="J1732" s="31" t="s">
        <v>2888</v>
      </c>
      <c r="K1732" s="31" t="s">
        <v>4467</v>
      </c>
      <c r="L1732" s="31" t="s">
        <v>3203</v>
      </c>
      <c r="M1732" s="31" t="s">
        <v>7083</v>
      </c>
      <c r="N1732" s="31" t="s">
        <v>467</v>
      </c>
      <c r="O1732" s="34"/>
      <c r="P1732" s="34"/>
      <c r="Q1732" s="31" t="s">
        <v>307</v>
      </c>
      <c r="R1732" s="35">
        <v>34271.0</v>
      </c>
      <c r="S1732" s="31" t="s">
        <v>560</v>
      </c>
      <c r="T1732" s="31" t="s">
        <v>4337</v>
      </c>
      <c r="U1732" s="31" t="s">
        <v>480</v>
      </c>
      <c r="V1732" s="31" t="s">
        <v>4466</v>
      </c>
      <c r="W1732" s="34"/>
    </row>
    <row r="1733">
      <c r="A1733" s="30">
        <v>1.728</v>
      </c>
      <c r="B1733" s="31" t="s">
        <v>7084</v>
      </c>
      <c r="C1733" s="31" t="s">
        <v>7085</v>
      </c>
      <c r="D1733" s="31" t="s">
        <v>553</v>
      </c>
      <c r="E1733" s="31" t="s">
        <v>2696</v>
      </c>
      <c r="F1733" s="32">
        <v>44362.0</v>
      </c>
      <c r="G1733" s="32">
        <v>44423.0</v>
      </c>
      <c r="H1733" s="31" t="s">
        <v>453</v>
      </c>
      <c r="I1733" s="31" t="s">
        <v>607</v>
      </c>
      <c r="J1733" s="31" t="s">
        <v>2697</v>
      </c>
      <c r="K1733" s="31" t="s">
        <v>2698</v>
      </c>
      <c r="L1733" s="31" t="s">
        <v>558</v>
      </c>
      <c r="M1733" s="31" t="s">
        <v>7086</v>
      </c>
      <c r="N1733" s="31" t="s">
        <v>267</v>
      </c>
      <c r="O1733" s="34"/>
      <c r="P1733" s="34"/>
      <c r="Q1733" s="31" t="s">
        <v>307</v>
      </c>
      <c r="R1733" s="32">
        <v>35590.0</v>
      </c>
      <c r="S1733" s="31" t="s">
        <v>495</v>
      </c>
      <c r="T1733" s="31" t="s">
        <v>7087</v>
      </c>
      <c r="U1733" s="31" t="s">
        <v>643</v>
      </c>
      <c r="V1733" s="31" t="s">
        <v>2696</v>
      </c>
      <c r="W1733" s="34"/>
    </row>
    <row r="1734">
      <c r="A1734" s="30">
        <v>1.729</v>
      </c>
      <c r="B1734" s="31" t="s">
        <v>7088</v>
      </c>
      <c r="C1734" s="31" t="s">
        <v>7089</v>
      </c>
      <c r="D1734" s="31" t="s">
        <v>499</v>
      </c>
      <c r="E1734" s="31" t="s">
        <v>2893</v>
      </c>
      <c r="F1734" s="32">
        <v>45026.0</v>
      </c>
      <c r="G1734" s="32">
        <v>45087.0</v>
      </c>
      <c r="H1734" s="31" t="s">
        <v>453</v>
      </c>
      <c r="I1734" s="31" t="s">
        <v>566</v>
      </c>
      <c r="J1734" s="31" t="s">
        <v>2888</v>
      </c>
      <c r="K1734" s="31" t="s">
        <v>2894</v>
      </c>
      <c r="L1734" s="31" t="s">
        <v>500</v>
      </c>
      <c r="M1734" s="31" t="s">
        <v>7090</v>
      </c>
      <c r="N1734" s="31" t="s">
        <v>467</v>
      </c>
      <c r="O1734" s="31">
        <v>1.0</v>
      </c>
      <c r="P1734" s="34"/>
      <c r="Q1734" s="31" t="s">
        <v>307</v>
      </c>
      <c r="R1734" s="32">
        <v>35066.0</v>
      </c>
      <c r="S1734" s="31" t="s">
        <v>560</v>
      </c>
      <c r="T1734" s="31" t="s">
        <v>503</v>
      </c>
      <c r="U1734" s="31" t="s">
        <v>480</v>
      </c>
      <c r="V1734" s="31" t="s">
        <v>2893</v>
      </c>
      <c r="W1734" s="34"/>
    </row>
    <row r="1735">
      <c r="A1735" s="30">
        <v>1.73</v>
      </c>
      <c r="B1735" s="31" t="s">
        <v>7091</v>
      </c>
      <c r="C1735" s="31" t="s">
        <v>2727</v>
      </c>
      <c r="D1735" s="31" t="s">
        <v>463</v>
      </c>
      <c r="E1735" s="31" t="s">
        <v>5282</v>
      </c>
      <c r="F1735" s="32">
        <v>44077.0</v>
      </c>
      <c r="G1735" s="32">
        <v>44138.0</v>
      </c>
      <c r="H1735" s="31" t="s">
        <v>453</v>
      </c>
      <c r="I1735" s="31" t="s">
        <v>47</v>
      </c>
      <c r="J1735" s="31" t="s">
        <v>4508</v>
      </c>
      <c r="K1735" s="31" t="s">
        <v>5283</v>
      </c>
      <c r="L1735" s="31" t="s">
        <v>465</v>
      </c>
      <c r="M1735" s="31" t="s">
        <v>7092</v>
      </c>
      <c r="N1735" s="31" t="s">
        <v>467</v>
      </c>
      <c r="O1735" s="31">
        <v>2.0</v>
      </c>
      <c r="P1735" s="34"/>
      <c r="Q1735" s="31" t="s">
        <v>307</v>
      </c>
      <c r="R1735" s="32">
        <v>36387.0</v>
      </c>
      <c r="S1735" s="31" t="s">
        <v>560</v>
      </c>
      <c r="T1735" s="31" t="s">
        <v>479</v>
      </c>
      <c r="U1735" s="31" t="s">
        <v>480</v>
      </c>
      <c r="V1735" s="31" t="s">
        <v>5282</v>
      </c>
      <c r="W1735" s="34"/>
    </row>
    <row r="1736">
      <c r="A1736" s="30">
        <v>1.731</v>
      </c>
      <c r="B1736" s="31" t="s">
        <v>7093</v>
      </c>
      <c r="C1736" s="31" t="s">
        <v>7094</v>
      </c>
      <c r="D1736" s="31" t="s">
        <v>7095</v>
      </c>
      <c r="E1736" s="31" t="s">
        <v>6308</v>
      </c>
      <c r="F1736" s="32">
        <v>44378.0</v>
      </c>
      <c r="G1736" s="32">
        <v>44440.0</v>
      </c>
      <c r="H1736" s="31" t="s">
        <v>453</v>
      </c>
      <c r="I1736" s="31" t="s">
        <v>47</v>
      </c>
      <c r="J1736" s="31" t="s">
        <v>6308</v>
      </c>
      <c r="K1736" s="31" t="s">
        <v>6309</v>
      </c>
      <c r="L1736" s="31" t="s">
        <v>7096</v>
      </c>
      <c r="M1736" s="31" t="s">
        <v>7097</v>
      </c>
      <c r="N1736" s="31" t="s">
        <v>467</v>
      </c>
      <c r="O1736" s="31">
        <v>3.0</v>
      </c>
      <c r="P1736" s="34"/>
      <c r="Q1736" s="31" t="s">
        <v>307</v>
      </c>
      <c r="R1736" s="32">
        <v>31662.0</v>
      </c>
      <c r="S1736" s="31" t="s">
        <v>1041</v>
      </c>
      <c r="T1736" s="31" t="s">
        <v>7098</v>
      </c>
      <c r="U1736" s="31" t="s">
        <v>480</v>
      </c>
      <c r="V1736" s="34"/>
      <c r="W1736" s="34"/>
    </row>
    <row r="1737">
      <c r="A1737" s="30">
        <v>1.732</v>
      </c>
      <c r="B1737" s="31" t="s">
        <v>7099</v>
      </c>
      <c r="C1737" s="31" t="s">
        <v>7100</v>
      </c>
      <c r="D1737" s="31" t="s">
        <v>472</v>
      </c>
      <c r="E1737" s="31" t="s">
        <v>4379</v>
      </c>
      <c r="F1737" s="32">
        <v>44228.0</v>
      </c>
      <c r="G1737" s="32">
        <v>44287.0</v>
      </c>
      <c r="H1737" s="31" t="s">
        <v>453</v>
      </c>
      <c r="I1737" s="31" t="s">
        <v>607</v>
      </c>
      <c r="J1737" s="31" t="s">
        <v>4380</v>
      </c>
      <c r="K1737" s="31" t="s">
        <v>4381</v>
      </c>
      <c r="L1737" s="31" t="s">
        <v>476</v>
      </c>
      <c r="M1737" s="31" t="s">
        <v>7101</v>
      </c>
      <c r="N1737" s="31" t="s">
        <v>467</v>
      </c>
      <c r="O1737" s="34"/>
      <c r="P1737" s="34"/>
      <c r="Q1737" s="31" t="s">
        <v>307</v>
      </c>
      <c r="R1737" s="32">
        <v>36266.0</v>
      </c>
      <c r="S1737" s="31" t="s">
        <v>560</v>
      </c>
      <c r="T1737" s="31" t="s">
        <v>503</v>
      </c>
      <c r="U1737" s="31" t="s">
        <v>643</v>
      </c>
      <c r="V1737" s="31" t="s">
        <v>4379</v>
      </c>
      <c r="W1737" s="34"/>
    </row>
    <row r="1738">
      <c r="A1738" s="30">
        <v>1.733</v>
      </c>
      <c r="B1738" s="31" t="s">
        <v>7102</v>
      </c>
      <c r="C1738" s="31" t="s">
        <v>7103</v>
      </c>
      <c r="D1738" s="31" t="s">
        <v>6342</v>
      </c>
      <c r="E1738" s="31" t="s">
        <v>3388</v>
      </c>
      <c r="F1738" s="32">
        <v>44320.0</v>
      </c>
      <c r="G1738" s="32">
        <v>44381.0</v>
      </c>
      <c r="H1738" s="31" t="s">
        <v>453</v>
      </c>
      <c r="I1738" s="31" t="s">
        <v>607</v>
      </c>
      <c r="J1738" s="31" t="s">
        <v>3247</v>
      </c>
      <c r="K1738" s="31" t="s">
        <v>3389</v>
      </c>
      <c r="L1738" s="31" t="s">
        <v>6343</v>
      </c>
      <c r="M1738" s="31" t="s">
        <v>7104</v>
      </c>
      <c r="N1738" s="31" t="s">
        <v>267</v>
      </c>
      <c r="O1738" s="31">
        <v>1.0</v>
      </c>
      <c r="P1738" s="34"/>
      <c r="Q1738" s="31" t="s">
        <v>307</v>
      </c>
      <c r="R1738" s="32">
        <v>31850.0</v>
      </c>
      <c r="S1738" s="31" t="s">
        <v>7105</v>
      </c>
      <c r="T1738" s="31" t="s">
        <v>778</v>
      </c>
      <c r="U1738" s="31" t="s">
        <v>480</v>
      </c>
      <c r="V1738" s="31" t="s">
        <v>3388</v>
      </c>
      <c r="W1738" s="34"/>
    </row>
    <row r="1739">
      <c r="A1739" s="30">
        <v>1.734</v>
      </c>
      <c r="B1739" s="31" t="s">
        <v>7106</v>
      </c>
      <c r="C1739" s="31" t="s">
        <v>7107</v>
      </c>
      <c r="D1739" s="31" t="s">
        <v>4747</v>
      </c>
      <c r="E1739" s="31" t="s">
        <v>4983</v>
      </c>
      <c r="F1739" s="32">
        <v>43252.0</v>
      </c>
      <c r="G1739" s="32">
        <v>43313.0</v>
      </c>
      <c r="H1739" s="31" t="s">
        <v>453</v>
      </c>
      <c r="I1739" s="31" t="s">
        <v>4330</v>
      </c>
      <c r="J1739" s="31" t="s">
        <v>4331</v>
      </c>
      <c r="K1739" s="31" t="s">
        <v>4984</v>
      </c>
      <c r="L1739" s="31" t="s">
        <v>4748</v>
      </c>
      <c r="M1739" s="31" t="s">
        <v>7108</v>
      </c>
      <c r="N1739" s="31" t="s">
        <v>467</v>
      </c>
      <c r="O1739" s="34"/>
      <c r="P1739" s="34"/>
      <c r="Q1739" s="31" t="s">
        <v>307</v>
      </c>
      <c r="R1739" s="35">
        <v>35060.0</v>
      </c>
      <c r="S1739" s="31" t="s">
        <v>1622</v>
      </c>
      <c r="T1739" s="31" t="s">
        <v>503</v>
      </c>
      <c r="U1739" s="31" t="s">
        <v>460</v>
      </c>
      <c r="V1739" s="31" t="s">
        <v>4983</v>
      </c>
      <c r="W1739" s="34"/>
    </row>
    <row r="1740">
      <c r="A1740" s="30">
        <v>1.735</v>
      </c>
      <c r="B1740" s="31" t="s">
        <v>7109</v>
      </c>
      <c r="C1740" s="31" t="s">
        <v>7110</v>
      </c>
      <c r="D1740" s="31" t="s">
        <v>553</v>
      </c>
      <c r="E1740" s="31" t="s">
        <v>5091</v>
      </c>
      <c r="F1740" s="32">
        <v>44348.0</v>
      </c>
      <c r="G1740" s="32">
        <v>44409.0</v>
      </c>
      <c r="H1740" s="31" t="s">
        <v>453</v>
      </c>
      <c r="I1740" s="31" t="s">
        <v>2835</v>
      </c>
      <c r="J1740" s="31" t="s">
        <v>4612</v>
      </c>
      <c r="K1740" s="31" t="s">
        <v>5092</v>
      </c>
      <c r="L1740" s="31" t="s">
        <v>558</v>
      </c>
      <c r="M1740" s="31" t="s">
        <v>7111</v>
      </c>
      <c r="N1740" s="31" t="s">
        <v>267</v>
      </c>
      <c r="O1740" s="34"/>
      <c r="P1740" s="34"/>
      <c r="Q1740" s="31" t="s">
        <v>307</v>
      </c>
      <c r="R1740" s="32">
        <v>36243.0</v>
      </c>
      <c r="S1740" s="31" t="s">
        <v>7112</v>
      </c>
      <c r="T1740" s="31" t="s">
        <v>1532</v>
      </c>
      <c r="U1740" s="31" t="s">
        <v>480</v>
      </c>
      <c r="V1740" s="31" t="s">
        <v>5091</v>
      </c>
      <c r="W1740" s="34"/>
    </row>
    <row r="1741">
      <c r="A1741" s="30">
        <v>1.736</v>
      </c>
      <c r="B1741" s="31" t="s">
        <v>7113</v>
      </c>
      <c r="C1741" s="31" t="s">
        <v>7114</v>
      </c>
      <c r="D1741" s="31" t="s">
        <v>6342</v>
      </c>
      <c r="E1741" s="31" t="s">
        <v>4446</v>
      </c>
      <c r="F1741" s="35">
        <v>44130.0</v>
      </c>
      <c r="G1741" s="35">
        <v>44191.0</v>
      </c>
      <c r="H1741" s="31" t="s">
        <v>453</v>
      </c>
      <c r="I1741" s="31" t="s">
        <v>607</v>
      </c>
      <c r="J1741" s="31" t="s">
        <v>2697</v>
      </c>
      <c r="K1741" s="31" t="s">
        <v>4447</v>
      </c>
      <c r="L1741" s="31" t="s">
        <v>6343</v>
      </c>
      <c r="M1741" s="31" t="s">
        <v>7115</v>
      </c>
      <c r="N1741" s="31" t="s">
        <v>267</v>
      </c>
      <c r="O1741" s="31">
        <v>1.0</v>
      </c>
      <c r="P1741" s="34"/>
      <c r="Q1741" s="31" t="s">
        <v>307</v>
      </c>
      <c r="R1741" s="32">
        <v>32621.0</v>
      </c>
      <c r="S1741" s="31" t="s">
        <v>681</v>
      </c>
      <c r="T1741" s="31" t="s">
        <v>686</v>
      </c>
      <c r="U1741" s="31" t="s">
        <v>643</v>
      </c>
      <c r="V1741" s="31" t="s">
        <v>4446</v>
      </c>
      <c r="W1741" s="34"/>
    </row>
    <row r="1742">
      <c r="A1742" s="30">
        <v>1.737</v>
      </c>
      <c r="B1742" s="31" t="s">
        <v>7116</v>
      </c>
      <c r="C1742" s="31" t="s">
        <v>908</v>
      </c>
      <c r="D1742" s="31" t="s">
        <v>472</v>
      </c>
      <c r="E1742" s="31" t="s">
        <v>3055</v>
      </c>
      <c r="F1742" s="32">
        <v>43874.0</v>
      </c>
      <c r="G1742" s="32">
        <v>43934.0</v>
      </c>
      <c r="H1742" s="31" t="s">
        <v>453</v>
      </c>
      <c r="I1742" s="31" t="s">
        <v>555</v>
      </c>
      <c r="J1742" s="31" t="s">
        <v>556</v>
      </c>
      <c r="K1742" s="31" t="s">
        <v>3056</v>
      </c>
      <c r="L1742" s="31" t="s">
        <v>476</v>
      </c>
      <c r="M1742" s="31" t="s">
        <v>7117</v>
      </c>
      <c r="N1742" s="31" t="s">
        <v>267</v>
      </c>
      <c r="O1742" s="34"/>
      <c r="P1742" s="34"/>
      <c r="Q1742" s="31" t="s">
        <v>307</v>
      </c>
      <c r="R1742" s="32">
        <v>34438.0</v>
      </c>
      <c r="S1742" s="31" t="s">
        <v>6256</v>
      </c>
      <c r="T1742" s="31" t="s">
        <v>854</v>
      </c>
      <c r="U1742" s="31" t="s">
        <v>480</v>
      </c>
      <c r="V1742" s="31" t="s">
        <v>3055</v>
      </c>
      <c r="W1742" s="34"/>
    </row>
    <row r="1743">
      <c r="A1743" s="30">
        <v>1.738</v>
      </c>
      <c r="B1743" s="31" t="s">
        <v>7118</v>
      </c>
      <c r="C1743" s="31" t="s">
        <v>7119</v>
      </c>
      <c r="D1743" s="31" t="s">
        <v>472</v>
      </c>
      <c r="E1743" s="31" t="s">
        <v>3419</v>
      </c>
      <c r="F1743" s="32">
        <v>43570.0</v>
      </c>
      <c r="G1743" s="32">
        <v>43631.0</v>
      </c>
      <c r="H1743" s="31" t="s">
        <v>453</v>
      </c>
      <c r="I1743" s="31" t="s">
        <v>454</v>
      </c>
      <c r="J1743" s="31" t="s">
        <v>3188</v>
      </c>
      <c r="K1743" s="31" t="s">
        <v>3420</v>
      </c>
      <c r="L1743" s="31" t="s">
        <v>476</v>
      </c>
      <c r="M1743" s="31" t="s">
        <v>7120</v>
      </c>
      <c r="N1743" s="31" t="s">
        <v>467</v>
      </c>
      <c r="O1743" s="34"/>
      <c r="P1743" s="34"/>
      <c r="Q1743" s="31" t="s">
        <v>307</v>
      </c>
      <c r="R1743" s="32">
        <v>36011.0</v>
      </c>
      <c r="S1743" s="31" t="s">
        <v>502</v>
      </c>
      <c r="T1743" s="31" t="s">
        <v>4435</v>
      </c>
      <c r="U1743" s="31" t="s">
        <v>460</v>
      </c>
      <c r="V1743" s="31" t="s">
        <v>3419</v>
      </c>
      <c r="W1743" s="34"/>
    </row>
    <row r="1744">
      <c r="A1744" s="30">
        <v>1.739</v>
      </c>
      <c r="B1744" s="31" t="s">
        <v>7121</v>
      </c>
      <c r="C1744" s="31" t="s">
        <v>7122</v>
      </c>
      <c r="D1744" s="31" t="s">
        <v>260</v>
      </c>
      <c r="E1744" s="31" t="s">
        <v>2810</v>
      </c>
      <c r="F1744" s="32">
        <v>42464.0</v>
      </c>
      <c r="G1744" s="32">
        <v>42525.0</v>
      </c>
      <c r="H1744" s="31" t="s">
        <v>2732</v>
      </c>
      <c r="I1744" s="31" t="s">
        <v>2810</v>
      </c>
      <c r="J1744" s="34"/>
      <c r="K1744" s="31" t="s">
        <v>2964</v>
      </c>
      <c r="L1744" s="31" t="s">
        <v>2965</v>
      </c>
      <c r="M1744" s="31" t="s">
        <v>7123</v>
      </c>
      <c r="N1744" s="31" t="s">
        <v>467</v>
      </c>
      <c r="O1744" s="34"/>
      <c r="P1744" s="31">
        <v>7.0</v>
      </c>
      <c r="Q1744" s="31" t="s">
        <v>307</v>
      </c>
      <c r="R1744" s="32">
        <v>33250.0</v>
      </c>
      <c r="S1744" s="31" t="s">
        <v>681</v>
      </c>
      <c r="T1744" s="31" t="s">
        <v>1789</v>
      </c>
      <c r="U1744" s="31" t="s">
        <v>2735</v>
      </c>
      <c r="V1744" s="34"/>
      <c r="W1744" s="34"/>
    </row>
    <row r="1745">
      <c r="A1745" s="30">
        <v>1.74</v>
      </c>
      <c r="B1745" s="31" t="s">
        <v>7124</v>
      </c>
      <c r="C1745" s="31" t="s">
        <v>7125</v>
      </c>
      <c r="D1745" s="31" t="s">
        <v>2932</v>
      </c>
      <c r="E1745" s="31" t="s">
        <v>3598</v>
      </c>
      <c r="F1745" s="32">
        <v>44217.0</v>
      </c>
      <c r="G1745" s="32">
        <v>44276.0</v>
      </c>
      <c r="H1745" s="31" t="s">
        <v>576</v>
      </c>
      <c r="I1745" s="31" t="s">
        <v>2934</v>
      </c>
      <c r="J1745" s="31" t="s">
        <v>3598</v>
      </c>
      <c r="K1745" s="31" t="s">
        <v>3599</v>
      </c>
      <c r="L1745" s="31" t="s">
        <v>2936</v>
      </c>
      <c r="M1745" s="31" t="s">
        <v>7126</v>
      </c>
      <c r="N1745" s="31" t="s">
        <v>267</v>
      </c>
      <c r="O1745" s="34"/>
      <c r="P1745" s="34"/>
      <c r="Q1745" s="31" t="s">
        <v>307</v>
      </c>
      <c r="R1745" s="32">
        <v>35998.0</v>
      </c>
      <c r="S1745" s="31" t="s">
        <v>5607</v>
      </c>
      <c r="T1745" s="31" t="s">
        <v>7127</v>
      </c>
      <c r="U1745" s="31" t="s">
        <v>633</v>
      </c>
      <c r="V1745" s="34"/>
      <c r="W1745" s="34"/>
    </row>
    <row r="1746">
      <c r="A1746" s="30">
        <v>1.741</v>
      </c>
      <c r="B1746" s="31" t="s">
        <v>7128</v>
      </c>
      <c r="C1746" s="31" t="s">
        <v>7129</v>
      </c>
      <c r="D1746" s="31" t="s">
        <v>260</v>
      </c>
      <c r="E1746" s="31" t="s">
        <v>2737</v>
      </c>
      <c r="F1746" s="32">
        <v>43965.0</v>
      </c>
      <c r="G1746" s="32">
        <v>44026.0</v>
      </c>
      <c r="H1746" s="31" t="s">
        <v>2732</v>
      </c>
      <c r="I1746" s="31" t="s">
        <v>326</v>
      </c>
      <c r="J1746" s="31" t="s">
        <v>2737</v>
      </c>
      <c r="K1746" s="31" t="s">
        <v>2738</v>
      </c>
      <c r="L1746" s="31" t="s">
        <v>431</v>
      </c>
      <c r="M1746" s="31" t="s">
        <v>7130</v>
      </c>
      <c r="N1746" s="31" t="s">
        <v>267</v>
      </c>
      <c r="O1746" s="34"/>
      <c r="P1746" s="31">
        <v>4.0</v>
      </c>
      <c r="Q1746" s="31" t="s">
        <v>307</v>
      </c>
      <c r="R1746" s="32">
        <v>35818.0</v>
      </c>
      <c r="S1746" s="31" t="s">
        <v>7131</v>
      </c>
      <c r="T1746" s="31" t="s">
        <v>1377</v>
      </c>
      <c r="U1746" s="31" t="s">
        <v>2735</v>
      </c>
      <c r="V1746" s="34"/>
      <c r="W1746" s="34"/>
    </row>
    <row r="1747">
      <c r="A1747" s="30">
        <v>1.742</v>
      </c>
      <c r="B1747" s="31" t="s">
        <v>7132</v>
      </c>
      <c r="C1747" s="31" t="s">
        <v>7133</v>
      </c>
      <c r="D1747" s="31" t="s">
        <v>7134</v>
      </c>
      <c r="E1747" s="31" t="s">
        <v>132</v>
      </c>
      <c r="F1747" s="32">
        <v>40245.0</v>
      </c>
      <c r="G1747" s="32">
        <v>40269.0</v>
      </c>
      <c r="H1747" s="31" t="s">
        <v>303</v>
      </c>
      <c r="I1747" s="31" t="s">
        <v>132</v>
      </c>
      <c r="J1747" s="34"/>
      <c r="K1747" s="31" t="s">
        <v>7135</v>
      </c>
      <c r="L1747" s="31" t="s">
        <v>7136</v>
      </c>
      <c r="M1747" s="31" t="s">
        <v>7137</v>
      </c>
      <c r="N1747" s="31" t="s">
        <v>267</v>
      </c>
      <c r="O1747" s="31">
        <v>3.0</v>
      </c>
      <c r="P1747" s="34"/>
      <c r="Q1747" s="31" t="s">
        <v>307</v>
      </c>
      <c r="R1747" s="32">
        <v>31316.0</v>
      </c>
      <c r="S1747" s="31" t="s">
        <v>676</v>
      </c>
      <c r="T1747" s="31" t="s">
        <v>744</v>
      </c>
      <c r="U1747" s="31" t="s">
        <v>361</v>
      </c>
      <c r="V1747" s="34"/>
      <c r="W1747" s="34"/>
    </row>
    <row r="1748">
      <c r="A1748" s="30">
        <v>1.743</v>
      </c>
      <c r="B1748" s="31" t="s">
        <v>7138</v>
      </c>
      <c r="C1748" s="31" t="s">
        <v>7139</v>
      </c>
      <c r="D1748" s="31" t="s">
        <v>2531</v>
      </c>
      <c r="E1748" s="31" t="s">
        <v>148</v>
      </c>
      <c r="F1748" s="32">
        <v>44956.0</v>
      </c>
      <c r="G1748" s="32">
        <v>45015.0</v>
      </c>
      <c r="H1748" s="31" t="s">
        <v>303</v>
      </c>
      <c r="I1748" s="31" t="s">
        <v>335</v>
      </c>
      <c r="J1748" s="31" t="s">
        <v>336</v>
      </c>
      <c r="K1748" s="31" t="s">
        <v>2532</v>
      </c>
      <c r="L1748" s="31" t="s">
        <v>2533</v>
      </c>
      <c r="M1748" s="31" t="s">
        <v>7140</v>
      </c>
      <c r="N1748" s="31" t="s">
        <v>267</v>
      </c>
      <c r="O1748" s="34"/>
      <c r="P1748" s="34"/>
      <c r="Q1748" s="31" t="s">
        <v>307</v>
      </c>
      <c r="R1748" s="32">
        <v>36993.0</v>
      </c>
      <c r="S1748" s="31" t="s">
        <v>626</v>
      </c>
      <c r="T1748" s="31" t="s">
        <v>808</v>
      </c>
      <c r="U1748" s="31" t="s">
        <v>361</v>
      </c>
      <c r="V1748" s="31" t="s">
        <v>148</v>
      </c>
      <c r="W1748" s="34"/>
    </row>
    <row r="1749">
      <c r="A1749" s="30">
        <v>1.744</v>
      </c>
      <c r="B1749" s="31" t="s">
        <v>7141</v>
      </c>
      <c r="C1749" s="31" t="s">
        <v>7142</v>
      </c>
      <c r="D1749" s="31" t="s">
        <v>7143</v>
      </c>
      <c r="E1749" s="31" t="s">
        <v>4726</v>
      </c>
      <c r="F1749" s="32">
        <v>44986.0</v>
      </c>
      <c r="G1749" s="32">
        <v>44986.0</v>
      </c>
      <c r="H1749" s="31" t="s">
        <v>4727</v>
      </c>
      <c r="I1749" s="31" t="s">
        <v>4726</v>
      </c>
      <c r="J1749" s="34"/>
      <c r="K1749" s="31" t="s">
        <v>4728</v>
      </c>
      <c r="L1749" s="31" t="s">
        <v>7144</v>
      </c>
      <c r="M1749" s="31" t="s">
        <v>7145</v>
      </c>
      <c r="N1749" s="31" t="s">
        <v>267</v>
      </c>
      <c r="O1749" s="34"/>
      <c r="P1749" s="34"/>
      <c r="Q1749" s="31" t="s">
        <v>581</v>
      </c>
      <c r="R1749" s="32">
        <v>33099.0</v>
      </c>
      <c r="S1749" s="31" t="s">
        <v>700</v>
      </c>
      <c r="T1749" s="31" t="s">
        <v>459</v>
      </c>
      <c r="U1749" s="31" t="s">
        <v>342</v>
      </c>
      <c r="V1749" s="34"/>
      <c r="W1749" s="34"/>
    </row>
    <row r="1750">
      <c r="A1750" s="30">
        <v>1.745</v>
      </c>
      <c r="B1750" s="31" t="s">
        <v>7146</v>
      </c>
      <c r="C1750" s="31" t="s">
        <v>7147</v>
      </c>
      <c r="D1750" s="31" t="s">
        <v>3644</v>
      </c>
      <c r="E1750" s="31" t="s">
        <v>2463</v>
      </c>
      <c r="F1750" s="32">
        <v>38047.0</v>
      </c>
      <c r="G1750" s="32">
        <v>38108.0</v>
      </c>
      <c r="H1750" s="31" t="s">
        <v>346</v>
      </c>
      <c r="I1750" s="31" t="s">
        <v>2463</v>
      </c>
      <c r="J1750" s="34"/>
      <c r="K1750" s="31" t="s">
        <v>4694</v>
      </c>
      <c r="L1750" s="31" t="s">
        <v>3646</v>
      </c>
      <c r="M1750" s="31" t="s">
        <v>7148</v>
      </c>
      <c r="N1750" s="31" t="s">
        <v>267</v>
      </c>
      <c r="O1750" s="34"/>
      <c r="P1750" s="34"/>
      <c r="Q1750" s="31" t="s">
        <v>307</v>
      </c>
      <c r="R1750" s="32">
        <v>27889.0</v>
      </c>
      <c r="S1750" s="31" t="s">
        <v>320</v>
      </c>
      <c r="T1750" s="31" t="s">
        <v>744</v>
      </c>
      <c r="U1750" s="31" t="s">
        <v>352</v>
      </c>
      <c r="V1750" s="34"/>
      <c r="W1750" s="34"/>
    </row>
    <row r="1751">
      <c r="A1751" s="30">
        <v>1.746</v>
      </c>
      <c r="B1751" s="31" t="s">
        <v>7149</v>
      </c>
      <c r="C1751" s="31" t="s">
        <v>7150</v>
      </c>
      <c r="D1751" s="31" t="s">
        <v>260</v>
      </c>
      <c r="E1751" s="31" t="s">
        <v>1139</v>
      </c>
      <c r="F1751" s="32">
        <v>45343.0</v>
      </c>
      <c r="G1751" s="32">
        <v>45403.0</v>
      </c>
      <c r="H1751" s="31" t="s">
        <v>262</v>
      </c>
      <c r="I1751" s="31" t="s">
        <v>2219</v>
      </c>
      <c r="J1751" s="31" t="s">
        <v>1139</v>
      </c>
      <c r="K1751" s="31" t="s">
        <v>2220</v>
      </c>
      <c r="L1751" s="31" t="s">
        <v>392</v>
      </c>
      <c r="M1751" s="31" t="s">
        <v>7151</v>
      </c>
      <c r="N1751" s="31" t="s">
        <v>267</v>
      </c>
      <c r="O1751" s="34"/>
      <c r="P1751" s="31">
        <v>1.0</v>
      </c>
      <c r="Q1751" s="31" t="s">
        <v>307</v>
      </c>
      <c r="R1751" s="32">
        <v>36972.0</v>
      </c>
      <c r="S1751" s="31" t="s">
        <v>1041</v>
      </c>
      <c r="T1751" s="31" t="s">
        <v>7152</v>
      </c>
      <c r="U1751" s="31" t="s">
        <v>271</v>
      </c>
      <c r="V1751" s="34"/>
      <c r="W1751" s="34"/>
    </row>
    <row r="1752">
      <c r="A1752" s="30">
        <v>1.747</v>
      </c>
      <c r="B1752" s="31" t="s">
        <v>7153</v>
      </c>
      <c r="C1752" s="31" t="s">
        <v>7154</v>
      </c>
      <c r="D1752" s="31" t="s">
        <v>7143</v>
      </c>
      <c r="E1752" s="31" t="s">
        <v>4726</v>
      </c>
      <c r="F1752" s="32">
        <v>44312.0</v>
      </c>
      <c r="G1752" s="32">
        <v>44373.0</v>
      </c>
      <c r="H1752" s="31" t="s">
        <v>4727</v>
      </c>
      <c r="I1752" s="31" t="s">
        <v>4726</v>
      </c>
      <c r="J1752" s="34"/>
      <c r="K1752" s="31" t="s">
        <v>4728</v>
      </c>
      <c r="L1752" s="31" t="s">
        <v>7144</v>
      </c>
      <c r="M1752" s="31" t="s">
        <v>7155</v>
      </c>
      <c r="N1752" s="31" t="s">
        <v>267</v>
      </c>
      <c r="O1752" s="34"/>
      <c r="P1752" s="34"/>
      <c r="Q1752" s="31" t="s">
        <v>307</v>
      </c>
      <c r="R1752" s="32">
        <v>34953.0</v>
      </c>
      <c r="S1752" s="31" t="s">
        <v>1740</v>
      </c>
      <c r="T1752" s="31" t="s">
        <v>778</v>
      </c>
      <c r="U1752" s="31" t="s">
        <v>342</v>
      </c>
      <c r="V1752" s="34"/>
      <c r="W1752" s="34"/>
    </row>
    <row r="1753">
      <c r="A1753" s="30">
        <v>1.748</v>
      </c>
      <c r="B1753" s="31" t="s">
        <v>7156</v>
      </c>
      <c r="C1753" s="31" t="s">
        <v>7157</v>
      </c>
      <c r="D1753" s="31" t="s">
        <v>1219</v>
      </c>
      <c r="E1753" s="31" t="s">
        <v>1323</v>
      </c>
      <c r="F1753" s="32">
        <v>42859.0</v>
      </c>
      <c r="G1753" s="32">
        <v>42920.0</v>
      </c>
      <c r="H1753" s="31" t="s">
        <v>346</v>
      </c>
      <c r="I1753" s="31" t="s">
        <v>315</v>
      </c>
      <c r="J1753" s="31" t="s">
        <v>1221</v>
      </c>
      <c r="K1753" s="31" t="s">
        <v>1324</v>
      </c>
      <c r="L1753" s="31" t="s">
        <v>1223</v>
      </c>
      <c r="M1753" s="31" t="s">
        <v>7158</v>
      </c>
      <c r="N1753" s="31" t="s">
        <v>267</v>
      </c>
      <c r="O1753" s="34"/>
      <c r="P1753" s="34"/>
      <c r="Q1753" s="31" t="s">
        <v>581</v>
      </c>
      <c r="R1753" s="32">
        <v>34416.0</v>
      </c>
      <c r="S1753" s="31" t="s">
        <v>626</v>
      </c>
      <c r="T1753" s="31" t="s">
        <v>686</v>
      </c>
      <c r="U1753" s="31" t="s">
        <v>352</v>
      </c>
      <c r="V1753" s="31" t="s">
        <v>1323</v>
      </c>
      <c r="W1753" s="34"/>
    </row>
    <row r="1754">
      <c r="A1754" s="30">
        <v>1.749</v>
      </c>
      <c r="B1754" s="31" t="s">
        <v>7159</v>
      </c>
      <c r="C1754" s="31" t="s">
        <v>7160</v>
      </c>
      <c r="D1754" s="31" t="s">
        <v>765</v>
      </c>
      <c r="E1754" s="31" t="s">
        <v>1701</v>
      </c>
      <c r="F1754" s="35">
        <v>45254.0</v>
      </c>
      <c r="G1754" s="32">
        <v>45314.0</v>
      </c>
      <c r="H1754" s="31" t="s">
        <v>262</v>
      </c>
      <c r="I1754" s="31" t="s">
        <v>263</v>
      </c>
      <c r="J1754" s="31" t="s">
        <v>767</v>
      </c>
      <c r="K1754" s="31" t="s">
        <v>1702</v>
      </c>
      <c r="L1754" s="31" t="s">
        <v>769</v>
      </c>
      <c r="M1754" s="31" t="s">
        <v>7161</v>
      </c>
      <c r="N1754" s="31" t="s">
        <v>267</v>
      </c>
      <c r="O1754" s="34"/>
      <c r="P1754" s="31">
        <v>1.0</v>
      </c>
      <c r="Q1754" s="31" t="s">
        <v>307</v>
      </c>
      <c r="R1754" s="32">
        <v>37032.0</v>
      </c>
      <c r="S1754" s="31" t="s">
        <v>4196</v>
      </c>
      <c r="T1754" s="31" t="s">
        <v>1476</v>
      </c>
      <c r="U1754" s="31" t="s">
        <v>271</v>
      </c>
      <c r="V1754" s="31" t="s">
        <v>1701</v>
      </c>
      <c r="W1754" s="34"/>
    </row>
    <row r="1755">
      <c r="A1755" s="30">
        <v>1.75</v>
      </c>
      <c r="B1755" s="31" t="s">
        <v>7162</v>
      </c>
      <c r="C1755" s="31" t="s">
        <v>7163</v>
      </c>
      <c r="D1755" s="31" t="s">
        <v>4581</v>
      </c>
      <c r="E1755" s="31" t="s">
        <v>4386</v>
      </c>
      <c r="F1755" s="32">
        <v>45345.0</v>
      </c>
      <c r="G1755" s="32">
        <v>45405.0</v>
      </c>
      <c r="H1755" s="31" t="s">
        <v>303</v>
      </c>
      <c r="I1755" s="31" t="s">
        <v>4386</v>
      </c>
      <c r="J1755" s="34"/>
      <c r="K1755" s="31" t="s">
        <v>4387</v>
      </c>
      <c r="L1755" s="31" t="s">
        <v>4582</v>
      </c>
      <c r="M1755" s="31" t="s">
        <v>7164</v>
      </c>
      <c r="N1755" s="31" t="s">
        <v>267</v>
      </c>
      <c r="O1755" s="34"/>
      <c r="P1755" s="34"/>
      <c r="Q1755" s="31" t="s">
        <v>307</v>
      </c>
      <c r="R1755" s="35">
        <v>35724.0</v>
      </c>
      <c r="S1755" s="31" t="s">
        <v>286</v>
      </c>
      <c r="T1755" s="31" t="s">
        <v>3616</v>
      </c>
      <c r="U1755" s="31" t="s">
        <v>271</v>
      </c>
      <c r="V1755" s="34"/>
      <c r="W1755" s="34"/>
    </row>
    <row r="1756">
      <c r="A1756" s="30">
        <v>1.751</v>
      </c>
      <c r="B1756" s="31" t="s">
        <v>7165</v>
      </c>
      <c r="C1756" s="31" t="s">
        <v>7166</v>
      </c>
      <c r="D1756" s="31" t="s">
        <v>2977</v>
      </c>
      <c r="E1756" s="31" t="s">
        <v>2978</v>
      </c>
      <c r="F1756" s="32">
        <v>45342.0</v>
      </c>
      <c r="G1756" s="32">
        <v>45402.0</v>
      </c>
      <c r="H1756" s="31" t="s">
        <v>303</v>
      </c>
      <c r="I1756" s="31" t="s">
        <v>2978</v>
      </c>
      <c r="J1756" s="34"/>
      <c r="K1756" s="31" t="s">
        <v>2979</v>
      </c>
      <c r="L1756" s="31" t="s">
        <v>2980</v>
      </c>
      <c r="M1756" s="31" t="s">
        <v>7167</v>
      </c>
      <c r="N1756" s="31" t="s">
        <v>467</v>
      </c>
      <c r="O1756" s="34"/>
      <c r="P1756" s="34"/>
      <c r="Q1756" s="31" t="s">
        <v>307</v>
      </c>
      <c r="R1756" s="32">
        <v>36272.0</v>
      </c>
      <c r="S1756" s="31" t="s">
        <v>286</v>
      </c>
      <c r="T1756" s="31" t="s">
        <v>7168</v>
      </c>
      <c r="U1756" s="31" t="s">
        <v>271</v>
      </c>
      <c r="V1756" s="34"/>
      <c r="W1756" s="34"/>
    </row>
    <row r="1757">
      <c r="A1757" s="30">
        <v>1.752</v>
      </c>
      <c r="B1757" s="31" t="s">
        <v>7169</v>
      </c>
      <c r="C1757" s="31" t="s">
        <v>7170</v>
      </c>
      <c r="D1757" s="31" t="s">
        <v>4581</v>
      </c>
      <c r="E1757" s="31" t="s">
        <v>4386</v>
      </c>
      <c r="F1757" s="32">
        <v>45342.0</v>
      </c>
      <c r="G1757" s="32">
        <v>45402.0</v>
      </c>
      <c r="H1757" s="31" t="s">
        <v>303</v>
      </c>
      <c r="I1757" s="31" t="s">
        <v>4386</v>
      </c>
      <c r="J1757" s="34"/>
      <c r="K1757" s="31" t="s">
        <v>4387</v>
      </c>
      <c r="L1757" s="31" t="s">
        <v>4582</v>
      </c>
      <c r="M1757" s="31" t="s">
        <v>7171</v>
      </c>
      <c r="N1757" s="31" t="s">
        <v>267</v>
      </c>
      <c r="O1757" s="34"/>
      <c r="P1757" s="34"/>
      <c r="Q1757" s="31" t="s">
        <v>307</v>
      </c>
      <c r="R1757" s="32">
        <v>36626.0</v>
      </c>
      <c r="S1757" s="31" t="s">
        <v>1041</v>
      </c>
      <c r="T1757" s="31" t="s">
        <v>7172</v>
      </c>
      <c r="U1757" s="31" t="s">
        <v>271</v>
      </c>
      <c r="V1757" s="34"/>
      <c r="W1757" s="34"/>
    </row>
    <row r="1758">
      <c r="A1758" s="30">
        <v>1.753</v>
      </c>
      <c r="B1758" s="31" t="s">
        <v>7173</v>
      </c>
      <c r="C1758" s="31" t="s">
        <v>7174</v>
      </c>
      <c r="D1758" s="31" t="s">
        <v>574</v>
      </c>
      <c r="E1758" s="31" t="s">
        <v>3430</v>
      </c>
      <c r="F1758" s="32">
        <v>44784.0</v>
      </c>
      <c r="G1758" s="35">
        <v>44845.0</v>
      </c>
      <c r="H1758" s="31" t="s">
        <v>576</v>
      </c>
      <c r="I1758" s="31" t="s">
        <v>3431</v>
      </c>
      <c r="J1758" s="31" t="s">
        <v>3430</v>
      </c>
      <c r="K1758" s="31" t="s">
        <v>3432</v>
      </c>
      <c r="L1758" s="31" t="s">
        <v>579</v>
      </c>
      <c r="M1758" s="31" t="s">
        <v>7175</v>
      </c>
      <c r="N1758" s="31" t="s">
        <v>267</v>
      </c>
      <c r="O1758" s="34"/>
      <c r="P1758" s="31">
        <v>2.0</v>
      </c>
      <c r="Q1758" s="31" t="s">
        <v>581</v>
      </c>
      <c r="R1758" s="32">
        <v>35491.0</v>
      </c>
      <c r="S1758" s="31" t="s">
        <v>3316</v>
      </c>
      <c r="T1758" s="31" t="s">
        <v>7176</v>
      </c>
      <c r="U1758" s="31" t="s">
        <v>633</v>
      </c>
      <c r="V1758" s="34"/>
      <c r="W1758" s="34"/>
    </row>
    <row r="1759">
      <c r="A1759" s="30">
        <v>1.754</v>
      </c>
      <c r="B1759" s="31" t="s">
        <v>7177</v>
      </c>
      <c r="C1759" s="31" t="s">
        <v>4345</v>
      </c>
      <c r="D1759" s="31" t="s">
        <v>7178</v>
      </c>
      <c r="E1759" s="31" t="s">
        <v>228</v>
      </c>
      <c r="F1759" s="32">
        <v>44819.0</v>
      </c>
      <c r="G1759" s="35">
        <v>44880.0</v>
      </c>
      <c r="H1759" s="31" t="s">
        <v>303</v>
      </c>
      <c r="I1759" s="31" t="s">
        <v>228</v>
      </c>
      <c r="J1759" s="34"/>
      <c r="K1759" s="31" t="s">
        <v>304</v>
      </c>
      <c r="L1759" s="31" t="s">
        <v>7179</v>
      </c>
      <c r="M1759" s="31" t="s">
        <v>7180</v>
      </c>
      <c r="N1759" s="31" t="s">
        <v>267</v>
      </c>
      <c r="O1759" s="34"/>
      <c r="P1759" s="34"/>
      <c r="Q1759" s="31" t="s">
        <v>307</v>
      </c>
      <c r="R1759" s="32">
        <v>36669.0</v>
      </c>
      <c r="S1759" s="31" t="s">
        <v>7181</v>
      </c>
      <c r="T1759" s="31" t="s">
        <v>341</v>
      </c>
      <c r="U1759" s="31" t="s">
        <v>310</v>
      </c>
      <c r="V1759" s="34"/>
      <c r="W1759" s="34"/>
    </row>
    <row r="1760">
      <c r="A1760" s="30">
        <v>1.755</v>
      </c>
      <c r="B1760" s="31" t="s">
        <v>7182</v>
      </c>
      <c r="C1760" s="31" t="s">
        <v>7183</v>
      </c>
      <c r="D1760" s="31" t="s">
        <v>7184</v>
      </c>
      <c r="E1760" s="31" t="s">
        <v>38</v>
      </c>
      <c r="F1760" s="35">
        <v>42730.0</v>
      </c>
      <c r="G1760" s="32">
        <v>42792.0</v>
      </c>
      <c r="H1760" s="31" t="s">
        <v>346</v>
      </c>
      <c r="I1760" s="31" t="s">
        <v>38</v>
      </c>
      <c r="J1760" s="34"/>
      <c r="K1760" s="31" t="s">
        <v>347</v>
      </c>
      <c r="L1760" s="31" t="s">
        <v>7185</v>
      </c>
      <c r="M1760" s="31" t="s">
        <v>7186</v>
      </c>
      <c r="N1760" s="31" t="s">
        <v>467</v>
      </c>
      <c r="O1760" s="31">
        <v>2.0</v>
      </c>
      <c r="P1760" s="34"/>
      <c r="Q1760" s="31" t="s">
        <v>307</v>
      </c>
      <c r="R1760" s="32">
        <v>33300.0</v>
      </c>
      <c r="S1760" s="31" t="s">
        <v>7187</v>
      </c>
      <c r="T1760" s="31" t="s">
        <v>7188</v>
      </c>
      <c r="U1760" s="31" t="s">
        <v>352</v>
      </c>
      <c r="V1760" s="34"/>
      <c r="W1760" s="34"/>
    </row>
    <row r="1761">
      <c r="A1761" s="30">
        <v>1.756</v>
      </c>
      <c r="B1761" s="31" t="s">
        <v>7189</v>
      </c>
      <c r="C1761" s="31" t="s">
        <v>7190</v>
      </c>
      <c r="D1761" s="31" t="s">
        <v>260</v>
      </c>
      <c r="E1761" s="31" t="s">
        <v>2767</v>
      </c>
      <c r="F1761" s="32">
        <v>45337.0</v>
      </c>
      <c r="G1761" s="32">
        <v>45396.0</v>
      </c>
      <c r="H1761" s="31" t="s">
        <v>325</v>
      </c>
      <c r="I1761" s="31" t="s">
        <v>2768</v>
      </c>
      <c r="J1761" s="31" t="s">
        <v>2767</v>
      </c>
      <c r="K1761" s="31" t="s">
        <v>2769</v>
      </c>
      <c r="L1761" s="31" t="s">
        <v>392</v>
      </c>
      <c r="M1761" s="31" t="s">
        <v>7191</v>
      </c>
      <c r="N1761" s="31" t="s">
        <v>467</v>
      </c>
      <c r="O1761" s="34"/>
      <c r="P1761" s="31">
        <v>1.0</v>
      </c>
      <c r="Q1761" s="31" t="s">
        <v>307</v>
      </c>
      <c r="R1761" s="32">
        <v>37257.0</v>
      </c>
      <c r="S1761" s="31" t="s">
        <v>320</v>
      </c>
      <c r="T1761" s="31" t="s">
        <v>330</v>
      </c>
      <c r="U1761" s="31" t="s">
        <v>331</v>
      </c>
      <c r="V1761" s="34"/>
      <c r="W1761" s="34"/>
    </row>
    <row r="1762">
      <c r="A1762" s="30">
        <v>1.757</v>
      </c>
      <c r="B1762" s="31" t="s">
        <v>7192</v>
      </c>
      <c r="C1762" s="31" t="s">
        <v>7193</v>
      </c>
      <c r="D1762" s="31" t="s">
        <v>1541</v>
      </c>
      <c r="E1762" s="31" t="s">
        <v>1576</v>
      </c>
      <c r="F1762" s="32">
        <v>43200.0</v>
      </c>
      <c r="G1762" s="32">
        <v>43261.0</v>
      </c>
      <c r="H1762" s="31" t="s">
        <v>262</v>
      </c>
      <c r="I1762" s="31" t="s">
        <v>315</v>
      </c>
      <c r="J1762" s="31" t="s">
        <v>1577</v>
      </c>
      <c r="K1762" s="31" t="s">
        <v>7194</v>
      </c>
      <c r="L1762" s="31" t="s">
        <v>1542</v>
      </c>
      <c r="M1762" s="31" t="s">
        <v>7195</v>
      </c>
      <c r="N1762" s="31" t="s">
        <v>267</v>
      </c>
      <c r="O1762" s="31">
        <v>1.0</v>
      </c>
      <c r="P1762" s="31">
        <v>3.0</v>
      </c>
      <c r="Q1762" s="31" t="s">
        <v>307</v>
      </c>
      <c r="R1762" s="32">
        <v>35161.0</v>
      </c>
      <c r="S1762" s="31" t="s">
        <v>320</v>
      </c>
      <c r="T1762" s="31" t="s">
        <v>1377</v>
      </c>
      <c r="U1762" s="31" t="s">
        <v>271</v>
      </c>
      <c r="V1762" s="31" t="s">
        <v>1576</v>
      </c>
      <c r="W1762" s="34"/>
    </row>
    <row r="1763">
      <c r="A1763" s="30">
        <v>1.758</v>
      </c>
      <c r="B1763" s="31" t="s">
        <v>7196</v>
      </c>
      <c r="C1763" s="31" t="s">
        <v>7197</v>
      </c>
      <c r="D1763" s="31" t="s">
        <v>1541</v>
      </c>
      <c r="E1763" s="31" t="s">
        <v>314</v>
      </c>
      <c r="F1763" s="32">
        <v>42829.0</v>
      </c>
      <c r="G1763" s="32">
        <v>42891.0</v>
      </c>
      <c r="H1763" s="31" t="s">
        <v>262</v>
      </c>
      <c r="I1763" s="31" t="s">
        <v>315</v>
      </c>
      <c r="J1763" s="31" t="s">
        <v>316</v>
      </c>
      <c r="K1763" s="31" t="s">
        <v>317</v>
      </c>
      <c r="L1763" s="31" t="s">
        <v>1542</v>
      </c>
      <c r="M1763" s="31" t="s">
        <v>7198</v>
      </c>
      <c r="N1763" s="31" t="s">
        <v>467</v>
      </c>
      <c r="O1763" s="31">
        <v>1.0</v>
      </c>
      <c r="P1763" s="31">
        <v>3.0</v>
      </c>
      <c r="Q1763" s="31" t="s">
        <v>307</v>
      </c>
      <c r="R1763" s="32">
        <v>34154.0</v>
      </c>
      <c r="S1763" s="31" t="s">
        <v>1332</v>
      </c>
      <c r="T1763" s="31" t="s">
        <v>1476</v>
      </c>
      <c r="U1763" s="31" t="s">
        <v>271</v>
      </c>
      <c r="V1763" s="31" t="s">
        <v>314</v>
      </c>
      <c r="W1763" s="34"/>
    </row>
    <row r="1764">
      <c r="A1764" s="30">
        <v>1.759</v>
      </c>
      <c r="B1764" s="31" t="s">
        <v>7199</v>
      </c>
      <c r="C1764" s="31" t="s">
        <v>7200</v>
      </c>
      <c r="D1764" s="31" t="s">
        <v>1541</v>
      </c>
      <c r="E1764" s="31" t="s">
        <v>1486</v>
      </c>
      <c r="F1764" s="32">
        <v>43917.0</v>
      </c>
      <c r="G1764" s="32">
        <v>43978.0</v>
      </c>
      <c r="H1764" s="31" t="s">
        <v>262</v>
      </c>
      <c r="I1764" s="31" t="s">
        <v>315</v>
      </c>
      <c r="J1764" s="31" t="s">
        <v>316</v>
      </c>
      <c r="K1764" s="31" t="s">
        <v>2394</v>
      </c>
      <c r="L1764" s="31" t="s">
        <v>1542</v>
      </c>
      <c r="M1764" s="31" t="s">
        <v>7201</v>
      </c>
      <c r="N1764" s="31" t="s">
        <v>267</v>
      </c>
      <c r="O1764" s="31">
        <v>1.0</v>
      </c>
      <c r="P1764" s="31">
        <v>3.0</v>
      </c>
      <c r="Q1764" s="31" t="s">
        <v>307</v>
      </c>
      <c r="R1764" s="32">
        <v>35435.0</v>
      </c>
      <c r="S1764" s="31" t="s">
        <v>1104</v>
      </c>
      <c r="T1764" s="31" t="s">
        <v>1686</v>
      </c>
      <c r="U1764" s="31" t="s">
        <v>271</v>
      </c>
      <c r="V1764" s="31" t="s">
        <v>1486</v>
      </c>
      <c r="W1764" s="34"/>
    </row>
    <row r="1765">
      <c r="A1765" s="30">
        <v>1.76</v>
      </c>
      <c r="B1765" s="31" t="s">
        <v>7202</v>
      </c>
      <c r="C1765" s="31" t="s">
        <v>7203</v>
      </c>
      <c r="D1765" s="31" t="s">
        <v>260</v>
      </c>
      <c r="E1765" s="31" t="s">
        <v>2908</v>
      </c>
      <c r="F1765" s="32">
        <v>45236.0</v>
      </c>
      <c r="G1765" s="32">
        <v>45297.0</v>
      </c>
      <c r="H1765" s="31" t="s">
        <v>325</v>
      </c>
      <c r="I1765" s="31" t="s">
        <v>2761</v>
      </c>
      <c r="J1765" s="31" t="s">
        <v>2908</v>
      </c>
      <c r="K1765" s="31" t="s">
        <v>3407</v>
      </c>
      <c r="L1765" s="31" t="s">
        <v>905</v>
      </c>
      <c r="M1765" s="31" t="s">
        <v>7204</v>
      </c>
      <c r="N1765" s="31" t="s">
        <v>467</v>
      </c>
      <c r="O1765" s="34"/>
      <c r="P1765" s="31">
        <v>1.0</v>
      </c>
      <c r="Q1765" s="31" t="s">
        <v>307</v>
      </c>
      <c r="R1765" s="35">
        <v>37214.0</v>
      </c>
      <c r="S1765" s="31" t="s">
        <v>7205</v>
      </c>
      <c r="T1765" s="31" t="s">
        <v>4705</v>
      </c>
      <c r="U1765" s="31" t="s">
        <v>331</v>
      </c>
      <c r="V1765" s="34"/>
      <c r="W1765" s="34"/>
    </row>
    <row r="1766">
      <c r="A1766" s="30">
        <v>1.761</v>
      </c>
      <c r="B1766" s="31" t="s">
        <v>7206</v>
      </c>
      <c r="C1766" s="31" t="s">
        <v>7207</v>
      </c>
      <c r="D1766" s="31" t="s">
        <v>2172</v>
      </c>
      <c r="E1766" s="31" t="s">
        <v>167</v>
      </c>
      <c r="F1766" s="32">
        <v>41442.0</v>
      </c>
      <c r="G1766" s="32">
        <v>41502.0</v>
      </c>
      <c r="H1766" s="31" t="s">
        <v>303</v>
      </c>
      <c r="I1766" s="31" t="s">
        <v>3877</v>
      </c>
      <c r="J1766" s="31" t="s">
        <v>167</v>
      </c>
      <c r="K1766" s="31" t="s">
        <v>3878</v>
      </c>
      <c r="L1766" s="36" t="s">
        <v>7208</v>
      </c>
      <c r="M1766" s="31" t="s">
        <v>7209</v>
      </c>
      <c r="N1766" s="31" t="s">
        <v>267</v>
      </c>
      <c r="O1766" s="31">
        <v>2.0</v>
      </c>
      <c r="P1766" s="34"/>
      <c r="Q1766" s="31" t="s">
        <v>307</v>
      </c>
      <c r="R1766" s="32">
        <v>31864.0</v>
      </c>
      <c r="S1766" s="31" t="s">
        <v>531</v>
      </c>
      <c r="T1766" s="31" t="s">
        <v>778</v>
      </c>
      <c r="U1766" s="31" t="s">
        <v>342</v>
      </c>
      <c r="V1766" s="34"/>
      <c r="W1766" s="34"/>
    </row>
    <row r="1767">
      <c r="A1767" s="30">
        <v>1.762</v>
      </c>
      <c r="B1767" s="31" t="s">
        <v>7210</v>
      </c>
      <c r="C1767" s="31" t="s">
        <v>7211</v>
      </c>
      <c r="D1767" s="31" t="s">
        <v>574</v>
      </c>
      <c r="E1767" s="31" t="s">
        <v>575</v>
      </c>
      <c r="F1767" s="32">
        <v>45295.0</v>
      </c>
      <c r="G1767" s="32">
        <v>45355.0</v>
      </c>
      <c r="H1767" s="31" t="s">
        <v>576</v>
      </c>
      <c r="I1767" s="31" t="s">
        <v>577</v>
      </c>
      <c r="J1767" s="31" t="s">
        <v>575</v>
      </c>
      <c r="K1767" s="31" t="s">
        <v>578</v>
      </c>
      <c r="L1767" s="31" t="s">
        <v>579</v>
      </c>
      <c r="M1767" s="31" t="s">
        <v>7212</v>
      </c>
      <c r="N1767" s="31" t="s">
        <v>267</v>
      </c>
      <c r="O1767" s="34"/>
      <c r="P1767" s="31" t="s">
        <v>3031</v>
      </c>
      <c r="Q1767" s="31" t="s">
        <v>307</v>
      </c>
      <c r="R1767" s="35">
        <v>37925.0</v>
      </c>
      <c r="S1767" s="31" t="s">
        <v>531</v>
      </c>
      <c r="T1767" s="31" t="s">
        <v>3286</v>
      </c>
      <c r="U1767" s="31" t="s">
        <v>583</v>
      </c>
      <c r="V1767" s="34"/>
      <c r="W1767" s="34"/>
    </row>
    <row r="1768">
      <c r="A1768" s="30">
        <v>1.763</v>
      </c>
      <c r="B1768" s="31" t="s">
        <v>7213</v>
      </c>
      <c r="C1768" s="31" t="s">
        <v>7214</v>
      </c>
      <c r="D1768" s="31" t="s">
        <v>260</v>
      </c>
      <c r="E1768" s="31" t="s">
        <v>1260</v>
      </c>
      <c r="F1768" s="32">
        <v>45323.0</v>
      </c>
      <c r="G1768" s="32">
        <v>45383.0</v>
      </c>
      <c r="H1768" s="31" t="s">
        <v>262</v>
      </c>
      <c r="I1768" s="31" t="s">
        <v>2219</v>
      </c>
      <c r="J1768" s="31" t="s">
        <v>1260</v>
      </c>
      <c r="K1768" s="31" t="s">
        <v>2281</v>
      </c>
      <c r="L1768" s="31" t="s">
        <v>392</v>
      </c>
      <c r="M1768" s="31" t="s">
        <v>7215</v>
      </c>
      <c r="N1768" s="31" t="s">
        <v>267</v>
      </c>
      <c r="O1768" s="34"/>
      <c r="P1768" s="31">
        <v>1.0</v>
      </c>
      <c r="Q1768" s="31" t="s">
        <v>307</v>
      </c>
      <c r="R1768" s="35">
        <v>37213.0</v>
      </c>
      <c r="S1768" s="31" t="s">
        <v>2057</v>
      </c>
      <c r="T1768" s="31" t="s">
        <v>1476</v>
      </c>
      <c r="U1768" s="31" t="s">
        <v>271</v>
      </c>
      <c r="V1768" s="34"/>
      <c r="W1768" s="34"/>
    </row>
    <row r="1769">
      <c r="A1769" s="30">
        <v>1.764</v>
      </c>
      <c r="B1769" s="31" t="s">
        <v>7216</v>
      </c>
      <c r="C1769" s="31" t="s">
        <v>7217</v>
      </c>
      <c r="D1769" s="31" t="s">
        <v>7218</v>
      </c>
      <c r="E1769" s="31" t="s">
        <v>7219</v>
      </c>
      <c r="F1769" s="35">
        <v>34693.0</v>
      </c>
      <c r="G1769" s="35">
        <v>34693.0</v>
      </c>
      <c r="H1769" s="31" t="s">
        <v>303</v>
      </c>
      <c r="I1769" s="31" t="s">
        <v>7219</v>
      </c>
      <c r="J1769" s="34"/>
      <c r="K1769" s="31" t="s">
        <v>7220</v>
      </c>
      <c r="L1769" s="31" t="s">
        <v>7221</v>
      </c>
      <c r="M1769" s="31" t="s">
        <v>7222</v>
      </c>
      <c r="N1769" s="31" t="s">
        <v>467</v>
      </c>
      <c r="O1769" s="31">
        <v>6.0</v>
      </c>
      <c r="P1769" s="34"/>
      <c r="Q1769" s="31" t="s">
        <v>307</v>
      </c>
      <c r="R1769" s="32">
        <v>26499.0</v>
      </c>
      <c r="S1769" s="31" t="s">
        <v>7223</v>
      </c>
      <c r="T1769" s="31" t="s">
        <v>6902</v>
      </c>
      <c r="U1769" s="31" t="s">
        <v>310</v>
      </c>
      <c r="V1769" s="34"/>
      <c r="W1769" s="34"/>
    </row>
    <row r="1770">
      <c r="A1770" s="30">
        <v>1.765</v>
      </c>
      <c r="B1770" s="31" t="s">
        <v>7224</v>
      </c>
      <c r="C1770" s="31" t="s">
        <v>7225</v>
      </c>
      <c r="D1770" s="31" t="s">
        <v>7143</v>
      </c>
      <c r="E1770" s="31" t="s">
        <v>4726</v>
      </c>
      <c r="F1770" s="32">
        <v>45264.0</v>
      </c>
      <c r="G1770" s="32">
        <v>45324.0</v>
      </c>
      <c r="H1770" s="31" t="s">
        <v>4727</v>
      </c>
      <c r="I1770" s="31" t="s">
        <v>4726</v>
      </c>
      <c r="J1770" s="34"/>
      <c r="K1770" s="31" t="s">
        <v>4728</v>
      </c>
      <c r="L1770" s="31" t="s">
        <v>7144</v>
      </c>
      <c r="M1770" s="31" t="s">
        <v>7226</v>
      </c>
      <c r="N1770" s="31" t="s">
        <v>267</v>
      </c>
      <c r="O1770" s="34"/>
      <c r="P1770" s="34"/>
      <c r="Q1770" s="31" t="s">
        <v>307</v>
      </c>
      <c r="R1770" s="32">
        <v>31181.0</v>
      </c>
      <c r="S1770" s="31" t="s">
        <v>3850</v>
      </c>
      <c r="T1770" s="31" t="s">
        <v>7227</v>
      </c>
      <c r="U1770" s="31" t="s">
        <v>342</v>
      </c>
      <c r="V1770" s="34"/>
      <c r="W1770" s="34"/>
    </row>
    <row r="1771">
      <c r="A1771" s="30">
        <v>1.766</v>
      </c>
      <c r="B1771" s="31" t="s">
        <v>7228</v>
      </c>
      <c r="C1771" s="31" t="s">
        <v>7229</v>
      </c>
      <c r="D1771" s="31" t="s">
        <v>2662</v>
      </c>
      <c r="E1771" s="31" t="s">
        <v>7230</v>
      </c>
      <c r="F1771" s="32">
        <v>38687.0</v>
      </c>
      <c r="G1771" s="32">
        <v>38718.0</v>
      </c>
      <c r="H1771" s="31" t="s">
        <v>262</v>
      </c>
      <c r="I1771" s="31" t="s">
        <v>275</v>
      </c>
      <c r="J1771" s="31" t="s">
        <v>7230</v>
      </c>
      <c r="K1771" s="31" t="s">
        <v>7231</v>
      </c>
      <c r="L1771" s="31" t="s">
        <v>7232</v>
      </c>
      <c r="M1771" s="31" t="s">
        <v>7233</v>
      </c>
      <c r="N1771" s="31" t="s">
        <v>267</v>
      </c>
      <c r="O1771" s="31">
        <v>3.0</v>
      </c>
      <c r="P1771" s="34"/>
      <c r="Q1771" s="31" t="s">
        <v>307</v>
      </c>
      <c r="R1771" s="32">
        <v>30338.0</v>
      </c>
      <c r="S1771" s="31" t="s">
        <v>700</v>
      </c>
      <c r="T1771" s="31" t="s">
        <v>1476</v>
      </c>
      <c r="U1771" s="31" t="s">
        <v>271</v>
      </c>
      <c r="V1771" s="34"/>
      <c r="W1771" s="34"/>
    </row>
    <row r="1772">
      <c r="A1772" s="30">
        <v>1.767</v>
      </c>
      <c r="B1772" s="31" t="s">
        <v>7234</v>
      </c>
      <c r="C1772" s="31" t="s">
        <v>7235</v>
      </c>
      <c r="D1772" s="31" t="s">
        <v>7236</v>
      </c>
      <c r="E1772" s="31" t="s">
        <v>7230</v>
      </c>
      <c r="F1772" s="32">
        <v>40452.0</v>
      </c>
      <c r="G1772" s="32">
        <v>40513.0</v>
      </c>
      <c r="H1772" s="31" t="s">
        <v>262</v>
      </c>
      <c r="I1772" s="31" t="s">
        <v>275</v>
      </c>
      <c r="J1772" s="31" t="s">
        <v>7230</v>
      </c>
      <c r="K1772" s="31" t="s">
        <v>7231</v>
      </c>
      <c r="L1772" s="31" t="s">
        <v>7237</v>
      </c>
      <c r="M1772" s="31" t="s">
        <v>7238</v>
      </c>
      <c r="N1772" s="31" t="s">
        <v>467</v>
      </c>
      <c r="O1772" s="31">
        <v>3.0</v>
      </c>
      <c r="P1772" s="34"/>
      <c r="Q1772" s="31" t="s">
        <v>307</v>
      </c>
      <c r="R1772" s="32">
        <v>32143.0</v>
      </c>
      <c r="S1772" s="31" t="s">
        <v>320</v>
      </c>
      <c r="T1772" s="31" t="s">
        <v>1476</v>
      </c>
      <c r="U1772" s="31" t="s">
        <v>271</v>
      </c>
      <c r="V1772" s="34"/>
      <c r="W1772" s="34"/>
    </row>
    <row r="1773">
      <c r="A1773" s="30">
        <v>1.768</v>
      </c>
      <c r="B1773" s="31" t="s">
        <v>7239</v>
      </c>
      <c r="C1773" s="31" t="s">
        <v>7240</v>
      </c>
      <c r="D1773" s="31" t="s">
        <v>2662</v>
      </c>
      <c r="E1773" s="31" t="s">
        <v>7230</v>
      </c>
      <c r="F1773" s="32">
        <v>41002.0</v>
      </c>
      <c r="G1773" s="32">
        <v>41063.0</v>
      </c>
      <c r="H1773" s="31" t="s">
        <v>262</v>
      </c>
      <c r="I1773" s="31" t="s">
        <v>263</v>
      </c>
      <c r="J1773" s="31" t="s">
        <v>7230</v>
      </c>
      <c r="K1773" s="31" t="s">
        <v>7241</v>
      </c>
      <c r="L1773" s="31" t="s">
        <v>2664</v>
      </c>
      <c r="M1773" s="31" t="s">
        <v>7242</v>
      </c>
      <c r="N1773" s="31" t="s">
        <v>467</v>
      </c>
      <c r="O1773" s="31">
        <v>3.0</v>
      </c>
      <c r="P1773" s="34"/>
      <c r="Q1773" s="31" t="s">
        <v>307</v>
      </c>
      <c r="R1773" s="32">
        <v>32746.0</v>
      </c>
      <c r="S1773" s="31" t="s">
        <v>320</v>
      </c>
      <c r="T1773" s="31" t="s">
        <v>1476</v>
      </c>
      <c r="U1773" s="31" t="s">
        <v>271</v>
      </c>
      <c r="V1773" s="34"/>
      <c r="W1773" s="34"/>
    </row>
    <row r="1774">
      <c r="A1774" s="30">
        <v>1.769</v>
      </c>
      <c r="B1774" s="31" t="s">
        <v>7243</v>
      </c>
      <c r="C1774" s="31" t="s">
        <v>7244</v>
      </c>
      <c r="D1774" s="31" t="s">
        <v>1625</v>
      </c>
      <c r="E1774" s="31" t="s">
        <v>7230</v>
      </c>
      <c r="F1774" s="32">
        <v>43650.0</v>
      </c>
      <c r="G1774" s="32">
        <v>43709.0</v>
      </c>
      <c r="H1774" s="31" t="s">
        <v>262</v>
      </c>
      <c r="I1774" s="31" t="s">
        <v>93</v>
      </c>
      <c r="J1774" s="31" t="s">
        <v>7230</v>
      </c>
      <c r="K1774" s="31" t="s">
        <v>7245</v>
      </c>
      <c r="L1774" s="31" t="s">
        <v>1627</v>
      </c>
      <c r="M1774" s="31" t="s">
        <v>7246</v>
      </c>
      <c r="N1774" s="31" t="s">
        <v>467</v>
      </c>
      <c r="O1774" s="31">
        <v>3.0</v>
      </c>
      <c r="P1774" s="34"/>
      <c r="Q1774" s="31" t="s">
        <v>307</v>
      </c>
      <c r="R1774" s="35">
        <v>35751.0</v>
      </c>
      <c r="S1774" s="31" t="s">
        <v>7247</v>
      </c>
      <c r="T1774" s="31" t="s">
        <v>2007</v>
      </c>
      <c r="U1774" s="31" t="s">
        <v>271</v>
      </c>
      <c r="V1774" s="34"/>
      <c r="W1774" s="34"/>
    </row>
    <row r="1775">
      <c r="A1775" s="30">
        <v>1.77</v>
      </c>
      <c r="B1775" s="31" t="s">
        <v>7248</v>
      </c>
      <c r="C1775" s="31" t="s">
        <v>7249</v>
      </c>
      <c r="D1775" s="31" t="s">
        <v>3593</v>
      </c>
      <c r="E1775" s="31" t="s">
        <v>2978</v>
      </c>
      <c r="F1775" s="32">
        <v>45342.0</v>
      </c>
      <c r="G1775" s="32">
        <v>45402.0</v>
      </c>
      <c r="H1775" s="31" t="s">
        <v>303</v>
      </c>
      <c r="I1775" s="31" t="s">
        <v>2978</v>
      </c>
      <c r="J1775" s="34"/>
      <c r="K1775" s="31" t="s">
        <v>2979</v>
      </c>
      <c r="L1775" s="31" t="s">
        <v>3594</v>
      </c>
      <c r="M1775" s="31" t="s">
        <v>7250</v>
      </c>
      <c r="N1775" s="31" t="s">
        <v>267</v>
      </c>
      <c r="O1775" s="34"/>
      <c r="P1775" s="34"/>
      <c r="Q1775" s="31" t="s">
        <v>307</v>
      </c>
      <c r="R1775" s="32">
        <v>35447.0</v>
      </c>
      <c r="S1775" s="31" t="s">
        <v>626</v>
      </c>
      <c r="T1775" s="31" t="s">
        <v>686</v>
      </c>
      <c r="U1775" s="31" t="s">
        <v>310</v>
      </c>
      <c r="V1775" s="34"/>
      <c r="W1775" s="34"/>
    </row>
    <row r="1776">
      <c r="A1776" s="30">
        <v>1.771</v>
      </c>
      <c r="B1776" s="31" t="s">
        <v>7251</v>
      </c>
      <c r="C1776" s="31" t="s">
        <v>7252</v>
      </c>
      <c r="D1776" s="31" t="s">
        <v>648</v>
      </c>
      <c r="E1776" s="31" t="s">
        <v>1636</v>
      </c>
      <c r="F1776" s="32">
        <v>44676.0</v>
      </c>
      <c r="G1776" s="32">
        <v>44737.0</v>
      </c>
      <c r="H1776" s="31" t="s">
        <v>2811</v>
      </c>
      <c r="I1776" s="31" t="s">
        <v>153</v>
      </c>
      <c r="J1776" s="31" t="s">
        <v>1636</v>
      </c>
      <c r="K1776" s="31" t="s">
        <v>7253</v>
      </c>
      <c r="L1776" s="31" t="s">
        <v>651</v>
      </c>
      <c r="M1776" s="31" t="s">
        <v>7254</v>
      </c>
      <c r="N1776" s="31" t="s">
        <v>267</v>
      </c>
      <c r="O1776" s="34"/>
      <c r="P1776" s="31">
        <v>3.0</v>
      </c>
      <c r="Q1776" s="31" t="s">
        <v>581</v>
      </c>
      <c r="R1776" s="35">
        <v>32461.0</v>
      </c>
      <c r="S1776" s="31" t="s">
        <v>531</v>
      </c>
      <c r="T1776" s="31" t="s">
        <v>7255</v>
      </c>
      <c r="U1776" s="31" t="s">
        <v>2914</v>
      </c>
      <c r="V1776" s="34"/>
      <c r="W1776" s="34"/>
    </row>
    <row r="1777">
      <c r="A1777" s="30">
        <v>1.772</v>
      </c>
      <c r="B1777" s="31" t="s">
        <v>7256</v>
      </c>
      <c r="C1777" s="31" t="s">
        <v>7257</v>
      </c>
      <c r="D1777" s="31" t="s">
        <v>260</v>
      </c>
      <c r="E1777" s="31" t="s">
        <v>167</v>
      </c>
      <c r="F1777" s="32">
        <v>43922.0</v>
      </c>
      <c r="G1777" s="32">
        <v>43983.0</v>
      </c>
      <c r="H1777" s="31" t="s">
        <v>303</v>
      </c>
      <c r="I1777" s="31" t="s">
        <v>3877</v>
      </c>
      <c r="J1777" s="31" t="s">
        <v>167</v>
      </c>
      <c r="K1777" s="31" t="s">
        <v>3878</v>
      </c>
      <c r="L1777" s="31" t="s">
        <v>3879</v>
      </c>
      <c r="M1777" s="31" t="s">
        <v>7258</v>
      </c>
      <c r="N1777" s="31" t="s">
        <v>267</v>
      </c>
      <c r="O1777" s="34"/>
      <c r="P1777" s="34"/>
      <c r="Q1777" s="31" t="s">
        <v>581</v>
      </c>
      <c r="R1777" s="32">
        <v>35084.0</v>
      </c>
      <c r="S1777" s="31" t="s">
        <v>537</v>
      </c>
      <c r="T1777" s="31" t="s">
        <v>1783</v>
      </c>
      <c r="U1777" s="31" t="s">
        <v>271</v>
      </c>
      <c r="V1777" s="34"/>
      <c r="W1777" s="34"/>
    </row>
    <row r="1778">
      <c r="A1778" s="30">
        <v>1.773</v>
      </c>
      <c r="B1778" s="31" t="s">
        <v>7259</v>
      </c>
      <c r="C1778" s="31" t="s">
        <v>3653</v>
      </c>
      <c r="D1778" s="31" t="s">
        <v>3593</v>
      </c>
      <c r="E1778" s="31" t="s">
        <v>2978</v>
      </c>
      <c r="F1778" s="32">
        <v>44644.0</v>
      </c>
      <c r="G1778" s="32">
        <v>44705.0</v>
      </c>
      <c r="H1778" s="31" t="s">
        <v>303</v>
      </c>
      <c r="I1778" s="31" t="s">
        <v>2978</v>
      </c>
      <c r="J1778" s="34"/>
      <c r="K1778" s="31" t="s">
        <v>2979</v>
      </c>
      <c r="L1778" s="31" t="s">
        <v>3594</v>
      </c>
      <c r="M1778" s="31" t="s">
        <v>7260</v>
      </c>
      <c r="N1778" s="31" t="s">
        <v>267</v>
      </c>
      <c r="O1778" s="34"/>
      <c r="P1778" s="34"/>
      <c r="Q1778" s="31" t="s">
        <v>307</v>
      </c>
      <c r="R1778" s="32">
        <v>34766.0</v>
      </c>
      <c r="S1778" s="31" t="s">
        <v>531</v>
      </c>
      <c r="T1778" s="31" t="s">
        <v>7188</v>
      </c>
      <c r="U1778" s="31" t="s">
        <v>310</v>
      </c>
      <c r="V1778" s="34"/>
      <c r="W1778" s="34"/>
    </row>
    <row r="1779">
      <c r="A1779" s="30">
        <v>1.774</v>
      </c>
      <c r="B1779" s="31" t="s">
        <v>7261</v>
      </c>
      <c r="C1779" s="31" t="s">
        <v>7262</v>
      </c>
      <c r="D1779" s="31" t="s">
        <v>7263</v>
      </c>
      <c r="E1779" s="31" t="s">
        <v>7264</v>
      </c>
      <c r="F1779" s="32">
        <v>43836.0</v>
      </c>
      <c r="G1779" s="32">
        <v>43896.0</v>
      </c>
      <c r="H1779" s="31" t="s">
        <v>303</v>
      </c>
      <c r="I1779" s="31" t="s">
        <v>7264</v>
      </c>
      <c r="J1779" s="34"/>
      <c r="K1779" s="31" t="s">
        <v>7265</v>
      </c>
      <c r="L1779" s="31" t="s">
        <v>7266</v>
      </c>
      <c r="M1779" s="31" t="s">
        <v>7267</v>
      </c>
      <c r="N1779" s="31" t="s">
        <v>267</v>
      </c>
      <c r="O1779" s="34"/>
      <c r="P1779" s="34"/>
      <c r="Q1779" s="31" t="s">
        <v>307</v>
      </c>
      <c r="R1779" s="32">
        <v>34125.0</v>
      </c>
      <c r="S1779" s="31" t="s">
        <v>531</v>
      </c>
      <c r="T1779" s="31" t="s">
        <v>682</v>
      </c>
      <c r="U1779" s="31" t="s">
        <v>310</v>
      </c>
      <c r="V1779" s="34"/>
      <c r="W1779" s="34"/>
    </row>
    <row r="1780">
      <c r="A1780" s="30">
        <v>1.775</v>
      </c>
      <c r="B1780" s="31" t="s">
        <v>7268</v>
      </c>
      <c r="C1780" s="31" t="s">
        <v>7269</v>
      </c>
      <c r="D1780" s="31" t="s">
        <v>260</v>
      </c>
      <c r="E1780" s="31" t="s">
        <v>1139</v>
      </c>
      <c r="F1780" s="32">
        <v>45159.0</v>
      </c>
      <c r="G1780" s="35">
        <v>45219.0</v>
      </c>
      <c r="H1780" s="31" t="s">
        <v>262</v>
      </c>
      <c r="I1780" s="31" t="s">
        <v>2219</v>
      </c>
      <c r="J1780" s="31" t="s">
        <v>1139</v>
      </c>
      <c r="K1780" s="31" t="s">
        <v>2220</v>
      </c>
      <c r="L1780" s="31" t="s">
        <v>392</v>
      </c>
      <c r="M1780" s="31" t="s">
        <v>7270</v>
      </c>
      <c r="N1780" s="31" t="s">
        <v>267</v>
      </c>
      <c r="O1780" s="34"/>
      <c r="P1780" s="31">
        <v>1.0</v>
      </c>
      <c r="Q1780" s="31" t="s">
        <v>307</v>
      </c>
      <c r="R1780" s="32">
        <v>36975.0</v>
      </c>
      <c r="S1780" s="31" t="s">
        <v>286</v>
      </c>
      <c r="T1780" s="31" t="s">
        <v>1639</v>
      </c>
      <c r="U1780" s="31" t="s">
        <v>271</v>
      </c>
      <c r="V1780" s="34"/>
      <c r="W1780" s="34"/>
    </row>
    <row r="1781">
      <c r="A1781" s="30">
        <v>1.776</v>
      </c>
      <c r="B1781" s="31" t="s">
        <v>7271</v>
      </c>
      <c r="C1781" s="31" t="s">
        <v>3753</v>
      </c>
      <c r="D1781" s="31" t="s">
        <v>260</v>
      </c>
      <c r="E1781" s="31" t="s">
        <v>2908</v>
      </c>
      <c r="F1781" s="35">
        <v>44882.0</v>
      </c>
      <c r="G1781" s="32">
        <v>44943.0</v>
      </c>
      <c r="H1781" s="31" t="s">
        <v>2811</v>
      </c>
      <c r="I1781" s="31" t="s">
        <v>2909</v>
      </c>
      <c r="J1781" s="31" t="s">
        <v>2908</v>
      </c>
      <c r="K1781" s="31" t="s">
        <v>2910</v>
      </c>
      <c r="L1781" s="31" t="s">
        <v>905</v>
      </c>
      <c r="M1781" s="31" t="s">
        <v>7272</v>
      </c>
      <c r="N1781" s="31" t="s">
        <v>267</v>
      </c>
      <c r="O1781" s="34"/>
      <c r="P1781" s="31">
        <v>6.0</v>
      </c>
      <c r="Q1781" s="31" t="s">
        <v>307</v>
      </c>
      <c r="R1781" s="35">
        <v>36514.0</v>
      </c>
      <c r="S1781" s="31" t="s">
        <v>320</v>
      </c>
      <c r="T1781" s="31" t="s">
        <v>7273</v>
      </c>
      <c r="U1781" s="31" t="s">
        <v>2914</v>
      </c>
      <c r="V1781" s="34"/>
      <c r="W1781" s="34"/>
    </row>
    <row r="1782">
      <c r="A1782" s="30">
        <v>1.777</v>
      </c>
      <c r="B1782" s="31" t="s">
        <v>7274</v>
      </c>
      <c r="C1782" s="31" t="s">
        <v>7275</v>
      </c>
      <c r="D1782" s="31" t="s">
        <v>260</v>
      </c>
      <c r="E1782" s="31" t="s">
        <v>324</v>
      </c>
      <c r="F1782" s="32">
        <v>45337.0</v>
      </c>
      <c r="G1782" s="32">
        <v>45397.0</v>
      </c>
      <c r="H1782" s="31" t="s">
        <v>2811</v>
      </c>
      <c r="I1782" s="31" t="s">
        <v>326</v>
      </c>
      <c r="J1782" s="31" t="s">
        <v>324</v>
      </c>
      <c r="K1782" s="31" t="s">
        <v>4554</v>
      </c>
      <c r="L1782" s="31" t="s">
        <v>328</v>
      </c>
      <c r="M1782" s="31" t="s">
        <v>7276</v>
      </c>
      <c r="N1782" s="31" t="s">
        <v>267</v>
      </c>
      <c r="O1782" s="34"/>
      <c r="P1782" s="31">
        <v>1.0</v>
      </c>
      <c r="Q1782" s="31" t="s">
        <v>307</v>
      </c>
      <c r="R1782" s="32">
        <v>36429.0</v>
      </c>
      <c r="S1782" s="31" t="s">
        <v>3044</v>
      </c>
      <c r="T1782" s="31" t="s">
        <v>427</v>
      </c>
      <c r="U1782" s="31" t="s">
        <v>2914</v>
      </c>
      <c r="V1782" s="34"/>
      <c r="W1782" s="34"/>
    </row>
    <row r="1783">
      <c r="A1783" s="30">
        <v>1.778</v>
      </c>
      <c r="B1783" s="31" t="s">
        <v>7277</v>
      </c>
      <c r="C1783" s="31" t="s">
        <v>7278</v>
      </c>
      <c r="D1783" s="31" t="s">
        <v>7279</v>
      </c>
      <c r="E1783" s="31" t="s">
        <v>32</v>
      </c>
      <c r="F1783" s="32">
        <v>41046.0</v>
      </c>
      <c r="G1783" s="32">
        <v>41106.0</v>
      </c>
      <c r="H1783" s="31" t="s">
        <v>325</v>
      </c>
      <c r="I1783" s="31" t="s">
        <v>32</v>
      </c>
      <c r="J1783" s="34"/>
      <c r="K1783" s="31" t="s">
        <v>7280</v>
      </c>
      <c r="L1783" s="31" t="s">
        <v>7281</v>
      </c>
      <c r="M1783" s="31" t="s">
        <v>7282</v>
      </c>
      <c r="N1783" s="31" t="s">
        <v>267</v>
      </c>
      <c r="O1783" s="31">
        <v>4.0</v>
      </c>
      <c r="P1783" s="34"/>
      <c r="Q1783" s="31" t="s">
        <v>307</v>
      </c>
      <c r="R1783" s="32">
        <v>32193.0</v>
      </c>
      <c r="S1783" s="31" t="s">
        <v>864</v>
      </c>
      <c r="T1783" s="31" t="s">
        <v>1895</v>
      </c>
      <c r="U1783" s="31" t="s">
        <v>331</v>
      </c>
      <c r="V1783" s="34"/>
      <c r="W1783" s="34"/>
    </row>
    <row r="1784">
      <c r="A1784" s="30">
        <v>1.779</v>
      </c>
      <c r="B1784" s="31" t="s">
        <v>7283</v>
      </c>
      <c r="C1784" s="31" t="s">
        <v>5272</v>
      </c>
      <c r="D1784" s="31" t="s">
        <v>7284</v>
      </c>
      <c r="E1784" s="31" t="s">
        <v>155</v>
      </c>
      <c r="F1784" s="32">
        <v>43193.0</v>
      </c>
      <c r="G1784" s="32">
        <v>43254.0</v>
      </c>
      <c r="H1784" s="31" t="s">
        <v>346</v>
      </c>
      <c r="I1784" s="31" t="s">
        <v>275</v>
      </c>
      <c r="J1784" s="31" t="s">
        <v>155</v>
      </c>
      <c r="K1784" s="31" t="s">
        <v>7285</v>
      </c>
      <c r="L1784" s="31" t="s">
        <v>7286</v>
      </c>
      <c r="M1784" s="31" t="s">
        <v>7287</v>
      </c>
      <c r="N1784" s="31" t="s">
        <v>467</v>
      </c>
      <c r="O1784" s="31">
        <v>3.0</v>
      </c>
      <c r="P1784" s="31">
        <v>0.0</v>
      </c>
      <c r="Q1784" s="31" t="s">
        <v>307</v>
      </c>
      <c r="R1784" s="32">
        <v>34876.0</v>
      </c>
      <c r="S1784" s="31" t="s">
        <v>320</v>
      </c>
      <c r="T1784" s="31" t="s">
        <v>744</v>
      </c>
      <c r="U1784" s="31" t="s">
        <v>352</v>
      </c>
      <c r="V1784" s="34"/>
      <c r="W1784" s="34"/>
    </row>
    <row r="1785">
      <c r="A1785" s="30">
        <v>1.78</v>
      </c>
      <c r="B1785" s="31" t="s">
        <v>7288</v>
      </c>
      <c r="C1785" s="31" t="s">
        <v>7289</v>
      </c>
      <c r="D1785" s="31" t="s">
        <v>260</v>
      </c>
      <c r="E1785" s="31" t="s">
        <v>1130</v>
      </c>
      <c r="F1785" s="32">
        <v>44929.0</v>
      </c>
      <c r="G1785" s="32">
        <v>44988.0</v>
      </c>
      <c r="H1785" s="31" t="s">
        <v>262</v>
      </c>
      <c r="I1785" s="31" t="s">
        <v>2219</v>
      </c>
      <c r="J1785" s="31" t="s">
        <v>1130</v>
      </c>
      <c r="K1785" s="31" t="s">
        <v>2236</v>
      </c>
      <c r="L1785" s="31" t="s">
        <v>392</v>
      </c>
      <c r="M1785" s="31" t="s">
        <v>7290</v>
      </c>
      <c r="N1785" s="31" t="s">
        <v>267</v>
      </c>
      <c r="O1785" s="34"/>
      <c r="P1785" s="31">
        <v>1.0</v>
      </c>
      <c r="Q1785" s="31" t="s">
        <v>581</v>
      </c>
      <c r="R1785" s="35">
        <v>37188.0</v>
      </c>
      <c r="S1785" s="31" t="s">
        <v>700</v>
      </c>
      <c r="T1785" s="31" t="s">
        <v>1915</v>
      </c>
      <c r="U1785" s="31" t="s">
        <v>271</v>
      </c>
      <c r="V1785" s="34"/>
      <c r="W1785" s="34"/>
    </row>
    <row r="1786">
      <c r="A1786" s="30">
        <v>1.781</v>
      </c>
      <c r="B1786" s="31" t="s">
        <v>7291</v>
      </c>
      <c r="C1786" s="31" t="s">
        <v>7292</v>
      </c>
      <c r="D1786" s="31" t="s">
        <v>1208</v>
      </c>
      <c r="E1786" s="31" t="s">
        <v>1209</v>
      </c>
      <c r="F1786" s="32">
        <v>43733.0</v>
      </c>
      <c r="G1786" s="35">
        <v>43794.0</v>
      </c>
      <c r="H1786" s="31" t="s">
        <v>262</v>
      </c>
      <c r="I1786" s="31" t="s">
        <v>1209</v>
      </c>
      <c r="J1786" s="34"/>
      <c r="K1786" s="31" t="s">
        <v>2305</v>
      </c>
      <c r="L1786" s="31" t="s">
        <v>1211</v>
      </c>
      <c r="M1786" s="31" t="s">
        <v>7293</v>
      </c>
      <c r="N1786" s="31" t="s">
        <v>267</v>
      </c>
      <c r="O1786" s="34"/>
      <c r="P1786" s="31">
        <v>2.0</v>
      </c>
      <c r="Q1786" s="31" t="s">
        <v>307</v>
      </c>
      <c r="R1786" s="32">
        <v>35834.0</v>
      </c>
      <c r="S1786" s="31" t="s">
        <v>320</v>
      </c>
      <c r="T1786" s="31" t="s">
        <v>1666</v>
      </c>
      <c r="U1786" s="31" t="s">
        <v>271</v>
      </c>
      <c r="V1786" s="34"/>
      <c r="W1786" s="34"/>
    </row>
    <row r="1787">
      <c r="A1787" s="30">
        <v>1.782</v>
      </c>
      <c r="B1787" s="31" t="s">
        <v>7294</v>
      </c>
      <c r="C1787" s="31" t="s">
        <v>7295</v>
      </c>
      <c r="D1787" s="31" t="s">
        <v>260</v>
      </c>
      <c r="E1787" s="31" t="s">
        <v>261</v>
      </c>
      <c r="F1787" s="32">
        <v>43998.0</v>
      </c>
      <c r="G1787" s="32">
        <v>44059.0</v>
      </c>
      <c r="H1787" s="31" t="s">
        <v>262</v>
      </c>
      <c r="I1787" s="31" t="s">
        <v>263</v>
      </c>
      <c r="J1787" s="31" t="s">
        <v>261</v>
      </c>
      <c r="K1787" s="31" t="s">
        <v>264</v>
      </c>
      <c r="L1787" s="31" t="s">
        <v>265</v>
      </c>
      <c r="M1787" s="31" t="s">
        <v>7296</v>
      </c>
      <c r="N1787" s="31" t="s">
        <v>267</v>
      </c>
      <c r="O1787" s="34"/>
      <c r="P1787" s="31">
        <v>6.0</v>
      </c>
      <c r="Q1787" s="31" t="s">
        <v>307</v>
      </c>
      <c r="R1787" s="32">
        <v>35613.0</v>
      </c>
      <c r="S1787" s="31" t="s">
        <v>320</v>
      </c>
      <c r="T1787" s="31" t="s">
        <v>2042</v>
      </c>
      <c r="U1787" s="31" t="s">
        <v>271</v>
      </c>
      <c r="V1787" s="34"/>
      <c r="W1787" s="34"/>
    </row>
    <row r="1788">
      <c r="A1788" s="30">
        <v>1.783</v>
      </c>
      <c r="B1788" s="31" t="s">
        <v>7297</v>
      </c>
      <c r="C1788" s="31" t="s">
        <v>6933</v>
      </c>
      <c r="D1788" s="31" t="s">
        <v>1219</v>
      </c>
      <c r="E1788" s="31" t="s">
        <v>7298</v>
      </c>
      <c r="F1788" s="32">
        <v>43887.0</v>
      </c>
      <c r="G1788" s="32">
        <v>43947.0</v>
      </c>
      <c r="H1788" s="31" t="s">
        <v>325</v>
      </c>
      <c r="I1788" s="31" t="s">
        <v>2797</v>
      </c>
      <c r="J1788" s="31" t="s">
        <v>7298</v>
      </c>
      <c r="K1788" s="31" t="s">
        <v>7299</v>
      </c>
      <c r="L1788" s="31" t="s">
        <v>1223</v>
      </c>
      <c r="M1788" s="31" t="s">
        <v>7300</v>
      </c>
      <c r="N1788" s="31" t="s">
        <v>267</v>
      </c>
      <c r="O1788" s="34"/>
      <c r="P1788" s="31">
        <v>4.0</v>
      </c>
      <c r="Q1788" s="31" t="s">
        <v>307</v>
      </c>
      <c r="R1788" s="35">
        <v>36121.0</v>
      </c>
      <c r="S1788" s="31" t="s">
        <v>320</v>
      </c>
      <c r="T1788" s="31" t="s">
        <v>7301</v>
      </c>
      <c r="U1788" s="31" t="s">
        <v>331</v>
      </c>
      <c r="V1788" s="34"/>
      <c r="W1788" s="34"/>
    </row>
    <row r="1789">
      <c r="A1789" s="30">
        <v>1.784</v>
      </c>
      <c r="B1789" s="31" t="s">
        <v>7302</v>
      </c>
      <c r="C1789" s="31" t="s">
        <v>7303</v>
      </c>
      <c r="D1789" s="31" t="s">
        <v>1219</v>
      </c>
      <c r="E1789" s="31" t="s">
        <v>7298</v>
      </c>
      <c r="F1789" s="32">
        <v>44599.0</v>
      </c>
      <c r="G1789" s="32">
        <v>44658.0</v>
      </c>
      <c r="H1789" s="31" t="s">
        <v>325</v>
      </c>
      <c r="I1789" s="31" t="s">
        <v>2797</v>
      </c>
      <c r="J1789" s="31" t="s">
        <v>7298</v>
      </c>
      <c r="K1789" s="31" t="s">
        <v>7299</v>
      </c>
      <c r="L1789" s="31" t="s">
        <v>1223</v>
      </c>
      <c r="M1789" s="31" t="s">
        <v>7304</v>
      </c>
      <c r="N1789" s="31" t="s">
        <v>467</v>
      </c>
      <c r="O1789" s="34"/>
      <c r="P1789" s="31">
        <v>2.0</v>
      </c>
      <c r="Q1789" s="31" t="s">
        <v>307</v>
      </c>
      <c r="R1789" s="32">
        <v>36592.0</v>
      </c>
      <c r="S1789" s="31" t="s">
        <v>531</v>
      </c>
      <c r="T1789" s="31" t="s">
        <v>1895</v>
      </c>
      <c r="U1789" s="31" t="s">
        <v>331</v>
      </c>
      <c r="V1789" s="34"/>
      <c r="W1789" s="34"/>
    </row>
    <row r="1790">
      <c r="A1790" s="30">
        <v>1.785</v>
      </c>
      <c r="B1790" s="31" t="s">
        <v>7305</v>
      </c>
      <c r="C1790" s="31" t="s">
        <v>7306</v>
      </c>
      <c r="D1790" s="31" t="s">
        <v>1219</v>
      </c>
      <c r="E1790" s="31" t="s">
        <v>7298</v>
      </c>
      <c r="F1790" s="32">
        <v>44727.0</v>
      </c>
      <c r="G1790" s="32">
        <v>44789.0</v>
      </c>
      <c r="H1790" s="31" t="s">
        <v>325</v>
      </c>
      <c r="I1790" s="31" t="s">
        <v>2797</v>
      </c>
      <c r="J1790" s="31" t="s">
        <v>7298</v>
      </c>
      <c r="K1790" s="31" t="s">
        <v>7299</v>
      </c>
      <c r="L1790" s="31" t="s">
        <v>1223</v>
      </c>
      <c r="M1790" s="31" t="s">
        <v>7307</v>
      </c>
      <c r="N1790" s="31" t="s">
        <v>467</v>
      </c>
      <c r="O1790" s="34"/>
      <c r="P1790" s="31">
        <v>1.0</v>
      </c>
      <c r="Q1790" s="31" t="s">
        <v>307</v>
      </c>
      <c r="R1790" s="32">
        <v>36680.0</v>
      </c>
      <c r="S1790" s="31" t="s">
        <v>531</v>
      </c>
      <c r="T1790" s="31" t="s">
        <v>7308</v>
      </c>
      <c r="U1790" s="31" t="s">
        <v>331</v>
      </c>
      <c r="V1790" s="34"/>
      <c r="W1790" s="34"/>
    </row>
    <row r="1791">
      <c r="A1791" s="30">
        <v>1.786</v>
      </c>
      <c r="B1791" s="31" t="s">
        <v>7309</v>
      </c>
      <c r="C1791" s="31" t="s">
        <v>7310</v>
      </c>
      <c r="D1791" s="31" t="s">
        <v>574</v>
      </c>
      <c r="E1791" s="31" t="s">
        <v>575</v>
      </c>
      <c r="F1791" s="32">
        <v>44107.0</v>
      </c>
      <c r="G1791" s="32">
        <v>44168.0</v>
      </c>
      <c r="H1791" s="31" t="s">
        <v>576</v>
      </c>
      <c r="I1791" s="31" t="s">
        <v>577</v>
      </c>
      <c r="J1791" s="31" t="s">
        <v>575</v>
      </c>
      <c r="K1791" s="31" t="s">
        <v>578</v>
      </c>
      <c r="L1791" s="31" t="s">
        <v>579</v>
      </c>
      <c r="M1791" s="31" t="s">
        <v>7311</v>
      </c>
      <c r="N1791" s="31" t="s">
        <v>267</v>
      </c>
      <c r="O1791" s="34"/>
      <c r="P1791" s="34"/>
      <c r="Q1791" s="31" t="s">
        <v>581</v>
      </c>
      <c r="R1791" s="32">
        <v>36248.0</v>
      </c>
      <c r="S1791" s="31" t="s">
        <v>7312</v>
      </c>
      <c r="T1791" s="31" t="s">
        <v>1686</v>
      </c>
      <c r="U1791" s="31" t="s">
        <v>583</v>
      </c>
      <c r="V1791" s="34"/>
      <c r="W1791" s="34"/>
    </row>
    <row r="1792">
      <c r="A1792" s="30">
        <v>1.787</v>
      </c>
      <c r="B1792" s="31" t="s">
        <v>7313</v>
      </c>
      <c r="C1792" s="31" t="s">
        <v>1482</v>
      </c>
      <c r="D1792" s="31" t="s">
        <v>2932</v>
      </c>
      <c r="E1792" s="31" t="s">
        <v>3598</v>
      </c>
      <c r="F1792" s="32">
        <v>42983.0</v>
      </c>
      <c r="G1792" s="32">
        <v>43044.0</v>
      </c>
      <c r="H1792" s="31" t="s">
        <v>576</v>
      </c>
      <c r="I1792" s="31" t="s">
        <v>2934</v>
      </c>
      <c r="J1792" s="31" t="s">
        <v>3598</v>
      </c>
      <c r="K1792" s="31" t="s">
        <v>3599</v>
      </c>
      <c r="L1792" s="31" t="s">
        <v>2936</v>
      </c>
      <c r="M1792" s="31" t="s">
        <v>7314</v>
      </c>
      <c r="N1792" s="31" t="s">
        <v>267</v>
      </c>
      <c r="O1792" s="34"/>
      <c r="P1792" s="34"/>
      <c r="Q1792" s="31" t="s">
        <v>307</v>
      </c>
      <c r="R1792" s="32">
        <v>35231.0</v>
      </c>
      <c r="S1792" s="31" t="s">
        <v>531</v>
      </c>
      <c r="T1792" s="31" t="s">
        <v>1242</v>
      </c>
      <c r="U1792" s="31" t="s">
        <v>633</v>
      </c>
      <c r="V1792" s="34"/>
      <c r="W1792" s="34"/>
    </row>
    <row r="1793">
      <c r="A1793" s="30">
        <v>1.788</v>
      </c>
      <c r="B1793" s="31" t="s">
        <v>7315</v>
      </c>
      <c r="C1793" s="31" t="s">
        <v>7316</v>
      </c>
      <c r="D1793" s="31" t="s">
        <v>2932</v>
      </c>
      <c r="E1793" s="31" t="s">
        <v>3598</v>
      </c>
      <c r="F1793" s="32">
        <v>44678.0</v>
      </c>
      <c r="G1793" s="32">
        <v>44739.0</v>
      </c>
      <c r="H1793" s="31" t="s">
        <v>576</v>
      </c>
      <c r="I1793" s="31" t="s">
        <v>2934</v>
      </c>
      <c r="J1793" s="31" t="s">
        <v>3598</v>
      </c>
      <c r="K1793" s="31" t="s">
        <v>3599</v>
      </c>
      <c r="L1793" s="31" t="s">
        <v>2936</v>
      </c>
      <c r="M1793" s="31" t="s">
        <v>7317</v>
      </c>
      <c r="N1793" s="31" t="s">
        <v>267</v>
      </c>
      <c r="O1793" s="34"/>
      <c r="P1793" s="34"/>
      <c r="Q1793" s="31" t="s">
        <v>307</v>
      </c>
      <c r="R1793" s="32">
        <v>35104.0</v>
      </c>
      <c r="S1793" s="31" t="s">
        <v>7318</v>
      </c>
      <c r="T1793" s="31" t="s">
        <v>503</v>
      </c>
      <c r="U1793" s="31" t="s">
        <v>633</v>
      </c>
      <c r="V1793" s="34"/>
      <c r="W1793" s="34"/>
    </row>
    <row r="1794">
      <c r="A1794" s="30">
        <v>1.789</v>
      </c>
      <c r="B1794" s="31" t="s">
        <v>7319</v>
      </c>
      <c r="C1794" s="31" t="s">
        <v>7320</v>
      </c>
      <c r="D1794" s="31" t="s">
        <v>574</v>
      </c>
      <c r="E1794" s="31" t="s">
        <v>2848</v>
      </c>
      <c r="F1794" s="32">
        <v>42871.0</v>
      </c>
      <c r="G1794" s="32">
        <v>42933.0</v>
      </c>
      <c r="H1794" s="31" t="s">
        <v>576</v>
      </c>
      <c r="I1794" s="31" t="s">
        <v>2817</v>
      </c>
      <c r="J1794" s="31" t="s">
        <v>2848</v>
      </c>
      <c r="K1794" s="31" t="s">
        <v>2849</v>
      </c>
      <c r="L1794" s="31" t="s">
        <v>579</v>
      </c>
      <c r="M1794" s="31" t="s">
        <v>7321</v>
      </c>
      <c r="N1794" s="31" t="s">
        <v>467</v>
      </c>
      <c r="O1794" s="34"/>
      <c r="P1794" s="34"/>
      <c r="Q1794" s="31" t="s">
        <v>307</v>
      </c>
      <c r="R1794" s="32">
        <v>34353.0</v>
      </c>
      <c r="S1794" s="31" t="s">
        <v>626</v>
      </c>
      <c r="T1794" s="31" t="s">
        <v>686</v>
      </c>
      <c r="U1794" s="31" t="s">
        <v>2821</v>
      </c>
      <c r="V1794" s="34"/>
      <c r="W1794" s="34"/>
    </row>
    <row r="1795">
      <c r="A1795" s="30">
        <v>1.79</v>
      </c>
      <c r="B1795" s="31" t="s">
        <v>7322</v>
      </c>
      <c r="C1795" s="31" t="s">
        <v>7323</v>
      </c>
      <c r="D1795" s="31" t="s">
        <v>2531</v>
      </c>
      <c r="E1795" s="31" t="s">
        <v>148</v>
      </c>
      <c r="F1795" s="32">
        <v>43290.0</v>
      </c>
      <c r="G1795" s="32">
        <v>43352.0</v>
      </c>
      <c r="H1795" s="31" t="s">
        <v>303</v>
      </c>
      <c r="I1795" s="31" t="s">
        <v>335</v>
      </c>
      <c r="J1795" s="31" t="s">
        <v>336</v>
      </c>
      <c r="K1795" s="31" t="s">
        <v>2532</v>
      </c>
      <c r="L1795" s="31" t="s">
        <v>2533</v>
      </c>
      <c r="M1795" s="31" t="s">
        <v>7324</v>
      </c>
      <c r="N1795" s="31" t="s">
        <v>267</v>
      </c>
      <c r="O1795" s="34"/>
      <c r="P1795" s="34"/>
      <c r="Q1795" s="31" t="s">
        <v>307</v>
      </c>
      <c r="R1795" s="32">
        <v>34379.0</v>
      </c>
      <c r="S1795" s="31" t="s">
        <v>3151</v>
      </c>
      <c r="T1795" s="31" t="s">
        <v>1773</v>
      </c>
      <c r="U1795" s="31" t="s">
        <v>271</v>
      </c>
      <c r="V1795" s="31" t="s">
        <v>148</v>
      </c>
      <c r="W1795" s="34"/>
    </row>
    <row r="1796">
      <c r="A1796" s="30">
        <v>1.791</v>
      </c>
      <c r="B1796" s="31" t="s">
        <v>7325</v>
      </c>
      <c r="C1796" s="31" t="s">
        <v>7326</v>
      </c>
      <c r="D1796" s="31" t="s">
        <v>1208</v>
      </c>
      <c r="E1796" s="31" t="s">
        <v>1209</v>
      </c>
      <c r="F1796" s="32">
        <v>45265.0</v>
      </c>
      <c r="G1796" s="32">
        <v>45325.0</v>
      </c>
      <c r="H1796" s="31" t="s">
        <v>262</v>
      </c>
      <c r="I1796" s="31" t="s">
        <v>1209</v>
      </c>
      <c r="J1796" s="34"/>
      <c r="K1796" s="31" t="s">
        <v>2305</v>
      </c>
      <c r="L1796" s="31" t="s">
        <v>1211</v>
      </c>
      <c r="M1796" s="31" t="s">
        <v>7327</v>
      </c>
      <c r="N1796" s="31" t="s">
        <v>467</v>
      </c>
      <c r="O1796" s="34"/>
      <c r="P1796" s="31">
        <v>1.0</v>
      </c>
      <c r="Q1796" s="31" t="s">
        <v>307</v>
      </c>
      <c r="R1796" s="35">
        <v>37192.0</v>
      </c>
      <c r="S1796" s="31" t="s">
        <v>898</v>
      </c>
      <c r="T1796" s="31" t="s">
        <v>1670</v>
      </c>
      <c r="U1796" s="31" t="s">
        <v>271</v>
      </c>
      <c r="V1796" s="34"/>
      <c r="W1796" s="34"/>
    </row>
    <row r="1797">
      <c r="A1797" s="30">
        <v>1.792</v>
      </c>
      <c r="B1797" s="31" t="s">
        <v>7328</v>
      </c>
      <c r="C1797" s="31" t="s">
        <v>7329</v>
      </c>
      <c r="D1797" s="31" t="s">
        <v>260</v>
      </c>
      <c r="E1797" s="31" t="s">
        <v>2971</v>
      </c>
      <c r="F1797" s="32">
        <v>45264.0</v>
      </c>
      <c r="G1797" s="32">
        <v>45324.0</v>
      </c>
      <c r="H1797" s="31" t="s">
        <v>303</v>
      </c>
      <c r="I1797" s="31" t="s">
        <v>2971</v>
      </c>
      <c r="J1797" s="34"/>
      <c r="K1797" s="31" t="s">
        <v>2972</v>
      </c>
      <c r="L1797" s="31" t="s">
        <v>7330</v>
      </c>
      <c r="M1797" s="31" t="s">
        <v>7331</v>
      </c>
      <c r="N1797" s="31" t="s">
        <v>467</v>
      </c>
      <c r="O1797" s="34"/>
      <c r="P1797" s="34"/>
      <c r="Q1797" s="31" t="s">
        <v>307</v>
      </c>
      <c r="R1797" s="35">
        <v>36088.0</v>
      </c>
      <c r="S1797" s="31" t="s">
        <v>7332</v>
      </c>
      <c r="T1797" s="31" t="s">
        <v>383</v>
      </c>
      <c r="U1797" s="31" t="s">
        <v>480</v>
      </c>
      <c r="V1797" s="34"/>
      <c r="W1797" s="34"/>
    </row>
    <row r="1798">
      <c r="A1798" s="30">
        <v>1.793</v>
      </c>
      <c r="B1798" s="31" t="s">
        <v>7333</v>
      </c>
      <c r="C1798" s="31" t="s">
        <v>7334</v>
      </c>
      <c r="D1798" s="31" t="s">
        <v>6848</v>
      </c>
      <c r="E1798" s="31" t="s">
        <v>2463</v>
      </c>
      <c r="F1798" s="32">
        <v>38978.0</v>
      </c>
      <c r="G1798" s="35">
        <v>39069.0</v>
      </c>
      <c r="H1798" s="31" t="s">
        <v>576</v>
      </c>
      <c r="I1798" s="31" t="s">
        <v>2463</v>
      </c>
      <c r="J1798" s="34"/>
      <c r="K1798" s="31" t="s">
        <v>7335</v>
      </c>
      <c r="L1798" s="31" t="s">
        <v>6849</v>
      </c>
      <c r="M1798" s="31" t="s">
        <v>7336</v>
      </c>
      <c r="N1798" s="31" t="s">
        <v>267</v>
      </c>
      <c r="O1798" s="31">
        <v>2.0</v>
      </c>
      <c r="P1798" s="34"/>
      <c r="Q1798" s="31" t="s">
        <v>307</v>
      </c>
      <c r="R1798" s="32">
        <v>31065.0</v>
      </c>
      <c r="S1798" s="31" t="s">
        <v>681</v>
      </c>
      <c r="T1798" s="31" t="s">
        <v>778</v>
      </c>
      <c r="U1798" s="31" t="s">
        <v>633</v>
      </c>
      <c r="V1798" s="34"/>
      <c r="W1798" s="34"/>
    </row>
    <row r="1799">
      <c r="A1799" s="30">
        <v>1.794</v>
      </c>
      <c r="B1799" s="31" t="s">
        <v>7337</v>
      </c>
      <c r="C1799" s="31" t="s">
        <v>7338</v>
      </c>
      <c r="D1799" s="31" t="s">
        <v>260</v>
      </c>
      <c r="E1799" s="31" t="s">
        <v>2908</v>
      </c>
      <c r="F1799" s="32">
        <v>44363.0</v>
      </c>
      <c r="G1799" s="32">
        <v>44424.0</v>
      </c>
      <c r="H1799" s="31" t="s">
        <v>2811</v>
      </c>
      <c r="I1799" s="31" t="s">
        <v>2909</v>
      </c>
      <c r="J1799" s="31" t="s">
        <v>2908</v>
      </c>
      <c r="K1799" s="31" t="s">
        <v>2910</v>
      </c>
      <c r="L1799" s="31" t="s">
        <v>905</v>
      </c>
      <c r="M1799" s="31" t="s">
        <v>7339</v>
      </c>
      <c r="N1799" s="31" t="s">
        <v>267</v>
      </c>
      <c r="O1799" s="34"/>
      <c r="P1799" s="31">
        <v>7.0</v>
      </c>
      <c r="Q1799" s="31" t="s">
        <v>307</v>
      </c>
      <c r="R1799" s="35">
        <v>36088.0</v>
      </c>
      <c r="S1799" s="31" t="s">
        <v>515</v>
      </c>
      <c r="T1799" s="31" t="s">
        <v>7255</v>
      </c>
      <c r="U1799" s="31" t="s">
        <v>2914</v>
      </c>
      <c r="V1799" s="34"/>
      <c r="W1799" s="34"/>
    </row>
    <row r="1800">
      <c r="A1800" s="30">
        <v>1.795</v>
      </c>
      <c r="B1800" s="31" t="s">
        <v>7340</v>
      </c>
      <c r="C1800" s="31" t="s">
        <v>7341</v>
      </c>
      <c r="D1800" s="31" t="s">
        <v>2917</v>
      </c>
      <c r="E1800" s="31" t="s">
        <v>228</v>
      </c>
      <c r="F1800" s="32">
        <v>44691.0</v>
      </c>
      <c r="G1800" s="32">
        <v>44752.0</v>
      </c>
      <c r="H1800" s="31" t="s">
        <v>303</v>
      </c>
      <c r="I1800" s="31" t="s">
        <v>228</v>
      </c>
      <c r="J1800" s="34"/>
      <c r="K1800" s="31" t="s">
        <v>304</v>
      </c>
      <c r="L1800" s="31" t="s">
        <v>2918</v>
      </c>
      <c r="M1800" s="31" t="s">
        <v>7342</v>
      </c>
      <c r="N1800" s="31" t="s">
        <v>267</v>
      </c>
      <c r="O1800" s="34"/>
      <c r="P1800" s="34"/>
      <c r="Q1800" s="31" t="s">
        <v>307</v>
      </c>
      <c r="R1800" s="35">
        <v>36491.0</v>
      </c>
      <c r="S1800" s="31" t="s">
        <v>1369</v>
      </c>
      <c r="T1800" s="31" t="s">
        <v>459</v>
      </c>
      <c r="U1800" s="31" t="s">
        <v>310</v>
      </c>
      <c r="V1800" s="34"/>
      <c r="W1800" s="34"/>
    </row>
    <row r="1801">
      <c r="A1801" s="30">
        <v>1.796</v>
      </c>
      <c r="B1801" s="31" t="s">
        <v>7343</v>
      </c>
      <c r="C1801" s="31" t="s">
        <v>7344</v>
      </c>
      <c r="D1801" s="31" t="s">
        <v>2917</v>
      </c>
      <c r="E1801" s="31" t="s">
        <v>228</v>
      </c>
      <c r="F1801" s="32">
        <v>44713.0</v>
      </c>
      <c r="G1801" s="32">
        <v>44774.0</v>
      </c>
      <c r="H1801" s="31" t="s">
        <v>303</v>
      </c>
      <c r="I1801" s="31" t="s">
        <v>228</v>
      </c>
      <c r="J1801" s="34"/>
      <c r="K1801" s="31" t="s">
        <v>304</v>
      </c>
      <c r="L1801" s="31" t="s">
        <v>2918</v>
      </c>
      <c r="M1801" s="31" t="s">
        <v>7345</v>
      </c>
      <c r="N1801" s="31" t="s">
        <v>267</v>
      </c>
      <c r="O1801" s="34"/>
      <c r="P1801" s="34"/>
      <c r="Q1801" s="31" t="s">
        <v>307</v>
      </c>
      <c r="R1801" s="35">
        <v>36850.0</v>
      </c>
      <c r="S1801" s="31" t="s">
        <v>1398</v>
      </c>
      <c r="T1801" s="31" t="s">
        <v>7346</v>
      </c>
      <c r="U1801" s="31" t="s">
        <v>310</v>
      </c>
      <c r="V1801" s="34"/>
      <c r="W1801" s="34"/>
    </row>
    <row r="1802">
      <c r="A1802" s="30">
        <v>1.797</v>
      </c>
      <c r="B1802" s="31" t="s">
        <v>7347</v>
      </c>
      <c r="C1802" s="31" t="s">
        <v>7348</v>
      </c>
      <c r="D1802" s="31" t="s">
        <v>260</v>
      </c>
      <c r="E1802" s="31" t="s">
        <v>1786</v>
      </c>
      <c r="F1802" s="32">
        <v>43973.0</v>
      </c>
      <c r="G1802" s="32">
        <v>44034.0</v>
      </c>
      <c r="H1802" s="31" t="s">
        <v>262</v>
      </c>
      <c r="I1802" s="31" t="s">
        <v>263</v>
      </c>
      <c r="J1802" s="31" t="s">
        <v>356</v>
      </c>
      <c r="K1802" s="31" t="s">
        <v>1787</v>
      </c>
      <c r="L1802" s="31" t="s">
        <v>328</v>
      </c>
      <c r="M1802" s="31" t="s">
        <v>7349</v>
      </c>
      <c r="N1802" s="31" t="s">
        <v>267</v>
      </c>
      <c r="O1802" s="34"/>
      <c r="P1802" s="31">
        <v>3.0</v>
      </c>
      <c r="Q1802" s="31" t="s">
        <v>307</v>
      </c>
      <c r="R1802" s="35">
        <v>36142.0</v>
      </c>
      <c r="S1802" s="31" t="s">
        <v>320</v>
      </c>
      <c r="T1802" s="31" t="s">
        <v>7350</v>
      </c>
      <c r="U1802" s="31" t="s">
        <v>271</v>
      </c>
      <c r="V1802" s="31" t="s">
        <v>1786</v>
      </c>
      <c r="W1802" s="34"/>
    </row>
    <row r="1803">
      <c r="A1803" s="30">
        <v>1.798</v>
      </c>
      <c r="B1803" s="31" t="s">
        <v>7351</v>
      </c>
      <c r="C1803" s="31" t="s">
        <v>7352</v>
      </c>
      <c r="D1803" s="31" t="s">
        <v>7353</v>
      </c>
      <c r="E1803" s="31" t="s">
        <v>36</v>
      </c>
      <c r="F1803" s="32">
        <v>42852.0</v>
      </c>
      <c r="G1803" s="32">
        <v>42913.0</v>
      </c>
      <c r="H1803" s="31" t="s">
        <v>303</v>
      </c>
      <c r="I1803" s="31" t="s">
        <v>36</v>
      </c>
      <c r="J1803" s="34"/>
      <c r="K1803" s="31" t="s">
        <v>3014</v>
      </c>
      <c r="L1803" s="31" t="s">
        <v>7354</v>
      </c>
      <c r="M1803" s="31" t="s">
        <v>7355</v>
      </c>
      <c r="N1803" s="31" t="s">
        <v>467</v>
      </c>
      <c r="O1803" s="34"/>
      <c r="P1803" s="34"/>
      <c r="Q1803" s="31" t="s">
        <v>307</v>
      </c>
      <c r="R1803" s="32">
        <v>32345.0</v>
      </c>
      <c r="S1803" s="34"/>
      <c r="T1803" s="31" t="s">
        <v>752</v>
      </c>
      <c r="U1803" s="31" t="s">
        <v>310</v>
      </c>
      <c r="V1803" s="34"/>
      <c r="W1803" s="34"/>
    </row>
    <row r="1804">
      <c r="A1804" s="30">
        <v>1.799</v>
      </c>
      <c r="B1804" s="31" t="s">
        <v>7356</v>
      </c>
      <c r="C1804" s="31" t="s">
        <v>817</v>
      </c>
      <c r="D1804" s="31" t="s">
        <v>574</v>
      </c>
      <c r="E1804" s="31" t="s">
        <v>2848</v>
      </c>
      <c r="F1804" s="32">
        <v>44071.0</v>
      </c>
      <c r="G1804" s="35">
        <v>44132.0</v>
      </c>
      <c r="H1804" s="31" t="s">
        <v>576</v>
      </c>
      <c r="I1804" s="31" t="s">
        <v>2817</v>
      </c>
      <c r="J1804" s="31" t="s">
        <v>2848</v>
      </c>
      <c r="K1804" s="31" t="s">
        <v>2849</v>
      </c>
      <c r="L1804" s="31" t="s">
        <v>579</v>
      </c>
      <c r="M1804" s="31" t="s">
        <v>7357</v>
      </c>
      <c r="N1804" s="31" t="s">
        <v>267</v>
      </c>
      <c r="O1804" s="34"/>
      <c r="P1804" s="31">
        <v>6.0</v>
      </c>
      <c r="Q1804" s="31" t="s">
        <v>307</v>
      </c>
      <c r="R1804" s="32">
        <v>36071.0</v>
      </c>
      <c r="S1804" s="31" t="s">
        <v>531</v>
      </c>
      <c r="T1804" s="31" t="s">
        <v>503</v>
      </c>
      <c r="U1804" s="31" t="s">
        <v>2821</v>
      </c>
      <c r="V1804" s="34"/>
      <c r="W1804" s="34"/>
    </row>
    <row r="1805">
      <c r="A1805" s="30">
        <v>1.8</v>
      </c>
      <c r="B1805" s="31" t="s">
        <v>7358</v>
      </c>
      <c r="C1805" s="31" t="s">
        <v>7359</v>
      </c>
      <c r="D1805" s="31" t="s">
        <v>7143</v>
      </c>
      <c r="E1805" s="31" t="s">
        <v>4726</v>
      </c>
      <c r="F1805" s="32">
        <v>45264.0</v>
      </c>
      <c r="G1805" s="32">
        <v>45324.0</v>
      </c>
      <c r="H1805" s="31" t="s">
        <v>4727</v>
      </c>
      <c r="I1805" s="31" t="s">
        <v>4726</v>
      </c>
      <c r="J1805" s="34"/>
      <c r="K1805" s="31" t="s">
        <v>4728</v>
      </c>
      <c r="L1805" s="31" t="s">
        <v>7144</v>
      </c>
      <c r="M1805" s="31" t="s">
        <v>7360</v>
      </c>
      <c r="N1805" s="31" t="s">
        <v>467</v>
      </c>
      <c r="O1805" s="34"/>
      <c r="P1805" s="34"/>
      <c r="Q1805" s="31" t="s">
        <v>307</v>
      </c>
      <c r="R1805" s="32">
        <v>32534.0</v>
      </c>
      <c r="S1805" s="31" t="s">
        <v>7361</v>
      </c>
      <c r="T1805" s="31" t="s">
        <v>2672</v>
      </c>
      <c r="U1805" s="31" t="s">
        <v>342</v>
      </c>
      <c r="V1805" s="34"/>
      <c r="W1805" s="34"/>
    </row>
    <row r="1806">
      <c r="A1806" s="30">
        <v>1.801</v>
      </c>
      <c r="B1806" s="31" t="s">
        <v>7362</v>
      </c>
      <c r="C1806" s="31" t="s">
        <v>698</v>
      </c>
      <c r="D1806" s="31" t="s">
        <v>2932</v>
      </c>
      <c r="E1806" s="31" t="s">
        <v>2933</v>
      </c>
      <c r="F1806" s="32">
        <v>42871.0</v>
      </c>
      <c r="G1806" s="32">
        <v>42933.0</v>
      </c>
      <c r="H1806" s="31" t="s">
        <v>576</v>
      </c>
      <c r="I1806" s="31" t="s">
        <v>2934</v>
      </c>
      <c r="J1806" s="31" t="s">
        <v>2933</v>
      </c>
      <c r="K1806" s="31" t="s">
        <v>2935</v>
      </c>
      <c r="L1806" s="31" t="s">
        <v>2936</v>
      </c>
      <c r="M1806" s="31" t="s">
        <v>7363</v>
      </c>
      <c r="N1806" s="31" t="s">
        <v>267</v>
      </c>
      <c r="O1806" s="34"/>
      <c r="P1806" s="34"/>
      <c r="Q1806" s="31" t="s">
        <v>307</v>
      </c>
      <c r="R1806" s="35">
        <v>34632.0</v>
      </c>
      <c r="S1806" s="31" t="s">
        <v>531</v>
      </c>
      <c r="T1806" s="31" t="s">
        <v>752</v>
      </c>
      <c r="U1806" s="31" t="s">
        <v>633</v>
      </c>
      <c r="V1806" s="34"/>
      <c r="W1806" s="34"/>
    </row>
    <row r="1807">
      <c r="A1807" s="30">
        <v>1.802</v>
      </c>
      <c r="B1807" s="31" t="s">
        <v>7364</v>
      </c>
      <c r="C1807" s="31" t="s">
        <v>7365</v>
      </c>
      <c r="D1807" s="31" t="s">
        <v>574</v>
      </c>
      <c r="E1807" s="31" t="s">
        <v>3430</v>
      </c>
      <c r="F1807" s="32">
        <v>43367.0</v>
      </c>
      <c r="G1807" s="35">
        <v>43428.0</v>
      </c>
      <c r="H1807" s="31" t="s">
        <v>576</v>
      </c>
      <c r="I1807" s="31" t="s">
        <v>3431</v>
      </c>
      <c r="J1807" s="31" t="s">
        <v>3430</v>
      </c>
      <c r="K1807" s="31" t="s">
        <v>3432</v>
      </c>
      <c r="L1807" s="31" t="s">
        <v>579</v>
      </c>
      <c r="M1807" s="31" t="s">
        <v>7366</v>
      </c>
      <c r="N1807" s="31" t="s">
        <v>267</v>
      </c>
      <c r="O1807" s="34"/>
      <c r="P1807" s="34"/>
      <c r="Q1807" s="31" t="s">
        <v>307</v>
      </c>
      <c r="R1807" s="32">
        <v>35218.0</v>
      </c>
      <c r="S1807" s="31" t="s">
        <v>7367</v>
      </c>
      <c r="T1807" s="31" t="s">
        <v>7368</v>
      </c>
      <c r="U1807" s="31" t="s">
        <v>633</v>
      </c>
      <c r="V1807" s="34"/>
      <c r="W1807" s="34"/>
    </row>
    <row r="1808">
      <c r="A1808" s="30">
        <v>1.803</v>
      </c>
      <c r="B1808" s="31" t="s">
        <v>7369</v>
      </c>
      <c r="C1808" s="31" t="s">
        <v>7370</v>
      </c>
      <c r="D1808" s="31" t="s">
        <v>260</v>
      </c>
      <c r="E1808" s="31" t="s">
        <v>2858</v>
      </c>
      <c r="F1808" s="32">
        <v>44166.0</v>
      </c>
      <c r="G1808" s="32">
        <v>44228.0</v>
      </c>
      <c r="H1808" s="31" t="s">
        <v>2811</v>
      </c>
      <c r="I1808" s="31" t="s">
        <v>2768</v>
      </c>
      <c r="J1808" s="31" t="s">
        <v>2858</v>
      </c>
      <c r="K1808" s="31" t="s">
        <v>3074</v>
      </c>
      <c r="L1808" s="31" t="s">
        <v>392</v>
      </c>
      <c r="M1808" s="31" t="s">
        <v>7371</v>
      </c>
      <c r="N1808" s="31" t="s">
        <v>267</v>
      </c>
      <c r="O1808" s="34"/>
      <c r="P1808" s="31">
        <v>5.0</v>
      </c>
      <c r="Q1808" s="31" t="s">
        <v>581</v>
      </c>
      <c r="R1808" s="35">
        <v>35794.0</v>
      </c>
      <c r="S1808" s="31" t="s">
        <v>458</v>
      </c>
      <c r="T1808" s="31" t="s">
        <v>7255</v>
      </c>
      <c r="U1808" s="31" t="s">
        <v>2914</v>
      </c>
      <c r="V1808" s="34"/>
      <c r="W1808" s="34"/>
    </row>
    <row r="1809">
      <c r="A1809" s="30">
        <v>1.804</v>
      </c>
      <c r="B1809" s="31" t="s">
        <v>7372</v>
      </c>
      <c r="C1809" s="31" t="s">
        <v>7373</v>
      </c>
      <c r="D1809" s="31" t="s">
        <v>260</v>
      </c>
      <c r="E1809" s="31" t="s">
        <v>324</v>
      </c>
      <c r="F1809" s="32">
        <v>45097.0</v>
      </c>
      <c r="G1809" s="32">
        <v>45157.0</v>
      </c>
      <c r="H1809" s="31" t="s">
        <v>2732</v>
      </c>
      <c r="I1809" s="31" t="s">
        <v>326</v>
      </c>
      <c r="J1809" s="31" t="s">
        <v>324</v>
      </c>
      <c r="K1809" s="31" t="s">
        <v>2733</v>
      </c>
      <c r="L1809" s="31" t="s">
        <v>328</v>
      </c>
      <c r="M1809" s="31" t="s">
        <v>7374</v>
      </c>
      <c r="N1809" s="31" t="s">
        <v>267</v>
      </c>
      <c r="O1809" s="34"/>
      <c r="P1809" s="31">
        <v>3.0</v>
      </c>
      <c r="Q1809" s="31" t="s">
        <v>307</v>
      </c>
      <c r="R1809" s="35">
        <v>37179.0</v>
      </c>
      <c r="S1809" s="31" t="s">
        <v>286</v>
      </c>
      <c r="T1809" s="31" t="s">
        <v>2740</v>
      </c>
      <c r="U1809" s="31" t="s">
        <v>2735</v>
      </c>
      <c r="V1809" s="34"/>
      <c r="W1809" s="34"/>
    </row>
    <row r="1810">
      <c r="A1810" s="30">
        <v>1.805</v>
      </c>
      <c r="B1810" s="31" t="s">
        <v>7375</v>
      </c>
      <c r="C1810" s="31" t="s">
        <v>7376</v>
      </c>
      <c r="D1810" s="31" t="s">
        <v>1219</v>
      </c>
      <c r="E1810" s="31" t="s">
        <v>1220</v>
      </c>
      <c r="F1810" s="32">
        <v>44044.0</v>
      </c>
      <c r="G1810" s="32">
        <v>44105.0</v>
      </c>
      <c r="H1810" s="31" t="s">
        <v>262</v>
      </c>
      <c r="I1810" s="31" t="s">
        <v>315</v>
      </c>
      <c r="J1810" s="31" t="s">
        <v>86</v>
      </c>
      <c r="K1810" s="31" t="s">
        <v>2359</v>
      </c>
      <c r="L1810" s="31" t="s">
        <v>1223</v>
      </c>
      <c r="M1810" s="31" t="s">
        <v>7377</v>
      </c>
      <c r="N1810" s="31" t="s">
        <v>267</v>
      </c>
      <c r="O1810" s="34"/>
      <c r="P1810" s="31">
        <v>2.0</v>
      </c>
      <c r="Q1810" s="31" t="s">
        <v>581</v>
      </c>
      <c r="R1810" s="32">
        <v>34578.0</v>
      </c>
      <c r="S1810" s="31" t="s">
        <v>531</v>
      </c>
      <c r="T1810" s="31" t="s">
        <v>713</v>
      </c>
      <c r="U1810" s="31" t="s">
        <v>271</v>
      </c>
      <c r="V1810" s="31" t="s">
        <v>1220</v>
      </c>
      <c r="W1810" s="34"/>
    </row>
    <row r="1811">
      <c r="A1811" s="30">
        <v>1.806</v>
      </c>
      <c r="B1811" s="31" t="s">
        <v>7378</v>
      </c>
      <c r="C1811" s="31" t="s">
        <v>7379</v>
      </c>
      <c r="D1811" s="31" t="s">
        <v>7380</v>
      </c>
      <c r="E1811" s="31" t="s">
        <v>7381</v>
      </c>
      <c r="F1811" s="32">
        <v>41091.0</v>
      </c>
      <c r="G1811" s="32">
        <v>41122.0</v>
      </c>
      <c r="H1811" s="31" t="s">
        <v>303</v>
      </c>
      <c r="I1811" s="31" t="s">
        <v>221</v>
      </c>
      <c r="J1811" s="31" t="s">
        <v>7381</v>
      </c>
      <c r="K1811" s="31" t="s">
        <v>7382</v>
      </c>
      <c r="L1811" s="31" t="s">
        <v>7383</v>
      </c>
      <c r="M1811" s="31" t="s">
        <v>7384</v>
      </c>
      <c r="N1811" s="31" t="s">
        <v>467</v>
      </c>
      <c r="O1811" s="31">
        <v>5.0</v>
      </c>
      <c r="P1811" s="34"/>
      <c r="Q1811" s="31" t="s">
        <v>307</v>
      </c>
      <c r="R1811" s="35">
        <v>32811.0</v>
      </c>
      <c r="S1811" s="31" t="s">
        <v>5185</v>
      </c>
      <c r="T1811" s="31" t="s">
        <v>4337</v>
      </c>
      <c r="U1811" s="31" t="s">
        <v>480</v>
      </c>
      <c r="V1811" s="34"/>
      <c r="W1811" s="34"/>
    </row>
    <row r="1812">
      <c r="A1812" s="30">
        <v>1.807</v>
      </c>
      <c r="B1812" s="31" t="s">
        <v>7385</v>
      </c>
      <c r="C1812" s="31" t="s">
        <v>7386</v>
      </c>
      <c r="D1812" s="31" t="s">
        <v>3593</v>
      </c>
      <c r="E1812" s="31" t="s">
        <v>2978</v>
      </c>
      <c r="F1812" s="32">
        <v>43557.0</v>
      </c>
      <c r="G1812" s="32">
        <v>43618.0</v>
      </c>
      <c r="H1812" s="31" t="s">
        <v>303</v>
      </c>
      <c r="I1812" s="31" t="s">
        <v>2978</v>
      </c>
      <c r="J1812" s="34"/>
      <c r="K1812" s="31" t="s">
        <v>2979</v>
      </c>
      <c r="L1812" s="31" t="s">
        <v>3594</v>
      </c>
      <c r="M1812" s="31" t="s">
        <v>7387</v>
      </c>
      <c r="N1812" s="31" t="s">
        <v>267</v>
      </c>
      <c r="O1812" s="34"/>
      <c r="P1812" s="34"/>
      <c r="Q1812" s="31" t="s">
        <v>307</v>
      </c>
      <c r="R1812" s="32">
        <v>34747.0</v>
      </c>
      <c r="S1812" s="31" t="s">
        <v>700</v>
      </c>
      <c r="T1812" s="31" t="s">
        <v>7388</v>
      </c>
      <c r="U1812" s="31" t="s">
        <v>310</v>
      </c>
      <c r="V1812" s="34"/>
      <c r="W1812" s="34"/>
    </row>
    <row r="1813">
      <c r="A1813" s="30">
        <v>1.808</v>
      </c>
      <c r="B1813" s="31" t="s">
        <v>7389</v>
      </c>
      <c r="C1813" s="31" t="s">
        <v>7390</v>
      </c>
      <c r="D1813" s="31" t="s">
        <v>260</v>
      </c>
      <c r="E1813" s="31" t="s">
        <v>374</v>
      </c>
      <c r="F1813" s="32">
        <v>45313.0</v>
      </c>
      <c r="G1813" s="32">
        <v>45373.0</v>
      </c>
      <c r="H1813" s="31" t="s">
        <v>262</v>
      </c>
      <c r="I1813" s="31" t="s">
        <v>275</v>
      </c>
      <c r="J1813" s="31" t="s">
        <v>374</v>
      </c>
      <c r="K1813" s="31" t="s">
        <v>2184</v>
      </c>
      <c r="L1813" s="31" t="s">
        <v>376</v>
      </c>
      <c r="M1813" s="31" t="s">
        <v>7391</v>
      </c>
      <c r="N1813" s="31" t="s">
        <v>467</v>
      </c>
      <c r="O1813" s="34"/>
      <c r="P1813" s="31">
        <v>1.0</v>
      </c>
      <c r="Q1813" s="31" t="s">
        <v>307</v>
      </c>
      <c r="R1813" s="32">
        <v>37374.0</v>
      </c>
      <c r="S1813" s="31" t="s">
        <v>2057</v>
      </c>
      <c r="T1813" s="31" t="s">
        <v>1476</v>
      </c>
      <c r="U1813" s="31" t="s">
        <v>271</v>
      </c>
      <c r="V1813" s="34"/>
      <c r="W1813" s="34"/>
    </row>
    <row r="1814">
      <c r="A1814" s="30">
        <v>1.809</v>
      </c>
      <c r="B1814" s="31" t="s">
        <v>7392</v>
      </c>
      <c r="C1814" s="31" t="s">
        <v>7393</v>
      </c>
      <c r="D1814" s="31" t="s">
        <v>260</v>
      </c>
      <c r="E1814" s="31" t="s">
        <v>374</v>
      </c>
      <c r="F1814" s="32">
        <v>45313.0</v>
      </c>
      <c r="G1814" s="32">
        <v>45373.0</v>
      </c>
      <c r="H1814" s="31" t="s">
        <v>262</v>
      </c>
      <c r="I1814" s="31" t="s">
        <v>275</v>
      </c>
      <c r="J1814" s="31" t="s">
        <v>374</v>
      </c>
      <c r="K1814" s="31" t="s">
        <v>2184</v>
      </c>
      <c r="L1814" s="31" t="s">
        <v>376</v>
      </c>
      <c r="M1814" s="31" t="s">
        <v>7394</v>
      </c>
      <c r="N1814" s="31" t="s">
        <v>467</v>
      </c>
      <c r="O1814" s="34"/>
      <c r="P1814" s="31">
        <v>1.0</v>
      </c>
      <c r="Q1814" s="31" t="s">
        <v>307</v>
      </c>
      <c r="R1814" s="35">
        <v>36504.0</v>
      </c>
      <c r="S1814" s="31" t="s">
        <v>526</v>
      </c>
      <c r="T1814" s="31" t="s">
        <v>1647</v>
      </c>
      <c r="U1814" s="31" t="s">
        <v>271</v>
      </c>
      <c r="V1814" s="34"/>
      <c r="W1814" s="34"/>
    </row>
    <row r="1815">
      <c r="A1815" s="30">
        <v>1.81</v>
      </c>
      <c r="B1815" s="31" t="s">
        <v>7395</v>
      </c>
      <c r="C1815" s="31" t="s">
        <v>7396</v>
      </c>
      <c r="D1815" s="31" t="s">
        <v>260</v>
      </c>
      <c r="E1815" s="31" t="s">
        <v>274</v>
      </c>
      <c r="F1815" s="32">
        <v>45299.0</v>
      </c>
      <c r="G1815" s="32">
        <v>45359.0</v>
      </c>
      <c r="H1815" s="31" t="s">
        <v>262</v>
      </c>
      <c r="I1815" s="31" t="s">
        <v>275</v>
      </c>
      <c r="J1815" s="31" t="s">
        <v>274</v>
      </c>
      <c r="K1815" s="31" t="s">
        <v>276</v>
      </c>
      <c r="L1815" s="31" t="s">
        <v>277</v>
      </c>
      <c r="M1815" s="31" t="s">
        <v>7397</v>
      </c>
      <c r="N1815" s="31" t="s">
        <v>267</v>
      </c>
      <c r="O1815" s="34"/>
      <c r="P1815" s="31">
        <v>1.0</v>
      </c>
      <c r="Q1815" s="31" t="s">
        <v>307</v>
      </c>
      <c r="R1815" s="32">
        <v>36927.0</v>
      </c>
      <c r="S1815" s="31" t="s">
        <v>286</v>
      </c>
      <c r="T1815" s="31" t="s">
        <v>7398</v>
      </c>
      <c r="U1815" s="31" t="s">
        <v>271</v>
      </c>
      <c r="V1815" s="34"/>
      <c r="W1815" s="34"/>
    </row>
    <row r="1816">
      <c r="A1816" s="30">
        <v>1.811</v>
      </c>
      <c r="B1816" s="31" t="s">
        <v>7399</v>
      </c>
      <c r="C1816" s="31" t="s">
        <v>7400</v>
      </c>
      <c r="D1816" s="31" t="s">
        <v>260</v>
      </c>
      <c r="E1816" s="31" t="s">
        <v>403</v>
      </c>
      <c r="F1816" s="32">
        <v>44638.0</v>
      </c>
      <c r="G1816" s="32">
        <v>44699.0</v>
      </c>
      <c r="H1816" s="31" t="s">
        <v>262</v>
      </c>
      <c r="I1816" s="31" t="s">
        <v>2219</v>
      </c>
      <c r="J1816" s="31" t="s">
        <v>403</v>
      </c>
      <c r="K1816" s="31" t="s">
        <v>2227</v>
      </c>
      <c r="L1816" s="31" t="s">
        <v>392</v>
      </c>
      <c r="M1816" s="31" t="s">
        <v>7401</v>
      </c>
      <c r="N1816" s="31" t="s">
        <v>267</v>
      </c>
      <c r="O1816" s="34"/>
      <c r="P1816" s="31">
        <v>1.0</v>
      </c>
      <c r="Q1816" s="31" t="s">
        <v>581</v>
      </c>
      <c r="R1816" s="32">
        <v>36526.0</v>
      </c>
      <c r="S1816" s="31" t="s">
        <v>320</v>
      </c>
      <c r="T1816" s="31" t="s">
        <v>1476</v>
      </c>
      <c r="U1816" s="31" t="s">
        <v>271</v>
      </c>
      <c r="V1816" s="34"/>
      <c r="W1816" s="34"/>
    </row>
    <row r="1817">
      <c r="A1817" s="30">
        <v>1.812</v>
      </c>
      <c r="B1817" s="31" t="s">
        <v>7402</v>
      </c>
      <c r="C1817" s="31" t="s">
        <v>7403</v>
      </c>
      <c r="D1817" s="31" t="s">
        <v>7404</v>
      </c>
      <c r="E1817" s="31" t="s">
        <v>7405</v>
      </c>
      <c r="F1817" s="32">
        <v>42675.0</v>
      </c>
      <c r="G1817" s="32">
        <v>42736.0</v>
      </c>
      <c r="H1817" s="31" t="s">
        <v>576</v>
      </c>
      <c r="I1817" s="31" t="s">
        <v>3239</v>
      </c>
      <c r="J1817" s="31" t="s">
        <v>7405</v>
      </c>
      <c r="K1817" s="31" t="s">
        <v>7406</v>
      </c>
      <c r="L1817" s="31" t="s">
        <v>7407</v>
      </c>
      <c r="M1817" s="31" t="s">
        <v>7408</v>
      </c>
      <c r="N1817" s="31" t="s">
        <v>267</v>
      </c>
      <c r="O1817" s="34"/>
      <c r="P1817" s="34"/>
      <c r="Q1817" s="31" t="s">
        <v>581</v>
      </c>
      <c r="R1817" s="32">
        <v>34779.0</v>
      </c>
      <c r="S1817" s="31" t="s">
        <v>531</v>
      </c>
      <c r="T1817" s="31" t="s">
        <v>7409</v>
      </c>
      <c r="U1817" s="31" t="s">
        <v>271</v>
      </c>
      <c r="V1817" s="34"/>
      <c r="W1817" s="34"/>
    </row>
    <row r="1818">
      <c r="A1818" s="30">
        <v>1.813</v>
      </c>
      <c r="B1818" s="31" t="s">
        <v>7410</v>
      </c>
      <c r="C1818" s="31" t="s">
        <v>7411</v>
      </c>
      <c r="D1818" s="31" t="s">
        <v>313</v>
      </c>
      <c r="E1818" s="31" t="s">
        <v>3588</v>
      </c>
      <c r="F1818" s="32">
        <v>44378.0</v>
      </c>
      <c r="G1818" s="32">
        <v>44440.0</v>
      </c>
      <c r="H1818" s="31" t="s">
        <v>325</v>
      </c>
      <c r="I1818" s="31" t="s">
        <v>2797</v>
      </c>
      <c r="J1818" s="31" t="s">
        <v>3588</v>
      </c>
      <c r="K1818" s="31" t="s">
        <v>3589</v>
      </c>
      <c r="L1818" s="31" t="s">
        <v>318</v>
      </c>
      <c r="M1818" s="31" t="s">
        <v>7412</v>
      </c>
      <c r="N1818" s="31" t="s">
        <v>267</v>
      </c>
      <c r="O1818" s="34"/>
      <c r="P1818" s="31">
        <v>3.0</v>
      </c>
      <c r="Q1818" s="31" t="s">
        <v>307</v>
      </c>
      <c r="R1818" s="32">
        <v>36073.0</v>
      </c>
      <c r="S1818" s="31" t="s">
        <v>531</v>
      </c>
      <c r="T1818" s="31" t="s">
        <v>1895</v>
      </c>
      <c r="U1818" s="31" t="s">
        <v>331</v>
      </c>
      <c r="V1818" s="34"/>
      <c r="W1818" s="34"/>
    </row>
    <row r="1819">
      <c r="A1819" s="30">
        <v>1.814</v>
      </c>
      <c r="B1819" s="31" t="s">
        <v>7413</v>
      </c>
      <c r="C1819" s="31" t="s">
        <v>7414</v>
      </c>
      <c r="D1819" s="31" t="s">
        <v>313</v>
      </c>
      <c r="E1819" s="31" t="s">
        <v>3588</v>
      </c>
      <c r="F1819" s="32">
        <v>45133.0</v>
      </c>
      <c r="G1819" s="32">
        <v>45193.0</v>
      </c>
      <c r="H1819" s="31" t="s">
        <v>325</v>
      </c>
      <c r="I1819" s="31" t="s">
        <v>2797</v>
      </c>
      <c r="J1819" s="31" t="s">
        <v>3588</v>
      </c>
      <c r="K1819" s="31" t="s">
        <v>3589</v>
      </c>
      <c r="L1819" s="31" t="s">
        <v>318</v>
      </c>
      <c r="M1819" s="31" t="s">
        <v>7415</v>
      </c>
      <c r="N1819" s="31" t="s">
        <v>267</v>
      </c>
      <c r="O1819" s="34"/>
      <c r="P1819" s="31">
        <v>1.0</v>
      </c>
      <c r="Q1819" s="31" t="s">
        <v>307</v>
      </c>
      <c r="R1819" s="32">
        <v>37161.0</v>
      </c>
      <c r="S1819" s="31" t="s">
        <v>2757</v>
      </c>
      <c r="T1819" s="31" t="s">
        <v>7416</v>
      </c>
      <c r="U1819" s="31" t="s">
        <v>331</v>
      </c>
      <c r="V1819" s="34"/>
      <c r="W1819" s="34"/>
    </row>
    <row r="1820">
      <c r="A1820" s="30">
        <v>1.815</v>
      </c>
      <c r="B1820" s="31" t="s">
        <v>7417</v>
      </c>
      <c r="C1820" s="31" t="s">
        <v>7418</v>
      </c>
      <c r="D1820" s="31" t="s">
        <v>1219</v>
      </c>
      <c r="E1820" s="31" t="s">
        <v>7298</v>
      </c>
      <c r="F1820" s="32">
        <v>44727.0</v>
      </c>
      <c r="G1820" s="32">
        <v>44789.0</v>
      </c>
      <c r="H1820" s="31" t="s">
        <v>325</v>
      </c>
      <c r="I1820" s="31" t="s">
        <v>2797</v>
      </c>
      <c r="J1820" s="31" t="s">
        <v>7298</v>
      </c>
      <c r="K1820" s="31" t="s">
        <v>7299</v>
      </c>
      <c r="L1820" s="31" t="s">
        <v>1223</v>
      </c>
      <c r="M1820" s="31" t="s">
        <v>7419</v>
      </c>
      <c r="N1820" s="31" t="s">
        <v>267</v>
      </c>
      <c r="O1820" s="34"/>
      <c r="P1820" s="31">
        <v>1.0</v>
      </c>
      <c r="Q1820" s="31" t="s">
        <v>307</v>
      </c>
      <c r="R1820" s="35">
        <v>36820.0</v>
      </c>
      <c r="S1820" s="31" t="s">
        <v>3316</v>
      </c>
      <c r="T1820" s="31" t="s">
        <v>7308</v>
      </c>
      <c r="U1820" s="31" t="s">
        <v>331</v>
      </c>
      <c r="V1820" s="34"/>
      <c r="W1820" s="34"/>
    </row>
    <row r="1821">
      <c r="A1821" s="30">
        <v>1.816</v>
      </c>
      <c r="B1821" s="31" t="s">
        <v>7420</v>
      </c>
      <c r="C1821" s="31" t="s">
        <v>7421</v>
      </c>
      <c r="D1821" s="31" t="s">
        <v>1219</v>
      </c>
      <c r="E1821" s="31" t="s">
        <v>7298</v>
      </c>
      <c r="F1821" s="32">
        <v>45093.0</v>
      </c>
      <c r="G1821" s="32">
        <v>45153.0</v>
      </c>
      <c r="H1821" s="31" t="s">
        <v>325</v>
      </c>
      <c r="I1821" s="31" t="s">
        <v>2797</v>
      </c>
      <c r="J1821" s="31" t="s">
        <v>7298</v>
      </c>
      <c r="K1821" s="31" t="s">
        <v>7299</v>
      </c>
      <c r="L1821" s="31" t="s">
        <v>1223</v>
      </c>
      <c r="M1821" s="31" t="s">
        <v>7422</v>
      </c>
      <c r="N1821" s="31" t="s">
        <v>267</v>
      </c>
      <c r="O1821" s="34"/>
      <c r="P1821" s="31">
        <v>1.0</v>
      </c>
      <c r="Q1821" s="31" t="s">
        <v>307</v>
      </c>
      <c r="R1821" s="35">
        <v>36491.0</v>
      </c>
      <c r="S1821" s="31" t="s">
        <v>531</v>
      </c>
      <c r="T1821" s="31" t="s">
        <v>2748</v>
      </c>
      <c r="U1821" s="31" t="s">
        <v>331</v>
      </c>
      <c r="V1821" s="34"/>
      <c r="W1821" s="34"/>
    </row>
    <row r="1822">
      <c r="A1822" s="30">
        <v>1.817</v>
      </c>
      <c r="B1822" s="31" t="s">
        <v>7423</v>
      </c>
      <c r="C1822" s="31" t="s">
        <v>7424</v>
      </c>
      <c r="D1822" s="31" t="s">
        <v>260</v>
      </c>
      <c r="E1822" s="31" t="s">
        <v>2767</v>
      </c>
      <c r="F1822" s="32">
        <v>44013.0</v>
      </c>
      <c r="G1822" s="32">
        <v>44075.0</v>
      </c>
      <c r="H1822" s="31" t="s">
        <v>325</v>
      </c>
      <c r="I1822" s="31" t="s">
        <v>2768</v>
      </c>
      <c r="J1822" s="31" t="s">
        <v>2767</v>
      </c>
      <c r="K1822" s="31" t="s">
        <v>2769</v>
      </c>
      <c r="L1822" s="31" t="s">
        <v>392</v>
      </c>
      <c r="M1822" s="31" t="s">
        <v>7425</v>
      </c>
      <c r="N1822" s="31" t="s">
        <v>267</v>
      </c>
      <c r="O1822" s="34"/>
      <c r="P1822" s="31">
        <v>1.0</v>
      </c>
      <c r="Q1822" s="31" t="s">
        <v>307</v>
      </c>
      <c r="R1822" s="32">
        <v>35952.0</v>
      </c>
      <c r="S1822" s="31" t="s">
        <v>3871</v>
      </c>
      <c r="T1822" s="31" t="s">
        <v>1895</v>
      </c>
      <c r="U1822" s="31" t="s">
        <v>331</v>
      </c>
      <c r="V1822" s="34"/>
      <c r="W1822" s="34"/>
    </row>
    <row r="1823">
      <c r="A1823" s="30">
        <v>1.818</v>
      </c>
      <c r="B1823" s="31" t="s">
        <v>7426</v>
      </c>
      <c r="C1823" s="31" t="s">
        <v>7427</v>
      </c>
      <c r="D1823" s="31" t="s">
        <v>260</v>
      </c>
      <c r="E1823" s="31" t="s">
        <v>2767</v>
      </c>
      <c r="F1823" s="32">
        <v>44929.0</v>
      </c>
      <c r="G1823" s="32">
        <v>44988.0</v>
      </c>
      <c r="H1823" s="31" t="s">
        <v>325</v>
      </c>
      <c r="I1823" s="31" t="s">
        <v>2768</v>
      </c>
      <c r="J1823" s="31" t="s">
        <v>2767</v>
      </c>
      <c r="K1823" s="31" t="s">
        <v>2769</v>
      </c>
      <c r="L1823" s="31" t="s">
        <v>392</v>
      </c>
      <c r="M1823" s="31" t="s">
        <v>7428</v>
      </c>
      <c r="N1823" s="31" t="s">
        <v>267</v>
      </c>
      <c r="O1823" s="34"/>
      <c r="P1823" s="31">
        <v>1.0</v>
      </c>
      <c r="Q1823" s="31" t="s">
        <v>307</v>
      </c>
      <c r="R1823" s="32">
        <v>36705.0</v>
      </c>
      <c r="S1823" s="31" t="s">
        <v>7429</v>
      </c>
      <c r="T1823" s="31" t="s">
        <v>7430</v>
      </c>
      <c r="U1823" s="31" t="s">
        <v>331</v>
      </c>
      <c r="V1823" s="34"/>
      <c r="W1823" s="34"/>
    </row>
    <row r="1824">
      <c r="A1824" s="30">
        <v>1.819</v>
      </c>
      <c r="B1824" s="31" t="s">
        <v>7431</v>
      </c>
      <c r="C1824" s="31" t="s">
        <v>7432</v>
      </c>
      <c r="D1824" s="31" t="s">
        <v>7433</v>
      </c>
      <c r="E1824" s="31" t="s">
        <v>326</v>
      </c>
      <c r="F1824" s="35">
        <v>44123.0</v>
      </c>
      <c r="G1824" s="35">
        <v>44184.0</v>
      </c>
      <c r="H1824" s="31" t="s">
        <v>325</v>
      </c>
      <c r="I1824" s="31" t="s">
        <v>326</v>
      </c>
      <c r="J1824" s="34"/>
      <c r="K1824" s="31" t="s">
        <v>7434</v>
      </c>
      <c r="L1824" s="31" t="s">
        <v>7435</v>
      </c>
      <c r="M1824" s="31" t="s">
        <v>7436</v>
      </c>
      <c r="N1824" s="31" t="s">
        <v>467</v>
      </c>
      <c r="O1824" s="31">
        <v>2.0</v>
      </c>
      <c r="P1824" s="31">
        <v>1.0</v>
      </c>
      <c r="Q1824" s="31" t="s">
        <v>307</v>
      </c>
      <c r="R1824" s="32">
        <v>36226.0</v>
      </c>
      <c r="S1824" s="31" t="s">
        <v>320</v>
      </c>
      <c r="T1824" s="31" t="s">
        <v>1895</v>
      </c>
      <c r="U1824" s="31" t="s">
        <v>331</v>
      </c>
      <c r="V1824" s="34"/>
      <c r="W1824" s="34"/>
    </row>
    <row r="1825">
      <c r="A1825" s="30">
        <v>1.82</v>
      </c>
      <c r="B1825" s="31" t="s">
        <v>7437</v>
      </c>
      <c r="C1825" s="31" t="s">
        <v>7438</v>
      </c>
      <c r="D1825" s="31" t="s">
        <v>313</v>
      </c>
      <c r="E1825" s="31" t="s">
        <v>81</v>
      </c>
      <c r="F1825" s="32">
        <v>43991.0</v>
      </c>
      <c r="G1825" s="32">
        <v>44052.0</v>
      </c>
      <c r="H1825" s="31" t="s">
        <v>2732</v>
      </c>
      <c r="I1825" s="31" t="s">
        <v>2797</v>
      </c>
      <c r="J1825" s="31" t="s">
        <v>81</v>
      </c>
      <c r="K1825" s="31" t="s">
        <v>7439</v>
      </c>
      <c r="L1825" s="31" t="s">
        <v>318</v>
      </c>
      <c r="M1825" s="31" t="s">
        <v>7440</v>
      </c>
      <c r="N1825" s="31" t="s">
        <v>267</v>
      </c>
      <c r="O1825" s="34"/>
      <c r="P1825" s="31">
        <v>2.0</v>
      </c>
      <c r="Q1825" s="31" t="s">
        <v>307</v>
      </c>
      <c r="R1825" s="35">
        <v>34627.0</v>
      </c>
      <c r="S1825" s="31" t="s">
        <v>458</v>
      </c>
      <c r="T1825" s="31" t="s">
        <v>7441</v>
      </c>
      <c r="U1825" s="31" t="s">
        <v>2735</v>
      </c>
      <c r="V1825" s="34"/>
      <c r="W1825" s="34"/>
    </row>
    <row r="1826">
      <c r="A1826" s="30">
        <v>1.821</v>
      </c>
      <c r="B1826" s="31" t="s">
        <v>7442</v>
      </c>
      <c r="C1826" s="31" t="s">
        <v>7443</v>
      </c>
      <c r="D1826" s="31" t="s">
        <v>260</v>
      </c>
      <c r="E1826" s="31" t="s">
        <v>2760</v>
      </c>
      <c r="F1826" s="32">
        <v>44278.0</v>
      </c>
      <c r="G1826" s="32">
        <v>44338.0</v>
      </c>
      <c r="H1826" s="31" t="s">
        <v>2732</v>
      </c>
      <c r="I1826" s="31" t="s">
        <v>2761</v>
      </c>
      <c r="J1826" s="31" t="s">
        <v>2760</v>
      </c>
      <c r="K1826" s="31" t="s">
        <v>7444</v>
      </c>
      <c r="L1826" s="31" t="s">
        <v>891</v>
      </c>
      <c r="M1826" s="31" t="s">
        <v>7445</v>
      </c>
      <c r="N1826" s="31" t="s">
        <v>267</v>
      </c>
      <c r="O1826" s="34"/>
      <c r="P1826" s="31">
        <v>2.0</v>
      </c>
      <c r="Q1826" s="31" t="s">
        <v>307</v>
      </c>
      <c r="R1826" s="32">
        <v>35664.0</v>
      </c>
      <c r="S1826" s="31" t="s">
        <v>1955</v>
      </c>
      <c r="T1826" s="31" t="s">
        <v>7446</v>
      </c>
      <c r="U1826" s="31" t="s">
        <v>2735</v>
      </c>
      <c r="V1826" s="34"/>
      <c r="W1826" s="34"/>
    </row>
    <row r="1827">
      <c r="A1827" s="30">
        <v>1.822</v>
      </c>
      <c r="B1827" s="31" t="s">
        <v>7447</v>
      </c>
      <c r="C1827" s="31" t="s">
        <v>7448</v>
      </c>
      <c r="D1827" s="31" t="s">
        <v>260</v>
      </c>
      <c r="E1827" s="31" t="s">
        <v>283</v>
      </c>
      <c r="F1827" s="32">
        <v>44244.0</v>
      </c>
      <c r="G1827" s="32">
        <v>44303.0</v>
      </c>
      <c r="H1827" s="31" t="s">
        <v>262</v>
      </c>
      <c r="I1827" s="31" t="s">
        <v>275</v>
      </c>
      <c r="J1827" s="31" t="s">
        <v>283</v>
      </c>
      <c r="K1827" s="31" t="s">
        <v>284</v>
      </c>
      <c r="L1827" s="31" t="s">
        <v>277</v>
      </c>
      <c r="M1827" s="31" t="s">
        <v>7449</v>
      </c>
      <c r="N1827" s="31" t="s">
        <v>467</v>
      </c>
      <c r="O1827" s="34"/>
      <c r="P1827" s="31">
        <v>6.0</v>
      </c>
      <c r="Q1827" s="31" t="s">
        <v>307</v>
      </c>
      <c r="R1827" s="32">
        <v>35521.0</v>
      </c>
      <c r="S1827" s="31" t="s">
        <v>1104</v>
      </c>
      <c r="T1827" s="31" t="s">
        <v>1686</v>
      </c>
      <c r="U1827" s="31" t="s">
        <v>271</v>
      </c>
      <c r="V1827" s="34"/>
      <c r="W1827" s="34"/>
    </row>
    <row r="1828">
      <c r="A1828" s="30">
        <v>1.823</v>
      </c>
      <c r="B1828" s="31" t="s">
        <v>7450</v>
      </c>
      <c r="C1828" s="31" t="s">
        <v>7451</v>
      </c>
      <c r="D1828" s="31" t="s">
        <v>574</v>
      </c>
      <c r="E1828" s="31" t="s">
        <v>3325</v>
      </c>
      <c r="F1828" s="32">
        <v>45295.0</v>
      </c>
      <c r="G1828" s="32">
        <v>45355.0</v>
      </c>
      <c r="H1828" s="31" t="s">
        <v>576</v>
      </c>
      <c r="I1828" s="31" t="s">
        <v>577</v>
      </c>
      <c r="J1828" s="31" t="s">
        <v>3325</v>
      </c>
      <c r="K1828" s="31" t="s">
        <v>3326</v>
      </c>
      <c r="L1828" s="31" t="s">
        <v>579</v>
      </c>
      <c r="M1828" s="31" t="s">
        <v>7452</v>
      </c>
      <c r="N1828" s="31" t="s">
        <v>267</v>
      </c>
      <c r="O1828" s="34"/>
      <c r="P1828" s="31" t="s">
        <v>3031</v>
      </c>
      <c r="Q1828" s="31" t="s">
        <v>307</v>
      </c>
      <c r="R1828" s="35">
        <v>37180.0</v>
      </c>
      <c r="S1828" s="31" t="s">
        <v>626</v>
      </c>
      <c r="T1828" s="31" t="s">
        <v>292</v>
      </c>
      <c r="U1828" s="31" t="s">
        <v>583</v>
      </c>
      <c r="V1828" s="34"/>
      <c r="W1828" s="34"/>
    </row>
    <row r="1829">
      <c r="A1829" s="30">
        <v>1.824</v>
      </c>
      <c r="B1829" s="31" t="s">
        <v>7453</v>
      </c>
      <c r="C1829" s="31" t="s">
        <v>7454</v>
      </c>
      <c r="D1829" s="31" t="s">
        <v>7263</v>
      </c>
      <c r="E1829" s="31" t="s">
        <v>7264</v>
      </c>
      <c r="F1829" s="32">
        <v>44078.0</v>
      </c>
      <c r="G1829" s="32">
        <v>44139.0</v>
      </c>
      <c r="H1829" s="31" t="s">
        <v>303</v>
      </c>
      <c r="I1829" s="31" t="s">
        <v>7264</v>
      </c>
      <c r="J1829" s="34"/>
      <c r="K1829" s="31" t="s">
        <v>7265</v>
      </c>
      <c r="L1829" s="31" t="s">
        <v>7266</v>
      </c>
      <c r="M1829" s="31" t="s">
        <v>7455</v>
      </c>
      <c r="N1829" s="31" t="s">
        <v>267</v>
      </c>
      <c r="O1829" s="34"/>
      <c r="P1829" s="34"/>
      <c r="Q1829" s="31" t="s">
        <v>581</v>
      </c>
      <c r="R1829" s="32">
        <v>36073.0</v>
      </c>
      <c r="S1829" s="31" t="s">
        <v>320</v>
      </c>
      <c r="T1829" s="31" t="s">
        <v>503</v>
      </c>
      <c r="U1829" s="31" t="s">
        <v>310</v>
      </c>
      <c r="V1829" s="34"/>
      <c r="W1829" s="34"/>
    </row>
    <row r="1830">
      <c r="A1830" s="30">
        <v>1.825</v>
      </c>
      <c r="B1830" s="31" t="s">
        <v>7456</v>
      </c>
      <c r="C1830" s="31" t="s">
        <v>7457</v>
      </c>
      <c r="D1830" s="31" t="s">
        <v>574</v>
      </c>
      <c r="E1830" s="31" t="s">
        <v>3313</v>
      </c>
      <c r="F1830" s="32">
        <v>45295.0</v>
      </c>
      <c r="G1830" s="32">
        <v>45355.0</v>
      </c>
      <c r="H1830" s="31" t="s">
        <v>576</v>
      </c>
      <c r="I1830" s="31" t="s">
        <v>577</v>
      </c>
      <c r="J1830" s="31" t="s">
        <v>3313</v>
      </c>
      <c r="K1830" s="31" t="s">
        <v>3314</v>
      </c>
      <c r="L1830" s="31" t="s">
        <v>579</v>
      </c>
      <c r="M1830" s="31" t="s">
        <v>7458</v>
      </c>
      <c r="N1830" s="31" t="s">
        <v>267</v>
      </c>
      <c r="O1830" s="34"/>
      <c r="P1830" s="31" t="s">
        <v>3031</v>
      </c>
      <c r="Q1830" s="31" t="s">
        <v>307</v>
      </c>
      <c r="R1830" s="32">
        <v>37471.0</v>
      </c>
      <c r="S1830" s="31" t="s">
        <v>531</v>
      </c>
      <c r="T1830" s="31" t="s">
        <v>2547</v>
      </c>
      <c r="U1830" s="31" t="s">
        <v>583</v>
      </c>
      <c r="V1830" s="34"/>
      <c r="W1830" s="34"/>
    </row>
    <row r="1831">
      <c r="A1831" s="30">
        <v>1.826</v>
      </c>
      <c r="B1831" s="31" t="s">
        <v>7459</v>
      </c>
      <c r="C1831" s="31" t="s">
        <v>7460</v>
      </c>
      <c r="D1831" s="31" t="s">
        <v>3013</v>
      </c>
      <c r="E1831" s="31" t="s">
        <v>36</v>
      </c>
      <c r="F1831" s="32">
        <v>45072.0</v>
      </c>
      <c r="G1831" s="32">
        <v>45132.0</v>
      </c>
      <c r="H1831" s="31" t="s">
        <v>303</v>
      </c>
      <c r="I1831" s="31" t="s">
        <v>36</v>
      </c>
      <c r="J1831" s="34"/>
      <c r="K1831" s="31" t="s">
        <v>3014</v>
      </c>
      <c r="L1831" s="31" t="s">
        <v>3015</v>
      </c>
      <c r="M1831" s="31" t="s">
        <v>7461</v>
      </c>
      <c r="N1831" s="31" t="s">
        <v>267</v>
      </c>
      <c r="O1831" s="34"/>
      <c r="P1831" s="34"/>
      <c r="Q1831" s="31" t="s">
        <v>307</v>
      </c>
      <c r="R1831" s="32">
        <v>36581.0</v>
      </c>
      <c r="S1831" s="31" t="s">
        <v>7462</v>
      </c>
      <c r="T1831" s="31" t="s">
        <v>7463</v>
      </c>
      <c r="U1831" s="31" t="s">
        <v>310</v>
      </c>
      <c r="V1831" s="34"/>
      <c r="W1831" s="34"/>
    </row>
    <row r="1832">
      <c r="A1832" s="30">
        <v>1.827</v>
      </c>
      <c r="B1832" s="31" t="s">
        <v>7464</v>
      </c>
      <c r="C1832" s="31" t="s">
        <v>7465</v>
      </c>
      <c r="D1832" s="31" t="s">
        <v>1011</v>
      </c>
      <c r="E1832" s="31" t="s">
        <v>2029</v>
      </c>
      <c r="F1832" s="32">
        <v>43153.0</v>
      </c>
      <c r="G1832" s="32">
        <v>43212.0</v>
      </c>
      <c r="H1832" s="31" t="s">
        <v>262</v>
      </c>
      <c r="I1832" s="31" t="s">
        <v>275</v>
      </c>
      <c r="J1832" s="31" t="s">
        <v>2029</v>
      </c>
      <c r="K1832" s="31" t="s">
        <v>7466</v>
      </c>
      <c r="L1832" s="31" t="s">
        <v>1014</v>
      </c>
      <c r="M1832" s="31" t="s">
        <v>7467</v>
      </c>
      <c r="N1832" s="31" t="s">
        <v>267</v>
      </c>
      <c r="O1832" s="31">
        <v>2.0</v>
      </c>
      <c r="P1832" s="31">
        <v>6.0</v>
      </c>
      <c r="Q1832" s="31" t="s">
        <v>307</v>
      </c>
      <c r="R1832" s="32">
        <v>35278.0</v>
      </c>
      <c r="S1832" s="31" t="s">
        <v>320</v>
      </c>
      <c r="T1832" s="31" t="s">
        <v>1698</v>
      </c>
      <c r="U1832" s="31" t="s">
        <v>271</v>
      </c>
      <c r="V1832" s="34"/>
      <c r="W1832" s="34"/>
    </row>
    <row r="1833">
      <c r="A1833" s="30">
        <v>1.828</v>
      </c>
      <c r="B1833" s="31" t="s">
        <v>7468</v>
      </c>
      <c r="C1833" s="31" t="s">
        <v>7469</v>
      </c>
      <c r="D1833" s="31" t="s">
        <v>574</v>
      </c>
      <c r="E1833" s="31" t="s">
        <v>7470</v>
      </c>
      <c r="F1833" s="32">
        <v>43655.0</v>
      </c>
      <c r="G1833" s="32">
        <v>43717.0</v>
      </c>
      <c r="H1833" s="31" t="s">
        <v>576</v>
      </c>
      <c r="I1833" s="31" t="s">
        <v>2817</v>
      </c>
      <c r="J1833" s="31" t="s">
        <v>7470</v>
      </c>
      <c r="K1833" s="31" t="s">
        <v>7471</v>
      </c>
      <c r="L1833" s="31" t="s">
        <v>579</v>
      </c>
      <c r="M1833" s="31" t="s">
        <v>7472</v>
      </c>
      <c r="N1833" s="31" t="s">
        <v>267</v>
      </c>
      <c r="O1833" s="34"/>
      <c r="P1833" s="31">
        <v>4.0</v>
      </c>
      <c r="Q1833" s="31" t="s">
        <v>307</v>
      </c>
      <c r="R1833" s="32">
        <v>35685.0</v>
      </c>
      <c r="S1833" s="31" t="s">
        <v>458</v>
      </c>
      <c r="T1833" s="31" t="s">
        <v>686</v>
      </c>
      <c r="U1833" s="31" t="s">
        <v>2821</v>
      </c>
      <c r="V1833" s="34"/>
      <c r="W1833" s="34"/>
    </row>
    <row r="1834">
      <c r="A1834" s="30">
        <v>1.829</v>
      </c>
      <c r="B1834" s="31" t="s">
        <v>7473</v>
      </c>
      <c r="C1834" s="31" t="s">
        <v>7474</v>
      </c>
      <c r="D1834" s="31" t="s">
        <v>2480</v>
      </c>
      <c r="E1834" s="31" t="s">
        <v>2474</v>
      </c>
      <c r="F1834" s="32">
        <v>42863.0</v>
      </c>
      <c r="G1834" s="32">
        <v>42924.0</v>
      </c>
      <c r="H1834" s="31" t="s">
        <v>262</v>
      </c>
      <c r="I1834" s="31" t="s">
        <v>2474</v>
      </c>
      <c r="J1834" s="34"/>
      <c r="K1834" s="31" t="s">
        <v>2475</v>
      </c>
      <c r="L1834" s="31" t="s">
        <v>2481</v>
      </c>
      <c r="M1834" s="31" t="s">
        <v>7475</v>
      </c>
      <c r="N1834" s="31" t="s">
        <v>267</v>
      </c>
      <c r="O1834" s="34"/>
      <c r="P1834" s="34"/>
      <c r="Q1834" s="31" t="s">
        <v>307</v>
      </c>
      <c r="R1834" s="32">
        <v>34924.0</v>
      </c>
      <c r="S1834" s="31" t="s">
        <v>681</v>
      </c>
      <c r="T1834" s="31" t="s">
        <v>1476</v>
      </c>
      <c r="U1834" s="31" t="s">
        <v>271</v>
      </c>
      <c r="V1834" s="34"/>
      <c r="W1834" s="34"/>
    </row>
    <row r="1835">
      <c r="A1835" s="30">
        <v>1.83</v>
      </c>
      <c r="B1835" s="31" t="s">
        <v>7476</v>
      </c>
      <c r="C1835" s="31" t="s">
        <v>7477</v>
      </c>
      <c r="D1835" s="31" t="s">
        <v>7478</v>
      </c>
      <c r="E1835" s="31" t="s">
        <v>232</v>
      </c>
      <c r="F1835" s="32">
        <v>44739.0</v>
      </c>
      <c r="G1835" s="32">
        <v>44800.0</v>
      </c>
      <c r="H1835" s="31" t="s">
        <v>2924</v>
      </c>
      <c r="I1835" s="31" t="s">
        <v>232</v>
      </c>
      <c r="J1835" s="34"/>
      <c r="K1835" s="31" t="s">
        <v>7479</v>
      </c>
      <c r="L1835" s="31" t="s">
        <v>7480</v>
      </c>
      <c r="M1835" s="31" t="s">
        <v>7481</v>
      </c>
      <c r="N1835" s="31" t="s">
        <v>267</v>
      </c>
      <c r="O1835" s="34"/>
      <c r="P1835" s="34"/>
      <c r="Q1835" s="31" t="s">
        <v>307</v>
      </c>
      <c r="R1835" s="32">
        <v>36647.0</v>
      </c>
      <c r="S1835" s="31" t="s">
        <v>7482</v>
      </c>
      <c r="T1835" s="31" t="s">
        <v>1476</v>
      </c>
      <c r="U1835" s="31" t="s">
        <v>271</v>
      </c>
      <c r="V1835" s="34"/>
      <c r="W1835" s="34"/>
    </row>
    <row r="1836">
      <c r="A1836" s="30">
        <v>1.831</v>
      </c>
      <c r="B1836" s="31" t="s">
        <v>7483</v>
      </c>
      <c r="C1836" s="31" t="s">
        <v>7484</v>
      </c>
      <c r="D1836" s="31" t="s">
        <v>7485</v>
      </c>
      <c r="E1836" s="31" t="s">
        <v>228</v>
      </c>
      <c r="F1836" s="32">
        <v>40610.0</v>
      </c>
      <c r="G1836" s="32">
        <v>40671.0</v>
      </c>
      <c r="H1836" s="31" t="s">
        <v>303</v>
      </c>
      <c r="I1836" s="31" t="s">
        <v>228</v>
      </c>
      <c r="J1836" s="34"/>
      <c r="K1836" s="31" t="s">
        <v>304</v>
      </c>
      <c r="L1836" s="31" t="s">
        <v>7486</v>
      </c>
      <c r="M1836" s="31" t="s">
        <v>7487</v>
      </c>
      <c r="N1836" s="31" t="s">
        <v>267</v>
      </c>
      <c r="O1836" s="31">
        <v>2.0</v>
      </c>
      <c r="P1836" s="34"/>
      <c r="Q1836" s="31" t="s">
        <v>307</v>
      </c>
      <c r="R1836" s="32">
        <v>31057.0</v>
      </c>
      <c r="S1836" s="31" t="s">
        <v>560</v>
      </c>
      <c r="T1836" s="31" t="s">
        <v>1281</v>
      </c>
      <c r="U1836" s="31" t="s">
        <v>310</v>
      </c>
      <c r="V1836" s="34"/>
      <c r="W1836" s="34"/>
    </row>
    <row r="1837">
      <c r="A1837" s="30">
        <v>1.832</v>
      </c>
      <c r="B1837" s="31" t="s">
        <v>7488</v>
      </c>
      <c r="C1837" s="31" t="s">
        <v>994</v>
      </c>
      <c r="D1837" s="31" t="s">
        <v>574</v>
      </c>
      <c r="E1837" s="31" t="s">
        <v>3430</v>
      </c>
      <c r="F1837" s="32">
        <v>45306.0</v>
      </c>
      <c r="G1837" s="32">
        <v>45366.0</v>
      </c>
      <c r="H1837" s="31" t="s">
        <v>576</v>
      </c>
      <c r="I1837" s="31" t="s">
        <v>3431</v>
      </c>
      <c r="J1837" s="31" t="s">
        <v>3430</v>
      </c>
      <c r="K1837" s="31" t="s">
        <v>3432</v>
      </c>
      <c r="L1837" s="31" t="s">
        <v>579</v>
      </c>
      <c r="M1837" s="31" t="s">
        <v>7489</v>
      </c>
      <c r="N1837" s="31" t="s">
        <v>267</v>
      </c>
      <c r="O1837" s="34"/>
      <c r="P1837" s="34"/>
      <c r="Q1837" s="31" t="s">
        <v>307</v>
      </c>
      <c r="R1837" s="32">
        <v>34340.0</v>
      </c>
      <c r="S1837" s="31" t="s">
        <v>531</v>
      </c>
      <c r="T1837" s="31" t="s">
        <v>7490</v>
      </c>
      <c r="U1837" s="31" t="s">
        <v>633</v>
      </c>
      <c r="V1837" s="34"/>
      <c r="W1837" s="34"/>
    </row>
    <row r="1838">
      <c r="A1838" s="30">
        <v>1.833</v>
      </c>
      <c r="B1838" s="31" t="s">
        <v>7491</v>
      </c>
      <c r="C1838" s="31" t="s">
        <v>7492</v>
      </c>
      <c r="D1838" s="31" t="s">
        <v>574</v>
      </c>
      <c r="E1838" s="31" t="s">
        <v>3313</v>
      </c>
      <c r="F1838" s="32">
        <v>44728.0</v>
      </c>
      <c r="G1838" s="32">
        <v>44789.0</v>
      </c>
      <c r="H1838" s="31" t="s">
        <v>576</v>
      </c>
      <c r="I1838" s="31" t="s">
        <v>577</v>
      </c>
      <c r="J1838" s="31" t="s">
        <v>3313</v>
      </c>
      <c r="K1838" s="31" t="s">
        <v>3314</v>
      </c>
      <c r="L1838" s="31" t="s">
        <v>579</v>
      </c>
      <c r="M1838" s="31" t="s">
        <v>7493</v>
      </c>
      <c r="N1838" s="31" t="s">
        <v>267</v>
      </c>
      <c r="O1838" s="34"/>
      <c r="P1838" s="31">
        <v>2.0</v>
      </c>
      <c r="Q1838" s="31" t="s">
        <v>307</v>
      </c>
      <c r="R1838" s="32">
        <v>36910.0</v>
      </c>
      <c r="S1838" s="31" t="s">
        <v>3316</v>
      </c>
      <c r="T1838" s="31" t="s">
        <v>7494</v>
      </c>
      <c r="U1838" s="31" t="s">
        <v>583</v>
      </c>
      <c r="V1838" s="34"/>
      <c r="W1838" s="34"/>
    </row>
    <row r="1839">
      <c r="A1839" s="30">
        <v>1.834</v>
      </c>
      <c r="B1839" s="31" t="s">
        <v>7495</v>
      </c>
      <c r="C1839" s="31" t="s">
        <v>7496</v>
      </c>
      <c r="D1839" s="31" t="s">
        <v>574</v>
      </c>
      <c r="E1839" s="31" t="s">
        <v>2848</v>
      </c>
      <c r="F1839" s="32">
        <v>42738.0</v>
      </c>
      <c r="G1839" s="32">
        <v>42795.0</v>
      </c>
      <c r="H1839" s="31" t="s">
        <v>576</v>
      </c>
      <c r="I1839" s="31" t="s">
        <v>2817</v>
      </c>
      <c r="J1839" s="31" t="s">
        <v>2848</v>
      </c>
      <c r="K1839" s="31" t="s">
        <v>2849</v>
      </c>
      <c r="L1839" s="31" t="s">
        <v>579</v>
      </c>
      <c r="M1839" s="31" t="s">
        <v>7497</v>
      </c>
      <c r="N1839" s="31" t="s">
        <v>467</v>
      </c>
      <c r="O1839" s="34"/>
      <c r="P1839" s="31">
        <v>6.0</v>
      </c>
      <c r="Q1839" s="31" t="s">
        <v>307</v>
      </c>
      <c r="R1839" s="32">
        <v>34676.0</v>
      </c>
      <c r="S1839" s="31" t="s">
        <v>626</v>
      </c>
      <c r="T1839" s="31" t="s">
        <v>686</v>
      </c>
      <c r="U1839" s="31" t="s">
        <v>2821</v>
      </c>
      <c r="V1839" s="34"/>
      <c r="W1839" s="34"/>
    </row>
    <row r="1840">
      <c r="A1840" s="30">
        <v>1.835</v>
      </c>
      <c r="B1840" s="31" t="s">
        <v>7498</v>
      </c>
      <c r="C1840" s="31" t="s">
        <v>7499</v>
      </c>
      <c r="D1840" s="31" t="s">
        <v>574</v>
      </c>
      <c r="E1840" s="31" t="s">
        <v>4719</v>
      </c>
      <c r="F1840" s="32">
        <v>43986.0</v>
      </c>
      <c r="G1840" s="32">
        <v>44047.0</v>
      </c>
      <c r="H1840" s="31" t="s">
        <v>576</v>
      </c>
      <c r="I1840" s="31" t="s">
        <v>3431</v>
      </c>
      <c r="J1840" s="31" t="s">
        <v>4719</v>
      </c>
      <c r="K1840" s="31" t="s">
        <v>4720</v>
      </c>
      <c r="L1840" s="31" t="s">
        <v>579</v>
      </c>
      <c r="M1840" s="31" t="s">
        <v>7500</v>
      </c>
      <c r="N1840" s="31" t="s">
        <v>267</v>
      </c>
      <c r="O1840" s="34"/>
      <c r="P1840" s="34"/>
      <c r="Q1840" s="31" t="s">
        <v>307</v>
      </c>
      <c r="R1840" s="32">
        <v>34971.0</v>
      </c>
      <c r="S1840" s="31" t="s">
        <v>7501</v>
      </c>
      <c r="T1840" s="31" t="s">
        <v>7502</v>
      </c>
      <c r="U1840" s="31" t="s">
        <v>2914</v>
      </c>
      <c r="V1840" s="34"/>
      <c r="W1840" s="34"/>
    </row>
    <row r="1841">
      <c r="A1841" s="30">
        <v>1.836</v>
      </c>
      <c r="B1841" s="31" t="s">
        <v>7503</v>
      </c>
      <c r="C1841" s="31" t="s">
        <v>7504</v>
      </c>
      <c r="D1841" s="31" t="s">
        <v>3237</v>
      </c>
      <c r="E1841" s="31" t="s">
        <v>3238</v>
      </c>
      <c r="F1841" s="32">
        <v>42738.0</v>
      </c>
      <c r="G1841" s="32">
        <v>42795.0</v>
      </c>
      <c r="H1841" s="31" t="s">
        <v>576</v>
      </c>
      <c r="I1841" s="31" t="s">
        <v>3239</v>
      </c>
      <c r="J1841" s="31" t="s">
        <v>3238</v>
      </c>
      <c r="K1841" s="31" t="s">
        <v>3240</v>
      </c>
      <c r="L1841" s="31" t="s">
        <v>3241</v>
      </c>
      <c r="M1841" s="31" t="s">
        <v>7505</v>
      </c>
      <c r="N1841" s="31" t="s">
        <v>267</v>
      </c>
      <c r="O1841" s="34"/>
      <c r="P1841" s="34"/>
      <c r="Q1841" s="31" t="s">
        <v>307</v>
      </c>
      <c r="R1841" s="32">
        <v>34443.0</v>
      </c>
      <c r="S1841" s="31" t="s">
        <v>531</v>
      </c>
      <c r="T1841" s="31" t="s">
        <v>5022</v>
      </c>
      <c r="U1841" s="31" t="s">
        <v>633</v>
      </c>
      <c r="V1841" s="34"/>
      <c r="W1841" s="34"/>
    </row>
    <row r="1842">
      <c r="A1842" s="30">
        <v>1.837</v>
      </c>
      <c r="B1842" s="31" t="s">
        <v>7506</v>
      </c>
      <c r="C1842" s="31" t="s">
        <v>3742</v>
      </c>
      <c r="D1842" s="31" t="s">
        <v>3644</v>
      </c>
      <c r="E1842" s="31" t="s">
        <v>2463</v>
      </c>
      <c r="F1842" s="32">
        <v>40182.0</v>
      </c>
      <c r="G1842" s="32">
        <v>40242.0</v>
      </c>
      <c r="H1842" s="31" t="s">
        <v>2732</v>
      </c>
      <c r="I1842" s="31" t="s">
        <v>2463</v>
      </c>
      <c r="J1842" s="34"/>
      <c r="K1842" s="31" t="s">
        <v>4549</v>
      </c>
      <c r="L1842" s="31" t="s">
        <v>3646</v>
      </c>
      <c r="M1842" s="31" t="s">
        <v>7507</v>
      </c>
      <c r="N1842" s="31" t="s">
        <v>267</v>
      </c>
      <c r="O1842" s="34"/>
      <c r="P1842" s="31">
        <v>4.0</v>
      </c>
      <c r="Q1842" s="31" t="s">
        <v>307</v>
      </c>
      <c r="R1842" s="32">
        <v>30822.0</v>
      </c>
      <c r="S1842" s="31" t="s">
        <v>7508</v>
      </c>
      <c r="T1842" s="31" t="s">
        <v>7509</v>
      </c>
      <c r="U1842" s="31" t="s">
        <v>2735</v>
      </c>
      <c r="V1842" s="34"/>
      <c r="W1842" s="34"/>
    </row>
    <row r="1843">
      <c r="A1843" s="30">
        <v>1.838</v>
      </c>
      <c r="B1843" s="31" t="s">
        <v>7510</v>
      </c>
      <c r="C1843" s="31" t="s">
        <v>7511</v>
      </c>
      <c r="D1843" s="31" t="s">
        <v>2932</v>
      </c>
      <c r="E1843" s="31" t="s">
        <v>7512</v>
      </c>
      <c r="F1843" s="32">
        <v>43193.0</v>
      </c>
      <c r="G1843" s="32">
        <v>43254.0</v>
      </c>
      <c r="H1843" s="31" t="s">
        <v>576</v>
      </c>
      <c r="I1843" s="31" t="s">
        <v>3257</v>
      </c>
      <c r="J1843" s="31" t="s">
        <v>7512</v>
      </c>
      <c r="K1843" s="31" t="s">
        <v>7513</v>
      </c>
      <c r="L1843" s="31" t="s">
        <v>2936</v>
      </c>
      <c r="M1843" s="31" t="s">
        <v>7514</v>
      </c>
      <c r="N1843" s="31" t="s">
        <v>267</v>
      </c>
      <c r="O1843" s="34"/>
      <c r="P1843" s="31" t="s">
        <v>3031</v>
      </c>
      <c r="Q1843" s="31" t="s">
        <v>307</v>
      </c>
      <c r="R1843" s="35">
        <v>34649.0</v>
      </c>
      <c r="S1843" s="31" t="s">
        <v>320</v>
      </c>
      <c r="T1843" s="31" t="s">
        <v>3890</v>
      </c>
      <c r="U1843" s="31" t="s">
        <v>633</v>
      </c>
      <c r="V1843" s="34"/>
      <c r="W1843" s="34"/>
    </row>
    <row r="1844">
      <c r="A1844" s="30">
        <v>1.839</v>
      </c>
      <c r="B1844" s="31" t="s">
        <v>7515</v>
      </c>
      <c r="C1844" s="31" t="s">
        <v>7516</v>
      </c>
      <c r="D1844" s="31" t="s">
        <v>260</v>
      </c>
      <c r="E1844" s="31" t="s">
        <v>1991</v>
      </c>
      <c r="F1844" s="35">
        <v>45278.0</v>
      </c>
      <c r="G1844" s="32">
        <v>45338.0</v>
      </c>
      <c r="H1844" s="31" t="s">
        <v>262</v>
      </c>
      <c r="I1844" s="31" t="s">
        <v>93</v>
      </c>
      <c r="J1844" s="31" t="s">
        <v>1918</v>
      </c>
      <c r="K1844" s="31" t="s">
        <v>1992</v>
      </c>
      <c r="L1844" s="31" t="s">
        <v>905</v>
      </c>
      <c r="M1844" s="31" t="s">
        <v>7517</v>
      </c>
      <c r="N1844" s="31" t="s">
        <v>467</v>
      </c>
      <c r="O1844" s="34"/>
      <c r="P1844" s="31">
        <v>1.0</v>
      </c>
      <c r="Q1844" s="31" t="s">
        <v>307</v>
      </c>
      <c r="R1844" s="32">
        <v>37020.0</v>
      </c>
      <c r="S1844" s="31" t="s">
        <v>7518</v>
      </c>
      <c r="T1844" s="31" t="s">
        <v>1895</v>
      </c>
      <c r="U1844" s="31" t="s">
        <v>271</v>
      </c>
      <c r="V1844" s="31" t="s">
        <v>1991</v>
      </c>
      <c r="W1844" s="34"/>
    </row>
    <row r="1845">
      <c r="A1845" s="30">
        <v>1.84</v>
      </c>
      <c r="B1845" s="31" t="s">
        <v>7519</v>
      </c>
      <c r="C1845" s="31" t="s">
        <v>7520</v>
      </c>
      <c r="D1845" s="31" t="s">
        <v>260</v>
      </c>
      <c r="E1845" s="31" t="s">
        <v>2858</v>
      </c>
      <c r="F1845" s="32">
        <v>43332.0</v>
      </c>
      <c r="G1845" s="35">
        <v>43393.0</v>
      </c>
      <c r="H1845" s="31" t="s">
        <v>2732</v>
      </c>
      <c r="I1845" s="31" t="s">
        <v>2768</v>
      </c>
      <c r="J1845" s="31" t="s">
        <v>2858</v>
      </c>
      <c r="K1845" s="31" t="s">
        <v>2859</v>
      </c>
      <c r="L1845" s="31" t="s">
        <v>392</v>
      </c>
      <c r="M1845" s="31" t="s">
        <v>7521</v>
      </c>
      <c r="N1845" s="31" t="s">
        <v>267</v>
      </c>
      <c r="O1845" s="34"/>
      <c r="P1845" s="31">
        <v>5.0</v>
      </c>
      <c r="Q1845" s="31" t="s">
        <v>307</v>
      </c>
      <c r="R1845" s="32">
        <v>34584.0</v>
      </c>
      <c r="S1845" s="31" t="s">
        <v>320</v>
      </c>
      <c r="T1845" s="31" t="s">
        <v>2740</v>
      </c>
      <c r="U1845" s="31" t="s">
        <v>2735</v>
      </c>
      <c r="V1845" s="34"/>
      <c r="W1845" s="34"/>
    </row>
    <row r="1846">
      <c r="A1846" s="30">
        <v>1.841</v>
      </c>
      <c r="B1846" s="31" t="s">
        <v>7522</v>
      </c>
      <c r="C1846" s="31" t="s">
        <v>7523</v>
      </c>
      <c r="D1846" s="31" t="s">
        <v>574</v>
      </c>
      <c r="E1846" s="31" t="s">
        <v>575</v>
      </c>
      <c r="F1846" s="32">
        <v>44714.0</v>
      </c>
      <c r="G1846" s="32">
        <v>44778.0</v>
      </c>
      <c r="H1846" s="31" t="s">
        <v>576</v>
      </c>
      <c r="I1846" s="31" t="s">
        <v>577</v>
      </c>
      <c r="J1846" s="31" t="s">
        <v>575</v>
      </c>
      <c r="K1846" s="31" t="s">
        <v>578</v>
      </c>
      <c r="L1846" s="31" t="s">
        <v>579</v>
      </c>
      <c r="M1846" s="31" t="s">
        <v>7524</v>
      </c>
      <c r="N1846" s="31" t="s">
        <v>467</v>
      </c>
      <c r="O1846" s="34"/>
      <c r="P1846" s="31">
        <v>3.0</v>
      </c>
      <c r="Q1846" s="31" t="s">
        <v>307</v>
      </c>
      <c r="R1846" s="32">
        <v>36866.0</v>
      </c>
      <c r="S1846" s="31" t="s">
        <v>1249</v>
      </c>
      <c r="T1846" s="31" t="s">
        <v>7525</v>
      </c>
      <c r="U1846" s="31" t="s">
        <v>583</v>
      </c>
      <c r="V1846" s="34"/>
      <c r="W1846" s="34"/>
    </row>
    <row r="1847">
      <c r="A1847" s="30">
        <v>1.842</v>
      </c>
      <c r="B1847" s="31" t="s">
        <v>7526</v>
      </c>
      <c r="C1847" s="31" t="s">
        <v>7056</v>
      </c>
      <c r="D1847" s="31" t="s">
        <v>3026</v>
      </c>
      <c r="E1847" s="31" t="s">
        <v>575</v>
      </c>
      <c r="F1847" s="35">
        <v>42293.0</v>
      </c>
      <c r="G1847" s="35">
        <v>42353.0</v>
      </c>
      <c r="H1847" s="31" t="s">
        <v>576</v>
      </c>
      <c r="I1847" s="31" t="s">
        <v>577</v>
      </c>
      <c r="J1847" s="31" t="s">
        <v>575</v>
      </c>
      <c r="K1847" s="31" t="s">
        <v>578</v>
      </c>
      <c r="L1847" s="31" t="s">
        <v>3029</v>
      </c>
      <c r="M1847" s="31" t="s">
        <v>7527</v>
      </c>
      <c r="N1847" s="31" t="s">
        <v>267</v>
      </c>
      <c r="O1847" s="31">
        <v>1.0</v>
      </c>
      <c r="P1847" s="34"/>
      <c r="Q1847" s="31" t="s">
        <v>581</v>
      </c>
      <c r="R1847" s="32">
        <v>34146.0</v>
      </c>
      <c r="S1847" s="31" t="s">
        <v>531</v>
      </c>
      <c r="T1847" s="31" t="s">
        <v>1711</v>
      </c>
      <c r="U1847" s="31" t="s">
        <v>583</v>
      </c>
      <c r="V1847" s="34"/>
      <c r="W1847" s="34"/>
    </row>
    <row r="1848">
      <c r="A1848" s="30">
        <v>1.843</v>
      </c>
      <c r="B1848" s="31" t="s">
        <v>7528</v>
      </c>
      <c r="C1848" s="31" t="s">
        <v>7529</v>
      </c>
      <c r="D1848" s="31" t="s">
        <v>978</v>
      </c>
      <c r="E1848" s="31" t="s">
        <v>1260</v>
      </c>
      <c r="F1848" s="32">
        <v>43374.0</v>
      </c>
      <c r="G1848" s="32">
        <v>43435.0</v>
      </c>
      <c r="H1848" s="31" t="s">
        <v>262</v>
      </c>
      <c r="I1848" s="31" t="s">
        <v>2219</v>
      </c>
      <c r="J1848" s="31" t="s">
        <v>1260</v>
      </c>
      <c r="K1848" s="31" t="s">
        <v>2281</v>
      </c>
      <c r="L1848" s="31" t="s">
        <v>1171</v>
      </c>
      <c r="M1848" s="31" t="s">
        <v>7530</v>
      </c>
      <c r="N1848" s="31" t="s">
        <v>267</v>
      </c>
      <c r="O1848" s="31">
        <v>2.0</v>
      </c>
      <c r="P1848" s="31">
        <v>1.0</v>
      </c>
      <c r="Q1848" s="31" t="s">
        <v>307</v>
      </c>
      <c r="R1848" s="32">
        <v>35289.0</v>
      </c>
      <c r="S1848" s="31" t="s">
        <v>320</v>
      </c>
      <c r="T1848" s="31" t="s">
        <v>1647</v>
      </c>
      <c r="U1848" s="31" t="s">
        <v>271</v>
      </c>
      <c r="V1848" s="34"/>
      <c r="W1848" s="34"/>
    </row>
    <row r="1849">
      <c r="A1849" s="30">
        <v>1.844</v>
      </c>
      <c r="B1849" s="31" t="s">
        <v>7531</v>
      </c>
      <c r="C1849" s="31" t="s">
        <v>4553</v>
      </c>
      <c r="D1849" s="31" t="s">
        <v>1219</v>
      </c>
      <c r="E1849" s="31" t="s">
        <v>7532</v>
      </c>
      <c r="F1849" s="32">
        <v>43832.0</v>
      </c>
      <c r="G1849" s="32">
        <v>43892.0</v>
      </c>
      <c r="H1849" s="31" t="s">
        <v>2811</v>
      </c>
      <c r="I1849" s="31" t="s">
        <v>2797</v>
      </c>
      <c r="J1849" s="31" t="s">
        <v>7532</v>
      </c>
      <c r="K1849" s="31" t="s">
        <v>7533</v>
      </c>
      <c r="L1849" s="31" t="s">
        <v>1223</v>
      </c>
      <c r="M1849" s="31" t="s">
        <v>7534</v>
      </c>
      <c r="N1849" s="31" t="s">
        <v>267</v>
      </c>
      <c r="O1849" s="34"/>
      <c r="P1849" s="31">
        <v>4.0</v>
      </c>
      <c r="Q1849" s="31" t="s">
        <v>307</v>
      </c>
      <c r="R1849" s="32">
        <v>34822.0</v>
      </c>
      <c r="S1849" s="31" t="s">
        <v>631</v>
      </c>
      <c r="T1849" s="31" t="s">
        <v>7535</v>
      </c>
      <c r="U1849" s="31" t="s">
        <v>2914</v>
      </c>
      <c r="V1849" s="34"/>
      <c r="W1849" s="34"/>
    </row>
    <row r="1850">
      <c r="A1850" s="30">
        <v>1.845</v>
      </c>
      <c r="B1850" s="31" t="s">
        <v>7536</v>
      </c>
      <c r="C1850" s="31" t="s">
        <v>7537</v>
      </c>
      <c r="D1850" s="31" t="s">
        <v>260</v>
      </c>
      <c r="E1850" s="31" t="s">
        <v>1862</v>
      </c>
      <c r="F1850" s="32">
        <v>44268.0</v>
      </c>
      <c r="G1850" s="32">
        <v>44329.0</v>
      </c>
      <c r="H1850" s="31" t="s">
        <v>262</v>
      </c>
      <c r="I1850" s="31" t="s">
        <v>263</v>
      </c>
      <c r="J1850" s="31" t="s">
        <v>123</v>
      </c>
      <c r="K1850" s="31" t="s">
        <v>1863</v>
      </c>
      <c r="L1850" s="31" t="s">
        <v>431</v>
      </c>
      <c r="M1850" s="31" t="s">
        <v>7538</v>
      </c>
      <c r="N1850" s="31" t="s">
        <v>267</v>
      </c>
      <c r="O1850" s="34"/>
      <c r="P1850" s="31">
        <v>2.0</v>
      </c>
      <c r="Q1850" s="31" t="s">
        <v>307</v>
      </c>
      <c r="R1850" s="32">
        <v>35836.0</v>
      </c>
      <c r="S1850" s="31" t="s">
        <v>510</v>
      </c>
      <c r="T1850" s="31" t="s">
        <v>3260</v>
      </c>
      <c r="U1850" s="31" t="s">
        <v>271</v>
      </c>
      <c r="V1850" s="31" t="s">
        <v>1862</v>
      </c>
      <c r="W1850" s="34"/>
    </row>
    <row r="1851">
      <c r="A1851" s="30">
        <v>1.846</v>
      </c>
      <c r="B1851" s="31" t="s">
        <v>7539</v>
      </c>
      <c r="C1851" s="31" t="s">
        <v>7540</v>
      </c>
      <c r="D1851" s="31" t="s">
        <v>260</v>
      </c>
      <c r="E1851" s="31" t="s">
        <v>2051</v>
      </c>
      <c r="F1851" s="35">
        <v>44180.0</v>
      </c>
      <c r="G1851" s="32">
        <v>44242.0</v>
      </c>
      <c r="H1851" s="31" t="s">
        <v>262</v>
      </c>
      <c r="I1851" s="31" t="s">
        <v>275</v>
      </c>
      <c r="J1851" s="31" t="s">
        <v>1986</v>
      </c>
      <c r="K1851" s="31" t="s">
        <v>2052</v>
      </c>
      <c r="L1851" s="31" t="s">
        <v>997</v>
      </c>
      <c r="M1851" s="31" t="s">
        <v>7541</v>
      </c>
      <c r="N1851" s="31" t="s">
        <v>467</v>
      </c>
      <c r="O1851" s="34"/>
      <c r="P1851" s="31">
        <v>3.0</v>
      </c>
      <c r="Q1851" s="31" t="s">
        <v>307</v>
      </c>
      <c r="R1851" s="32">
        <v>36314.0</v>
      </c>
      <c r="S1851" s="31" t="s">
        <v>2057</v>
      </c>
      <c r="T1851" s="31" t="s">
        <v>1476</v>
      </c>
      <c r="U1851" s="31" t="s">
        <v>271</v>
      </c>
      <c r="V1851" s="31" t="s">
        <v>2051</v>
      </c>
      <c r="W1851" s="34"/>
    </row>
    <row r="1852">
      <c r="A1852" s="30">
        <v>1.847</v>
      </c>
      <c r="B1852" s="31" t="s">
        <v>7542</v>
      </c>
      <c r="C1852" s="31" t="s">
        <v>7543</v>
      </c>
      <c r="D1852" s="31" t="s">
        <v>313</v>
      </c>
      <c r="E1852" s="31" t="s">
        <v>2439</v>
      </c>
      <c r="F1852" s="32">
        <v>43992.0</v>
      </c>
      <c r="G1852" s="32">
        <v>44053.0</v>
      </c>
      <c r="H1852" s="31" t="s">
        <v>262</v>
      </c>
      <c r="I1852" s="31" t="s">
        <v>315</v>
      </c>
      <c r="J1852" s="31" t="s">
        <v>1577</v>
      </c>
      <c r="K1852" s="31" t="s">
        <v>2440</v>
      </c>
      <c r="L1852" s="31" t="s">
        <v>318</v>
      </c>
      <c r="M1852" s="31" t="s">
        <v>7544</v>
      </c>
      <c r="N1852" s="31" t="s">
        <v>267</v>
      </c>
      <c r="O1852" s="34"/>
      <c r="P1852" s="31">
        <v>4.0</v>
      </c>
      <c r="Q1852" s="31" t="s">
        <v>307</v>
      </c>
      <c r="R1852" s="32">
        <v>35674.0</v>
      </c>
      <c r="S1852" s="31" t="s">
        <v>320</v>
      </c>
      <c r="T1852" s="31" t="s">
        <v>1377</v>
      </c>
      <c r="U1852" s="31" t="s">
        <v>271</v>
      </c>
      <c r="V1852" s="31" t="s">
        <v>2439</v>
      </c>
      <c r="W1852" s="34"/>
    </row>
    <row r="1853">
      <c r="A1853" s="30">
        <v>1.848</v>
      </c>
      <c r="B1853" s="31" t="s">
        <v>7545</v>
      </c>
      <c r="C1853" s="31" t="s">
        <v>7546</v>
      </c>
      <c r="D1853" s="31" t="s">
        <v>2977</v>
      </c>
      <c r="E1853" s="31" t="s">
        <v>2978</v>
      </c>
      <c r="F1853" s="32">
        <v>44958.0</v>
      </c>
      <c r="G1853" s="32">
        <v>45017.0</v>
      </c>
      <c r="H1853" s="31" t="s">
        <v>303</v>
      </c>
      <c r="I1853" s="31" t="s">
        <v>2978</v>
      </c>
      <c r="J1853" s="34"/>
      <c r="K1853" s="31" t="s">
        <v>2979</v>
      </c>
      <c r="L1853" s="31" t="s">
        <v>2980</v>
      </c>
      <c r="M1853" s="31" t="s">
        <v>7547</v>
      </c>
      <c r="N1853" s="31" t="s">
        <v>267</v>
      </c>
      <c r="O1853" s="34"/>
      <c r="P1853" s="34"/>
      <c r="Q1853" s="31" t="s">
        <v>307</v>
      </c>
      <c r="R1853" s="32">
        <v>36287.0</v>
      </c>
      <c r="S1853" s="31" t="s">
        <v>4163</v>
      </c>
      <c r="T1853" s="31" t="s">
        <v>516</v>
      </c>
      <c r="U1853" s="31" t="s">
        <v>310</v>
      </c>
      <c r="V1853" s="34"/>
      <c r="W1853" s="34"/>
    </row>
    <row r="1854">
      <c r="A1854" s="30">
        <v>1.849</v>
      </c>
      <c r="B1854" s="31" t="s">
        <v>7548</v>
      </c>
      <c r="C1854" s="31" t="s">
        <v>7549</v>
      </c>
      <c r="D1854" s="31" t="s">
        <v>7279</v>
      </c>
      <c r="E1854" s="31" t="s">
        <v>7550</v>
      </c>
      <c r="F1854" s="32">
        <v>39995.0</v>
      </c>
      <c r="G1854" s="32">
        <v>40057.0</v>
      </c>
      <c r="H1854" s="31" t="s">
        <v>346</v>
      </c>
      <c r="I1854" s="31" t="s">
        <v>7550</v>
      </c>
      <c r="J1854" s="34"/>
      <c r="K1854" s="31" t="s">
        <v>7551</v>
      </c>
      <c r="L1854" s="31" t="s">
        <v>7281</v>
      </c>
      <c r="M1854" s="31" t="s">
        <v>7552</v>
      </c>
      <c r="N1854" s="31" t="s">
        <v>467</v>
      </c>
      <c r="O1854" s="31">
        <v>4.0</v>
      </c>
      <c r="P1854" s="34"/>
      <c r="Q1854" s="31" t="s">
        <v>307</v>
      </c>
      <c r="R1854" s="32">
        <v>31883.0</v>
      </c>
      <c r="S1854" s="31" t="s">
        <v>7553</v>
      </c>
      <c r="T1854" s="31" t="s">
        <v>778</v>
      </c>
      <c r="U1854" s="31" t="s">
        <v>352</v>
      </c>
      <c r="V1854" s="34"/>
      <c r="W1854" s="34"/>
    </row>
    <row r="1855">
      <c r="A1855" s="30">
        <v>1.85</v>
      </c>
      <c r="B1855" s="31" t="s">
        <v>7554</v>
      </c>
      <c r="C1855" s="31" t="s">
        <v>7555</v>
      </c>
      <c r="D1855" s="31" t="s">
        <v>364</v>
      </c>
      <c r="E1855" s="31" t="s">
        <v>365</v>
      </c>
      <c r="F1855" s="35">
        <v>45278.0</v>
      </c>
      <c r="G1855" s="32">
        <v>45338.0</v>
      </c>
      <c r="H1855" s="31" t="s">
        <v>262</v>
      </c>
      <c r="I1855" s="31" t="s">
        <v>93</v>
      </c>
      <c r="J1855" s="31" t="s">
        <v>1912</v>
      </c>
      <c r="K1855" s="31" t="s">
        <v>1913</v>
      </c>
      <c r="L1855" s="31" t="s">
        <v>368</v>
      </c>
      <c r="M1855" s="31" t="s">
        <v>7556</v>
      </c>
      <c r="N1855" s="31" t="s">
        <v>267</v>
      </c>
      <c r="O1855" s="34"/>
      <c r="P1855" s="31">
        <v>1.0</v>
      </c>
      <c r="Q1855" s="31" t="s">
        <v>307</v>
      </c>
      <c r="R1855" s="32">
        <v>37561.0</v>
      </c>
      <c r="S1855" s="34"/>
      <c r="T1855" s="31" t="s">
        <v>1915</v>
      </c>
      <c r="U1855" s="31" t="s">
        <v>271</v>
      </c>
      <c r="V1855" s="31" t="s">
        <v>365</v>
      </c>
      <c r="W1855" s="34"/>
    </row>
    <row r="1856">
      <c r="A1856" s="30">
        <v>1.851</v>
      </c>
      <c r="B1856" s="31" t="s">
        <v>7557</v>
      </c>
      <c r="C1856" s="31" t="s">
        <v>7558</v>
      </c>
      <c r="D1856" s="31" t="s">
        <v>760</v>
      </c>
      <c r="E1856" s="31" t="s">
        <v>153</v>
      </c>
      <c r="F1856" s="32">
        <v>42633.0</v>
      </c>
      <c r="G1856" s="35">
        <v>42695.0</v>
      </c>
      <c r="H1856" s="31" t="s">
        <v>346</v>
      </c>
      <c r="I1856" s="31" t="s">
        <v>93</v>
      </c>
      <c r="J1856" s="31" t="s">
        <v>153</v>
      </c>
      <c r="K1856" s="31" t="s">
        <v>958</v>
      </c>
      <c r="L1856" s="31" t="s">
        <v>761</v>
      </c>
      <c r="M1856" s="31" t="s">
        <v>7559</v>
      </c>
      <c r="N1856" s="31" t="s">
        <v>467</v>
      </c>
      <c r="O1856" s="31">
        <v>1.0</v>
      </c>
      <c r="P1856" s="34"/>
      <c r="Q1856" s="31" t="s">
        <v>307</v>
      </c>
      <c r="R1856" s="32">
        <v>34510.0</v>
      </c>
      <c r="S1856" s="31" t="s">
        <v>560</v>
      </c>
      <c r="T1856" s="31" t="s">
        <v>4337</v>
      </c>
      <c r="U1856" s="31" t="s">
        <v>352</v>
      </c>
      <c r="V1856" s="34"/>
      <c r="W1856" s="34"/>
    </row>
    <row r="1857">
      <c r="A1857" s="30">
        <v>1.852</v>
      </c>
      <c r="B1857" s="31" t="s">
        <v>7560</v>
      </c>
      <c r="C1857" s="31" t="s">
        <v>7561</v>
      </c>
      <c r="D1857" s="31" t="s">
        <v>260</v>
      </c>
      <c r="E1857" s="31" t="s">
        <v>4211</v>
      </c>
      <c r="F1857" s="32">
        <v>43684.0</v>
      </c>
      <c r="G1857" s="32">
        <v>43745.0</v>
      </c>
      <c r="H1857" s="31" t="s">
        <v>346</v>
      </c>
      <c r="I1857" s="31" t="s">
        <v>275</v>
      </c>
      <c r="J1857" s="31" t="s">
        <v>1012</v>
      </c>
      <c r="K1857" s="31" t="s">
        <v>4212</v>
      </c>
      <c r="L1857" s="31" t="s">
        <v>2036</v>
      </c>
      <c r="M1857" s="31" t="s">
        <v>7562</v>
      </c>
      <c r="N1857" s="31" t="s">
        <v>267</v>
      </c>
      <c r="O1857" s="34"/>
      <c r="P1857" s="34"/>
      <c r="Q1857" s="31" t="s">
        <v>307</v>
      </c>
      <c r="R1857" s="32">
        <v>35485.0</v>
      </c>
      <c r="S1857" s="31" t="s">
        <v>510</v>
      </c>
      <c r="T1857" s="31" t="s">
        <v>744</v>
      </c>
      <c r="U1857" s="31" t="s">
        <v>352</v>
      </c>
      <c r="V1857" s="31" t="s">
        <v>4211</v>
      </c>
      <c r="W1857" s="34"/>
    </row>
    <row r="1858">
      <c r="A1858" s="30">
        <v>1.853</v>
      </c>
      <c r="B1858" s="31" t="s">
        <v>7563</v>
      </c>
      <c r="C1858" s="31" t="s">
        <v>7564</v>
      </c>
      <c r="D1858" s="31" t="s">
        <v>2716</v>
      </c>
      <c r="E1858" s="31" t="s">
        <v>2463</v>
      </c>
      <c r="F1858" s="32">
        <v>40588.0</v>
      </c>
      <c r="G1858" s="32">
        <v>40647.0</v>
      </c>
      <c r="H1858" s="31" t="s">
        <v>325</v>
      </c>
      <c r="I1858" s="31" t="s">
        <v>2463</v>
      </c>
      <c r="J1858" s="34"/>
      <c r="K1858" s="31" t="s">
        <v>7565</v>
      </c>
      <c r="L1858" s="31" t="s">
        <v>2719</v>
      </c>
      <c r="M1858" s="31" t="s">
        <v>7566</v>
      </c>
      <c r="N1858" s="31" t="s">
        <v>267</v>
      </c>
      <c r="O1858" s="34"/>
      <c r="P1858" s="34"/>
      <c r="Q1858" s="31" t="s">
        <v>307</v>
      </c>
      <c r="R1858" s="32">
        <v>32654.0</v>
      </c>
      <c r="S1858" s="31" t="s">
        <v>320</v>
      </c>
      <c r="T1858" s="31" t="s">
        <v>1895</v>
      </c>
      <c r="U1858" s="31" t="s">
        <v>331</v>
      </c>
      <c r="V1858" s="34"/>
      <c r="W1858" s="34"/>
    </row>
    <row r="1859">
      <c r="A1859" s="30">
        <v>1.854</v>
      </c>
      <c r="B1859" s="31" t="s">
        <v>7567</v>
      </c>
      <c r="C1859" s="31" t="s">
        <v>7568</v>
      </c>
      <c r="D1859" s="31" t="s">
        <v>1208</v>
      </c>
      <c r="E1859" s="31" t="s">
        <v>1209</v>
      </c>
      <c r="F1859" s="32">
        <v>45261.0</v>
      </c>
      <c r="G1859" s="32">
        <v>45321.0</v>
      </c>
      <c r="H1859" s="31" t="s">
        <v>262</v>
      </c>
      <c r="I1859" s="31" t="s">
        <v>1209</v>
      </c>
      <c r="J1859" s="34"/>
      <c r="K1859" s="31" t="s">
        <v>2305</v>
      </c>
      <c r="L1859" s="31" t="s">
        <v>1211</v>
      </c>
      <c r="M1859" s="31" t="s">
        <v>7569</v>
      </c>
      <c r="N1859" s="31" t="s">
        <v>267</v>
      </c>
      <c r="O1859" s="34"/>
      <c r="P1859" s="31">
        <v>1.0</v>
      </c>
      <c r="Q1859" s="31" t="s">
        <v>307</v>
      </c>
      <c r="R1859" s="32">
        <v>37138.0</v>
      </c>
      <c r="S1859" s="31" t="s">
        <v>531</v>
      </c>
      <c r="T1859" s="31" t="s">
        <v>1670</v>
      </c>
      <c r="U1859" s="31" t="s">
        <v>271</v>
      </c>
      <c r="V1859" s="34"/>
      <c r="W1859" s="34"/>
    </row>
    <row r="1860">
      <c r="A1860" s="30">
        <v>1.855</v>
      </c>
      <c r="B1860" s="31" t="s">
        <v>7570</v>
      </c>
      <c r="C1860" s="31" t="s">
        <v>7571</v>
      </c>
      <c r="D1860" s="31" t="s">
        <v>260</v>
      </c>
      <c r="E1860" s="31" t="s">
        <v>1786</v>
      </c>
      <c r="F1860" s="32">
        <v>44022.0</v>
      </c>
      <c r="G1860" s="32">
        <v>44084.0</v>
      </c>
      <c r="H1860" s="31" t="s">
        <v>262</v>
      </c>
      <c r="I1860" s="31" t="s">
        <v>263</v>
      </c>
      <c r="J1860" s="31" t="s">
        <v>356</v>
      </c>
      <c r="K1860" s="31" t="s">
        <v>1787</v>
      </c>
      <c r="L1860" s="31" t="s">
        <v>328</v>
      </c>
      <c r="M1860" s="31" t="s">
        <v>7572</v>
      </c>
      <c r="N1860" s="31" t="s">
        <v>267</v>
      </c>
      <c r="O1860" s="34"/>
      <c r="P1860" s="31">
        <v>2.0</v>
      </c>
      <c r="Q1860" s="31" t="s">
        <v>307</v>
      </c>
      <c r="R1860" s="32">
        <v>35083.0</v>
      </c>
      <c r="S1860" s="31" t="s">
        <v>681</v>
      </c>
      <c r="T1860" s="31" t="s">
        <v>7573</v>
      </c>
      <c r="U1860" s="31" t="s">
        <v>271</v>
      </c>
      <c r="V1860" s="31" t="s">
        <v>1786</v>
      </c>
      <c r="W1860" s="34"/>
    </row>
    <row r="1861">
      <c r="A1861" s="30">
        <v>1.856</v>
      </c>
      <c r="B1861" s="31" t="s">
        <v>7574</v>
      </c>
      <c r="C1861" s="31" t="s">
        <v>7575</v>
      </c>
      <c r="D1861" s="31" t="s">
        <v>302</v>
      </c>
      <c r="E1861" s="31" t="s">
        <v>228</v>
      </c>
      <c r="F1861" s="32">
        <v>43012.0</v>
      </c>
      <c r="G1861" s="32">
        <v>43073.0</v>
      </c>
      <c r="H1861" s="31" t="s">
        <v>303</v>
      </c>
      <c r="I1861" s="31" t="s">
        <v>228</v>
      </c>
      <c r="J1861" s="34"/>
      <c r="K1861" s="31" t="s">
        <v>304</v>
      </c>
      <c r="L1861" s="31" t="s">
        <v>305</v>
      </c>
      <c r="M1861" s="31" t="s">
        <v>7576</v>
      </c>
      <c r="N1861" s="31" t="s">
        <v>267</v>
      </c>
      <c r="O1861" s="34"/>
      <c r="P1861" s="34"/>
      <c r="Q1861" s="31" t="s">
        <v>307</v>
      </c>
      <c r="R1861" s="32">
        <v>34921.0</v>
      </c>
      <c r="S1861" s="31" t="s">
        <v>1398</v>
      </c>
      <c r="T1861" s="31" t="s">
        <v>744</v>
      </c>
      <c r="U1861" s="31" t="s">
        <v>310</v>
      </c>
      <c r="V1861" s="34"/>
      <c r="W1861" s="34"/>
    </row>
    <row r="1862">
      <c r="A1862" s="30">
        <v>1.857</v>
      </c>
      <c r="B1862" s="31" t="s">
        <v>7577</v>
      </c>
      <c r="C1862" s="31" t="s">
        <v>2270</v>
      </c>
      <c r="D1862" s="31" t="s">
        <v>364</v>
      </c>
      <c r="E1862" s="31" t="s">
        <v>365</v>
      </c>
      <c r="F1862" s="32">
        <v>45266.0</v>
      </c>
      <c r="G1862" s="32">
        <v>45326.0</v>
      </c>
      <c r="H1862" s="31" t="s">
        <v>262</v>
      </c>
      <c r="I1862" s="31" t="s">
        <v>93</v>
      </c>
      <c r="J1862" s="31" t="s">
        <v>1912</v>
      </c>
      <c r="K1862" s="31" t="s">
        <v>1913</v>
      </c>
      <c r="L1862" s="31" t="s">
        <v>368</v>
      </c>
      <c r="M1862" s="31" t="s">
        <v>7578</v>
      </c>
      <c r="N1862" s="31" t="s">
        <v>267</v>
      </c>
      <c r="O1862" s="34"/>
      <c r="P1862" s="31">
        <v>1.0</v>
      </c>
      <c r="Q1862" s="31" t="s">
        <v>307</v>
      </c>
      <c r="R1862" s="32">
        <v>37043.0</v>
      </c>
      <c r="S1862" s="31" t="s">
        <v>286</v>
      </c>
      <c r="T1862" s="31" t="s">
        <v>1670</v>
      </c>
      <c r="U1862" s="31" t="s">
        <v>271</v>
      </c>
      <c r="V1862" s="31" t="s">
        <v>365</v>
      </c>
      <c r="W1862" s="34"/>
    </row>
    <row r="1863">
      <c r="A1863" s="30">
        <v>1.858</v>
      </c>
      <c r="B1863" s="31" t="s">
        <v>7579</v>
      </c>
      <c r="C1863" s="31" t="s">
        <v>7580</v>
      </c>
      <c r="D1863" s="31" t="s">
        <v>1208</v>
      </c>
      <c r="E1863" s="31" t="s">
        <v>1209</v>
      </c>
      <c r="F1863" s="32">
        <v>45266.0</v>
      </c>
      <c r="G1863" s="32">
        <v>45326.0</v>
      </c>
      <c r="H1863" s="31" t="s">
        <v>262</v>
      </c>
      <c r="I1863" s="31" t="s">
        <v>1209</v>
      </c>
      <c r="J1863" s="34"/>
      <c r="K1863" s="31" t="s">
        <v>2305</v>
      </c>
      <c r="L1863" s="31" t="s">
        <v>1211</v>
      </c>
      <c r="M1863" s="31" t="s">
        <v>7581</v>
      </c>
      <c r="N1863" s="31" t="s">
        <v>467</v>
      </c>
      <c r="O1863" s="34"/>
      <c r="P1863" s="31">
        <v>1.0</v>
      </c>
      <c r="Q1863" s="31" t="s">
        <v>307</v>
      </c>
      <c r="R1863" s="32">
        <v>36694.0</v>
      </c>
      <c r="S1863" s="31" t="s">
        <v>955</v>
      </c>
      <c r="T1863" s="31" t="s">
        <v>1783</v>
      </c>
      <c r="U1863" s="31" t="s">
        <v>271</v>
      </c>
      <c r="V1863" s="34"/>
      <c r="W1863" s="34"/>
    </row>
    <row r="1864">
      <c r="A1864" s="30">
        <v>1.859</v>
      </c>
      <c r="B1864" s="31" t="s">
        <v>7582</v>
      </c>
      <c r="C1864" s="31" t="s">
        <v>7583</v>
      </c>
      <c r="D1864" s="31" t="s">
        <v>2716</v>
      </c>
      <c r="E1864" s="31" t="s">
        <v>2463</v>
      </c>
      <c r="F1864" s="32">
        <v>43900.0</v>
      </c>
      <c r="G1864" s="32">
        <v>43962.0</v>
      </c>
      <c r="H1864" s="31" t="s">
        <v>2811</v>
      </c>
      <c r="I1864" s="31" t="s">
        <v>2463</v>
      </c>
      <c r="J1864" s="34"/>
      <c r="K1864" s="31" t="s">
        <v>3645</v>
      </c>
      <c r="L1864" s="31" t="s">
        <v>2719</v>
      </c>
      <c r="M1864" s="31" t="s">
        <v>7584</v>
      </c>
      <c r="N1864" s="31" t="s">
        <v>267</v>
      </c>
      <c r="O1864" s="34"/>
      <c r="P1864" s="34"/>
      <c r="Q1864" s="31" t="s">
        <v>307</v>
      </c>
      <c r="R1864" s="32">
        <v>35559.0</v>
      </c>
      <c r="S1864" s="31" t="s">
        <v>7585</v>
      </c>
      <c r="T1864" s="31" t="s">
        <v>744</v>
      </c>
      <c r="U1864" s="31" t="s">
        <v>2914</v>
      </c>
      <c r="V1864" s="34"/>
      <c r="W1864" s="34"/>
    </row>
    <row r="1865">
      <c r="A1865" s="30">
        <v>1.86</v>
      </c>
      <c r="B1865" s="31" t="s">
        <v>7586</v>
      </c>
      <c r="C1865" s="31" t="s">
        <v>7587</v>
      </c>
      <c r="D1865" s="31" t="s">
        <v>7588</v>
      </c>
      <c r="E1865" s="31" t="s">
        <v>7550</v>
      </c>
      <c r="F1865" s="32">
        <v>39539.0</v>
      </c>
      <c r="G1865" s="32">
        <v>39600.0</v>
      </c>
      <c r="H1865" s="31" t="s">
        <v>346</v>
      </c>
      <c r="I1865" s="31" t="s">
        <v>7550</v>
      </c>
      <c r="J1865" s="34"/>
      <c r="K1865" s="31" t="s">
        <v>7551</v>
      </c>
      <c r="L1865" s="31" t="s">
        <v>7589</v>
      </c>
      <c r="M1865" s="31" t="s">
        <v>7590</v>
      </c>
      <c r="N1865" s="31" t="s">
        <v>467</v>
      </c>
      <c r="O1865" s="31">
        <v>4.0</v>
      </c>
      <c r="P1865" s="34"/>
      <c r="Q1865" s="31" t="s">
        <v>307</v>
      </c>
      <c r="R1865" s="32">
        <v>31090.0</v>
      </c>
      <c r="S1865" s="31" t="s">
        <v>320</v>
      </c>
      <c r="T1865" s="31" t="s">
        <v>718</v>
      </c>
      <c r="U1865" s="31" t="s">
        <v>352</v>
      </c>
      <c r="V1865" s="34"/>
      <c r="W1865" s="34"/>
    </row>
    <row r="1866">
      <c r="A1866" s="30">
        <v>1.861</v>
      </c>
      <c r="B1866" s="31" t="s">
        <v>7591</v>
      </c>
      <c r="C1866" s="31" t="s">
        <v>7592</v>
      </c>
      <c r="D1866" s="31" t="s">
        <v>2451</v>
      </c>
      <c r="E1866" s="31" t="s">
        <v>36</v>
      </c>
      <c r="F1866" s="32">
        <v>44929.0</v>
      </c>
      <c r="G1866" s="32">
        <v>44988.0</v>
      </c>
      <c r="H1866" s="31" t="s">
        <v>346</v>
      </c>
      <c r="I1866" s="31" t="s">
        <v>36</v>
      </c>
      <c r="J1866" s="34"/>
      <c r="K1866" s="31" t="s">
        <v>7593</v>
      </c>
      <c r="L1866" s="31" t="s">
        <v>2453</v>
      </c>
      <c r="M1866" s="31" t="s">
        <v>7594</v>
      </c>
      <c r="N1866" s="31" t="s">
        <v>267</v>
      </c>
      <c r="O1866" s="34"/>
      <c r="P1866" s="34"/>
      <c r="Q1866" s="31" t="s">
        <v>307</v>
      </c>
      <c r="R1866" s="32">
        <v>36615.0</v>
      </c>
      <c r="S1866" s="31" t="s">
        <v>2459</v>
      </c>
      <c r="T1866" s="31" t="s">
        <v>2626</v>
      </c>
      <c r="U1866" s="31" t="s">
        <v>352</v>
      </c>
      <c r="V1866" s="34"/>
      <c r="W1866" s="34"/>
    </row>
    <row r="1867">
      <c r="A1867" s="30">
        <v>1.862</v>
      </c>
      <c r="B1867" s="31" t="s">
        <v>7595</v>
      </c>
      <c r="C1867" s="31" t="s">
        <v>7596</v>
      </c>
      <c r="D1867" s="31" t="s">
        <v>648</v>
      </c>
      <c r="E1867" s="31" t="s">
        <v>2781</v>
      </c>
      <c r="F1867" s="32">
        <v>44824.0</v>
      </c>
      <c r="G1867" s="35">
        <v>44885.0</v>
      </c>
      <c r="H1867" s="31" t="s">
        <v>2811</v>
      </c>
      <c r="I1867" s="31" t="s">
        <v>153</v>
      </c>
      <c r="J1867" s="31" t="s">
        <v>2781</v>
      </c>
      <c r="K1867" s="31" t="s">
        <v>7597</v>
      </c>
      <c r="L1867" s="31" t="s">
        <v>663</v>
      </c>
      <c r="M1867" s="31" t="s">
        <v>7598</v>
      </c>
      <c r="N1867" s="31" t="s">
        <v>267</v>
      </c>
      <c r="O1867" s="34"/>
      <c r="P1867" s="31">
        <v>1.0</v>
      </c>
      <c r="Q1867" s="31" t="s">
        <v>581</v>
      </c>
      <c r="R1867" s="32">
        <v>36030.0</v>
      </c>
      <c r="S1867" s="31" t="s">
        <v>531</v>
      </c>
      <c r="T1867" s="31" t="s">
        <v>1127</v>
      </c>
      <c r="U1867" s="31" t="s">
        <v>2914</v>
      </c>
      <c r="V1867" s="34"/>
      <c r="W1867" s="34"/>
    </row>
    <row r="1868">
      <c r="A1868" s="30">
        <v>1.863</v>
      </c>
      <c r="B1868" s="31" t="s">
        <v>7599</v>
      </c>
      <c r="C1868" s="31" t="s">
        <v>7600</v>
      </c>
      <c r="D1868" s="31" t="s">
        <v>7279</v>
      </c>
      <c r="E1868" s="31" t="s">
        <v>7601</v>
      </c>
      <c r="F1868" s="32">
        <v>38687.0</v>
      </c>
      <c r="G1868" s="32">
        <v>38718.0</v>
      </c>
      <c r="H1868" s="31" t="s">
        <v>262</v>
      </c>
      <c r="I1868" s="31" t="s">
        <v>7601</v>
      </c>
      <c r="J1868" s="34"/>
      <c r="K1868" s="31" t="s">
        <v>7602</v>
      </c>
      <c r="L1868" s="31" t="s">
        <v>7281</v>
      </c>
      <c r="M1868" s="31" t="s">
        <v>7603</v>
      </c>
      <c r="N1868" s="31" t="s">
        <v>467</v>
      </c>
      <c r="O1868" s="31">
        <v>4.0</v>
      </c>
      <c r="P1868" s="34"/>
      <c r="Q1868" s="31" t="s">
        <v>307</v>
      </c>
      <c r="R1868" s="32">
        <v>29779.0</v>
      </c>
      <c r="S1868" s="31" t="s">
        <v>681</v>
      </c>
      <c r="T1868" s="31" t="s">
        <v>1476</v>
      </c>
      <c r="U1868" s="31" t="s">
        <v>271</v>
      </c>
      <c r="V1868" s="34"/>
      <c r="W1868" s="34"/>
    </row>
    <row r="1869">
      <c r="A1869" s="30">
        <v>1.864</v>
      </c>
      <c r="B1869" s="31" t="s">
        <v>7604</v>
      </c>
      <c r="C1869" s="31" t="s">
        <v>7605</v>
      </c>
      <c r="D1869" s="31" t="s">
        <v>260</v>
      </c>
      <c r="E1869" s="31" t="s">
        <v>324</v>
      </c>
      <c r="F1869" s="32">
        <v>43538.0</v>
      </c>
      <c r="G1869" s="32">
        <v>43599.0</v>
      </c>
      <c r="H1869" s="31" t="s">
        <v>325</v>
      </c>
      <c r="I1869" s="31" t="s">
        <v>326</v>
      </c>
      <c r="J1869" s="31" t="s">
        <v>324</v>
      </c>
      <c r="K1869" s="31" t="s">
        <v>327</v>
      </c>
      <c r="L1869" s="31" t="s">
        <v>328</v>
      </c>
      <c r="M1869" s="31" t="s">
        <v>7606</v>
      </c>
      <c r="N1869" s="31" t="s">
        <v>267</v>
      </c>
      <c r="O1869" s="34"/>
      <c r="P1869" s="31">
        <v>3.0</v>
      </c>
      <c r="Q1869" s="31" t="s">
        <v>581</v>
      </c>
      <c r="R1869" s="35">
        <v>35390.0</v>
      </c>
      <c r="S1869" s="31" t="s">
        <v>2784</v>
      </c>
      <c r="T1869" s="31" t="s">
        <v>1895</v>
      </c>
      <c r="U1869" s="31" t="s">
        <v>331</v>
      </c>
      <c r="V1869" s="34"/>
      <c r="W1869" s="34"/>
    </row>
    <row r="1870">
      <c r="A1870" s="30">
        <v>1.865</v>
      </c>
      <c r="B1870" s="31" t="s">
        <v>7607</v>
      </c>
      <c r="C1870" s="31" t="s">
        <v>3742</v>
      </c>
      <c r="D1870" s="31" t="s">
        <v>260</v>
      </c>
      <c r="E1870" s="31" t="s">
        <v>902</v>
      </c>
      <c r="F1870" s="35">
        <v>45278.0</v>
      </c>
      <c r="G1870" s="32">
        <v>45338.0</v>
      </c>
      <c r="H1870" s="31" t="s">
        <v>262</v>
      </c>
      <c r="I1870" s="31" t="s">
        <v>93</v>
      </c>
      <c r="J1870" s="31" t="s">
        <v>1918</v>
      </c>
      <c r="K1870" s="31" t="s">
        <v>2005</v>
      </c>
      <c r="L1870" s="31" t="s">
        <v>905</v>
      </c>
      <c r="M1870" s="31" t="s">
        <v>7608</v>
      </c>
      <c r="N1870" s="31" t="s">
        <v>267</v>
      </c>
      <c r="O1870" s="34"/>
      <c r="P1870" s="31">
        <v>1.0</v>
      </c>
      <c r="Q1870" s="31" t="s">
        <v>307</v>
      </c>
      <c r="R1870" s="35">
        <v>37244.0</v>
      </c>
      <c r="S1870" s="31" t="s">
        <v>1041</v>
      </c>
      <c r="T1870" s="31" t="s">
        <v>7609</v>
      </c>
      <c r="U1870" s="31" t="s">
        <v>271</v>
      </c>
      <c r="V1870" s="31" t="s">
        <v>902</v>
      </c>
      <c r="W1870" s="34"/>
    </row>
    <row r="1871">
      <c r="A1871" s="30">
        <v>1.866</v>
      </c>
      <c r="B1871" s="31" t="s">
        <v>7610</v>
      </c>
      <c r="C1871" s="31" t="s">
        <v>3221</v>
      </c>
      <c r="D1871" s="31" t="s">
        <v>260</v>
      </c>
      <c r="E1871" s="31" t="s">
        <v>2908</v>
      </c>
      <c r="F1871" s="32">
        <v>44140.0</v>
      </c>
      <c r="G1871" s="32">
        <v>44200.0</v>
      </c>
      <c r="H1871" s="31" t="s">
        <v>2732</v>
      </c>
      <c r="I1871" s="31" t="s">
        <v>2761</v>
      </c>
      <c r="J1871" s="31" t="s">
        <v>2908</v>
      </c>
      <c r="K1871" s="31" t="s">
        <v>7611</v>
      </c>
      <c r="L1871" s="31" t="s">
        <v>905</v>
      </c>
      <c r="M1871" s="31" t="s">
        <v>7612</v>
      </c>
      <c r="N1871" s="31" t="s">
        <v>267</v>
      </c>
      <c r="O1871" s="34"/>
      <c r="P1871" s="31">
        <v>6.0</v>
      </c>
      <c r="Q1871" s="31" t="s">
        <v>307</v>
      </c>
      <c r="R1871" s="35">
        <v>36481.0</v>
      </c>
      <c r="S1871" s="31" t="s">
        <v>526</v>
      </c>
      <c r="T1871" s="31" t="s">
        <v>5573</v>
      </c>
      <c r="U1871" s="31" t="s">
        <v>2735</v>
      </c>
      <c r="V1871" s="34"/>
      <c r="W1871" s="34"/>
    </row>
    <row r="1872">
      <c r="A1872" s="30">
        <v>1.867</v>
      </c>
      <c r="B1872" s="31" t="s">
        <v>7613</v>
      </c>
      <c r="C1872" s="31" t="s">
        <v>7614</v>
      </c>
      <c r="D1872" s="31" t="s">
        <v>260</v>
      </c>
      <c r="E1872" s="31" t="s">
        <v>2908</v>
      </c>
      <c r="F1872" s="32">
        <v>43803.0</v>
      </c>
      <c r="G1872" s="32">
        <v>43865.0</v>
      </c>
      <c r="H1872" s="31" t="s">
        <v>2732</v>
      </c>
      <c r="I1872" s="31" t="s">
        <v>2761</v>
      </c>
      <c r="J1872" s="31" t="s">
        <v>2908</v>
      </c>
      <c r="K1872" s="31" t="s">
        <v>7611</v>
      </c>
      <c r="L1872" s="31" t="s">
        <v>905</v>
      </c>
      <c r="M1872" s="31" t="s">
        <v>7615</v>
      </c>
      <c r="N1872" s="31" t="s">
        <v>467</v>
      </c>
      <c r="O1872" s="34"/>
      <c r="P1872" s="31">
        <v>8.0</v>
      </c>
      <c r="Q1872" s="31" t="s">
        <v>307</v>
      </c>
      <c r="R1872" s="32">
        <v>34516.0</v>
      </c>
      <c r="S1872" s="31" t="s">
        <v>717</v>
      </c>
      <c r="T1872" s="31" t="s">
        <v>2740</v>
      </c>
      <c r="U1872" s="31" t="s">
        <v>2735</v>
      </c>
      <c r="V1872" s="34"/>
      <c r="W1872" s="34"/>
    </row>
    <row r="1873">
      <c r="A1873" s="30">
        <v>1.868</v>
      </c>
      <c r="B1873" s="31" t="s">
        <v>7616</v>
      </c>
      <c r="C1873" s="31" t="s">
        <v>7617</v>
      </c>
      <c r="D1873" s="31" t="s">
        <v>313</v>
      </c>
      <c r="E1873" s="31" t="s">
        <v>81</v>
      </c>
      <c r="F1873" s="32">
        <v>39600.0</v>
      </c>
      <c r="G1873" s="32">
        <v>39661.0</v>
      </c>
      <c r="H1873" s="31" t="s">
        <v>2732</v>
      </c>
      <c r="I1873" s="31" t="s">
        <v>2797</v>
      </c>
      <c r="J1873" s="31" t="s">
        <v>81</v>
      </c>
      <c r="K1873" s="31" t="s">
        <v>7439</v>
      </c>
      <c r="L1873" s="31" t="s">
        <v>318</v>
      </c>
      <c r="M1873" s="31" t="s">
        <v>7618</v>
      </c>
      <c r="N1873" s="31" t="s">
        <v>267</v>
      </c>
      <c r="O1873" s="34"/>
      <c r="P1873" s="31">
        <v>8.0</v>
      </c>
      <c r="Q1873" s="31" t="s">
        <v>307</v>
      </c>
      <c r="R1873" s="32">
        <v>31159.0</v>
      </c>
      <c r="S1873" s="31" t="s">
        <v>3665</v>
      </c>
      <c r="T1873" s="31" t="s">
        <v>7619</v>
      </c>
      <c r="U1873" s="31" t="s">
        <v>2735</v>
      </c>
      <c r="V1873" s="34"/>
      <c r="W1873" s="34"/>
    </row>
    <row r="1874">
      <c r="A1874" s="30">
        <v>1.869</v>
      </c>
      <c r="B1874" s="31" t="s">
        <v>7620</v>
      </c>
      <c r="C1874" s="31" t="s">
        <v>7621</v>
      </c>
      <c r="D1874" s="31" t="s">
        <v>260</v>
      </c>
      <c r="E1874" s="31" t="s">
        <v>324</v>
      </c>
      <c r="F1874" s="35">
        <v>43827.0</v>
      </c>
      <c r="G1874" s="32">
        <v>43889.0</v>
      </c>
      <c r="H1874" s="31" t="s">
        <v>2732</v>
      </c>
      <c r="I1874" s="31" t="s">
        <v>326</v>
      </c>
      <c r="J1874" s="31" t="s">
        <v>324</v>
      </c>
      <c r="K1874" s="31" t="s">
        <v>2733</v>
      </c>
      <c r="L1874" s="31" t="s">
        <v>328</v>
      </c>
      <c r="M1874" s="31" t="s">
        <v>7622</v>
      </c>
      <c r="N1874" s="31" t="s">
        <v>267</v>
      </c>
      <c r="O1874" s="34"/>
      <c r="P1874" s="31">
        <v>5.0</v>
      </c>
      <c r="Q1874" s="31" t="s">
        <v>307</v>
      </c>
      <c r="R1874" s="32">
        <v>35473.0</v>
      </c>
      <c r="S1874" s="31" t="s">
        <v>320</v>
      </c>
      <c r="T1874" s="31" t="s">
        <v>2740</v>
      </c>
      <c r="U1874" s="31" t="s">
        <v>2735</v>
      </c>
      <c r="V1874" s="34"/>
      <c r="W1874" s="34"/>
    </row>
    <row r="1875">
      <c r="A1875" s="30">
        <v>1.87</v>
      </c>
      <c r="B1875" s="31" t="s">
        <v>7623</v>
      </c>
      <c r="C1875" s="31" t="s">
        <v>7624</v>
      </c>
      <c r="D1875" s="31" t="s">
        <v>260</v>
      </c>
      <c r="E1875" s="31" t="s">
        <v>324</v>
      </c>
      <c r="F1875" s="32">
        <v>43892.0</v>
      </c>
      <c r="G1875" s="32">
        <v>43953.0</v>
      </c>
      <c r="H1875" s="31" t="s">
        <v>2732</v>
      </c>
      <c r="I1875" s="31" t="s">
        <v>326</v>
      </c>
      <c r="J1875" s="31" t="s">
        <v>324</v>
      </c>
      <c r="K1875" s="31" t="s">
        <v>2733</v>
      </c>
      <c r="L1875" s="31" t="s">
        <v>328</v>
      </c>
      <c r="M1875" s="31" t="s">
        <v>7625</v>
      </c>
      <c r="N1875" s="31" t="s">
        <v>267</v>
      </c>
      <c r="O1875" s="34"/>
      <c r="P1875" s="31">
        <v>7.0</v>
      </c>
      <c r="Q1875" s="31" t="s">
        <v>307</v>
      </c>
      <c r="R1875" s="32">
        <v>35285.0</v>
      </c>
      <c r="S1875" s="31" t="s">
        <v>531</v>
      </c>
      <c r="T1875" s="31" t="s">
        <v>2740</v>
      </c>
      <c r="U1875" s="31" t="s">
        <v>2735</v>
      </c>
      <c r="V1875" s="34"/>
      <c r="W1875" s="34"/>
    </row>
    <row r="1876">
      <c r="A1876" s="30">
        <v>1.871</v>
      </c>
      <c r="B1876" s="31" t="s">
        <v>7626</v>
      </c>
      <c r="C1876" s="31" t="s">
        <v>7627</v>
      </c>
      <c r="D1876" s="31" t="s">
        <v>1219</v>
      </c>
      <c r="E1876" s="31" t="s">
        <v>7298</v>
      </c>
      <c r="F1876" s="32">
        <v>45093.0</v>
      </c>
      <c r="G1876" s="32">
        <v>45153.0</v>
      </c>
      <c r="H1876" s="31" t="s">
        <v>325</v>
      </c>
      <c r="I1876" s="31" t="s">
        <v>2797</v>
      </c>
      <c r="J1876" s="31" t="s">
        <v>7298</v>
      </c>
      <c r="K1876" s="31" t="s">
        <v>7299</v>
      </c>
      <c r="L1876" s="31" t="s">
        <v>1223</v>
      </c>
      <c r="M1876" s="31" t="s">
        <v>7628</v>
      </c>
      <c r="N1876" s="31" t="s">
        <v>467</v>
      </c>
      <c r="O1876" s="34"/>
      <c r="P1876" s="31">
        <v>1.0</v>
      </c>
      <c r="Q1876" s="31" t="s">
        <v>307</v>
      </c>
      <c r="R1876" s="32">
        <v>35796.0</v>
      </c>
      <c r="S1876" s="31" t="s">
        <v>2057</v>
      </c>
      <c r="T1876" s="31" t="s">
        <v>2748</v>
      </c>
      <c r="U1876" s="31" t="s">
        <v>331</v>
      </c>
      <c r="V1876" s="34"/>
      <c r="W1876" s="34"/>
    </row>
    <row r="1877">
      <c r="A1877" s="30">
        <v>1.872</v>
      </c>
      <c r="B1877" s="31" t="s">
        <v>7629</v>
      </c>
      <c r="C1877" s="31" t="s">
        <v>7630</v>
      </c>
      <c r="D1877" s="31" t="s">
        <v>260</v>
      </c>
      <c r="E1877" s="31" t="s">
        <v>2810</v>
      </c>
      <c r="F1877" s="35">
        <v>40831.0</v>
      </c>
      <c r="G1877" s="35">
        <v>40862.0</v>
      </c>
      <c r="H1877" s="31" t="s">
        <v>325</v>
      </c>
      <c r="I1877" s="31" t="s">
        <v>2810</v>
      </c>
      <c r="J1877" s="34"/>
      <c r="K1877" s="31" t="s">
        <v>7631</v>
      </c>
      <c r="L1877" s="31" t="s">
        <v>2965</v>
      </c>
      <c r="M1877" s="31" t="s">
        <v>7632</v>
      </c>
      <c r="N1877" s="31" t="s">
        <v>267</v>
      </c>
      <c r="O1877" s="34"/>
      <c r="P1877" s="31">
        <v>1.0</v>
      </c>
      <c r="Q1877" s="31" t="s">
        <v>307</v>
      </c>
      <c r="R1877" s="32">
        <v>32559.0</v>
      </c>
      <c r="S1877" s="31" t="s">
        <v>526</v>
      </c>
      <c r="T1877" s="31" t="s">
        <v>2764</v>
      </c>
      <c r="U1877" s="31" t="s">
        <v>331</v>
      </c>
      <c r="V1877" s="34"/>
      <c r="W1877" s="34"/>
    </row>
    <row r="1878">
      <c r="A1878" s="30">
        <v>1.873</v>
      </c>
      <c r="B1878" s="31" t="s">
        <v>7633</v>
      </c>
      <c r="C1878" s="31" t="s">
        <v>7634</v>
      </c>
      <c r="D1878" s="31" t="s">
        <v>260</v>
      </c>
      <c r="E1878" s="31" t="s">
        <v>2810</v>
      </c>
      <c r="F1878" s="32">
        <v>44169.0</v>
      </c>
      <c r="G1878" s="32">
        <v>44231.0</v>
      </c>
      <c r="H1878" s="31" t="s">
        <v>325</v>
      </c>
      <c r="I1878" s="31" t="s">
        <v>2810</v>
      </c>
      <c r="J1878" s="34"/>
      <c r="K1878" s="31" t="s">
        <v>7631</v>
      </c>
      <c r="L1878" s="31" t="s">
        <v>2965</v>
      </c>
      <c r="M1878" s="31" t="s">
        <v>7635</v>
      </c>
      <c r="N1878" s="31" t="s">
        <v>267</v>
      </c>
      <c r="O1878" s="34"/>
      <c r="P1878" s="31">
        <v>3.0</v>
      </c>
      <c r="Q1878" s="31" t="s">
        <v>307</v>
      </c>
      <c r="R1878" s="32">
        <v>35934.0</v>
      </c>
      <c r="S1878" s="31" t="s">
        <v>320</v>
      </c>
      <c r="T1878" s="31" t="s">
        <v>2764</v>
      </c>
      <c r="U1878" s="31" t="s">
        <v>331</v>
      </c>
      <c r="V1878" s="34"/>
      <c r="W1878" s="34"/>
    </row>
    <row r="1879">
      <c r="A1879" s="30">
        <v>1.874</v>
      </c>
      <c r="B1879" s="31" t="s">
        <v>7636</v>
      </c>
      <c r="C1879" s="31" t="s">
        <v>7637</v>
      </c>
      <c r="D1879" s="31" t="s">
        <v>260</v>
      </c>
      <c r="E1879" s="31" t="s">
        <v>390</v>
      </c>
      <c r="F1879" s="32">
        <v>44672.0</v>
      </c>
      <c r="G1879" s="32">
        <v>44733.0</v>
      </c>
      <c r="H1879" s="31" t="s">
        <v>262</v>
      </c>
      <c r="I1879" s="31" t="s">
        <v>2219</v>
      </c>
      <c r="J1879" s="31" t="s">
        <v>390</v>
      </c>
      <c r="K1879" s="31" t="s">
        <v>2290</v>
      </c>
      <c r="L1879" s="31" t="s">
        <v>392</v>
      </c>
      <c r="M1879" s="31" t="s">
        <v>7638</v>
      </c>
      <c r="N1879" s="31" t="s">
        <v>267</v>
      </c>
      <c r="O1879" s="34"/>
      <c r="P1879" s="31">
        <v>1.0</v>
      </c>
      <c r="Q1879" s="31" t="s">
        <v>307</v>
      </c>
      <c r="R1879" s="32">
        <v>34854.0</v>
      </c>
      <c r="S1879" s="31" t="s">
        <v>1740</v>
      </c>
      <c r="T1879" s="31" t="s">
        <v>7639</v>
      </c>
      <c r="U1879" s="31" t="s">
        <v>271</v>
      </c>
      <c r="V1879" s="34"/>
      <c r="W1879" s="34"/>
    </row>
    <row r="1880">
      <c r="A1880" s="30">
        <v>1.875</v>
      </c>
      <c r="B1880" s="31" t="s">
        <v>7640</v>
      </c>
      <c r="C1880" s="31" t="s">
        <v>333</v>
      </c>
      <c r="D1880" s="31" t="s">
        <v>302</v>
      </c>
      <c r="E1880" s="31" t="s">
        <v>228</v>
      </c>
      <c r="F1880" s="32">
        <v>43012.0</v>
      </c>
      <c r="G1880" s="32">
        <v>43073.0</v>
      </c>
      <c r="H1880" s="31" t="s">
        <v>303</v>
      </c>
      <c r="I1880" s="31" t="s">
        <v>228</v>
      </c>
      <c r="J1880" s="34"/>
      <c r="K1880" s="31" t="s">
        <v>304</v>
      </c>
      <c r="L1880" s="31" t="s">
        <v>305</v>
      </c>
      <c r="M1880" s="31" t="s">
        <v>7641</v>
      </c>
      <c r="N1880" s="31" t="s">
        <v>267</v>
      </c>
      <c r="O1880" s="34"/>
      <c r="P1880" s="34"/>
      <c r="Q1880" s="31" t="s">
        <v>307</v>
      </c>
      <c r="R1880" s="32">
        <v>34353.0</v>
      </c>
      <c r="S1880" s="31" t="s">
        <v>1058</v>
      </c>
      <c r="T1880" s="31" t="s">
        <v>999</v>
      </c>
      <c r="U1880" s="31" t="s">
        <v>310</v>
      </c>
      <c r="V1880" s="34"/>
      <c r="W1880" s="34"/>
    </row>
    <row r="1881">
      <c r="A1881" s="30">
        <v>1.876</v>
      </c>
      <c r="B1881" s="31" t="s">
        <v>7642</v>
      </c>
      <c r="C1881" s="31" t="s">
        <v>7643</v>
      </c>
      <c r="D1881" s="31" t="s">
        <v>7644</v>
      </c>
      <c r="E1881" s="31" t="s">
        <v>3112</v>
      </c>
      <c r="F1881" s="32">
        <v>44634.0</v>
      </c>
      <c r="G1881" s="32">
        <v>44695.0</v>
      </c>
      <c r="H1881" s="31" t="s">
        <v>2924</v>
      </c>
      <c r="I1881" s="31" t="s">
        <v>187</v>
      </c>
      <c r="J1881" s="31" t="s">
        <v>3112</v>
      </c>
      <c r="K1881" s="31" t="s">
        <v>3113</v>
      </c>
      <c r="L1881" s="31" t="s">
        <v>7645</v>
      </c>
      <c r="M1881" s="31" t="s">
        <v>7646</v>
      </c>
      <c r="N1881" s="31" t="s">
        <v>267</v>
      </c>
      <c r="O1881" s="34"/>
      <c r="P1881" s="34"/>
      <c r="Q1881" s="31" t="s">
        <v>307</v>
      </c>
      <c r="R1881" s="32">
        <v>34453.0</v>
      </c>
      <c r="S1881" s="31" t="s">
        <v>2982</v>
      </c>
      <c r="T1881" s="31" t="s">
        <v>7647</v>
      </c>
      <c r="U1881" s="31" t="s">
        <v>271</v>
      </c>
      <c r="V1881" s="34"/>
      <c r="W1881" s="34"/>
    </row>
    <row r="1882">
      <c r="A1882" s="30">
        <v>1.877</v>
      </c>
      <c r="B1882" s="31" t="s">
        <v>7648</v>
      </c>
      <c r="C1882" s="31" t="s">
        <v>7649</v>
      </c>
      <c r="D1882" s="31" t="s">
        <v>7650</v>
      </c>
      <c r="E1882" s="31" t="s">
        <v>3099</v>
      </c>
      <c r="F1882" s="32">
        <v>43277.0</v>
      </c>
      <c r="G1882" s="32">
        <v>43277.0</v>
      </c>
      <c r="H1882" s="31" t="s">
        <v>2924</v>
      </c>
      <c r="I1882" s="31" t="s">
        <v>75</v>
      </c>
      <c r="J1882" s="31" t="s">
        <v>3100</v>
      </c>
      <c r="K1882" s="31" t="s">
        <v>3101</v>
      </c>
      <c r="L1882" s="31" t="s">
        <v>7651</v>
      </c>
      <c r="M1882" s="31" t="s">
        <v>7652</v>
      </c>
      <c r="N1882" s="31" t="s">
        <v>467</v>
      </c>
      <c r="O1882" s="31">
        <v>2.0</v>
      </c>
      <c r="P1882" s="34"/>
      <c r="Q1882" s="31" t="s">
        <v>307</v>
      </c>
      <c r="R1882" s="35">
        <v>35362.0</v>
      </c>
      <c r="S1882" s="31" t="s">
        <v>1622</v>
      </c>
      <c r="T1882" s="31" t="s">
        <v>496</v>
      </c>
      <c r="U1882" s="31" t="s">
        <v>460</v>
      </c>
      <c r="V1882" s="31" t="s">
        <v>3099</v>
      </c>
      <c r="W1882" s="34"/>
    </row>
    <row r="1883">
      <c r="A1883" s="30">
        <v>1.878</v>
      </c>
      <c r="B1883" s="31" t="s">
        <v>7653</v>
      </c>
      <c r="C1883" s="31" t="s">
        <v>7654</v>
      </c>
      <c r="D1883" s="31" t="s">
        <v>2840</v>
      </c>
      <c r="E1883" s="31" t="s">
        <v>34</v>
      </c>
      <c r="F1883" s="32">
        <v>40441.0</v>
      </c>
      <c r="G1883" s="32">
        <v>40513.0</v>
      </c>
      <c r="H1883" s="31" t="s">
        <v>2924</v>
      </c>
      <c r="I1883" s="31" t="s">
        <v>34</v>
      </c>
      <c r="J1883" s="34"/>
      <c r="K1883" s="31" t="s">
        <v>2925</v>
      </c>
      <c r="L1883" s="31" t="s">
        <v>7655</v>
      </c>
      <c r="M1883" s="31" t="s">
        <v>7656</v>
      </c>
      <c r="N1883" s="31" t="s">
        <v>267</v>
      </c>
      <c r="O1883" s="34"/>
      <c r="P1883" s="34"/>
      <c r="Q1883" s="31" t="s">
        <v>307</v>
      </c>
      <c r="R1883" s="32">
        <v>32317.0</v>
      </c>
      <c r="S1883" s="31" t="s">
        <v>531</v>
      </c>
      <c r="T1883" s="31" t="s">
        <v>2845</v>
      </c>
      <c r="U1883" s="31" t="s">
        <v>271</v>
      </c>
      <c r="V1883" s="34"/>
      <c r="W1883" s="34"/>
    </row>
    <row r="1884">
      <c r="A1884" s="30">
        <v>1.879</v>
      </c>
      <c r="B1884" s="31" t="s">
        <v>7657</v>
      </c>
      <c r="C1884" s="31" t="s">
        <v>5037</v>
      </c>
      <c r="D1884" s="31" t="s">
        <v>472</v>
      </c>
      <c r="E1884" s="31" t="s">
        <v>3099</v>
      </c>
      <c r="F1884" s="32">
        <v>43678.0</v>
      </c>
      <c r="G1884" s="32">
        <v>43739.0</v>
      </c>
      <c r="H1884" s="31" t="s">
        <v>2924</v>
      </c>
      <c r="I1884" s="31" t="s">
        <v>75</v>
      </c>
      <c r="J1884" s="31" t="s">
        <v>3100</v>
      </c>
      <c r="K1884" s="31" t="s">
        <v>3101</v>
      </c>
      <c r="L1884" s="31" t="s">
        <v>3088</v>
      </c>
      <c r="M1884" s="31" t="s">
        <v>7658</v>
      </c>
      <c r="N1884" s="31" t="s">
        <v>467</v>
      </c>
      <c r="O1884" s="34"/>
      <c r="P1884" s="34"/>
      <c r="Q1884" s="31" t="s">
        <v>307</v>
      </c>
      <c r="R1884" s="35">
        <v>35713.0</v>
      </c>
      <c r="S1884" s="31" t="s">
        <v>591</v>
      </c>
      <c r="T1884" s="31" t="s">
        <v>1370</v>
      </c>
      <c r="U1884" s="31" t="s">
        <v>460</v>
      </c>
      <c r="V1884" s="31" t="s">
        <v>3099</v>
      </c>
      <c r="W1884" s="34"/>
    </row>
    <row r="1885">
      <c r="A1885" s="30">
        <v>1.88</v>
      </c>
      <c r="B1885" s="31" t="s">
        <v>7659</v>
      </c>
      <c r="C1885" s="31" t="s">
        <v>7660</v>
      </c>
      <c r="D1885" s="31" t="s">
        <v>2662</v>
      </c>
      <c r="E1885" s="31" t="s">
        <v>7230</v>
      </c>
      <c r="F1885" s="32">
        <v>41163.0</v>
      </c>
      <c r="G1885" s="35">
        <v>41254.0</v>
      </c>
      <c r="H1885" s="31" t="s">
        <v>262</v>
      </c>
      <c r="I1885" s="31" t="s">
        <v>2219</v>
      </c>
      <c r="J1885" s="31" t="s">
        <v>7230</v>
      </c>
      <c r="K1885" s="31" t="s">
        <v>7661</v>
      </c>
      <c r="L1885" s="31" t="s">
        <v>7662</v>
      </c>
      <c r="M1885" s="31" t="s">
        <v>7663</v>
      </c>
      <c r="N1885" s="31" t="s">
        <v>467</v>
      </c>
      <c r="O1885" s="31">
        <v>3.0</v>
      </c>
      <c r="P1885" s="34"/>
      <c r="Q1885" s="31" t="s">
        <v>307</v>
      </c>
      <c r="R1885" s="32">
        <v>32645.0</v>
      </c>
      <c r="S1885" s="31" t="s">
        <v>320</v>
      </c>
      <c r="T1885" s="31" t="s">
        <v>1765</v>
      </c>
      <c r="U1885" s="31" t="s">
        <v>271</v>
      </c>
      <c r="V1885" s="34"/>
      <c r="W1885" s="34"/>
    </row>
    <row r="1886">
      <c r="A1886" s="30">
        <v>1.881</v>
      </c>
      <c r="B1886" s="31" t="s">
        <v>7664</v>
      </c>
      <c r="C1886" s="31" t="s">
        <v>7665</v>
      </c>
      <c r="D1886" s="31" t="s">
        <v>1219</v>
      </c>
      <c r="E1886" s="31" t="s">
        <v>1323</v>
      </c>
      <c r="F1886" s="32">
        <v>41092.0</v>
      </c>
      <c r="G1886" s="32">
        <v>41153.0</v>
      </c>
      <c r="H1886" s="31" t="s">
        <v>346</v>
      </c>
      <c r="I1886" s="31" t="s">
        <v>315</v>
      </c>
      <c r="J1886" s="31" t="s">
        <v>1221</v>
      </c>
      <c r="K1886" s="31" t="s">
        <v>1324</v>
      </c>
      <c r="L1886" s="31" t="s">
        <v>1223</v>
      </c>
      <c r="M1886" s="31" t="s">
        <v>7666</v>
      </c>
      <c r="N1886" s="31" t="s">
        <v>267</v>
      </c>
      <c r="O1886" s="34"/>
      <c r="P1886" s="34"/>
      <c r="Q1886" s="31" t="s">
        <v>307</v>
      </c>
      <c r="R1886" s="32">
        <v>33012.0</v>
      </c>
      <c r="S1886" s="31" t="s">
        <v>560</v>
      </c>
      <c r="T1886" s="31" t="s">
        <v>1269</v>
      </c>
      <c r="U1886" s="31" t="s">
        <v>352</v>
      </c>
      <c r="V1886" s="31" t="s">
        <v>1323</v>
      </c>
      <c r="W1886" s="34"/>
    </row>
    <row r="1887">
      <c r="A1887" s="30">
        <v>1.882</v>
      </c>
      <c r="B1887" s="31" t="s">
        <v>7667</v>
      </c>
      <c r="C1887" s="31" t="s">
        <v>7668</v>
      </c>
      <c r="D1887" s="31" t="s">
        <v>7669</v>
      </c>
      <c r="E1887" s="31" t="s">
        <v>34</v>
      </c>
      <c r="F1887" s="32">
        <v>45033.0</v>
      </c>
      <c r="G1887" s="32">
        <v>45094.0</v>
      </c>
      <c r="H1887" s="31" t="s">
        <v>2924</v>
      </c>
      <c r="I1887" s="31" t="s">
        <v>34</v>
      </c>
      <c r="J1887" s="34"/>
      <c r="K1887" s="31" t="s">
        <v>2925</v>
      </c>
      <c r="L1887" s="31" t="s">
        <v>7670</v>
      </c>
      <c r="M1887" s="31" t="s">
        <v>7671</v>
      </c>
      <c r="N1887" s="31" t="s">
        <v>267</v>
      </c>
      <c r="O1887" s="34"/>
      <c r="P1887" s="34"/>
      <c r="Q1887" s="31" t="s">
        <v>307</v>
      </c>
      <c r="R1887" s="32">
        <v>35686.0</v>
      </c>
      <c r="S1887" s="31" t="s">
        <v>1398</v>
      </c>
      <c r="T1887" s="31" t="s">
        <v>744</v>
      </c>
      <c r="U1887" s="31" t="s">
        <v>460</v>
      </c>
      <c r="V1887" s="34"/>
      <c r="W1887" s="34"/>
    </row>
    <row r="1888">
      <c r="A1888" s="30">
        <v>1.883</v>
      </c>
      <c r="B1888" s="31" t="s">
        <v>7672</v>
      </c>
      <c r="C1888" s="31" t="s">
        <v>7673</v>
      </c>
      <c r="D1888" s="31" t="s">
        <v>7236</v>
      </c>
      <c r="E1888" s="31" t="s">
        <v>7230</v>
      </c>
      <c r="F1888" s="32">
        <v>40820.0</v>
      </c>
      <c r="G1888" s="32">
        <v>40851.0</v>
      </c>
      <c r="H1888" s="31" t="s">
        <v>262</v>
      </c>
      <c r="I1888" s="31" t="s">
        <v>263</v>
      </c>
      <c r="J1888" s="31" t="s">
        <v>7230</v>
      </c>
      <c r="K1888" s="31" t="s">
        <v>7241</v>
      </c>
      <c r="L1888" s="31" t="s">
        <v>7674</v>
      </c>
      <c r="M1888" s="31" t="s">
        <v>7675</v>
      </c>
      <c r="N1888" s="31" t="s">
        <v>267</v>
      </c>
      <c r="O1888" s="31">
        <v>3.0</v>
      </c>
      <c r="P1888" s="34"/>
      <c r="Q1888" s="31" t="s">
        <v>307</v>
      </c>
      <c r="R1888" s="32">
        <v>32541.0</v>
      </c>
      <c r="S1888" s="31" t="s">
        <v>1740</v>
      </c>
      <c r="T1888" s="31" t="s">
        <v>1476</v>
      </c>
      <c r="U1888" s="31" t="s">
        <v>271</v>
      </c>
      <c r="V1888" s="34"/>
      <c r="W1888" s="34"/>
    </row>
    <row r="1889">
      <c r="A1889" s="30">
        <v>1.884</v>
      </c>
      <c r="B1889" s="31" t="s">
        <v>7676</v>
      </c>
      <c r="C1889" s="31" t="s">
        <v>7677</v>
      </c>
      <c r="D1889" s="31" t="s">
        <v>260</v>
      </c>
      <c r="E1889" s="31" t="s">
        <v>2760</v>
      </c>
      <c r="F1889" s="35">
        <v>44135.0</v>
      </c>
      <c r="G1889" s="35">
        <v>44196.0</v>
      </c>
      <c r="H1889" s="31" t="s">
        <v>2811</v>
      </c>
      <c r="I1889" s="31" t="s">
        <v>2909</v>
      </c>
      <c r="J1889" s="31" t="s">
        <v>2760</v>
      </c>
      <c r="K1889" s="31" t="s">
        <v>7678</v>
      </c>
      <c r="L1889" s="31" t="s">
        <v>891</v>
      </c>
      <c r="M1889" s="31" t="s">
        <v>7679</v>
      </c>
      <c r="N1889" s="31" t="s">
        <v>267</v>
      </c>
      <c r="O1889" s="34"/>
      <c r="P1889" s="31">
        <v>4.0</v>
      </c>
      <c r="Q1889" s="31" t="s">
        <v>307</v>
      </c>
      <c r="R1889" s="32">
        <v>35874.0</v>
      </c>
      <c r="S1889" s="31" t="s">
        <v>631</v>
      </c>
      <c r="T1889" s="31" t="s">
        <v>7255</v>
      </c>
      <c r="U1889" s="31" t="s">
        <v>2914</v>
      </c>
      <c r="V1889" s="34"/>
      <c r="W1889" s="34"/>
    </row>
    <row r="1890">
      <c r="A1890" s="30">
        <v>1.885</v>
      </c>
      <c r="B1890" s="31" t="s">
        <v>7680</v>
      </c>
      <c r="C1890" s="31" t="s">
        <v>7681</v>
      </c>
      <c r="D1890" s="31" t="s">
        <v>2531</v>
      </c>
      <c r="E1890" s="31" t="s">
        <v>148</v>
      </c>
      <c r="F1890" s="32">
        <v>43043.0</v>
      </c>
      <c r="G1890" s="32">
        <v>43104.0</v>
      </c>
      <c r="H1890" s="31" t="s">
        <v>303</v>
      </c>
      <c r="I1890" s="31" t="s">
        <v>335</v>
      </c>
      <c r="J1890" s="31" t="s">
        <v>336</v>
      </c>
      <c r="K1890" s="31" t="s">
        <v>2532</v>
      </c>
      <c r="L1890" s="31" t="s">
        <v>2533</v>
      </c>
      <c r="M1890" s="31" t="s">
        <v>7682</v>
      </c>
      <c r="N1890" s="31" t="s">
        <v>267</v>
      </c>
      <c r="O1890" s="34"/>
      <c r="P1890" s="34"/>
      <c r="Q1890" s="31" t="s">
        <v>307</v>
      </c>
      <c r="R1890" s="32">
        <v>34375.0</v>
      </c>
      <c r="S1890" s="31" t="s">
        <v>681</v>
      </c>
      <c r="T1890" s="31" t="s">
        <v>1686</v>
      </c>
      <c r="U1890" s="31" t="s">
        <v>271</v>
      </c>
      <c r="V1890" s="31" t="s">
        <v>148</v>
      </c>
      <c r="W1890" s="34"/>
    </row>
    <row r="1891">
      <c r="A1891" s="30">
        <v>1.886</v>
      </c>
      <c r="B1891" s="31" t="s">
        <v>7683</v>
      </c>
      <c r="C1891" s="31" t="s">
        <v>7684</v>
      </c>
      <c r="D1891" s="31" t="s">
        <v>4788</v>
      </c>
      <c r="E1891" s="31" t="s">
        <v>7685</v>
      </c>
      <c r="F1891" s="32">
        <v>44761.0</v>
      </c>
      <c r="G1891" s="32">
        <v>44823.0</v>
      </c>
      <c r="H1891" s="31" t="s">
        <v>303</v>
      </c>
      <c r="I1891" s="31" t="s">
        <v>335</v>
      </c>
      <c r="J1891" s="31" t="s">
        <v>336</v>
      </c>
      <c r="K1891" s="31" t="s">
        <v>7686</v>
      </c>
      <c r="L1891" s="31" t="s">
        <v>4791</v>
      </c>
      <c r="M1891" s="31" t="s">
        <v>7687</v>
      </c>
      <c r="N1891" s="31" t="s">
        <v>267</v>
      </c>
      <c r="O1891" s="34"/>
      <c r="P1891" s="34"/>
      <c r="Q1891" s="31" t="s">
        <v>581</v>
      </c>
      <c r="R1891" s="32">
        <v>34576.0</v>
      </c>
      <c r="S1891" s="31" t="s">
        <v>433</v>
      </c>
      <c r="T1891" s="31" t="s">
        <v>778</v>
      </c>
      <c r="U1891" s="31" t="s">
        <v>342</v>
      </c>
      <c r="V1891" s="31" t="s">
        <v>7685</v>
      </c>
      <c r="W1891" s="34"/>
    </row>
    <row r="1892">
      <c r="A1892" s="30">
        <v>1.887</v>
      </c>
      <c r="B1892" s="31" t="s">
        <v>7688</v>
      </c>
      <c r="C1892" s="31" t="s">
        <v>7689</v>
      </c>
      <c r="D1892" s="31" t="s">
        <v>2932</v>
      </c>
      <c r="E1892" s="31" t="s">
        <v>7512</v>
      </c>
      <c r="F1892" s="32">
        <v>40360.0</v>
      </c>
      <c r="G1892" s="32">
        <v>40422.0</v>
      </c>
      <c r="H1892" s="31" t="s">
        <v>576</v>
      </c>
      <c r="I1892" s="31" t="s">
        <v>3257</v>
      </c>
      <c r="J1892" s="31" t="s">
        <v>7512</v>
      </c>
      <c r="K1892" s="31" t="s">
        <v>7513</v>
      </c>
      <c r="L1892" s="31" t="s">
        <v>2936</v>
      </c>
      <c r="M1892" s="31" t="s">
        <v>7690</v>
      </c>
      <c r="N1892" s="31" t="s">
        <v>267</v>
      </c>
      <c r="O1892" s="34"/>
      <c r="P1892" s="31">
        <v>1.0</v>
      </c>
      <c r="Q1892" s="31" t="s">
        <v>307</v>
      </c>
      <c r="R1892" s="33"/>
      <c r="S1892" s="31" t="s">
        <v>626</v>
      </c>
      <c r="T1892" s="31" t="s">
        <v>682</v>
      </c>
      <c r="U1892" s="31" t="s">
        <v>633</v>
      </c>
      <c r="V1892" s="34"/>
      <c r="W1892" s="34"/>
    </row>
    <row r="1893">
      <c r="A1893" s="30">
        <v>1.888</v>
      </c>
      <c r="B1893" s="31" t="s">
        <v>7691</v>
      </c>
      <c r="C1893" s="31" t="s">
        <v>7692</v>
      </c>
      <c r="D1893" s="31" t="s">
        <v>4788</v>
      </c>
      <c r="E1893" s="31" t="s">
        <v>104</v>
      </c>
      <c r="F1893" s="32">
        <v>43302.0</v>
      </c>
      <c r="G1893" s="32">
        <v>43364.0</v>
      </c>
      <c r="H1893" s="31" t="s">
        <v>303</v>
      </c>
      <c r="I1893" s="31" t="s">
        <v>335</v>
      </c>
      <c r="J1893" s="31" t="s">
        <v>336</v>
      </c>
      <c r="K1893" s="31" t="s">
        <v>337</v>
      </c>
      <c r="L1893" s="31" t="s">
        <v>4791</v>
      </c>
      <c r="M1893" s="31" t="s">
        <v>7693</v>
      </c>
      <c r="N1893" s="31" t="s">
        <v>267</v>
      </c>
      <c r="O1893" s="34"/>
      <c r="P1893" s="34"/>
      <c r="Q1893" s="31" t="s">
        <v>307</v>
      </c>
      <c r="R1893" s="32">
        <v>34727.0</v>
      </c>
      <c r="S1893" s="31" t="s">
        <v>526</v>
      </c>
      <c r="T1893" s="31" t="s">
        <v>2721</v>
      </c>
      <c r="U1893" s="31" t="s">
        <v>342</v>
      </c>
      <c r="V1893" s="31" t="s">
        <v>104</v>
      </c>
      <c r="W1893" s="34"/>
    </row>
    <row r="1894">
      <c r="A1894" s="30">
        <v>1.889</v>
      </c>
      <c r="B1894" s="31" t="s">
        <v>7694</v>
      </c>
      <c r="C1894" s="31" t="s">
        <v>7695</v>
      </c>
      <c r="D1894" s="31" t="s">
        <v>260</v>
      </c>
      <c r="E1894" s="31" t="s">
        <v>2858</v>
      </c>
      <c r="F1894" s="32">
        <v>43654.0</v>
      </c>
      <c r="G1894" s="32">
        <v>43717.0</v>
      </c>
      <c r="H1894" s="31" t="s">
        <v>2811</v>
      </c>
      <c r="I1894" s="31" t="s">
        <v>2768</v>
      </c>
      <c r="J1894" s="31" t="s">
        <v>2858</v>
      </c>
      <c r="K1894" s="31" t="s">
        <v>3074</v>
      </c>
      <c r="L1894" s="31" t="s">
        <v>392</v>
      </c>
      <c r="M1894" s="31" t="s">
        <v>7696</v>
      </c>
      <c r="N1894" s="31" t="s">
        <v>267</v>
      </c>
      <c r="O1894" s="34"/>
      <c r="P1894" s="31">
        <v>1.0</v>
      </c>
      <c r="Q1894" s="31" t="s">
        <v>307</v>
      </c>
      <c r="R1894" s="32">
        <v>35458.0</v>
      </c>
      <c r="S1894" s="31" t="s">
        <v>1646</v>
      </c>
      <c r="T1894" s="31" t="s">
        <v>7697</v>
      </c>
      <c r="U1894" s="31" t="s">
        <v>2914</v>
      </c>
      <c r="V1894" s="34"/>
      <c r="W1894" s="34"/>
    </row>
    <row r="1895">
      <c r="A1895" s="30">
        <v>1.89</v>
      </c>
      <c r="B1895" s="31" t="s">
        <v>7698</v>
      </c>
      <c r="C1895" s="31" t="s">
        <v>7699</v>
      </c>
      <c r="D1895" s="31" t="s">
        <v>574</v>
      </c>
      <c r="E1895" s="31" t="s">
        <v>7470</v>
      </c>
      <c r="F1895" s="32">
        <v>43010.0</v>
      </c>
      <c r="G1895" s="32">
        <v>43072.0</v>
      </c>
      <c r="H1895" s="31" t="s">
        <v>576</v>
      </c>
      <c r="I1895" s="31" t="s">
        <v>2817</v>
      </c>
      <c r="J1895" s="31" t="s">
        <v>7470</v>
      </c>
      <c r="K1895" s="31" t="s">
        <v>7471</v>
      </c>
      <c r="L1895" s="31" t="s">
        <v>579</v>
      </c>
      <c r="M1895" s="31" t="s">
        <v>7700</v>
      </c>
      <c r="N1895" s="31" t="s">
        <v>267</v>
      </c>
      <c r="O1895" s="34"/>
      <c r="P1895" s="34"/>
      <c r="Q1895" s="31" t="s">
        <v>307</v>
      </c>
      <c r="R1895" s="32">
        <v>34151.0</v>
      </c>
      <c r="S1895" s="31" t="s">
        <v>531</v>
      </c>
      <c r="T1895" s="31" t="s">
        <v>7701</v>
      </c>
      <c r="U1895" s="31" t="s">
        <v>2821</v>
      </c>
      <c r="V1895" s="34"/>
      <c r="W1895" s="34"/>
    </row>
    <row r="1896">
      <c r="A1896" s="30">
        <v>1.891</v>
      </c>
      <c r="B1896" s="31" t="s">
        <v>7702</v>
      </c>
      <c r="C1896" s="31" t="s">
        <v>7703</v>
      </c>
      <c r="D1896" s="31" t="s">
        <v>978</v>
      </c>
      <c r="E1896" s="31" t="s">
        <v>1130</v>
      </c>
      <c r="F1896" s="32">
        <v>43231.0</v>
      </c>
      <c r="G1896" s="32">
        <v>43292.0</v>
      </c>
      <c r="H1896" s="31" t="s">
        <v>262</v>
      </c>
      <c r="I1896" s="31" t="s">
        <v>2219</v>
      </c>
      <c r="J1896" s="31" t="s">
        <v>1130</v>
      </c>
      <c r="K1896" s="31" t="s">
        <v>2236</v>
      </c>
      <c r="L1896" s="31" t="s">
        <v>1171</v>
      </c>
      <c r="M1896" s="31" t="s">
        <v>7704</v>
      </c>
      <c r="N1896" s="31" t="s">
        <v>467</v>
      </c>
      <c r="O1896" s="31">
        <v>2.0</v>
      </c>
      <c r="P1896" s="31">
        <v>1.0</v>
      </c>
      <c r="Q1896" s="31" t="s">
        <v>307</v>
      </c>
      <c r="R1896" s="32">
        <v>35076.0</v>
      </c>
      <c r="S1896" s="31" t="s">
        <v>681</v>
      </c>
      <c r="T1896" s="31" t="s">
        <v>1476</v>
      </c>
      <c r="U1896" s="31" t="s">
        <v>271</v>
      </c>
      <c r="V1896" s="34"/>
      <c r="W1896" s="34"/>
    </row>
    <row r="1897">
      <c r="A1897" s="30">
        <v>1.892</v>
      </c>
      <c r="B1897" s="31" t="s">
        <v>7705</v>
      </c>
      <c r="C1897" s="31" t="s">
        <v>7706</v>
      </c>
      <c r="D1897" s="31" t="s">
        <v>2531</v>
      </c>
      <c r="E1897" s="31" t="s">
        <v>148</v>
      </c>
      <c r="F1897" s="35">
        <v>44116.0</v>
      </c>
      <c r="G1897" s="35">
        <v>44177.0</v>
      </c>
      <c r="H1897" s="31" t="s">
        <v>303</v>
      </c>
      <c r="I1897" s="31" t="s">
        <v>335</v>
      </c>
      <c r="J1897" s="31" t="s">
        <v>336</v>
      </c>
      <c r="K1897" s="31" t="s">
        <v>2532</v>
      </c>
      <c r="L1897" s="31" t="s">
        <v>2533</v>
      </c>
      <c r="M1897" s="31" t="s">
        <v>7707</v>
      </c>
      <c r="N1897" s="31" t="s">
        <v>267</v>
      </c>
      <c r="O1897" s="34"/>
      <c r="P1897" s="34"/>
      <c r="Q1897" s="31" t="s">
        <v>581</v>
      </c>
      <c r="R1897" s="32">
        <v>35496.0</v>
      </c>
      <c r="S1897" s="31" t="s">
        <v>700</v>
      </c>
      <c r="T1897" s="31" t="s">
        <v>686</v>
      </c>
      <c r="U1897" s="31" t="s">
        <v>342</v>
      </c>
      <c r="V1897" s="31" t="s">
        <v>148</v>
      </c>
      <c r="W1897" s="34"/>
    </row>
    <row r="1898">
      <c r="A1898" s="30">
        <v>1.893</v>
      </c>
      <c r="B1898" s="31" t="s">
        <v>7708</v>
      </c>
      <c r="C1898" s="31" t="s">
        <v>7709</v>
      </c>
      <c r="D1898" s="31" t="s">
        <v>648</v>
      </c>
      <c r="E1898" s="31" t="s">
        <v>1636</v>
      </c>
      <c r="F1898" s="32">
        <v>44364.0</v>
      </c>
      <c r="G1898" s="32">
        <v>44425.0</v>
      </c>
      <c r="H1898" s="31" t="s">
        <v>2732</v>
      </c>
      <c r="I1898" s="31" t="s">
        <v>153</v>
      </c>
      <c r="J1898" s="31" t="s">
        <v>1636</v>
      </c>
      <c r="K1898" s="31" t="s">
        <v>7710</v>
      </c>
      <c r="L1898" s="31" t="s">
        <v>651</v>
      </c>
      <c r="M1898" s="31" t="s">
        <v>7711</v>
      </c>
      <c r="N1898" s="31" t="s">
        <v>267</v>
      </c>
      <c r="O1898" s="34"/>
      <c r="P1898" s="31">
        <v>5.0</v>
      </c>
      <c r="Q1898" s="31" t="s">
        <v>307</v>
      </c>
      <c r="R1898" s="32">
        <v>35557.0</v>
      </c>
      <c r="S1898" s="31" t="s">
        <v>531</v>
      </c>
      <c r="T1898" s="31" t="s">
        <v>7712</v>
      </c>
      <c r="U1898" s="31" t="s">
        <v>2735</v>
      </c>
      <c r="V1898" s="34"/>
      <c r="W1898" s="34"/>
    </row>
    <row r="1899">
      <c r="A1899" s="30">
        <v>1.894</v>
      </c>
      <c r="B1899" s="31" t="s">
        <v>7713</v>
      </c>
      <c r="C1899" s="31" t="s">
        <v>7714</v>
      </c>
      <c r="D1899" s="31" t="s">
        <v>334</v>
      </c>
      <c r="E1899" s="31" t="s">
        <v>3340</v>
      </c>
      <c r="F1899" s="32">
        <v>45174.0</v>
      </c>
      <c r="G1899" s="32">
        <v>45234.0</v>
      </c>
      <c r="H1899" s="31" t="s">
        <v>303</v>
      </c>
      <c r="I1899" s="31" t="s">
        <v>335</v>
      </c>
      <c r="J1899" s="31" t="s">
        <v>2499</v>
      </c>
      <c r="K1899" s="31" t="s">
        <v>3341</v>
      </c>
      <c r="L1899" s="31" t="s">
        <v>338</v>
      </c>
      <c r="M1899" s="31" t="s">
        <v>7715</v>
      </c>
      <c r="N1899" s="31" t="s">
        <v>267</v>
      </c>
      <c r="O1899" s="34"/>
      <c r="P1899" s="34"/>
      <c r="Q1899" s="31" t="s">
        <v>307</v>
      </c>
      <c r="R1899" s="32">
        <v>36924.0</v>
      </c>
      <c r="S1899" s="31" t="s">
        <v>4516</v>
      </c>
      <c r="T1899" s="31" t="s">
        <v>341</v>
      </c>
      <c r="U1899" s="31" t="s">
        <v>342</v>
      </c>
      <c r="V1899" s="31" t="s">
        <v>3340</v>
      </c>
      <c r="W1899" s="34"/>
    </row>
    <row r="1900">
      <c r="A1900" s="30">
        <v>1.895</v>
      </c>
      <c r="B1900" s="31" t="s">
        <v>7716</v>
      </c>
      <c r="C1900" s="31" t="s">
        <v>7717</v>
      </c>
      <c r="D1900" s="31" t="s">
        <v>260</v>
      </c>
      <c r="E1900" s="31" t="s">
        <v>2090</v>
      </c>
      <c r="F1900" s="32">
        <v>45196.0</v>
      </c>
      <c r="G1900" s="35">
        <v>45256.0</v>
      </c>
      <c r="H1900" s="31" t="s">
        <v>262</v>
      </c>
      <c r="I1900" s="31" t="s">
        <v>275</v>
      </c>
      <c r="J1900" s="31" t="s">
        <v>2090</v>
      </c>
      <c r="K1900" s="31" t="s">
        <v>2091</v>
      </c>
      <c r="L1900" s="31" t="s">
        <v>277</v>
      </c>
      <c r="M1900" s="31" t="s">
        <v>7718</v>
      </c>
      <c r="N1900" s="31" t="s">
        <v>267</v>
      </c>
      <c r="O1900" s="34"/>
      <c r="P1900" s="31">
        <v>1.0</v>
      </c>
      <c r="Q1900" s="31" t="s">
        <v>307</v>
      </c>
      <c r="R1900" s="35">
        <v>36850.0</v>
      </c>
      <c r="S1900" s="31" t="s">
        <v>320</v>
      </c>
      <c r="T1900" s="31" t="s">
        <v>1690</v>
      </c>
      <c r="U1900" s="31" t="s">
        <v>271</v>
      </c>
      <c r="V1900" s="34"/>
      <c r="W1900" s="34"/>
    </row>
    <row r="1901">
      <c r="A1901" s="30">
        <v>1.896</v>
      </c>
      <c r="B1901" s="31" t="s">
        <v>7719</v>
      </c>
      <c r="C1901" s="31" t="s">
        <v>7720</v>
      </c>
      <c r="D1901" s="31" t="s">
        <v>7721</v>
      </c>
      <c r="E1901" s="31" t="s">
        <v>2474</v>
      </c>
      <c r="F1901" s="35">
        <v>42669.0</v>
      </c>
      <c r="G1901" s="35">
        <v>42730.0</v>
      </c>
      <c r="H1901" s="31" t="s">
        <v>262</v>
      </c>
      <c r="I1901" s="31" t="s">
        <v>2474</v>
      </c>
      <c r="J1901" s="34"/>
      <c r="K1901" s="31" t="s">
        <v>2475</v>
      </c>
      <c r="L1901" s="31" t="s">
        <v>7722</v>
      </c>
      <c r="M1901" s="31" t="s">
        <v>7723</v>
      </c>
      <c r="N1901" s="31" t="s">
        <v>267</v>
      </c>
      <c r="O1901" s="34"/>
      <c r="P1901" s="34"/>
      <c r="Q1901" s="31" t="s">
        <v>581</v>
      </c>
      <c r="R1901" s="32">
        <v>34425.0</v>
      </c>
      <c r="S1901" s="31" t="s">
        <v>869</v>
      </c>
      <c r="T1901" s="31" t="s">
        <v>1731</v>
      </c>
      <c r="U1901" s="31" t="s">
        <v>271</v>
      </c>
      <c r="V1901" s="34"/>
      <c r="W1901" s="34"/>
    </row>
    <row r="1902">
      <c r="A1902" s="30">
        <v>1.897</v>
      </c>
      <c r="B1902" s="31" t="s">
        <v>7724</v>
      </c>
      <c r="C1902" s="31" t="s">
        <v>7725</v>
      </c>
      <c r="D1902" s="31" t="s">
        <v>574</v>
      </c>
      <c r="E1902" s="31" t="s">
        <v>3027</v>
      </c>
      <c r="F1902" s="35">
        <v>42293.0</v>
      </c>
      <c r="G1902" s="35">
        <v>42353.0</v>
      </c>
      <c r="H1902" s="31" t="s">
        <v>576</v>
      </c>
      <c r="I1902" s="31" t="s">
        <v>577</v>
      </c>
      <c r="J1902" s="31" t="s">
        <v>3027</v>
      </c>
      <c r="K1902" s="31" t="s">
        <v>3028</v>
      </c>
      <c r="L1902" s="31" t="s">
        <v>579</v>
      </c>
      <c r="M1902" s="31" t="s">
        <v>7726</v>
      </c>
      <c r="N1902" s="31" t="s">
        <v>267</v>
      </c>
      <c r="O1902" s="34"/>
      <c r="P1902" s="31">
        <v>5.0</v>
      </c>
      <c r="Q1902" s="31" t="s">
        <v>307</v>
      </c>
      <c r="R1902" s="32">
        <v>33760.0</v>
      </c>
      <c r="S1902" s="31" t="s">
        <v>531</v>
      </c>
      <c r="T1902" s="31" t="s">
        <v>1777</v>
      </c>
      <c r="U1902" s="31" t="s">
        <v>583</v>
      </c>
      <c r="V1902" s="34"/>
      <c r="W1902" s="34"/>
    </row>
    <row r="1903">
      <c r="A1903" s="30">
        <v>1.898</v>
      </c>
      <c r="B1903" s="31" t="s">
        <v>7727</v>
      </c>
      <c r="C1903" s="31" t="s">
        <v>7728</v>
      </c>
      <c r="D1903" s="31" t="s">
        <v>574</v>
      </c>
      <c r="E1903" s="31" t="s">
        <v>3027</v>
      </c>
      <c r="F1903" s="32">
        <v>39553.0</v>
      </c>
      <c r="G1903" s="32">
        <v>39630.0</v>
      </c>
      <c r="H1903" s="31" t="s">
        <v>576</v>
      </c>
      <c r="I1903" s="31" t="s">
        <v>577</v>
      </c>
      <c r="J1903" s="31" t="s">
        <v>3027</v>
      </c>
      <c r="K1903" s="31" t="s">
        <v>3028</v>
      </c>
      <c r="L1903" s="31" t="s">
        <v>579</v>
      </c>
      <c r="M1903" s="31" t="s">
        <v>7729</v>
      </c>
      <c r="N1903" s="31" t="s">
        <v>467</v>
      </c>
      <c r="O1903" s="34"/>
      <c r="P1903" s="31">
        <v>7.0</v>
      </c>
      <c r="Q1903" s="31" t="s">
        <v>307</v>
      </c>
      <c r="R1903" s="32">
        <v>29867.0</v>
      </c>
      <c r="S1903" s="31" t="s">
        <v>531</v>
      </c>
      <c r="T1903" s="31" t="s">
        <v>2845</v>
      </c>
      <c r="U1903" s="31" t="s">
        <v>583</v>
      </c>
      <c r="V1903" s="34"/>
      <c r="W1903" s="34"/>
    </row>
    <row r="1904">
      <c r="A1904" s="30">
        <v>1.899</v>
      </c>
      <c r="B1904" s="31" t="s">
        <v>7730</v>
      </c>
      <c r="C1904" s="31" t="s">
        <v>7731</v>
      </c>
      <c r="D1904" s="31" t="s">
        <v>574</v>
      </c>
      <c r="E1904" s="31" t="s">
        <v>3027</v>
      </c>
      <c r="F1904" s="32">
        <v>40564.0</v>
      </c>
      <c r="G1904" s="32">
        <v>40623.0</v>
      </c>
      <c r="H1904" s="31" t="s">
        <v>576</v>
      </c>
      <c r="I1904" s="31" t="s">
        <v>577</v>
      </c>
      <c r="J1904" s="31" t="s">
        <v>3027</v>
      </c>
      <c r="K1904" s="31" t="s">
        <v>3028</v>
      </c>
      <c r="L1904" s="31" t="s">
        <v>579</v>
      </c>
      <c r="M1904" s="31" t="s">
        <v>7732</v>
      </c>
      <c r="N1904" s="31" t="s">
        <v>267</v>
      </c>
      <c r="O1904" s="34"/>
      <c r="P1904" s="31">
        <v>5.0</v>
      </c>
      <c r="Q1904" s="31" t="s">
        <v>307</v>
      </c>
      <c r="R1904" s="32">
        <v>31984.0</v>
      </c>
      <c r="S1904" s="31" t="s">
        <v>531</v>
      </c>
      <c r="T1904" s="31" t="s">
        <v>7733</v>
      </c>
      <c r="U1904" s="31" t="s">
        <v>583</v>
      </c>
      <c r="V1904" s="34"/>
      <c r="W1904" s="34"/>
    </row>
    <row r="1905">
      <c r="A1905" s="30">
        <v>1.9</v>
      </c>
      <c r="B1905" s="31" t="s">
        <v>7734</v>
      </c>
      <c r="C1905" s="31" t="s">
        <v>7735</v>
      </c>
      <c r="D1905" s="31" t="s">
        <v>574</v>
      </c>
      <c r="E1905" s="31" t="s">
        <v>3313</v>
      </c>
      <c r="F1905" s="32">
        <v>44712.0</v>
      </c>
      <c r="G1905" s="32">
        <v>44773.0</v>
      </c>
      <c r="H1905" s="31" t="s">
        <v>576</v>
      </c>
      <c r="I1905" s="31" t="s">
        <v>577</v>
      </c>
      <c r="J1905" s="31" t="s">
        <v>3313</v>
      </c>
      <c r="K1905" s="31" t="s">
        <v>3314</v>
      </c>
      <c r="L1905" s="31" t="s">
        <v>579</v>
      </c>
      <c r="M1905" s="31" t="s">
        <v>7736</v>
      </c>
      <c r="N1905" s="31" t="s">
        <v>267</v>
      </c>
      <c r="O1905" s="34"/>
      <c r="P1905" s="31" t="s">
        <v>3031</v>
      </c>
      <c r="Q1905" s="31" t="s">
        <v>307</v>
      </c>
      <c r="R1905" s="32">
        <v>36944.0</v>
      </c>
      <c r="S1905" s="31" t="s">
        <v>2057</v>
      </c>
      <c r="T1905" s="31" t="s">
        <v>7737</v>
      </c>
      <c r="U1905" s="31" t="s">
        <v>583</v>
      </c>
      <c r="V1905" s="34"/>
      <c r="W1905" s="34"/>
    </row>
    <row r="1906">
      <c r="A1906" s="30">
        <v>1.901</v>
      </c>
      <c r="B1906" s="31" t="s">
        <v>7738</v>
      </c>
      <c r="C1906" s="31" t="s">
        <v>7739</v>
      </c>
      <c r="D1906" s="31" t="s">
        <v>574</v>
      </c>
      <c r="E1906" s="31" t="s">
        <v>3325</v>
      </c>
      <c r="F1906" s="32">
        <v>44363.0</v>
      </c>
      <c r="G1906" s="32">
        <v>44424.0</v>
      </c>
      <c r="H1906" s="31" t="s">
        <v>576</v>
      </c>
      <c r="I1906" s="31" t="s">
        <v>577</v>
      </c>
      <c r="J1906" s="31" t="s">
        <v>3325</v>
      </c>
      <c r="K1906" s="31" t="s">
        <v>3326</v>
      </c>
      <c r="L1906" s="31" t="s">
        <v>579</v>
      </c>
      <c r="M1906" s="31" t="s">
        <v>7740</v>
      </c>
      <c r="N1906" s="31" t="s">
        <v>267</v>
      </c>
      <c r="O1906" s="34"/>
      <c r="P1906" s="31" t="s">
        <v>3031</v>
      </c>
      <c r="Q1906" s="31" t="s">
        <v>307</v>
      </c>
      <c r="R1906" s="35">
        <v>36520.0</v>
      </c>
      <c r="S1906" s="31" t="s">
        <v>320</v>
      </c>
      <c r="T1906" s="31" t="s">
        <v>1805</v>
      </c>
      <c r="U1906" s="31" t="s">
        <v>583</v>
      </c>
      <c r="V1906" s="34"/>
      <c r="W1906" s="34"/>
    </row>
    <row r="1907">
      <c r="A1907" s="30">
        <v>1.902</v>
      </c>
      <c r="B1907" s="31" t="s">
        <v>7741</v>
      </c>
      <c r="C1907" s="31" t="s">
        <v>7742</v>
      </c>
      <c r="D1907" s="31" t="s">
        <v>260</v>
      </c>
      <c r="E1907" s="31" t="s">
        <v>324</v>
      </c>
      <c r="F1907" s="32">
        <v>43195.0</v>
      </c>
      <c r="G1907" s="32">
        <v>43257.0</v>
      </c>
      <c r="H1907" s="31" t="s">
        <v>2732</v>
      </c>
      <c r="I1907" s="31" t="s">
        <v>326</v>
      </c>
      <c r="J1907" s="31" t="s">
        <v>324</v>
      </c>
      <c r="K1907" s="31" t="s">
        <v>2733</v>
      </c>
      <c r="L1907" s="31" t="s">
        <v>328</v>
      </c>
      <c r="M1907" s="31" t="s">
        <v>7743</v>
      </c>
      <c r="N1907" s="31" t="s">
        <v>267</v>
      </c>
      <c r="O1907" s="34"/>
      <c r="P1907" s="31">
        <v>5.0</v>
      </c>
      <c r="Q1907" s="31" t="s">
        <v>307</v>
      </c>
      <c r="R1907" s="32">
        <v>34703.0</v>
      </c>
      <c r="S1907" s="31" t="s">
        <v>320</v>
      </c>
      <c r="T1907" s="31" t="s">
        <v>2740</v>
      </c>
      <c r="U1907" s="31" t="s">
        <v>2735</v>
      </c>
      <c r="V1907" s="34"/>
      <c r="W1907" s="34"/>
    </row>
    <row r="1908">
      <c r="A1908" s="30">
        <v>1.903</v>
      </c>
      <c r="B1908" s="31" t="s">
        <v>7744</v>
      </c>
      <c r="C1908" s="31" t="s">
        <v>7745</v>
      </c>
      <c r="D1908" s="31" t="s">
        <v>1219</v>
      </c>
      <c r="E1908" s="31" t="s">
        <v>1220</v>
      </c>
      <c r="F1908" s="32">
        <v>45030.0</v>
      </c>
      <c r="G1908" s="32">
        <v>45091.0</v>
      </c>
      <c r="H1908" s="31" t="s">
        <v>262</v>
      </c>
      <c r="I1908" s="31" t="s">
        <v>315</v>
      </c>
      <c r="J1908" s="31" t="s">
        <v>86</v>
      </c>
      <c r="K1908" s="31" t="s">
        <v>2359</v>
      </c>
      <c r="L1908" s="31" t="s">
        <v>1223</v>
      </c>
      <c r="M1908" s="31" t="s">
        <v>7746</v>
      </c>
      <c r="N1908" s="31" t="s">
        <v>467</v>
      </c>
      <c r="O1908" s="34"/>
      <c r="P1908" s="31">
        <v>1.0</v>
      </c>
      <c r="Q1908" s="31" t="s">
        <v>307</v>
      </c>
      <c r="R1908" s="32">
        <v>36710.0</v>
      </c>
      <c r="S1908" s="31" t="s">
        <v>560</v>
      </c>
      <c r="T1908" s="31" t="s">
        <v>7747</v>
      </c>
      <c r="U1908" s="31" t="s">
        <v>271</v>
      </c>
      <c r="V1908" s="31" t="s">
        <v>1220</v>
      </c>
      <c r="W1908" s="34"/>
    </row>
    <row r="1909">
      <c r="A1909" s="30">
        <v>1.904</v>
      </c>
      <c r="B1909" s="31" t="s">
        <v>7748</v>
      </c>
      <c r="C1909" s="31" t="s">
        <v>7749</v>
      </c>
      <c r="D1909" s="31" t="s">
        <v>574</v>
      </c>
      <c r="E1909" s="31" t="s">
        <v>4652</v>
      </c>
      <c r="F1909" s="32">
        <v>45174.0</v>
      </c>
      <c r="G1909" s="32">
        <v>45234.0</v>
      </c>
      <c r="H1909" s="31" t="s">
        <v>576</v>
      </c>
      <c r="I1909" s="31" t="s">
        <v>2817</v>
      </c>
      <c r="J1909" s="31" t="s">
        <v>4652</v>
      </c>
      <c r="K1909" s="31" t="s">
        <v>4653</v>
      </c>
      <c r="L1909" s="31" t="s">
        <v>579</v>
      </c>
      <c r="M1909" s="31" t="s">
        <v>7750</v>
      </c>
      <c r="N1909" s="31" t="s">
        <v>267</v>
      </c>
      <c r="O1909" s="34"/>
      <c r="P1909" s="31" t="s">
        <v>3031</v>
      </c>
      <c r="Q1909" s="31" t="s">
        <v>307</v>
      </c>
      <c r="R1909" s="35">
        <v>37254.0</v>
      </c>
      <c r="S1909" s="31" t="s">
        <v>531</v>
      </c>
      <c r="T1909" s="31" t="s">
        <v>7751</v>
      </c>
      <c r="U1909" s="31" t="s">
        <v>2821</v>
      </c>
      <c r="V1909" s="34"/>
      <c r="W1909" s="34"/>
    </row>
    <row r="1910">
      <c r="A1910" s="30">
        <v>1.905</v>
      </c>
      <c r="B1910" s="31" t="s">
        <v>7752</v>
      </c>
      <c r="C1910" s="31" t="s">
        <v>7753</v>
      </c>
      <c r="D1910" s="31" t="s">
        <v>574</v>
      </c>
      <c r="E1910" s="31" t="s">
        <v>4301</v>
      </c>
      <c r="F1910" s="32">
        <v>44826.0</v>
      </c>
      <c r="G1910" s="35">
        <v>44887.0</v>
      </c>
      <c r="H1910" s="31" t="s">
        <v>576</v>
      </c>
      <c r="I1910" s="31" t="s">
        <v>2817</v>
      </c>
      <c r="J1910" s="31" t="s">
        <v>4301</v>
      </c>
      <c r="K1910" s="31" t="s">
        <v>4302</v>
      </c>
      <c r="L1910" s="31" t="s">
        <v>579</v>
      </c>
      <c r="M1910" s="31" t="s">
        <v>7754</v>
      </c>
      <c r="N1910" s="31" t="s">
        <v>267</v>
      </c>
      <c r="O1910" s="34"/>
      <c r="P1910" s="31" t="s">
        <v>3031</v>
      </c>
      <c r="Q1910" s="31" t="s">
        <v>307</v>
      </c>
      <c r="R1910" s="32">
        <v>36610.0</v>
      </c>
      <c r="S1910" s="31" t="s">
        <v>531</v>
      </c>
      <c r="T1910" s="31" t="s">
        <v>1424</v>
      </c>
      <c r="U1910" s="31" t="s">
        <v>2821</v>
      </c>
      <c r="V1910" s="34"/>
      <c r="W1910" s="34"/>
    </row>
    <row r="1911">
      <c r="A1911" s="30">
        <v>1.906</v>
      </c>
      <c r="B1911" s="31" t="s">
        <v>7755</v>
      </c>
      <c r="C1911" s="31" t="s">
        <v>7756</v>
      </c>
      <c r="D1911" s="31" t="s">
        <v>574</v>
      </c>
      <c r="E1911" s="31" t="s">
        <v>4719</v>
      </c>
      <c r="F1911" s="32">
        <v>44826.0</v>
      </c>
      <c r="G1911" s="35">
        <v>44887.0</v>
      </c>
      <c r="H1911" s="31" t="s">
        <v>576</v>
      </c>
      <c r="I1911" s="31" t="s">
        <v>3431</v>
      </c>
      <c r="J1911" s="31" t="s">
        <v>4719</v>
      </c>
      <c r="K1911" s="31" t="s">
        <v>4720</v>
      </c>
      <c r="L1911" s="31" t="s">
        <v>579</v>
      </c>
      <c r="M1911" s="31" t="s">
        <v>7757</v>
      </c>
      <c r="N1911" s="31" t="s">
        <v>267</v>
      </c>
      <c r="O1911" s="34"/>
      <c r="P1911" s="31">
        <v>1.0</v>
      </c>
      <c r="Q1911" s="31" t="s">
        <v>307</v>
      </c>
      <c r="R1911" s="32">
        <v>36734.0</v>
      </c>
      <c r="S1911" s="31" t="s">
        <v>531</v>
      </c>
      <c r="T1911" s="31" t="s">
        <v>5984</v>
      </c>
      <c r="U1911" s="31" t="s">
        <v>633</v>
      </c>
      <c r="V1911" s="34"/>
      <c r="W1911" s="34"/>
    </row>
    <row r="1912">
      <c r="A1912" s="30">
        <v>1.907</v>
      </c>
      <c r="B1912" s="31" t="s">
        <v>7758</v>
      </c>
      <c r="C1912" s="31" t="s">
        <v>7759</v>
      </c>
      <c r="D1912" s="31" t="s">
        <v>574</v>
      </c>
      <c r="E1912" s="31" t="s">
        <v>7470</v>
      </c>
      <c r="F1912" s="32">
        <v>44819.0</v>
      </c>
      <c r="G1912" s="35">
        <v>44880.0</v>
      </c>
      <c r="H1912" s="31" t="s">
        <v>576</v>
      </c>
      <c r="I1912" s="31" t="s">
        <v>2817</v>
      </c>
      <c r="J1912" s="31" t="s">
        <v>7470</v>
      </c>
      <c r="K1912" s="31" t="s">
        <v>7471</v>
      </c>
      <c r="L1912" s="31" t="s">
        <v>579</v>
      </c>
      <c r="M1912" s="31" t="s">
        <v>7760</v>
      </c>
      <c r="N1912" s="31" t="s">
        <v>267</v>
      </c>
      <c r="O1912" s="34"/>
      <c r="P1912" s="31">
        <v>2.0</v>
      </c>
      <c r="Q1912" s="31" t="s">
        <v>307</v>
      </c>
      <c r="R1912" s="35">
        <v>36846.0</v>
      </c>
      <c r="S1912" s="31" t="s">
        <v>700</v>
      </c>
      <c r="T1912" s="31" t="s">
        <v>7761</v>
      </c>
      <c r="U1912" s="31" t="s">
        <v>2821</v>
      </c>
      <c r="V1912" s="34"/>
      <c r="W1912" s="34"/>
    </row>
    <row r="1913">
      <c r="A1913" s="30">
        <v>1.908</v>
      </c>
      <c r="B1913" s="31" t="s">
        <v>7762</v>
      </c>
      <c r="C1913" s="31" t="s">
        <v>7763</v>
      </c>
      <c r="D1913" s="31" t="s">
        <v>574</v>
      </c>
      <c r="E1913" s="31" t="s">
        <v>2816</v>
      </c>
      <c r="F1913" s="32">
        <v>44819.0</v>
      </c>
      <c r="G1913" s="35">
        <v>44880.0</v>
      </c>
      <c r="H1913" s="31" t="s">
        <v>576</v>
      </c>
      <c r="I1913" s="31" t="s">
        <v>2817</v>
      </c>
      <c r="J1913" s="31" t="s">
        <v>2816</v>
      </c>
      <c r="K1913" s="31" t="s">
        <v>2818</v>
      </c>
      <c r="L1913" s="31" t="s">
        <v>579</v>
      </c>
      <c r="M1913" s="31" t="s">
        <v>7764</v>
      </c>
      <c r="N1913" s="31" t="s">
        <v>267</v>
      </c>
      <c r="O1913" s="34"/>
      <c r="P1913" s="31">
        <v>2.0</v>
      </c>
      <c r="Q1913" s="31" t="s">
        <v>307</v>
      </c>
      <c r="R1913" s="32">
        <v>36867.0</v>
      </c>
      <c r="S1913" s="31" t="s">
        <v>458</v>
      </c>
      <c r="T1913" s="31" t="s">
        <v>686</v>
      </c>
      <c r="U1913" s="31" t="s">
        <v>2821</v>
      </c>
      <c r="V1913" s="34"/>
      <c r="W1913" s="34"/>
    </row>
    <row r="1914">
      <c r="A1914" s="30">
        <v>1.909</v>
      </c>
      <c r="B1914" s="31" t="s">
        <v>7765</v>
      </c>
      <c r="C1914" s="31" t="s">
        <v>7766</v>
      </c>
      <c r="D1914" s="31" t="s">
        <v>574</v>
      </c>
      <c r="E1914" s="31" t="s">
        <v>4652</v>
      </c>
      <c r="F1914" s="32">
        <v>44819.0</v>
      </c>
      <c r="G1914" s="35">
        <v>44880.0</v>
      </c>
      <c r="H1914" s="31" t="s">
        <v>576</v>
      </c>
      <c r="I1914" s="31" t="s">
        <v>2817</v>
      </c>
      <c r="J1914" s="31" t="s">
        <v>4652</v>
      </c>
      <c r="K1914" s="31" t="s">
        <v>4653</v>
      </c>
      <c r="L1914" s="31" t="s">
        <v>579</v>
      </c>
      <c r="M1914" s="31" t="s">
        <v>7767</v>
      </c>
      <c r="N1914" s="31" t="s">
        <v>267</v>
      </c>
      <c r="O1914" s="34"/>
      <c r="P1914" s="31">
        <v>2.0</v>
      </c>
      <c r="Q1914" s="31" t="s">
        <v>307</v>
      </c>
      <c r="R1914" s="32">
        <v>36701.0</v>
      </c>
      <c r="S1914" s="31" t="s">
        <v>7768</v>
      </c>
      <c r="T1914" s="31" t="s">
        <v>7769</v>
      </c>
      <c r="U1914" s="31" t="s">
        <v>2821</v>
      </c>
      <c r="V1914" s="34"/>
      <c r="W1914" s="34"/>
    </row>
    <row r="1915">
      <c r="A1915" s="30">
        <v>1.91</v>
      </c>
      <c r="B1915" s="31" t="s">
        <v>7770</v>
      </c>
      <c r="C1915" s="31" t="s">
        <v>7771</v>
      </c>
      <c r="D1915" s="31" t="s">
        <v>574</v>
      </c>
      <c r="E1915" s="31" t="s">
        <v>3027</v>
      </c>
      <c r="F1915" s="32">
        <v>44811.0</v>
      </c>
      <c r="G1915" s="32">
        <v>44872.0</v>
      </c>
      <c r="H1915" s="31" t="s">
        <v>576</v>
      </c>
      <c r="I1915" s="31" t="s">
        <v>577</v>
      </c>
      <c r="J1915" s="31" t="s">
        <v>3027</v>
      </c>
      <c r="K1915" s="31" t="s">
        <v>3028</v>
      </c>
      <c r="L1915" s="31" t="s">
        <v>579</v>
      </c>
      <c r="M1915" s="31" t="s">
        <v>7772</v>
      </c>
      <c r="N1915" s="31" t="s">
        <v>267</v>
      </c>
      <c r="O1915" s="34"/>
      <c r="P1915" s="31">
        <v>1.0</v>
      </c>
      <c r="Q1915" s="31" t="s">
        <v>307</v>
      </c>
      <c r="R1915" s="32">
        <v>34473.0</v>
      </c>
      <c r="S1915" s="31" t="s">
        <v>571</v>
      </c>
      <c r="T1915" s="31" t="s">
        <v>7773</v>
      </c>
      <c r="U1915" s="31" t="s">
        <v>583</v>
      </c>
      <c r="V1915" s="34"/>
      <c r="W1915" s="34"/>
    </row>
    <row r="1916">
      <c r="A1916" s="30">
        <v>1.911</v>
      </c>
      <c r="B1916" s="31" t="s">
        <v>7774</v>
      </c>
      <c r="C1916" s="31" t="s">
        <v>7775</v>
      </c>
      <c r="D1916" s="31" t="s">
        <v>574</v>
      </c>
      <c r="E1916" s="31" t="s">
        <v>4719</v>
      </c>
      <c r="F1916" s="35">
        <v>44883.0</v>
      </c>
      <c r="G1916" s="32">
        <v>44944.0</v>
      </c>
      <c r="H1916" s="31" t="s">
        <v>576</v>
      </c>
      <c r="I1916" s="31" t="s">
        <v>3431</v>
      </c>
      <c r="J1916" s="31" t="s">
        <v>4719</v>
      </c>
      <c r="K1916" s="31" t="s">
        <v>4720</v>
      </c>
      <c r="L1916" s="31" t="s">
        <v>579</v>
      </c>
      <c r="M1916" s="31" t="s">
        <v>7776</v>
      </c>
      <c r="N1916" s="31" t="s">
        <v>467</v>
      </c>
      <c r="O1916" s="34"/>
      <c r="P1916" s="31">
        <v>1.0</v>
      </c>
      <c r="Q1916" s="31" t="s">
        <v>307</v>
      </c>
      <c r="R1916" s="32">
        <v>35530.0</v>
      </c>
      <c r="S1916" s="31" t="s">
        <v>531</v>
      </c>
      <c r="T1916" s="31" t="s">
        <v>7777</v>
      </c>
      <c r="U1916" s="31" t="s">
        <v>633</v>
      </c>
      <c r="V1916" s="34"/>
      <c r="W1916" s="34"/>
    </row>
    <row r="1917">
      <c r="A1917" s="30">
        <v>1.912</v>
      </c>
      <c r="B1917" s="31" t="s">
        <v>7778</v>
      </c>
      <c r="C1917" s="31" t="s">
        <v>7779</v>
      </c>
      <c r="D1917" s="31" t="s">
        <v>574</v>
      </c>
      <c r="E1917" s="31" t="s">
        <v>3430</v>
      </c>
      <c r="F1917" s="32">
        <v>44798.0</v>
      </c>
      <c r="G1917" s="35">
        <v>44859.0</v>
      </c>
      <c r="H1917" s="31" t="s">
        <v>576</v>
      </c>
      <c r="I1917" s="31" t="s">
        <v>3431</v>
      </c>
      <c r="J1917" s="31" t="s">
        <v>3430</v>
      </c>
      <c r="K1917" s="31" t="s">
        <v>3432</v>
      </c>
      <c r="L1917" s="31" t="s">
        <v>579</v>
      </c>
      <c r="M1917" s="31" t="s">
        <v>7780</v>
      </c>
      <c r="N1917" s="31" t="s">
        <v>467</v>
      </c>
      <c r="O1917" s="34"/>
      <c r="P1917" s="31">
        <v>2.0</v>
      </c>
      <c r="Q1917" s="31" t="s">
        <v>307</v>
      </c>
      <c r="R1917" s="32">
        <v>36185.0</v>
      </c>
      <c r="S1917" s="31" t="s">
        <v>7781</v>
      </c>
      <c r="T1917" s="31" t="s">
        <v>7782</v>
      </c>
      <c r="U1917" s="31" t="s">
        <v>633</v>
      </c>
      <c r="V1917" s="34"/>
      <c r="W1917" s="34"/>
    </row>
    <row r="1918">
      <c r="A1918" s="30">
        <v>1.913</v>
      </c>
      <c r="B1918" s="31" t="s">
        <v>7783</v>
      </c>
      <c r="C1918" s="31" t="s">
        <v>7784</v>
      </c>
      <c r="D1918" s="31" t="s">
        <v>574</v>
      </c>
      <c r="E1918" s="31" t="s">
        <v>575</v>
      </c>
      <c r="F1918" s="32">
        <v>44792.0</v>
      </c>
      <c r="G1918" s="35">
        <v>44853.0</v>
      </c>
      <c r="H1918" s="31" t="s">
        <v>576</v>
      </c>
      <c r="I1918" s="31" t="s">
        <v>577</v>
      </c>
      <c r="J1918" s="31" t="s">
        <v>575</v>
      </c>
      <c r="K1918" s="31" t="s">
        <v>578</v>
      </c>
      <c r="L1918" s="31" t="s">
        <v>579</v>
      </c>
      <c r="M1918" s="31" t="s">
        <v>7785</v>
      </c>
      <c r="N1918" s="31" t="s">
        <v>267</v>
      </c>
      <c r="O1918" s="34"/>
      <c r="P1918" s="31">
        <v>2.0</v>
      </c>
      <c r="Q1918" s="31" t="s">
        <v>307</v>
      </c>
      <c r="R1918" s="32">
        <v>36375.0</v>
      </c>
      <c r="S1918" s="31" t="s">
        <v>3789</v>
      </c>
      <c r="T1918" s="31" t="s">
        <v>7786</v>
      </c>
      <c r="U1918" s="31" t="s">
        <v>583</v>
      </c>
      <c r="V1918" s="34"/>
      <c r="W1918" s="34"/>
    </row>
    <row r="1919">
      <c r="A1919" s="30">
        <v>1.914</v>
      </c>
      <c r="B1919" s="31" t="s">
        <v>7787</v>
      </c>
      <c r="C1919" s="31" t="s">
        <v>7788</v>
      </c>
      <c r="D1919" s="31" t="s">
        <v>574</v>
      </c>
      <c r="E1919" s="31" t="s">
        <v>3313</v>
      </c>
      <c r="F1919" s="32">
        <v>44792.0</v>
      </c>
      <c r="G1919" s="35">
        <v>44853.0</v>
      </c>
      <c r="H1919" s="31" t="s">
        <v>576</v>
      </c>
      <c r="I1919" s="31" t="s">
        <v>577</v>
      </c>
      <c r="J1919" s="31" t="s">
        <v>3313</v>
      </c>
      <c r="K1919" s="31" t="s">
        <v>3314</v>
      </c>
      <c r="L1919" s="31" t="s">
        <v>579</v>
      </c>
      <c r="M1919" s="31" t="s">
        <v>7789</v>
      </c>
      <c r="N1919" s="31" t="s">
        <v>267</v>
      </c>
      <c r="O1919" s="34"/>
      <c r="P1919" s="31">
        <v>2.0</v>
      </c>
      <c r="Q1919" s="31" t="s">
        <v>307</v>
      </c>
      <c r="R1919" s="32">
        <v>36733.0</v>
      </c>
      <c r="S1919" s="31" t="s">
        <v>531</v>
      </c>
      <c r="T1919" s="31" t="s">
        <v>7790</v>
      </c>
      <c r="U1919" s="31" t="s">
        <v>583</v>
      </c>
      <c r="V1919" s="34"/>
      <c r="W1919" s="34"/>
    </row>
    <row r="1920">
      <c r="A1920" s="30">
        <v>1.915</v>
      </c>
      <c r="B1920" s="31" t="s">
        <v>7791</v>
      </c>
      <c r="C1920" s="31" t="s">
        <v>447</v>
      </c>
      <c r="D1920" s="31" t="s">
        <v>574</v>
      </c>
      <c r="E1920" s="31" t="s">
        <v>3027</v>
      </c>
      <c r="F1920" s="32">
        <v>44792.0</v>
      </c>
      <c r="G1920" s="35">
        <v>44853.0</v>
      </c>
      <c r="H1920" s="31" t="s">
        <v>576</v>
      </c>
      <c r="I1920" s="31" t="s">
        <v>577</v>
      </c>
      <c r="J1920" s="31" t="s">
        <v>3027</v>
      </c>
      <c r="K1920" s="31" t="s">
        <v>3028</v>
      </c>
      <c r="L1920" s="31" t="s">
        <v>579</v>
      </c>
      <c r="M1920" s="31" t="s">
        <v>7792</v>
      </c>
      <c r="N1920" s="31" t="s">
        <v>267</v>
      </c>
      <c r="O1920" s="34"/>
      <c r="P1920" s="31">
        <v>1.0</v>
      </c>
      <c r="Q1920" s="31" t="s">
        <v>307</v>
      </c>
      <c r="R1920" s="32">
        <v>36383.0</v>
      </c>
      <c r="S1920" s="31" t="s">
        <v>653</v>
      </c>
      <c r="T1920" s="31" t="s">
        <v>7793</v>
      </c>
      <c r="U1920" s="31" t="s">
        <v>583</v>
      </c>
      <c r="V1920" s="34"/>
      <c r="W1920" s="34"/>
    </row>
    <row r="1921">
      <c r="A1921" s="30">
        <v>1.916</v>
      </c>
      <c r="B1921" s="31" t="s">
        <v>7794</v>
      </c>
      <c r="C1921" s="31" t="s">
        <v>1147</v>
      </c>
      <c r="D1921" s="31" t="s">
        <v>574</v>
      </c>
      <c r="E1921" s="31" t="s">
        <v>4719</v>
      </c>
      <c r="F1921" s="32">
        <v>44784.0</v>
      </c>
      <c r="G1921" s="35">
        <v>44845.0</v>
      </c>
      <c r="H1921" s="31" t="s">
        <v>576</v>
      </c>
      <c r="I1921" s="31" t="s">
        <v>3431</v>
      </c>
      <c r="J1921" s="31" t="s">
        <v>4719</v>
      </c>
      <c r="K1921" s="31" t="s">
        <v>4720</v>
      </c>
      <c r="L1921" s="31" t="s">
        <v>579</v>
      </c>
      <c r="M1921" s="31" t="s">
        <v>7795</v>
      </c>
      <c r="N1921" s="31" t="s">
        <v>267</v>
      </c>
      <c r="O1921" s="34"/>
      <c r="P1921" s="31">
        <v>2.0</v>
      </c>
      <c r="Q1921" s="31" t="s">
        <v>307</v>
      </c>
      <c r="R1921" s="32">
        <v>36408.0</v>
      </c>
      <c r="S1921" s="31" t="s">
        <v>3151</v>
      </c>
      <c r="T1921" s="31" t="s">
        <v>7796</v>
      </c>
      <c r="U1921" s="31" t="s">
        <v>633</v>
      </c>
      <c r="V1921" s="34"/>
      <c r="W1921" s="34"/>
    </row>
    <row r="1922">
      <c r="A1922" s="30">
        <v>1.917</v>
      </c>
      <c r="B1922" s="31" t="s">
        <v>7797</v>
      </c>
      <c r="C1922" s="31" t="s">
        <v>7798</v>
      </c>
      <c r="D1922" s="31" t="s">
        <v>574</v>
      </c>
      <c r="E1922" s="31" t="s">
        <v>2848</v>
      </c>
      <c r="F1922" s="32">
        <v>44784.0</v>
      </c>
      <c r="G1922" s="35">
        <v>44845.0</v>
      </c>
      <c r="H1922" s="31" t="s">
        <v>576</v>
      </c>
      <c r="I1922" s="31" t="s">
        <v>2817</v>
      </c>
      <c r="J1922" s="31" t="s">
        <v>2848</v>
      </c>
      <c r="K1922" s="31" t="s">
        <v>2849</v>
      </c>
      <c r="L1922" s="31" t="s">
        <v>579</v>
      </c>
      <c r="M1922" s="31" t="s">
        <v>7799</v>
      </c>
      <c r="N1922" s="31" t="s">
        <v>267</v>
      </c>
      <c r="O1922" s="34"/>
      <c r="P1922" s="31">
        <v>3.0</v>
      </c>
      <c r="Q1922" s="31" t="s">
        <v>307</v>
      </c>
      <c r="R1922" s="32">
        <v>36254.0</v>
      </c>
      <c r="S1922" s="31" t="s">
        <v>531</v>
      </c>
      <c r="T1922" s="31" t="s">
        <v>341</v>
      </c>
      <c r="U1922" s="31" t="s">
        <v>2821</v>
      </c>
      <c r="V1922" s="34"/>
      <c r="W1922" s="34"/>
    </row>
    <row r="1923">
      <c r="A1923" s="30">
        <v>1.918</v>
      </c>
      <c r="B1923" s="31" t="s">
        <v>7800</v>
      </c>
      <c r="C1923" s="31" t="s">
        <v>7801</v>
      </c>
      <c r="D1923" s="31" t="s">
        <v>574</v>
      </c>
      <c r="E1923" s="31" t="s">
        <v>2816</v>
      </c>
      <c r="F1923" s="32">
        <v>44784.0</v>
      </c>
      <c r="G1923" s="35">
        <v>44845.0</v>
      </c>
      <c r="H1923" s="31" t="s">
        <v>576</v>
      </c>
      <c r="I1923" s="31" t="s">
        <v>2817</v>
      </c>
      <c r="J1923" s="31" t="s">
        <v>2816</v>
      </c>
      <c r="K1923" s="31" t="s">
        <v>2818</v>
      </c>
      <c r="L1923" s="31" t="s">
        <v>579</v>
      </c>
      <c r="M1923" s="31" t="s">
        <v>7802</v>
      </c>
      <c r="N1923" s="31" t="s">
        <v>267</v>
      </c>
      <c r="O1923" s="34"/>
      <c r="P1923" s="31">
        <v>2.0</v>
      </c>
      <c r="Q1923" s="31" t="s">
        <v>307</v>
      </c>
      <c r="R1923" s="35">
        <v>36810.0</v>
      </c>
      <c r="S1923" s="31" t="s">
        <v>4648</v>
      </c>
      <c r="T1923" s="31" t="s">
        <v>7803</v>
      </c>
      <c r="U1923" s="31" t="s">
        <v>2821</v>
      </c>
      <c r="V1923" s="34"/>
      <c r="W1923" s="34"/>
    </row>
    <row r="1924">
      <c r="A1924" s="30">
        <v>1.919</v>
      </c>
      <c r="B1924" s="31" t="s">
        <v>7804</v>
      </c>
      <c r="C1924" s="31" t="s">
        <v>7805</v>
      </c>
      <c r="D1924" s="31" t="s">
        <v>574</v>
      </c>
      <c r="E1924" s="31" t="s">
        <v>2816</v>
      </c>
      <c r="F1924" s="32">
        <v>44784.0</v>
      </c>
      <c r="G1924" s="35">
        <v>44845.0</v>
      </c>
      <c r="H1924" s="31" t="s">
        <v>576</v>
      </c>
      <c r="I1924" s="31" t="s">
        <v>2817</v>
      </c>
      <c r="J1924" s="31" t="s">
        <v>2816</v>
      </c>
      <c r="K1924" s="31" t="s">
        <v>2818</v>
      </c>
      <c r="L1924" s="31" t="s">
        <v>579</v>
      </c>
      <c r="M1924" s="31" t="s">
        <v>7806</v>
      </c>
      <c r="N1924" s="31" t="s">
        <v>267</v>
      </c>
      <c r="O1924" s="34"/>
      <c r="P1924" s="31">
        <v>3.0</v>
      </c>
      <c r="Q1924" s="31" t="s">
        <v>307</v>
      </c>
      <c r="R1924" s="35">
        <v>36822.0</v>
      </c>
      <c r="S1924" s="31" t="s">
        <v>4522</v>
      </c>
      <c r="T1924" s="31" t="s">
        <v>5455</v>
      </c>
      <c r="U1924" s="31" t="s">
        <v>2821</v>
      </c>
      <c r="V1924" s="34"/>
      <c r="W1924" s="34"/>
    </row>
    <row r="1925">
      <c r="A1925" s="30">
        <v>1.92</v>
      </c>
      <c r="B1925" s="31" t="s">
        <v>7807</v>
      </c>
      <c r="C1925" s="31" t="s">
        <v>7808</v>
      </c>
      <c r="D1925" s="31" t="s">
        <v>574</v>
      </c>
      <c r="E1925" s="31" t="s">
        <v>7470</v>
      </c>
      <c r="F1925" s="32">
        <v>44784.0</v>
      </c>
      <c r="G1925" s="35">
        <v>44845.0</v>
      </c>
      <c r="H1925" s="31" t="s">
        <v>576</v>
      </c>
      <c r="I1925" s="31" t="s">
        <v>2817</v>
      </c>
      <c r="J1925" s="31" t="s">
        <v>7470</v>
      </c>
      <c r="K1925" s="31" t="s">
        <v>7471</v>
      </c>
      <c r="L1925" s="31" t="s">
        <v>579</v>
      </c>
      <c r="M1925" s="31" t="s">
        <v>7809</v>
      </c>
      <c r="N1925" s="31" t="s">
        <v>467</v>
      </c>
      <c r="O1925" s="34"/>
      <c r="P1925" s="31">
        <v>2.0</v>
      </c>
      <c r="Q1925" s="31" t="s">
        <v>307</v>
      </c>
      <c r="R1925" s="32">
        <v>36642.0</v>
      </c>
      <c r="S1925" s="31" t="s">
        <v>7810</v>
      </c>
      <c r="T1925" s="31" t="s">
        <v>7811</v>
      </c>
      <c r="U1925" s="31" t="s">
        <v>2821</v>
      </c>
      <c r="V1925" s="34"/>
      <c r="W1925" s="34"/>
    </row>
    <row r="1926">
      <c r="A1926" s="30">
        <v>1.921</v>
      </c>
      <c r="B1926" s="31" t="s">
        <v>7812</v>
      </c>
      <c r="C1926" s="31" t="s">
        <v>7813</v>
      </c>
      <c r="D1926" s="31" t="s">
        <v>574</v>
      </c>
      <c r="E1926" s="31" t="s">
        <v>575</v>
      </c>
      <c r="F1926" s="32">
        <v>44781.0</v>
      </c>
      <c r="G1926" s="32">
        <v>44842.0</v>
      </c>
      <c r="H1926" s="31" t="s">
        <v>576</v>
      </c>
      <c r="I1926" s="31" t="s">
        <v>577</v>
      </c>
      <c r="J1926" s="31" t="s">
        <v>575</v>
      </c>
      <c r="K1926" s="31" t="s">
        <v>578</v>
      </c>
      <c r="L1926" s="31" t="s">
        <v>579</v>
      </c>
      <c r="M1926" s="31" t="s">
        <v>7814</v>
      </c>
      <c r="N1926" s="31" t="s">
        <v>267</v>
      </c>
      <c r="O1926" s="34"/>
      <c r="P1926" s="31">
        <v>1.0</v>
      </c>
      <c r="Q1926" s="31" t="s">
        <v>307</v>
      </c>
      <c r="R1926" s="32">
        <v>36569.0</v>
      </c>
      <c r="S1926" s="31" t="s">
        <v>531</v>
      </c>
      <c r="T1926" s="31" t="s">
        <v>7815</v>
      </c>
      <c r="U1926" s="31" t="s">
        <v>583</v>
      </c>
      <c r="V1926" s="34"/>
      <c r="W1926" s="34"/>
    </row>
    <row r="1927">
      <c r="A1927" s="30">
        <v>1.922</v>
      </c>
      <c r="B1927" s="31" t="s">
        <v>7816</v>
      </c>
      <c r="C1927" s="31" t="s">
        <v>3742</v>
      </c>
      <c r="D1927" s="31" t="s">
        <v>2932</v>
      </c>
      <c r="E1927" s="31" t="s">
        <v>3598</v>
      </c>
      <c r="F1927" s="32">
        <v>44776.0</v>
      </c>
      <c r="G1927" s="32">
        <v>44837.0</v>
      </c>
      <c r="H1927" s="31" t="s">
        <v>576</v>
      </c>
      <c r="I1927" s="31" t="s">
        <v>2934</v>
      </c>
      <c r="J1927" s="31" t="s">
        <v>3598</v>
      </c>
      <c r="K1927" s="31" t="s">
        <v>3599</v>
      </c>
      <c r="L1927" s="31" t="s">
        <v>2936</v>
      </c>
      <c r="M1927" s="31" t="s">
        <v>7817</v>
      </c>
      <c r="N1927" s="31" t="s">
        <v>267</v>
      </c>
      <c r="O1927" s="34"/>
      <c r="P1927" s="31">
        <v>1.0</v>
      </c>
      <c r="Q1927" s="31" t="s">
        <v>307</v>
      </c>
      <c r="R1927" s="32">
        <v>36211.0</v>
      </c>
      <c r="S1927" s="31" t="s">
        <v>3789</v>
      </c>
      <c r="T1927" s="31" t="s">
        <v>503</v>
      </c>
      <c r="U1927" s="31" t="s">
        <v>633</v>
      </c>
      <c r="V1927" s="34"/>
      <c r="W1927" s="34"/>
    </row>
    <row r="1928">
      <c r="A1928" s="30">
        <v>1.923</v>
      </c>
      <c r="B1928" s="31" t="s">
        <v>7818</v>
      </c>
      <c r="C1928" s="31" t="s">
        <v>7819</v>
      </c>
      <c r="D1928" s="31" t="s">
        <v>574</v>
      </c>
      <c r="E1928" s="31" t="s">
        <v>3027</v>
      </c>
      <c r="F1928" s="32">
        <v>44767.0</v>
      </c>
      <c r="G1928" s="32">
        <v>44829.0</v>
      </c>
      <c r="H1928" s="31" t="s">
        <v>576</v>
      </c>
      <c r="I1928" s="31" t="s">
        <v>577</v>
      </c>
      <c r="J1928" s="31" t="s">
        <v>3027</v>
      </c>
      <c r="K1928" s="31" t="s">
        <v>3028</v>
      </c>
      <c r="L1928" s="31" t="s">
        <v>579</v>
      </c>
      <c r="M1928" s="31" t="s">
        <v>7820</v>
      </c>
      <c r="N1928" s="31" t="s">
        <v>267</v>
      </c>
      <c r="O1928" s="34"/>
      <c r="P1928" s="31">
        <v>1.0</v>
      </c>
      <c r="Q1928" s="31" t="s">
        <v>307</v>
      </c>
      <c r="R1928" s="35">
        <v>36858.0</v>
      </c>
      <c r="S1928" s="31" t="s">
        <v>4522</v>
      </c>
      <c r="T1928" s="31" t="s">
        <v>5525</v>
      </c>
      <c r="U1928" s="31" t="s">
        <v>583</v>
      </c>
      <c r="V1928" s="34"/>
      <c r="W1928" s="34"/>
    </row>
    <row r="1929">
      <c r="A1929" s="30">
        <v>1.924</v>
      </c>
      <c r="B1929" s="31" t="s">
        <v>7821</v>
      </c>
      <c r="C1929" s="31" t="s">
        <v>7822</v>
      </c>
      <c r="D1929" s="31" t="s">
        <v>574</v>
      </c>
      <c r="E1929" s="31" t="s">
        <v>3027</v>
      </c>
      <c r="F1929" s="32">
        <v>44767.0</v>
      </c>
      <c r="G1929" s="32">
        <v>44829.0</v>
      </c>
      <c r="H1929" s="31" t="s">
        <v>576</v>
      </c>
      <c r="I1929" s="31" t="s">
        <v>577</v>
      </c>
      <c r="J1929" s="31" t="s">
        <v>3027</v>
      </c>
      <c r="K1929" s="31" t="s">
        <v>3028</v>
      </c>
      <c r="L1929" s="31" t="s">
        <v>579</v>
      </c>
      <c r="M1929" s="31" t="s">
        <v>7823</v>
      </c>
      <c r="N1929" s="31" t="s">
        <v>267</v>
      </c>
      <c r="O1929" s="34"/>
      <c r="P1929" s="31">
        <v>2.0</v>
      </c>
      <c r="Q1929" s="31" t="s">
        <v>307</v>
      </c>
      <c r="R1929" s="32">
        <v>36786.0</v>
      </c>
      <c r="S1929" s="31" t="s">
        <v>531</v>
      </c>
      <c r="T1929" s="31" t="s">
        <v>7824</v>
      </c>
      <c r="U1929" s="31" t="s">
        <v>583</v>
      </c>
      <c r="V1929" s="34"/>
      <c r="W1929" s="34"/>
    </row>
    <row r="1930">
      <c r="A1930" s="30">
        <v>1.925</v>
      </c>
      <c r="B1930" s="31" t="s">
        <v>7825</v>
      </c>
      <c r="C1930" s="31" t="s">
        <v>7826</v>
      </c>
      <c r="D1930" s="31" t="s">
        <v>574</v>
      </c>
      <c r="E1930" s="31" t="s">
        <v>3313</v>
      </c>
      <c r="F1930" s="32">
        <v>44767.0</v>
      </c>
      <c r="G1930" s="32">
        <v>44829.0</v>
      </c>
      <c r="H1930" s="31" t="s">
        <v>576</v>
      </c>
      <c r="I1930" s="31" t="s">
        <v>577</v>
      </c>
      <c r="J1930" s="31" t="s">
        <v>3313</v>
      </c>
      <c r="K1930" s="31" t="s">
        <v>3314</v>
      </c>
      <c r="L1930" s="31" t="s">
        <v>579</v>
      </c>
      <c r="M1930" s="31" t="s">
        <v>7827</v>
      </c>
      <c r="N1930" s="31" t="s">
        <v>267</v>
      </c>
      <c r="O1930" s="34"/>
      <c r="P1930" s="31">
        <v>1.0</v>
      </c>
      <c r="Q1930" s="31" t="s">
        <v>307</v>
      </c>
      <c r="R1930" s="32">
        <v>36549.0</v>
      </c>
      <c r="S1930" s="31" t="s">
        <v>531</v>
      </c>
      <c r="T1930" s="31" t="s">
        <v>7828</v>
      </c>
      <c r="U1930" s="31" t="s">
        <v>583</v>
      </c>
      <c r="V1930" s="34"/>
      <c r="W1930" s="34"/>
    </row>
    <row r="1931">
      <c r="A1931" s="30">
        <v>1.926</v>
      </c>
      <c r="B1931" s="31" t="s">
        <v>7829</v>
      </c>
      <c r="C1931" s="31" t="s">
        <v>7830</v>
      </c>
      <c r="D1931" s="31" t="s">
        <v>2932</v>
      </c>
      <c r="E1931" s="31" t="s">
        <v>3598</v>
      </c>
      <c r="F1931" s="32">
        <v>44756.0</v>
      </c>
      <c r="G1931" s="32">
        <v>44818.0</v>
      </c>
      <c r="H1931" s="31" t="s">
        <v>576</v>
      </c>
      <c r="I1931" s="31" t="s">
        <v>2934</v>
      </c>
      <c r="J1931" s="31" t="s">
        <v>3598</v>
      </c>
      <c r="K1931" s="31" t="s">
        <v>3599</v>
      </c>
      <c r="L1931" s="31" t="s">
        <v>2936</v>
      </c>
      <c r="M1931" s="31" t="s">
        <v>7831</v>
      </c>
      <c r="N1931" s="31" t="s">
        <v>267</v>
      </c>
      <c r="O1931" s="34"/>
      <c r="P1931" s="31">
        <v>1.0</v>
      </c>
      <c r="Q1931" s="31" t="s">
        <v>307</v>
      </c>
      <c r="R1931" s="35">
        <v>36855.0</v>
      </c>
      <c r="S1931" s="31" t="s">
        <v>893</v>
      </c>
      <c r="T1931" s="31" t="s">
        <v>383</v>
      </c>
      <c r="U1931" s="31" t="s">
        <v>633</v>
      </c>
      <c r="V1931" s="34"/>
      <c r="W1931" s="34"/>
    </row>
    <row r="1932">
      <c r="A1932" s="30">
        <v>1.927</v>
      </c>
      <c r="B1932" s="31" t="s">
        <v>7832</v>
      </c>
      <c r="C1932" s="31" t="s">
        <v>7833</v>
      </c>
      <c r="D1932" s="31" t="s">
        <v>574</v>
      </c>
      <c r="E1932" s="31" t="s">
        <v>7470</v>
      </c>
      <c r="F1932" s="32">
        <v>44742.0</v>
      </c>
      <c r="G1932" s="32">
        <v>44803.0</v>
      </c>
      <c r="H1932" s="31" t="s">
        <v>576</v>
      </c>
      <c r="I1932" s="31" t="s">
        <v>2817</v>
      </c>
      <c r="J1932" s="31" t="s">
        <v>7470</v>
      </c>
      <c r="K1932" s="31" t="s">
        <v>7471</v>
      </c>
      <c r="L1932" s="31" t="s">
        <v>579</v>
      </c>
      <c r="M1932" s="31" t="s">
        <v>7834</v>
      </c>
      <c r="N1932" s="31" t="s">
        <v>267</v>
      </c>
      <c r="O1932" s="34"/>
      <c r="P1932" s="31" t="s">
        <v>3031</v>
      </c>
      <c r="Q1932" s="31" t="s">
        <v>307</v>
      </c>
      <c r="R1932" s="32">
        <v>35871.0</v>
      </c>
      <c r="S1932" s="31" t="s">
        <v>531</v>
      </c>
      <c r="T1932" s="31" t="s">
        <v>7301</v>
      </c>
      <c r="U1932" s="31" t="s">
        <v>331</v>
      </c>
      <c r="V1932" s="34"/>
      <c r="W1932" s="34"/>
    </row>
    <row r="1933">
      <c r="A1933" s="30">
        <v>1.928</v>
      </c>
      <c r="B1933" s="31" t="s">
        <v>7835</v>
      </c>
      <c r="C1933" s="31" t="s">
        <v>7836</v>
      </c>
      <c r="D1933" s="31" t="s">
        <v>574</v>
      </c>
      <c r="E1933" s="31" t="s">
        <v>2816</v>
      </c>
      <c r="F1933" s="32">
        <v>44728.0</v>
      </c>
      <c r="G1933" s="32">
        <v>44789.0</v>
      </c>
      <c r="H1933" s="31" t="s">
        <v>576</v>
      </c>
      <c r="I1933" s="31" t="s">
        <v>2817</v>
      </c>
      <c r="J1933" s="31" t="s">
        <v>2816</v>
      </c>
      <c r="K1933" s="31" t="s">
        <v>2818</v>
      </c>
      <c r="L1933" s="31" t="s">
        <v>579</v>
      </c>
      <c r="M1933" s="31" t="s">
        <v>7837</v>
      </c>
      <c r="N1933" s="31" t="s">
        <v>267</v>
      </c>
      <c r="O1933" s="34"/>
      <c r="P1933" s="31">
        <v>3.0</v>
      </c>
      <c r="Q1933" s="31" t="s">
        <v>307</v>
      </c>
      <c r="R1933" s="32">
        <v>36236.0</v>
      </c>
      <c r="S1933" s="31" t="s">
        <v>626</v>
      </c>
      <c r="T1933" s="31" t="s">
        <v>1205</v>
      </c>
      <c r="U1933" s="31" t="s">
        <v>2821</v>
      </c>
      <c r="V1933" s="34"/>
      <c r="W1933" s="34"/>
    </row>
    <row r="1934">
      <c r="A1934" s="30">
        <v>1.929</v>
      </c>
      <c r="B1934" s="31" t="s">
        <v>7838</v>
      </c>
      <c r="C1934" s="31" t="s">
        <v>7839</v>
      </c>
      <c r="D1934" s="31" t="s">
        <v>574</v>
      </c>
      <c r="E1934" s="31" t="s">
        <v>7470</v>
      </c>
      <c r="F1934" s="32">
        <v>44728.0</v>
      </c>
      <c r="G1934" s="32">
        <v>44789.0</v>
      </c>
      <c r="H1934" s="31" t="s">
        <v>576</v>
      </c>
      <c r="I1934" s="31" t="s">
        <v>2817</v>
      </c>
      <c r="J1934" s="31" t="s">
        <v>7470</v>
      </c>
      <c r="K1934" s="31" t="s">
        <v>7471</v>
      </c>
      <c r="L1934" s="31" t="s">
        <v>579</v>
      </c>
      <c r="M1934" s="31" t="s">
        <v>7840</v>
      </c>
      <c r="N1934" s="31" t="s">
        <v>267</v>
      </c>
      <c r="O1934" s="34"/>
      <c r="P1934" s="31">
        <v>3.0</v>
      </c>
      <c r="Q1934" s="31" t="s">
        <v>307</v>
      </c>
      <c r="R1934" s="32">
        <v>36608.0</v>
      </c>
      <c r="S1934" s="31" t="s">
        <v>531</v>
      </c>
      <c r="T1934" s="31" t="s">
        <v>7841</v>
      </c>
      <c r="U1934" s="31" t="s">
        <v>2821</v>
      </c>
      <c r="V1934" s="34"/>
      <c r="W1934" s="34"/>
    </row>
    <row r="1935">
      <c r="A1935" s="30">
        <v>1.93</v>
      </c>
      <c r="B1935" s="31" t="s">
        <v>7842</v>
      </c>
      <c r="C1935" s="31" t="s">
        <v>3952</v>
      </c>
      <c r="D1935" s="31" t="s">
        <v>574</v>
      </c>
      <c r="E1935" s="31" t="s">
        <v>575</v>
      </c>
      <c r="F1935" s="32">
        <v>44728.0</v>
      </c>
      <c r="G1935" s="32">
        <v>44789.0</v>
      </c>
      <c r="H1935" s="31" t="s">
        <v>576</v>
      </c>
      <c r="I1935" s="31" t="s">
        <v>577</v>
      </c>
      <c r="J1935" s="31" t="s">
        <v>575</v>
      </c>
      <c r="K1935" s="31" t="s">
        <v>578</v>
      </c>
      <c r="L1935" s="31" t="s">
        <v>579</v>
      </c>
      <c r="M1935" s="31" t="s">
        <v>7843</v>
      </c>
      <c r="N1935" s="31" t="s">
        <v>267</v>
      </c>
      <c r="O1935" s="34"/>
      <c r="P1935" s="31">
        <v>2.0</v>
      </c>
      <c r="Q1935" s="31" t="s">
        <v>307</v>
      </c>
      <c r="R1935" s="32">
        <v>35843.0</v>
      </c>
      <c r="S1935" s="31" t="s">
        <v>626</v>
      </c>
      <c r="T1935" s="31" t="s">
        <v>7844</v>
      </c>
      <c r="U1935" s="31" t="s">
        <v>583</v>
      </c>
      <c r="V1935" s="34"/>
      <c r="W1935" s="34"/>
    </row>
    <row r="1936">
      <c r="A1936" s="30">
        <v>1.931</v>
      </c>
      <c r="B1936" s="31" t="s">
        <v>7845</v>
      </c>
      <c r="C1936" s="31" t="s">
        <v>7846</v>
      </c>
      <c r="D1936" s="31" t="s">
        <v>574</v>
      </c>
      <c r="E1936" s="31" t="s">
        <v>3027</v>
      </c>
      <c r="F1936" s="32">
        <v>44728.0</v>
      </c>
      <c r="G1936" s="32">
        <v>44789.0</v>
      </c>
      <c r="H1936" s="31" t="s">
        <v>576</v>
      </c>
      <c r="I1936" s="31" t="s">
        <v>577</v>
      </c>
      <c r="J1936" s="31" t="s">
        <v>3027</v>
      </c>
      <c r="K1936" s="31" t="s">
        <v>3028</v>
      </c>
      <c r="L1936" s="31" t="s">
        <v>579</v>
      </c>
      <c r="M1936" s="31" t="s">
        <v>7847</v>
      </c>
      <c r="N1936" s="31" t="s">
        <v>267</v>
      </c>
      <c r="O1936" s="34"/>
      <c r="P1936" s="31">
        <v>2.0</v>
      </c>
      <c r="Q1936" s="31" t="s">
        <v>307</v>
      </c>
      <c r="R1936" s="32">
        <v>36804.0</v>
      </c>
      <c r="S1936" s="31" t="s">
        <v>3316</v>
      </c>
      <c r="T1936" s="31" t="s">
        <v>7848</v>
      </c>
      <c r="U1936" s="31" t="s">
        <v>583</v>
      </c>
      <c r="V1936" s="34"/>
      <c r="W1936" s="34"/>
    </row>
    <row r="1937">
      <c r="A1937" s="30">
        <v>1.932</v>
      </c>
      <c r="B1937" s="31" t="s">
        <v>7849</v>
      </c>
      <c r="C1937" s="31" t="s">
        <v>7850</v>
      </c>
      <c r="D1937" s="31" t="s">
        <v>574</v>
      </c>
      <c r="E1937" s="31" t="s">
        <v>3325</v>
      </c>
      <c r="F1937" s="32">
        <v>44728.0</v>
      </c>
      <c r="G1937" s="32">
        <v>44789.0</v>
      </c>
      <c r="H1937" s="31" t="s">
        <v>576</v>
      </c>
      <c r="I1937" s="31" t="s">
        <v>577</v>
      </c>
      <c r="J1937" s="31" t="s">
        <v>3325</v>
      </c>
      <c r="K1937" s="31" t="s">
        <v>3326</v>
      </c>
      <c r="L1937" s="31" t="s">
        <v>579</v>
      </c>
      <c r="M1937" s="31" t="s">
        <v>7851</v>
      </c>
      <c r="N1937" s="31" t="s">
        <v>267</v>
      </c>
      <c r="O1937" s="34"/>
      <c r="P1937" s="31">
        <v>2.0</v>
      </c>
      <c r="Q1937" s="31" t="s">
        <v>307</v>
      </c>
      <c r="R1937" s="32">
        <v>36602.0</v>
      </c>
      <c r="S1937" s="31" t="s">
        <v>626</v>
      </c>
      <c r="T1937" s="31" t="s">
        <v>7852</v>
      </c>
      <c r="U1937" s="31" t="s">
        <v>583</v>
      </c>
      <c r="V1937" s="34"/>
      <c r="W1937" s="34"/>
    </row>
    <row r="1938">
      <c r="A1938" s="30">
        <v>1.933</v>
      </c>
      <c r="B1938" s="31" t="s">
        <v>7853</v>
      </c>
      <c r="C1938" s="31" t="s">
        <v>7854</v>
      </c>
      <c r="D1938" s="31" t="s">
        <v>2932</v>
      </c>
      <c r="E1938" s="31" t="s">
        <v>3598</v>
      </c>
      <c r="F1938" s="32">
        <v>44718.0</v>
      </c>
      <c r="G1938" s="32">
        <v>44779.0</v>
      </c>
      <c r="H1938" s="31" t="s">
        <v>576</v>
      </c>
      <c r="I1938" s="31" t="s">
        <v>2934</v>
      </c>
      <c r="J1938" s="31" t="s">
        <v>3598</v>
      </c>
      <c r="K1938" s="31" t="s">
        <v>3599</v>
      </c>
      <c r="L1938" s="31" t="s">
        <v>2936</v>
      </c>
      <c r="M1938" s="31" t="s">
        <v>7855</v>
      </c>
      <c r="N1938" s="31" t="s">
        <v>267</v>
      </c>
      <c r="O1938" s="34"/>
      <c r="P1938" s="31">
        <v>1.0</v>
      </c>
      <c r="Q1938" s="31" t="s">
        <v>307</v>
      </c>
      <c r="R1938" s="32">
        <v>36405.0</v>
      </c>
      <c r="S1938" s="31" t="s">
        <v>3789</v>
      </c>
      <c r="T1938" s="31" t="s">
        <v>951</v>
      </c>
      <c r="U1938" s="31" t="s">
        <v>633</v>
      </c>
      <c r="V1938" s="34"/>
      <c r="W1938" s="34"/>
    </row>
    <row r="1939">
      <c r="A1939" s="30">
        <v>1.934</v>
      </c>
      <c r="B1939" s="31" t="s">
        <v>7856</v>
      </c>
      <c r="C1939" s="31" t="s">
        <v>5329</v>
      </c>
      <c r="D1939" s="31" t="s">
        <v>2932</v>
      </c>
      <c r="E1939" s="31" t="s">
        <v>2933</v>
      </c>
      <c r="F1939" s="32">
        <v>44718.0</v>
      </c>
      <c r="G1939" s="32">
        <v>44779.0</v>
      </c>
      <c r="H1939" s="31" t="s">
        <v>576</v>
      </c>
      <c r="I1939" s="31" t="s">
        <v>2934</v>
      </c>
      <c r="J1939" s="31" t="s">
        <v>2933</v>
      </c>
      <c r="K1939" s="31" t="s">
        <v>2935</v>
      </c>
      <c r="L1939" s="31" t="s">
        <v>2936</v>
      </c>
      <c r="M1939" s="31" t="s">
        <v>7857</v>
      </c>
      <c r="N1939" s="31" t="s">
        <v>267</v>
      </c>
      <c r="O1939" s="34"/>
      <c r="P1939" s="31">
        <v>1.0</v>
      </c>
      <c r="Q1939" s="31" t="s">
        <v>307</v>
      </c>
      <c r="R1939" s="32">
        <v>36433.0</v>
      </c>
      <c r="S1939" s="31" t="s">
        <v>700</v>
      </c>
      <c r="T1939" s="31" t="s">
        <v>722</v>
      </c>
      <c r="U1939" s="31" t="s">
        <v>633</v>
      </c>
      <c r="V1939" s="34"/>
      <c r="W1939" s="34"/>
    </row>
    <row r="1940">
      <c r="A1940" s="30">
        <v>1.935</v>
      </c>
      <c r="B1940" s="31" t="s">
        <v>7858</v>
      </c>
      <c r="C1940" s="31" t="s">
        <v>7859</v>
      </c>
      <c r="D1940" s="31" t="s">
        <v>2932</v>
      </c>
      <c r="E1940" s="31" t="s">
        <v>3598</v>
      </c>
      <c r="F1940" s="32">
        <v>44718.0</v>
      </c>
      <c r="G1940" s="32">
        <v>44779.0</v>
      </c>
      <c r="H1940" s="31" t="s">
        <v>576</v>
      </c>
      <c r="I1940" s="31" t="s">
        <v>2934</v>
      </c>
      <c r="J1940" s="31" t="s">
        <v>3598</v>
      </c>
      <c r="K1940" s="31" t="s">
        <v>3599</v>
      </c>
      <c r="L1940" s="31" t="s">
        <v>2936</v>
      </c>
      <c r="M1940" s="31" t="s">
        <v>7860</v>
      </c>
      <c r="N1940" s="31" t="s">
        <v>267</v>
      </c>
      <c r="O1940" s="34"/>
      <c r="P1940" s="31">
        <v>1.0</v>
      </c>
      <c r="Q1940" s="31" t="s">
        <v>307</v>
      </c>
      <c r="R1940" s="32">
        <v>36304.0</v>
      </c>
      <c r="S1940" s="31" t="s">
        <v>3789</v>
      </c>
      <c r="T1940" s="31" t="s">
        <v>503</v>
      </c>
      <c r="U1940" s="31" t="s">
        <v>633</v>
      </c>
      <c r="V1940" s="34"/>
      <c r="W1940" s="34"/>
    </row>
    <row r="1941">
      <c r="A1941" s="30">
        <v>1.936</v>
      </c>
      <c r="B1941" s="31" t="s">
        <v>7861</v>
      </c>
      <c r="C1941" s="31" t="s">
        <v>7862</v>
      </c>
      <c r="D1941" s="31" t="s">
        <v>574</v>
      </c>
      <c r="E1941" s="31" t="s">
        <v>2816</v>
      </c>
      <c r="F1941" s="32">
        <v>44714.0</v>
      </c>
      <c r="G1941" s="32">
        <v>44775.0</v>
      </c>
      <c r="H1941" s="31" t="s">
        <v>576</v>
      </c>
      <c r="I1941" s="31" t="s">
        <v>2817</v>
      </c>
      <c r="J1941" s="31" t="s">
        <v>2816</v>
      </c>
      <c r="K1941" s="31" t="s">
        <v>2818</v>
      </c>
      <c r="L1941" s="31" t="s">
        <v>579</v>
      </c>
      <c r="M1941" s="31" t="s">
        <v>7863</v>
      </c>
      <c r="N1941" s="31" t="s">
        <v>467</v>
      </c>
      <c r="O1941" s="34"/>
      <c r="P1941" s="31">
        <v>3.0</v>
      </c>
      <c r="Q1941" s="31" t="s">
        <v>307</v>
      </c>
      <c r="R1941" s="32">
        <v>36428.0</v>
      </c>
      <c r="S1941" s="31" t="s">
        <v>7864</v>
      </c>
      <c r="T1941" s="31" t="s">
        <v>341</v>
      </c>
      <c r="U1941" s="31" t="s">
        <v>2821</v>
      </c>
      <c r="V1941" s="34"/>
      <c r="W1941" s="34"/>
    </row>
    <row r="1942">
      <c r="A1942" s="30">
        <v>1.937</v>
      </c>
      <c r="B1942" s="31" t="s">
        <v>7865</v>
      </c>
      <c r="C1942" s="31" t="s">
        <v>7866</v>
      </c>
      <c r="D1942" s="31" t="s">
        <v>574</v>
      </c>
      <c r="E1942" s="31" t="s">
        <v>7470</v>
      </c>
      <c r="F1942" s="32">
        <v>44714.0</v>
      </c>
      <c r="G1942" s="32">
        <v>44775.0</v>
      </c>
      <c r="H1942" s="31" t="s">
        <v>576</v>
      </c>
      <c r="I1942" s="31" t="s">
        <v>2817</v>
      </c>
      <c r="J1942" s="31" t="s">
        <v>7470</v>
      </c>
      <c r="K1942" s="31" t="s">
        <v>7471</v>
      </c>
      <c r="L1942" s="31" t="s">
        <v>579</v>
      </c>
      <c r="M1942" s="31" t="s">
        <v>7867</v>
      </c>
      <c r="N1942" s="31" t="s">
        <v>267</v>
      </c>
      <c r="O1942" s="34"/>
      <c r="P1942" s="31">
        <v>3.0</v>
      </c>
      <c r="Q1942" s="31" t="s">
        <v>307</v>
      </c>
      <c r="R1942" s="32">
        <v>36750.0</v>
      </c>
      <c r="S1942" s="31" t="s">
        <v>531</v>
      </c>
      <c r="T1942" s="31" t="s">
        <v>7868</v>
      </c>
      <c r="U1942" s="31" t="s">
        <v>2821</v>
      </c>
      <c r="V1942" s="34"/>
      <c r="W1942" s="34"/>
    </row>
    <row r="1943">
      <c r="A1943" s="30">
        <v>1.938</v>
      </c>
      <c r="B1943" s="31" t="s">
        <v>7869</v>
      </c>
      <c r="C1943" s="31" t="s">
        <v>1135</v>
      </c>
      <c r="D1943" s="31" t="s">
        <v>574</v>
      </c>
      <c r="E1943" s="31" t="s">
        <v>4301</v>
      </c>
      <c r="F1943" s="32">
        <v>44714.0</v>
      </c>
      <c r="G1943" s="32">
        <v>44775.0</v>
      </c>
      <c r="H1943" s="31" t="s">
        <v>576</v>
      </c>
      <c r="I1943" s="31" t="s">
        <v>2817</v>
      </c>
      <c r="J1943" s="31" t="s">
        <v>4301</v>
      </c>
      <c r="K1943" s="31" t="s">
        <v>4302</v>
      </c>
      <c r="L1943" s="31" t="s">
        <v>579</v>
      </c>
      <c r="M1943" s="31" t="s">
        <v>7870</v>
      </c>
      <c r="N1943" s="31" t="s">
        <v>267</v>
      </c>
      <c r="O1943" s="34"/>
      <c r="P1943" s="31">
        <v>3.0</v>
      </c>
      <c r="Q1943" s="31" t="s">
        <v>307</v>
      </c>
      <c r="R1943" s="32">
        <v>36598.0</v>
      </c>
      <c r="S1943" s="31" t="s">
        <v>531</v>
      </c>
      <c r="T1943" s="31" t="s">
        <v>627</v>
      </c>
      <c r="U1943" s="31" t="s">
        <v>2821</v>
      </c>
      <c r="V1943" s="34"/>
      <c r="W1943" s="34"/>
    </row>
    <row r="1944">
      <c r="A1944" s="30">
        <v>1.939</v>
      </c>
      <c r="B1944" s="31" t="s">
        <v>7871</v>
      </c>
      <c r="C1944" s="31" t="s">
        <v>7872</v>
      </c>
      <c r="D1944" s="31" t="s">
        <v>2932</v>
      </c>
      <c r="E1944" s="31" t="s">
        <v>3256</v>
      </c>
      <c r="F1944" s="32">
        <v>44712.0</v>
      </c>
      <c r="G1944" s="32">
        <v>44773.0</v>
      </c>
      <c r="H1944" s="31" t="s">
        <v>576</v>
      </c>
      <c r="I1944" s="31" t="s">
        <v>3257</v>
      </c>
      <c r="J1944" s="31" t="s">
        <v>3256</v>
      </c>
      <c r="K1944" s="31" t="s">
        <v>3258</v>
      </c>
      <c r="L1944" s="31" t="s">
        <v>2936</v>
      </c>
      <c r="M1944" s="31" t="s">
        <v>7873</v>
      </c>
      <c r="N1944" s="31" t="s">
        <v>267</v>
      </c>
      <c r="O1944" s="34"/>
      <c r="P1944" s="31">
        <v>3.0</v>
      </c>
      <c r="Q1944" s="31" t="s">
        <v>307</v>
      </c>
      <c r="R1944" s="35">
        <v>36886.0</v>
      </c>
      <c r="S1944" s="31" t="s">
        <v>681</v>
      </c>
      <c r="T1944" s="31" t="s">
        <v>2408</v>
      </c>
      <c r="U1944" s="31" t="s">
        <v>271</v>
      </c>
      <c r="V1944" s="34"/>
      <c r="W1944" s="34"/>
    </row>
    <row r="1945">
      <c r="A1945" s="30">
        <v>1.94</v>
      </c>
      <c r="B1945" s="31" t="s">
        <v>7874</v>
      </c>
      <c r="C1945" s="31" t="s">
        <v>7875</v>
      </c>
      <c r="D1945" s="31" t="s">
        <v>574</v>
      </c>
      <c r="E1945" s="31" t="s">
        <v>3313</v>
      </c>
      <c r="F1945" s="32">
        <v>44714.0</v>
      </c>
      <c r="G1945" s="32">
        <v>44775.0</v>
      </c>
      <c r="H1945" s="31" t="s">
        <v>576</v>
      </c>
      <c r="I1945" s="31" t="s">
        <v>577</v>
      </c>
      <c r="J1945" s="31" t="s">
        <v>3313</v>
      </c>
      <c r="K1945" s="31" t="s">
        <v>3314</v>
      </c>
      <c r="L1945" s="31" t="s">
        <v>579</v>
      </c>
      <c r="M1945" s="31" t="s">
        <v>7876</v>
      </c>
      <c r="N1945" s="31" t="s">
        <v>267</v>
      </c>
      <c r="O1945" s="34"/>
      <c r="P1945" s="31">
        <v>2.0</v>
      </c>
      <c r="Q1945" s="31" t="s">
        <v>307</v>
      </c>
      <c r="R1945" s="32">
        <v>36168.0</v>
      </c>
      <c r="S1945" s="31" t="s">
        <v>531</v>
      </c>
      <c r="T1945" s="31" t="s">
        <v>7877</v>
      </c>
      <c r="U1945" s="31" t="s">
        <v>583</v>
      </c>
      <c r="V1945" s="34"/>
      <c r="W1945" s="34"/>
    </row>
    <row r="1946">
      <c r="A1946" s="30">
        <v>1.941</v>
      </c>
      <c r="B1946" s="31" t="s">
        <v>7878</v>
      </c>
      <c r="C1946" s="31" t="s">
        <v>7879</v>
      </c>
      <c r="D1946" s="31" t="s">
        <v>574</v>
      </c>
      <c r="E1946" s="31" t="s">
        <v>3325</v>
      </c>
      <c r="F1946" s="32">
        <v>44714.0</v>
      </c>
      <c r="G1946" s="32">
        <v>44778.0</v>
      </c>
      <c r="H1946" s="31" t="s">
        <v>576</v>
      </c>
      <c r="I1946" s="31" t="s">
        <v>577</v>
      </c>
      <c r="J1946" s="31" t="s">
        <v>3325</v>
      </c>
      <c r="K1946" s="31" t="s">
        <v>3326</v>
      </c>
      <c r="L1946" s="31" t="s">
        <v>579</v>
      </c>
      <c r="M1946" s="31" t="s">
        <v>7880</v>
      </c>
      <c r="N1946" s="31" t="s">
        <v>267</v>
      </c>
      <c r="O1946" s="34"/>
      <c r="P1946" s="31">
        <v>2.0</v>
      </c>
      <c r="Q1946" s="31" t="s">
        <v>307</v>
      </c>
      <c r="R1946" s="32">
        <v>36289.0</v>
      </c>
      <c r="S1946" s="31" t="s">
        <v>7881</v>
      </c>
      <c r="T1946" s="31" t="s">
        <v>7882</v>
      </c>
      <c r="U1946" s="31" t="s">
        <v>583</v>
      </c>
      <c r="V1946" s="34"/>
      <c r="W1946" s="34"/>
    </row>
    <row r="1947">
      <c r="A1947" s="30">
        <v>1.942</v>
      </c>
      <c r="B1947" s="31" t="s">
        <v>7883</v>
      </c>
      <c r="C1947" s="31" t="s">
        <v>7884</v>
      </c>
      <c r="D1947" s="31" t="s">
        <v>2932</v>
      </c>
      <c r="E1947" s="31" t="s">
        <v>3256</v>
      </c>
      <c r="F1947" s="32">
        <v>44712.0</v>
      </c>
      <c r="G1947" s="32">
        <v>44773.0</v>
      </c>
      <c r="H1947" s="31" t="s">
        <v>576</v>
      </c>
      <c r="I1947" s="31" t="s">
        <v>3257</v>
      </c>
      <c r="J1947" s="31" t="s">
        <v>3256</v>
      </c>
      <c r="K1947" s="31" t="s">
        <v>3258</v>
      </c>
      <c r="L1947" s="31" t="s">
        <v>2936</v>
      </c>
      <c r="M1947" s="31" t="s">
        <v>7885</v>
      </c>
      <c r="N1947" s="31" t="s">
        <v>267</v>
      </c>
      <c r="O1947" s="34"/>
      <c r="P1947" s="31">
        <v>3.0</v>
      </c>
      <c r="Q1947" s="31" t="s">
        <v>307</v>
      </c>
      <c r="R1947" s="32">
        <v>35641.0</v>
      </c>
      <c r="S1947" s="31" t="s">
        <v>700</v>
      </c>
      <c r="T1947" s="31" t="s">
        <v>1651</v>
      </c>
      <c r="U1947" s="31" t="s">
        <v>271</v>
      </c>
      <c r="V1947" s="34"/>
      <c r="W1947" s="34"/>
    </row>
    <row r="1948">
      <c r="A1948" s="30">
        <v>1.943</v>
      </c>
      <c r="B1948" s="31" t="s">
        <v>7886</v>
      </c>
      <c r="C1948" s="31" t="s">
        <v>7887</v>
      </c>
      <c r="D1948" s="31" t="s">
        <v>574</v>
      </c>
      <c r="E1948" s="31" t="s">
        <v>7470</v>
      </c>
      <c r="F1948" s="32">
        <v>44712.0</v>
      </c>
      <c r="G1948" s="32">
        <v>44773.0</v>
      </c>
      <c r="H1948" s="31" t="s">
        <v>576</v>
      </c>
      <c r="I1948" s="31" t="s">
        <v>2817</v>
      </c>
      <c r="J1948" s="31" t="s">
        <v>7470</v>
      </c>
      <c r="K1948" s="31" t="s">
        <v>7471</v>
      </c>
      <c r="L1948" s="31" t="s">
        <v>579</v>
      </c>
      <c r="M1948" s="31" t="s">
        <v>7888</v>
      </c>
      <c r="N1948" s="31" t="s">
        <v>267</v>
      </c>
      <c r="O1948" s="34"/>
      <c r="P1948" s="31" t="s">
        <v>3031</v>
      </c>
      <c r="Q1948" s="31" t="s">
        <v>307</v>
      </c>
      <c r="R1948" s="32">
        <v>36257.0</v>
      </c>
      <c r="S1948" s="31" t="s">
        <v>626</v>
      </c>
      <c r="T1948" s="31" t="s">
        <v>407</v>
      </c>
      <c r="U1948" s="31" t="s">
        <v>2821</v>
      </c>
      <c r="V1948" s="34"/>
      <c r="W1948" s="34"/>
    </row>
    <row r="1949">
      <c r="A1949" s="30">
        <v>1.944</v>
      </c>
      <c r="B1949" s="31" t="s">
        <v>7889</v>
      </c>
      <c r="C1949" s="31" t="s">
        <v>7890</v>
      </c>
      <c r="D1949" s="31" t="s">
        <v>574</v>
      </c>
      <c r="E1949" s="31" t="s">
        <v>4652</v>
      </c>
      <c r="F1949" s="32">
        <v>44698.0</v>
      </c>
      <c r="G1949" s="32">
        <v>44759.0</v>
      </c>
      <c r="H1949" s="31" t="s">
        <v>576</v>
      </c>
      <c r="I1949" s="31" t="s">
        <v>2817</v>
      </c>
      <c r="J1949" s="31" t="s">
        <v>4652</v>
      </c>
      <c r="K1949" s="31" t="s">
        <v>4653</v>
      </c>
      <c r="L1949" s="31" t="s">
        <v>579</v>
      </c>
      <c r="M1949" s="31" t="s">
        <v>7891</v>
      </c>
      <c r="N1949" s="31" t="s">
        <v>267</v>
      </c>
      <c r="O1949" s="34"/>
      <c r="P1949" s="31" t="s">
        <v>3031</v>
      </c>
      <c r="Q1949" s="31" t="s">
        <v>307</v>
      </c>
      <c r="R1949" s="32">
        <v>35843.0</v>
      </c>
      <c r="S1949" s="31" t="s">
        <v>717</v>
      </c>
      <c r="T1949" s="31" t="s">
        <v>7892</v>
      </c>
      <c r="U1949" s="31" t="s">
        <v>2735</v>
      </c>
      <c r="V1949" s="34"/>
      <c r="W1949" s="34"/>
    </row>
    <row r="1950">
      <c r="A1950" s="30">
        <v>1.945</v>
      </c>
      <c r="B1950" s="31" t="s">
        <v>7893</v>
      </c>
      <c r="C1950" s="31" t="s">
        <v>7894</v>
      </c>
      <c r="D1950" s="31" t="s">
        <v>574</v>
      </c>
      <c r="E1950" s="31" t="s">
        <v>3430</v>
      </c>
      <c r="F1950" s="32">
        <v>44685.0</v>
      </c>
      <c r="G1950" s="32">
        <v>44765.0</v>
      </c>
      <c r="H1950" s="31" t="s">
        <v>576</v>
      </c>
      <c r="I1950" s="31" t="s">
        <v>3431</v>
      </c>
      <c r="J1950" s="31" t="s">
        <v>3430</v>
      </c>
      <c r="K1950" s="31" t="s">
        <v>3432</v>
      </c>
      <c r="L1950" s="31" t="s">
        <v>579</v>
      </c>
      <c r="M1950" s="31" t="s">
        <v>7895</v>
      </c>
      <c r="N1950" s="31" t="s">
        <v>267</v>
      </c>
      <c r="O1950" s="34"/>
      <c r="P1950" s="31">
        <v>3.0</v>
      </c>
      <c r="Q1950" s="31" t="s">
        <v>307</v>
      </c>
      <c r="R1950" s="32">
        <v>36179.0</v>
      </c>
      <c r="S1950" s="31" t="s">
        <v>717</v>
      </c>
      <c r="T1950" s="31" t="s">
        <v>7896</v>
      </c>
      <c r="U1950" s="31" t="s">
        <v>633</v>
      </c>
      <c r="V1950" s="34"/>
      <c r="W1950" s="34"/>
    </row>
    <row r="1951">
      <c r="A1951" s="30">
        <v>1.946</v>
      </c>
      <c r="B1951" s="31" t="s">
        <v>7897</v>
      </c>
      <c r="C1951" s="31" t="s">
        <v>7898</v>
      </c>
      <c r="D1951" s="31" t="s">
        <v>574</v>
      </c>
      <c r="E1951" s="31" t="s">
        <v>2848</v>
      </c>
      <c r="F1951" s="32">
        <v>44685.0</v>
      </c>
      <c r="G1951" s="32">
        <v>44765.0</v>
      </c>
      <c r="H1951" s="31" t="s">
        <v>576</v>
      </c>
      <c r="I1951" s="31" t="s">
        <v>2817</v>
      </c>
      <c r="J1951" s="31" t="s">
        <v>2848</v>
      </c>
      <c r="K1951" s="31" t="s">
        <v>2849</v>
      </c>
      <c r="L1951" s="31" t="s">
        <v>579</v>
      </c>
      <c r="M1951" s="31" t="s">
        <v>7899</v>
      </c>
      <c r="N1951" s="31" t="s">
        <v>267</v>
      </c>
      <c r="O1951" s="34"/>
      <c r="P1951" s="31" t="s">
        <v>3031</v>
      </c>
      <c r="Q1951" s="31" t="s">
        <v>307</v>
      </c>
      <c r="R1951" s="32">
        <v>36738.0</v>
      </c>
      <c r="S1951" s="31" t="s">
        <v>3316</v>
      </c>
      <c r="T1951" s="31" t="s">
        <v>3933</v>
      </c>
      <c r="U1951" s="31" t="s">
        <v>2821</v>
      </c>
      <c r="V1951" s="34"/>
      <c r="W1951" s="34"/>
    </row>
    <row r="1952">
      <c r="A1952" s="30">
        <v>1.947</v>
      </c>
      <c r="B1952" s="31" t="s">
        <v>7900</v>
      </c>
      <c r="C1952" s="31" t="s">
        <v>7901</v>
      </c>
      <c r="D1952" s="31" t="s">
        <v>574</v>
      </c>
      <c r="E1952" s="31" t="s">
        <v>3430</v>
      </c>
      <c r="F1952" s="32">
        <v>44685.0</v>
      </c>
      <c r="G1952" s="32">
        <v>44765.0</v>
      </c>
      <c r="H1952" s="31" t="s">
        <v>576</v>
      </c>
      <c r="I1952" s="31" t="s">
        <v>3431</v>
      </c>
      <c r="J1952" s="31" t="s">
        <v>3430</v>
      </c>
      <c r="K1952" s="31" t="s">
        <v>3432</v>
      </c>
      <c r="L1952" s="31" t="s">
        <v>579</v>
      </c>
      <c r="M1952" s="31" t="s">
        <v>7902</v>
      </c>
      <c r="N1952" s="31" t="s">
        <v>267</v>
      </c>
      <c r="O1952" s="34"/>
      <c r="P1952" s="31">
        <v>3.0</v>
      </c>
      <c r="Q1952" s="31" t="s">
        <v>307</v>
      </c>
      <c r="R1952" s="32">
        <v>36349.0</v>
      </c>
      <c r="S1952" s="31" t="s">
        <v>531</v>
      </c>
      <c r="T1952" s="31" t="s">
        <v>7087</v>
      </c>
      <c r="U1952" s="31" t="s">
        <v>633</v>
      </c>
      <c r="V1952" s="34"/>
      <c r="W1952" s="34"/>
    </row>
    <row r="1953">
      <c r="A1953" s="30">
        <v>1.948</v>
      </c>
      <c r="B1953" s="31" t="s">
        <v>7903</v>
      </c>
      <c r="C1953" s="31" t="s">
        <v>7904</v>
      </c>
      <c r="D1953" s="31" t="s">
        <v>574</v>
      </c>
      <c r="E1953" s="31" t="s">
        <v>575</v>
      </c>
      <c r="F1953" s="32">
        <v>44685.0</v>
      </c>
      <c r="G1953" s="32">
        <v>44746.0</v>
      </c>
      <c r="H1953" s="31" t="s">
        <v>576</v>
      </c>
      <c r="I1953" s="31" t="s">
        <v>577</v>
      </c>
      <c r="J1953" s="31" t="s">
        <v>575</v>
      </c>
      <c r="K1953" s="31" t="s">
        <v>578</v>
      </c>
      <c r="L1953" s="31" t="s">
        <v>579</v>
      </c>
      <c r="M1953" s="31" t="s">
        <v>7905</v>
      </c>
      <c r="N1953" s="31" t="s">
        <v>267</v>
      </c>
      <c r="O1953" s="34"/>
      <c r="P1953" s="31">
        <v>3.0</v>
      </c>
      <c r="Q1953" s="31" t="s">
        <v>307</v>
      </c>
      <c r="R1953" s="32">
        <v>37133.0</v>
      </c>
      <c r="S1953" s="31" t="s">
        <v>1165</v>
      </c>
      <c r="T1953" s="31" t="s">
        <v>2564</v>
      </c>
      <c r="U1953" s="31" t="s">
        <v>583</v>
      </c>
      <c r="V1953" s="34"/>
      <c r="W1953" s="34"/>
    </row>
    <row r="1954">
      <c r="A1954" s="30">
        <v>1.949</v>
      </c>
      <c r="B1954" s="31" t="s">
        <v>7906</v>
      </c>
      <c r="C1954" s="31" t="s">
        <v>7907</v>
      </c>
      <c r="D1954" s="31" t="s">
        <v>574</v>
      </c>
      <c r="E1954" s="31" t="s">
        <v>3027</v>
      </c>
      <c r="F1954" s="32">
        <v>44685.0</v>
      </c>
      <c r="G1954" s="32">
        <v>44746.0</v>
      </c>
      <c r="H1954" s="31" t="s">
        <v>576</v>
      </c>
      <c r="I1954" s="31" t="s">
        <v>577</v>
      </c>
      <c r="J1954" s="31" t="s">
        <v>3027</v>
      </c>
      <c r="K1954" s="31" t="s">
        <v>3028</v>
      </c>
      <c r="L1954" s="31" t="s">
        <v>579</v>
      </c>
      <c r="M1954" s="31" t="s">
        <v>7908</v>
      </c>
      <c r="N1954" s="31" t="s">
        <v>267</v>
      </c>
      <c r="O1954" s="34"/>
      <c r="P1954" s="31">
        <v>2.0</v>
      </c>
      <c r="Q1954" s="31" t="s">
        <v>307</v>
      </c>
      <c r="R1954" s="32">
        <v>36528.0</v>
      </c>
      <c r="S1954" s="31" t="s">
        <v>458</v>
      </c>
      <c r="T1954" s="31" t="s">
        <v>7909</v>
      </c>
      <c r="U1954" s="31" t="s">
        <v>583</v>
      </c>
      <c r="V1954" s="34"/>
      <c r="W1954" s="34"/>
    </row>
    <row r="1955">
      <c r="A1955" s="30">
        <v>1.95</v>
      </c>
      <c r="B1955" s="31" t="s">
        <v>7910</v>
      </c>
      <c r="C1955" s="31" t="s">
        <v>7911</v>
      </c>
      <c r="D1955" s="31" t="s">
        <v>574</v>
      </c>
      <c r="E1955" s="31" t="s">
        <v>4301</v>
      </c>
      <c r="F1955" s="32">
        <v>44676.0</v>
      </c>
      <c r="G1955" s="32">
        <v>44737.0</v>
      </c>
      <c r="H1955" s="31" t="s">
        <v>576</v>
      </c>
      <c r="I1955" s="31" t="s">
        <v>2817</v>
      </c>
      <c r="J1955" s="31" t="s">
        <v>4301</v>
      </c>
      <c r="K1955" s="31" t="s">
        <v>4302</v>
      </c>
      <c r="L1955" s="31" t="s">
        <v>579</v>
      </c>
      <c r="M1955" s="31" t="s">
        <v>7912</v>
      </c>
      <c r="N1955" s="31" t="s">
        <v>267</v>
      </c>
      <c r="O1955" s="34"/>
      <c r="P1955" s="31" t="s">
        <v>3031</v>
      </c>
      <c r="Q1955" s="31" t="s">
        <v>307</v>
      </c>
      <c r="R1955" s="32">
        <v>35897.0</v>
      </c>
      <c r="S1955" s="31" t="s">
        <v>458</v>
      </c>
      <c r="T1955" s="31" t="s">
        <v>7255</v>
      </c>
      <c r="U1955" s="31" t="s">
        <v>2914</v>
      </c>
      <c r="V1955" s="34"/>
      <c r="W1955" s="34"/>
    </row>
    <row r="1956">
      <c r="A1956" s="30">
        <v>1.951</v>
      </c>
      <c r="B1956" s="31" t="s">
        <v>7913</v>
      </c>
      <c r="C1956" s="31" t="s">
        <v>7914</v>
      </c>
      <c r="D1956" s="31" t="s">
        <v>7404</v>
      </c>
      <c r="E1956" s="31" t="s">
        <v>7405</v>
      </c>
      <c r="F1956" s="32">
        <v>44665.0</v>
      </c>
      <c r="G1956" s="32">
        <v>44726.0</v>
      </c>
      <c r="H1956" s="31" t="s">
        <v>576</v>
      </c>
      <c r="I1956" s="31" t="s">
        <v>3239</v>
      </c>
      <c r="J1956" s="31" t="s">
        <v>7405</v>
      </c>
      <c r="K1956" s="31" t="s">
        <v>7406</v>
      </c>
      <c r="L1956" s="31" t="s">
        <v>7407</v>
      </c>
      <c r="M1956" s="31" t="s">
        <v>7915</v>
      </c>
      <c r="N1956" s="31" t="s">
        <v>267</v>
      </c>
      <c r="O1956" s="34"/>
      <c r="P1956" s="31">
        <v>2.0</v>
      </c>
      <c r="Q1956" s="31" t="s">
        <v>307</v>
      </c>
      <c r="R1956" s="32">
        <v>36647.0</v>
      </c>
      <c r="S1956" s="31" t="s">
        <v>653</v>
      </c>
      <c r="T1956" s="31" t="s">
        <v>7916</v>
      </c>
      <c r="U1956" s="31" t="s">
        <v>271</v>
      </c>
      <c r="V1956" s="34"/>
      <c r="W1956" s="34"/>
    </row>
    <row r="1957">
      <c r="A1957" s="30">
        <v>1.952</v>
      </c>
      <c r="B1957" s="31" t="s">
        <v>7917</v>
      </c>
      <c r="C1957" s="31" t="s">
        <v>7918</v>
      </c>
      <c r="D1957" s="31" t="s">
        <v>574</v>
      </c>
      <c r="E1957" s="31" t="s">
        <v>575</v>
      </c>
      <c r="F1957" s="32">
        <v>44665.0</v>
      </c>
      <c r="G1957" s="32">
        <v>44726.0</v>
      </c>
      <c r="H1957" s="31" t="s">
        <v>576</v>
      </c>
      <c r="I1957" s="31" t="s">
        <v>577</v>
      </c>
      <c r="J1957" s="31" t="s">
        <v>575</v>
      </c>
      <c r="K1957" s="31" t="s">
        <v>578</v>
      </c>
      <c r="L1957" s="31" t="s">
        <v>579</v>
      </c>
      <c r="M1957" s="31" t="s">
        <v>7919</v>
      </c>
      <c r="N1957" s="31" t="s">
        <v>267</v>
      </c>
      <c r="O1957" s="34"/>
      <c r="P1957" s="31">
        <v>2.0</v>
      </c>
      <c r="Q1957" s="31" t="s">
        <v>307</v>
      </c>
      <c r="R1957" s="32">
        <v>36321.0</v>
      </c>
      <c r="S1957" s="31" t="s">
        <v>531</v>
      </c>
      <c r="T1957" s="31" t="s">
        <v>7920</v>
      </c>
      <c r="U1957" s="31" t="s">
        <v>583</v>
      </c>
      <c r="V1957" s="34"/>
      <c r="W1957" s="34"/>
    </row>
    <row r="1958">
      <c r="A1958" s="30">
        <v>1.953</v>
      </c>
      <c r="B1958" s="31" t="s">
        <v>7921</v>
      </c>
      <c r="C1958" s="31" t="s">
        <v>3824</v>
      </c>
      <c r="D1958" s="31" t="s">
        <v>574</v>
      </c>
      <c r="E1958" s="31" t="s">
        <v>4301</v>
      </c>
      <c r="F1958" s="32">
        <v>44665.0</v>
      </c>
      <c r="G1958" s="32">
        <v>44726.0</v>
      </c>
      <c r="H1958" s="31" t="s">
        <v>576</v>
      </c>
      <c r="I1958" s="31" t="s">
        <v>2817</v>
      </c>
      <c r="J1958" s="31" t="s">
        <v>4301</v>
      </c>
      <c r="K1958" s="31" t="s">
        <v>4302</v>
      </c>
      <c r="L1958" s="31" t="s">
        <v>579</v>
      </c>
      <c r="M1958" s="31" t="s">
        <v>7922</v>
      </c>
      <c r="N1958" s="31" t="s">
        <v>267</v>
      </c>
      <c r="O1958" s="34"/>
      <c r="P1958" s="31">
        <v>3.0</v>
      </c>
      <c r="Q1958" s="31" t="s">
        <v>307</v>
      </c>
      <c r="R1958" s="32">
        <v>36531.0</v>
      </c>
      <c r="S1958" s="31" t="s">
        <v>3789</v>
      </c>
      <c r="T1958" s="31" t="s">
        <v>7923</v>
      </c>
      <c r="U1958" s="31" t="s">
        <v>2821</v>
      </c>
      <c r="V1958" s="34"/>
      <c r="W1958" s="34"/>
    </row>
    <row r="1959">
      <c r="A1959" s="30">
        <v>1.954</v>
      </c>
      <c r="B1959" s="31" t="s">
        <v>7924</v>
      </c>
      <c r="C1959" s="31" t="s">
        <v>7925</v>
      </c>
      <c r="D1959" s="31" t="s">
        <v>2932</v>
      </c>
      <c r="E1959" s="31" t="s">
        <v>7512</v>
      </c>
      <c r="F1959" s="32">
        <v>44664.0</v>
      </c>
      <c r="G1959" s="32">
        <v>44725.0</v>
      </c>
      <c r="H1959" s="31" t="s">
        <v>576</v>
      </c>
      <c r="I1959" s="31" t="s">
        <v>3257</v>
      </c>
      <c r="J1959" s="31" t="s">
        <v>7512</v>
      </c>
      <c r="K1959" s="31" t="s">
        <v>7513</v>
      </c>
      <c r="L1959" s="31" t="s">
        <v>2936</v>
      </c>
      <c r="M1959" s="31" t="s">
        <v>7926</v>
      </c>
      <c r="N1959" s="31" t="s">
        <v>267</v>
      </c>
      <c r="O1959" s="34"/>
      <c r="P1959" s="31">
        <v>1.0</v>
      </c>
      <c r="Q1959" s="31" t="s">
        <v>307</v>
      </c>
      <c r="R1959" s="32">
        <v>35918.0</v>
      </c>
      <c r="S1959" s="31" t="s">
        <v>320</v>
      </c>
      <c r="T1959" s="31" t="s">
        <v>7927</v>
      </c>
      <c r="U1959" s="31" t="s">
        <v>633</v>
      </c>
      <c r="V1959" s="34"/>
      <c r="W1959" s="34"/>
    </row>
    <row r="1960">
      <c r="A1960" s="30">
        <v>1.955</v>
      </c>
      <c r="B1960" s="31" t="s">
        <v>7928</v>
      </c>
      <c r="C1960" s="31" t="s">
        <v>7929</v>
      </c>
      <c r="D1960" s="31" t="s">
        <v>2932</v>
      </c>
      <c r="E1960" s="31" t="s">
        <v>7512</v>
      </c>
      <c r="F1960" s="32">
        <v>44664.0</v>
      </c>
      <c r="G1960" s="32">
        <v>44725.0</v>
      </c>
      <c r="H1960" s="31" t="s">
        <v>576</v>
      </c>
      <c r="I1960" s="31" t="s">
        <v>3257</v>
      </c>
      <c r="J1960" s="31" t="s">
        <v>7512</v>
      </c>
      <c r="K1960" s="31" t="s">
        <v>7513</v>
      </c>
      <c r="L1960" s="31" t="s">
        <v>2936</v>
      </c>
      <c r="M1960" s="31" t="s">
        <v>7930</v>
      </c>
      <c r="N1960" s="31" t="s">
        <v>267</v>
      </c>
      <c r="O1960" s="34"/>
      <c r="P1960" s="31">
        <v>2.0</v>
      </c>
      <c r="Q1960" s="31" t="s">
        <v>307</v>
      </c>
      <c r="R1960" s="32">
        <v>36627.0</v>
      </c>
      <c r="S1960" s="31" t="s">
        <v>320</v>
      </c>
      <c r="T1960" s="31" t="s">
        <v>503</v>
      </c>
      <c r="U1960" s="31" t="s">
        <v>633</v>
      </c>
      <c r="V1960" s="34"/>
      <c r="W1960" s="34"/>
    </row>
    <row r="1961">
      <c r="A1961" s="30">
        <v>1.956</v>
      </c>
      <c r="B1961" s="31" t="s">
        <v>7931</v>
      </c>
      <c r="C1961" s="31" t="s">
        <v>7932</v>
      </c>
      <c r="D1961" s="31" t="s">
        <v>2932</v>
      </c>
      <c r="E1961" s="31" t="s">
        <v>3256</v>
      </c>
      <c r="F1961" s="32">
        <v>44651.0</v>
      </c>
      <c r="G1961" s="32">
        <v>44712.0</v>
      </c>
      <c r="H1961" s="31" t="s">
        <v>576</v>
      </c>
      <c r="I1961" s="31" t="s">
        <v>3257</v>
      </c>
      <c r="J1961" s="31" t="s">
        <v>3256</v>
      </c>
      <c r="K1961" s="31" t="s">
        <v>3258</v>
      </c>
      <c r="L1961" s="31" t="s">
        <v>2936</v>
      </c>
      <c r="M1961" s="31" t="s">
        <v>7933</v>
      </c>
      <c r="N1961" s="31" t="s">
        <v>267</v>
      </c>
      <c r="O1961" s="34"/>
      <c r="P1961" s="31">
        <v>3.0</v>
      </c>
      <c r="Q1961" s="31" t="s">
        <v>307</v>
      </c>
      <c r="R1961" s="32">
        <v>36839.0</v>
      </c>
      <c r="S1961" s="31" t="s">
        <v>531</v>
      </c>
      <c r="T1961" s="31" t="s">
        <v>7934</v>
      </c>
      <c r="U1961" s="31" t="s">
        <v>271</v>
      </c>
      <c r="V1961" s="34"/>
      <c r="W1961" s="34"/>
    </row>
    <row r="1962">
      <c r="A1962" s="30">
        <v>1.957</v>
      </c>
      <c r="B1962" s="31" t="s">
        <v>7935</v>
      </c>
      <c r="C1962" s="31" t="s">
        <v>3931</v>
      </c>
      <c r="D1962" s="31" t="s">
        <v>2932</v>
      </c>
      <c r="E1962" s="31" t="s">
        <v>3598</v>
      </c>
      <c r="F1962" s="32">
        <v>44631.0</v>
      </c>
      <c r="G1962" s="32">
        <v>44692.0</v>
      </c>
      <c r="H1962" s="31" t="s">
        <v>576</v>
      </c>
      <c r="I1962" s="31" t="s">
        <v>2934</v>
      </c>
      <c r="J1962" s="31" t="s">
        <v>3598</v>
      </c>
      <c r="K1962" s="31" t="s">
        <v>3599</v>
      </c>
      <c r="L1962" s="31" t="s">
        <v>2936</v>
      </c>
      <c r="M1962" s="31" t="s">
        <v>7936</v>
      </c>
      <c r="N1962" s="31" t="s">
        <v>267</v>
      </c>
      <c r="O1962" s="34"/>
      <c r="P1962" s="31">
        <v>1.0</v>
      </c>
      <c r="Q1962" s="31" t="s">
        <v>307</v>
      </c>
      <c r="R1962" s="32">
        <v>36836.0</v>
      </c>
      <c r="S1962" s="31" t="s">
        <v>531</v>
      </c>
      <c r="T1962" s="31" t="s">
        <v>503</v>
      </c>
      <c r="U1962" s="31" t="s">
        <v>633</v>
      </c>
      <c r="V1962" s="34"/>
      <c r="W1962" s="34"/>
    </row>
    <row r="1963">
      <c r="A1963" s="30">
        <v>1.958</v>
      </c>
      <c r="B1963" s="31" t="s">
        <v>7937</v>
      </c>
      <c r="C1963" s="31" t="s">
        <v>7938</v>
      </c>
      <c r="D1963" s="31" t="s">
        <v>574</v>
      </c>
      <c r="E1963" s="31" t="s">
        <v>7470</v>
      </c>
      <c r="F1963" s="32">
        <v>44655.0</v>
      </c>
      <c r="G1963" s="32">
        <v>44655.0</v>
      </c>
      <c r="H1963" s="31" t="s">
        <v>576</v>
      </c>
      <c r="I1963" s="31" t="s">
        <v>2817</v>
      </c>
      <c r="J1963" s="31" t="s">
        <v>7470</v>
      </c>
      <c r="K1963" s="31" t="s">
        <v>7471</v>
      </c>
      <c r="L1963" s="31" t="s">
        <v>579</v>
      </c>
      <c r="M1963" s="31" t="s">
        <v>7939</v>
      </c>
      <c r="N1963" s="31" t="s">
        <v>267</v>
      </c>
      <c r="O1963" s="34"/>
      <c r="P1963" s="31" t="s">
        <v>3031</v>
      </c>
      <c r="Q1963" s="31" t="s">
        <v>307</v>
      </c>
      <c r="R1963" s="32">
        <v>36746.0</v>
      </c>
      <c r="S1963" s="31" t="s">
        <v>864</v>
      </c>
      <c r="T1963" s="31" t="s">
        <v>1895</v>
      </c>
      <c r="U1963" s="31" t="s">
        <v>331</v>
      </c>
      <c r="V1963" s="34"/>
      <c r="W1963" s="34"/>
    </row>
    <row r="1964">
      <c r="A1964" s="30">
        <v>1.959</v>
      </c>
      <c r="B1964" s="31" t="s">
        <v>7940</v>
      </c>
      <c r="C1964" s="31" t="s">
        <v>7941</v>
      </c>
      <c r="D1964" s="31" t="s">
        <v>2932</v>
      </c>
      <c r="E1964" s="31" t="s">
        <v>2933</v>
      </c>
      <c r="F1964" s="32">
        <v>43347.0</v>
      </c>
      <c r="G1964" s="32">
        <v>43408.0</v>
      </c>
      <c r="H1964" s="31" t="s">
        <v>576</v>
      </c>
      <c r="I1964" s="31" t="s">
        <v>2934</v>
      </c>
      <c r="J1964" s="31" t="s">
        <v>2933</v>
      </c>
      <c r="K1964" s="31" t="s">
        <v>2935</v>
      </c>
      <c r="L1964" s="31" t="s">
        <v>2936</v>
      </c>
      <c r="M1964" s="31" t="s">
        <v>7942</v>
      </c>
      <c r="N1964" s="31" t="s">
        <v>267</v>
      </c>
      <c r="O1964" s="34"/>
      <c r="P1964" s="31">
        <v>6.0</v>
      </c>
      <c r="Q1964" s="31" t="s">
        <v>307</v>
      </c>
      <c r="R1964" s="35">
        <v>35380.0</v>
      </c>
      <c r="S1964" s="31" t="s">
        <v>510</v>
      </c>
      <c r="T1964" s="31" t="s">
        <v>5725</v>
      </c>
      <c r="U1964" s="31" t="s">
        <v>633</v>
      </c>
      <c r="V1964" s="34"/>
      <c r="W1964" s="34"/>
    </row>
    <row r="1965">
      <c r="A1965" s="30">
        <v>1.96</v>
      </c>
      <c r="B1965" s="31" t="s">
        <v>7943</v>
      </c>
      <c r="C1965" s="31" t="s">
        <v>7944</v>
      </c>
      <c r="D1965" s="31" t="s">
        <v>2932</v>
      </c>
      <c r="E1965" s="31" t="s">
        <v>3256</v>
      </c>
      <c r="F1965" s="32">
        <v>44702.0</v>
      </c>
      <c r="G1965" s="32">
        <v>44763.0</v>
      </c>
      <c r="H1965" s="31" t="s">
        <v>576</v>
      </c>
      <c r="I1965" s="31" t="s">
        <v>3257</v>
      </c>
      <c r="J1965" s="31" t="s">
        <v>3256</v>
      </c>
      <c r="K1965" s="31" t="s">
        <v>3258</v>
      </c>
      <c r="L1965" s="31" t="s">
        <v>2936</v>
      </c>
      <c r="M1965" s="31" t="s">
        <v>7945</v>
      </c>
      <c r="N1965" s="31" t="s">
        <v>267</v>
      </c>
      <c r="O1965" s="34"/>
      <c r="P1965" s="31">
        <v>3.0</v>
      </c>
      <c r="Q1965" s="31" t="s">
        <v>307</v>
      </c>
      <c r="R1965" s="32">
        <v>35709.0</v>
      </c>
      <c r="S1965" s="31" t="s">
        <v>955</v>
      </c>
      <c r="T1965" s="31" t="s">
        <v>1690</v>
      </c>
      <c r="U1965" s="31" t="s">
        <v>271</v>
      </c>
      <c r="V1965" s="34"/>
      <c r="W1965" s="34"/>
    </row>
    <row r="1966">
      <c r="A1966" s="30">
        <v>1.961</v>
      </c>
      <c r="B1966" s="31" t="s">
        <v>7946</v>
      </c>
      <c r="C1966" s="31" t="s">
        <v>7947</v>
      </c>
      <c r="D1966" s="31" t="s">
        <v>574</v>
      </c>
      <c r="E1966" s="31" t="s">
        <v>4652</v>
      </c>
      <c r="F1966" s="35">
        <v>44120.0</v>
      </c>
      <c r="G1966" s="35">
        <v>44180.0</v>
      </c>
      <c r="H1966" s="31" t="s">
        <v>576</v>
      </c>
      <c r="I1966" s="31" t="s">
        <v>2817</v>
      </c>
      <c r="J1966" s="31" t="s">
        <v>4652</v>
      </c>
      <c r="K1966" s="31" t="s">
        <v>4653</v>
      </c>
      <c r="L1966" s="31" t="s">
        <v>579</v>
      </c>
      <c r="M1966" s="31" t="s">
        <v>7948</v>
      </c>
      <c r="N1966" s="31" t="s">
        <v>267</v>
      </c>
      <c r="O1966" s="34"/>
      <c r="P1966" s="31">
        <v>1.0</v>
      </c>
      <c r="Q1966" s="31" t="s">
        <v>307</v>
      </c>
      <c r="R1966" s="32">
        <v>36074.0</v>
      </c>
      <c r="S1966" s="31" t="s">
        <v>531</v>
      </c>
      <c r="T1966" s="31" t="s">
        <v>2740</v>
      </c>
      <c r="U1966" s="31" t="s">
        <v>2735</v>
      </c>
      <c r="V1966" s="34"/>
      <c r="W1966" s="34"/>
    </row>
    <row r="1967">
      <c r="A1967" s="30">
        <v>1.962</v>
      </c>
      <c r="B1967" s="31" t="s">
        <v>7949</v>
      </c>
      <c r="C1967" s="31" t="s">
        <v>7950</v>
      </c>
      <c r="D1967" s="31" t="s">
        <v>2932</v>
      </c>
      <c r="E1967" s="31" t="s">
        <v>7512</v>
      </c>
      <c r="F1967" s="35">
        <v>43809.0</v>
      </c>
      <c r="G1967" s="32">
        <v>43871.0</v>
      </c>
      <c r="H1967" s="31" t="s">
        <v>576</v>
      </c>
      <c r="I1967" s="31" t="s">
        <v>3257</v>
      </c>
      <c r="J1967" s="31" t="s">
        <v>7512</v>
      </c>
      <c r="K1967" s="31" t="s">
        <v>7513</v>
      </c>
      <c r="L1967" s="31" t="s">
        <v>2936</v>
      </c>
      <c r="M1967" s="31" t="s">
        <v>7951</v>
      </c>
      <c r="N1967" s="31" t="s">
        <v>467</v>
      </c>
      <c r="O1967" s="34"/>
      <c r="P1967" s="31">
        <v>3.0</v>
      </c>
      <c r="Q1967" s="31" t="s">
        <v>307</v>
      </c>
      <c r="R1967" s="32">
        <v>34245.0</v>
      </c>
      <c r="S1967" s="31" t="s">
        <v>320</v>
      </c>
      <c r="T1967" s="31" t="s">
        <v>7952</v>
      </c>
      <c r="U1967" s="31" t="s">
        <v>633</v>
      </c>
      <c r="V1967" s="34"/>
      <c r="W1967" s="34"/>
    </row>
    <row r="1968">
      <c r="A1968" s="30">
        <v>1.963</v>
      </c>
      <c r="B1968" s="31" t="s">
        <v>7953</v>
      </c>
      <c r="C1968" s="31" t="s">
        <v>7954</v>
      </c>
      <c r="D1968" s="31" t="s">
        <v>7955</v>
      </c>
      <c r="E1968" s="31" t="s">
        <v>3238</v>
      </c>
      <c r="F1968" s="32">
        <v>41821.0</v>
      </c>
      <c r="G1968" s="32">
        <v>41885.0</v>
      </c>
      <c r="H1968" s="31" t="s">
        <v>576</v>
      </c>
      <c r="I1968" s="31" t="s">
        <v>3239</v>
      </c>
      <c r="J1968" s="31" t="s">
        <v>3238</v>
      </c>
      <c r="K1968" s="31" t="s">
        <v>3240</v>
      </c>
      <c r="L1968" s="31" t="s">
        <v>7956</v>
      </c>
      <c r="M1968" s="31" t="s">
        <v>7957</v>
      </c>
      <c r="N1968" s="31" t="s">
        <v>467</v>
      </c>
      <c r="O1968" s="31">
        <v>1.0</v>
      </c>
      <c r="P1968" s="31">
        <v>14.0</v>
      </c>
      <c r="Q1968" s="31" t="s">
        <v>307</v>
      </c>
      <c r="R1968" s="32">
        <v>33361.0</v>
      </c>
      <c r="S1968" s="31" t="s">
        <v>531</v>
      </c>
      <c r="T1968" s="31" t="s">
        <v>2845</v>
      </c>
      <c r="U1968" s="31" t="s">
        <v>633</v>
      </c>
      <c r="V1968" s="34"/>
      <c r="W1968" s="34"/>
    </row>
    <row r="1969">
      <c r="A1969" s="30">
        <v>1.964</v>
      </c>
      <c r="B1969" s="31" t="s">
        <v>7958</v>
      </c>
      <c r="C1969" s="31" t="s">
        <v>3797</v>
      </c>
      <c r="D1969" s="31" t="s">
        <v>2932</v>
      </c>
      <c r="E1969" s="31" t="s">
        <v>7512</v>
      </c>
      <c r="F1969" s="35">
        <v>43819.0</v>
      </c>
      <c r="G1969" s="32">
        <v>43881.0</v>
      </c>
      <c r="H1969" s="31" t="s">
        <v>576</v>
      </c>
      <c r="I1969" s="31" t="s">
        <v>3257</v>
      </c>
      <c r="J1969" s="31" t="s">
        <v>7512</v>
      </c>
      <c r="K1969" s="31" t="s">
        <v>7513</v>
      </c>
      <c r="L1969" s="31" t="s">
        <v>2936</v>
      </c>
      <c r="M1969" s="31" t="s">
        <v>7959</v>
      </c>
      <c r="N1969" s="31" t="s">
        <v>267</v>
      </c>
      <c r="O1969" s="34"/>
      <c r="P1969" s="31">
        <v>4.0</v>
      </c>
      <c r="Q1969" s="31" t="s">
        <v>307</v>
      </c>
      <c r="R1969" s="32">
        <v>34193.0</v>
      </c>
      <c r="S1969" s="31" t="s">
        <v>531</v>
      </c>
      <c r="T1969" s="31" t="s">
        <v>718</v>
      </c>
      <c r="U1969" s="31" t="s">
        <v>633</v>
      </c>
      <c r="V1969" s="34"/>
      <c r="W1969" s="34"/>
    </row>
    <row r="1970">
      <c r="A1970" s="30">
        <v>1.965</v>
      </c>
      <c r="B1970" s="31" t="s">
        <v>7960</v>
      </c>
      <c r="C1970" s="31" t="s">
        <v>7961</v>
      </c>
      <c r="D1970" s="31" t="s">
        <v>574</v>
      </c>
      <c r="E1970" s="31" t="s">
        <v>575</v>
      </c>
      <c r="F1970" s="32">
        <v>42248.0</v>
      </c>
      <c r="G1970" s="32">
        <v>42309.0</v>
      </c>
      <c r="H1970" s="31" t="s">
        <v>576</v>
      </c>
      <c r="I1970" s="31" t="s">
        <v>577</v>
      </c>
      <c r="J1970" s="31" t="s">
        <v>575</v>
      </c>
      <c r="K1970" s="31" t="s">
        <v>578</v>
      </c>
      <c r="L1970" s="31" t="s">
        <v>579</v>
      </c>
      <c r="M1970" s="31" t="s">
        <v>7962</v>
      </c>
      <c r="N1970" s="31" t="s">
        <v>267</v>
      </c>
      <c r="O1970" s="34"/>
      <c r="P1970" s="31">
        <v>7.0</v>
      </c>
      <c r="Q1970" s="31" t="s">
        <v>307</v>
      </c>
      <c r="R1970" s="32">
        <v>34034.0</v>
      </c>
      <c r="S1970" s="31" t="s">
        <v>626</v>
      </c>
      <c r="T1970" s="31" t="s">
        <v>3488</v>
      </c>
      <c r="U1970" s="31" t="s">
        <v>583</v>
      </c>
      <c r="V1970" s="34"/>
      <c r="W1970" s="34"/>
    </row>
    <row r="1971">
      <c r="A1971" s="30">
        <v>1.966</v>
      </c>
      <c r="B1971" s="31" t="s">
        <v>7963</v>
      </c>
      <c r="C1971" s="31" t="s">
        <v>7964</v>
      </c>
      <c r="D1971" s="31" t="s">
        <v>2932</v>
      </c>
      <c r="E1971" s="31" t="s">
        <v>2933</v>
      </c>
      <c r="F1971" s="32">
        <v>43617.0</v>
      </c>
      <c r="G1971" s="32">
        <v>43678.0</v>
      </c>
      <c r="H1971" s="31" t="s">
        <v>576</v>
      </c>
      <c r="I1971" s="31" t="s">
        <v>2934</v>
      </c>
      <c r="J1971" s="31" t="s">
        <v>2933</v>
      </c>
      <c r="K1971" s="31" t="s">
        <v>2935</v>
      </c>
      <c r="L1971" s="31" t="s">
        <v>2936</v>
      </c>
      <c r="M1971" s="31" t="s">
        <v>7965</v>
      </c>
      <c r="N1971" s="31" t="s">
        <v>267</v>
      </c>
      <c r="O1971" s="34"/>
      <c r="P1971" s="31">
        <v>1.0</v>
      </c>
      <c r="Q1971" s="31" t="s">
        <v>307</v>
      </c>
      <c r="R1971" s="32">
        <v>35545.0</v>
      </c>
      <c r="S1971" s="31" t="s">
        <v>700</v>
      </c>
      <c r="T1971" s="31" t="s">
        <v>360</v>
      </c>
      <c r="U1971" s="31" t="s">
        <v>633</v>
      </c>
      <c r="V1971" s="34"/>
      <c r="W1971" s="34"/>
    </row>
    <row r="1972">
      <c r="A1972" s="30">
        <v>1.967</v>
      </c>
      <c r="B1972" s="31" t="s">
        <v>7966</v>
      </c>
      <c r="C1972" s="31" t="s">
        <v>7967</v>
      </c>
      <c r="D1972" s="31" t="s">
        <v>2932</v>
      </c>
      <c r="E1972" s="31" t="s">
        <v>7512</v>
      </c>
      <c r="F1972" s="32">
        <v>42924.0</v>
      </c>
      <c r="G1972" s="32">
        <v>42986.0</v>
      </c>
      <c r="H1972" s="31" t="s">
        <v>576</v>
      </c>
      <c r="I1972" s="31" t="s">
        <v>3257</v>
      </c>
      <c r="J1972" s="31" t="s">
        <v>7512</v>
      </c>
      <c r="K1972" s="31" t="s">
        <v>7513</v>
      </c>
      <c r="L1972" s="31" t="s">
        <v>2936</v>
      </c>
      <c r="M1972" s="31" t="s">
        <v>7968</v>
      </c>
      <c r="N1972" s="31" t="s">
        <v>267</v>
      </c>
      <c r="O1972" s="34"/>
      <c r="P1972" s="31">
        <v>2.0</v>
      </c>
      <c r="Q1972" s="31" t="s">
        <v>307</v>
      </c>
      <c r="R1972" s="32">
        <v>34581.0</v>
      </c>
      <c r="S1972" s="31" t="s">
        <v>531</v>
      </c>
      <c r="T1972" s="31" t="s">
        <v>1281</v>
      </c>
      <c r="U1972" s="31" t="s">
        <v>633</v>
      </c>
      <c r="V1972" s="34"/>
      <c r="W1972" s="34"/>
    </row>
    <row r="1973">
      <c r="A1973" s="30">
        <v>1.968</v>
      </c>
      <c r="B1973" s="31" t="s">
        <v>7969</v>
      </c>
      <c r="C1973" s="31" t="s">
        <v>7970</v>
      </c>
      <c r="D1973" s="31" t="s">
        <v>2932</v>
      </c>
      <c r="E1973" s="31" t="s">
        <v>3256</v>
      </c>
      <c r="F1973" s="32">
        <v>44062.0</v>
      </c>
      <c r="G1973" s="35">
        <v>44123.0</v>
      </c>
      <c r="H1973" s="31" t="s">
        <v>576</v>
      </c>
      <c r="I1973" s="31" t="s">
        <v>3257</v>
      </c>
      <c r="J1973" s="31" t="s">
        <v>3256</v>
      </c>
      <c r="K1973" s="31" t="s">
        <v>3258</v>
      </c>
      <c r="L1973" s="31" t="s">
        <v>2936</v>
      </c>
      <c r="M1973" s="31" t="s">
        <v>7971</v>
      </c>
      <c r="N1973" s="31" t="s">
        <v>267</v>
      </c>
      <c r="O1973" s="34"/>
      <c r="P1973" s="31">
        <v>4.0</v>
      </c>
      <c r="Q1973" s="31" t="s">
        <v>307</v>
      </c>
      <c r="R1973" s="35">
        <v>35754.0</v>
      </c>
      <c r="S1973" s="31" t="s">
        <v>526</v>
      </c>
      <c r="T1973" s="31" t="s">
        <v>321</v>
      </c>
      <c r="U1973" s="31" t="s">
        <v>271</v>
      </c>
      <c r="V1973" s="34"/>
      <c r="W1973" s="34"/>
    </row>
    <row r="1974">
      <c r="A1974" s="30">
        <v>1.969</v>
      </c>
      <c r="B1974" s="31" t="s">
        <v>7972</v>
      </c>
      <c r="C1974" s="31" t="s">
        <v>7973</v>
      </c>
      <c r="D1974" s="31" t="s">
        <v>2932</v>
      </c>
      <c r="E1974" s="31" t="s">
        <v>2933</v>
      </c>
      <c r="F1974" s="32">
        <v>42801.0</v>
      </c>
      <c r="G1974" s="32">
        <v>42862.0</v>
      </c>
      <c r="H1974" s="31" t="s">
        <v>576</v>
      </c>
      <c r="I1974" s="31" t="s">
        <v>2934</v>
      </c>
      <c r="J1974" s="31" t="s">
        <v>2933</v>
      </c>
      <c r="K1974" s="31" t="s">
        <v>2935</v>
      </c>
      <c r="L1974" s="31" t="s">
        <v>2936</v>
      </c>
      <c r="M1974" s="31" t="s">
        <v>7974</v>
      </c>
      <c r="N1974" s="31" t="s">
        <v>267</v>
      </c>
      <c r="O1974" s="34"/>
      <c r="P1974" s="31">
        <v>4.0</v>
      </c>
      <c r="Q1974" s="31" t="s">
        <v>307</v>
      </c>
      <c r="R1974" s="32">
        <v>34455.0</v>
      </c>
      <c r="S1974" s="31" t="s">
        <v>531</v>
      </c>
      <c r="T1974" s="31" t="s">
        <v>503</v>
      </c>
      <c r="U1974" s="31" t="s">
        <v>633</v>
      </c>
      <c r="V1974" s="34"/>
      <c r="W1974" s="34"/>
    </row>
    <row r="1975">
      <c r="A1975" s="30">
        <v>1.97</v>
      </c>
      <c r="B1975" s="31" t="s">
        <v>7975</v>
      </c>
      <c r="C1975" s="31" t="s">
        <v>7976</v>
      </c>
      <c r="D1975" s="31" t="s">
        <v>3026</v>
      </c>
      <c r="E1975" s="31" t="s">
        <v>4301</v>
      </c>
      <c r="F1975" s="32">
        <v>40848.0</v>
      </c>
      <c r="G1975" s="32">
        <v>40909.0</v>
      </c>
      <c r="H1975" s="31" t="s">
        <v>576</v>
      </c>
      <c r="I1975" s="31" t="s">
        <v>2817</v>
      </c>
      <c r="J1975" s="31" t="s">
        <v>4301</v>
      </c>
      <c r="K1975" s="31" t="s">
        <v>4302</v>
      </c>
      <c r="L1975" s="31" t="s">
        <v>3029</v>
      </c>
      <c r="M1975" s="31" t="s">
        <v>7977</v>
      </c>
      <c r="N1975" s="31" t="s">
        <v>267</v>
      </c>
      <c r="O1975" s="31">
        <v>1.0</v>
      </c>
      <c r="P1975" s="31">
        <v>14.0</v>
      </c>
      <c r="Q1975" s="31" t="s">
        <v>307</v>
      </c>
      <c r="R1975" s="32">
        <v>32746.0</v>
      </c>
      <c r="S1975" s="31" t="s">
        <v>4887</v>
      </c>
      <c r="T1975" s="31" t="s">
        <v>778</v>
      </c>
      <c r="U1975" s="31" t="s">
        <v>2821</v>
      </c>
      <c r="V1975" s="34"/>
      <c r="W1975" s="34"/>
    </row>
    <row r="1976">
      <c r="A1976" s="30">
        <v>1.971</v>
      </c>
      <c r="B1976" s="31" t="s">
        <v>7978</v>
      </c>
      <c r="C1976" s="31" t="s">
        <v>7979</v>
      </c>
      <c r="D1976" s="31" t="s">
        <v>7980</v>
      </c>
      <c r="E1976" s="31" t="s">
        <v>7405</v>
      </c>
      <c r="F1976" s="35">
        <v>42293.0</v>
      </c>
      <c r="G1976" s="35">
        <v>42353.0</v>
      </c>
      <c r="H1976" s="31" t="s">
        <v>576</v>
      </c>
      <c r="I1976" s="31" t="s">
        <v>3239</v>
      </c>
      <c r="J1976" s="31" t="s">
        <v>7405</v>
      </c>
      <c r="K1976" s="31" t="s">
        <v>7406</v>
      </c>
      <c r="L1976" s="31" t="s">
        <v>7981</v>
      </c>
      <c r="M1976" s="31" t="s">
        <v>7982</v>
      </c>
      <c r="N1976" s="31" t="s">
        <v>467</v>
      </c>
      <c r="O1976" s="31">
        <v>1.0</v>
      </c>
      <c r="P1976" s="31">
        <v>14.0</v>
      </c>
      <c r="Q1976" s="31" t="s">
        <v>307</v>
      </c>
      <c r="R1976" s="32">
        <v>33973.0</v>
      </c>
      <c r="S1976" s="31" t="s">
        <v>1085</v>
      </c>
      <c r="T1976" s="31" t="s">
        <v>7983</v>
      </c>
      <c r="U1976" s="31" t="s">
        <v>271</v>
      </c>
      <c r="V1976" s="34"/>
      <c r="W1976" s="34"/>
    </row>
    <row r="1977">
      <c r="A1977" s="30">
        <v>1.972</v>
      </c>
      <c r="B1977" s="31" t="s">
        <v>7984</v>
      </c>
      <c r="C1977" s="31" t="s">
        <v>7985</v>
      </c>
      <c r="D1977" s="31" t="s">
        <v>2932</v>
      </c>
      <c r="E1977" s="31" t="s">
        <v>7512</v>
      </c>
      <c r="F1977" s="32">
        <v>42873.0</v>
      </c>
      <c r="G1977" s="32">
        <v>42934.0</v>
      </c>
      <c r="H1977" s="31" t="s">
        <v>576</v>
      </c>
      <c r="I1977" s="31" t="s">
        <v>3257</v>
      </c>
      <c r="J1977" s="31" t="s">
        <v>7512</v>
      </c>
      <c r="K1977" s="31" t="s">
        <v>7513</v>
      </c>
      <c r="L1977" s="31" t="s">
        <v>2936</v>
      </c>
      <c r="M1977" s="31" t="s">
        <v>7986</v>
      </c>
      <c r="N1977" s="31" t="s">
        <v>267</v>
      </c>
      <c r="O1977" s="34"/>
      <c r="P1977" s="31">
        <v>3.0</v>
      </c>
      <c r="Q1977" s="31" t="s">
        <v>307</v>
      </c>
      <c r="R1977" s="32">
        <v>34968.0</v>
      </c>
      <c r="S1977" s="31" t="s">
        <v>433</v>
      </c>
      <c r="T1977" s="31" t="s">
        <v>7987</v>
      </c>
      <c r="U1977" s="31" t="s">
        <v>633</v>
      </c>
      <c r="V1977" s="34"/>
      <c r="W1977" s="34"/>
    </row>
    <row r="1978">
      <c r="A1978" s="30">
        <v>1.973</v>
      </c>
      <c r="B1978" s="31" t="s">
        <v>7988</v>
      </c>
      <c r="C1978" s="31" t="s">
        <v>1923</v>
      </c>
      <c r="D1978" s="31" t="s">
        <v>574</v>
      </c>
      <c r="E1978" s="31" t="s">
        <v>4301</v>
      </c>
      <c r="F1978" s="32">
        <v>43567.0</v>
      </c>
      <c r="G1978" s="32">
        <v>43628.0</v>
      </c>
      <c r="H1978" s="31" t="s">
        <v>576</v>
      </c>
      <c r="I1978" s="31" t="s">
        <v>2817</v>
      </c>
      <c r="J1978" s="31" t="s">
        <v>4301</v>
      </c>
      <c r="K1978" s="31" t="s">
        <v>4302</v>
      </c>
      <c r="L1978" s="31" t="s">
        <v>579</v>
      </c>
      <c r="M1978" s="31" t="s">
        <v>7989</v>
      </c>
      <c r="N1978" s="31" t="s">
        <v>467</v>
      </c>
      <c r="O1978" s="34"/>
      <c r="P1978" s="31">
        <v>6.0</v>
      </c>
      <c r="Q1978" s="31" t="s">
        <v>307</v>
      </c>
      <c r="R1978" s="35">
        <v>34622.0</v>
      </c>
      <c r="S1978" s="31" t="s">
        <v>626</v>
      </c>
      <c r="T1978" s="31" t="s">
        <v>686</v>
      </c>
      <c r="U1978" s="31" t="s">
        <v>2821</v>
      </c>
      <c r="V1978" s="34"/>
      <c r="W1978" s="34"/>
    </row>
    <row r="1979">
      <c r="A1979" s="30">
        <v>1.974</v>
      </c>
      <c r="B1979" s="31" t="s">
        <v>7990</v>
      </c>
      <c r="C1979" s="31" t="s">
        <v>7991</v>
      </c>
      <c r="D1979" s="31" t="s">
        <v>3026</v>
      </c>
      <c r="E1979" s="31" t="s">
        <v>2816</v>
      </c>
      <c r="F1979" s="32">
        <v>43318.0</v>
      </c>
      <c r="G1979" s="32">
        <v>43379.0</v>
      </c>
      <c r="H1979" s="31" t="s">
        <v>576</v>
      </c>
      <c r="I1979" s="31" t="s">
        <v>2817</v>
      </c>
      <c r="J1979" s="31" t="s">
        <v>2816</v>
      </c>
      <c r="K1979" s="31" t="s">
        <v>2818</v>
      </c>
      <c r="L1979" s="31" t="s">
        <v>3029</v>
      </c>
      <c r="M1979" s="31" t="s">
        <v>7992</v>
      </c>
      <c r="N1979" s="31" t="s">
        <v>267</v>
      </c>
      <c r="O1979" s="31">
        <v>1.0</v>
      </c>
      <c r="P1979" s="31">
        <v>14.0</v>
      </c>
      <c r="Q1979" s="31" t="s">
        <v>307</v>
      </c>
      <c r="R1979" s="32">
        <v>34847.0</v>
      </c>
      <c r="S1979" s="31" t="s">
        <v>626</v>
      </c>
      <c r="T1979" s="31" t="s">
        <v>5181</v>
      </c>
      <c r="U1979" s="31" t="s">
        <v>2821</v>
      </c>
      <c r="V1979" s="34"/>
      <c r="W1979" s="34"/>
    </row>
    <row r="1980">
      <c r="A1980" s="30">
        <v>1.975</v>
      </c>
      <c r="B1980" s="31" t="s">
        <v>7993</v>
      </c>
      <c r="C1980" s="31" t="s">
        <v>6894</v>
      </c>
      <c r="D1980" s="31" t="s">
        <v>3026</v>
      </c>
      <c r="E1980" s="31" t="s">
        <v>4719</v>
      </c>
      <c r="F1980" s="32">
        <v>42871.0</v>
      </c>
      <c r="G1980" s="32">
        <v>42933.0</v>
      </c>
      <c r="H1980" s="31" t="s">
        <v>576</v>
      </c>
      <c r="I1980" s="31" t="s">
        <v>3431</v>
      </c>
      <c r="J1980" s="31" t="s">
        <v>4719</v>
      </c>
      <c r="K1980" s="31" t="s">
        <v>4720</v>
      </c>
      <c r="L1980" s="31" t="s">
        <v>3029</v>
      </c>
      <c r="M1980" s="31" t="s">
        <v>7994</v>
      </c>
      <c r="N1980" s="31" t="s">
        <v>267</v>
      </c>
      <c r="O1980" s="31">
        <v>1.0</v>
      </c>
      <c r="P1980" s="31">
        <v>14.0</v>
      </c>
      <c r="Q1980" s="31" t="s">
        <v>307</v>
      </c>
      <c r="R1980" s="35">
        <v>33236.0</v>
      </c>
      <c r="S1980" s="31" t="s">
        <v>7995</v>
      </c>
      <c r="T1980" s="31" t="s">
        <v>686</v>
      </c>
      <c r="U1980" s="31" t="s">
        <v>633</v>
      </c>
      <c r="V1980" s="34"/>
      <c r="W1980" s="34"/>
    </row>
    <row r="1981">
      <c r="A1981" s="30">
        <v>1.976</v>
      </c>
      <c r="B1981" s="31" t="s">
        <v>7996</v>
      </c>
      <c r="C1981" s="31" t="s">
        <v>7997</v>
      </c>
      <c r="D1981" s="31" t="s">
        <v>574</v>
      </c>
      <c r="E1981" s="31" t="s">
        <v>4301</v>
      </c>
      <c r="F1981" s="35">
        <v>43819.0</v>
      </c>
      <c r="G1981" s="32">
        <v>43881.0</v>
      </c>
      <c r="H1981" s="31" t="s">
        <v>576</v>
      </c>
      <c r="I1981" s="31" t="s">
        <v>2817</v>
      </c>
      <c r="J1981" s="31" t="s">
        <v>4301</v>
      </c>
      <c r="K1981" s="31" t="s">
        <v>4302</v>
      </c>
      <c r="L1981" s="31" t="s">
        <v>579</v>
      </c>
      <c r="M1981" s="31" t="s">
        <v>7998</v>
      </c>
      <c r="N1981" s="31" t="s">
        <v>267</v>
      </c>
      <c r="O1981" s="34"/>
      <c r="P1981" s="31">
        <v>6.0</v>
      </c>
      <c r="Q1981" s="31" t="s">
        <v>307</v>
      </c>
      <c r="R1981" s="32">
        <v>35473.0</v>
      </c>
      <c r="S1981" s="31" t="s">
        <v>626</v>
      </c>
      <c r="T1981" s="31" t="s">
        <v>7999</v>
      </c>
      <c r="U1981" s="31" t="s">
        <v>2821</v>
      </c>
      <c r="V1981" s="34"/>
      <c r="W1981" s="34"/>
    </row>
    <row r="1982">
      <c r="A1982" s="30">
        <v>1.977</v>
      </c>
      <c r="B1982" s="31" t="s">
        <v>8000</v>
      </c>
      <c r="C1982" s="31" t="s">
        <v>2520</v>
      </c>
      <c r="D1982" s="31" t="s">
        <v>574</v>
      </c>
      <c r="E1982" s="31" t="s">
        <v>4301</v>
      </c>
      <c r="F1982" s="32">
        <v>43238.0</v>
      </c>
      <c r="G1982" s="32">
        <v>43299.0</v>
      </c>
      <c r="H1982" s="31" t="s">
        <v>576</v>
      </c>
      <c r="I1982" s="31" t="s">
        <v>2817</v>
      </c>
      <c r="J1982" s="31" t="s">
        <v>4301</v>
      </c>
      <c r="K1982" s="31" t="s">
        <v>4302</v>
      </c>
      <c r="L1982" s="31" t="s">
        <v>579</v>
      </c>
      <c r="M1982" s="31" t="s">
        <v>8001</v>
      </c>
      <c r="N1982" s="31" t="s">
        <v>267</v>
      </c>
      <c r="O1982" s="34"/>
      <c r="P1982" s="31">
        <v>4.0</v>
      </c>
      <c r="Q1982" s="31" t="s">
        <v>307</v>
      </c>
      <c r="R1982" s="32">
        <v>34848.0</v>
      </c>
      <c r="S1982" s="31" t="s">
        <v>320</v>
      </c>
      <c r="T1982" s="31" t="s">
        <v>496</v>
      </c>
      <c r="U1982" s="31" t="s">
        <v>2821</v>
      </c>
      <c r="V1982" s="34"/>
      <c r="W1982" s="34"/>
    </row>
    <row r="1983">
      <c r="A1983" s="30">
        <v>1.978</v>
      </c>
      <c r="B1983" s="31" t="s">
        <v>8002</v>
      </c>
      <c r="C1983" s="31" t="s">
        <v>8003</v>
      </c>
      <c r="D1983" s="31" t="s">
        <v>8004</v>
      </c>
      <c r="E1983" s="31" t="s">
        <v>3598</v>
      </c>
      <c r="F1983" s="32">
        <v>42924.0</v>
      </c>
      <c r="G1983" s="32">
        <v>42986.0</v>
      </c>
      <c r="H1983" s="31" t="s">
        <v>576</v>
      </c>
      <c r="I1983" s="31" t="s">
        <v>2934</v>
      </c>
      <c r="J1983" s="31" t="s">
        <v>3598</v>
      </c>
      <c r="K1983" s="31" t="s">
        <v>3599</v>
      </c>
      <c r="L1983" s="31" t="s">
        <v>8005</v>
      </c>
      <c r="M1983" s="31" t="s">
        <v>8006</v>
      </c>
      <c r="N1983" s="31" t="s">
        <v>467</v>
      </c>
      <c r="O1983" s="31">
        <v>1.0</v>
      </c>
      <c r="P1983" s="31">
        <v>1.0</v>
      </c>
      <c r="Q1983" s="31" t="s">
        <v>307</v>
      </c>
      <c r="R1983" s="32">
        <v>34581.0</v>
      </c>
      <c r="S1983" s="31" t="s">
        <v>531</v>
      </c>
      <c r="T1983" s="31" t="s">
        <v>744</v>
      </c>
      <c r="U1983" s="31" t="s">
        <v>633</v>
      </c>
      <c r="V1983" s="34"/>
      <c r="W1983" s="34"/>
    </row>
    <row r="1984">
      <c r="A1984" s="30">
        <v>1.979</v>
      </c>
      <c r="B1984" s="31" t="s">
        <v>8007</v>
      </c>
      <c r="C1984" s="31" t="s">
        <v>8008</v>
      </c>
      <c r="D1984" s="31" t="s">
        <v>574</v>
      </c>
      <c r="E1984" s="31" t="s">
        <v>4652</v>
      </c>
      <c r="F1984" s="32">
        <v>44372.0</v>
      </c>
      <c r="G1984" s="32">
        <v>44508.0</v>
      </c>
      <c r="H1984" s="31" t="s">
        <v>576</v>
      </c>
      <c r="I1984" s="31" t="s">
        <v>2817</v>
      </c>
      <c r="J1984" s="31" t="s">
        <v>4652</v>
      </c>
      <c r="K1984" s="31" t="s">
        <v>4653</v>
      </c>
      <c r="L1984" s="31" t="s">
        <v>579</v>
      </c>
      <c r="M1984" s="31" t="s">
        <v>8009</v>
      </c>
      <c r="N1984" s="31" t="s">
        <v>267</v>
      </c>
      <c r="O1984" s="34"/>
      <c r="P1984" s="31">
        <v>3.0</v>
      </c>
      <c r="Q1984" s="31" t="s">
        <v>307</v>
      </c>
      <c r="R1984" s="32">
        <v>36350.0</v>
      </c>
      <c r="S1984" s="31" t="s">
        <v>626</v>
      </c>
      <c r="T1984" s="31" t="s">
        <v>459</v>
      </c>
      <c r="U1984" s="31" t="s">
        <v>2821</v>
      </c>
      <c r="V1984" s="34"/>
      <c r="W1984" s="34"/>
    </row>
    <row r="1985">
      <c r="A1985" s="30">
        <v>1.98</v>
      </c>
      <c r="B1985" s="31" t="s">
        <v>8010</v>
      </c>
      <c r="C1985" s="31" t="s">
        <v>8011</v>
      </c>
      <c r="D1985" s="31" t="s">
        <v>2932</v>
      </c>
      <c r="E1985" s="31" t="s">
        <v>3598</v>
      </c>
      <c r="F1985" s="32">
        <v>43671.0</v>
      </c>
      <c r="G1985" s="32">
        <v>43733.0</v>
      </c>
      <c r="H1985" s="31" t="s">
        <v>576</v>
      </c>
      <c r="I1985" s="31" t="s">
        <v>2934</v>
      </c>
      <c r="J1985" s="31" t="s">
        <v>3598</v>
      </c>
      <c r="K1985" s="31" t="s">
        <v>3599</v>
      </c>
      <c r="L1985" s="31" t="s">
        <v>2936</v>
      </c>
      <c r="M1985" s="31" t="s">
        <v>8012</v>
      </c>
      <c r="N1985" s="31" t="s">
        <v>267</v>
      </c>
      <c r="O1985" s="34"/>
      <c r="P1985" s="31">
        <v>5.0</v>
      </c>
      <c r="Q1985" s="31" t="s">
        <v>307</v>
      </c>
      <c r="R1985" s="35">
        <v>35752.0</v>
      </c>
      <c r="S1985" s="31" t="s">
        <v>700</v>
      </c>
      <c r="T1985" s="31" t="s">
        <v>686</v>
      </c>
      <c r="U1985" s="31" t="s">
        <v>633</v>
      </c>
      <c r="V1985" s="34"/>
      <c r="W1985" s="34"/>
    </row>
    <row r="1986">
      <c r="A1986" s="30">
        <v>1.981</v>
      </c>
      <c r="B1986" s="31" t="s">
        <v>8013</v>
      </c>
      <c r="C1986" s="31" t="s">
        <v>8014</v>
      </c>
      <c r="D1986" s="31" t="s">
        <v>574</v>
      </c>
      <c r="E1986" s="31" t="s">
        <v>2848</v>
      </c>
      <c r="F1986" s="32">
        <v>43567.0</v>
      </c>
      <c r="G1986" s="32">
        <v>43628.0</v>
      </c>
      <c r="H1986" s="31" t="s">
        <v>576</v>
      </c>
      <c r="I1986" s="31" t="s">
        <v>2817</v>
      </c>
      <c r="J1986" s="31" t="s">
        <v>2848</v>
      </c>
      <c r="K1986" s="31" t="s">
        <v>2849</v>
      </c>
      <c r="L1986" s="31" t="s">
        <v>579</v>
      </c>
      <c r="M1986" s="31" t="s">
        <v>8015</v>
      </c>
      <c r="N1986" s="31" t="s">
        <v>267</v>
      </c>
      <c r="O1986" s="34"/>
      <c r="P1986" s="31">
        <v>6.0</v>
      </c>
      <c r="Q1986" s="31" t="s">
        <v>307</v>
      </c>
      <c r="R1986" s="35">
        <v>33527.0</v>
      </c>
      <c r="S1986" s="31" t="s">
        <v>531</v>
      </c>
      <c r="T1986" s="31" t="s">
        <v>682</v>
      </c>
      <c r="U1986" s="31" t="s">
        <v>2821</v>
      </c>
      <c r="V1986" s="34"/>
      <c r="W1986" s="34"/>
    </row>
    <row r="1987">
      <c r="A1987" s="30">
        <v>1.982</v>
      </c>
      <c r="B1987" s="31" t="s">
        <v>8016</v>
      </c>
      <c r="C1987" s="31" t="s">
        <v>8017</v>
      </c>
      <c r="D1987" s="31" t="s">
        <v>2932</v>
      </c>
      <c r="E1987" s="31" t="s">
        <v>7512</v>
      </c>
      <c r="F1987" s="32">
        <v>43892.0</v>
      </c>
      <c r="G1987" s="32">
        <v>43953.0</v>
      </c>
      <c r="H1987" s="31" t="s">
        <v>576</v>
      </c>
      <c r="I1987" s="31" t="s">
        <v>3257</v>
      </c>
      <c r="J1987" s="31" t="s">
        <v>7512</v>
      </c>
      <c r="K1987" s="31" t="s">
        <v>7513</v>
      </c>
      <c r="L1987" s="31" t="s">
        <v>2936</v>
      </c>
      <c r="M1987" s="31" t="s">
        <v>8018</v>
      </c>
      <c r="N1987" s="31" t="s">
        <v>267</v>
      </c>
      <c r="O1987" s="34"/>
      <c r="P1987" s="31">
        <v>3.0</v>
      </c>
      <c r="Q1987" s="31" t="s">
        <v>307</v>
      </c>
      <c r="R1987" s="32">
        <v>35516.0</v>
      </c>
      <c r="S1987" s="31" t="s">
        <v>7187</v>
      </c>
      <c r="T1987" s="31" t="s">
        <v>8019</v>
      </c>
      <c r="U1987" s="31" t="s">
        <v>633</v>
      </c>
      <c r="V1987" s="34"/>
      <c r="W1987" s="34"/>
    </row>
    <row r="1988">
      <c r="A1988" s="30">
        <v>1.983</v>
      </c>
      <c r="B1988" s="31" t="s">
        <v>8020</v>
      </c>
      <c r="C1988" s="31" t="s">
        <v>8021</v>
      </c>
      <c r="D1988" s="31" t="s">
        <v>574</v>
      </c>
      <c r="E1988" s="31" t="s">
        <v>3027</v>
      </c>
      <c r="F1988" s="32">
        <v>43658.0</v>
      </c>
      <c r="G1988" s="32">
        <v>43720.0</v>
      </c>
      <c r="H1988" s="31" t="s">
        <v>576</v>
      </c>
      <c r="I1988" s="31" t="s">
        <v>577</v>
      </c>
      <c r="J1988" s="31" t="s">
        <v>3027</v>
      </c>
      <c r="K1988" s="31" t="s">
        <v>3028</v>
      </c>
      <c r="L1988" s="31" t="s">
        <v>579</v>
      </c>
      <c r="M1988" s="31" t="s">
        <v>8022</v>
      </c>
      <c r="N1988" s="31" t="s">
        <v>267</v>
      </c>
      <c r="O1988" s="34"/>
      <c r="P1988" s="31">
        <v>6.0</v>
      </c>
      <c r="Q1988" s="31" t="s">
        <v>307</v>
      </c>
      <c r="R1988" s="35">
        <v>35386.0</v>
      </c>
      <c r="S1988" s="31" t="s">
        <v>531</v>
      </c>
      <c r="T1988" s="31" t="s">
        <v>8023</v>
      </c>
      <c r="U1988" s="31" t="s">
        <v>583</v>
      </c>
      <c r="V1988" s="34"/>
      <c r="W1988" s="34"/>
    </row>
    <row r="1989">
      <c r="A1989" s="30">
        <v>1.984</v>
      </c>
      <c r="B1989" s="31" t="s">
        <v>8024</v>
      </c>
      <c r="C1989" s="31" t="s">
        <v>8025</v>
      </c>
      <c r="D1989" s="31" t="s">
        <v>2932</v>
      </c>
      <c r="E1989" s="31" t="s">
        <v>3256</v>
      </c>
      <c r="F1989" s="32">
        <v>43565.0</v>
      </c>
      <c r="G1989" s="32">
        <v>43626.0</v>
      </c>
      <c r="H1989" s="31" t="s">
        <v>576</v>
      </c>
      <c r="I1989" s="31" t="s">
        <v>3257</v>
      </c>
      <c r="J1989" s="31" t="s">
        <v>3256</v>
      </c>
      <c r="K1989" s="31" t="s">
        <v>3258</v>
      </c>
      <c r="L1989" s="31" t="s">
        <v>2936</v>
      </c>
      <c r="M1989" s="31" t="s">
        <v>8026</v>
      </c>
      <c r="N1989" s="31" t="s">
        <v>267</v>
      </c>
      <c r="O1989" s="34"/>
      <c r="P1989" s="31">
        <v>4.0</v>
      </c>
      <c r="Q1989" s="31" t="s">
        <v>307</v>
      </c>
      <c r="R1989" s="32">
        <v>35622.0</v>
      </c>
      <c r="S1989" s="31" t="s">
        <v>8027</v>
      </c>
      <c r="T1989" s="31" t="s">
        <v>1670</v>
      </c>
      <c r="U1989" s="31" t="s">
        <v>271</v>
      </c>
      <c r="V1989" s="34"/>
      <c r="W1989" s="34"/>
    </row>
    <row r="1990">
      <c r="A1990" s="30">
        <v>1.985</v>
      </c>
      <c r="B1990" s="31" t="s">
        <v>8028</v>
      </c>
      <c r="C1990" s="31" t="s">
        <v>8029</v>
      </c>
      <c r="D1990" s="31" t="s">
        <v>2932</v>
      </c>
      <c r="E1990" s="31" t="s">
        <v>2933</v>
      </c>
      <c r="F1990" s="32">
        <v>42898.0</v>
      </c>
      <c r="G1990" s="32">
        <v>42959.0</v>
      </c>
      <c r="H1990" s="31" t="s">
        <v>576</v>
      </c>
      <c r="I1990" s="31" t="s">
        <v>2934</v>
      </c>
      <c r="J1990" s="31" t="s">
        <v>2933</v>
      </c>
      <c r="K1990" s="31" t="s">
        <v>2935</v>
      </c>
      <c r="L1990" s="31" t="s">
        <v>2936</v>
      </c>
      <c r="M1990" s="31" t="s">
        <v>8030</v>
      </c>
      <c r="N1990" s="31" t="s">
        <v>267</v>
      </c>
      <c r="O1990" s="34"/>
      <c r="P1990" s="31">
        <v>4.0</v>
      </c>
      <c r="Q1990" s="31" t="s">
        <v>307</v>
      </c>
      <c r="R1990" s="32">
        <v>34944.0</v>
      </c>
      <c r="S1990" s="31" t="s">
        <v>531</v>
      </c>
      <c r="T1990" s="31" t="s">
        <v>503</v>
      </c>
      <c r="U1990" s="31" t="s">
        <v>633</v>
      </c>
      <c r="V1990" s="34"/>
      <c r="W1990" s="34"/>
    </row>
    <row r="1991">
      <c r="A1991" s="30">
        <v>1.986</v>
      </c>
      <c r="B1991" s="31" t="s">
        <v>8031</v>
      </c>
      <c r="C1991" s="31" t="s">
        <v>8032</v>
      </c>
      <c r="D1991" s="31" t="s">
        <v>574</v>
      </c>
      <c r="E1991" s="31" t="s">
        <v>3325</v>
      </c>
      <c r="F1991" s="32">
        <v>43299.0</v>
      </c>
      <c r="G1991" s="32">
        <v>43362.0</v>
      </c>
      <c r="H1991" s="31" t="s">
        <v>576</v>
      </c>
      <c r="I1991" s="31" t="s">
        <v>577</v>
      </c>
      <c r="J1991" s="31" t="s">
        <v>3325</v>
      </c>
      <c r="K1991" s="31" t="s">
        <v>3326</v>
      </c>
      <c r="L1991" s="31" t="s">
        <v>579</v>
      </c>
      <c r="M1991" s="31" t="s">
        <v>8033</v>
      </c>
      <c r="N1991" s="31" t="s">
        <v>467</v>
      </c>
      <c r="O1991" s="34"/>
      <c r="P1991" s="31">
        <v>7.0</v>
      </c>
      <c r="Q1991" s="31" t="s">
        <v>307</v>
      </c>
      <c r="R1991" s="32">
        <v>35168.0</v>
      </c>
      <c r="S1991" s="31" t="s">
        <v>1197</v>
      </c>
      <c r="T1991" s="31" t="s">
        <v>1657</v>
      </c>
      <c r="U1991" s="31" t="s">
        <v>583</v>
      </c>
      <c r="V1991" s="34"/>
      <c r="W1991" s="34"/>
    </row>
    <row r="1992">
      <c r="A1992" s="30">
        <v>1.987</v>
      </c>
      <c r="B1992" s="31" t="s">
        <v>8034</v>
      </c>
      <c r="C1992" s="31" t="s">
        <v>8035</v>
      </c>
      <c r="D1992" s="31" t="s">
        <v>506</v>
      </c>
      <c r="E1992" s="31" t="s">
        <v>2810</v>
      </c>
      <c r="F1992" s="32">
        <v>43602.0</v>
      </c>
      <c r="G1992" s="32">
        <v>43663.0</v>
      </c>
      <c r="H1992" s="31" t="s">
        <v>325</v>
      </c>
      <c r="I1992" s="31" t="s">
        <v>2810</v>
      </c>
      <c r="J1992" s="34"/>
      <c r="K1992" s="31" t="s">
        <v>7631</v>
      </c>
      <c r="L1992" s="31" t="s">
        <v>508</v>
      </c>
      <c r="M1992" s="31" t="s">
        <v>8036</v>
      </c>
      <c r="N1992" s="31" t="s">
        <v>467</v>
      </c>
      <c r="O1992" s="34"/>
      <c r="P1992" s="31">
        <v>4.0</v>
      </c>
      <c r="Q1992" s="31" t="s">
        <v>307</v>
      </c>
      <c r="R1992" s="32">
        <v>34422.0</v>
      </c>
      <c r="S1992" s="31" t="s">
        <v>531</v>
      </c>
      <c r="T1992" s="31" t="s">
        <v>1657</v>
      </c>
      <c r="U1992" s="31" t="s">
        <v>331</v>
      </c>
      <c r="V1992" s="34"/>
      <c r="W1992" s="34"/>
    </row>
    <row r="1993">
      <c r="A1993" s="30">
        <v>1.988</v>
      </c>
      <c r="B1993" s="31" t="s">
        <v>8037</v>
      </c>
      <c r="C1993" s="31" t="s">
        <v>8038</v>
      </c>
      <c r="D1993" s="31" t="s">
        <v>2932</v>
      </c>
      <c r="E1993" s="31" t="s">
        <v>7512</v>
      </c>
      <c r="F1993" s="35">
        <v>43797.0</v>
      </c>
      <c r="G1993" s="32">
        <v>43858.0</v>
      </c>
      <c r="H1993" s="31" t="s">
        <v>576</v>
      </c>
      <c r="I1993" s="31" t="s">
        <v>3257</v>
      </c>
      <c r="J1993" s="31" t="s">
        <v>7512</v>
      </c>
      <c r="K1993" s="31" t="s">
        <v>7513</v>
      </c>
      <c r="L1993" s="31" t="s">
        <v>2936</v>
      </c>
      <c r="M1993" s="31" t="s">
        <v>8039</v>
      </c>
      <c r="N1993" s="31" t="s">
        <v>267</v>
      </c>
      <c r="O1993" s="34"/>
      <c r="P1993" s="31">
        <v>5.0</v>
      </c>
      <c r="Q1993" s="31" t="s">
        <v>307</v>
      </c>
      <c r="R1993" s="32">
        <v>35536.0</v>
      </c>
      <c r="S1993" s="31" t="s">
        <v>1472</v>
      </c>
      <c r="T1993" s="31" t="s">
        <v>744</v>
      </c>
      <c r="U1993" s="31" t="s">
        <v>633</v>
      </c>
      <c r="V1993" s="34"/>
      <c r="W1993" s="34"/>
    </row>
    <row r="1994">
      <c r="A1994" s="30">
        <v>1.989</v>
      </c>
      <c r="B1994" s="31" t="s">
        <v>8040</v>
      </c>
      <c r="C1994" s="31" t="s">
        <v>8041</v>
      </c>
      <c r="D1994" s="31" t="s">
        <v>574</v>
      </c>
      <c r="E1994" s="31" t="s">
        <v>7470</v>
      </c>
      <c r="F1994" s="32">
        <v>40287.0</v>
      </c>
      <c r="G1994" s="32">
        <v>40348.0</v>
      </c>
      <c r="H1994" s="31" t="s">
        <v>576</v>
      </c>
      <c r="I1994" s="31" t="s">
        <v>2817</v>
      </c>
      <c r="J1994" s="31" t="s">
        <v>7470</v>
      </c>
      <c r="K1994" s="31" t="s">
        <v>7471</v>
      </c>
      <c r="L1994" s="31" t="s">
        <v>579</v>
      </c>
      <c r="M1994" s="31" t="s">
        <v>8042</v>
      </c>
      <c r="N1994" s="31" t="s">
        <v>267</v>
      </c>
      <c r="O1994" s="34"/>
      <c r="P1994" s="31">
        <v>3.0</v>
      </c>
      <c r="Q1994" s="31" t="s">
        <v>307</v>
      </c>
      <c r="R1994" s="32">
        <v>32021.0</v>
      </c>
      <c r="S1994" s="31" t="s">
        <v>320</v>
      </c>
      <c r="T1994" s="31" t="s">
        <v>8043</v>
      </c>
      <c r="U1994" s="31" t="s">
        <v>331</v>
      </c>
      <c r="V1994" s="34"/>
      <c r="W1994" s="34"/>
    </row>
    <row r="1995">
      <c r="A1995" s="30">
        <v>1.99</v>
      </c>
      <c r="B1995" s="31" t="s">
        <v>8044</v>
      </c>
      <c r="C1995" s="31" t="s">
        <v>8045</v>
      </c>
      <c r="D1995" s="31" t="s">
        <v>2932</v>
      </c>
      <c r="E1995" s="31" t="s">
        <v>3256</v>
      </c>
      <c r="F1995" s="32">
        <v>44015.0</v>
      </c>
      <c r="G1995" s="32">
        <v>44077.0</v>
      </c>
      <c r="H1995" s="31" t="s">
        <v>576</v>
      </c>
      <c r="I1995" s="31" t="s">
        <v>3257</v>
      </c>
      <c r="J1995" s="31" t="s">
        <v>3256</v>
      </c>
      <c r="K1995" s="31" t="s">
        <v>3258</v>
      </c>
      <c r="L1995" s="31" t="s">
        <v>2936</v>
      </c>
      <c r="M1995" s="31" t="s">
        <v>8046</v>
      </c>
      <c r="N1995" s="31" t="s">
        <v>267</v>
      </c>
      <c r="O1995" s="34"/>
      <c r="P1995" s="31">
        <v>5.0</v>
      </c>
      <c r="Q1995" s="31" t="s">
        <v>307</v>
      </c>
      <c r="R1995" s="35">
        <v>35775.0</v>
      </c>
      <c r="S1995" s="31" t="s">
        <v>531</v>
      </c>
      <c r="T1995" s="31" t="s">
        <v>8047</v>
      </c>
      <c r="U1995" s="31" t="s">
        <v>271</v>
      </c>
      <c r="V1995" s="34"/>
      <c r="W1995" s="34"/>
    </row>
    <row r="1996">
      <c r="A1996" s="30">
        <v>1.991</v>
      </c>
      <c r="B1996" s="31" t="s">
        <v>8048</v>
      </c>
      <c r="C1996" s="31" t="s">
        <v>6620</v>
      </c>
      <c r="D1996" s="31" t="s">
        <v>574</v>
      </c>
      <c r="E1996" s="31" t="s">
        <v>2848</v>
      </c>
      <c r="F1996" s="32">
        <v>44200.0</v>
      </c>
      <c r="G1996" s="32">
        <v>44259.0</v>
      </c>
      <c r="H1996" s="31" t="s">
        <v>576</v>
      </c>
      <c r="I1996" s="31" t="s">
        <v>2817</v>
      </c>
      <c r="J1996" s="31" t="s">
        <v>2848</v>
      </c>
      <c r="K1996" s="31" t="s">
        <v>2849</v>
      </c>
      <c r="L1996" s="31" t="s">
        <v>579</v>
      </c>
      <c r="M1996" s="31" t="s">
        <v>8049</v>
      </c>
      <c r="N1996" s="31" t="s">
        <v>267</v>
      </c>
      <c r="O1996" s="34"/>
      <c r="P1996" s="31">
        <v>3.0</v>
      </c>
      <c r="Q1996" s="31" t="s">
        <v>307</v>
      </c>
      <c r="R1996" s="32">
        <v>35823.0</v>
      </c>
      <c r="S1996" s="31" t="s">
        <v>531</v>
      </c>
      <c r="T1996" s="31" t="s">
        <v>1370</v>
      </c>
      <c r="U1996" s="31" t="s">
        <v>2821</v>
      </c>
      <c r="V1996" s="34"/>
      <c r="W1996" s="34"/>
    </row>
    <row r="1997">
      <c r="A1997" s="30">
        <v>1.992</v>
      </c>
      <c r="B1997" s="31" t="s">
        <v>8050</v>
      </c>
      <c r="C1997" s="31" t="s">
        <v>8051</v>
      </c>
      <c r="D1997" s="31" t="s">
        <v>3237</v>
      </c>
      <c r="E1997" s="31" t="s">
        <v>3238</v>
      </c>
      <c r="F1997" s="35">
        <v>40527.0</v>
      </c>
      <c r="G1997" s="32">
        <v>40589.0</v>
      </c>
      <c r="H1997" s="31" t="s">
        <v>576</v>
      </c>
      <c r="I1997" s="31" t="s">
        <v>3239</v>
      </c>
      <c r="J1997" s="31" t="s">
        <v>3238</v>
      </c>
      <c r="K1997" s="31" t="s">
        <v>3240</v>
      </c>
      <c r="L1997" s="31" t="s">
        <v>3241</v>
      </c>
      <c r="M1997" s="31" t="s">
        <v>8052</v>
      </c>
      <c r="N1997" s="31" t="s">
        <v>267</v>
      </c>
      <c r="O1997" s="34"/>
      <c r="P1997" s="31">
        <v>7.0</v>
      </c>
      <c r="Q1997" s="31" t="s">
        <v>307</v>
      </c>
      <c r="R1997" s="32">
        <v>32298.0</v>
      </c>
      <c r="S1997" s="31" t="s">
        <v>8053</v>
      </c>
      <c r="T1997" s="31" t="s">
        <v>1881</v>
      </c>
      <c r="U1997" s="31" t="s">
        <v>271</v>
      </c>
      <c r="V1997" s="34"/>
      <c r="W1997" s="34"/>
    </row>
    <row r="1998">
      <c r="A1998" s="30">
        <v>1.993</v>
      </c>
      <c r="B1998" s="31" t="s">
        <v>8054</v>
      </c>
      <c r="C1998" s="31" t="s">
        <v>8055</v>
      </c>
      <c r="D1998" s="31" t="s">
        <v>2932</v>
      </c>
      <c r="E1998" s="31" t="s">
        <v>3256</v>
      </c>
      <c r="F1998" s="32">
        <v>42962.0</v>
      </c>
      <c r="G1998" s="35">
        <v>43023.0</v>
      </c>
      <c r="H1998" s="31" t="s">
        <v>576</v>
      </c>
      <c r="I1998" s="31" t="s">
        <v>3257</v>
      </c>
      <c r="J1998" s="31" t="s">
        <v>3256</v>
      </c>
      <c r="K1998" s="31" t="s">
        <v>3258</v>
      </c>
      <c r="L1998" s="31" t="s">
        <v>2936</v>
      </c>
      <c r="M1998" s="31" t="s">
        <v>8056</v>
      </c>
      <c r="N1998" s="31" t="s">
        <v>267</v>
      </c>
      <c r="O1998" s="34"/>
      <c r="P1998" s="31">
        <v>5.0</v>
      </c>
      <c r="Q1998" s="31" t="s">
        <v>307</v>
      </c>
      <c r="R1998" s="32">
        <v>34747.0</v>
      </c>
      <c r="S1998" s="31" t="s">
        <v>531</v>
      </c>
      <c r="T1998" s="31" t="s">
        <v>1881</v>
      </c>
      <c r="U1998" s="31" t="s">
        <v>271</v>
      </c>
      <c r="V1998" s="34"/>
      <c r="W1998" s="34"/>
    </row>
    <row r="1999">
      <c r="A1999" s="30">
        <v>1.994</v>
      </c>
      <c r="B1999" s="31" t="s">
        <v>8057</v>
      </c>
      <c r="C1999" s="31" t="s">
        <v>8058</v>
      </c>
      <c r="D1999" s="31" t="s">
        <v>574</v>
      </c>
      <c r="E1999" s="31" t="s">
        <v>7470</v>
      </c>
      <c r="F1999" s="32">
        <v>44169.0</v>
      </c>
      <c r="G1999" s="32">
        <v>44231.0</v>
      </c>
      <c r="H1999" s="31" t="s">
        <v>576</v>
      </c>
      <c r="I1999" s="31" t="s">
        <v>2817</v>
      </c>
      <c r="J1999" s="31" t="s">
        <v>7470</v>
      </c>
      <c r="K1999" s="31" t="s">
        <v>7471</v>
      </c>
      <c r="L1999" s="31" t="s">
        <v>579</v>
      </c>
      <c r="M1999" s="31" t="s">
        <v>8059</v>
      </c>
      <c r="N1999" s="31" t="s">
        <v>267</v>
      </c>
      <c r="O1999" s="34"/>
      <c r="P1999" s="31">
        <v>2.0</v>
      </c>
      <c r="Q1999" s="31" t="s">
        <v>307</v>
      </c>
      <c r="R1999" s="32">
        <v>35851.0</v>
      </c>
      <c r="S1999" s="31" t="s">
        <v>3871</v>
      </c>
      <c r="T1999" s="31" t="s">
        <v>1895</v>
      </c>
      <c r="U1999" s="31" t="s">
        <v>331</v>
      </c>
      <c r="V1999" s="34"/>
      <c r="W1999" s="34"/>
    </row>
    <row r="2000">
      <c r="A2000" s="30">
        <v>1.995</v>
      </c>
      <c r="B2000" s="31" t="s">
        <v>8060</v>
      </c>
      <c r="C2000" s="31" t="s">
        <v>8061</v>
      </c>
      <c r="D2000" s="31" t="s">
        <v>3026</v>
      </c>
      <c r="E2000" s="31" t="s">
        <v>3325</v>
      </c>
      <c r="F2000" s="35">
        <v>42293.0</v>
      </c>
      <c r="G2000" s="35">
        <v>42353.0</v>
      </c>
      <c r="H2000" s="31" t="s">
        <v>576</v>
      </c>
      <c r="I2000" s="31" t="s">
        <v>577</v>
      </c>
      <c r="J2000" s="31" t="s">
        <v>3325</v>
      </c>
      <c r="K2000" s="31" t="s">
        <v>3326</v>
      </c>
      <c r="L2000" s="31" t="s">
        <v>3029</v>
      </c>
      <c r="M2000" s="31" t="s">
        <v>8062</v>
      </c>
      <c r="N2000" s="31" t="s">
        <v>267</v>
      </c>
      <c r="O2000" s="31">
        <v>1.0</v>
      </c>
      <c r="P2000" s="31" t="s">
        <v>3031</v>
      </c>
      <c r="Q2000" s="31" t="s">
        <v>307</v>
      </c>
      <c r="R2000" s="32">
        <v>34279.0</v>
      </c>
      <c r="S2000" s="31" t="s">
        <v>531</v>
      </c>
      <c r="T2000" s="31" t="s">
        <v>8063</v>
      </c>
      <c r="U2000" s="31" t="s">
        <v>583</v>
      </c>
      <c r="V2000" s="34"/>
      <c r="W2000" s="34"/>
    </row>
    <row r="2001">
      <c r="A2001" s="30">
        <v>1.996</v>
      </c>
      <c r="B2001" s="31" t="s">
        <v>8064</v>
      </c>
      <c r="C2001" s="31" t="s">
        <v>8065</v>
      </c>
      <c r="D2001" s="31" t="s">
        <v>574</v>
      </c>
      <c r="E2001" s="31" t="s">
        <v>3027</v>
      </c>
      <c r="F2001" s="32">
        <v>40564.0</v>
      </c>
      <c r="G2001" s="32">
        <v>40623.0</v>
      </c>
      <c r="H2001" s="31" t="s">
        <v>576</v>
      </c>
      <c r="I2001" s="31" t="s">
        <v>577</v>
      </c>
      <c r="J2001" s="31" t="s">
        <v>3027</v>
      </c>
      <c r="K2001" s="31" t="s">
        <v>3028</v>
      </c>
      <c r="L2001" s="31" t="s">
        <v>579</v>
      </c>
      <c r="M2001" s="31" t="s">
        <v>8066</v>
      </c>
      <c r="N2001" s="31" t="s">
        <v>267</v>
      </c>
      <c r="O2001" s="34"/>
      <c r="P2001" s="34"/>
      <c r="Q2001" s="31" t="s">
        <v>307</v>
      </c>
      <c r="R2001" s="32">
        <v>31871.0</v>
      </c>
      <c r="S2001" s="31" t="s">
        <v>626</v>
      </c>
      <c r="T2001" s="31" t="s">
        <v>8067</v>
      </c>
      <c r="U2001" s="31" t="s">
        <v>583</v>
      </c>
      <c r="V2001" s="34"/>
      <c r="W2001" s="34"/>
    </row>
    <row r="2002">
      <c r="A2002" s="30">
        <v>1.997</v>
      </c>
      <c r="B2002" s="31" t="s">
        <v>8068</v>
      </c>
      <c r="C2002" s="31" t="s">
        <v>8069</v>
      </c>
      <c r="D2002" s="31" t="s">
        <v>574</v>
      </c>
      <c r="E2002" s="31" t="s">
        <v>575</v>
      </c>
      <c r="F2002" s="35">
        <v>44183.0</v>
      </c>
      <c r="G2002" s="32">
        <v>44245.0</v>
      </c>
      <c r="H2002" s="31" t="s">
        <v>576</v>
      </c>
      <c r="I2002" s="31" t="s">
        <v>577</v>
      </c>
      <c r="J2002" s="31" t="s">
        <v>575</v>
      </c>
      <c r="K2002" s="31" t="s">
        <v>578</v>
      </c>
      <c r="L2002" s="31" t="s">
        <v>579</v>
      </c>
      <c r="M2002" s="31" t="s">
        <v>8070</v>
      </c>
      <c r="N2002" s="31" t="s">
        <v>267</v>
      </c>
      <c r="O2002" s="34"/>
      <c r="P2002" s="31">
        <v>6.0</v>
      </c>
      <c r="Q2002" s="31" t="s">
        <v>307</v>
      </c>
      <c r="R2002" s="32">
        <v>35768.0</v>
      </c>
      <c r="S2002" s="31" t="s">
        <v>531</v>
      </c>
      <c r="T2002" s="31" t="s">
        <v>3184</v>
      </c>
      <c r="U2002" s="31" t="s">
        <v>583</v>
      </c>
      <c r="V2002" s="34"/>
      <c r="W2002" s="34"/>
    </row>
    <row r="2003">
      <c r="A2003" s="30">
        <v>1.998</v>
      </c>
      <c r="B2003" s="31" t="s">
        <v>8071</v>
      </c>
      <c r="C2003" s="31" t="s">
        <v>3783</v>
      </c>
      <c r="D2003" s="31" t="s">
        <v>574</v>
      </c>
      <c r="E2003" s="31" t="s">
        <v>2816</v>
      </c>
      <c r="F2003" s="32">
        <v>41821.0</v>
      </c>
      <c r="G2003" s="32">
        <v>41883.0</v>
      </c>
      <c r="H2003" s="31" t="s">
        <v>576</v>
      </c>
      <c r="I2003" s="31" t="s">
        <v>2817</v>
      </c>
      <c r="J2003" s="31" t="s">
        <v>2816</v>
      </c>
      <c r="K2003" s="31" t="s">
        <v>2818</v>
      </c>
      <c r="L2003" s="31" t="s">
        <v>579</v>
      </c>
      <c r="M2003" s="31" t="s">
        <v>8072</v>
      </c>
      <c r="N2003" s="31" t="s">
        <v>267</v>
      </c>
      <c r="O2003" s="34"/>
      <c r="P2003" s="31">
        <v>6.0</v>
      </c>
      <c r="Q2003" s="31" t="s">
        <v>307</v>
      </c>
      <c r="R2003" s="32">
        <v>32843.0</v>
      </c>
      <c r="S2003" s="31" t="s">
        <v>531</v>
      </c>
      <c r="T2003" s="31" t="s">
        <v>705</v>
      </c>
      <c r="U2003" s="31" t="s">
        <v>2821</v>
      </c>
      <c r="V2003" s="34"/>
      <c r="W2003" s="34"/>
    </row>
    <row r="2004">
      <c r="A2004" s="30">
        <v>1.999</v>
      </c>
      <c r="B2004" s="31" t="s">
        <v>8073</v>
      </c>
      <c r="C2004" s="31" t="s">
        <v>8074</v>
      </c>
      <c r="D2004" s="31" t="s">
        <v>574</v>
      </c>
      <c r="E2004" s="31" t="s">
        <v>3430</v>
      </c>
      <c r="F2004" s="32">
        <v>44142.0</v>
      </c>
      <c r="G2004" s="32">
        <v>44203.0</v>
      </c>
      <c r="H2004" s="31" t="s">
        <v>576</v>
      </c>
      <c r="I2004" s="31" t="s">
        <v>3431</v>
      </c>
      <c r="J2004" s="31" t="s">
        <v>3430</v>
      </c>
      <c r="K2004" s="31" t="s">
        <v>3432</v>
      </c>
      <c r="L2004" s="31" t="s">
        <v>579</v>
      </c>
      <c r="M2004" s="31" t="s">
        <v>8075</v>
      </c>
      <c r="N2004" s="31" t="s">
        <v>267</v>
      </c>
      <c r="O2004" s="34"/>
      <c r="P2004" s="31">
        <v>1.0</v>
      </c>
      <c r="Q2004" s="31" t="s">
        <v>307</v>
      </c>
      <c r="R2004" s="32">
        <v>35673.0</v>
      </c>
      <c r="S2004" s="31" t="s">
        <v>8076</v>
      </c>
      <c r="T2004" s="31" t="s">
        <v>1895</v>
      </c>
      <c r="U2004" s="31" t="s">
        <v>331</v>
      </c>
      <c r="V2004" s="34"/>
      <c r="W2004" s="34"/>
    </row>
    <row r="2005">
      <c r="A2005" s="30">
        <v>2.0</v>
      </c>
      <c r="B2005" s="31" t="s">
        <v>8077</v>
      </c>
      <c r="C2005" s="31" t="s">
        <v>8078</v>
      </c>
      <c r="D2005" s="31" t="s">
        <v>8079</v>
      </c>
      <c r="E2005" s="31" t="s">
        <v>577</v>
      </c>
      <c r="F2005" s="35">
        <v>40841.0</v>
      </c>
      <c r="G2005" s="35">
        <v>40902.0</v>
      </c>
      <c r="H2005" s="31" t="s">
        <v>576</v>
      </c>
      <c r="I2005" s="31" t="s">
        <v>577</v>
      </c>
      <c r="J2005" s="34"/>
      <c r="K2005" s="31" t="s">
        <v>8080</v>
      </c>
      <c r="L2005" s="31" t="s">
        <v>8081</v>
      </c>
      <c r="M2005" s="31" t="s">
        <v>8082</v>
      </c>
      <c r="N2005" s="31" t="s">
        <v>267</v>
      </c>
      <c r="O2005" s="31">
        <v>2.0</v>
      </c>
      <c r="P2005" s="31" t="s">
        <v>3031</v>
      </c>
      <c r="Q2005" s="31" t="s">
        <v>307</v>
      </c>
      <c r="R2005" s="35">
        <v>33233.0</v>
      </c>
      <c r="S2005" s="31" t="s">
        <v>531</v>
      </c>
      <c r="T2005" s="31" t="s">
        <v>8083</v>
      </c>
      <c r="U2005" s="31" t="s">
        <v>583</v>
      </c>
      <c r="V2005" s="34"/>
      <c r="W2005" s="34"/>
    </row>
    <row r="2006">
      <c r="A2006" s="30">
        <v>2.001</v>
      </c>
      <c r="B2006" s="31" t="s">
        <v>8084</v>
      </c>
      <c r="C2006" s="31" t="s">
        <v>8085</v>
      </c>
      <c r="D2006" s="31" t="s">
        <v>2932</v>
      </c>
      <c r="E2006" s="31" t="s">
        <v>3256</v>
      </c>
      <c r="F2006" s="32">
        <v>44137.0</v>
      </c>
      <c r="G2006" s="32">
        <v>44198.0</v>
      </c>
      <c r="H2006" s="31" t="s">
        <v>576</v>
      </c>
      <c r="I2006" s="31" t="s">
        <v>3257</v>
      </c>
      <c r="J2006" s="31" t="s">
        <v>3256</v>
      </c>
      <c r="K2006" s="31" t="s">
        <v>3258</v>
      </c>
      <c r="L2006" s="31" t="s">
        <v>2936</v>
      </c>
      <c r="M2006" s="31" t="s">
        <v>8086</v>
      </c>
      <c r="N2006" s="31" t="s">
        <v>267</v>
      </c>
      <c r="O2006" s="34"/>
      <c r="P2006" s="31">
        <v>4.0</v>
      </c>
      <c r="Q2006" s="31" t="s">
        <v>307</v>
      </c>
      <c r="R2006" s="32">
        <v>35107.0</v>
      </c>
      <c r="S2006" s="31" t="s">
        <v>3017</v>
      </c>
      <c r="T2006" s="31" t="s">
        <v>7573</v>
      </c>
      <c r="U2006" s="31" t="s">
        <v>271</v>
      </c>
      <c r="V2006" s="34"/>
      <c r="W2006" s="34"/>
    </row>
    <row r="2007">
      <c r="A2007" s="30">
        <v>2.002</v>
      </c>
      <c r="B2007" s="31" t="s">
        <v>8087</v>
      </c>
      <c r="C2007" s="31" t="s">
        <v>4807</v>
      </c>
      <c r="D2007" s="31" t="s">
        <v>2932</v>
      </c>
      <c r="E2007" s="31" t="s">
        <v>2933</v>
      </c>
      <c r="F2007" s="35">
        <v>43083.0</v>
      </c>
      <c r="G2007" s="32">
        <v>43145.0</v>
      </c>
      <c r="H2007" s="31" t="s">
        <v>576</v>
      </c>
      <c r="I2007" s="31" t="s">
        <v>2934</v>
      </c>
      <c r="J2007" s="31" t="s">
        <v>2933</v>
      </c>
      <c r="K2007" s="31" t="s">
        <v>2935</v>
      </c>
      <c r="L2007" s="31" t="s">
        <v>2936</v>
      </c>
      <c r="M2007" s="31" t="s">
        <v>8088</v>
      </c>
      <c r="N2007" s="31" t="s">
        <v>267</v>
      </c>
      <c r="O2007" s="34"/>
      <c r="P2007" s="31">
        <v>8.0</v>
      </c>
      <c r="Q2007" s="31" t="s">
        <v>307</v>
      </c>
      <c r="R2007" s="32">
        <v>34934.0</v>
      </c>
      <c r="S2007" s="31" t="s">
        <v>8089</v>
      </c>
      <c r="T2007" s="31" t="s">
        <v>1178</v>
      </c>
      <c r="U2007" s="31" t="s">
        <v>633</v>
      </c>
      <c r="V2007" s="34"/>
      <c r="W2007" s="34"/>
    </row>
    <row r="2008">
      <c r="A2008" s="30">
        <v>2.003</v>
      </c>
      <c r="B2008" s="31" t="s">
        <v>8090</v>
      </c>
      <c r="C2008" s="31" t="s">
        <v>8091</v>
      </c>
      <c r="D2008" s="31" t="s">
        <v>574</v>
      </c>
      <c r="E2008" s="31" t="s">
        <v>4652</v>
      </c>
      <c r="F2008" s="32">
        <v>42738.0</v>
      </c>
      <c r="G2008" s="32">
        <v>42795.0</v>
      </c>
      <c r="H2008" s="31" t="s">
        <v>576</v>
      </c>
      <c r="I2008" s="31" t="s">
        <v>2817</v>
      </c>
      <c r="J2008" s="31" t="s">
        <v>4652</v>
      </c>
      <c r="K2008" s="31" t="s">
        <v>4653</v>
      </c>
      <c r="L2008" s="31" t="s">
        <v>579</v>
      </c>
      <c r="M2008" s="31" t="s">
        <v>8092</v>
      </c>
      <c r="N2008" s="31" t="s">
        <v>467</v>
      </c>
      <c r="O2008" s="34"/>
      <c r="P2008" s="34"/>
      <c r="Q2008" s="31" t="s">
        <v>307</v>
      </c>
      <c r="R2008" s="32">
        <v>33653.0</v>
      </c>
      <c r="S2008" s="31" t="s">
        <v>626</v>
      </c>
      <c r="T2008" s="31" t="s">
        <v>8093</v>
      </c>
      <c r="U2008" s="31" t="s">
        <v>2821</v>
      </c>
      <c r="V2008" s="34"/>
      <c r="W2008" s="34"/>
    </row>
    <row r="2009">
      <c r="A2009" s="30">
        <v>2.004</v>
      </c>
      <c r="B2009" s="31" t="s">
        <v>8094</v>
      </c>
      <c r="C2009" s="31" t="s">
        <v>8095</v>
      </c>
      <c r="D2009" s="31" t="s">
        <v>3026</v>
      </c>
      <c r="E2009" s="31" t="s">
        <v>2848</v>
      </c>
      <c r="F2009" s="32">
        <v>43318.0</v>
      </c>
      <c r="G2009" s="32">
        <v>43379.0</v>
      </c>
      <c r="H2009" s="31" t="s">
        <v>576</v>
      </c>
      <c r="I2009" s="31" t="s">
        <v>2817</v>
      </c>
      <c r="J2009" s="31" t="s">
        <v>2848</v>
      </c>
      <c r="K2009" s="31" t="s">
        <v>2849</v>
      </c>
      <c r="L2009" s="31" t="s">
        <v>3029</v>
      </c>
      <c r="M2009" s="31" t="s">
        <v>8096</v>
      </c>
      <c r="N2009" s="31" t="s">
        <v>267</v>
      </c>
      <c r="O2009" s="31">
        <v>1.0</v>
      </c>
      <c r="P2009" s="31">
        <v>14.0</v>
      </c>
      <c r="Q2009" s="31" t="s">
        <v>307</v>
      </c>
      <c r="R2009" s="32">
        <v>33498.0</v>
      </c>
      <c r="S2009" s="31" t="s">
        <v>626</v>
      </c>
      <c r="T2009" s="31" t="s">
        <v>582</v>
      </c>
      <c r="U2009" s="31" t="s">
        <v>2821</v>
      </c>
      <c r="V2009" s="34"/>
      <c r="W2009" s="34"/>
    </row>
    <row r="2010">
      <c r="A2010" s="30">
        <v>2.005</v>
      </c>
      <c r="B2010" s="31" t="s">
        <v>8097</v>
      </c>
      <c r="C2010" s="31" t="s">
        <v>8098</v>
      </c>
      <c r="D2010" s="31" t="s">
        <v>2932</v>
      </c>
      <c r="E2010" s="31" t="s">
        <v>3256</v>
      </c>
      <c r="F2010" s="35">
        <v>44119.0</v>
      </c>
      <c r="G2010" s="35">
        <v>44180.0</v>
      </c>
      <c r="H2010" s="31" t="s">
        <v>576</v>
      </c>
      <c r="I2010" s="31" t="s">
        <v>3257</v>
      </c>
      <c r="J2010" s="31" t="s">
        <v>3256</v>
      </c>
      <c r="K2010" s="31" t="s">
        <v>3258</v>
      </c>
      <c r="L2010" s="31" t="s">
        <v>2936</v>
      </c>
      <c r="M2010" s="31" t="s">
        <v>8099</v>
      </c>
      <c r="N2010" s="31" t="s">
        <v>267</v>
      </c>
      <c r="O2010" s="34"/>
      <c r="P2010" s="31">
        <v>3.0</v>
      </c>
      <c r="Q2010" s="31" t="s">
        <v>307</v>
      </c>
      <c r="R2010" s="35">
        <v>35776.0</v>
      </c>
      <c r="S2010" s="31" t="s">
        <v>676</v>
      </c>
      <c r="T2010" s="31" t="s">
        <v>8100</v>
      </c>
      <c r="U2010" s="31" t="s">
        <v>271</v>
      </c>
      <c r="V2010" s="34"/>
      <c r="W2010" s="34"/>
    </row>
    <row r="2011">
      <c r="A2011" s="30">
        <v>2.006</v>
      </c>
      <c r="B2011" s="31" t="s">
        <v>8101</v>
      </c>
      <c r="C2011" s="31" t="s">
        <v>8102</v>
      </c>
      <c r="D2011" s="31" t="s">
        <v>574</v>
      </c>
      <c r="E2011" s="31" t="s">
        <v>7470</v>
      </c>
      <c r="F2011" s="32">
        <v>44326.0</v>
      </c>
      <c r="G2011" s="32">
        <v>44387.0</v>
      </c>
      <c r="H2011" s="31" t="s">
        <v>576</v>
      </c>
      <c r="I2011" s="31" t="s">
        <v>2817</v>
      </c>
      <c r="J2011" s="31" t="s">
        <v>7470</v>
      </c>
      <c r="K2011" s="31" t="s">
        <v>7471</v>
      </c>
      <c r="L2011" s="31" t="s">
        <v>579</v>
      </c>
      <c r="M2011" s="31" t="s">
        <v>8103</v>
      </c>
      <c r="N2011" s="31" t="s">
        <v>267</v>
      </c>
      <c r="O2011" s="34"/>
      <c r="P2011" s="31" t="s">
        <v>3031</v>
      </c>
      <c r="Q2011" s="31" t="s">
        <v>307</v>
      </c>
      <c r="R2011" s="32">
        <v>35517.0</v>
      </c>
      <c r="S2011" s="31" t="s">
        <v>531</v>
      </c>
      <c r="T2011" s="31" t="s">
        <v>1178</v>
      </c>
      <c r="U2011" s="31" t="s">
        <v>2821</v>
      </c>
      <c r="V2011" s="34"/>
      <c r="W2011" s="34"/>
    </row>
    <row r="2012">
      <c r="A2012" s="30">
        <v>2.007</v>
      </c>
      <c r="B2012" s="31" t="s">
        <v>8104</v>
      </c>
      <c r="C2012" s="31" t="s">
        <v>8105</v>
      </c>
      <c r="D2012" s="31" t="s">
        <v>2932</v>
      </c>
      <c r="E2012" s="31" t="s">
        <v>3256</v>
      </c>
      <c r="F2012" s="32">
        <v>43773.0</v>
      </c>
      <c r="G2012" s="32">
        <v>43834.0</v>
      </c>
      <c r="H2012" s="31" t="s">
        <v>576</v>
      </c>
      <c r="I2012" s="31" t="s">
        <v>3257</v>
      </c>
      <c r="J2012" s="31" t="s">
        <v>3256</v>
      </c>
      <c r="K2012" s="31" t="s">
        <v>3258</v>
      </c>
      <c r="L2012" s="31" t="s">
        <v>2936</v>
      </c>
      <c r="M2012" s="31" t="s">
        <v>8106</v>
      </c>
      <c r="N2012" s="31" t="s">
        <v>267</v>
      </c>
      <c r="O2012" s="34"/>
      <c r="P2012" s="31">
        <v>6.0</v>
      </c>
      <c r="Q2012" s="31" t="s">
        <v>307</v>
      </c>
      <c r="R2012" s="32">
        <v>35068.0</v>
      </c>
      <c r="S2012" s="31" t="s">
        <v>320</v>
      </c>
      <c r="T2012" s="31" t="s">
        <v>1818</v>
      </c>
      <c r="U2012" s="31" t="s">
        <v>271</v>
      </c>
      <c r="V2012" s="34"/>
      <c r="W2012" s="34"/>
    </row>
    <row r="2013">
      <c r="A2013" s="30">
        <v>2.008</v>
      </c>
      <c r="B2013" s="31" t="s">
        <v>8107</v>
      </c>
      <c r="C2013" s="31" t="s">
        <v>8108</v>
      </c>
      <c r="D2013" s="31" t="s">
        <v>574</v>
      </c>
      <c r="E2013" s="31" t="s">
        <v>4719</v>
      </c>
      <c r="F2013" s="32">
        <v>44092.0</v>
      </c>
      <c r="G2013" s="35">
        <v>44153.0</v>
      </c>
      <c r="H2013" s="31" t="s">
        <v>576</v>
      </c>
      <c r="I2013" s="31" t="s">
        <v>3431</v>
      </c>
      <c r="J2013" s="31" t="s">
        <v>4719</v>
      </c>
      <c r="K2013" s="31" t="s">
        <v>4720</v>
      </c>
      <c r="L2013" s="31" t="s">
        <v>579</v>
      </c>
      <c r="M2013" s="31" t="s">
        <v>8109</v>
      </c>
      <c r="N2013" s="31" t="s">
        <v>267</v>
      </c>
      <c r="O2013" s="34"/>
      <c r="P2013" s="31">
        <v>6.0</v>
      </c>
      <c r="Q2013" s="31" t="s">
        <v>307</v>
      </c>
      <c r="R2013" s="35">
        <v>35719.0</v>
      </c>
      <c r="S2013" s="31" t="s">
        <v>531</v>
      </c>
      <c r="T2013" s="31" t="s">
        <v>6772</v>
      </c>
      <c r="U2013" s="31" t="s">
        <v>633</v>
      </c>
      <c r="V2013" s="34"/>
      <c r="W2013" s="34"/>
    </row>
    <row r="2014">
      <c r="A2014" s="30">
        <v>2.009</v>
      </c>
      <c r="B2014" s="31" t="s">
        <v>8110</v>
      </c>
      <c r="C2014" s="31" t="s">
        <v>8111</v>
      </c>
      <c r="D2014" s="31" t="s">
        <v>574</v>
      </c>
      <c r="E2014" s="31" t="s">
        <v>575</v>
      </c>
      <c r="F2014" s="32">
        <v>43238.0</v>
      </c>
      <c r="G2014" s="32">
        <v>43299.0</v>
      </c>
      <c r="H2014" s="31" t="s">
        <v>576</v>
      </c>
      <c r="I2014" s="31" t="s">
        <v>577</v>
      </c>
      <c r="J2014" s="31" t="s">
        <v>575</v>
      </c>
      <c r="K2014" s="31" t="s">
        <v>578</v>
      </c>
      <c r="L2014" s="31" t="s">
        <v>579</v>
      </c>
      <c r="M2014" s="31" t="s">
        <v>8112</v>
      </c>
      <c r="N2014" s="31" t="s">
        <v>267</v>
      </c>
      <c r="O2014" s="34"/>
      <c r="P2014" s="31">
        <v>5.0</v>
      </c>
      <c r="Q2014" s="31" t="s">
        <v>307</v>
      </c>
      <c r="R2014" s="32">
        <v>33604.0</v>
      </c>
      <c r="S2014" s="31" t="s">
        <v>531</v>
      </c>
      <c r="T2014" s="31" t="s">
        <v>8113</v>
      </c>
      <c r="U2014" s="31" t="s">
        <v>583</v>
      </c>
      <c r="V2014" s="34"/>
      <c r="W2014" s="34"/>
    </row>
    <row r="2015">
      <c r="A2015" s="30">
        <v>2.01</v>
      </c>
      <c r="B2015" s="31" t="s">
        <v>8114</v>
      </c>
      <c r="C2015" s="31" t="s">
        <v>3742</v>
      </c>
      <c r="D2015" s="31" t="s">
        <v>574</v>
      </c>
      <c r="E2015" s="31" t="s">
        <v>3325</v>
      </c>
      <c r="F2015" s="32">
        <v>43304.0</v>
      </c>
      <c r="G2015" s="32">
        <v>43366.0</v>
      </c>
      <c r="H2015" s="31" t="s">
        <v>576</v>
      </c>
      <c r="I2015" s="31" t="s">
        <v>577</v>
      </c>
      <c r="J2015" s="31" t="s">
        <v>3325</v>
      </c>
      <c r="K2015" s="31" t="s">
        <v>3326</v>
      </c>
      <c r="L2015" s="31" t="s">
        <v>579</v>
      </c>
      <c r="M2015" s="31" t="s">
        <v>8115</v>
      </c>
      <c r="N2015" s="31" t="s">
        <v>267</v>
      </c>
      <c r="O2015" s="34"/>
      <c r="P2015" s="31">
        <v>3.0</v>
      </c>
      <c r="Q2015" s="31" t="s">
        <v>307</v>
      </c>
      <c r="R2015" s="32">
        <v>35408.0</v>
      </c>
      <c r="S2015" s="31" t="s">
        <v>531</v>
      </c>
      <c r="T2015" s="31" t="s">
        <v>1810</v>
      </c>
      <c r="U2015" s="31" t="s">
        <v>271</v>
      </c>
      <c r="V2015" s="34"/>
      <c r="W2015" s="34"/>
    </row>
    <row r="2016">
      <c r="A2016" s="30">
        <v>2.011</v>
      </c>
      <c r="B2016" s="31" t="s">
        <v>8116</v>
      </c>
      <c r="C2016" s="31" t="s">
        <v>8117</v>
      </c>
      <c r="D2016" s="31" t="s">
        <v>574</v>
      </c>
      <c r="E2016" s="31" t="s">
        <v>7470</v>
      </c>
      <c r="F2016" s="32">
        <v>43567.0</v>
      </c>
      <c r="G2016" s="32">
        <v>43628.0</v>
      </c>
      <c r="H2016" s="31" t="s">
        <v>576</v>
      </c>
      <c r="I2016" s="31" t="s">
        <v>2817</v>
      </c>
      <c r="J2016" s="31" t="s">
        <v>7470</v>
      </c>
      <c r="K2016" s="31" t="s">
        <v>7471</v>
      </c>
      <c r="L2016" s="31" t="s">
        <v>579</v>
      </c>
      <c r="M2016" s="31" t="s">
        <v>8118</v>
      </c>
      <c r="N2016" s="31" t="s">
        <v>267</v>
      </c>
      <c r="O2016" s="34"/>
      <c r="P2016" s="31">
        <v>8.0</v>
      </c>
      <c r="Q2016" s="31" t="s">
        <v>307</v>
      </c>
      <c r="R2016" s="35">
        <v>35716.0</v>
      </c>
      <c r="S2016" s="31" t="s">
        <v>626</v>
      </c>
      <c r="T2016" s="31" t="s">
        <v>686</v>
      </c>
      <c r="U2016" s="31" t="s">
        <v>2821</v>
      </c>
      <c r="V2016" s="34"/>
      <c r="W2016" s="34"/>
    </row>
    <row r="2017">
      <c r="A2017" s="30">
        <v>2.012</v>
      </c>
      <c r="B2017" s="31" t="s">
        <v>8119</v>
      </c>
      <c r="C2017" s="31" t="s">
        <v>3131</v>
      </c>
      <c r="D2017" s="31" t="s">
        <v>574</v>
      </c>
      <c r="E2017" s="31" t="s">
        <v>4719</v>
      </c>
      <c r="F2017" s="32">
        <v>43367.0</v>
      </c>
      <c r="G2017" s="35">
        <v>43428.0</v>
      </c>
      <c r="H2017" s="31" t="s">
        <v>576</v>
      </c>
      <c r="I2017" s="31" t="s">
        <v>3431</v>
      </c>
      <c r="J2017" s="31" t="s">
        <v>4719</v>
      </c>
      <c r="K2017" s="31" t="s">
        <v>4720</v>
      </c>
      <c r="L2017" s="31" t="s">
        <v>579</v>
      </c>
      <c r="M2017" s="31" t="s">
        <v>8120</v>
      </c>
      <c r="N2017" s="31" t="s">
        <v>267</v>
      </c>
      <c r="O2017" s="34"/>
      <c r="P2017" s="31">
        <v>7.0</v>
      </c>
      <c r="Q2017" s="31" t="s">
        <v>307</v>
      </c>
      <c r="R2017" s="35">
        <v>35718.0</v>
      </c>
      <c r="S2017" s="31" t="s">
        <v>3964</v>
      </c>
      <c r="T2017" s="31" t="s">
        <v>8121</v>
      </c>
      <c r="U2017" s="31" t="s">
        <v>633</v>
      </c>
      <c r="V2017" s="34"/>
      <c r="W2017" s="34"/>
    </row>
    <row r="2018">
      <c r="A2018" s="30">
        <v>2.013</v>
      </c>
      <c r="B2018" s="31" t="s">
        <v>8122</v>
      </c>
      <c r="C2018" s="31" t="s">
        <v>8123</v>
      </c>
      <c r="D2018" s="31" t="s">
        <v>2932</v>
      </c>
      <c r="E2018" s="31" t="s">
        <v>7512</v>
      </c>
      <c r="F2018" s="32">
        <v>43537.0</v>
      </c>
      <c r="G2018" s="32">
        <v>43598.0</v>
      </c>
      <c r="H2018" s="31" t="s">
        <v>576</v>
      </c>
      <c r="I2018" s="31" t="s">
        <v>3257</v>
      </c>
      <c r="J2018" s="31" t="s">
        <v>7512</v>
      </c>
      <c r="K2018" s="31" t="s">
        <v>7513</v>
      </c>
      <c r="L2018" s="31" t="s">
        <v>2936</v>
      </c>
      <c r="M2018" s="31" t="s">
        <v>8124</v>
      </c>
      <c r="N2018" s="31" t="s">
        <v>267</v>
      </c>
      <c r="O2018" s="34"/>
      <c r="P2018" s="34"/>
      <c r="Q2018" s="31" t="s">
        <v>307</v>
      </c>
      <c r="R2018" s="32">
        <v>35644.0</v>
      </c>
      <c r="S2018" s="31" t="s">
        <v>320</v>
      </c>
      <c r="T2018" s="31" t="s">
        <v>1242</v>
      </c>
      <c r="U2018" s="31" t="s">
        <v>633</v>
      </c>
      <c r="V2018" s="34"/>
      <c r="W2018" s="34"/>
    </row>
    <row r="2019">
      <c r="A2019" s="30">
        <v>2.014</v>
      </c>
      <c r="B2019" s="31" t="s">
        <v>8125</v>
      </c>
      <c r="C2019" s="31" t="s">
        <v>7005</v>
      </c>
      <c r="D2019" s="31" t="s">
        <v>2932</v>
      </c>
      <c r="E2019" s="31" t="s">
        <v>7512</v>
      </c>
      <c r="F2019" s="32">
        <v>42458.0</v>
      </c>
      <c r="G2019" s="32">
        <v>42522.0</v>
      </c>
      <c r="H2019" s="31" t="s">
        <v>576</v>
      </c>
      <c r="I2019" s="31" t="s">
        <v>3257</v>
      </c>
      <c r="J2019" s="31" t="s">
        <v>7512</v>
      </c>
      <c r="K2019" s="31" t="s">
        <v>7513</v>
      </c>
      <c r="L2019" s="31" t="s">
        <v>2936</v>
      </c>
      <c r="M2019" s="31" t="s">
        <v>8126</v>
      </c>
      <c r="N2019" s="31" t="s">
        <v>267</v>
      </c>
      <c r="O2019" s="34"/>
      <c r="P2019" s="31">
        <v>6.0</v>
      </c>
      <c r="Q2019" s="31" t="s">
        <v>307</v>
      </c>
      <c r="R2019" s="32">
        <v>33008.0</v>
      </c>
      <c r="S2019" s="31" t="s">
        <v>700</v>
      </c>
      <c r="T2019" s="31" t="s">
        <v>665</v>
      </c>
      <c r="U2019" s="31" t="s">
        <v>633</v>
      </c>
      <c r="V2019" s="34"/>
      <c r="W2019" s="34"/>
    </row>
    <row r="2020">
      <c r="A2020" s="30">
        <v>2.015</v>
      </c>
      <c r="B2020" s="31" t="s">
        <v>8127</v>
      </c>
      <c r="C2020" s="31" t="s">
        <v>8128</v>
      </c>
      <c r="D2020" s="31" t="s">
        <v>574</v>
      </c>
      <c r="E2020" s="31" t="s">
        <v>3430</v>
      </c>
      <c r="F2020" s="32">
        <v>39299.0</v>
      </c>
      <c r="G2020" s="32">
        <v>39330.0</v>
      </c>
      <c r="H2020" s="31" t="s">
        <v>576</v>
      </c>
      <c r="I2020" s="31" t="s">
        <v>3431</v>
      </c>
      <c r="J2020" s="31" t="s">
        <v>3430</v>
      </c>
      <c r="K2020" s="31" t="s">
        <v>3432</v>
      </c>
      <c r="L2020" s="31" t="s">
        <v>579</v>
      </c>
      <c r="M2020" s="31" t="s">
        <v>8129</v>
      </c>
      <c r="N2020" s="31" t="s">
        <v>267</v>
      </c>
      <c r="O2020" s="34"/>
      <c r="P2020" s="31">
        <v>10.0</v>
      </c>
      <c r="Q2020" s="31" t="s">
        <v>307</v>
      </c>
      <c r="R2020" s="32">
        <v>29699.0</v>
      </c>
      <c r="S2020" s="31" t="s">
        <v>531</v>
      </c>
      <c r="T2020" s="31" t="s">
        <v>8130</v>
      </c>
      <c r="U2020" s="31" t="s">
        <v>633</v>
      </c>
      <c r="V2020" s="34"/>
      <c r="W2020" s="34"/>
    </row>
    <row r="2021">
      <c r="A2021" s="30">
        <v>2.016</v>
      </c>
      <c r="B2021" s="31" t="s">
        <v>8131</v>
      </c>
      <c r="C2021" s="31" t="s">
        <v>8132</v>
      </c>
      <c r="D2021" s="31" t="s">
        <v>2932</v>
      </c>
      <c r="E2021" s="31" t="s">
        <v>3598</v>
      </c>
      <c r="F2021" s="32">
        <v>44029.0</v>
      </c>
      <c r="G2021" s="32">
        <v>44091.0</v>
      </c>
      <c r="H2021" s="31" t="s">
        <v>576</v>
      </c>
      <c r="I2021" s="31" t="s">
        <v>2934</v>
      </c>
      <c r="J2021" s="31" t="s">
        <v>3598</v>
      </c>
      <c r="K2021" s="31" t="s">
        <v>3599</v>
      </c>
      <c r="L2021" s="31" t="s">
        <v>2936</v>
      </c>
      <c r="M2021" s="31" t="s">
        <v>8133</v>
      </c>
      <c r="N2021" s="31" t="s">
        <v>267</v>
      </c>
      <c r="O2021" s="34"/>
      <c r="P2021" s="31">
        <v>2.0</v>
      </c>
      <c r="Q2021" s="31" t="s">
        <v>307</v>
      </c>
      <c r="R2021" s="32">
        <v>35905.0</v>
      </c>
      <c r="S2021" s="31" t="s">
        <v>531</v>
      </c>
      <c r="T2021" s="31" t="s">
        <v>947</v>
      </c>
      <c r="U2021" s="31" t="s">
        <v>633</v>
      </c>
      <c r="V2021" s="34"/>
      <c r="W2021" s="34"/>
    </row>
    <row r="2022">
      <c r="A2022" s="30">
        <v>2.017</v>
      </c>
      <c r="B2022" s="31" t="s">
        <v>8134</v>
      </c>
      <c r="C2022" s="31" t="s">
        <v>8135</v>
      </c>
      <c r="D2022" s="31" t="s">
        <v>574</v>
      </c>
      <c r="E2022" s="31" t="s">
        <v>4301</v>
      </c>
      <c r="F2022" s="32">
        <v>42170.0</v>
      </c>
      <c r="G2022" s="32">
        <v>42232.0</v>
      </c>
      <c r="H2022" s="31" t="s">
        <v>576</v>
      </c>
      <c r="I2022" s="31" t="s">
        <v>2817</v>
      </c>
      <c r="J2022" s="31" t="s">
        <v>4301</v>
      </c>
      <c r="K2022" s="31" t="s">
        <v>4302</v>
      </c>
      <c r="L2022" s="31" t="s">
        <v>579</v>
      </c>
      <c r="M2022" s="31" t="s">
        <v>8136</v>
      </c>
      <c r="N2022" s="31" t="s">
        <v>267</v>
      </c>
      <c r="O2022" s="34"/>
      <c r="P2022" s="31">
        <v>6.0</v>
      </c>
      <c r="Q2022" s="31" t="s">
        <v>581</v>
      </c>
      <c r="R2022" s="35">
        <v>32838.0</v>
      </c>
      <c r="S2022" s="31" t="s">
        <v>2426</v>
      </c>
      <c r="T2022" s="31" t="s">
        <v>2672</v>
      </c>
      <c r="U2022" s="31" t="s">
        <v>2821</v>
      </c>
      <c r="V2022" s="34"/>
      <c r="W2022" s="34"/>
    </row>
    <row r="2023">
      <c r="A2023" s="30">
        <v>2.018</v>
      </c>
      <c r="B2023" s="31" t="s">
        <v>8137</v>
      </c>
      <c r="C2023" s="31" t="s">
        <v>7028</v>
      </c>
      <c r="D2023" s="31" t="s">
        <v>574</v>
      </c>
      <c r="E2023" s="31" t="s">
        <v>3313</v>
      </c>
      <c r="F2023" s="32">
        <v>43077.0</v>
      </c>
      <c r="G2023" s="32">
        <v>43139.0</v>
      </c>
      <c r="H2023" s="31" t="s">
        <v>576</v>
      </c>
      <c r="I2023" s="31" t="s">
        <v>577</v>
      </c>
      <c r="J2023" s="31" t="s">
        <v>3313</v>
      </c>
      <c r="K2023" s="31" t="s">
        <v>3314</v>
      </c>
      <c r="L2023" s="31" t="s">
        <v>579</v>
      </c>
      <c r="M2023" s="31" t="s">
        <v>8138</v>
      </c>
      <c r="N2023" s="31" t="s">
        <v>267</v>
      </c>
      <c r="O2023" s="34"/>
      <c r="P2023" s="31">
        <v>7.0</v>
      </c>
      <c r="Q2023" s="31" t="s">
        <v>307</v>
      </c>
      <c r="R2023" s="32">
        <v>34560.0</v>
      </c>
      <c r="S2023" s="31" t="s">
        <v>531</v>
      </c>
      <c r="T2023" s="31" t="s">
        <v>8139</v>
      </c>
      <c r="U2023" s="31" t="s">
        <v>583</v>
      </c>
      <c r="V2023" s="34"/>
      <c r="W2023" s="34"/>
    </row>
    <row r="2024">
      <c r="A2024" s="30">
        <v>2.019</v>
      </c>
      <c r="B2024" s="31" t="s">
        <v>8140</v>
      </c>
      <c r="C2024" s="31" t="s">
        <v>8141</v>
      </c>
      <c r="D2024" s="31" t="s">
        <v>7404</v>
      </c>
      <c r="E2024" s="31" t="s">
        <v>7405</v>
      </c>
      <c r="F2024" s="35">
        <v>44183.0</v>
      </c>
      <c r="G2024" s="32">
        <v>44245.0</v>
      </c>
      <c r="H2024" s="31" t="s">
        <v>576</v>
      </c>
      <c r="I2024" s="31" t="s">
        <v>3239</v>
      </c>
      <c r="J2024" s="31" t="s">
        <v>7405</v>
      </c>
      <c r="K2024" s="31" t="s">
        <v>7406</v>
      </c>
      <c r="L2024" s="31" t="s">
        <v>7407</v>
      </c>
      <c r="M2024" s="31" t="s">
        <v>8142</v>
      </c>
      <c r="N2024" s="31" t="s">
        <v>267</v>
      </c>
      <c r="O2024" s="34"/>
      <c r="P2024" s="31">
        <v>4.0</v>
      </c>
      <c r="Q2024" s="31" t="s">
        <v>307</v>
      </c>
      <c r="R2024" s="35">
        <v>35786.0</v>
      </c>
      <c r="S2024" s="31" t="s">
        <v>626</v>
      </c>
      <c r="T2024" s="31" t="s">
        <v>8143</v>
      </c>
      <c r="U2024" s="31" t="s">
        <v>271</v>
      </c>
      <c r="V2024" s="34"/>
      <c r="W2024" s="34"/>
    </row>
    <row r="2025">
      <c r="A2025" s="30">
        <v>2.02</v>
      </c>
      <c r="B2025" s="31" t="s">
        <v>8144</v>
      </c>
      <c r="C2025" s="31" t="s">
        <v>4507</v>
      </c>
      <c r="D2025" s="31" t="s">
        <v>8004</v>
      </c>
      <c r="E2025" s="31" t="s">
        <v>7512</v>
      </c>
      <c r="F2025" s="32">
        <v>42739.0</v>
      </c>
      <c r="G2025" s="32">
        <v>42810.0</v>
      </c>
      <c r="H2025" s="31" t="s">
        <v>576</v>
      </c>
      <c r="I2025" s="31" t="s">
        <v>3257</v>
      </c>
      <c r="J2025" s="31" t="s">
        <v>7512</v>
      </c>
      <c r="K2025" s="31" t="s">
        <v>7513</v>
      </c>
      <c r="L2025" s="31" t="s">
        <v>8005</v>
      </c>
      <c r="M2025" s="31" t="s">
        <v>8145</v>
      </c>
      <c r="N2025" s="31" t="s">
        <v>267</v>
      </c>
      <c r="O2025" s="31">
        <v>1.0</v>
      </c>
      <c r="P2025" s="34"/>
      <c r="Q2025" s="31" t="s">
        <v>307</v>
      </c>
      <c r="R2025" s="32">
        <v>33946.0</v>
      </c>
      <c r="S2025" s="31" t="s">
        <v>320</v>
      </c>
      <c r="T2025" s="31" t="s">
        <v>665</v>
      </c>
      <c r="U2025" s="31" t="s">
        <v>633</v>
      </c>
      <c r="V2025" s="34"/>
      <c r="W2025" s="34"/>
    </row>
    <row r="2026">
      <c r="A2026" s="30">
        <v>2.021</v>
      </c>
      <c r="B2026" s="31" t="s">
        <v>8146</v>
      </c>
      <c r="C2026" s="31" t="s">
        <v>8147</v>
      </c>
      <c r="D2026" s="31" t="s">
        <v>7404</v>
      </c>
      <c r="E2026" s="31" t="s">
        <v>7405</v>
      </c>
      <c r="F2026" s="32">
        <v>42858.0</v>
      </c>
      <c r="G2026" s="32">
        <v>42917.0</v>
      </c>
      <c r="H2026" s="31" t="s">
        <v>576</v>
      </c>
      <c r="I2026" s="31" t="s">
        <v>3239</v>
      </c>
      <c r="J2026" s="31" t="s">
        <v>7405</v>
      </c>
      <c r="K2026" s="31" t="s">
        <v>7406</v>
      </c>
      <c r="L2026" s="31" t="s">
        <v>7407</v>
      </c>
      <c r="M2026" s="31" t="s">
        <v>8148</v>
      </c>
      <c r="N2026" s="31" t="s">
        <v>267</v>
      </c>
      <c r="O2026" s="34"/>
      <c r="P2026" s="31">
        <v>6.0</v>
      </c>
      <c r="Q2026" s="31" t="s">
        <v>307</v>
      </c>
      <c r="R2026" s="32">
        <v>34761.0</v>
      </c>
      <c r="S2026" s="31" t="s">
        <v>1085</v>
      </c>
      <c r="T2026" s="31" t="s">
        <v>8149</v>
      </c>
      <c r="U2026" s="31" t="s">
        <v>271</v>
      </c>
      <c r="V2026" s="34"/>
      <c r="W2026" s="34"/>
    </row>
    <row r="2027">
      <c r="A2027" s="30">
        <v>2.022</v>
      </c>
      <c r="B2027" s="31" t="s">
        <v>8150</v>
      </c>
      <c r="C2027" s="31" t="s">
        <v>2254</v>
      </c>
      <c r="D2027" s="31" t="s">
        <v>3237</v>
      </c>
      <c r="E2027" s="31" t="s">
        <v>3238</v>
      </c>
      <c r="F2027" s="32">
        <v>43672.0</v>
      </c>
      <c r="G2027" s="32">
        <v>43734.0</v>
      </c>
      <c r="H2027" s="31" t="s">
        <v>576</v>
      </c>
      <c r="I2027" s="31" t="s">
        <v>3239</v>
      </c>
      <c r="J2027" s="31" t="s">
        <v>3238</v>
      </c>
      <c r="K2027" s="31" t="s">
        <v>3240</v>
      </c>
      <c r="L2027" s="31" t="s">
        <v>3241</v>
      </c>
      <c r="M2027" s="31" t="s">
        <v>8151</v>
      </c>
      <c r="N2027" s="31" t="s">
        <v>267</v>
      </c>
      <c r="O2027" s="34"/>
      <c r="P2027" s="31">
        <v>6.0</v>
      </c>
      <c r="Q2027" s="31" t="s">
        <v>307</v>
      </c>
      <c r="R2027" s="32">
        <v>35585.0</v>
      </c>
      <c r="S2027" s="31" t="s">
        <v>626</v>
      </c>
      <c r="T2027" s="31" t="s">
        <v>8152</v>
      </c>
      <c r="U2027" s="31" t="s">
        <v>271</v>
      </c>
      <c r="V2027" s="34"/>
      <c r="W2027" s="34"/>
    </row>
    <row r="2028">
      <c r="A2028" s="30">
        <v>2.023</v>
      </c>
      <c r="B2028" s="31" t="s">
        <v>8153</v>
      </c>
      <c r="C2028" s="31" t="s">
        <v>8154</v>
      </c>
      <c r="D2028" s="31" t="s">
        <v>8155</v>
      </c>
      <c r="E2028" s="31" t="s">
        <v>3239</v>
      </c>
      <c r="F2028" s="32">
        <v>39097.0</v>
      </c>
      <c r="G2028" s="32">
        <v>39097.0</v>
      </c>
      <c r="H2028" s="31" t="s">
        <v>576</v>
      </c>
      <c r="I2028" s="31" t="s">
        <v>3239</v>
      </c>
      <c r="J2028" s="34"/>
      <c r="K2028" s="31" t="s">
        <v>8156</v>
      </c>
      <c r="L2028" s="31" t="s">
        <v>8157</v>
      </c>
      <c r="M2028" s="31" t="s">
        <v>8158</v>
      </c>
      <c r="N2028" s="31" t="s">
        <v>467</v>
      </c>
      <c r="O2028" s="31">
        <v>2.0</v>
      </c>
      <c r="P2028" s="34"/>
      <c r="Q2028" s="31" t="s">
        <v>307</v>
      </c>
      <c r="R2028" s="32">
        <v>30148.0</v>
      </c>
      <c r="S2028" s="31" t="s">
        <v>531</v>
      </c>
      <c r="T2028" s="31" t="s">
        <v>686</v>
      </c>
      <c r="U2028" s="31" t="s">
        <v>633</v>
      </c>
      <c r="V2028" s="34"/>
      <c r="W2028" s="34"/>
    </row>
    <row r="2029">
      <c r="A2029" s="30">
        <v>2.024</v>
      </c>
      <c r="B2029" s="31" t="s">
        <v>8159</v>
      </c>
      <c r="C2029" s="31" t="s">
        <v>8160</v>
      </c>
      <c r="D2029" s="31" t="s">
        <v>2932</v>
      </c>
      <c r="E2029" s="31" t="s">
        <v>7512</v>
      </c>
      <c r="F2029" s="35">
        <v>43788.0</v>
      </c>
      <c r="G2029" s="32">
        <v>43849.0</v>
      </c>
      <c r="H2029" s="31" t="s">
        <v>576</v>
      </c>
      <c r="I2029" s="31" t="s">
        <v>3257</v>
      </c>
      <c r="J2029" s="31" t="s">
        <v>7512</v>
      </c>
      <c r="K2029" s="31" t="s">
        <v>7513</v>
      </c>
      <c r="L2029" s="31" t="s">
        <v>2936</v>
      </c>
      <c r="M2029" s="31" t="s">
        <v>8161</v>
      </c>
      <c r="N2029" s="31" t="s">
        <v>267</v>
      </c>
      <c r="O2029" s="34"/>
      <c r="P2029" s="31">
        <v>4.0</v>
      </c>
      <c r="Q2029" s="31" t="s">
        <v>307</v>
      </c>
      <c r="R2029" s="32">
        <v>35321.0</v>
      </c>
      <c r="S2029" s="31" t="s">
        <v>320</v>
      </c>
      <c r="T2029" s="31" t="s">
        <v>778</v>
      </c>
      <c r="U2029" s="31" t="s">
        <v>633</v>
      </c>
      <c r="V2029" s="34"/>
      <c r="W2029" s="34"/>
    </row>
    <row r="2030">
      <c r="A2030" s="30">
        <v>2.025</v>
      </c>
      <c r="B2030" s="31" t="s">
        <v>8162</v>
      </c>
      <c r="C2030" s="31" t="s">
        <v>8163</v>
      </c>
      <c r="D2030" s="31" t="s">
        <v>2932</v>
      </c>
      <c r="E2030" s="31" t="s">
        <v>2933</v>
      </c>
      <c r="F2030" s="32">
        <v>42970.0</v>
      </c>
      <c r="G2030" s="35">
        <v>43031.0</v>
      </c>
      <c r="H2030" s="31" t="s">
        <v>576</v>
      </c>
      <c r="I2030" s="31" t="s">
        <v>2934</v>
      </c>
      <c r="J2030" s="31" t="s">
        <v>2933</v>
      </c>
      <c r="K2030" s="31" t="s">
        <v>2935</v>
      </c>
      <c r="L2030" s="31" t="s">
        <v>2936</v>
      </c>
      <c r="M2030" s="31" t="s">
        <v>8164</v>
      </c>
      <c r="N2030" s="31" t="s">
        <v>267</v>
      </c>
      <c r="O2030" s="34"/>
      <c r="P2030" s="31">
        <v>8.0</v>
      </c>
      <c r="Q2030" s="31" t="s">
        <v>307</v>
      </c>
      <c r="R2030" s="35">
        <v>33908.0</v>
      </c>
      <c r="S2030" s="31" t="s">
        <v>733</v>
      </c>
      <c r="T2030" s="31" t="s">
        <v>686</v>
      </c>
      <c r="U2030" s="31" t="s">
        <v>633</v>
      </c>
      <c r="V2030" s="34"/>
      <c r="W2030" s="34"/>
    </row>
    <row r="2031">
      <c r="A2031" s="30">
        <v>2.026</v>
      </c>
      <c r="B2031" s="31" t="s">
        <v>8165</v>
      </c>
      <c r="C2031" s="31" t="s">
        <v>8166</v>
      </c>
      <c r="D2031" s="31" t="s">
        <v>574</v>
      </c>
      <c r="E2031" s="31" t="s">
        <v>4719</v>
      </c>
      <c r="F2031" s="32">
        <v>43678.0</v>
      </c>
      <c r="G2031" s="32">
        <v>43739.0</v>
      </c>
      <c r="H2031" s="31" t="s">
        <v>576</v>
      </c>
      <c r="I2031" s="31" t="s">
        <v>3431</v>
      </c>
      <c r="J2031" s="31" t="s">
        <v>4719</v>
      </c>
      <c r="K2031" s="31" t="s">
        <v>4720</v>
      </c>
      <c r="L2031" s="31" t="s">
        <v>579</v>
      </c>
      <c r="M2031" s="31" t="s">
        <v>8167</v>
      </c>
      <c r="N2031" s="31" t="s">
        <v>267</v>
      </c>
      <c r="O2031" s="34"/>
      <c r="P2031" s="31">
        <v>6.0</v>
      </c>
      <c r="Q2031" s="31" t="s">
        <v>307</v>
      </c>
      <c r="R2031" s="32">
        <v>35549.0</v>
      </c>
      <c r="S2031" s="31" t="s">
        <v>531</v>
      </c>
      <c r="T2031" s="31" t="s">
        <v>469</v>
      </c>
      <c r="U2031" s="31" t="s">
        <v>633</v>
      </c>
      <c r="V2031" s="34"/>
      <c r="W2031" s="34"/>
    </row>
    <row r="2032">
      <c r="A2032" s="30">
        <v>2.027</v>
      </c>
      <c r="B2032" s="31" t="s">
        <v>8168</v>
      </c>
      <c r="C2032" s="31" t="s">
        <v>5540</v>
      </c>
      <c r="D2032" s="31" t="s">
        <v>2932</v>
      </c>
      <c r="E2032" s="31" t="s">
        <v>3256</v>
      </c>
      <c r="F2032" s="35">
        <v>44119.0</v>
      </c>
      <c r="G2032" s="35">
        <v>44180.0</v>
      </c>
      <c r="H2032" s="31" t="s">
        <v>576</v>
      </c>
      <c r="I2032" s="31" t="s">
        <v>3257</v>
      </c>
      <c r="J2032" s="31" t="s">
        <v>3256</v>
      </c>
      <c r="K2032" s="31" t="s">
        <v>3258</v>
      </c>
      <c r="L2032" s="31" t="s">
        <v>2936</v>
      </c>
      <c r="M2032" s="31" t="s">
        <v>8169</v>
      </c>
      <c r="N2032" s="31" t="s">
        <v>267</v>
      </c>
      <c r="O2032" s="34"/>
      <c r="P2032" s="31">
        <v>4.0</v>
      </c>
      <c r="Q2032" s="31" t="s">
        <v>307</v>
      </c>
      <c r="R2032" s="32">
        <v>35539.0</v>
      </c>
      <c r="S2032" s="31" t="s">
        <v>320</v>
      </c>
      <c r="T2032" s="31" t="s">
        <v>1657</v>
      </c>
      <c r="U2032" s="31" t="s">
        <v>271</v>
      </c>
      <c r="V2032" s="34"/>
      <c r="W2032" s="34"/>
    </row>
    <row r="2033">
      <c r="A2033" s="30">
        <v>2.028</v>
      </c>
      <c r="B2033" s="31" t="s">
        <v>8170</v>
      </c>
      <c r="C2033" s="31" t="s">
        <v>8171</v>
      </c>
      <c r="D2033" s="31" t="s">
        <v>2932</v>
      </c>
      <c r="E2033" s="31" t="s">
        <v>3256</v>
      </c>
      <c r="F2033" s="32">
        <v>43998.0</v>
      </c>
      <c r="G2033" s="32">
        <v>44059.0</v>
      </c>
      <c r="H2033" s="31" t="s">
        <v>576</v>
      </c>
      <c r="I2033" s="31" t="s">
        <v>3257</v>
      </c>
      <c r="J2033" s="31" t="s">
        <v>3256</v>
      </c>
      <c r="K2033" s="31" t="s">
        <v>3258</v>
      </c>
      <c r="L2033" s="31" t="s">
        <v>2936</v>
      </c>
      <c r="M2033" s="31" t="s">
        <v>8172</v>
      </c>
      <c r="N2033" s="31" t="s">
        <v>267</v>
      </c>
      <c r="O2033" s="34"/>
      <c r="P2033" s="31">
        <v>3.0</v>
      </c>
      <c r="Q2033" s="31" t="s">
        <v>307</v>
      </c>
      <c r="R2033" s="32">
        <v>36106.0</v>
      </c>
      <c r="S2033" s="31" t="s">
        <v>7131</v>
      </c>
      <c r="T2033" s="31" t="s">
        <v>1377</v>
      </c>
      <c r="U2033" s="31" t="s">
        <v>271</v>
      </c>
      <c r="V2033" s="34"/>
      <c r="W2033" s="34"/>
    </row>
    <row r="2034">
      <c r="A2034" s="30">
        <v>2.029</v>
      </c>
      <c r="B2034" s="31" t="s">
        <v>8173</v>
      </c>
      <c r="C2034" s="31" t="s">
        <v>8174</v>
      </c>
      <c r="D2034" s="31" t="s">
        <v>574</v>
      </c>
      <c r="E2034" s="31" t="s">
        <v>2848</v>
      </c>
      <c r="F2034" s="32">
        <v>44071.0</v>
      </c>
      <c r="G2034" s="35">
        <v>44132.0</v>
      </c>
      <c r="H2034" s="31" t="s">
        <v>576</v>
      </c>
      <c r="I2034" s="31" t="s">
        <v>2817</v>
      </c>
      <c r="J2034" s="31" t="s">
        <v>2848</v>
      </c>
      <c r="K2034" s="31" t="s">
        <v>2849</v>
      </c>
      <c r="L2034" s="31" t="s">
        <v>579</v>
      </c>
      <c r="M2034" s="31" t="s">
        <v>8175</v>
      </c>
      <c r="N2034" s="31" t="s">
        <v>267</v>
      </c>
      <c r="O2034" s="34"/>
      <c r="P2034" s="31">
        <v>5.0</v>
      </c>
      <c r="Q2034" s="31" t="s">
        <v>307</v>
      </c>
      <c r="R2034" s="32">
        <v>36101.0</v>
      </c>
      <c r="S2034" s="31" t="s">
        <v>531</v>
      </c>
      <c r="T2034" s="31" t="s">
        <v>7368</v>
      </c>
      <c r="U2034" s="31" t="s">
        <v>2821</v>
      </c>
      <c r="V2034" s="34"/>
      <c r="W2034" s="34"/>
    </row>
    <row r="2035">
      <c r="A2035" s="30">
        <v>2.03</v>
      </c>
      <c r="B2035" s="31" t="s">
        <v>8176</v>
      </c>
      <c r="C2035" s="31" t="s">
        <v>8177</v>
      </c>
      <c r="D2035" s="31" t="s">
        <v>574</v>
      </c>
      <c r="E2035" s="31" t="s">
        <v>4719</v>
      </c>
      <c r="F2035" s="32">
        <v>43294.0</v>
      </c>
      <c r="G2035" s="32">
        <v>43355.0</v>
      </c>
      <c r="H2035" s="31" t="s">
        <v>576</v>
      </c>
      <c r="I2035" s="31" t="s">
        <v>3431</v>
      </c>
      <c r="J2035" s="31" t="s">
        <v>4719</v>
      </c>
      <c r="K2035" s="31" t="s">
        <v>4720</v>
      </c>
      <c r="L2035" s="31" t="s">
        <v>579</v>
      </c>
      <c r="M2035" s="31" t="s">
        <v>8178</v>
      </c>
      <c r="N2035" s="31" t="s">
        <v>267</v>
      </c>
      <c r="O2035" s="34"/>
      <c r="P2035" s="31">
        <v>2.0</v>
      </c>
      <c r="Q2035" s="31" t="s">
        <v>307</v>
      </c>
      <c r="R2035" s="32">
        <v>34099.0</v>
      </c>
      <c r="S2035" s="31" t="s">
        <v>700</v>
      </c>
      <c r="T2035" s="31" t="s">
        <v>2128</v>
      </c>
      <c r="U2035" s="31" t="s">
        <v>2914</v>
      </c>
      <c r="V2035" s="34"/>
      <c r="W2035" s="34"/>
    </row>
    <row r="2036">
      <c r="A2036" s="30">
        <v>2.031</v>
      </c>
      <c r="B2036" s="31" t="s">
        <v>8179</v>
      </c>
      <c r="C2036" s="31" t="s">
        <v>8180</v>
      </c>
      <c r="D2036" s="31" t="s">
        <v>574</v>
      </c>
      <c r="E2036" s="31" t="s">
        <v>7470</v>
      </c>
      <c r="F2036" s="32">
        <v>43010.0</v>
      </c>
      <c r="G2036" s="32">
        <v>43072.0</v>
      </c>
      <c r="H2036" s="31" t="s">
        <v>576</v>
      </c>
      <c r="I2036" s="31" t="s">
        <v>2817</v>
      </c>
      <c r="J2036" s="31" t="s">
        <v>7470</v>
      </c>
      <c r="K2036" s="31" t="s">
        <v>7471</v>
      </c>
      <c r="L2036" s="31" t="s">
        <v>579</v>
      </c>
      <c r="M2036" s="31" t="s">
        <v>8181</v>
      </c>
      <c r="N2036" s="31" t="s">
        <v>267</v>
      </c>
      <c r="O2036" s="34"/>
      <c r="P2036" s="31">
        <v>6.0</v>
      </c>
      <c r="Q2036" s="31" t="s">
        <v>307</v>
      </c>
      <c r="R2036" s="32">
        <v>34600.0</v>
      </c>
      <c r="S2036" s="31" t="s">
        <v>531</v>
      </c>
      <c r="T2036" s="31" t="s">
        <v>2713</v>
      </c>
      <c r="U2036" s="31" t="s">
        <v>2821</v>
      </c>
      <c r="V2036" s="34"/>
      <c r="W2036" s="34"/>
    </row>
    <row r="2037">
      <c r="A2037" s="30">
        <v>2.032</v>
      </c>
      <c r="B2037" s="31" t="s">
        <v>8182</v>
      </c>
      <c r="C2037" s="31" t="s">
        <v>8183</v>
      </c>
      <c r="D2037" s="31" t="s">
        <v>3026</v>
      </c>
      <c r="E2037" s="31" t="s">
        <v>3430</v>
      </c>
      <c r="F2037" s="32">
        <v>44092.0</v>
      </c>
      <c r="G2037" s="35">
        <v>44153.0</v>
      </c>
      <c r="H2037" s="31" t="s">
        <v>576</v>
      </c>
      <c r="I2037" s="31" t="s">
        <v>3431</v>
      </c>
      <c r="J2037" s="31" t="s">
        <v>3430</v>
      </c>
      <c r="K2037" s="31" t="s">
        <v>3432</v>
      </c>
      <c r="L2037" s="31" t="s">
        <v>3029</v>
      </c>
      <c r="M2037" s="31" t="s">
        <v>8184</v>
      </c>
      <c r="N2037" s="31" t="s">
        <v>267</v>
      </c>
      <c r="O2037" s="31">
        <v>1.0</v>
      </c>
      <c r="P2037" s="31">
        <v>14.0</v>
      </c>
      <c r="Q2037" s="31" t="s">
        <v>307</v>
      </c>
      <c r="R2037" s="35">
        <v>34622.0</v>
      </c>
      <c r="S2037" s="31" t="s">
        <v>531</v>
      </c>
      <c r="T2037" s="31" t="s">
        <v>5181</v>
      </c>
      <c r="U2037" s="31" t="s">
        <v>633</v>
      </c>
      <c r="V2037" s="34"/>
      <c r="W2037" s="34"/>
    </row>
    <row r="2038">
      <c r="A2038" s="30">
        <v>2.033</v>
      </c>
      <c r="B2038" s="31" t="s">
        <v>8185</v>
      </c>
      <c r="C2038" s="31" t="s">
        <v>8186</v>
      </c>
      <c r="D2038" s="31" t="s">
        <v>2932</v>
      </c>
      <c r="E2038" s="31" t="s">
        <v>7512</v>
      </c>
      <c r="F2038" s="32">
        <v>44298.0</v>
      </c>
      <c r="G2038" s="32">
        <v>44359.0</v>
      </c>
      <c r="H2038" s="31" t="s">
        <v>576</v>
      </c>
      <c r="I2038" s="31" t="s">
        <v>3257</v>
      </c>
      <c r="J2038" s="31" t="s">
        <v>7512</v>
      </c>
      <c r="K2038" s="31" t="s">
        <v>7513</v>
      </c>
      <c r="L2038" s="31" t="s">
        <v>2936</v>
      </c>
      <c r="M2038" s="31" t="s">
        <v>8187</v>
      </c>
      <c r="N2038" s="31" t="s">
        <v>267</v>
      </c>
      <c r="O2038" s="34"/>
      <c r="P2038" s="31">
        <v>4.0</v>
      </c>
      <c r="Q2038" s="31" t="s">
        <v>307</v>
      </c>
      <c r="R2038" s="32">
        <v>35883.0</v>
      </c>
      <c r="S2038" s="31" t="s">
        <v>626</v>
      </c>
      <c r="T2038" s="31" t="s">
        <v>744</v>
      </c>
      <c r="U2038" s="31" t="s">
        <v>633</v>
      </c>
      <c r="V2038" s="34"/>
      <c r="W2038" s="34"/>
    </row>
    <row r="2039">
      <c r="A2039" s="30">
        <v>2.034</v>
      </c>
      <c r="B2039" s="31" t="s">
        <v>8188</v>
      </c>
      <c r="C2039" s="31" t="s">
        <v>8189</v>
      </c>
      <c r="D2039" s="31" t="s">
        <v>2932</v>
      </c>
      <c r="E2039" s="31" t="s">
        <v>3256</v>
      </c>
      <c r="F2039" s="32">
        <v>43907.0</v>
      </c>
      <c r="G2039" s="32">
        <v>43968.0</v>
      </c>
      <c r="H2039" s="31" t="s">
        <v>576</v>
      </c>
      <c r="I2039" s="31" t="s">
        <v>3257</v>
      </c>
      <c r="J2039" s="31" t="s">
        <v>3256</v>
      </c>
      <c r="K2039" s="31" t="s">
        <v>3258</v>
      </c>
      <c r="L2039" s="31" t="s">
        <v>2936</v>
      </c>
      <c r="M2039" s="31" t="s">
        <v>8190</v>
      </c>
      <c r="N2039" s="31" t="s">
        <v>267</v>
      </c>
      <c r="O2039" s="34"/>
      <c r="P2039" s="31">
        <v>4.0</v>
      </c>
      <c r="Q2039" s="31" t="s">
        <v>307</v>
      </c>
      <c r="R2039" s="32">
        <v>33714.0</v>
      </c>
      <c r="S2039" s="31" t="s">
        <v>526</v>
      </c>
      <c r="T2039" s="31" t="s">
        <v>469</v>
      </c>
      <c r="U2039" s="31" t="s">
        <v>271</v>
      </c>
      <c r="V2039" s="34"/>
      <c r="W2039" s="34"/>
    </row>
    <row r="2040">
      <c r="A2040" s="30">
        <v>2.035</v>
      </c>
      <c r="B2040" s="31" t="s">
        <v>8191</v>
      </c>
      <c r="C2040" s="31" t="s">
        <v>8192</v>
      </c>
      <c r="D2040" s="31" t="s">
        <v>574</v>
      </c>
      <c r="E2040" s="31" t="s">
        <v>2848</v>
      </c>
      <c r="F2040" s="35">
        <v>43089.0</v>
      </c>
      <c r="G2040" s="32">
        <v>43151.0</v>
      </c>
      <c r="H2040" s="31" t="s">
        <v>576</v>
      </c>
      <c r="I2040" s="31" t="s">
        <v>2817</v>
      </c>
      <c r="J2040" s="31" t="s">
        <v>2848</v>
      </c>
      <c r="K2040" s="31" t="s">
        <v>2849</v>
      </c>
      <c r="L2040" s="31" t="s">
        <v>579</v>
      </c>
      <c r="M2040" s="31" t="s">
        <v>8193</v>
      </c>
      <c r="N2040" s="31" t="s">
        <v>267</v>
      </c>
      <c r="O2040" s="34"/>
      <c r="P2040" s="31">
        <v>6.0</v>
      </c>
      <c r="Q2040" s="31" t="s">
        <v>307</v>
      </c>
      <c r="R2040" s="32">
        <v>34387.0</v>
      </c>
      <c r="S2040" s="31" t="s">
        <v>531</v>
      </c>
      <c r="T2040" s="31" t="s">
        <v>459</v>
      </c>
      <c r="U2040" s="31" t="s">
        <v>2821</v>
      </c>
      <c r="V2040" s="34"/>
      <c r="W2040" s="34"/>
    </row>
    <row r="2041">
      <c r="A2041" s="30">
        <v>2.036</v>
      </c>
      <c r="B2041" s="31" t="s">
        <v>8194</v>
      </c>
      <c r="C2041" s="31" t="s">
        <v>8195</v>
      </c>
      <c r="D2041" s="31" t="s">
        <v>3441</v>
      </c>
      <c r="E2041" s="31" t="s">
        <v>3257</v>
      </c>
      <c r="F2041" s="35">
        <v>42289.0</v>
      </c>
      <c r="G2041" s="35">
        <v>42350.0</v>
      </c>
      <c r="H2041" s="31" t="s">
        <v>576</v>
      </c>
      <c r="I2041" s="31" t="s">
        <v>3257</v>
      </c>
      <c r="J2041" s="34"/>
      <c r="K2041" s="31" t="s">
        <v>8196</v>
      </c>
      <c r="L2041" s="31" t="s">
        <v>3443</v>
      </c>
      <c r="M2041" s="31" t="s">
        <v>8197</v>
      </c>
      <c r="N2041" s="31" t="s">
        <v>267</v>
      </c>
      <c r="O2041" s="31">
        <v>2.0</v>
      </c>
      <c r="P2041" s="34"/>
      <c r="Q2041" s="31" t="s">
        <v>307</v>
      </c>
      <c r="R2041" s="32">
        <v>34227.0</v>
      </c>
      <c r="S2041" s="31" t="s">
        <v>955</v>
      </c>
      <c r="T2041" s="31" t="s">
        <v>8198</v>
      </c>
      <c r="U2041" s="31" t="s">
        <v>271</v>
      </c>
      <c r="V2041" s="34"/>
      <c r="W2041" s="34"/>
    </row>
    <row r="2042">
      <c r="A2042" s="30">
        <v>2.037</v>
      </c>
      <c r="B2042" s="31" t="s">
        <v>8199</v>
      </c>
      <c r="C2042" s="31" t="s">
        <v>1227</v>
      </c>
      <c r="D2042" s="31" t="s">
        <v>574</v>
      </c>
      <c r="E2042" s="31" t="s">
        <v>4652</v>
      </c>
      <c r="F2042" s="32">
        <v>43010.0</v>
      </c>
      <c r="G2042" s="32">
        <v>43072.0</v>
      </c>
      <c r="H2042" s="31" t="s">
        <v>576</v>
      </c>
      <c r="I2042" s="31" t="s">
        <v>2817</v>
      </c>
      <c r="J2042" s="31" t="s">
        <v>4652</v>
      </c>
      <c r="K2042" s="31" t="s">
        <v>4653</v>
      </c>
      <c r="L2042" s="31" t="s">
        <v>579</v>
      </c>
      <c r="M2042" s="31" t="s">
        <v>8200</v>
      </c>
      <c r="N2042" s="31" t="s">
        <v>267</v>
      </c>
      <c r="O2042" s="34"/>
      <c r="P2042" s="31">
        <v>8.0</v>
      </c>
      <c r="Q2042" s="31" t="s">
        <v>307</v>
      </c>
      <c r="R2042" s="32">
        <v>34407.0</v>
      </c>
      <c r="S2042" s="31" t="s">
        <v>700</v>
      </c>
      <c r="T2042" s="31" t="s">
        <v>8201</v>
      </c>
      <c r="U2042" s="31" t="s">
        <v>2821</v>
      </c>
      <c r="V2042" s="34"/>
      <c r="W2042" s="34"/>
    </row>
    <row r="2043">
      <c r="A2043" s="30">
        <v>2.038</v>
      </c>
      <c r="B2043" s="31" t="s">
        <v>8202</v>
      </c>
      <c r="C2043" s="31" t="s">
        <v>8203</v>
      </c>
      <c r="D2043" s="31" t="s">
        <v>8079</v>
      </c>
      <c r="E2043" s="31" t="s">
        <v>3431</v>
      </c>
      <c r="F2043" s="32">
        <v>39195.0</v>
      </c>
      <c r="G2043" s="32">
        <v>39234.0</v>
      </c>
      <c r="H2043" s="31" t="s">
        <v>576</v>
      </c>
      <c r="I2043" s="31" t="s">
        <v>3431</v>
      </c>
      <c r="J2043" s="34"/>
      <c r="K2043" s="31" t="s">
        <v>8204</v>
      </c>
      <c r="L2043" s="31" t="s">
        <v>8081</v>
      </c>
      <c r="M2043" s="31" t="s">
        <v>8205</v>
      </c>
      <c r="N2043" s="31" t="s">
        <v>267</v>
      </c>
      <c r="O2043" s="31">
        <v>2.0</v>
      </c>
      <c r="P2043" s="31" t="s">
        <v>3031</v>
      </c>
      <c r="Q2043" s="31" t="s">
        <v>307</v>
      </c>
      <c r="R2043" s="35">
        <v>30630.0</v>
      </c>
      <c r="S2043" s="31" t="s">
        <v>626</v>
      </c>
      <c r="T2043" s="31" t="s">
        <v>686</v>
      </c>
      <c r="U2043" s="31" t="s">
        <v>633</v>
      </c>
      <c r="V2043" s="34"/>
      <c r="W2043" s="34"/>
    </row>
    <row r="2044">
      <c r="A2044" s="30">
        <v>2.039</v>
      </c>
      <c r="B2044" s="31" t="s">
        <v>8206</v>
      </c>
      <c r="C2044" s="31" t="s">
        <v>4000</v>
      </c>
      <c r="D2044" s="31" t="s">
        <v>3026</v>
      </c>
      <c r="E2044" s="31" t="s">
        <v>4652</v>
      </c>
      <c r="F2044" s="32">
        <v>40848.0</v>
      </c>
      <c r="G2044" s="32">
        <v>40909.0</v>
      </c>
      <c r="H2044" s="31" t="s">
        <v>576</v>
      </c>
      <c r="I2044" s="31" t="s">
        <v>2817</v>
      </c>
      <c r="J2044" s="31" t="s">
        <v>4652</v>
      </c>
      <c r="K2044" s="31" t="s">
        <v>4653</v>
      </c>
      <c r="L2044" s="31" t="s">
        <v>3029</v>
      </c>
      <c r="M2044" s="31" t="s">
        <v>8207</v>
      </c>
      <c r="N2044" s="31" t="s">
        <v>267</v>
      </c>
      <c r="O2044" s="31">
        <v>1.0</v>
      </c>
      <c r="P2044" s="31">
        <v>14.0</v>
      </c>
      <c r="Q2044" s="31" t="s">
        <v>307</v>
      </c>
      <c r="R2044" s="32">
        <v>32537.0</v>
      </c>
      <c r="S2044" s="31" t="s">
        <v>626</v>
      </c>
      <c r="T2044" s="31" t="s">
        <v>686</v>
      </c>
      <c r="U2044" s="31" t="s">
        <v>2821</v>
      </c>
      <c r="V2044" s="34"/>
      <c r="W2044" s="34"/>
    </row>
    <row r="2045">
      <c r="A2045" s="30">
        <v>2.04</v>
      </c>
      <c r="B2045" s="31" t="s">
        <v>8208</v>
      </c>
      <c r="C2045" s="31" t="s">
        <v>8209</v>
      </c>
      <c r="D2045" s="31" t="s">
        <v>2932</v>
      </c>
      <c r="E2045" s="31" t="s">
        <v>3256</v>
      </c>
      <c r="F2045" s="32">
        <v>42639.0</v>
      </c>
      <c r="G2045" s="35">
        <v>42700.0</v>
      </c>
      <c r="H2045" s="31" t="s">
        <v>576</v>
      </c>
      <c r="I2045" s="31" t="s">
        <v>3257</v>
      </c>
      <c r="J2045" s="31" t="s">
        <v>3256</v>
      </c>
      <c r="K2045" s="31" t="s">
        <v>3258</v>
      </c>
      <c r="L2045" s="31" t="s">
        <v>2936</v>
      </c>
      <c r="M2045" s="31" t="s">
        <v>8210</v>
      </c>
      <c r="N2045" s="31" t="s">
        <v>267</v>
      </c>
      <c r="O2045" s="34"/>
      <c r="P2045" s="31">
        <v>4.0</v>
      </c>
      <c r="Q2045" s="31" t="s">
        <v>307</v>
      </c>
      <c r="R2045" s="32">
        <v>33406.0</v>
      </c>
      <c r="S2045" s="31" t="s">
        <v>1809</v>
      </c>
      <c r="T2045" s="31" t="s">
        <v>8211</v>
      </c>
      <c r="U2045" s="31" t="s">
        <v>271</v>
      </c>
      <c r="V2045" s="34"/>
      <c r="W2045" s="34"/>
    </row>
    <row r="2046">
      <c r="A2046" s="30">
        <v>2.041</v>
      </c>
      <c r="B2046" s="31" t="s">
        <v>8212</v>
      </c>
      <c r="C2046" s="31" t="s">
        <v>8213</v>
      </c>
      <c r="D2046" s="31" t="s">
        <v>574</v>
      </c>
      <c r="E2046" s="31" t="s">
        <v>4301</v>
      </c>
      <c r="F2046" s="32">
        <v>43318.0</v>
      </c>
      <c r="G2046" s="32">
        <v>43379.0</v>
      </c>
      <c r="H2046" s="31" t="s">
        <v>576</v>
      </c>
      <c r="I2046" s="31" t="s">
        <v>2817</v>
      </c>
      <c r="J2046" s="31" t="s">
        <v>4301</v>
      </c>
      <c r="K2046" s="31" t="s">
        <v>4302</v>
      </c>
      <c r="L2046" s="31" t="s">
        <v>579</v>
      </c>
      <c r="M2046" s="31" t="s">
        <v>8214</v>
      </c>
      <c r="N2046" s="31" t="s">
        <v>267</v>
      </c>
      <c r="O2046" s="34"/>
      <c r="P2046" s="31">
        <v>8.0</v>
      </c>
      <c r="Q2046" s="31" t="s">
        <v>307</v>
      </c>
      <c r="R2046" s="35">
        <v>35409.0</v>
      </c>
      <c r="S2046" s="31" t="s">
        <v>626</v>
      </c>
      <c r="T2046" s="31" t="s">
        <v>8215</v>
      </c>
      <c r="U2046" s="31" t="s">
        <v>2821</v>
      </c>
      <c r="V2046" s="34"/>
      <c r="W2046" s="34"/>
    </row>
    <row r="2047">
      <c r="A2047" s="30">
        <v>2.042</v>
      </c>
      <c r="B2047" s="31" t="s">
        <v>8216</v>
      </c>
      <c r="C2047" s="31" t="s">
        <v>8217</v>
      </c>
      <c r="D2047" s="31" t="s">
        <v>574</v>
      </c>
      <c r="E2047" s="31" t="s">
        <v>4652</v>
      </c>
      <c r="F2047" s="32">
        <v>41001.0</v>
      </c>
      <c r="G2047" s="32">
        <v>41091.0</v>
      </c>
      <c r="H2047" s="31" t="s">
        <v>576</v>
      </c>
      <c r="I2047" s="31" t="s">
        <v>2817</v>
      </c>
      <c r="J2047" s="31" t="s">
        <v>4652</v>
      </c>
      <c r="K2047" s="31" t="s">
        <v>4653</v>
      </c>
      <c r="L2047" s="31" t="s">
        <v>579</v>
      </c>
      <c r="M2047" s="31" t="s">
        <v>8218</v>
      </c>
      <c r="N2047" s="31" t="s">
        <v>267</v>
      </c>
      <c r="O2047" s="34"/>
      <c r="P2047" s="31">
        <v>7.0</v>
      </c>
      <c r="Q2047" s="31" t="s">
        <v>307</v>
      </c>
      <c r="R2047" s="32">
        <v>32541.0</v>
      </c>
      <c r="S2047" s="31" t="s">
        <v>681</v>
      </c>
      <c r="T2047" s="31" t="s">
        <v>371</v>
      </c>
      <c r="U2047" s="31" t="s">
        <v>2821</v>
      </c>
      <c r="V2047" s="34"/>
      <c r="W2047" s="34"/>
    </row>
    <row r="2048">
      <c r="A2048" s="30">
        <v>2.043</v>
      </c>
      <c r="B2048" s="31" t="s">
        <v>8219</v>
      </c>
      <c r="C2048" s="31" t="s">
        <v>8220</v>
      </c>
      <c r="D2048" s="31" t="s">
        <v>574</v>
      </c>
      <c r="E2048" s="31" t="s">
        <v>4719</v>
      </c>
      <c r="F2048" s="32">
        <v>44092.0</v>
      </c>
      <c r="G2048" s="35">
        <v>44153.0</v>
      </c>
      <c r="H2048" s="31" t="s">
        <v>576</v>
      </c>
      <c r="I2048" s="31" t="s">
        <v>3431</v>
      </c>
      <c r="J2048" s="31" t="s">
        <v>4719</v>
      </c>
      <c r="K2048" s="31" t="s">
        <v>4720</v>
      </c>
      <c r="L2048" s="31" t="s">
        <v>579</v>
      </c>
      <c r="M2048" s="31" t="s">
        <v>8221</v>
      </c>
      <c r="N2048" s="31" t="s">
        <v>267</v>
      </c>
      <c r="O2048" s="34"/>
      <c r="P2048" s="31">
        <v>4.0</v>
      </c>
      <c r="Q2048" s="31" t="s">
        <v>307</v>
      </c>
      <c r="R2048" s="32">
        <v>34276.0</v>
      </c>
      <c r="S2048" s="31" t="s">
        <v>1058</v>
      </c>
      <c r="T2048" s="31" t="s">
        <v>7987</v>
      </c>
      <c r="U2048" s="31" t="s">
        <v>633</v>
      </c>
      <c r="V2048" s="34"/>
      <c r="W2048" s="34"/>
    </row>
    <row r="2049">
      <c r="A2049" s="30">
        <v>2.044</v>
      </c>
      <c r="B2049" s="31" t="s">
        <v>8222</v>
      </c>
      <c r="C2049" s="31" t="s">
        <v>8223</v>
      </c>
      <c r="D2049" s="31" t="s">
        <v>3026</v>
      </c>
      <c r="E2049" s="31" t="s">
        <v>7470</v>
      </c>
      <c r="F2049" s="32">
        <v>40848.0</v>
      </c>
      <c r="G2049" s="32">
        <v>40909.0</v>
      </c>
      <c r="H2049" s="31" t="s">
        <v>576</v>
      </c>
      <c r="I2049" s="31" t="s">
        <v>2817</v>
      </c>
      <c r="J2049" s="31" t="s">
        <v>7470</v>
      </c>
      <c r="K2049" s="31" t="s">
        <v>7471</v>
      </c>
      <c r="L2049" s="31" t="s">
        <v>3029</v>
      </c>
      <c r="M2049" s="31" t="s">
        <v>8224</v>
      </c>
      <c r="N2049" s="31" t="s">
        <v>267</v>
      </c>
      <c r="O2049" s="31">
        <v>1.0</v>
      </c>
      <c r="P2049" s="31">
        <v>14.0</v>
      </c>
      <c r="Q2049" s="31" t="s">
        <v>307</v>
      </c>
      <c r="R2049" s="32">
        <v>32643.0</v>
      </c>
      <c r="S2049" s="31" t="s">
        <v>815</v>
      </c>
      <c r="T2049" s="31" t="s">
        <v>686</v>
      </c>
      <c r="U2049" s="31" t="s">
        <v>2821</v>
      </c>
      <c r="V2049" s="34"/>
      <c r="W2049" s="34"/>
    </row>
    <row r="2050">
      <c r="A2050" s="30">
        <v>2.045</v>
      </c>
      <c r="B2050" s="31" t="s">
        <v>8225</v>
      </c>
      <c r="C2050" s="31" t="s">
        <v>8226</v>
      </c>
      <c r="D2050" s="31" t="s">
        <v>3237</v>
      </c>
      <c r="E2050" s="31" t="s">
        <v>3238</v>
      </c>
      <c r="F2050" s="32">
        <v>43567.0</v>
      </c>
      <c r="G2050" s="32">
        <v>43628.0</v>
      </c>
      <c r="H2050" s="31" t="s">
        <v>576</v>
      </c>
      <c r="I2050" s="31" t="s">
        <v>3239</v>
      </c>
      <c r="J2050" s="31" t="s">
        <v>3238</v>
      </c>
      <c r="K2050" s="31" t="s">
        <v>3240</v>
      </c>
      <c r="L2050" s="31" t="s">
        <v>3241</v>
      </c>
      <c r="M2050" s="31" t="s">
        <v>8227</v>
      </c>
      <c r="N2050" s="31" t="s">
        <v>267</v>
      </c>
      <c r="O2050" s="34"/>
      <c r="P2050" s="31">
        <v>6.0</v>
      </c>
      <c r="Q2050" s="31" t="s">
        <v>307</v>
      </c>
      <c r="R2050" s="32">
        <v>35271.0</v>
      </c>
      <c r="S2050" s="31" t="s">
        <v>626</v>
      </c>
      <c r="T2050" s="31" t="s">
        <v>686</v>
      </c>
      <c r="U2050" s="31" t="s">
        <v>633</v>
      </c>
      <c r="V2050" s="34"/>
      <c r="W2050" s="34"/>
    </row>
    <row r="2051">
      <c r="A2051" s="30">
        <v>2.046</v>
      </c>
      <c r="B2051" s="31" t="s">
        <v>8228</v>
      </c>
      <c r="C2051" s="31" t="s">
        <v>8229</v>
      </c>
      <c r="D2051" s="31" t="s">
        <v>3026</v>
      </c>
      <c r="E2051" s="31" t="s">
        <v>3313</v>
      </c>
      <c r="F2051" s="35">
        <v>40527.0</v>
      </c>
      <c r="G2051" s="32">
        <v>40589.0</v>
      </c>
      <c r="H2051" s="31" t="s">
        <v>576</v>
      </c>
      <c r="I2051" s="31" t="s">
        <v>577</v>
      </c>
      <c r="J2051" s="31" t="s">
        <v>3313</v>
      </c>
      <c r="K2051" s="31" t="s">
        <v>3314</v>
      </c>
      <c r="L2051" s="31" t="s">
        <v>3029</v>
      </c>
      <c r="M2051" s="31" t="s">
        <v>8230</v>
      </c>
      <c r="N2051" s="31" t="s">
        <v>267</v>
      </c>
      <c r="O2051" s="31">
        <v>1.0</v>
      </c>
      <c r="P2051" s="31">
        <v>14.0</v>
      </c>
      <c r="Q2051" s="31" t="s">
        <v>307</v>
      </c>
      <c r="R2051" s="32">
        <v>32172.0</v>
      </c>
      <c r="S2051" s="31" t="s">
        <v>700</v>
      </c>
      <c r="T2051" s="31" t="s">
        <v>2845</v>
      </c>
      <c r="U2051" s="31" t="s">
        <v>583</v>
      </c>
      <c r="V2051" s="34"/>
      <c r="W2051" s="34"/>
    </row>
    <row r="2052">
      <c r="A2052" s="30">
        <v>2.047</v>
      </c>
      <c r="B2052" s="31" t="s">
        <v>8231</v>
      </c>
      <c r="C2052" s="31" t="s">
        <v>8232</v>
      </c>
      <c r="D2052" s="31" t="s">
        <v>3026</v>
      </c>
      <c r="E2052" s="31" t="s">
        <v>2817</v>
      </c>
      <c r="F2052" s="32">
        <v>39995.0</v>
      </c>
      <c r="G2052" s="32">
        <v>40422.0</v>
      </c>
      <c r="H2052" s="31" t="s">
        <v>576</v>
      </c>
      <c r="I2052" s="31" t="s">
        <v>2817</v>
      </c>
      <c r="J2052" s="34"/>
      <c r="K2052" s="31" t="s">
        <v>8233</v>
      </c>
      <c r="L2052" s="31" t="s">
        <v>3029</v>
      </c>
      <c r="M2052" s="31" t="s">
        <v>8234</v>
      </c>
      <c r="N2052" s="31" t="s">
        <v>267</v>
      </c>
      <c r="O2052" s="31">
        <v>1.0</v>
      </c>
      <c r="P2052" s="34"/>
      <c r="Q2052" s="31" t="s">
        <v>307</v>
      </c>
      <c r="R2052" s="32">
        <v>31312.0</v>
      </c>
      <c r="S2052" s="31" t="s">
        <v>531</v>
      </c>
      <c r="T2052" s="31" t="s">
        <v>709</v>
      </c>
      <c r="U2052" s="31" t="s">
        <v>2821</v>
      </c>
      <c r="V2052" s="34"/>
      <c r="W2052" s="34"/>
    </row>
    <row r="2053">
      <c r="A2053" s="30">
        <v>2.048</v>
      </c>
      <c r="B2053" s="31" t="s">
        <v>8235</v>
      </c>
      <c r="C2053" s="31" t="s">
        <v>8236</v>
      </c>
      <c r="D2053" s="31" t="s">
        <v>3237</v>
      </c>
      <c r="E2053" s="31" t="s">
        <v>3238</v>
      </c>
      <c r="F2053" s="35">
        <v>42293.0</v>
      </c>
      <c r="G2053" s="35">
        <v>42353.0</v>
      </c>
      <c r="H2053" s="31" t="s">
        <v>576</v>
      </c>
      <c r="I2053" s="31" t="s">
        <v>3239</v>
      </c>
      <c r="J2053" s="31" t="s">
        <v>3238</v>
      </c>
      <c r="K2053" s="31" t="s">
        <v>3240</v>
      </c>
      <c r="L2053" s="31" t="s">
        <v>3241</v>
      </c>
      <c r="M2053" s="31" t="s">
        <v>8237</v>
      </c>
      <c r="N2053" s="31" t="s">
        <v>267</v>
      </c>
      <c r="O2053" s="34"/>
      <c r="P2053" s="31">
        <v>6.0</v>
      </c>
      <c r="Q2053" s="31" t="s">
        <v>307</v>
      </c>
      <c r="R2053" s="32">
        <v>33763.0</v>
      </c>
      <c r="S2053" s="31" t="s">
        <v>1249</v>
      </c>
      <c r="T2053" s="31" t="s">
        <v>1647</v>
      </c>
      <c r="U2053" s="31" t="s">
        <v>271</v>
      </c>
      <c r="V2053" s="34"/>
      <c r="W2053" s="34"/>
    </row>
    <row r="2054">
      <c r="A2054" s="30">
        <v>2.049</v>
      </c>
      <c r="B2054" s="31" t="s">
        <v>8238</v>
      </c>
      <c r="C2054" s="31" t="s">
        <v>4941</v>
      </c>
      <c r="D2054" s="31" t="s">
        <v>7404</v>
      </c>
      <c r="E2054" s="31" t="s">
        <v>7405</v>
      </c>
      <c r="F2054" s="32">
        <v>43077.0</v>
      </c>
      <c r="G2054" s="32">
        <v>43139.0</v>
      </c>
      <c r="H2054" s="31" t="s">
        <v>576</v>
      </c>
      <c r="I2054" s="31" t="s">
        <v>3239</v>
      </c>
      <c r="J2054" s="31" t="s">
        <v>7405</v>
      </c>
      <c r="K2054" s="31" t="s">
        <v>7406</v>
      </c>
      <c r="L2054" s="31" t="s">
        <v>7407</v>
      </c>
      <c r="M2054" s="31" t="s">
        <v>8239</v>
      </c>
      <c r="N2054" s="31" t="s">
        <v>267</v>
      </c>
      <c r="O2054" s="34"/>
      <c r="P2054" s="31">
        <v>7.0</v>
      </c>
      <c r="Q2054" s="31" t="s">
        <v>307</v>
      </c>
      <c r="R2054" s="32">
        <v>35202.0</v>
      </c>
      <c r="S2054" s="31" t="s">
        <v>1249</v>
      </c>
      <c r="T2054" s="31" t="s">
        <v>1662</v>
      </c>
      <c r="U2054" s="31" t="s">
        <v>271</v>
      </c>
      <c r="V2054" s="34"/>
      <c r="W2054" s="34"/>
    </row>
    <row r="2055">
      <c r="A2055" s="30">
        <v>2.05</v>
      </c>
      <c r="B2055" s="31" t="s">
        <v>8240</v>
      </c>
      <c r="C2055" s="31" t="s">
        <v>8241</v>
      </c>
      <c r="D2055" s="31" t="s">
        <v>2932</v>
      </c>
      <c r="E2055" s="31" t="s">
        <v>7512</v>
      </c>
      <c r="F2055" s="32">
        <v>40360.0</v>
      </c>
      <c r="G2055" s="32">
        <v>40422.0</v>
      </c>
      <c r="H2055" s="31" t="s">
        <v>576</v>
      </c>
      <c r="I2055" s="31" t="s">
        <v>3257</v>
      </c>
      <c r="J2055" s="31" t="s">
        <v>7512</v>
      </c>
      <c r="K2055" s="31" t="s">
        <v>7513</v>
      </c>
      <c r="L2055" s="31" t="s">
        <v>2936</v>
      </c>
      <c r="M2055" s="31" t="s">
        <v>8242</v>
      </c>
      <c r="N2055" s="31" t="s">
        <v>267</v>
      </c>
      <c r="O2055" s="34"/>
      <c r="P2055" s="31">
        <v>4.0</v>
      </c>
      <c r="Q2055" s="31" t="s">
        <v>581</v>
      </c>
      <c r="R2055" s="32">
        <v>32349.0</v>
      </c>
      <c r="S2055" s="31" t="s">
        <v>531</v>
      </c>
      <c r="T2055" s="31" t="s">
        <v>682</v>
      </c>
      <c r="U2055" s="31" t="s">
        <v>633</v>
      </c>
      <c r="V2055" s="34"/>
      <c r="W2055" s="34"/>
    </row>
    <row r="2056">
      <c r="A2056" s="30">
        <v>2.051</v>
      </c>
      <c r="B2056" s="31" t="s">
        <v>8243</v>
      </c>
      <c r="C2056" s="31" t="s">
        <v>8244</v>
      </c>
      <c r="D2056" s="31" t="s">
        <v>574</v>
      </c>
      <c r="E2056" s="31" t="s">
        <v>4719</v>
      </c>
      <c r="F2056" s="32">
        <v>44036.0</v>
      </c>
      <c r="G2056" s="32">
        <v>44098.0</v>
      </c>
      <c r="H2056" s="31" t="s">
        <v>576</v>
      </c>
      <c r="I2056" s="31" t="s">
        <v>3431</v>
      </c>
      <c r="J2056" s="31" t="s">
        <v>4719</v>
      </c>
      <c r="K2056" s="31" t="s">
        <v>4720</v>
      </c>
      <c r="L2056" s="31" t="s">
        <v>579</v>
      </c>
      <c r="M2056" s="31" t="s">
        <v>8245</v>
      </c>
      <c r="N2056" s="31" t="s">
        <v>267</v>
      </c>
      <c r="O2056" s="34"/>
      <c r="P2056" s="31">
        <v>6.0</v>
      </c>
      <c r="Q2056" s="31" t="s">
        <v>307</v>
      </c>
      <c r="R2056" s="32">
        <v>36105.0</v>
      </c>
      <c r="S2056" s="31" t="s">
        <v>531</v>
      </c>
      <c r="T2056" s="31" t="s">
        <v>1428</v>
      </c>
      <c r="U2056" s="31" t="s">
        <v>633</v>
      </c>
      <c r="V2056" s="34"/>
      <c r="W2056" s="34"/>
    </row>
    <row r="2057">
      <c r="A2057" s="30">
        <v>2.052</v>
      </c>
      <c r="B2057" s="31" t="s">
        <v>8246</v>
      </c>
      <c r="C2057" s="31" t="s">
        <v>8247</v>
      </c>
      <c r="D2057" s="31" t="s">
        <v>574</v>
      </c>
      <c r="E2057" s="31" t="s">
        <v>2816</v>
      </c>
      <c r="F2057" s="32">
        <v>42738.0</v>
      </c>
      <c r="G2057" s="32">
        <v>42795.0</v>
      </c>
      <c r="H2057" s="31" t="s">
        <v>576</v>
      </c>
      <c r="I2057" s="31" t="s">
        <v>2817</v>
      </c>
      <c r="J2057" s="31" t="s">
        <v>2816</v>
      </c>
      <c r="K2057" s="31" t="s">
        <v>2818</v>
      </c>
      <c r="L2057" s="31" t="s">
        <v>579</v>
      </c>
      <c r="M2057" s="31" t="s">
        <v>8248</v>
      </c>
      <c r="N2057" s="31" t="s">
        <v>467</v>
      </c>
      <c r="O2057" s="34"/>
      <c r="P2057" s="31">
        <v>6.0</v>
      </c>
      <c r="Q2057" s="31" t="s">
        <v>307</v>
      </c>
      <c r="R2057" s="32">
        <v>33662.0</v>
      </c>
      <c r="S2057" s="31" t="s">
        <v>700</v>
      </c>
      <c r="T2057" s="31" t="s">
        <v>757</v>
      </c>
      <c r="U2057" s="31" t="s">
        <v>2821</v>
      </c>
      <c r="V2057" s="34"/>
      <c r="W2057" s="34"/>
    </row>
    <row r="2058">
      <c r="A2058" s="30">
        <v>2.053</v>
      </c>
      <c r="B2058" s="31" t="s">
        <v>8249</v>
      </c>
      <c r="C2058" s="31" t="s">
        <v>8250</v>
      </c>
      <c r="D2058" s="31" t="s">
        <v>1219</v>
      </c>
      <c r="E2058" s="31" t="s">
        <v>1323</v>
      </c>
      <c r="F2058" s="32">
        <v>44825.0</v>
      </c>
      <c r="G2058" s="35">
        <v>44886.0</v>
      </c>
      <c r="H2058" s="31" t="s">
        <v>262</v>
      </c>
      <c r="I2058" s="31" t="s">
        <v>315</v>
      </c>
      <c r="J2058" s="31" t="s">
        <v>86</v>
      </c>
      <c r="K2058" s="31" t="s">
        <v>2333</v>
      </c>
      <c r="L2058" s="31" t="s">
        <v>1223</v>
      </c>
      <c r="M2058" s="31" t="s">
        <v>8251</v>
      </c>
      <c r="N2058" s="31" t="s">
        <v>267</v>
      </c>
      <c r="O2058" s="34"/>
      <c r="P2058" s="31">
        <v>1.0</v>
      </c>
      <c r="Q2058" s="31" t="s">
        <v>581</v>
      </c>
      <c r="R2058" s="35">
        <v>36078.0</v>
      </c>
      <c r="S2058" s="31" t="s">
        <v>1041</v>
      </c>
      <c r="T2058" s="31" t="s">
        <v>1711</v>
      </c>
      <c r="U2058" s="31" t="s">
        <v>271</v>
      </c>
      <c r="V2058" s="31" t="s">
        <v>1323</v>
      </c>
      <c r="W2058" s="34"/>
    </row>
    <row r="2059">
      <c r="A2059" s="30">
        <v>2.054</v>
      </c>
      <c r="B2059" s="31" t="s">
        <v>8252</v>
      </c>
      <c r="C2059" s="31" t="s">
        <v>8253</v>
      </c>
      <c r="D2059" s="31" t="s">
        <v>648</v>
      </c>
      <c r="E2059" s="31" t="s">
        <v>153</v>
      </c>
      <c r="F2059" s="32">
        <v>42639.0</v>
      </c>
      <c r="G2059" s="35">
        <v>42700.0</v>
      </c>
      <c r="H2059" s="31" t="s">
        <v>262</v>
      </c>
      <c r="I2059" s="31" t="s">
        <v>93</v>
      </c>
      <c r="J2059" s="31" t="s">
        <v>153</v>
      </c>
      <c r="K2059" s="31" t="s">
        <v>1850</v>
      </c>
      <c r="L2059" s="31" t="s">
        <v>959</v>
      </c>
      <c r="M2059" s="31" t="s">
        <v>8254</v>
      </c>
      <c r="N2059" s="31" t="s">
        <v>467</v>
      </c>
      <c r="O2059" s="34"/>
      <c r="P2059" s="31">
        <v>6.0</v>
      </c>
      <c r="Q2059" s="31" t="s">
        <v>307</v>
      </c>
      <c r="R2059" s="32">
        <v>33750.0</v>
      </c>
      <c r="S2059" s="31" t="s">
        <v>1332</v>
      </c>
      <c r="T2059" s="31" t="s">
        <v>1476</v>
      </c>
      <c r="U2059" s="31" t="s">
        <v>271</v>
      </c>
      <c r="V2059" s="34"/>
      <c r="W2059" s="34"/>
    </row>
    <row r="2060">
      <c r="A2060" s="30">
        <v>2.055</v>
      </c>
      <c r="B2060" s="31" t="s">
        <v>8255</v>
      </c>
      <c r="C2060" s="31" t="s">
        <v>8256</v>
      </c>
      <c r="D2060" s="31" t="s">
        <v>1329</v>
      </c>
      <c r="E2060" s="31" t="s">
        <v>1365</v>
      </c>
      <c r="F2060" s="32">
        <v>43208.0</v>
      </c>
      <c r="G2060" s="32">
        <v>43269.0</v>
      </c>
      <c r="H2060" s="31" t="s">
        <v>262</v>
      </c>
      <c r="I2060" s="31" t="s">
        <v>315</v>
      </c>
      <c r="J2060" s="31" t="s">
        <v>86</v>
      </c>
      <c r="K2060" s="31" t="s">
        <v>2348</v>
      </c>
      <c r="L2060" s="31" t="s">
        <v>1330</v>
      </c>
      <c r="M2060" s="31" t="s">
        <v>8257</v>
      </c>
      <c r="N2060" s="31" t="s">
        <v>267</v>
      </c>
      <c r="O2060" s="31">
        <v>1.0</v>
      </c>
      <c r="P2060" s="31">
        <v>3.0</v>
      </c>
      <c r="Q2060" s="31" t="s">
        <v>307</v>
      </c>
      <c r="R2060" s="32">
        <v>35346.0</v>
      </c>
      <c r="S2060" s="31" t="s">
        <v>531</v>
      </c>
      <c r="T2060" s="31" t="s">
        <v>1690</v>
      </c>
      <c r="U2060" s="31" t="s">
        <v>271</v>
      </c>
      <c r="V2060" s="31" t="s">
        <v>1365</v>
      </c>
      <c r="W2060" s="34"/>
    </row>
    <row r="2061">
      <c r="A2061" s="30">
        <v>2.056</v>
      </c>
      <c r="B2061" s="31" t="s">
        <v>8258</v>
      </c>
      <c r="C2061" s="31" t="s">
        <v>8259</v>
      </c>
      <c r="D2061" s="31" t="s">
        <v>260</v>
      </c>
      <c r="E2061" s="31" t="s">
        <v>283</v>
      </c>
      <c r="F2061" s="32">
        <v>44767.0</v>
      </c>
      <c r="G2061" s="32">
        <v>44829.0</v>
      </c>
      <c r="H2061" s="31" t="s">
        <v>262</v>
      </c>
      <c r="I2061" s="31" t="s">
        <v>275</v>
      </c>
      <c r="J2061" s="31" t="s">
        <v>283</v>
      </c>
      <c r="K2061" s="31" t="s">
        <v>284</v>
      </c>
      <c r="L2061" s="31" t="s">
        <v>277</v>
      </c>
      <c r="M2061" s="31" t="s">
        <v>8260</v>
      </c>
      <c r="N2061" s="31" t="s">
        <v>267</v>
      </c>
      <c r="O2061" s="34"/>
      <c r="P2061" s="31">
        <v>1.0</v>
      </c>
      <c r="Q2061" s="31" t="s">
        <v>307</v>
      </c>
      <c r="R2061" s="35">
        <v>36852.0</v>
      </c>
      <c r="S2061" s="31" t="s">
        <v>1041</v>
      </c>
      <c r="T2061" s="31" t="s">
        <v>1895</v>
      </c>
      <c r="U2061" s="31" t="s">
        <v>271</v>
      </c>
      <c r="V2061" s="34"/>
      <c r="W2061" s="34"/>
    </row>
    <row r="2062">
      <c r="A2062" s="30">
        <v>2.057</v>
      </c>
      <c r="B2062" s="31" t="s">
        <v>8261</v>
      </c>
      <c r="C2062" s="31" t="s">
        <v>4277</v>
      </c>
      <c r="D2062" s="31" t="s">
        <v>260</v>
      </c>
      <c r="E2062" s="31" t="s">
        <v>1717</v>
      </c>
      <c r="F2062" s="32">
        <v>43605.0</v>
      </c>
      <c r="G2062" s="32">
        <v>43666.0</v>
      </c>
      <c r="H2062" s="31" t="s">
        <v>262</v>
      </c>
      <c r="I2062" s="31" t="s">
        <v>263</v>
      </c>
      <c r="J2062" s="31" t="s">
        <v>356</v>
      </c>
      <c r="K2062" s="31" t="s">
        <v>1718</v>
      </c>
      <c r="L2062" s="31" t="s">
        <v>328</v>
      </c>
      <c r="M2062" s="31" t="s">
        <v>8262</v>
      </c>
      <c r="N2062" s="31" t="s">
        <v>267</v>
      </c>
      <c r="O2062" s="34"/>
      <c r="P2062" s="31">
        <v>8.0</v>
      </c>
      <c r="Q2062" s="31" t="s">
        <v>307</v>
      </c>
      <c r="R2062" s="32">
        <v>34170.0</v>
      </c>
      <c r="S2062" s="31" t="s">
        <v>320</v>
      </c>
      <c r="T2062" s="31" t="s">
        <v>8263</v>
      </c>
      <c r="U2062" s="31" t="s">
        <v>271</v>
      </c>
      <c r="V2062" s="31" t="s">
        <v>1717</v>
      </c>
      <c r="W2062" s="34"/>
    </row>
    <row r="2063">
      <c r="A2063" s="30">
        <v>2.058</v>
      </c>
      <c r="B2063" s="31" t="s">
        <v>8264</v>
      </c>
      <c r="C2063" s="31" t="s">
        <v>3735</v>
      </c>
      <c r="D2063" s="31" t="s">
        <v>313</v>
      </c>
      <c r="E2063" s="31" t="s">
        <v>3068</v>
      </c>
      <c r="F2063" s="32">
        <v>41498.0</v>
      </c>
      <c r="G2063" s="32">
        <v>41579.0</v>
      </c>
      <c r="H2063" s="31" t="s">
        <v>2811</v>
      </c>
      <c r="I2063" s="31" t="s">
        <v>2797</v>
      </c>
      <c r="J2063" s="31" t="s">
        <v>3068</v>
      </c>
      <c r="K2063" s="31" t="s">
        <v>3069</v>
      </c>
      <c r="L2063" s="31" t="s">
        <v>318</v>
      </c>
      <c r="M2063" s="31" t="s">
        <v>8265</v>
      </c>
      <c r="N2063" s="31" t="s">
        <v>267</v>
      </c>
      <c r="O2063" s="34"/>
      <c r="P2063" s="31">
        <v>8.0</v>
      </c>
      <c r="Q2063" s="31" t="s">
        <v>307</v>
      </c>
      <c r="R2063" s="32">
        <v>32653.0</v>
      </c>
      <c r="S2063" s="31" t="s">
        <v>700</v>
      </c>
      <c r="T2063" s="31" t="s">
        <v>8266</v>
      </c>
      <c r="U2063" s="31" t="s">
        <v>2914</v>
      </c>
      <c r="V2063" s="34"/>
      <c r="W2063" s="34"/>
    </row>
    <row r="2064">
      <c r="A2064" s="30">
        <v>2.059</v>
      </c>
      <c r="B2064" s="31" t="s">
        <v>8267</v>
      </c>
      <c r="C2064" s="31" t="s">
        <v>8268</v>
      </c>
      <c r="D2064" s="31" t="s">
        <v>978</v>
      </c>
      <c r="E2064" s="31" t="s">
        <v>2858</v>
      </c>
      <c r="F2064" s="32">
        <v>43332.0</v>
      </c>
      <c r="G2064" s="35">
        <v>43393.0</v>
      </c>
      <c r="H2064" s="31" t="s">
        <v>2811</v>
      </c>
      <c r="I2064" s="31" t="s">
        <v>2768</v>
      </c>
      <c r="J2064" s="31" t="s">
        <v>2858</v>
      </c>
      <c r="K2064" s="31" t="s">
        <v>3074</v>
      </c>
      <c r="L2064" s="31" t="s">
        <v>1171</v>
      </c>
      <c r="M2064" s="31" t="s">
        <v>8269</v>
      </c>
      <c r="N2064" s="31" t="s">
        <v>267</v>
      </c>
      <c r="O2064" s="31">
        <v>2.0</v>
      </c>
      <c r="P2064" s="31">
        <v>2.0</v>
      </c>
      <c r="Q2064" s="31" t="s">
        <v>307</v>
      </c>
      <c r="R2064" s="35">
        <v>35395.0</v>
      </c>
      <c r="S2064" s="31" t="s">
        <v>531</v>
      </c>
      <c r="T2064" s="31" t="s">
        <v>7255</v>
      </c>
      <c r="U2064" s="31" t="s">
        <v>2914</v>
      </c>
      <c r="V2064" s="34"/>
      <c r="W2064" s="34"/>
    </row>
    <row r="2065">
      <c r="A2065" s="30">
        <v>2.06</v>
      </c>
      <c r="B2065" s="31" t="s">
        <v>8270</v>
      </c>
      <c r="C2065" s="31" t="s">
        <v>8271</v>
      </c>
      <c r="D2065" s="31" t="s">
        <v>260</v>
      </c>
      <c r="E2065" s="31" t="s">
        <v>1139</v>
      </c>
      <c r="F2065" s="32">
        <v>43183.0</v>
      </c>
      <c r="G2065" s="32">
        <v>43244.0</v>
      </c>
      <c r="H2065" s="31" t="s">
        <v>262</v>
      </c>
      <c r="I2065" s="31" t="s">
        <v>2219</v>
      </c>
      <c r="J2065" s="31" t="s">
        <v>1139</v>
      </c>
      <c r="K2065" s="31" t="s">
        <v>2220</v>
      </c>
      <c r="L2065" s="31" t="s">
        <v>392</v>
      </c>
      <c r="M2065" s="31" t="s">
        <v>8272</v>
      </c>
      <c r="N2065" s="31" t="s">
        <v>467</v>
      </c>
      <c r="O2065" s="34"/>
      <c r="P2065" s="31">
        <v>9.0</v>
      </c>
      <c r="Q2065" s="31" t="s">
        <v>307</v>
      </c>
      <c r="R2065" s="32">
        <v>34164.0</v>
      </c>
      <c r="S2065" s="31" t="s">
        <v>700</v>
      </c>
      <c r="T2065" s="31" t="s">
        <v>1686</v>
      </c>
      <c r="U2065" s="31" t="s">
        <v>271</v>
      </c>
      <c r="V2065" s="34"/>
      <c r="W2065" s="34"/>
    </row>
    <row r="2066">
      <c r="A2066" s="30">
        <v>2.061</v>
      </c>
      <c r="B2066" s="31" t="s">
        <v>8273</v>
      </c>
      <c r="C2066" s="31" t="s">
        <v>8274</v>
      </c>
      <c r="D2066" s="31" t="s">
        <v>6848</v>
      </c>
      <c r="E2066" s="31" t="s">
        <v>2463</v>
      </c>
      <c r="F2066" s="32">
        <v>42968.0</v>
      </c>
      <c r="G2066" s="35">
        <v>43029.0</v>
      </c>
      <c r="H2066" s="31" t="s">
        <v>325</v>
      </c>
      <c r="I2066" s="31" t="s">
        <v>2463</v>
      </c>
      <c r="J2066" s="34"/>
      <c r="K2066" s="31" t="s">
        <v>7565</v>
      </c>
      <c r="L2066" s="31" t="s">
        <v>6849</v>
      </c>
      <c r="M2066" s="31" t="s">
        <v>8275</v>
      </c>
      <c r="N2066" s="31" t="s">
        <v>467</v>
      </c>
      <c r="O2066" s="31">
        <v>2.0</v>
      </c>
      <c r="P2066" s="31">
        <v>1.0</v>
      </c>
      <c r="Q2066" s="31" t="s">
        <v>307</v>
      </c>
      <c r="R2066" s="32">
        <v>34752.0</v>
      </c>
      <c r="S2066" s="31" t="s">
        <v>320</v>
      </c>
      <c r="T2066" s="31" t="s">
        <v>7308</v>
      </c>
      <c r="U2066" s="31" t="s">
        <v>331</v>
      </c>
      <c r="V2066" s="34"/>
      <c r="W2066" s="34"/>
    </row>
    <row r="2067">
      <c r="A2067" s="30">
        <v>2.062</v>
      </c>
      <c r="B2067" s="31" t="s">
        <v>8276</v>
      </c>
      <c r="C2067" s="31" t="s">
        <v>8277</v>
      </c>
      <c r="D2067" s="31" t="s">
        <v>1208</v>
      </c>
      <c r="E2067" s="31" t="s">
        <v>2791</v>
      </c>
      <c r="F2067" s="32">
        <v>43311.0</v>
      </c>
      <c r="G2067" s="32">
        <v>43373.0</v>
      </c>
      <c r="H2067" s="31" t="s">
        <v>325</v>
      </c>
      <c r="I2067" s="31" t="s">
        <v>2791</v>
      </c>
      <c r="J2067" s="34"/>
      <c r="K2067" s="31" t="s">
        <v>2792</v>
      </c>
      <c r="L2067" s="31" t="s">
        <v>1211</v>
      </c>
      <c r="M2067" s="31" t="s">
        <v>8278</v>
      </c>
      <c r="N2067" s="31" t="s">
        <v>267</v>
      </c>
      <c r="O2067" s="34"/>
      <c r="P2067" s="31">
        <v>1.0</v>
      </c>
      <c r="Q2067" s="31" t="s">
        <v>307</v>
      </c>
      <c r="R2067" s="32">
        <v>34839.0</v>
      </c>
      <c r="S2067" s="31" t="s">
        <v>449</v>
      </c>
      <c r="T2067" s="31" t="s">
        <v>2744</v>
      </c>
      <c r="U2067" s="31" t="s">
        <v>331</v>
      </c>
      <c r="V2067" s="34"/>
      <c r="W2067" s="34"/>
    </row>
    <row r="2068">
      <c r="A2068" s="30">
        <v>2.063</v>
      </c>
      <c r="B2068" s="31" t="s">
        <v>8279</v>
      </c>
      <c r="C2068" s="31" t="s">
        <v>8280</v>
      </c>
      <c r="D2068" s="31" t="s">
        <v>2451</v>
      </c>
      <c r="E2068" s="31" t="s">
        <v>36</v>
      </c>
      <c r="F2068" s="32">
        <v>43894.0</v>
      </c>
      <c r="G2068" s="32">
        <v>43955.0</v>
      </c>
      <c r="H2068" s="31" t="s">
        <v>346</v>
      </c>
      <c r="I2068" s="31" t="s">
        <v>36</v>
      </c>
      <c r="J2068" s="34"/>
      <c r="K2068" s="31" t="s">
        <v>7593</v>
      </c>
      <c r="L2068" s="31" t="s">
        <v>2453</v>
      </c>
      <c r="M2068" s="31" t="s">
        <v>8281</v>
      </c>
      <c r="N2068" s="31" t="s">
        <v>267</v>
      </c>
      <c r="O2068" s="34"/>
      <c r="P2068" s="34"/>
      <c r="Q2068" s="31" t="s">
        <v>581</v>
      </c>
      <c r="R2068" s="35">
        <v>35779.0</v>
      </c>
      <c r="S2068" s="31" t="s">
        <v>8282</v>
      </c>
      <c r="T2068" s="31" t="s">
        <v>8283</v>
      </c>
      <c r="U2068" s="31" t="s">
        <v>352</v>
      </c>
      <c r="V2068" s="34"/>
      <c r="W2068" s="34"/>
    </row>
    <row r="2069">
      <c r="A2069" s="30">
        <v>2.064</v>
      </c>
      <c r="B2069" s="31" t="s">
        <v>8284</v>
      </c>
      <c r="C2069" s="31" t="s">
        <v>8285</v>
      </c>
      <c r="D2069" s="31" t="s">
        <v>506</v>
      </c>
      <c r="E2069" s="31" t="s">
        <v>4713</v>
      </c>
      <c r="F2069" s="32">
        <v>45042.0</v>
      </c>
      <c r="G2069" s="32">
        <v>45103.0</v>
      </c>
      <c r="H2069" s="31" t="s">
        <v>303</v>
      </c>
      <c r="I2069" s="31" t="s">
        <v>335</v>
      </c>
      <c r="J2069" s="31" t="s">
        <v>2079</v>
      </c>
      <c r="K2069" s="31" t="s">
        <v>4714</v>
      </c>
      <c r="L2069" s="31" t="s">
        <v>4715</v>
      </c>
      <c r="M2069" s="31" t="s">
        <v>8286</v>
      </c>
      <c r="N2069" s="31" t="s">
        <v>267</v>
      </c>
      <c r="O2069" s="34"/>
      <c r="P2069" s="34"/>
      <c r="Q2069" s="31" t="s">
        <v>307</v>
      </c>
      <c r="R2069" s="32">
        <v>37068.0</v>
      </c>
      <c r="S2069" s="31" t="s">
        <v>531</v>
      </c>
      <c r="T2069" s="31" t="s">
        <v>1651</v>
      </c>
      <c r="U2069" s="31" t="s">
        <v>271</v>
      </c>
      <c r="V2069" s="31" t="s">
        <v>4713</v>
      </c>
      <c r="W2069" s="34"/>
    </row>
    <row r="2070">
      <c r="A2070" s="30">
        <v>2.065</v>
      </c>
      <c r="B2070" s="31" t="s">
        <v>8287</v>
      </c>
      <c r="C2070" s="31" t="s">
        <v>8288</v>
      </c>
      <c r="D2070" s="31" t="s">
        <v>472</v>
      </c>
      <c r="E2070" s="31" t="s">
        <v>3099</v>
      </c>
      <c r="F2070" s="32">
        <v>44713.0</v>
      </c>
      <c r="G2070" s="32">
        <v>44774.0</v>
      </c>
      <c r="H2070" s="31" t="s">
        <v>2924</v>
      </c>
      <c r="I2070" s="31" t="s">
        <v>75</v>
      </c>
      <c r="J2070" s="31" t="s">
        <v>3100</v>
      </c>
      <c r="K2070" s="31" t="s">
        <v>3101</v>
      </c>
      <c r="L2070" s="31" t="s">
        <v>3088</v>
      </c>
      <c r="M2070" s="31" t="s">
        <v>8289</v>
      </c>
      <c r="N2070" s="31" t="s">
        <v>467</v>
      </c>
      <c r="O2070" s="34"/>
      <c r="P2070" s="34"/>
      <c r="Q2070" s="31" t="s">
        <v>307</v>
      </c>
      <c r="R2070" s="32">
        <v>36342.0</v>
      </c>
      <c r="S2070" s="31" t="s">
        <v>502</v>
      </c>
      <c r="T2070" s="34"/>
      <c r="U2070" s="31" t="s">
        <v>460</v>
      </c>
      <c r="V2070" s="31" t="s">
        <v>3099</v>
      </c>
      <c r="W2070" s="34"/>
    </row>
    <row r="2071">
      <c r="A2071" s="30">
        <v>2.066</v>
      </c>
      <c r="B2071" s="31" t="s">
        <v>8290</v>
      </c>
      <c r="C2071" s="31" t="s">
        <v>8291</v>
      </c>
      <c r="D2071" s="31" t="s">
        <v>8292</v>
      </c>
      <c r="E2071" s="31" t="s">
        <v>8293</v>
      </c>
      <c r="F2071" s="32">
        <v>44305.0</v>
      </c>
      <c r="G2071" s="32">
        <v>44638.0</v>
      </c>
      <c r="H2071" s="31" t="s">
        <v>2924</v>
      </c>
      <c r="I2071" s="31" t="s">
        <v>187</v>
      </c>
      <c r="J2071" s="31" t="s">
        <v>8293</v>
      </c>
      <c r="K2071" s="31" t="s">
        <v>8294</v>
      </c>
      <c r="L2071" s="31" t="s">
        <v>8295</v>
      </c>
      <c r="M2071" s="31" t="s">
        <v>8296</v>
      </c>
      <c r="N2071" s="31" t="s">
        <v>467</v>
      </c>
      <c r="O2071" s="34"/>
      <c r="P2071" s="34"/>
      <c r="Q2071" s="31" t="s">
        <v>307</v>
      </c>
      <c r="R2071" s="32">
        <v>35522.0</v>
      </c>
      <c r="S2071" s="31" t="s">
        <v>3044</v>
      </c>
      <c r="T2071" s="31" t="s">
        <v>8297</v>
      </c>
      <c r="U2071" s="31" t="s">
        <v>271</v>
      </c>
      <c r="V2071" s="34"/>
      <c r="W2071" s="34"/>
    </row>
    <row r="2072">
      <c r="A2072" s="30">
        <v>2.067</v>
      </c>
      <c r="B2072" s="31" t="s">
        <v>8298</v>
      </c>
      <c r="C2072" s="31" t="s">
        <v>8299</v>
      </c>
      <c r="D2072" s="31" t="s">
        <v>8292</v>
      </c>
      <c r="E2072" s="31" t="s">
        <v>8293</v>
      </c>
      <c r="F2072" s="32">
        <v>44872.0</v>
      </c>
      <c r="G2072" s="32">
        <v>44933.0</v>
      </c>
      <c r="H2072" s="31" t="s">
        <v>2924</v>
      </c>
      <c r="I2072" s="31" t="s">
        <v>187</v>
      </c>
      <c r="J2072" s="31" t="s">
        <v>8293</v>
      </c>
      <c r="K2072" s="31" t="s">
        <v>8294</v>
      </c>
      <c r="L2072" s="31" t="s">
        <v>8295</v>
      </c>
      <c r="M2072" s="31" t="s">
        <v>8300</v>
      </c>
      <c r="N2072" s="31" t="s">
        <v>467</v>
      </c>
      <c r="O2072" s="34"/>
      <c r="P2072" s="34"/>
      <c r="Q2072" s="31" t="s">
        <v>307</v>
      </c>
      <c r="R2072" s="32">
        <v>36569.0</v>
      </c>
      <c r="S2072" s="31" t="s">
        <v>1018</v>
      </c>
      <c r="T2072" s="31" t="s">
        <v>8301</v>
      </c>
      <c r="U2072" s="31" t="s">
        <v>271</v>
      </c>
      <c r="V2072" s="34"/>
      <c r="W2072" s="34"/>
    </row>
    <row r="2073">
      <c r="A2073" s="30">
        <v>2.068</v>
      </c>
      <c r="B2073" s="31" t="s">
        <v>8302</v>
      </c>
      <c r="C2073" s="31" t="s">
        <v>8303</v>
      </c>
      <c r="D2073" s="31" t="s">
        <v>564</v>
      </c>
      <c r="E2073" s="31" t="s">
        <v>3099</v>
      </c>
      <c r="F2073" s="32">
        <v>43332.0</v>
      </c>
      <c r="G2073" s="35">
        <v>43393.0</v>
      </c>
      <c r="H2073" s="31" t="s">
        <v>2924</v>
      </c>
      <c r="I2073" s="31" t="s">
        <v>75</v>
      </c>
      <c r="J2073" s="31" t="s">
        <v>3100</v>
      </c>
      <c r="K2073" s="31" t="s">
        <v>3101</v>
      </c>
      <c r="L2073" s="31" t="s">
        <v>8304</v>
      </c>
      <c r="M2073" s="31" t="s">
        <v>8305</v>
      </c>
      <c r="N2073" s="31" t="s">
        <v>267</v>
      </c>
      <c r="O2073" s="34"/>
      <c r="P2073" s="34"/>
      <c r="Q2073" s="31" t="s">
        <v>307</v>
      </c>
      <c r="R2073" s="32">
        <v>33648.0</v>
      </c>
      <c r="S2073" s="31" t="s">
        <v>846</v>
      </c>
      <c r="T2073" s="31" t="s">
        <v>8306</v>
      </c>
      <c r="U2073" s="31" t="s">
        <v>460</v>
      </c>
      <c r="V2073" s="31" t="s">
        <v>3099</v>
      </c>
      <c r="W2073" s="34"/>
    </row>
    <row r="2074">
      <c r="A2074" s="30">
        <v>2.069</v>
      </c>
      <c r="B2074" s="31" t="s">
        <v>8307</v>
      </c>
      <c r="C2074" s="31" t="s">
        <v>8308</v>
      </c>
      <c r="D2074" s="31" t="s">
        <v>313</v>
      </c>
      <c r="E2074" s="31" t="s">
        <v>1576</v>
      </c>
      <c r="F2074" s="32">
        <v>43892.0</v>
      </c>
      <c r="G2074" s="32">
        <v>43953.0</v>
      </c>
      <c r="H2074" s="31" t="s">
        <v>262</v>
      </c>
      <c r="I2074" s="31" t="s">
        <v>315</v>
      </c>
      <c r="J2074" s="31" t="s">
        <v>1577</v>
      </c>
      <c r="K2074" s="31" t="s">
        <v>7194</v>
      </c>
      <c r="L2074" s="31" t="s">
        <v>318</v>
      </c>
      <c r="M2074" s="31" t="s">
        <v>8309</v>
      </c>
      <c r="N2074" s="31" t="s">
        <v>267</v>
      </c>
      <c r="O2074" s="34"/>
      <c r="P2074" s="31">
        <v>10.0</v>
      </c>
      <c r="Q2074" s="31" t="s">
        <v>307</v>
      </c>
      <c r="R2074" s="32">
        <v>35931.0</v>
      </c>
      <c r="S2074" s="31" t="s">
        <v>1041</v>
      </c>
      <c r="T2074" s="31" t="s">
        <v>1698</v>
      </c>
      <c r="U2074" s="31" t="s">
        <v>271</v>
      </c>
      <c r="V2074" s="31" t="s">
        <v>1576</v>
      </c>
      <c r="W2074" s="34"/>
    </row>
    <row r="2075">
      <c r="A2075" s="30">
        <v>2.07</v>
      </c>
      <c r="B2075" s="31" t="s">
        <v>8310</v>
      </c>
      <c r="C2075" s="31" t="s">
        <v>8311</v>
      </c>
      <c r="D2075" s="31" t="s">
        <v>260</v>
      </c>
      <c r="E2075" s="31" t="s">
        <v>1862</v>
      </c>
      <c r="F2075" s="32">
        <v>45231.0</v>
      </c>
      <c r="G2075" s="35">
        <v>45291.0</v>
      </c>
      <c r="H2075" s="31" t="s">
        <v>262</v>
      </c>
      <c r="I2075" s="31" t="s">
        <v>263</v>
      </c>
      <c r="J2075" s="31" t="s">
        <v>123</v>
      </c>
      <c r="K2075" s="31" t="s">
        <v>1863</v>
      </c>
      <c r="L2075" s="31" t="s">
        <v>431</v>
      </c>
      <c r="M2075" s="31" t="s">
        <v>8312</v>
      </c>
      <c r="N2075" s="31" t="s">
        <v>267</v>
      </c>
      <c r="O2075" s="34"/>
      <c r="P2075" s="31">
        <v>1.0</v>
      </c>
      <c r="Q2075" s="31" t="s">
        <v>307</v>
      </c>
      <c r="R2075" s="35">
        <v>37219.0</v>
      </c>
      <c r="S2075" s="31" t="s">
        <v>320</v>
      </c>
      <c r="T2075" s="31" t="s">
        <v>8313</v>
      </c>
      <c r="U2075" s="31" t="s">
        <v>271</v>
      </c>
      <c r="V2075" s="31" t="s">
        <v>1862</v>
      </c>
      <c r="W2075" s="34"/>
    </row>
    <row r="2076">
      <c r="A2076" s="30">
        <v>2.071</v>
      </c>
      <c r="B2076" s="31" t="s">
        <v>8314</v>
      </c>
      <c r="C2076" s="31" t="s">
        <v>8315</v>
      </c>
      <c r="D2076" s="31" t="s">
        <v>648</v>
      </c>
      <c r="E2076" s="31" t="s">
        <v>153</v>
      </c>
      <c r="F2076" s="32">
        <v>44330.0</v>
      </c>
      <c r="G2076" s="32">
        <v>44391.0</v>
      </c>
      <c r="H2076" s="31" t="s">
        <v>346</v>
      </c>
      <c r="I2076" s="31" t="s">
        <v>93</v>
      </c>
      <c r="J2076" s="31" t="s">
        <v>153</v>
      </c>
      <c r="K2076" s="31" t="s">
        <v>958</v>
      </c>
      <c r="L2076" s="31" t="s">
        <v>959</v>
      </c>
      <c r="M2076" s="31" t="s">
        <v>8316</v>
      </c>
      <c r="N2076" s="31" t="s">
        <v>467</v>
      </c>
      <c r="O2076" s="34"/>
      <c r="P2076" s="34"/>
      <c r="Q2076" s="31" t="s">
        <v>307</v>
      </c>
      <c r="R2076" s="35">
        <v>36479.0</v>
      </c>
      <c r="S2076" s="31" t="s">
        <v>8317</v>
      </c>
      <c r="T2076" s="31" t="s">
        <v>744</v>
      </c>
      <c r="U2076" s="31" t="s">
        <v>352</v>
      </c>
      <c r="V2076" s="34"/>
      <c r="W2076" s="34"/>
    </row>
    <row r="2077">
      <c r="A2077" s="30">
        <v>2.072</v>
      </c>
      <c r="B2077" s="31" t="s">
        <v>8318</v>
      </c>
      <c r="C2077" s="31" t="s">
        <v>8319</v>
      </c>
      <c r="D2077" s="31" t="s">
        <v>648</v>
      </c>
      <c r="E2077" s="31" t="s">
        <v>661</v>
      </c>
      <c r="F2077" s="32">
        <v>43682.0</v>
      </c>
      <c r="G2077" s="32">
        <v>43744.0</v>
      </c>
      <c r="H2077" s="31" t="s">
        <v>346</v>
      </c>
      <c r="I2077" s="31" t="s">
        <v>101</v>
      </c>
      <c r="J2077" s="31" t="s">
        <v>661</v>
      </c>
      <c r="K2077" s="31" t="s">
        <v>662</v>
      </c>
      <c r="L2077" s="31" t="s">
        <v>663</v>
      </c>
      <c r="M2077" s="31" t="s">
        <v>8320</v>
      </c>
      <c r="N2077" s="31" t="s">
        <v>267</v>
      </c>
      <c r="O2077" s="34"/>
      <c r="P2077" s="34"/>
      <c r="Q2077" s="31" t="s">
        <v>307</v>
      </c>
      <c r="R2077" s="35">
        <v>35359.0</v>
      </c>
      <c r="S2077" s="31" t="s">
        <v>320</v>
      </c>
      <c r="T2077" s="31" t="s">
        <v>5100</v>
      </c>
      <c r="U2077" s="31" t="s">
        <v>361</v>
      </c>
      <c r="V2077" s="34"/>
      <c r="W2077" s="34"/>
    </row>
    <row r="2078">
      <c r="A2078" s="30">
        <v>2.073</v>
      </c>
      <c r="B2078" s="31" t="s">
        <v>8321</v>
      </c>
      <c r="C2078" s="31" t="s">
        <v>8322</v>
      </c>
      <c r="D2078" s="31" t="s">
        <v>6288</v>
      </c>
      <c r="E2078" s="31" t="s">
        <v>38</v>
      </c>
      <c r="F2078" s="32">
        <v>40560.0</v>
      </c>
      <c r="G2078" s="32">
        <v>40619.0</v>
      </c>
      <c r="H2078" s="31" t="s">
        <v>346</v>
      </c>
      <c r="I2078" s="31" t="s">
        <v>38</v>
      </c>
      <c r="J2078" s="34"/>
      <c r="K2078" s="31" t="s">
        <v>347</v>
      </c>
      <c r="L2078" s="31" t="s">
        <v>6289</v>
      </c>
      <c r="M2078" s="31" t="s">
        <v>8323</v>
      </c>
      <c r="N2078" s="31" t="s">
        <v>267</v>
      </c>
      <c r="O2078" s="31">
        <v>2.0</v>
      </c>
      <c r="P2078" s="34"/>
      <c r="Q2078" s="31" t="s">
        <v>307</v>
      </c>
      <c r="R2078" s="32">
        <v>32006.0</v>
      </c>
      <c r="S2078" s="31" t="s">
        <v>955</v>
      </c>
      <c r="T2078" s="31" t="s">
        <v>778</v>
      </c>
      <c r="U2078" s="31" t="s">
        <v>352</v>
      </c>
      <c r="V2078" s="34"/>
      <c r="W2078" s="34"/>
    </row>
    <row r="2079">
      <c r="A2079" s="30">
        <v>2.074</v>
      </c>
      <c r="B2079" s="31" t="s">
        <v>8324</v>
      </c>
      <c r="C2079" s="31" t="s">
        <v>1256</v>
      </c>
      <c r="D2079" s="31" t="s">
        <v>2422</v>
      </c>
      <c r="E2079" s="31" t="s">
        <v>38</v>
      </c>
      <c r="F2079" s="32">
        <v>40695.0</v>
      </c>
      <c r="G2079" s="32">
        <v>40756.0</v>
      </c>
      <c r="H2079" s="31" t="s">
        <v>346</v>
      </c>
      <c r="I2079" s="31" t="s">
        <v>38</v>
      </c>
      <c r="J2079" s="34"/>
      <c r="K2079" s="31" t="s">
        <v>347</v>
      </c>
      <c r="L2079" s="31" t="s">
        <v>2424</v>
      </c>
      <c r="M2079" s="31" t="s">
        <v>8325</v>
      </c>
      <c r="N2079" s="31" t="s">
        <v>267</v>
      </c>
      <c r="O2079" s="34"/>
      <c r="P2079" s="34"/>
      <c r="Q2079" s="31" t="s">
        <v>307</v>
      </c>
      <c r="R2079" s="35">
        <v>32444.0</v>
      </c>
      <c r="S2079" s="31" t="s">
        <v>626</v>
      </c>
      <c r="T2079" s="31" t="s">
        <v>744</v>
      </c>
      <c r="U2079" s="31" t="s">
        <v>361</v>
      </c>
      <c r="V2079" s="34"/>
      <c r="W2079" s="34"/>
    </row>
    <row r="2080">
      <c r="A2080" s="30">
        <v>2.075</v>
      </c>
      <c r="B2080" s="31" t="s">
        <v>8326</v>
      </c>
      <c r="C2080" s="31" t="s">
        <v>8327</v>
      </c>
      <c r="D2080" s="31" t="s">
        <v>345</v>
      </c>
      <c r="E2080" s="31" t="s">
        <v>38</v>
      </c>
      <c r="F2080" s="32">
        <v>43327.0</v>
      </c>
      <c r="G2080" s="35">
        <v>43388.0</v>
      </c>
      <c r="H2080" s="31" t="s">
        <v>346</v>
      </c>
      <c r="I2080" s="31" t="s">
        <v>38</v>
      </c>
      <c r="J2080" s="34"/>
      <c r="K2080" s="31" t="s">
        <v>347</v>
      </c>
      <c r="L2080" s="31" t="s">
        <v>348</v>
      </c>
      <c r="M2080" s="31" t="s">
        <v>8328</v>
      </c>
      <c r="N2080" s="31" t="s">
        <v>267</v>
      </c>
      <c r="O2080" s="34"/>
      <c r="P2080" s="34"/>
      <c r="Q2080" s="31" t="s">
        <v>307</v>
      </c>
      <c r="R2080" s="35">
        <v>35060.0</v>
      </c>
      <c r="S2080" s="31" t="s">
        <v>1398</v>
      </c>
      <c r="T2080" s="31" t="s">
        <v>778</v>
      </c>
      <c r="U2080" s="31" t="s">
        <v>352</v>
      </c>
      <c r="V2080" s="34"/>
      <c r="W2080" s="34"/>
    </row>
    <row r="2081">
      <c r="A2081" s="30">
        <v>2.076</v>
      </c>
      <c r="B2081" s="31" t="s">
        <v>8329</v>
      </c>
      <c r="C2081" s="31" t="s">
        <v>8330</v>
      </c>
      <c r="D2081" s="31" t="s">
        <v>8331</v>
      </c>
      <c r="E2081" s="31" t="s">
        <v>8332</v>
      </c>
      <c r="F2081" s="32">
        <v>39887.0</v>
      </c>
      <c r="G2081" s="35">
        <v>40132.0</v>
      </c>
      <c r="H2081" s="31" t="s">
        <v>346</v>
      </c>
      <c r="I2081" s="31" t="s">
        <v>315</v>
      </c>
      <c r="J2081" s="31" t="s">
        <v>8332</v>
      </c>
      <c r="K2081" s="31" t="s">
        <v>8333</v>
      </c>
      <c r="L2081" s="31" t="s">
        <v>8334</v>
      </c>
      <c r="M2081" s="31" t="s">
        <v>8335</v>
      </c>
      <c r="N2081" s="31" t="s">
        <v>467</v>
      </c>
      <c r="O2081" s="31">
        <v>3.0</v>
      </c>
      <c r="P2081" s="34"/>
      <c r="Q2081" s="31" t="s">
        <v>307</v>
      </c>
      <c r="R2081" s="32">
        <v>27061.0</v>
      </c>
      <c r="S2081" s="31" t="s">
        <v>2038</v>
      </c>
      <c r="T2081" s="31" t="s">
        <v>496</v>
      </c>
      <c r="U2081" s="31" t="s">
        <v>352</v>
      </c>
      <c r="V2081" s="34"/>
      <c r="W2081" s="34"/>
    </row>
    <row r="2082">
      <c r="A2082" s="30">
        <v>2.077</v>
      </c>
      <c r="B2082" s="31" t="s">
        <v>8336</v>
      </c>
      <c r="C2082" s="31" t="s">
        <v>8337</v>
      </c>
      <c r="D2082" s="31" t="s">
        <v>3644</v>
      </c>
      <c r="E2082" s="31" t="s">
        <v>2463</v>
      </c>
      <c r="F2082" s="32">
        <v>43186.0</v>
      </c>
      <c r="G2082" s="32">
        <v>43247.0</v>
      </c>
      <c r="H2082" s="31" t="s">
        <v>346</v>
      </c>
      <c r="I2082" s="31" t="s">
        <v>2463</v>
      </c>
      <c r="J2082" s="34"/>
      <c r="K2082" s="31" t="s">
        <v>4694</v>
      </c>
      <c r="L2082" s="31" t="s">
        <v>3646</v>
      </c>
      <c r="M2082" s="31" t="s">
        <v>8338</v>
      </c>
      <c r="N2082" s="31" t="s">
        <v>267</v>
      </c>
      <c r="O2082" s="34"/>
      <c r="P2082" s="34"/>
      <c r="Q2082" s="31" t="s">
        <v>307</v>
      </c>
      <c r="R2082" s="32">
        <v>34521.0</v>
      </c>
      <c r="S2082" s="31" t="s">
        <v>1058</v>
      </c>
      <c r="T2082" s="31" t="s">
        <v>999</v>
      </c>
      <c r="U2082" s="31" t="s">
        <v>361</v>
      </c>
      <c r="V2082" s="34"/>
      <c r="W2082" s="34"/>
    </row>
    <row r="2083">
      <c r="A2083" s="30">
        <v>2.078</v>
      </c>
      <c r="B2083" s="31" t="s">
        <v>8339</v>
      </c>
      <c r="C2083" s="31" t="s">
        <v>8340</v>
      </c>
      <c r="D2083" s="31" t="s">
        <v>7721</v>
      </c>
      <c r="E2083" s="31" t="s">
        <v>2474</v>
      </c>
      <c r="F2083" s="32">
        <v>39888.0</v>
      </c>
      <c r="G2083" s="32">
        <v>40026.0</v>
      </c>
      <c r="H2083" s="31" t="s">
        <v>346</v>
      </c>
      <c r="I2083" s="31" t="s">
        <v>2474</v>
      </c>
      <c r="J2083" s="34"/>
      <c r="K2083" s="31" t="s">
        <v>8341</v>
      </c>
      <c r="L2083" s="31" t="s">
        <v>7722</v>
      </c>
      <c r="M2083" s="31" t="s">
        <v>8342</v>
      </c>
      <c r="N2083" s="31" t="s">
        <v>267</v>
      </c>
      <c r="O2083" s="34"/>
      <c r="P2083" s="34"/>
      <c r="Q2083" s="31" t="s">
        <v>307</v>
      </c>
      <c r="R2083" s="32">
        <v>30371.0</v>
      </c>
      <c r="S2083" s="31" t="s">
        <v>468</v>
      </c>
      <c r="T2083" s="31" t="s">
        <v>8343</v>
      </c>
      <c r="U2083" s="31" t="s">
        <v>352</v>
      </c>
      <c r="V2083" s="34"/>
      <c r="W2083" s="34"/>
    </row>
    <row r="2084">
      <c r="A2084" s="30">
        <v>2.079</v>
      </c>
      <c r="B2084" s="31" t="s">
        <v>8344</v>
      </c>
      <c r="C2084" s="31" t="s">
        <v>8345</v>
      </c>
      <c r="D2084" s="31" t="s">
        <v>1219</v>
      </c>
      <c r="E2084" s="31" t="s">
        <v>1395</v>
      </c>
      <c r="F2084" s="32">
        <v>43370.0</v>
      </c>
      <c r="G2084" s="35">
        <v>43431.0</v>
      </c>
      <c r="H2084" s="31" t="s">
        <v>346</v>
      </c>
      <c r="I2084" s="31" t="s">
        <v>315</v>
      </c>
      <c r="J2084" s="31" t="s">
        <v>1366</v>
      </c>
      <c r="K2084" s="31" t="s">
        <v>1396</v>
      </c>
      <c r="L2084" s="31" t="s">
        <v>1223</v>
      </c>
      <c r="M2084" s="31" t="s">
        <v>8346</v>
      </c>
      <c r="N2084" s="31" t="s">
        <v>467</v>
      </c>
      <c r="O2084" s="34"/>
      <c r="P2084" s="34"/>
      <c r="Q2084" s="31" t="s">
        <v>307</v>
      </c>
      <c r="R2084" s="32">
        <v>35148.0</v>
      </c>
      <c r="S2084" s="31" t="s">
        <v>458</v>
      </c>
      <c r="T2084" s="31" t="s">
        <v>1336</v>
      </c>
      <c r="U2084" s="31" t="s">
        <v>352</v>
      </c>
      <c r="V2084" s="31" t="s">
        <v>1395</v>
      </c>
      <c r="W2084" s="34"/>
    </row>
    <row r="2085">
      <c r="A2085" s="30">
        <v>2.08</v>
      </c>
      <c r="B2085" s="31" t="s">
        <v>8347</v>
      </c>
      <c r="C2085" s="31" t="s">
        <v>8348</v>
      </c>
      <c r="D2085" s="31" t="s">
        <v>2422</v>
      </c>
      <c r="E2085" s="31" t="s">
        <v>38</v>
      </c>
      <c r="F2085" s="32">
        <v>42796.0</v>
      </c>
      <c r="G2085" s="32">
        <v>42857.0</v>
      </c>
      <c r="H2085" s="31" t="s">
        <v>346</v>
      </c>
      <c r="I2085" s="31" t="s">
        <v>38</v>
      </c>
      <c r="J2085" s="34"/>
      <c r="K2085" s="31" t="s">
        <v>347</v>
      </c>
      <c r="L2085" s="31" t="s">
        <v>2424</v>
      </c>
      <c r="M2085" s="31" t="s">
        <v>8349</v>
      </c>
      <c r="N2085" s="31" t="s">
        <v>267</v>
      </c>
      <c r="O2085" s="34"/>
      <c r="P2085" s="34"/>
      <c r="Q2085" s="31" t="s">
        <v>307</v>
      </c>
      <c r="R2085" s="32">
        <v>34954.0</v>
      </c>
      <c r="S2085" s="31" t="s">
        <v>733</v>
      </c>
      <c r="T2085" s="31" t="s">
        <v>686</v>
      </c>
      <c r="U2085" s="31" t="s">
        <v>352</v>
      </c>
      <c r="V2085" s="34"/>
      <c r="W2085" s="34"/>
    </row>
    <row r="2086">
      <c r="A2086" s="30">
        <v>2.081</v>
      </c>
      <c r="B2086" s="31" t="s">
        <v>8350</v>
      </c>
      <c r="C2086" s="31" t="s">
        <v>8351</v>
      </c>
      <c r="D2086" s="31" t="s">
        <v>8352</v>
      </c>
      <c r="E2086" s="31" t="s">
        <v>2474</v>
      </c>
      <c r="F2086" s="32">
        <v>40452.0</v>
      </c>
      <c r="G2086" s="32">
        <v>40513.0</v>
      </c>
      <c r="H2086" s="31" t="s">
        <v>346</v>
      </c>
      <c r="I2086" s="31" t="s">
        <v>2474</v>
      </c>
      <c r="J2086" s="34"/>
      <c r="K2086" s="31" t="s">
        <v>8341</v>
      </c>
      <c r="L2086" s="31" t="s">
        <v>8353</v>
      </c>
      <c r="M2086" s="31" t="s">
        <v>8354</v>
      </c>
      <c r="N2086" s="31" t="s">
        <v>267</v>
      </c>
      <c r="O2086" s="34"/>
      <c r="P2086" s="34"/>
      <c r="Q2086" s="31" t="s">
        <v>307</v>
      </c>
      <c r="R2086" s="35">
        <v>32095.0</v>
      </c>
      <c r="S2086" s="31" t="s">
        <v>681</v>
      </c>
      <c r="T2086" s="31" t="s">
        <v>1281</v>
      </c>
      <c r="U2086" s="31" t="s">
        <v>352</v>
      </c>
      <c r="V2086" s="34"/>
      <c r="W2086" s="34"/>
    </row>
    <row r="2087">
      <c r="A2087" s="30">
        <v>2.082</v>
      </c>
      <c r="B2087" s="31" t="s">
        <v>8355</v>
      </c>
      <c r="C2087" s="31" t="s">
        <v>8356</v>
      </c>
      <c r="D2087" s="31" t="s">
        <v>8357</v>
      </c>
      <c r="E2087" s="31" t="s">
        <v>2474</v>
      </c>
      <c r="F2087" s="32">
        <v>39153.0</v>
      </c>
      <c r="G2087" s="32">
        <v>39153.0</v>
      </c>
      <c r="H2087" s="31" t="s">
        <v>346</v>
      </c>
      <c r="I2087" s="31" t="s">
        <v>2474</v>
      </c>
      <c r="J2087" s="34"/>
      <c r="K2087" s="31" t="s">
        <v>8341</v>
      </c>
      <c r="L2087" s="31" t="s">
        <v>8358</v>
      </c>
      <c r="M2087" s="31" t="s">
        <v>8359</v>
      </c>
      <c r="N2087" s="31" t="s">
        <v>267</v>
      </c>
      <c r="O2087" s="31">
        <v>2.0</v>
      </c>
      <c r="P2087" s="34"/>
      <c r="Q2087" s="31" t="s">
        <v>307</v>
      </c>
      <c r="R2087" s="32">
        <v>29455.0</v>
      </c>
      <c r="S2087" s="31" t="s">
        <v>531</v>
      </c>
      <c r="T2087" s="31" t="s">
        <v>686</v>
      </c>
      <c r="U2087" s="31" t="s">
        <v>352</v>
      </c>
      <c r="V2087" s="34"/>
      <c r="W2087" s="34"/>
    </row>
    <row r="2088">
      <c r="A2088" s="30">
        <v>2.083</v>
      </c>
      <c r="B2088" s="31" t="s">
        <v>8360</v>
      </c>
      <c r="C2088" s="31" t="s">
        <v>8361</v>
      </c>
      <c r="D2088" s="31" t="s">
        <v>1219</v>
      </c>
      <c r="E2088" s="31" t="s">
        <v>1395</v>
      </c>
      <c r="F2088" s="32">
        <v>43983.0</v>
      </c>
      <c r="G2088" s="32">
        <v>43983.0</v>
      </c>
      <c r="H2088" s="31" t="s">
        <v>346</v>
      </c>
      <c r="I2088" s="31" t="s">
        <v>315</v>
      </c>
      <c r="J2088" s="31" t="s">
        <v>1366</v>
      </c>
      <c r="K2088" s="31" t="s">
        <v>1396</v>
      </c>
      <c r="L2088" s="31" t="s">
        <v>1223</v>
      </c>
      <c r="M2088" s="31" t="s">
        <v>8362</v>
      </c>
      <c r="N2088" s="31" t="s">
        <v>267</v>
      </c>
      <c r="O2088" s="34"/>
      <c r="P2088" s="34"/>
      <c r="Q2088" s="31" t="s">
        <v>307</v>
      </c>
      <c r="R2088" s="32">
        <v>30900.0</v>
      </c>
      <c r="S2088" s="31" t="s">
        <v>1268</v>
      </c>
      <c r="T2088" s="31" t="s">
        <v>1093</v>
      </c>
      <c r="U2088" s="31" t="s">
        <v>352</v>
      </c>
      <c r="V2088" s="31" t="s">
        <v>1395</v>
      </c>
      <c r="W2088" s="34"/>
    </row>
    <row r="2089">
      <c r="A2089" s="30">
        <v>2.084</v>
      </c>
      <c r="B2089" s="31" t="s">
        <v>8363</v>
      </c>
      <c r="C2089" s="31" t="s">
        <v>8364</v>
      </c>
      <c r="D2089" s="31" t="s">
        <v>3350</v>
      </c>
      <c r="E2089" s="31" t="s">
        <v>2978</v>
      </c>
      <c r="F2089" s="32">
        <v>42796.0</v>
      </c>
      <c r="G2089" s="32">
        <v>42858.0</v>
      </c>
      <c r="H2089" s="31" t="s">
        <v>303</v>
      </c>
      <c r="I2089" s="31" t="s">
        <v>2978</v>
      </c>
      <c r="J2089" s="34"/>
      <c r="K2089" s="31" t="s">
        <v>2979</v>
      </c>
      <c r="L2089" s="31" t="s">
        <v>3351</v>
      </c>
      <c r="M2089" s="31" t="s">
        <v>8365</v>
      </c>
      <c r="N2089" s="31" t="s">
        <v>467</v>
      </c>
      <c r="O2089" s="34"/>
      <c r="P2089" s="34"/>
      <c r="Q2089" s="31" t="s">
        <v>307</v>
      </c>
      <c r="R2089" s="35">
        <v>34691.0</v>
      </c>
      <c r="S2089" s="31" t="s">
        <v>6692</v>
      </c>
      <c r="T2089" s="31" t="s">
        <v>778</v>
      </c>
      <c r="U2089" s="31" t="s">
        <v>352</v>
      </c>
      <c r="V2089" s="34"/>
      <c r="W2089" s="34"/>
    </row>
    <row r="2090">
      <c r="A2090" s="30">
        <v>2.085</v>
      </c>
      <c r="B2090" s="31" t="s">
        <v>8366</v>
      </c>
      <c r="C2090" s="31" t="s">
        <v>8367</v>
      </c>
      <c r="D2090" s="31" t="s">
        <v>1219</v>
      </c>
      <c r="E2090" s="31" t="s">
        <v>1365</v>
      </c>
      <c r="F2090" s="32">
        <v>43599.0</v>
      </c>
      <c r="G2090" s="32">
        <v>43660.0</v>
      </c>
      <c r="H2090" s="31" t="s">
        <v>346</v>
      </c>
      <c r="I2090" s="31" t="s">
        <v>315</v>
      </c>
      <c r="J2090" s="31" t="s">
        <v>1366</v>
      </c>
      <c r="K2090" s="31" t="s">
        <v>1367</v>
      </c>
      <c r="L2090" s="31" t="s">
        <v>1223</v>
      </c>
      <c r="M2090" s="31" t="s">
        <v>8368</v>
      </c>
      <c r="N2090" s="31" t="s">
        <v>467</v>
      </c>
      <c r="O2090" s="34"/>
      <c r="P2090" s="34"/>
      <c r="Q2090" s="31" t="s">
        <v>307</v>
      </c>
      <c r="R2090" s="32">
        <v>34532.0</v>
      </c>
      <c r="S2090" s="31" t="s">
        <v>320</v>
      </c>
      <c r="T2090" s="31" t="s">
        <v>8369</v>
      </c>
      <c r="U2090" s="31" t="s">
        <v>352</v>
      </c>
      <c r="V2090" s="31" t="s">
        <v>1365</v>
      </c>
      <c r="W2090" s="34"/>
    </row>
    <row r="2091">
      <c r="A2091" s="30">
        <v>2.086</v>
      </c>
      <c r="B2091" s="31" t="s">
        <v>8370</v>
      </c>
      <c r="C2091" s="31" t="s">
        <v>8371</v>
      </c>
      <c r="D2091" s="31" t="s">
        <v>8352</v>
      </c>
      <c r="E2091" s="31" t="s">
        <v>2474</v>
      </c>
      <c r="F2091" s="35">
        <v>42662.0</v>
      </c>
      <c r="G2091" s="35">
        <v>42723.0</v>
      </c>
      <c r="H2091" s="31" t="s">
        <v>346</v>
      </c>
      <c r="I2091" s="31" t="s">
        <v>2474</v>
      </c>
      <c r="J2091" s="34"/>
      <c r="K2091" s="31" t="s">
        <v>8341</v>
      </c>
      <c r="L2091" s="31" t="s">
        <v>8353</v>
      </c>
      <c r="M2091" s="31" t="s">
        <v>8372</v>
      </c>
      <c r="N2091" s="31" t="s">
        <v>267</v>
      </c>
      <c r="O2091" s="34"/>
      <c r="P2091" s="34"/>
      <c r="Q2091" s="31" t="s">
        <v>307</v>
      </c>
      <c r="R2091" s="32">
        <v>33697.0</v>
      </c>
      <c r="S2091" s="31" t="s">
        <v>681</v>
      </c>
      <c r="T2091" s="31" t="s">
        <v>686</v>
      </c>
      <c r="U2091" s="31" t="s">
        <v>352</v>
      </c>
      <c r="V2091" s="34"/>
      <c r="W2091" s="34"/>
    </row>
    <row r="2092">
      <c r="A2092" s="30">
        <v>2.087</v>
      </c>
      <c r="B2092" s="31" t="s">
        <v>8373</v>
      </c>
      <c r="C2092" s="31" t="s">
        <v>5814</v>
      </c>
      <c r="D2092" s="31" t="s">
        <v>3593</v>
      </c>
      <c r="E2092" s="31" t="s">
        <v>167</v>
      </c>
      <c r="F2092" s="32">
        <v>42625.0</v>
      </c>
      <c r="G2092" s="35">
        <v>42687.0</v>
      </c>
      <c r="H2092" s="31" t="s">
        <v>303</v>
      </c>
      <c r="I2092" s="31" t="s">
        <v>3877</v>
      </c>
      <c r="J2092" s="31" t="s">
        <v>167</v>
      </c>
      <c r="K2092" s="31" t="s">
        <v>3878</v>
      </c>
      <c r="L2092" s="31" t="s">
        <v>8374</v>
      </c>
      <c r="M2092" s="31" t="s">
        <v>8375</v>
      </c>
      <c r="N2092" s="31" t="s">
        <v>267</v>
      </c>
      <c r="O2092" s="34"/>
      <c r="P2092" s="34"/>
      <c r="Q2092" s="31" t="s">
        <v>307</v>
      </c>
      <c r="R2092" s="32">
        <v>34590.0</v>
      </c>
      <c r="S2092" s="31" t="s">
        <v>8376</v>
      </c>
      <c r="T2092" s="31" t="s">
        <v>686</v>
      </c>
      <c r="U2092" s="31" t="s">
        <v>352</v>
      </c>
      <c r="V2092" s="34"/>
      <c r="W2092" s="34"/>
    </row>
    <row r="2093">
      <c r="A2093" s="30">
        <v>2.088</v>
      </c>
      <c r="B2093" s="31" t="s">
        <v>8377</v>
      </c>
      <c r="C2093" s="31" t="s">
        <v>8378</v>
      </c>
      <c r="D2093" s="31" t="s">
        <v>1219</v>
      </c>
      <c r="E2093" s="31" t="s">
        <v>1365</v>
      </c>
      <c r="F2093" s="32">
        <v>40544.0</v>
      </c>
      <c r="G2093" s="32">
        <v>40603.0</v>
      </c>
      <c r="H2093" s="31" t="s">
        <v>346</v>
      </c>
      <c r="I2093" s="31" t="s">
        <v>315</v>
      </c>
      <c r="J2093" s="31" t="s">
        <v>1366</v>
      </c>
      <c r="K2093" s="31" t="s">
        <v>1367</v>
      </c>
      <c r="L2093" s="31" t="s">
        <v>1223</v>
      </c>
      <c r="M2093" s="31" t="s">
        <v>8379</v>
      </c>
      <c r="N2093" s="31" t="s">
        <v>467</v>
      </c>
      <c r="O2093" s="34"/>
      <c r="P2093" s="34"/>
      <c r="Q2093" s="31" t="s">
        <v>307</v>
      </c>
      <c r="R2093" s="32">
        <v>31446.0</v>
      </c>
      <c r="S2093" s="31" t="s">
        <v>531</v>
      </c>
      <c r="T2093" s="31" t="s">
        <v>6772</v>
      </c>
      <c r="U2093" s="31" t="s">
        <v>352</v>
      </c>
      <c r="V2093" s="31" t="s">
        <v>1365</v>
      </c>
      <c r="W2093" s="34"/>
    </row>
    <row r="2094">
      <c r="A2094" s="30">
        <v>2.089</v>
      </c>
      <c r="B2094" s="31" t="s">
        <v>8380</v>
      </c>
      <c r="C2094" s="31" t="s">
        <v>8381</v>
      </c>
      <c r="D2094" s="31" t="s">
        <v>648</v>
      </c>
      <c r="E2094" s="31" t="s">
        <v>153</v>
      </c>
      <c r="F2094" s="32">
        <v>43648.0</v>
      </c>
      <c r="G2094" s="32">
        <v>43648.0</v>
      </c>
      <c r="H2094" s="31" t="s">
        <v>346</v>
      </c>
      <c r="I2094" s="31" t="s">
        <v>93</v>
      </c>
      <c r="J2094" s="31" t="s">
        <v>153</v>
      </c>
      <c r="K2094" s="31" t="s">
        <v>958</v>
      </c>
      <c r="L2094" s="31" t="s">
        <v>959</v>
      </c>
      <c r="M2094" s="31" t="s">
        <v>8382</v>
      </c>
      <c r="N2094" s="31" t="s">
        <v>467</v>
      </c>
      <c r="O2094" s="34"/>
      <c r="P2094" s="34"/>
      <c r="Q2094" s="31" t="s">
        <v>307</v>
      </c>
      <c r="R2094" s="35">
        <v>34288.0</v>
      </c>
      <c r="S2094" s="31" t="s">
        <v>611</v>
      </c>
      <c r="T2094" s="31" t="s">
        <v>8383</v>
      </c>
      <c r="U2094" s="31" t="s">
        <v>352</v>
      </c>
      <c r="V2094" s="34"/>
      <c r="W2094" s="34"/>
    </row>
    <row r="2095">
      <c r="A2095" s="30">
        <v>2.09</v>
      </c>
      <c r="B2095" s="31" t="s">
        <v>8384</v>
      </c>
      <c r="C2095" s="31" t="s">
        <v>8385</v>
      </c>
      <c r="D2095" s="31" t="s">
        <v>2531</v>
      </c>
      <c r="E2095" s="31" t="s">
        <v>148</v>
      </c>
      <c r="F2095" s="32">
        <v>40299.0</v>
      </c>
      <c r="G2095" s="32">
        <v>40391.0</v>
      </c>
      <c r="H2095" s="31" t="s">
        <v>303</v>
      </c>
      <c r="I2095" s="31" t="s">
        <v>335</v>
      </c>
      <c r="J2095" s="31" t="s">
        <v>336</v>
      </c>
      <c r="K2095" s="31" t="s">
        <v>2532</v>
      </c>
      <c r="L2095" s="31" t="s">
        <v>2533</v>
      </c>
      <c r="M2095" s="31" t="s">
        <v>8386</v>
      </c>
      <c r="N2095" s="31" t="s">
        <v>267</v>
      </c>
      <c r="O2095" s="34"/>
      <c r="P2095" s="34"/>
      <c r="Q2095" s="31" t="s">
        <v>307</v>
      </c>
      <c r="R2095" s="32">
        <v>32054.0</v>
      </c>
      <c r="S2095" s="31" t="s">
        <v>7187</v>
      </c>
      <c r="T2095" s="31" t="s">
        <v>1399</v>
      </c>
      <c r="U2095" s="31" t="s">
        <v>352</v>
      </c>
      <c r="V2095" s="31" t="s">
        <v>148</v>
      </c>
      <c r="W2095" s="34"/>
    </row>
    <row r="2096">
      <c r="A2096" s="30">
        <v>2.091</v>
      </c>
      <c r="B2096" s="31" t="s">
        <v>8387</v>
      </c>
      <c r="C2096" s="31" t="s">
        <v>8388</v>
      </c>
      <c r="D2096" s="31" t="s">
        <v>1535</v>
      </c>
      <c r="E2096" s="31" t="s">
        <v>1577</v>
      </c>
      <c r="F2096" s="32">
        <v>39663.0</v>
      </c>
      <c r="G2096" s="32">
        <v>39723.0</v>
      </c>
      <c r="H2096" s="31" t="s">
        <v>262</v>
      </c>
      <c r="I2096" s="31" t="s">
        <v>315</v>
      </c>
      <c r="J2096" s="31" t="s">
        <v>1577</v>
      </c>
      <c r="K2096" s="31" t="s">
        <v>8389</v>
      </c>
      <c r="L2096" s="31" t="s">
        <v>1537</v>
      </c>
      <c r="M2096" s="31" t="s">
        <v>8390</v>
      </c>
      <c r="N2096" s="31" t="s">
        <v>467</v>
      </c>
      <c r="O2096" s="31">
        <v>2.0</v>
      </c>
      <c r="P2096" s="31">
        <v>7.0</v>
      </c>
      <c r="Q2096" s="31" t="s">
        <v>307</v>
      </c>
      <c r="R2096" s="32">
        <v>31498.0</v>
      </c>
      <c r="S2096" s="31" t="s">
        <v>1332</v>
      </c>
      <c r="T2096" s="31" t="s">
        <v>1476</v>
      </c>
      <c r="U2096" s="31" t="s">
        <v>271</v>
      </c>
      <c r="V2096" s="34"/>
      <c r="W2096" s="34"/>
    </row>
    <row r="2097">
      <c r="A2097" s="30">
        <v>2.092</v>
      </c>
      <c r="B2097" s="31" t="s">
        <v>8391</v>
      </c>
      <c r="C2097" s="31" t="s">
        <v>8392</v>
      </c>
      <c r="D2097" s="31" t="s">
        <v>260</v>
      </c>
      <c r="E2097" s="31" t="s">
        <v>2231</v>
      </c>
      <c r="F2097" s="32">
        <v>45019.0</v>
      </c>
      <c r="G2097" s="32">
        <v>45080.0</v>
      </c>
      <c r="H2097" s="31" t="s">
        <v>262</v>
      </c>
      <c r="I2097" s="31" t="s">
        <v>2219</v>
      </c>
      <c r="J2097" s="31" t="s">
        <v>2231</v>
      </c>
      <c r="K2097" s="31" t="s">
        <v>2232</v>
      </c>
      <c r="L2097" s="31" t="s">
        <v>392</v>
      </c>
      <c r="M2097" s="31" t="s">
        <v>8393</v>
      </c>
      <c r="N2097" s="31" t="s">
        <v>267</v>
      </c>
      <c r="O2097" s="34"/>
      <c r="P2097" s="31">
        <v>1.0</v>
      </c>
      <c r="Q2097" s="31" t="s">
        <v>581</v>
      </c>
      <c r="R2097" s="35">
        <v>36512.0</v>
      </c>
      <c r="S2097" s="31" t="s">
        <v>320</v>
      </c>
      <c r="T2097" s="31" t="s">
        <v>1639</v>
      </c>
      <c r="U2097" s="31" t="s">
        <v>271</v>
      </c>
      <c r="V2097" s="34"/>
      <c r="W2097" s="34"/>
    </row>
    <row r="2098">
      <c r="A2098" s="30">
        <v>2.093</v>
      </c>
      <c r="B2098" s="31" t="s">
        <v>8394</v>
      </c>
      <c r="C2098" s="31" t="s">
        <v>8395</v>
      </c>
      <c r="D2098" s="31" t="s">
        <v>1219</v>
      </c>
      <c r="E2098" s="31" t="s">
        <v>1395</v>
      </c>
      <c r="F2098" s="32">
        <v>43565.0</v>
      </c>
      <c r="G2098" s="32">
        <v>43626.0</v>
      </c>
      <c r="H2098" s="31" t="s">
        <v>346</v>
      </c>
      <c r="I2098" s="31" t="s">
        <v>315</v>
      </c>
      <c r="J2098" s="31" t="s">
        <v>1366</v>
      </c>
      <c r="K2098" s="31" t="s">
        <v>1396</v>
      </c>
      <c r="L2098" s="31" t="s">
        <v>1223</v>
      </c>
      <c r="M2098" s="31" t="s">
        <v>8396</v>
      </c>
      <c r="N2098" s="31" t="s">
        <v>267</v>
      </c>
      <c r="O2098" s="34"/>
      <c r="P2098" s="34"/>
      <c r="Q2098" s="31" t="s">
        <v>307</v>
      </c>
      <c r="R2098" s="32">
        <v>34924.0</v>
      </c>
      <c r="S2098" s="31" t="s">
        <v>531</v>
      </c>
      <c r="T2098" s="31" t="s">
        <v>503</v>
      </c>
      <c r="U2098" s="31" t="s">
        <v>352</v>
      </c>
      <c r="V2098" s="31" t="s">
        <v>1395</v>
      </c>
      <c r="W2098" s="34"/>
    </row>
    <row r="2099">
      <c r="A2099" s="30">
        <v>2.094</v>
      </c>
      <c r="B2099" s="31" t="s">
        <v>8397</v>
      </c>
      <c r="C2099" s="31" t="s">
        <v>8398</v>
      </c>
      <c r="D2099" s="31" t="s">
        <v>3644</v>
      </c>
      <c r="E2099" s="31" t="s">
        <v>2463</v>
      </c>
      <c r="F2099" s="32">
        <v>43914.0</v>
      </c>
      <c r="G2099" s="32">
        <v>43976.0</v>
      </c>
      <c r="H2099" s="31" t="s">
        <v>325</v>
      </c>
      <c r="I2099" s="31" t="s">
        <v>2463</v>
      </c>
      <c r="J2099" s="34"/>
      <c r="K2099" s="31" t="s">
        <v>7565</v>
      </c>
      <c r="L2099" s="31" t="s">
        <v>3646</v>
      </c>
      <c r="M2099" s="31" t="s">
        <v>8399</v>
      </c>
      <c r="N2099" s="31" t="s">
        <v>467</v>
      </c>
      <c r="O2099" s="34"/>
      <c r="P2099" s="31">
        <v>2.0</v>
      </c>
      <c r="Q2099" s="31" t="s">
        <v>307</v>
      </c>
      <c r="R2099" s="35">
        <v>31381.0</v>
      </c>
      <c r="S2099" s="31" t="s">
        <v>681</v>
      </c>
      <c r="T2099" s="31" t="s">
        <v>1789</v>
      </c>
      <c r="U2099" s="31" t="s">
        <v>331</v>
      </c>
      <c r="V2099" s="34"/>
      <c r="W2099" s="34"/>
    </row>
    <row r="2100">
      <c r="A2100" s="30">
        <v>2.095</v>
      </c>
      <c r="B2100" s="31" t="s">
        <v>8400</v>
      </c>
      <c r="C2100" s="31" t="s">
        <v>8401</v>
      </c>
      <c r="D2100" s="31" t="s">
        <v>8352</v>
      </c>
      <c r="E2100" s="31" t="s">
        <v>2463</v>
      </c>
      <c r="F2100" s="32">
        <v>40513.0</v>
      </c>
      <c r="G2100" s="32">
        <v>40575.0</v>
      </c>
      <c r="H2100" s="31" t="s">
        <v>325</v>
      </c>
      <c r="I2100" s="31" t="s">
        <v>2463</v>
      </c>
      <c r="J2100" s="34"/>
      <c r="K2100" s="31" t="s">
        <v>7565</v>
      </c>
      <c r="L2100" s="31" t="s">
        <v>8353</v>
      </c>
      <c r="M2100" s="31" t="s">
        <v>8402</v>
      </c>
      <c r="N2100" s="31" t="s">
        <v>267</v>
      </c>
      <c r="O2100" s="34"/>
      <c r="P2100" s="31">
        <v>4.0</v>
      </c>
      <c r="Q2100" s="31" t="s">
        <v>307</v>
      </c>
      <c r="R2100" s="32">
        <v>31912.0</v>
      </c>
      <c r="S2100" s="31" t="s">
        <v>531</v>
      </c>
      <c r="T2100" s="31" t="s">
        <v>8043</v>
      </c>
      <c r="U2100" s="31" t="s">
        <v>331</v>
      </c>
      <c r="V2100" s="34"/>
      <c r="W2100" s="34"/>
    </row>
    <row r="2101">
      <c r="A2101" s="30">
        <v>2.096</v>
      </c>
      <c r="B2101" s="31" t="s">
        <v>8403</v>
      </c>
      <c r="C2101" s="31" t="s">
        <v>1812</v>
      </c>
      <c r="D2101" s="31" t="s">
        <v>3644</v>
      </c>
      <c r="E2101" s="31" t="s">
        <v>2463</v>
      </c>
      <c r="F2101" s="32">
        <v>43108.0</v>
      </c>
      <c r="G2101" s="32">
        <v>43167.0</v>
      </c>
      <c r="H2101" s="31" t="s">
        <v>325</v>
      </c>
      <c r="I2101" s="31" t="s">
        <v>2463</v>
      </c>
      <c r="J2101" s="34"/>
      <c r="K2101" s="31" t="s">
        <v>7565</v>
      </c>
      <c r="L2101" s="31" t="s">
        <v>3646</v>
      </c>
      <c r="M2101" s="31" t="s">
        <v>8404</v>
      </c>
      <c r="N2101" s="31" t="s">
        <v>267</v>
      </c>
      <c r="O2101" s="34"/>
      <c r="P2101" s="31">
        <v>3.0</v>
      </c>
      <c r="Q2101" s="31" t="s">
        <v>307</v>
      </c>
      <c r="R2101" s="32">
        <v>33988.0</v>
      </c>
      <c r="S2101" s="31" t="s">
        <v>3151</v>
      </c>
      <c r="T2101" s="31" t="s">
        <v>2744</v>
      </c>
      <c r="U2101" s="31" t="s">
        <v>331</v>
      </c>
      <c r="V2101" s="34"/>
      <c r="W2101" s="34"/>
    </row>
    <row r="2102">
      <c r="A2102" s="30">
        <v>2.097</v>
      </c>
      <c r="B2102" s="31" t="s">
        <v>8405</v>
      </c>
      <c r="C2102" s="31" t="s">
        <v>8406</v>
      </c>
      <c r="D2102" s="31" t="s">
        <v>260</v>
      </c>
      <c r="E2102" s="31" t="s">
        <v>2767</v>
      </c>
      <c r="F2102" s="32">
        <v>44929.0</v>
      </c>
      <c r="G2102" s="32">
        <v>44988.0</v>
      </c>
      <c r="H2102" s="31" t="s">
        <v>325</v>
      </c>
      <c r="I2102" s="31" t="s">
        <v>2768</v>
      </c>
      <c r="J2102" s="31" t="s">
        <v>2767</v>
      </c>
      <c r="K2102" s="31" t="s">
        <v>2769</v>
      </c>
      <c r="L2102" s="31" t="s">
        <v>392</v>
      </c>
      <c r="M2102" s="31" t="s">
        <v>8407</v>
      </c>
      <c r="N2102" s="31" t="s">
        <v>267</v>
      </c>
      <c r="O2102" s="34"/>
      <c r="P2102" s="31">
        <v>1.0</v>
      </c>
      <c r="Q2102" s="31" t="s">
        <v>307</v>
      </c>
      <c r="R2102" s="32">
        <v>36339.0</v>
      </c>
      <c r="S2102" s="31" t="s">
        <v>531</v>
      </c>
      <c r="T2102" s="31" t="s">
        <v>7301</v>
      </c>
      <c r="U2102" s="31" t="s">
        <v>331</v>
      </c>
      <c r="V2102" s="34"/>
      <c r="W2102" s="34"/>
    </row>
    <row r="2103">
      <c r="A2103" s="30">
        <v>2.098</v>
      </c>
      <c r="B2103" s="31" t="s">
        <v>8408</v>
      </c>
      <c r="C2103" s="31" t="s">
        <v>8409</v>
      </c>
      <c r="D2103" s="31" t="s">
        <v>260</v>
      </c>
      <c r="E2103" s="31" t="s">
        <v>2767</v>
      </c>
      <c r="F2103" s="35">
        <v>44914.0</v>
      </c>
      <c r="G2103" s="32">
        <v>44976.0</v>
      </c>
      <c r="H2103" s="31" t="s">
        <v>325</v>
      </c>
      <c r="I2103" s="31" t="s">
        <v>2768</v>
      </c>
      <c r="J2103" s="31" t="s">
        <v>2767</v>
      </c>
      <c r="K2103" s="31" t="s">
        <v>2769</v>
      </c>
      <c r="L2103" s="31" t="s">
        <v>392</v>
      </c>
      <c r="M2103" s="31" t="s">
        <v>8410</v>
      </c>
      <c r="N2103" s="31" t="s">
        <v>267</v>
      </c>
      <c r="O2103" s="34"/>
      <c r="P2103" s="31">
        <v>1.0</v>
      </c>
      <c r="Q2103" s="31" t="s">
        <v>307</v>
      </c>
      <c r="R2103" s="35">
        <v>37212.0</v>
      </c>
      <c r="S2103" s="31" t="s">
        <v>2757</v>
      </c>
      <c r="T2103" s="31" t="s">
        <v>2744</v>
      </c>
      <c r="U2103" s="31" t="s">
        <v>331</v>
      </c>
      <c r="V2103" s="34"/>
      <c r="W2103" s="34"/>
    </row>
    <row r="2104">
      <c r="A2104" s="30">
        <v>2.099</v>
      </c>
      <c r="B2104" s="31" t="s">
        <v>8411</v>
      </c>
      <c r="C2104" s="31" t="s">
        <v>8412</v>
      </c>
      <c r="D2104" s="31" t="s">
        <v>260</v>
      </c>
      <c r="E2104" s="31" t="s">
        <v>2767</v>
      </c>
      <c r="F2104" s="32">
        <v>42976.0</v>
      </c>
      <c r="G2104" s="35">
        <v>43037.0</v>
      </c>
      <c r="H2104" s="31" t="s">
        <v>325</v>
      </c>
      <c r="I2104" s="31" t="s">
        <v>2768</v>
      </c>
      <c r="J2104" s="31" t="s">
        <v>2767</v>
      </c>
      <c r="K2104" s="31" t="s">
        <v>2769</v>
      </c>
      <c r="L2104" s="31" t="s">
        <v>392</v>
      </c>
      <c r="M2104" s="31" t="s">
        <v>8413</v>
      </c>
      <c r="N2104" s="31" t="s">
        <v>267</v>
      </c>
      <c r="O2104" s="34"/>
      <c r="P2104" s="31">
        <v>2.0</v>
      </c>
      <c r="Q2104" s="31" t="s">
        <v>307</v>
      </c>
      <c r="R2104" s="32">
        <v>32365.0</v>
      </c>
      <c r="S2104" s="31" t="s">
        <v>681</v>
      </c>
      <c r="T2104" s="31" t="s">
        <v>1895</v>
      </c>
      <c r="U2104" s="31" t="s">
        <v>331</v>
      </c>
      <c r="V2104" s="34"/>
      <c r="W2104" s="34"/>
    </row>
    <row r="2105">
      <c r="A2105" s="30">
        <v>2.1</v>
      </c>
      <c r="B2105" s="31" t="s">
        <v>8414</v>
      </c>
      <c r="C2105" s="31" t="s">
        <v>8415</v>
      </c>
      <c r="D2105" s="31" t="s">
        <v>978</v>
      </c>
      <c r="E2105" s="31" t="s">
        <v>2767</v>
      </c>
      <c r="F2105" s="32">
        <v>44286.0</v>
      </c>
      <c r="G2105" s="32">
        <v>44347.0</v>
      </c>
      <c r="H2105" s="31" t="s">
        <v>325</v>
      </c>
      <c r="I2105" s="31" t="s">
        <v>2768</v>
      </c>
      <c r="J2105" s="31" t="s">
        <v>2767</v>
      </c>
      <c r="K2105" s="31" t="s">
        <v>2769</v>
      </c>
      <c r="L2105" s="31" t="s">
        <v>1171</v>
      </c>
      <c r="M2105" s="31" t="s">
        <v>8416</v>
      </c>
      <c r="N2105" s="31" t="s">
        <v>267</v>
      </c>
      <c r="O2105" s="31">
        <v>2.0</v>
      </c>
      <c r="P2105" s="31">
        <v>1.0</v>
      </c>
      <c r="Q2105" s="31" t="s">
        <v>307</v>
      </c>
      <c r="R2105" s="35">
        <v>36525.0</v>
      </c>
      <c r="S2105" s="31" t="s">
        <v>3363</v>
      </c>
      <c r="T2105" s="31" t="s">
        <v>1895</v>
      </c>
      <c r="U2105" s="31" t="s">
        <v>331</v>
      </c>
      <c r="V2105" s="34"/>
      <c r="W2105" s="34"/>
    </row>
    <row r="2106">
      <c r="A2106" s="30">
        <v>2.101</v>
      </c>
      <c r="B2106" s="31" t="s">
        <v>8417</v>
      </c>
      <c r="C2106" s="31" t="s">
        <v>8418</v>
      </c>
      <c r="D2106" s="31" t="s">
        <v>1541</v>
      </c>
      <c r="E2106" s="31" t="s">
        <v>1598</v>
      </c>
      <c r="F2106" s="32">
        <v>44779.0</v>
      </c>
      <c r="G2106" s="32">
        <v>44810.0</v>
      </c>
      <c r="H2106" s="31" t="s">
        <v>262</v>
      </c>
      <c r="I2106" s="31" t="s">
        <v>315</v>
      </c>
      <c r="J2106" s="31" t="s">
        <v>1577</v>
      </c>
      <c r="K2106" s="31" t="s">
        <v>8419</v>
      </c>
      <c r="L2106" s="31" t="s">
        <v>1542</v>
      </c>
      <c r="M2106" s="31" t="s">
        <v>8420</v>
      </c>
      <c r="N2106" s="31" t="s">
        <v>467</v>
      </c>
      <c r="O2106" s="31">
        <v>1.0</v>
      </c>
      <c r="P2106" s="31">
        <v>5.0</v>
      </c>
      <c r="Q2106" s="31" t="s">
        <v>307</v>
      </c>
      <c r="R2106" s="32">
        <v>34010.0</v>
      </c>
      <c r="S2106" s="31" t="s">
        <v>893</v>
      </c>
      <c r="T2106" s="31" t="s">
        <v>1476</v>
      </c>
      <c r="U2106" s="31" t="s">
        <v>271</v>
      </c>
      <c r="V2106" s="31" t="s">
        <v>1598</v>
      </c>
      <c r="W2106" s="34"/>
    </row>
    <row r="2107">
      <c r="A2107" s="30">
        <v>2.102</v>
      </c>
      <c r="B2107" s="31" t="s">
        <v>8421</v>
      </c>
      <c r="C2107" s="31" t="s">
        <v>8422</v>
      </c>
      <c r="D2107" s="31" t="s">
        <v>260</v>
      </c>
      <c r="E2107" s="31" t="s">
        <v>295</v>
      </c>
      <c r="F2107" s="32">
        <v>44305.0</v>
      </c>
      <c r="G2107" s="32">
        <v>44366.0</v>
      </c>
      <c r="H2107" s="31" t="s">
        <v>262</v>
      </c>
      <c r="I2107" s="31" t="s">
        <v>275</v>
      </c>
      <c r="J2107" s="31" t="s">
        <v>295</v>
      </c>
      <c r="K2107" s="31" t="s">
        <v>296</v>
      </c>
      <c r="L2107" s="31" t="s">
        <v>297</v>
      </c>
      <c r="M2107" s="31" t="s">
        <v>8423</v>
      </c>
      <c r="N2107" s="31" t="s">
        <v>267</v>
      </c>
      <c r="O2107" s="34"/>
      <c r="P2107" s="31">
        <v>5.0</v>
      </c>
      <c r="Q2107" s="31" t="s">
        <v>307</v>
      </c>
      <c r="R2107" s="35">
        <v>36457.0</v>
      </c>
      <c r="S2107" s="31" t="s">
        <v>2057</v>
      </c>
      <c r="T2107" s="31" t="s">
        <v>1476</v>
      </c>
      <c r="U2107" s="31" t="s">
        <v>271</v>
      </c>
      <c r="V2107" s="34"/>
      <c r="W2107" s="34"/>
    </row>
    <row r="2108">
      <c r="A2108" s="30">
        <v>2.103</v>
      </c>
      <c r="B2108" s="31" t="s">
        <v>8424</v>
      </c>
      <c r="C2108" s="31" t="s">
        <v>8425</v>
      </c>
      <c r="D2108" s="31" t="s">
        <v>260</v>
      </c>
      <c r="E2108" s="31" t="s">
        <v>295</v>
      </c>
      <c r="F2108" s="32">
        <v>44169.0</v>
      </c>
      <c r="G2108" s="32">
        <v>44231.0</v>
      </c>
      <c r="H2108" s="31" t="s">
        <v>262</v>
      </c>
      <c r="I2108" s="31" t="s">
        <v>275</v>
      </c>
      <c r="J2108" s="31" t="s">
        <v>295</v>
      </c>
      <c r="K2108" s="31" t="s">
        <v>296</v>
      </c>
      <c r="L2108" s="31" t="s">
        <v>297</v>
      </c>
      <c r="M2108" s="31" t="s">
        <v>8426</v>
      </c>
      <c r="N2108" s="31" t="s">
        <v>267</v>
      </c>
      <c r="O2108" s="34"/>
      <c r="P2108" s="31">
        <v>5.0</v>
      </c>
      <c r="Q2108" s="31" t="s">
        <v>307</v>
      </c>
      <c r="R2108" s="32">
        <v>35183.0</v>
      </c>
      <c r="S2108" s="31" t="s">
        <v>531</v>
      </c>
      <c r="T2108" s="31" t="s">
        <v>1476</v>
      </c>
      <c r="U2108" s="31" t="s">
        <v>271</v>
      </c>
      <c r="V2108" s="34"/>
      <c r="W2108" s="34"/>
    </row>
    <row r="2109">
      <c r="A2109" s="30">
        <v>2.104</v>
      </c>
      <c r="B2109" s="31" t="s">
        <v>8427</v>
      </c>
      <c r="C2109" s="31" t="s">
        <v>8428</v>
      </c>
      <c r="D2109" s="31" t="s">
        <v>260</v>
      </c>
      <c r="E2109" s="31" t="s">
        <v>2285</v>
      </c>
      <c r="F2109" s="32">
        <v>44532.0</v>
      </c>
      <c r="G2109" s="32">
        <v>44621.0</v>
      </c>
      <c r="H2109" s="31" t="s">
        <v>262</v>
      </c>
      <c r="I2109" s="31" t="s">
        <v>2219</v>
      </c>
      <c r="J2109" s="31" t="s">
        <v>2285</v>
      </c>
      <c r="K2109" s="31" t="s">
        <v>2286</v>
      </c>
      <c r="L2109" s="31" t="s">
        <v>392</v>
      </c>
      <c r="M2109" s="31" t="s">
        <v>8429</v>
      </c>
      <c r="N2109" s="31" t="s">
        <v>467</v>
      </c>
      <c r="O2109" s="34"/>
      <c r="P2109" s="31">
        <v>2.0</v>
      </c>
      <c r="Q2109" s="31" t="s">
        <v>307</v>
      </c>
      <c r="R2109" s="35">
        <v>36824.0</v>
      </c>
      <c r="S2109" s="31" t="s">
        <v>320</v>
      </c>
      <c r="T2109" s="31" t="s">
        <v>1476</v>
      </c>
      <c r="U2109" s="31" t="s">
        <v>271</v>
      </c>
      <c r="V2109" s="34"/>
      <c r="W2109" s="34"/>
    </row>
    <row r="2110">
      <c r="A2110" s="30">
        <v>2.105</v>
      </c>
      <c r="B2110" s="31" t="s">
        <v>8430</v>
      </c>
      <c r="C2110" s="31" t="s">
        <v>8431</v>
      </c>
      <c r="D2110" s="31" t="s">
        <v>313</v>
      </c>
      <c r="E2110" s="31" t="s">
        <v>1576</v>
      </c>
      <c r="F2110" s="32">
        <v>45141.0</v>
      </c>
      <c r="G2110" s="32">
        <v>45201.0</v>
      </c>
      <c r="H2110" s="31" t="s">
        <v>262</v>
      </c>
      <c r="I2110" s="31" t="s">
        <v>315</v>
      </c>
      <c r="J2110" s="31" t="s">
        <v>1577</v>
      </c>
      <c r="K2110" s="31" t="s">
        <v>7194</v>
      </c>
      <c r="L2110" s="31" t="s">
        <v>318</v>
      </c>
      <c r="M2110" s="31" t="s">
        <v>8432</v>
      </c>
      <c r="N2110" s="31" t="s">
        <v>267</v>
      </c>
      <c r="O2110" s="34"/>
      <c r="P2110" s="31">
        <v>1.0</v>
      </c>
      <c r="Q2110" s="31" t="s">
        <v>307</v>
      </c>
      <c r="R2110" s="32">
        <v>37565.0</v>
      </c>
      <c r="S2110" s="31" t="s">
        <v>893</v>
      </c>
      <c r="T2110" s="31" t="s">
        <v>1476</v>
      </c>
      <c r="U2110" s="31" t="s">
        <v>271</v>
      </c>
      <c r="V2110" s="31" t="s">
        <v>1576</v>
      </c>
      <c r="W2110" s="34"/>
    </row>
    <row r="2111">
      <c r="A2111" s="30">
        <v>2.106</v>
      </c>
      <c r="B2111" s="31" t="s">
        <v>8433</v>
      </c>
      <c r="C2111" s="31" t="s">
        <v>8434</v>
      </c>
      <c r="D2111" s="31" t="s">
        <v>260</v>
      </c>
      <c r="E2111" s="31" t="s">
        <v>1260</v>
      </c>
      <c r="F2111" s="32">
        <v>44837.0</v>
      </c>
      <c r="G2111" s="32">
        <v>44898.0</v>
      </c>
      <c r="H2111" s="31" t="s">
        <v>262</v>
      </c>
      <c r="I2111" s="31" t="s">
        <v>2219</v>
      </c>
      <c r="J2111" s="31" t="s">
        <v>1260</v>
      </c>
      <c r="K2111" s="31" t="s">
        <v>2281</v>
      </c>
      <c r="L2111" s="31" t="s">
        <v>392</v>
      </c>
      <c r="M2111" s="31" t="s">
        <v>8435</v>
      </c>
      <c r="N2111" s="31" t="s">
        <v>267</v>
      </c>
      <c r="O2111" s="34"/>
      <c r="P2111" s="31">
        <v>1.0</v>
      </c>
      <c r="Q2111" s="31" t="s">
        <v>307</v>
      </c>
      <c r="R2111" s="32">
        <v>36915.0</v>
      </c>
      <c r="S2111" s="31" t="s">
        <v>626</v>
      </c>
      <c r="T2111" s="31" t="s">
        <v>1476</v>
      </c>
      <c r="U2111" s="31" t="s">
        <v>271</v>
      </c>
      <c r="V2111" s="34"/>
      <c r="W2111" s="34"/>
    </row>
    <row r="2112">
      <c r="A2112" s="30">
        <v>2.107</v>
      </c>
      <c r="B2112" s="31" t="s">
        <v>8436</v>
      </c>
      <c r="C2112" s="31" t="s">
        <v>8437</v>
      </c>
      <c r="D2112" s="31" t="s">
        <v>260</v>
      </c>
      <c r="E2112" s="31" t="s">
        <v>436</v>
      </c>
      <c r="F2112" s="32">
        <v>45068.0</v>
      </c>
      <c r="G2112" s="32">
        <v>45128.0</v>
      </c>
      <c r="H2112" s="31" t="s">
        <v>262</v>
      </c>
      <c r="I2112" s="31" t="s">
        <v>275</v>
      </c>
      <c r="J2112" s="31" t="s">
        <v>436</v>
      </c>
      <c r="K2112" s="31" t="s">
        <v>2147</v>
      </c>
      <c r="L2112" s="31" t="s">
        <v>438</v>
      </c>
      <c r="M2112" s="31" t="s">
        <v>8438</v>
      </c>
      <c r="N2112" s="31" t="s">
        <v>267</v>
      </c>
      <c r="O2112" s="34"/>
      <c r="P2112" s="31">
        <v>1.0</v>
      </c>
      <c r="Q2112" s="31" t="s">
        <v>307</v>
      </c>
      <c r="R2112" s="32">
        <v>37123.0</v>
      </c>
      <c r="S2112" s="31" t="s">
        <v>898</v>
      </c>
      <c r="T2112" s="31" t="s">
        <v>1670</v>
      </c>
      <c r="U2112" s="31" t="s">
        <v>271</v>
      </c>
      <c r="V2112" s="34"/>
      <c r="W2112" s="34"/>
    </row>
    <row r="2113">
      <c r="A2113" s="30">
        <v>2.108</v>
      </c>
      <c r="B2113" s="31" t="s">
        <v>8439</v>
      </c>
      <c r="C2113" s="31" t="s">
        <v>8440</v>
      </c>
      <c r="D2113" s="31" t="s">
        <v>506</v>
      </c>
      <c r="E2113" s="31" t="s">
        <v>2079</v>
      </c>
      <c r="F2113" s="32">
        <v>45149.0</v>
      </c>
      <c r="G2113" s="35">
        <v>45209.0</v>
      </c>
      <c r="H2113" s="31" t="s">
        <v>262</v>
      </c>
      <c r="I2113" s="31" t="s">
        <v>275</v>
      </c>
      <c r="J2113" s="31" t="s">
        <v>2079</v>
      </c>
      <c r="K2113" s="31" t="s">
        <v>2080</v>
      </c>
      <c r="L2113" s="31" t="s">
        <v>8441</v>
      </c>
      <c r="M2113" s="31" t="s">
        <v>8442</v>
      </c>
      <c r="N2113" s="31" t="s">
        <v>267</v>
      </c>
      <c r="O2113" s="34"/>
      <c r="P2113" s="31">
        <v>1.0</v>
      </c>
      <c r="Q2113" s="31" t="s">
        <v>307</v>
      </c>
      <c r="R2113" s="32">
        <v>37140.0</v>
      </c>
      <c r="S2113" s="31" t="s">
        <v>8443</v>
      </c>
      <c r="T2113" s="31" t="s">
        <v>3060</v>
      </c>
      <c r="U2113" s="31" t="s">
        <v>271</v>
      </c>
      <c r="V2113" s="34"/>
      <c r="W2113" s="34"/>
    </row>
    <row r="2114">
      <c r="A2114" s="30">
        <v>2.109</v>
      </c>
      <c r="B2114" s="31" t="s">
        <v>8444</v>
      </c>
      <c r="C2114" s="31" t="s">
        <v>8445</v>
      </c>
      <c r="D2114" s="31" t="s">
        <v>260</v>
      </c>
      <c r="E2114" s="31" t="s">
        <v>374</v>
      </c>
      <c r="F2114" s="35">
        <v>43395.0</v>
      </c>
      <c r="G2114" s="35">
        <v>43456.0</v>
      </c>
      <c r="H2114" s="31" t="s">
        <v>262</v>
      </c>
      <c r="I2114" s="31" t="s">
        <v>275</v>
      </c>
      <c r="J2114" s="31" t="s">
        <v>374</v>
      </c>
      <c r="K2114" s="31" t="s">
        <v>2184</v>
      </c>
      <c r="L2114" s="31" t="s">
        <v>376</v>
      </c>
      <c r="M2114" s="31" t="s">
        <v>8446</v>
      </c>
      <c r="N2114" s="31" t="s">
        <v>267</v>
      </c>
      <c r="O2114" s="34"/>
      <c r="P2114" s="31">
        <v>3.0</v>
      </c>
      <c r="Q2114" s="31" t="s">
        <v>307</v>
      </c>
      <c r="R2114" s="32">
        <v>35226.0</v>
      </c>
      <c r="S2114" s="31" t="s">
        <v>320</v>
      </c>
      <c r="T2114" s="31" t="s">
        <v>2014</v>
      </c>
      <c r="U2114" s="31" t="s">
        <v>271</v>
      </c>
      <c r="V2114" s="34"/>
      <c r="W2114" s="34"/>
    </row>
    <row r="2115">
      <c r="A2115" s="30">
        <v>2.11</v>
      </c>
      <c r="B2115" s="31" t="s">
        <v>8447</v>
      </c>
      <c r="C2115" s="31" t="s">
        <v>8448</v>
      </c>
      <c r="D2115" s="31" t="s">
        <v>260</v>
      </c>
      <c r="E2115" s="31" t="s">
        <v>1693</v>
      </c>
      <c r="F2115" s="32">
        <v>43194.0</v>
      </c>
      <c r="G2115" s="32">
        <v>43255.0</v>
      </c>
      <c r="H2115" s="31" t="s">
        <v>262</v>
      </c>
      <c r="I2115" s="31" t="s">
        <v>263</v>
      </c>
      <c r="J2115" s="31" t="s">
        <v>1693</v>
      </c>
      <c r="K2115" s="31" t="s">
        <v>1694</v>
      </c>
      <c r="L2115" s="31" t="s">
        <v>749</v>
      </c>
      <c r="M2115" s="31" t="s">
        <v>8449</v>
      </c>
      <c r="N2115" s="31" t="s">
        <v>267</v>
      </c>
      <c r="O2115" s="34"/>
      <c r="P2115" s="31">
        <v>10.0</v>
      </c>
      <c r="Q2115" s="31" t="s">
        <v>307</v>
      </c>
      <c r="R2115" s="32">
        <v>35282.0</v>
      </c>
      <c r="S2115" s="31" t="s">
        <v>320</v>
      </c>
      <c r="T2115" s="31" t="s">
        <v>1686</v>
      </c>
      <c r="U2115" s="31" t="s">
        <v>271</v>
      </c>
      <c r="V2115" s="34"/>
      <c r="W2115" s="34"/>
    </row>
    <row r="2116">
      <c r="A2116" s="30">
        <v>2.111</v>
      </c>
      <c r="B2116" s="31" t="s">
        <v>8450</v>
      </c>
      <c r="C2116" s="31" t="s">
        <v>8451</v>
      </c>
      <c r="D2116" s="31" t="s">
        <v>765</v>
      </c>
      <c r="E2116" s="31" t="s">
        <v>1701</v>
      </c>
      <c r="F2116" s="32">
        <v>45050.0</v>
      </c>
      <c r="G2116" s="32">
        <v>45111.0</v>
      </c>
      <c r="H2116" s="31" t="s">
        <v>262</v>
      </c>
      <c r="I2116" s="31" t="s">
        <v>263</v>
      </c>
      <c r="J2116" s="31" t="s">
        <v>767</v>
      </c>
      <c r="K2116" s="31" t="s">
        <v>1702</v>
      </c>
      <c r="L2116" s="31" t="s">
        <v>769</v>
      </c>
      <c r="M2116" s="31" t="s">
        <v>8452</v>
      </c>
      <c r="N2116" s="31" t="s">
        <v>267</v>
      </c>
      <c r="O2116" s="34"/>
      <c r="P2116" s="31">
        <v>1.0</v>
      </c>
      <c r="Q2116" s="31" t="s">
        <v>307</v>
      </c>
      <c r="R2116" s="35">
        <v>36830.0</v>
      </c>
      <c r="S2116" s="31" t="s">
        <v>1369</v>
      </c>
      <c r="T2116" s="31" t="s">
        <v>1915</v>
      </c>
      <c r="U2116" s="31" t="s">
        <v>271</v>
      </c>
      <c r="V2116" s="31" t="s">
        <v>1701</v>
      </c>
      <c r="W2116" s="34"/>
    </row>
    <row r="2117">
      <c r="A2117" s="30">
        <v>2.112</v>
      </c>
      <c r="B2117" s="31" t="s">
        <v>8453</v>
      </c>
      <c r="C2117" s="31" t="s">
        <v>8454</v>
      </c>
      <c r="D2117" s="31" t="s">
        <v>765</v>
      </c>
      <c r="E2117" s="31" t="s">
        <v>1701</v>
      </c>
      <c r="F2117" s="32">
        <v>44803.0</v>
      </c>
      <c r="G2117" s="35">
        <v>44864.0</v>
      </c>
      <c r="H2117" s="31" t="s">
        <v>262</v>
      </c>
      <c r="I2117" s="31" t="s">
        <v>263</v>
      </c>
      <c r="J2117" s="31" t="s">
        <v>767</v>
      </c>
      <c r="K2117" s="31" t="s">
        <v>1702</v>
      </c>
      <c r="L2117" s="31" t="s">
        <v>769</v>
      </c>
      <c r="M2117" s="31" t="s">
        <v>8455</v>
      </c>
      <c r="N2117" s="31" t="s">
        <v>267</v>
      </c>
      <c r="O2117" s="34"/>
      <c r="P2117" s="31">
        <v>1.0</v>
      </c>
      <c r="Q2117" s="31" t="s">
        <v>307</v>
      </c>
      <c r="R2117" s="32">
        <v>36753.0</v>
      </c>
      <c r="S2117" s="31" t="s">
        <v>626</v>
      </c>
      <c r="T2117" s="31" t="s">
        <v>1711</v>
      </c>
      <c r="U2117" s="31" t="s">
        <v>271</v>
      </c>
      <c r="V2117" s="31" t="s">
        <v>1701</v>
      </c>
      <c r="W2117" s="34"/>
    </row>
    <row r="2118">
      <c r="A2118" s="30">
        <v>2.113</v>
      </c>
      <c r="B2118" s="31" t="s">
        <v>8456</v>
      </c>
      <c r="C2118" s="31" t="s">
        <v>8457</v>
      </c>
      <c r="D2118" s="31" t="s">
        <v>260</v>
      </c>
      <c r="E2118" s="31" t="s">
        <v>2231</v>
      </c>
      <c r="F2118" s="32">
        <v>45050.0</v>
      </c>
      <c r="G2118" s="32">
        <v>45111.0</v>
      </c>
      <c r="H2118" s="31" t="s">
        <v>262</v>
      </c>
      <c r="I2118" s="31" t="s">
        <v>2219</v>
      </c>
      <c r="J2118" s="31" t="s">
        <v>2231</v>
      </c>
      <c r="K2118" s="31" t="s">
        <v>2232</v>
      </c>
      <c r="L2118" s="31" t="s">
        <v>392</v>
      </c>
      <c r="M2118" s="31" t="s">
        <v>8458</v>
      </c>
      <c r="N2118" s="31" t="s">
        <v>267</v>
      </c>
      <c r="O2118" s="34"/>
      <c r="P2118" s="31">
        <v>1.0</v>
      </c>
      <c r="Q2118" s="31" t="s">
        <v>307</v>
      </c>
      <c r="R2118" s="35">
        <v>37222.0</v>
      </c>
      <c r="S2118" s="31" t="s">
        <v>7187</v>
      </c>
      <c r="T2118" s="31" t="s">
        <v>2265</v>
      </c>
      <c r="U2118" s="31" t="s">
        <v>271</v>
      </c>
      <c r="V2118" s="34"/>
      <c r="W2118" s="34"/>
    </row>
    <row r="2119">
      <c r="A2119" s="30">
        <v>2.114</v>
      </c>
      <c r="B2119" s="31" t="s">
        <v>8459</v>
      </c>
      <c r="C2119" s="31" t="s">
        <v>8460</v>
      </c>
      <c r="D2119" s="31" t="s">
        <v>260</v>
      </c>
      <c r="E2119" s="31" t="s">
        <v>1130</v>
      </c>
      <c r="F2119" s="32">
        <v>44772.0</v>
      </c>
      <c r="G2119" s="32">
        <v>44834.0</v>
      </c>
      <c r="H2119" s="31" t="s">
        <v>262</v>
      </c>
      <c r="I2119" s="31" t="s">
        <v>2219</v>
      </c>
      <c r="J2119" s="31" t="s">
        <v>1130</v>
      </c>
      <c r="K2119" s="31" t="s">
        <v>2236</v>
      </c>
      <c r="L2119" s="31" t="s">
        <v>392</v>
      </c>
      <c r="M2119" s="31" t="s">
        <v>8461</v>
      </c>
      <c r="N2119" s="31" t="s">
        <v>267</v>
      </c>
      <c r="O2119" s="34"/>
      <c r="P2119" s="31">
        <v>1.0</v>
      </c>
      <c r="Q2119" s="31" t="s">
        <v>307</v>
      </c>
      <c r="R2119" s="32">
        <v>36636.0</v>
      </c>
      <c r="S2119" s="31" t="s">
        <v>320</v>
      </c>
      <c r="T2119" s="31" t="s">
        <v>2014</v>
      </c>
      <c r="U2119" s="31" t="s">
        <v>271</v>
      </c>
      <c r="V2119" s="34"/>
      <c r="W2119" s="34"/>
    </row>
    <row r="2120">
      <c r="A2120" s="30">
        <v>2.115</v>
      </c>
      <c r="B2120" s="31" t="s">
        <v>8462</v>
      </c>
      <c r="C2120" s="31" t="s">
        <v>8463</v>
      </c>
      <c r="D2120" s="31" t="s">
        <v>260</v>
      </c>
      <c r="E2120" s="31" t="s">
        <v>2498</v>
      </c>
      <c r="F2120" s="32">
        <v>45013.0</v>
      </c>
      <c r="G2120" s="32">
        <v>45074.0</v>
      </c>
      <c r="H2120" s="31" t="s">
        <v>303</v>
      </c>
      <c r="I2120" s="31" t="s">
        <v>335</v>
      </c>
      <c r="J2120" s="31" t="s">
        <v>2499</v>
      </c>
      <c r="K2120" s="31" t="s">
        <v>2500</v>
      </c>
      <c r="L2120" s="31" t="s">
        <v>2610</v>
      </c>
      <c r="M2120" s="31" t="s">
        <v>8464</v>
      </c>
      <c r="N2120" s="31" t="s">
        <v>267</v>
      </c>
      <c r="O2120" s="34"/>
      <c r="P2120" s="31">
        <v>1.0</v>
      </c>
      <c r="Q2120" s="31" t="s">
        <v>307</v>
      </c>
      <c r="R2120" s="32">
        <v>36705.0</v>
      </c>
      <c r="S2120" s="31" t="s">
        <v>1041</v>
      </c>
      <c r="T2120" s="31" t="s">
        <v>1476</v>
      </c>
      <c r="U2120" s="31" t="s">
        <v>271</v>
      </c>
      <c r="V2120" s="31" t="s">
        <v>2498</v>
      </c>
      <c r="W2120" s="34"/>
    </row>
    <row r="2121">
      <c r="A2121" s="30">
        <v>2.116</v>
      </c>
      <c r="B2121" s="31" t="s">
        <v>8465</v>
      </c>
      <c r="C2121" s="31" t="s">
        <v>8466</v>
      </c>
      <c r="D2121" s="31" t="s">
        <v>260</v>
      </c>
      <c r="E2121" s="31" t="s">
        <v>403</v>
      </c>
      <c r="F2121" s="32">
        <v>43298.0</v>
      </c>
      <c r="G2121" s="32">
        <v>43360.0</v>
      </c>
      <c r="H2121" s="31" t="s">
        <v>262</v>
      </c>
      <c r="I2121" s="31" t="s">
        <v>2219</v>
      </c>
      <c r="J2121" s="31" t="s">
        <v>403</v>
      </c>
      <c r="K2121" s="31" t="s">
        <v>2227</v>
      </c>
      <c r="L2121" s="31" t="s">
        <v>392</v>
      </c>
      <c r="M2121" s="31" t="s">
        <v>8467</v>
      </c>
      <c r="N2121" s="31" t="s">
        <v>267</v>
      </c>
      <c r="O2121" s="34"/>
      <c r="P2121" s="31">
        <v>10.0</v>
      </c>
      <c r="Q2121" s="31" t="s">
        <v>307</v>
      </c>
      <c r="R2121" s="35">
        <v>35424.0</v>
      </c>
      <c r="S2121" s="31" t="s">
        <v>700</v>
      </c>
      <c r="T2121" s="31" t="s">
        <v>1670</v>
      </c>
      <c r="U2121" s="31" t="s">
        <v>271</v>
      </c>
      <c r="V2121" s="34"/>
      <c r="W2121" s="34"/>
    </row>
    <row r="2122">
      <c r="A2122" s="30">
        <v>2.117</v>
      </c>
      <c r="B2122" s="31" t="s">
        <v>8468</v>
      </c>
      <c r="C2122" s="31" t="s">
        <v>8469</v>
      </c>
      <c r="D2122" s="31" t="s">
        <v>260</v>
      </c>
      <c r="E2122" s="31" t="s">
        <v>2285</v>
      </c>
      <c r="F2122" s="32">
        <v>45040.0</v>
      </c>
      <c r="G2122" s="32">
        <v>45101.0</v>
      </c>
      <c r="H2122" s="31" t="s">
        <v>262</v>
      </c>
      <c r="I2122" s="31" t="s">
        <v>2219</v>
      </c>
      <c r="J2122" s="31" t="s">
        <v>2285</v>
      </c>
      <c r="K2122" s="31" t="s">
        <v>2286</v>
      </c>
      <c r="L2122" s="31" t="s">
        <v>392</v>
      </c>
      <c r="M2122" s="31" t="s">
        <v>8470</v>
      </c>
      <c r="N2122" s="31" t="s">
        <v>467</v>
      </c>
      <c r="O2122" s="34"/>
      <c r="P2122" s="31">
        <v>1.0</v>
      </c>
      <c r="Q2122" s="31" t="s">
        <v>307</v>
      </c>
      <c r="R2122" s="35">
        <v>37222.0</v>
      </c>
      <c r="S2122" s="31" t="s">
        <v>8053</v>
      </c>
      <c r="T2122" s="31" t="s">
        <v>1810</v>
      </c>
      <c r="U2122" s="31" t="s">
        <v>271</v>
      </c>
      <c r="V2122" s="34"/>
      <c r="W2122" s="34"/>
    </row>
    <row r="2123">
      <c r="A2123" s="30">
        <v>2.118</v>
      </c>
      <c r="B2123" s="31" t="s">
        <v>8471</v>
      </c>
      <c r="C2123" s="31" t="s">
        <v>8472</v>
      </c>
      <c r="D2123" s="31" t="s">
        <v>260</v>
      </c>
      <c r="E2123" s="31" t="s">
        <v>1260</v>
      </c>
      <c r="F2123" s="32">
        <v>44977.0</v>
      </c>
      <c r="G2123" s="32">
        <v>45036.0</v>
      </c>
      <c r="H2123" s="31" t="s">
        <v>262</v>
      </c>
      <c r="I2123" s="31" t="s">
        <v>2219</v>
      </c>
      <c r="J2123" s="31" t="s">
        <v>1260</v>
      </c>
      <c r="K2123" s="31" t="s">
        <v>2281</v>
      </c>
      <c r="L2123" s="31" t="s">
        <v>392</v>
      </c>
      <c r="M2123" s="31" t="s">
        <v>8473</v>
      </c>
      <c r="N2123" s="31" t="s">
        <v>267</v>
      </c>
      <c r="O2123" s="34"/>
      <c r="P2123" s="31">
        <v>1.0</v>
      </c>
      <c r="Q2123" s="31" t="s">
        <v>307</v>
      </c>
      <c r="R2123" s="32">
        <v>37062.0</v>
      </c>
      <c r="S2123" s="31" t="s">
        <v>1041</v>
      </c>
      <c r="T2123" s="31" t="s">
        <v>8474</v>
      </c>
      <c r="U2123" s="31" t="s">
        <v>271</v>
      </c>
      <c r="V2123" s="34"/>
      <c r="W2123" s="34"/>
    </row>
    <row r="2124">
      <c r="A2124" s="30">
        <v>2.119</v>
      </c>
      <c r="B2124" s="31" t="s">
        <v>8475</v>
      </c>
      <c r="C2124" s="31" t="s">
        <v>8476</v>
      </c>
      <c r="D2124" s="31" t="s">
        <v>2172</v>
      </c>
      <c r="E2124" s="31" t="s">
        <v>902</v>
      </c>
      <c r="F2124" s="32">
        <v>43216.0</v>
      </c>
      <c r="G2124" s="32">
        <v>43277.0</v>
      </c>
      <c r="H2124" s="31" t="s">
        <v>262</v>
      </c>
      <c r="I2124" s="31" t="s">
        <v>93</v>
      </c>
      <c r="J2124" s="31" t="s">
        <v>1918</v>
      </c>
      <c r="K2124" s="31" t="s">
        <v>2005</v>
      </c>
      <c r="L2124" s="31" t="s">
        <v>4785</v>
      </c>
      <c r="M2124" s="31" t="s">
        <v>8477</v>
      </c>
      <c r="N2124" s="31" t="s">
        <v>267</v>
      </c>
      <c r="O2124" s="31">
        <v>2.0</v>
      </c>
      <c r="P2124" s="31">
        <v>1.0</v>
      </c>
      <c r="Q2124" s="31" t="s">
        <v>307</v>
      </c>
      <c r="R2124" s="32">
        <v>34387.0</v>
      </c>
      <c r="S2124" s="31" t="s">
        <v>8478</v>
      </c>
      <c r="T2124" s="31" t="s">
        <v>1881</v>
      </c>
      <c r="U2124" s="31" t="s">
        <v>271</v>
      </c>
      <c r="V2124" s="31" t="s">
        <v>902</v>
      </c>
      <c r="W2124" s="34"/>
    </row>
    <row r="2125">
      <c r="A2125" s="30">
        <v>2.12</v>
      </c>
      <c r="B2125" s="31" t="s">
        <v>8479</v>
      </c>
      <c r="C2125" s="31" t="s">
        <v>8480</v>
      </c>
      <c r="D2125" s="31" t="s">
        <v>8481</v>
      </c>
      <c r="E2125" s="31" t="s">
        <v>2463</v>
      </c>
      <c r="F2125" s="35">
        <v>42669.0</v>
      </c>
      <c r="G2125" s="35">
        <v>42730.0</v>
      </c>
      <c r="H2125" s="31" t="s">
        <v>262</v>
      </c>
      <c r="I2125" s="31" t="s">
        <v>2463</v>
      </c>
      <c r="J2125" s="34"/>
      <c r="K2125" s="31" t="s">
        <v>2464</v>
      </c>
      <c r="L2125" s="31" t="s">
        <v>8482</v>
      </c>
      <c r="M2125" s="31" t="s">
        <v>8483</v>
      </c>
      <c r="N2125" s="31" t="s">
        <v>267</v>
      </c>
      <c r="O2125" s="34"/>
      <c r="P2125" s="34"/>
      <c r="Q2125" s="31" t="s">
        <v>307</v>
      </c>
      <c r="R2125" s="32">
        <v>34571.0</v>
      </c>
      <c r="S2125" s="31" t="s">
        <v>681</v>
      </c>
      <c r="T2125" s="31" t="s">
        <v>1476</v>
      </c>
      <c r="U2125" s="31" t="s">
        <v>271</v>
      </c>
      <c r="V2125" s="34"/>
      <c r="W2125" s="34"/>
    </row>
    <row r="2126">
      <c r="A2126" s="30">
        <v>2.121</v>
      </c>
      <c r="B2126" s="31" t="s">
        <v>8484</v>
      </c>
      <c r="C2126" s="31" t="s">
        <v>8485</v>
      </c>
      <c r="D2126" s="31" t="s">
        <v>260</v>
      </c>
      <c r="E2126" s="31" t="s">
        <v>261</v>
      </c>
      <c r="F2126" s="32">
        <v>44960.0</v>
      </c>
      <c r="G2126" s="32">
        <v>45019.0</v>
      </c>
      <c r="H2126" s="31" t="s">
        <v>262</v>
      </c>
      <c r="I2126" s="31" t="s">
        <v>263</v>
      </c>
      <c r="J2126" s="31" t="s">
        <v>261</v>
      </c>
      <c r="K2126" s="31" t="s">
        <v>264</v>
      </c>
      <c r="L2126" s="31" t="s">
        <v>265</v>
      </c>
      <c r="M2126" s="31" t="s">
        <v>8486</v>
      </c>
      <c r="N2126" s="31" t="s">
        <v>267</v>
      </c>
      <c r="O2126" s="34"/>
      <c r="P2126" s="31">
        <v>1.0</v>
      </c>
      <c r="Q2126" s="31" t="s">
        <v>307</v>
      </c>
      <c r="R2126" s="35">
        <v>37251.0</v>
      </c>
      <c r="S2126" s="31" t="s">
        <v>320</v>
      </c>
      <c r="T2126" s="31" t="s">
        <v>8313</v>
      </c>
      <c r="U2126" s="31" t="s">
        <v>271</v>
      </c>
      <c r="V2126" s="34"/>
      <c r="W2126" s="34"/>
    </row>
    <row r="2127">
      <c r="A2127" s="30">
        <v>2.122</v>
      </c>
      <c r="B2127" s="31" t="s">
        <v>8487</v>
      </c>
      <c r="C2127" s="31" t="s">
        <v>8488</v>
      </c>
      <c r="D2127" s="31" t="s">
        <v>313</v>
      </c>
      <c r="E2127" s="31" t="s">
        <v>1598</v>
      </c>
      <c r="F2127" s="32">
        <v>44744.0</v>
      </c>
      <c r="G2127" s="32">
        <v>44806.0</v>
      </c>
      <c r="H2127" s="31" t="s">
        <v>262</v>
      </c>
      <c r="I2127" s="31" t="s">
        <v>315</v>
      </c>
      <c r="J2127" s="31" t="s">
        <v>1577</v>
      </c>
      <c r="K2127" s="31" t="s">
        <v>8419</v>
      </c>
      <c r="L2127" s="31" t="s">
        <v>318</v>
      </c>
      <c r="M2127" s="31" t="s">
        <v>8489</v>
      </c>
      <c r="N2127" s="31" t="s">
        <v>267</v>
      </c>
      <c r="O2127" s="34"/>
      <c r="P2127" s="31">
        <v>2.0</v>
      </c>
      <c r="Q2127" s="31" t="s">
        <v>307</v>
      </c>
      <c r="R2127" s="32">
        <v>35802.0</v>
      </c>
      <c r="S2127" s="31" t="s">
        <v>955</v>
      </c>
      <c r="T2127" s="31" t="s">
        <v>1651</v>
      </c>
      <c r="U2127" s="31" t="s">
        <v>271</v>
      </c>
      <c r="V2127" s="31" t="s">
        <v>1598</v>
      </c>
      <c r="W2127" s="34"/>
    </row>
    <row r="2128">
      <c r="A2128" s="30">
        <v>2.123</v>
      </c>
      <c r="B2128" s="31" t="s">
        <v>8490</v>
      </c>
      <c r="C2128" s="31" t="s">
        <v>8491</v>
      </c>
      <c r="D2128" s="31" t="s">
        <v>8492</v>
      </c>
      <c r="E2128" s="31" t="s">
        <v>8493</v>
      </c>
      <c r="F2128" s="32">
        <v>45184.0</v>
      </c>
      <c r="G2128" s="35">
        <v>45244.0</v>
      </c>
      <c r="H2128" s="31" t="s">
        <v>4727</v>
      </c>
      <c r="I2128" s="31" t="s">
        <v>8493</v>
      </c>
      <c r="J2128" s="34"/>
      <c r="K2128" s="31" t="s">
        <v>8494</v>
      </c>
      <c r="L2128" s="31" t="s">
        <v>8495</v>
      </c>
      <c r="M2128" s="31" t="s">
        <v>8496</v>
      </c>
      <c r="N2128" s="31" t="s">
        <v>267</v>
      </c>
      <c r="O2128" s="34"/>
      <c r="P2128" s="34"/>
      <c r="Q2128" s="31" t="s">
        <v>307</v>
      </c>
      <c r="R2128" s="32">
        <v>36247.0</v>
      </c>
      <c r="S2128" s="31" t="s">
        <v>400</v>
      </c>
      <c r="T2128" s="31" t="s">
        <v>459</v>
      </c>
      <c r="U2128" s="31" t="s">
        <v>342</v>
      </c>
      <c r="V2128" s="34"/>
      <c r="W2128" s="34"/>
    </row>
    <row r="2129">
      <c r="A2129" s="30">
        <v>2.124</v>
      </c>
      <c r="B2129" s="31" t="s">
        <v>8497</v>
      </c>
      <c r="C2129" s="31" t="s">
        <v>8498</v>
      </c>
      <c r="D2129" s="31" t="s">
        <v>8357</v>
      </c>
      <c r="E2129" s="31" t="s">
        <v>2474</v>
      </c>
      <c r="F2129" s="32">
        <v>42445.0</v>
      </c>
      <c r="G2129" s="32">
        <v>42511.0</v>
      </c>
      <c r="H2129" s="31" t="s">
        <v>262</v>
      </c>
      <c r="I2129" s="31" t="s">
        <v>2474</v>
      </c>
      <c r="J2129" s="34"/>
      <c r="K2129" s="31" t="s">
        <v>2475</v>
      </c>
      <c r="L2129" s="31" t="s">
        <v>8358</v>
      </c>
      <c r="M2129" s="31" t="s">
        <v>8499</v>
      </c>
      <c r="N2129" s="31" t="s">
        <v>267</v>
      </c>
      <c r="O2129" s="31">
        <v>2.0</v>
      </c>
      <c r="P2129" s="34"/>
      <c r="Q2129" s="31" t="s">
        <v>307</v>
      </c>
      <c r="R2129" s="32">
        <v>32206.0</v>
      </c>
      <c r="S2129" s="31" t="s">
        <v>320</v>
      </c>
      <c r="T2129" s="31" t="s">
        <v>1476</v>
      </c>
      <c r="U2129" s="31" t="s">
        <v>271</v>
      </c>
      <c r="V2129" s="34"/>
      <c r="W2129" s="34"/>
    </row>
    <row r="2130">
      <c r="A2130" s="30">
        <v>2.125</v>
      </c>
      <c r="B2130" s="31" t="s">
        <v>8500</v>
      </c>
      <c r="C2130" s="31" t="s">
        <v>7801</v>
      </c>
      <c r="D2130" s="31" t="s">
        <v>260</v>
      </c>
      <c r="E2130" s="31" t="s">
        <v>2858</v>
      </c>
      <c r="F2130" s="32">
        <v>43332.0</v>
      </c>
      <c r="G2130" s="35">
        <v>43393.0</v>
      </c>
      <c r="H2130" s="31" t="s">
        <v>2732</v>
      </c>
      <c r="I2130" s="31" t="s">
        <v>2768</v>
      </c>
      <c r="J2130" s="31" t="s">
        <v>2858</v>
      </c>
      <c r="K2130" s="31" t="s">
        <v>2859</v>
      </c>
      <c r="L2130" s="31" t="s">
        <v>392</v>
      </c>
      <c r="M2130" s="31" t="s">
        <v>8501</v>
      </c>
      <c r="N2130" s="31" t="s">
        <v>267</v>
      </c>
      <c r="O2130" s="34"/>
      <c r="P2130" s="31">
        <v>3.0</v>
      </c>
      <c r="Q2130" s="31" t="s">
        <v>307</v>
      </c>
      <c r="R2130" s="35">
        <v>35355.0</v>
      </c>
      <c r="S2130" s="31" t="s">
        <v>531</v>
      </c>
      <c r="T2130" s="31" t="s">
        <v>2740</v>
      </c>
      <c r="U2130" s="31" t="s">
        <v>2735</v>
      </c>
      <c r="V2130" s="34"/>
      <c r="W2130" s="34"/>
    </row>
    <row r="2131">
      <c r="A2131" s="30">
        <v>2.126</v>
      </c>
      <c r="B2131" s="31" t="s">
        <v>8502</v>
      </c>
      <c r="C2131" s="31" t="s">
        <v>8503</v>
      </c>
      <c r="D2131" s="31" t="s">
        <v>648</v>
      </c>
      <c r="E2131" s="31" t="s">
        <v>1636</v>
      </c>
      <c r="F2131" s="32">
        <v>43746.0</v>
      </c>
      <c r="G2131" s="32">
        <v>43807.0</v>
      </c>
      <c r="H2131" s="31" t="s">
        <v>2732</v>
      </c>
      <c r="I2131" s="31" t="s">
        <v>153</v>
      </c>
      <c r="J2131" s="31" t="s">
        <v>1636</v>
      </c>
      <c r="K2131" s="31" t="s">
        <v>7710</v>
      </c>
      <c r="L2131" s="31" t="s">
        <v>651</v>
      </c>
      <c r="M2131" s="31" t="s">
        <v>8504</v>
      </c>
      <c r="N2131" s="31" t="s">
        <v>267</v>
      </c>
      <c r="O2131" s="34"/>
      <c r="P2131" s="31">
        <v>5.0</v>
      </c>
      <c r="Q2131" s="31" t="s">
        <v>307</v>
      </c>
      <c r="R2131" s="35">
        <v>32504.0</v>
      </c>
      <c r="S2131" s="31" t="s">
        <v>320</v>
      </c>
      <c r="T2131" s="31" t="s">
        <v>8505</v>
      </c>
      <c r="U2131" s="31" t="s">
        <v>2735</v>
      </c>
      <c r="V2131" s="34"/>
      <c r="W2131" s="34"/>
    </row>
    <row r="2132">
      <c r="A2132" s="30">
        <v>2.127</v>
      </c>
      <c r="B2132" s="31" t="s">
        <v>8506</v>
      </c>
      <c r="C2132" s="31" t="s">
        <v>8507</v>
      </c>
      <c r="D2132" s="31" t="s">
        <v>648</v>
      </c>
      <c r="E2132" s="31" t="s">
        <v>8508</v>
      </c>
      <c r="F2132" s="32">
        <v>43745.0</v>
      </c>
      <c r="G2132" s="32">
        <v>43806.0</v>
      </c>
      <c r="H2132" s="31" t="s">
        <v>2732</v>
      </c>
      <c r="I2132" s="31" t="s">
        <v>153</v>
      </c>
      <c r="J2132" s="31" t="s">
        <v>8508</v>
      </c>
      <c r="K2132" s="31" t="s">
        <v>8509</v>
      </c>
      <c r="L2132" s="31" t="s">
        <v>959</v>
      </c>
      <c r="M2132" s="31" t="s">
        <v>8510</v>
      </c>
      <c r="N2132" s="31" t="s">
        <v>467</v>
      </c>
      <c r="O2132" s="34"/>
      <c r="P2132" s="31">
        <v>4.0</v>
      </c>
      <c r="Q2132" s="31" t="s">
        <v>307</v>
      </c>
      <c r="R2132" s="32">
        <v>35865.0</v>
      </c>
      <c r="S2132" s="31" t="s">
        <v>468</v>
      </c>
      <c r="T2132" s="31" t="s">
        <v>5573</v>
      </c>
      <c r="U2132" s="31" t="s">
        <v>2735</v>
      </c>
      <c r="V2132" s="34"/>
      <c r="W2132" s="34"/>
    </row>
    <row r="2133">
      <c r="A2133" s="30">
        <v>2.128</v>
      </c>
      <c r="B2133" s="31" t="s">
        <v>8511</v>
      </c>
      <c r="C2133" s="31" t="s">
        <v>8512</v>
      </c>
      <c r="D2133" s="31" t="s">
        <v>260</v>
      </c>
      <c r="E2133" s="31" t="s">
        <v>390</v>
      </c>
      <c r="F2133" s="32">
        <v>45019.0</v>
      </c>
      <c r="G2133" s="32">
        <v>45080.0</v>
      </c>
      <c r="H2133" s="31" t="s">
        <v>262</v>
      </c>
      <c r="I2133" s="31" t="s">
        <v>2219</v>
      </c>
      <c r="J2133" s="31" t="s">
        <v>390</v>
      </c>
      <c r="K2133" s="31" t="s">
        <v>2290</v>
      </c>
      <c r="L2133" s="31" t="s">
        <v>392</v>
      </c>
      <c r="M2133" s="31" t="s">
        <v>8513</v>
      </c>
      <c r="N2133" s="31" t="s">
        <v>267</v>
      </c>
      <c r="O2133" s="34"/>
      <c r="P2133" s="31">
        <v>1.0</v>
      </c>
      <c r="Q2133" s="31" t="s">
        <v>307</v>
      </c>
      <c r="R2133" s="32">
        <v>36779.0</v>
      </c>
      <c r="S2133" s="31" t="s">
        <v>320</v>
      </c>
      <c r="T2133" s="31" t="s">
        <v>2014</v>
      </c>
      <c r="U2133" s="31" t="s">
        <v>271</v>
      </c>
      <c r="V2133" s="34"/>
      <c r="W2133" s="34"/>
    </row>
    <row r="2134">
      <c r="A2134" s="30">
        <v>2.129</v>
      </c>
      <c r="B2134" s="31" t="s">
        <v>8514</v>
      </c>
      <c r="C2134" s="31" t="s">
        <v>8515</v>
      </c>
      <c r="D2134" s="31" t="s">
        <v>260</v>
      </c>
      <c r="E2134" s="31" t="s">
        <v>2858</v>
      </c>
      <c r="F2134" s="32">
        <v>43195.0</v>
      </c>
      <c r="G2134" s="32">
        <v>43257.0</v>
      </c>
      <c r="H2134" s="31" t="s">
        <v>2732</v>
      </c>
      <c r="I2134" s="31" t="s">
        <v>2768</v>
      </c>
      <c r="J2134" s="31" t="s">
        <v>2858</v>
      </c>
      <c r="K2134" s="31" t="s">
        <v>2859</v>
      </c>
      <c r="L2134" s="31" t="s">
        <v>392</v>
      </c>
      <c r="M2134" s="31" t="s">
        <v>8516</v>
      </c>
      <c r="N2134" s="31" t="s">
        <v>267</v>
      </c>
      <c r="O2134" s="34"/>
      <c r="P2134" s="31">
        <v>2.0</v>
      </c>
      <c r="Q2134" s="31" t="s">
        <v>307</v>
      </c>
      <c r="R2134" s="32">
        <v>35077.0</v>
      </c>
      <c r="S2134" s="31" t="s">
        <v>531</v>
      </c>
      <c r="T2134" s="31" t="s">
        <v>8517</v>
      </c>
      <c r="U2134" s="31" t="s">
        <v>2735</v>
      </c>
      <c r="V2134" s="34"/>
      <c r="W2134" s="34"/>
    </row>
    <row r="2135">
      <c r="A2135" s="30">
        <v>2.13</v>
      </c>
      <c r="B2135" s="31" t="s">
        <v>8518</v>
      </c>
      <c r="C2135" s="31" t="s">
        <v>8519</v>
      </c>
      <c r="D2135" s="31" t="s">
        <v>260</v>
      </c>
      <c r="E2135" s="31" t="s">
        <v>2858</v>
      </c>
      <c r="F2135" s="35">
        <v>44120.0</v>
      </c>
      <c r="G2135" s="35">
        <v>44180.0</v>
      </c>
      <c r="H2135" s="31" t="s">
        <v>2732</v>
      </c>
      <c r="I2135" s="31" t="s">
        <v>2768</v>
      </c>
      <c r="J2135" s="31" t="s">
        <v>2858</v>
      </c>
      <c r="K2135" s="31" t="s">
        <v>2859</v>
      </c>
      <c r="L2135" s="31" t="s">
        <v>392</v>
      </c>
      <c r="M2135" s="31" t="s">
        <v>8520</v>
      </c>
      <c r="N2135" s="31" t="s">
        <v>267</v>
      </c>
      <c r="O2135" s="34"/>
      <c r="P2135" s="31">
        <v>5.0</v>
      </c>
      <c r="Q2135" s="31" t="s">
        <v>307</v>
      </c>
      <c r="R2135" s="32">
        <v>35971.0</v>
      </c>
      <c r="S2135" s="31" t="s">
        <v>631</v>
      </c>
      <c r="T2135" s="31" t="s">
        <v>2740</v>
      </c>
      <c r="U2135" s="31" t="s">
        <v>2735</v>
      </c>
      <c r="V2135" s="34"/>
      <c r="W2135" s="34"/>
    </row>
    <row r="2136">
      <c r="A2136" s="30">
        <v>2.131</v>
      </c>
      <c r="B2136" s="31" t="s">
        <v>8521</v>
      </c>
      <c r="C2136" s="31" t="s">
        <v>8522</v>
      </c>
      <c r="D2136" s="31" t="s">
        <v>260</v>
      </c>
      <c r="E2136" s="31" t="s">
        <v>324</v>
      </c>
      <c r="F2136" s="32">
        <v>45120.0</v>
      </c>
      <c r="G2136" s="32">
        <v>45180.0</v>
      </c>
      <c r="H2136" s="31" t="s">
        <v>2811</v>
      </c>
      <c r="I2136" s="31" t="s">
        <v>326</v>
      </c>
      <c r="J2136" s="31" t="s">
        <v>324</v>
      </c>
      <c r="K2136" s="31" t="s">
        <v>4554</v>
      </c>
      <c r="L2136" s="31" t="s">
        <v>328</v>
      </c>
      <c r="M2136" s="31" t="s">
        <v>8523</v>
      </c>
      <c r="N2136" s="31" t="s">
        <v>267</v>
      </c>
      <c r="O2136" s="34"/>
      <c r="P2136" s="31">
        <v>3.0</v>
      </c>
      <c r="Q2136" s="31" t="s">
        <v>307</v>
      </c>
      <c r="R2136" s="32">
        <v>37121.0</v>
      </c>
      <c r="S2136" s="31" t="s">
        <v>1955</v>
      </c>
      <c r="T2136" s="31" t="s">
        <v>8524</v>
      </c>
      <c r="U2136" s="31" t="s">
        <v>2914</v>
      </c>
      <c r="V2136" s="34"/>
      <c r="W2136" s="34"/>
    </row>
    <row r="2137">
      <c r="A2137" s="30">
        <v>2.132</v>
      </c>
      <c r="B2137" s="31" t="s">
        <v>8525</v>
      </c>
      <c r="C2137" s="31" t="s">
        <v>8526</v>
      </c>
      <c r="D2137" s="31" t="s">
        <v>260</v>
      </c>
      <c r="E2137" s="31" t="s">
        <v>2858</v>
      </c>
      <c r="F2137" s="32">
        <v>45097.0</v>
      </c>
      <c r="G2137" s="32">
        <v>45157.0</v>
      </c>
      <c r="H2137" s="31" t="s">
        <v>2811</v>
      </c>
      <c r="I2137" s="31" t="s">
        <v>2768</v>
      </c>
      <c r="J2137" s="31" t="s">
        <v>2858</v>
      </c>
      <c r="K2137" s="31" t="s">
        <v>3074</v>
      </c>
      <c r="L2137" s="31" t="s">
        <v>392</v>
      </c>
      <c r="M2137" s="31" t="s">
        <v>8527</v>
      </c>
      <c r="N2137" s="31" t="s">
        <v>267</v>
      </c>
      <c r="O2137" s="34"/>
      <c r="P2137" s="31">
        <v>1.0</v>
      </c>
      <c r="Q2137" s="31" t="s">
        <v>307</v>
      </c>
      <c r="R2137" s="32">
        <v>37131.0</v>
      </c>
      <c r="S2137" s="31" t="s">
        <v>1369</v>
      </c>
      <c r="T2137" s="31" t="s">
        <v>7273</v>
      </c>
      <c r="U2137" s="31" t="s">
        <v>2914</v>
      </c>
      <c r="V2137" s="34"/>
      <c r="W2137" s="34"/>
    </row>
    <row r="2138">
      <c r="A2138" s="30">
        <v>2.133</v>
      </c>
      <c r="B2138" s="31" t="s">
        <v>8528</v>
      </c>
      <c r="C2138" s="31" t="s">
        <v>3839</v>
      </c>
      <c r="D2138" s="31" t="s">
        <v>648</v>
      </c>
      <c r="E2138" s="31" t="s">
        <v>8508</v>
      </c>
      <c r="F2138" s="35">
        <v>44914.0</v>
      </c>
      <c r="G2138" s="32">
        <v>44976.0</v>
      </c>
      <c r="H2138" s="31" t="s">
        <v>2811</v>
      </c>
      <c r="I2138" s="31" t="s">
        <v>153</v>
      </c>
      <c r="J2138" s="31" t="s">
        <v>8508</v>
      </c>
      <c r="K2138" s="31" t="s">
        <v>8529</v>
      </c>
      <c r="L2138" s="31" t="s">
        <v>959</v>
      </c>
      <c r="M2138" s="31" t="s">
        <v>8530</v>
      </c>
      <c r="N2138" s="31" t="s">
        <v>267</v>
      </c>
      <c r="O2138" s="34"/>
      <c r="P2138" s="31">
        <v>1.0</v>
      </c>
      <c r="Q2138" s="31" t="s">
        <v>307</v>
      </c>
      <c r="R2138" s="32">
        <v>36211.0</v>
      </c>
      <c r="S2138" s="31" t="s">
        <v>653</v>
      </c>
      <c r="T2138" s="31" t="s">
        <v>8531</v>
      </c>
      <c r="U2138" s="31" t="s">
        <v>2914</v>
      </c>
      <c r="V2138" s="34"/>
      <c r="W2138" s="34"/>
    </row>
    <row r="2139">
      <c r="A2139" s="30">
        <v>2.134</v>
      </c>
      <c r="B2139" s="31" t="s">
        <v>8532</v>
      </c>
      <c r="C2139" s="31" t="s">
        <v>8533</v>
      </c>
      <c r="D2139" s="31" t="s">
        <v>260</v>
      </c>
      <c r="E2139" s="31" t="s">
        <v>2767</v>
      </c>
      <c r="F2139" s="35">
        <v>44889.0</v>
      </c>
      <c r="G2139" s="32">
        <v>44950.0</v>
      </c>
      <c r="H2139" s="31" t="s">
        <v>2811</v>
      </c>
      <c r="I2139" s="31" t="s">
        <v>2768</v>
      </c>
      <c r="J2139" s="31" t="s">
        <v>2767</v>
      </c>
      <c r="K2139" s="31" t="s">
        <v>3080</v>
      </c>
      <c r="L2139" s="31" t="s">
        <v>392</v>
      </c>
      <c r="M2139" s="31" t="s">
        <v>8534</v>
      </c>
      <c r="N2139" s="31" t="s">
        <v>267</v>
      </c>
      <c r="O2139" s="34"/>
      <c r="P2139" s="31">
        <v>1.0</v>
      </c>
      <c r="Q2139" s="31" t="s">
        <v>307</v>
      </c>
      <c r="R2139" s="32">
        <v>36272.0</v>
      </c>
      <c r="S2139" s="31" t="s">
        <v>320</v>
      </c>
      <c r="T2139" s="31" t="s">
        <v>7273</v>
      </c>
      <c r="U2139" s="31" t="s">
        <v>2914</v>
      </c>
      <c r="V2139" s="34"/>
      <c r="W2139" s="34"/>
    </row>
    <row r="2140">
      <c r="A2140" s="30">
        <v>2.135</v>
      </c>
      <c r="B2140" s="31" t="s">
        <v>8535</v>
      </c>
      <c r="C2140" s="31" t="s">
        <v>8536</v>
      </c>
      <c r="D2140" s="31" t="s">
        <v>648</v>
      </c>
      <c r="E2140" s="31" t="s">
        <v>1636</v>
      </c>
      <c r="F2140" s="32">
        <v>44725.0</v>
      </c>
      <c r="G2140" s="32">
        <v>44786.0</v>
      </c>
      <c r="H2140" s="31" t="s">
        <v>2811</v>
      </c>
      <c r="I2140" s="31" t="s">
        <v>153</v>
      </c>
      <c r="J2140" s="31" t="s">
        <v>1636</v>
      </c>
      <c r="K2140" s="31" t="s">
        <v>7253</v>
      </c>
      <c r="L2140" s="31" t="s">
        <v>651</v>
      </c>
      <c r="M2140" s="31" t="s">
        <v>8537</v>
      </c>
      <c r="N2140" s="31" t="s">
        <v>267</v>
      </c>
      <c r="O2140" s="34"/>
      <c r="P2140" s="31">
        <v>2.0</v>
      </c>
      <c r="Q2140" s="31" t="s">
        <v>307</v>
      </c>
      <c r="R2140" s="35">
        <v>36809.0</v>
      </c>
      <c r="S2140" s="31" t="s">
        <v>653</v>
      </c>
      <c r="T2140" s="31" t="s">
        <v>8538</v>
      </c>
      <c r="U2140" s="31" t="s">
        <v>2914</v>
      </c>
      <c r="V2140" s="34"/>
      <c r="W2140" s="34"/>
    </row>
    <row r="2141">
      <c r="A2141" s="30">
        <v>2.136</v>
      </c>
      <c r="B2141" s="31" t="s">
        <v>8539</v>
      </c>
      <c r="C2141" s="31" t="s">
        <v>8540</v>
      </c>
      <c r="D2141" s="31" t="s">
        <v>260</v>
      </c>
      <c r="E2141" s="31" t="s">
        <v>2767</v>
      </c>
      <c r="F2141" s="32">
        <v>44652.0</v>
      </c>
      <c r="G2141" s="32">
        <v>44713.0</v>
      </c>
      <c r="H2141" s="31" t="s">
        <v>2811</v>
      </c>
      <c r="I2141" s="31" t="s">
        <v>2768</v>
      </c>
      <c r="J2141" s="31" t="s">
        <v>2767</v>
      </c>
      <c r="K2141" s="31" t="s">
        <v>3080</v>
      </c>
      <c r="L2141" s="31" t="s">
        <v>392</v>
      </c>
      <c r="M2141" s="31" t="s">
        <v>8541</v>
      </c>
      <c r="N2141" s="31" t="s">
        <v>267</v>
      </c>
      <c r="O2141" s="34"/>
      <c r="P2141" s="31">
        <v>1.0</v>
      </c>
      <c r="Q2141" s="31" t="s">
        <v>307</v>
      </c>
      <c r="R2141" s="32">
        <v>34038.0</v>
      </c>
      <c r="S2141" s="31" t="s">
        <v>8542</v>
      </c>
      <c r="T2141" s="31" t="s">
        <v>8543</v>
      </c>
      <c r="U2141" s="31" t="s">
        <v>2914</v>
      </c>
      <c r="V2141" s="34"/>
      <c r="W2141" s="34"/>
    </row>
    <row r="2142">
      <c r="A2142" s="30">
        <v>2.137</v>
      </c>
      <c r="B2142" s="31" t="s">
        <v>8544</v>
      </c>
      <c r="C2142" s="31" t="s">
        <v>841</v>
      </c>
      <c r="D2142" s="31" t="s">
        <v>506</v>
      </c>
      <c r="E2142" s="31" t="s">
        <v>8545</v>
      </c>
      <c r="F2142" s="35">
        <v>44543.0</v>
      </c>
      <c r="G2142" s="32">
        <v>44605.0</v>
      </c>
      <c r="H2142" s="31" t="s">
        <v>303</v>
      </c>
      <c r="I2142" s="31" t="s">
        <v>335</v>
      </c>
      <c r="J2142" s="31" t="s">
        <v>2079</v>
      </c>
      <c r="K2142" s="31" t="s">
        <v>8546</v>
      </c>
      <c r="L2142" s="31" t="s">
        <v>8547</v>
      </c>
      <c r="M2142" s="31" t="s">
        <v>8548</v>
      </c>
      <c r="N2142" s="31" t="s">
        <v>267</v>
      </c>
      <c r="O2142" s="34"/>
      <c r="P2142" s="31">
        <v>3.0</v>
      </c>
      <c r="Q2142" s="31" t="s">
        <v>307</v>
      </c>
      <c r="R2142" s="32">
        <v>36354.0</v>
      </c>
      <c r="S2142" s="31" t="s">
        <v>681</v>
      </c>
      <c r="T2142" s="31" t="s">
        <v>744</v>
      </c>
      <c r="U2142" s="31" t="s">
        <v>352</v>
      </c>
      <c r="V2142" s="31" t="s">
        <v>8545</v>
      </c>
      <c r="W2142" s="34"/>
    </row>
    <row r="2143">
      <c r="A2143" s="30">
        <v>2.138</v>
      </c>
      <c r="B2143" s="31" t="s">
        <v>8549</v>
      </c>
      <c r="C2143" s="31" t="s">
        <v>5345</v>
      </c>
      <c r="D2143" s="31" t="s">
        <v>260</v>
      </c>
      <c r="E2143" s="31" t="s">
        <v>2810</v>
      </c>
      <c r="F2143" s="32">
        <v>44137.0</v>
      </c>
      <c r="G2143" s="32">
        <v>44197.0</v>
      </c>
      <c r="H2143" s="31" t="s">
        <v>2811</v>
      </c>
      <c r="I2143" s="31" t="s">
        <v>2810</v>
      </c>
      <c r="J2143" s="34"/>
      <c r="K2143" s="31" t="s">
        <v>2812</v>
      </c>
      <c r="L2143" s="31" t="s">
        <v>2965</v>
      </c>
      <c r="M2143" s="31" t="s">
        <v>8550</v>
      </c>
      <c r="N2143" s="31" t="s">
        <v>267</v>
      </c>
      <c r="O2143" s="34"/>
      <c r="P2143" s="31">
        <v>1.0</v>
      </c>
      <c r="Q2143" s="31" t="s">
        <v>307</v>
      </c>
      <c r="R2143" s="35">
        <v>36110.0</v>
      </c>
      <c r="S2143" s="31" t="s">
        <v>531</v>
      </c>
      <c r="T2143" s="31" t="s">
        <v>4722</v>
      </c>
      <c r="U2143" s="31" t="s">
        <v>2914</v>
      </c>
      <c r="V2143" s="34"/>
      <c r="W2143" s="34"/>
    </row>
    <row r="2144">
      <c r="A2144" s="30">
        <v>2.139</v>
      </c>
      <c r="B2144" s="31" t="s">
        <v>8551</v>
      </c>
      <c r="C2144" s="31" t="s">
        <v>8552</v>
      </c>
      <c r="D2144" s="31" t="s">
        <v>260</v>
      </c>
      <c r="E2144" s="31" t="s">
        <v>2858</v>
      </c>
      <c r="F2144" s="32">
        <v>43381.0</v>
      </c>
      <c r="G2144" s="32">
        <v>43442.0</v>
      </c>
      <c r="H2144" s="31" t="s">
        <v>2811</v>
      </c>
      <c r="I2144" s="31" t="s">
        <v>2768</v>
      </c>
      <c r="J2144" s="31" t="s">
        <v>2858</v>
      </c>
      <c r="K2144" s="31" t="s">
        <v>3074</v>
      </c>
      <c r="L2144" s="31" t="s">
        <v>392</v>
      </c>
      <c r="M2144" s="31" t="s">
        <v>8553</v>
      </c>
      <c r="N2144" s="31" t="s">
        <v>267</v>
      </c>
      <c r="O2144" s="34"/>
      <c r="P2144" s="31">
        <v>5.0</v>
      </c>
      <c r="Q2144" s="31" t="s">
        <v>307</v>
      </c>
      <c r="R2144" s="32">
        <v>35091.0</v>
      </c>
      <c r="S2144" s="31" t="s">
        <v>320</v>
      </c>
      <c r="T2144" s="31" t="s">
        <v>7255</v>
      </c>
      <c r="U2144" s="31" t="s">
        <v>2914</v>
      </c>
      <c r="V2144" s="34"/>
      <c r="W2144" s="34"/>
    </row>
    <row r="2145">
      <c r="A2145" s="30">
        <v>2.14</v>
      </c>
      <c r="B2145" s="31" t="s">
        <v>8554</v>
      </c>
      <c r="C2145" s="31" t="s">
        <v>8555</v>
      </c>
      <c r="D2145" s="31" t="s">
        <v>260</v>
      </c>
      <c r="E2145" s="31" t="s">
        <v>324</v>
      </c>
      <c r="F2145" s="32">
        <v>44312.0</v>
      </c>
      <c r="G2145" s="32">
        <v>44373.0</v>
      </c>
      <c r="H2145" s="31" t="s">
        <v>2811</v>
      </c>
      <c r="I2145" s="31" t="s">
        <v>326</v>
      </c>
      <c r="J2145" s="31" t="s">
        <v>324</v>
      </c>
      <c r="K2145" s="31" t="s">
        <v>4554</v>
      </c>
      <c r="L2145" s="31" t="s">
        <v>328</v>
      </c>
      <c r="M2145" s="31" t="s">
        <v>8556</v>
      </c>
      <c r="N2145" s="31" t="s">
        <v>267</v>
      </c>
      <c r="O2145" s="34"/>
      <c r="P2145" s="31">
        <v>5.0</v>
      </c>
      <c r="Q2145" s="31" t="s">
        <v>307</v>
      </c>
      <c r="R2145" s="32">
        <v>35065.0</v>
      </c>
      <c r="S2145" s="31" t="s">
        <v>320</v>
      </c>
      <c r="T2145" s="31" t="s">
        <v>8557</v>
      </c>
      <c r="U2145" s="31" t="s">
        <v>2914</v>
      </c>
      <c r="V2145" s="34"/>
      <c r="W2145" s="34"/>
    </row>
    <row r="2146">
      <c r="A2146" s="30">
        <v>2.141</v>
      </c>
      <c r="B2146" s="31" t="s">
        <v>8558</v>
      </c>
      <c r="C2146" s="31" t="s">
        <v>8559</v>
      </c>
      <c r="D2146" s="31" t="s">
        <v>506</v>
      </c>
      <c r="E2146" s="31" t="s">
        <v>4713</v>
      </c>
      <c r="F2146" s="32">
        <v>43628.0</v>
      </c>
      <c r="G2146" s="32">
        <v>43689.0</v>
      </c>
      <c r="H2146" s="31" t="s">
        <v>303</v>
      </c>
      <c r="I2146" s="31" t="s">
        <v>335</v>
      </c>
      <c r="J2146" s="31" t="s">
        <v>2079</v>
      </c>
      <c r="K2146" s="31" t="s">
        <v>4714</v>
      </c>
      <c r="L2146" s="31" t="s">
        <v>4715</v>
      </c>
      <c r="M2146" s="31" t="s">
        <v>8560</v>
      </c>
      <c r="N2146" s="31" t="s">
        <v>267</v>
      </c>
      <c r="O2146" s="34"/>
      <c r="P2146" s="34"/>
      <c r="Q2146" s="31" t="s">
        <v>307</v>
      </c>
      <c r="R2146" s="32">
        <v>34867.0</v>
      </c>
      <c r="S2146" s="31" t="s">
        <v>700</v>
      </c>
      <c r="T2146" s="31" t="s">
        <v>3699</v>
      </c>
      <c r="U2146" s="31" t="s">
        <v>352</v>
      </c>
      <c r="V2146" s="31" t="s">
        <v>4713</v>
      </c>
      <c r="W2146" s="34"/>
    </row>
    <row r="2147">
      <c r="A2147" s="30">
        <v>2.142</v>
      </c>
      <c r="B2147" s="31" t="s">
        <v>8561</v>
      </c>
      <c r="C2147" s="31" t="s">
        <v>8562</v>
      </c>
      <c r="D2147" s="31" t="s">
        <v>260</v>
      </c>
      <c r="E2147" s="31" t="s">
        <v>2767</v>
      </c>
      <c r="F2147" s="32">
        <v>44370.0</v>
      </c>
      <c r="G2147" s="32">
        <v>44431.0</v>
      </c>
      <c r="H2147" s="31" t="s">
        <v>2811</v>
      </c>
      <c r="I2147" s="31" t="s">
        <v>2768</v>
      </c>
      <c r="J2147" s="31" t="s">
        <v>2767</v>
      </c>
      <c r="K2147" s="31" t="s">
        <v>3080</v>
      </c>
      <c r="L2147" s="31" t="s">
        <v>392</v>
      </c>
      <c r="M2147" s="31" t="s">
        <v>8563</v>
      </c>
      <c r="N2147" s="31" t="s">
        <v>267</v>
      </c>
      <c r="O2147" s="34"/>
      <c r="P2147" s="31">
        <v>2.0</v>
      </c>
      <c r="Q2147" s="31" t="s">
        <v>307</v>
      </c>
      <c r="R2147" s="32">
        <v>35925.0</v>
      </c>
      <c r="S2147" s="31" t="s">
        <v>537</v>
      </c>
      <c r="T2147" s="31" t="s">
        <v>4722</v>
      </c>
      <c r="U2147" s="31" t="s">
        <v>2914</v>
      </c>
      <c r="V2147" s="34"/>
      <c r="W2147" s="34"/>
    </row>
    <row r="2148">
      <c r="A2148" s="30">
        <v>2.143</v>
      </c>
      <c r="B2148" s="31" t="s">
        <v>8564</v>
      </c>
      <c r="C2148" s="31" t="s">
        <v>2204</v>
      </c>
      <c r="D2148" s="31" t="s">
        <v>260</v>
      </c>
      <c r="E2148" s="31" t="s">
        <v>2810</v>
      </c>
      <c r="F2148" s="32">
        <v>43536.0</v>
      </c>
      <c r="G2148" s="32">
        <v>43598.0</v>
      </c>
      <c r="H2148" s="31" t="s">
        <v>2811</v>
      </c>
      <c r="I2148" s="31" t="s">
        <v>2810</v>
      </c>
      <c r="J2148" s="34"/>
      <c r="K2148" s="31" t="s">
        <v>2812</v>
      </c>
      <c r="L2148" s="31" t="s">
        <v>2965</v>
      </c>
      <c r="M2148" s="31" t="s">
        <v>8565</v>
      </c>
      <c r="N2148" s="31" t="s">
        <v>267</v>
      </c>
      <c r="O2148" s="34"/>
      <c r="P2148" s="31">
        <v>4.0</v>
      </c>
      <c r="Q2148" s="31" t="s">
        <v>307</v>
      </c>
      <c r="R2148" s="32">
        <v>35320.0</v>
      </c>
      <c r="S2148" s="31" t="s">
        <v>320</v>
      </c>
      <c r="T2148" s="31" t="s">
        <v>7087</v>
      </c>
      <c r="U2148" s="31" t="s">
        <v>2914</v>
      </c>
      <c r="V2148" s="34"/>
      <c r="W2148" s="34"/>
    </row>
    <row r="2149">
      <c r="A2149" s="30">
        <v>2.144</v>
      </c>
      <c r="B2149" s="31" t="s">
        <v>8566</v>
      </c>
      <c r="C2149" s="31" t="s">
        <v>8567</v>
      </c>
      <c r="D2149" s="31" t="s">
        <v>260</v>
      </c>
      <c r="E2149" s="31" t="s">
        <v>2760</v>
      </c>
      <c r="F2149" s="35">
        <v>43795.0</v>
      </c>
      <c r="G2149" s="32">
        <v>43857.0</v>
      </c>
      <c r="H2149" s="31" t="s">
        <v>2811</v>
      </c>
      <c r="I2149" s="31" t="s">
        <v>2909</v>
      </c>
      <c r="J2149" s="31" t="s">
        <v>2760</v>
      </c>
      <c r="K2149" s="31" t="s">
        <v>7678</v>
      </c>
      <c r="L2149" s="31" t="s">
        <v>891</v>
      </c>
      <c r="M2149" s="31" t="s">
        <v>8568</v>
      </c>
      <c r="N2149" s="31" t="s">
        <v>267</v>
      </c>
      <c r="O2149" s="34"/>
      <c r="P2149" s="31">
        <v>4.0</v>
      </c>
      <c r="Q2149" s="31" t="s">
        <v>307</v>
      </c>
      <c r="R2149" s="32">
        <v>35155.0</v>
      </c>
      <c r="S2149" s="31" t="s">
        <v>320</v>
      </c>
      <c r="T2149" s="31" t="s">
        <v>7446</v>
      </c>
      <c r="U2149" s="31" t="s">
        <v>2914</v>
      </c>
      <c r="V2149" s="34"/>
      <c r="W2149" s="34"/>
    </row>
    <row r="2150">
      <c r="A2150" s="30">
        <v>2.145</v>
      </c>
      <c r="B2150" s="31" t="s">
        <v>8569</v>
      </c>
      <c r="C2150" s="31" t="s">
        <v>8570</v>
      </c>
      <c r="D2150" s="31" t="s">
        <v>648</v>
      </c>
      <c r="E2150" s="31" t="s">
        <v>2781</v>
      </c>
      <c r="F2150" s="35">
        <v>42725.0</v>
      </c>
      <c r="G2150" s="32">
        <v>42786.0</v>
      </c>
      <c r="H2150" s="31" t="s">
        <v>2811</v>
      </c>
      <c r="I2150" s="31" t="s">
        <v>153</v>
      </c>
      <c r="J2150" s="31" t="s">
        <v>2781</v>
      </c>
      <c r="K2150" s="31" t="s">
        <v>7597</v>
      </c>
      <c r="L2150" s="31" t="s">
        <v>663</v>
      </c>
      <c r="M2150" s="31" t="s">
        <v>8571</v>
      </c>
      <c r="N2150" s="31" t="s">
        <v>467</v>
      </c>
      <c r="O2150" s="34"/>
      <c r="P2150" s="31">
        <v>7.0</v>
      </c>
      <c r="Q2150" s="31" t="s">
        <v>307</v>
      </c>
      <c r="R2150" s="35">
        <v>32466.0</v>
      </c>
      <c r="S2150" s="31" t="s">
        <v>626</v>
      </c>
      <c r="T2150" s="31" t="s">
        <v>8572</v>
      </c>
      <c r="U2150" s="31" t="s">
        <v>2914</v>
      </c>
      <c r="V2150" s="34"/>
      <c r="W2150" s="34"/>
    </row>
    <row r="2151">
      <c r="A2151" s="30">
        <v>2.146</v>
      </c>
      <c r="B2151" s="31" t="s">
        <v>8573</v>
      </c>
      <c r="C2151" s="31" t="s">
        <v>8574</v>
      </c>
      <c r="D2151" s="31" t="s">
        <v>506</v>
      </c>
      <c r="E2151" s="31" t="s">
        <v>8545</v>
      </c>
      <c r="F2151" s="35">
        <v>43798.0</v>
      </c>
      <c r="G2151" s="32">
        <v>43859.0</v>
      </c>
      <c r="H2151" s="31" t="s">
        <v>303</v>
      </c>
      <c r="I2151" s="31" t="s">
        <v>335</v>
      </c>
      <c r="J2151" s="31" t="s">
        <v>2079</v>
      </c>
      <c r="K2151" s="31" t="s">
        <v>8546</v>
      </c>
      <c r="L2151" s="31" t="s">
        <v>8547</v>
      </c>
      <c r="M2151" s="31" t="s">
        <v>8575</v>
      </c>
      <c r="N2151" s="31" t="s">
        <v>267</v>
      </c>
      <c r="O2151" s="34"/>
      <c r="P2151" s="31">
        <v>4.0</v>
      </c>
      <c r="Q2151" s="31" t="s">
        <v>307</v>
      </c>
      <c r="R2151" s="32">
        <v>34711.0</v>
      </c>
      <c r="S2151" s="31" t="s">
        <v>838</v>
      </c>
      <c r="T2151" s="31" t="s">
        <v>744</v>
      </c>
      <c r="U2151" s="31" t="s">
        <v>352</v>
      </c>
      <c r="V2151" s="31" t="s">
        <v>8545</v>
      </c>
      <c r="W2151" s="34"/>
    </row>
    <row r="2152">
      <c r="A2152" s="30">
        <v>2.147</v>
      </c>
      <c r="B2152" s="31" t="s">
        <v>8576</v>
      </c>
      <c r="C2152" s="31" t="s">
        <v>8577</v>
      </c>
      <c r="D2152" s="31" t="s">
        <v>8578</v>
      </c>
      <c r="E2152" s="31" t="s">
        <v>326</v>
      </c>
      <c r="F2152" s="35">
        <v>43066.0</v>
      </c>
      <c r="G2152" s="32">
        <v>43127.0</v>
      </c>
      <c r="H2152" s="31" t="s">
        <v>2811</v>
      </c>
      <c r="I2152" s="31" t="s">
        <v>326</v>
      </c>
      <c r="J2152" s="34"/>
      <c r="K2152" s="31" t="s">
        <v>8579</v>
      </c>
      <c r="L2152" s="36" t="s">
        <v>8580</v>
      </c>
      <c r="M2152" s="31" t="s">
        <v>8581</v>
      </c>
      <c r="N2152" s="31" t="s">
        <v>267</v>
      </c>
      <c r="O2152" s="31">
        <v>2.0</v>
      </c>
      <c r="P2152" s="31">
        <v>1.0</v>
      </c>
      <c r="Q2152" s="31" t="s">
        <v>307</v>
      </c>
      <c r="R2152" s="32">
        <v>34802.0</v>
      </c>
      <c r="S2152" s="31" t="s">
        <v>531</v>
      </c>
      <c r="T2152" s="31" t="s">
        <v>8582</v>
      </c>
      <c r="U2152" s="31" t="s">
        <v>2914</v>
      </c>
      <c r="V2152" s="34"/>
      <c r="W2152" s="34"/>
    </row>
    <row r="2153">
      <c r="A2153" s="30">
        <v>2.148</v>
      </c>
      <c r="B2153" s="31" t="s">
        <v>8583</v>
      </c>
      <c r="C2153" s="31" t="s">
        <v>3236</v>
      </c>
      <c r="D2153" s="31" t="s">
        <v>506</v>
      </c>
      <c r="E2153" s="31" t="s">
        <v>4713</v>
      </c>
      <c r="F2153" s="35">
        <v>43780.0</v>
      </c>
      <c r="G2153" s="32">
        <v>43841.0</v>
      </c>
      <c r="H2153" s="31" t="s">
        <v>303</v>
      </c>
      <c r="I2153" s="31" t="s">
        <v>335</v>
      </c>
      <c r="J2153" s="31" t="s">
        <v>2079</v>
      </c>
      <c r="K2153" s="31" t="s">
        <v>4714</v>
      </c>
      <c r="L2153" s="31" t="s">
        <v>4715</v>
      </c>
      <c r="M2153" s="31" t="s">
        <v>8584</v>
      </c>
      <c r="N2153" s="31" t="s">
        <v>267</v>
      </c>
      <c r="O2153" s="34"/>
      <c r="P2153" s="34"/>
      <c r="Q2153" s="31" t="s">
        <v>307</v>
      </c>
      <c r="R2153" s="32">
        <v>35710.0</v>
      </c>
      <c r="S2153" s="31" t="s">
        <v>531</v>
      </c>
      <c r="T2153" s="31" t="s">
        <v>744</v>
      </c>
      <c r="U2153" s="31" t="s">
        <v>352</v>
      </c>
      <c r="V2153" s="31" t="s">
        <v>4713</v>
      </c>
      <c r="W2153" s="34"/>
    </row>
    <row r="2154">
      <c r="A2154" s="30">
        <v>2.149</v>
      </c>
      <c r="B2154" s="31" t="s">
        <v>8585</v>
      </c>
      <c r="C2154" s="31" t="s">
        <v>8586</v>
      </c>
      <c r="D2154" s="31" t="s">
        <v>260</v>
      </c>
      <c r="E2154" s="31" t="s">
        <v>324</v>
      </c>
      <c r="F2154" s="32">
        <v>44287.0</v>
      </c>
      <c r="G2154" s="32">
        <v>44348.0</v>
      </c>
      <c r="H2154" s="31" t="s">
        <v>2811</v>
      </c>
      <c r="I2154" s="31" t="s">
        <v>326</v>
      </c>
      <c r="J2154" s="31" t="s">
        <v>324</v>
      </c>
      <c r="K2154" s="31" t="s">
        <v>4554</v>
      </c>
      <c r="L2154" s="31" t="s">
        <v>328</v>
      </c>
      <c r="M2154" s="31" t="s">
        <v>8587</v>
      </c>
      <c r="N2154" s="31" t="s">
        <v>267</v>
      </c>
      <c r="O2154" s="34"/>
      <c r="P2154" s="31">
        <v>2.0</v>
      </c>
      <c r="Q2154" s="31" t="s">
        <v>307</v>
      </c>
      <c r="R2154" s="35">
        <v>35355.0</v>
      </c>
      <c r="S2154" s="31" t="s">
        <v>531</v>
      </c>
      <c r="T2154" s="31" t="s">
        <v>7255</v>
      </c>
      <c r="U2154" s="31" t="s">
        <v>2914</v>
      </c>
      <c r="V2154" s="34"/>
      <c r="W2154" s="34"/>
    </row>
    <row r="2155">
      <c r="A2155" s="30">
        <v>2.15</v>
      </c>
      <c r="B2155" s="31" t="s">
        <v>8588</v>
      </c>
      <c r="C2155" s="31" t="s">
        <v>8589</v>
      </c>
      <c r="D2155" s="31" t="s">
        <v>260</v>
      </c>
      <c r="E2155" s="31" t="s">
        <v>2760</v>
      </c>
      <c r="F2155" s="32">
        <v>44020.0</v>
      </c>
      <c r="G2155" s="32">
        <v>44082.0</v>
      </c>
      <c r="H2155" s="31" t="s">
        <v>2811</v>
      </c>
      <c r="I2155" s="31" t="s">
        <v>2909</v>
      </c>
      <c r="J2155" s="31" t="s">
        <v>2760</v>
      </c>
      <c r="K2155" s="31" t="s">
        <v>7678</v>
      </c>
      <c r="L2155" s="31" t="s">
        <v>891</v>
      </c>
      <c r="M2155" s="31" t="s">
        <v>8590</v>
      </c>
      <c r="N2155" s="31" t="s">
        <v>267</v>
      </c>
      <c r="O2155" s="34"/>
      <c r="P2155" s="31">
        <v>6.0</v>
      </c>
      <c r="Q2155" s="31" t="s">
        <v>307</v>
      </c>
      <c r="R2155" s="32">
        <v>35824.0</v>
      </c>
      <c r="S2155" s="31" t="s">
        <v>626</v>
      </c>
      <c r="T2155" s="31" t="s">
        <v>8100</v>
      </c>
      <c r="U2155" s="31" t="s">
        <v>2914</v>
      </c>
      <c r="V2155" s="34"/>
      <c r="W2155" s="34"/>
    </row>
    <row r="2156">
      <c r="A2156" s="30">
        <v>2.151</v>
      </c>
      <c r="B2156" s="31" t="s">
        <v>8591</v>
      </c>
      <c r="C2156" s="31" t="s">
        <v>8592</v>
      </c>
      <c r="D2156" s="31" t="s">
        <v>260</v>
      </c>
      <c r="E2156" s="31" t="s">
        <v>2810</v>
      </c>
      <c r="F2156" s="35">
        <v>40868.0</v>
      </c>
      <c r="G2156" s="32">
        <v>40909.0</v>
      </c>
      <c r="H2156" s="31" t="s">
        <v>2811</v>
      </c>
      <c r="I2156" s="31" t="s">
        <v>2810</v>
      </c>
      <c r="J2156" s="34"/>
      <c r="K2156" s="31" t="s">
        <v>2812</v>
      </c>
      <c r="L2156" s="31" t="s">
        <v>2965</v>
      </c>
      <c r="M2156" s="31" t="s">
        <v>8593</v>
      </c>
      <c r="N2156" s="31" t="s">
        <v>267</v>
      </c>
      <c r="O2156" s="34"/>
      <c r="P2156" s="31">
        <v>1.0</v>
      </c>
      <c r="Q2156" s="31" t="s">
        <v>307</v>
      </c>
      <c r="R2156" s="32">
        <v>32683.0</v>
      </c>
      <c r="S2156" s="31" t="s">
        <v>531</v>
      </c>
      <c r="T2156" s="31" t="s">
        <v>4722</v>
      </c>
      <c r="U2156" s="31" t="s">
        <v>2914</v>
      </c>
      <c r="V2156" s="34"/>
      <c r="W2156" s="34"/>
    </row>
    <row r="2157">
      <c r="A2157" s="30">
        <v>2.152</v>
      </c>
      <c r="B2157" s="31" t="s">
        <v>8594</v>
      </c>
      <c r="C2157" s="31" t="s">
        <v>8595</v>
      </c>
      <c r="D2157" s="31" t="s">
        <v>760</v>
      </c>
      <c r="E2157" s="31" t="s">
        <v>8545</v>
      </c>
      <c r="F2157" s="35">
        <v>43755.0</v>
      </c>
      <c r="G2157" s="35">
        <v>43816.0</v>
      </c>
      <c r="H2157" s="31" t="s">
        <v>303</v>
      </c>
      <c r="I2157" s="31" t="s">
        <v>335</v>
      </c>
      <c r="J2157" s="31" t="s">
        <v>2079</v>
      </c>
      <c r="K2157" s="31" t="s">
        <v>8546</v>
      </c>
      <c r="L2157" s="31" t="s">
        <v>8596</v>
      </c>
      <c r="M2157" s="31" t="s">
        <v>8597</v>
      </c>
      <c r="N2157" s="31" t="s">
        <v>267</v>
      </c>
      <c r="O2157" s="31">
        <v>1.0</v>
      </c>
      <c r="P2157" s="31">
        <v>6.0</v>
      </c>
      <c r="Q2157" s="31" t="s">
        <v>307</v>
      </c>
      <c r="R2157" s="32">
        <v>34927.0</v>
      </c>
      <c r="S2157" s="31" t="s">
        <v>531</v>
      </c>
      <c r="T2157" s="31" t="s">
        <v>1370</v>
      </c>
      <c r="U2157" s="31" t="s">
        <v>352</v>
      </c>
      <c r="V2157" s="31" t="s">
        <v>8545</v>
      </c>
      <c r="W2157" s="34"/>
    </row>
    <row r="2158">
      <c r="A2158" s="30">
        <v>2.153</v>
      </c>
      <c r="B2158" s="31" t="s">
        <v>8598</v>
      </c>
      <c r="C2158" s="31" t="s">
        <v>8599</v>
      </c>
      <c r="D2158" s="31" t="s">
        <v>260</v>
      </c>
      <c r="E2158" s="31" t="s">
        <v>324</v>
      </c>
      <c r="F2158" s="32">
        <v>43972.0</v>
      </c>
      <c r="G2158" s="32">
        <v>44033.0</v>
      </c>
      <c r="H2158" s="31" t="s">
        <v>2811</v>
      </c>
      <c r="I2158" s="31" t="s">
        <v>326</v>
      </c>
      <c r="J2158" s="31" t="s">
        <v>324</v>
      </c>
      <c r="K2158" s="31" t="s">
        <v>4554</v>
      </c>
      <c r="L2158" s="31" t="s">
        <v>328</v>
      </c>
      <c r="M2158" s="31" t="s">
        <v>8600</v>
      </c>
      <c r="N2158" s="31" t="s">
        <v>267</v>
      </c>
      <c r="O2158" s="34"/>
      <c r="P2158" s="31">
        <v>8.0</v>
      </c>
      <c r="Q2158" s="31" t="s">
        <v>307</v>
      </c>
      <c r="R2158" s="32">
        <v>34525.0</v>
      </c>
      <c r="S2158" s="31" t="s">
        <v>531</v>
      </c>
      <c r="T2158" s="31" t="s">
        <v>8601</v>
      </c>
      <c r="U2158" s="31" t="s">
        <v>2914</v>
      </c>
      <c r="V2158" s="34"/>
      <c r="W2158" s="34"/>
    </row>
    <row r="2159">
      <c r="A2159" s="30">
        <v>2.154</v>
      </c>
      <c r="B2159" s="31" t="s">
        <v>8602</v>
      </c>
      <c r="C2159" s="31" t="s">
        <v>8603</v>
      </c>
      <c r="D2159" s="31" t="s">
        <v>260</v>
      </c>
      <c r="E2159" s="31" t="s">
        <v>2760</v>
      </c>
      <c r="F2159" s="32">
        <v>43936.0</v>
      </c>
      <c r="G2159" s="32">
        <v>43998.0</v>
      </c>
      <c r="H2159" s="31" t="s">
        <v>2811</v>
      </c>
      <c r="I2159" s="31" t="s">
        <v>2909</v>
      </c>
      <c r="J2159" s="31" t="s">
        <v>2760</v>
      </c>
      <c r="K2159" s="31" t="s">
        <v>7678</v>
      </c>
      <c r="L2159" s="31" t="s">
        <v>891</v>
      </c>
      <c r="M2159" s="31" t="s">
        <v>8604</v>
      </c>
      <c r="N2159" s="31" t="s">
        <v>267</v>
      </c>
      <c r="O2159" s="34"/>
      <c r="P2159" s="31">
        <v>4.0</v>
      </c>
      <c r="Q2159" s="31" t="s">
        <v>307</v>
      </c>
      <c r="R2159" s="32">
        <v>35219.0</v>
      </c>
      <c r="S2159" s="31" t="s">
        <v>893</v>
      </c>
      <c r="T2159" s="31" t="s">
        <v>8605</v>
      </c>
      <c r="U2159" s="31" t="s">
        <v>2914</v>
      </c>
      <c r="V2159" s="34"/>
      <c r="W2159" s="34"/>
    </row>
    <row r="2160">
      <c r="A2160" s="30">
        <v>2.155</v>
      </c>
      <c r="B2160" s="31" t="s">
        <v>8606</v>
      </c>
      <c r="C2160" s="31" t="s">
        <v>8607</v>
      </c>
      <c r="D2160" s="31" t="s">
        <v>260</v>
      </c>
      <c r="E2160" s="31" t="s">
        <v>2858</v>
      </c>
      <c r="F2160" s="35">
        <v>44126.0</v>
      </c>
      <c r="G2160" s="35">
        <v>44187.0</v>
      </c>
      <c r="H2160" s="31" t="s">
        <v>2811</v>
      </c>
      <c r="I2160" s="31" t="s">
        <v>2768</v>
      </c>
      <c r="J2160" s="31" t="s">
        <v>2858</v>
      </c>
      <c r="K2160" s="31" t="s">
        <v>3074</v>
      </c>
      <c r="L2160" s="31" t="s">
        <v>392</v>
      </c>
      <c r="M2160" s="31" t="s">
        <v>8608</v>
      </c>
      <c r="N2160" s="31" t="s">
        <v>267</v>
      </c>
      <c r="O2160" s="34"/>
      <c r="P2160" s="31">
        <v>7.0</v>
      </c>
      <c r="Q2160" s="31" t="s">
        <v>307</v>
      </c>
      <c r="R2160" s="35">
        <v>34315.0</v>
      </c>
      <c r="S2160" s="31" t="s">
        <v>531</v>
      </c>
      <c r="T2160" s="31" t="s">
        <v>8609</v>
      </c>
      <c r="U2160" s="31" t="s">
        <v>2914</v>
      </c>
      <c r="V2160" s="34"/>
      <c r="W2160" s="34"/>
    </row>
    <row r="2161">
      <c r="A2161" s="30">
        <v>2.156</v>
      </c>
      <c r="B2161" s="31" t="s">
        <v>8610</v>
      </c>
      <c r="C2161" s="31" t="s">
        <v>8611</v>
      </c>
      <c r="D2161" s="31" t="s">
        <v>765</v>
      </c>
      <c r="E2161" s="31" t="s">
        <v>8612</v>
      </c>
      <c r="F2161" s="35">
        <v>43067.0</v>
      </c>
      <c r="G2161" s="32">
        <v>43129.0</v>
      </c>
      <c r="H2161" s="31" t="s">
        <v>2811</v>
      </c>
      <c r="I2161" s="31" t="s">
        <v>326</v>
      </c>
      <c r="J2161" s="31" t="s">
        <v>8612</v>
      </c>
      <c r="K2161" s="31" t="s">
        <v>8613</v>
      </c>
      <c r="L2161" s="31" t="s">
        <v>769</v>
      </c>
      <c r="M2161" s="31" t="s">
        <v>8614</v>
      </c>
      <c r="N2161" s="31" t="s">
        <v>267</v>
      </c>
      <c r="O2161" s="34"/>
      <c r="P2161" s="31">
        <v>3.0</v>
      </c>
      <c r="Q2161" s="31" t="s">
        <v>307</v>
      </c>
      <c r="R2161" s="35">
        <v>34680.0</v>
      </c>
      <c r="S2161" s="31" t="s">
        <v>531</v>
      </c>
      <c r="T2161" s="31" t="s">
        <v>5589</v>
      </c>
      <c r="U2161" s="31" t="s">
        <v>2914</v>
      </c>
      <c r="V2161" s="34"/>
      <c r="W2161" s="34"/>
    </row>
    <row r="2162">
      <c r="A2162" s="30">
        <v>2.157</v>
      </c>
      <c r="B2162" s="31" t="s">
        <v>8615</v>
      </c>
      <c r="C2162" s="31" t="s">
        <v>8616</v>
      </c>
      <c r="D2162" s="31" t="s">
        <v>260</v>
      </c>
      <c r="E2162" s="31" t="s">
        <v>2767</v>
      </c>
      <c r="F2162" s="32">
        <v>43678.0</v>
      </c>
      <c r="G2162" s="32">
        <v>43739.0</v>
      </c>
      <c r="H2162" s="31" t="s">
        <v>2811</v>
      </c>
      <c r="I2162" s="31" t="s">
        <v>2768</v>
      </c>
      <c r="J2162" s="31" t="s">
        <v>2767</v>
      </c>
      <c r="K2162" s="31" t="s">
        <v>3080</v>
      </c>
      <c r="L2162" s="31" t="s">
        <v>392</v>
      </c>
      <c r="M2162" s="31" t="s">
        <v>8617</v>
      </c>
      <c r="N2162" s="31" t="s">
        <v>267</v>
      </c>
      <c r="O2162" s="34"/>
      <c r="P2162" s="31">
        <v>2.0</v>
      </c>
      <c r="Q2162" s="31" t="s">
        <v>307</v>
      </c>
      <c r="R2162" s="32">
        <v>35375.0</v>
      </c>
      <c r="S2162" s="31" t="s">
        <v>717</v>
      </c>
      <c r="T2162" s="31" t="s">
        <v>4722</v>
      </c>
      <c r="U2162" s="31" t="s">
        <v>2914</v>
      </c>
      <c r="V2162" s="34"/>
      <c r="W2162" s="34"/>
    </row>
    <row r="2163">
      <c r="A2163" s="30">
        <v>2.158</v>
      </c>
      <c r="B2163" s="31" t="s">
        <v>8618</v>
      </c>
      <c r="C2163" s="31" t="s">
        <v>8619</v>
      </c>
      <c r="D2163" s="31" t="s">
        <v>765</v>
      </c>
      <c r="E2163" s="31" t="s">
        <v>8612</v>
      </c>
      <c r="F2163" s="32">
        <v>45127.0</v>
      </c>
      <c r="G2163" s="32">
        <v>45186.0</v>
      </c>
      <c r="H2163" s="31" t="s">
        <v>2811</v>
      </c>
      <c r="I2163" s="31" t="s">
        <v>326</v>
      </c>
      <c r="J2163" s="31" t="s">
        <v>8612</v>
      </c>
      <c r="K2163" s="31" t="s">
        <v>8613</v>
      </c>
      <c r="L2163" s="31" t="s">
        <v>769</v>
      </c>
      <c r="M2163" s="31" t="s">
        <v>8620</v>
      </c>
      <c r="N2163" s="31" t="s">
        <v>267</v>
      </c>
      <c r="O2163" s="34"/>
      <c r="P2163" s="31">
        <v>1.0</v>
      </c>
      <c r="Q2163" s="31" t="s">
        <v>307</v>
      </c>
      <c r="R2163" s="32">
        <v>35828.0</v>
      </c>
      <c r="S2163" s="31" t="s">
        <v>531</v>
      </c>
      <c r="T2163" s="31" t="s">
        <v>7535</v>
      </c>
      <c r="U2163" s="31" t="s">
        <v>2914</v>
      </c>
      <c r="V2163" s="34"/>
      <c r="W2163" s="34"/>
    </row>
    <row r="2164">
      <c r="A2164" s="30">
        <v>2.159</v>
      </c>
      <c r="B2164" s="31" t="s">
        <v>8621</v>
      </c>
      <c r="C2164" s="31" t="s">
        <v>3270</v>
      </c>
      <c r="D2164" s="31" t="s">
        <v>978</v>
      </c>
      <c r="E2164" s="31" t="s">
        <v>2767</v>
      </c>
      <c r="F2164" s="32">
        <v>41440.0</v>
      </c>
      <c r="G2164" s="32">
        <v>41502.0</v>
      </c>
      <c r="H2164" s="31" t="s">
        <v>2811</v>
      </c>
      <c r="I2164" s="31" t="s">
        <v>2768</v>
      </c>
      <c r="J2164" s="31" t="s">
        <v>2767</v>
      </c>
      <c r="K2164" s="31" t="s">
        <v>3080</v>
      </c>
      <c r="L2164" s="31" t="s">
        <v>1171</v>
      </c>
      <c r="M2164" s="31" t="s">
        <v>8622</v>
      </c>
      <c r="N2164" s="31" t="s">
        <v>267</v>
      </c>
      <c r="O2164" s="31">
        <v>2.0</v>
      </c>
      <c r="P2164" s="31">
        <v>1.0</v>
      </c>
      <c r="Q2164" s="31" t="s">
        <v>307</v>
      </c>
      <c r="R2164" s="32">
        <v>33546.0</v>
      </c>
      <c r="S2164" s="31" t="s">
        <v>1085</v>
      </c>
      <c r="T2164" s="31" t="s">
        <v>7697</v>
      </c>
      <c r="U2164" s="31" t="s">
        <v>2914</v>
      </c>
      <c r="V2164" s="34"/>
      <c r="W2164" s="34"/>
    </row>
    <row r="2165">
      <c r="A2165" s="30">
        <v>2.16</v>
      </c>
      <c r="B2165" s="31" t="s">
        <v>8623</v>
      </c>
      <c r="C2165" s="31" t="s">
        <v>8624</v>
      </c>
      <c r="D2165" s="31" t="s">
        <v>978</v>
      </c>
      <c r="E2165" s="31" t="s">
        <v>2909</v>
      </c>
      <c r="F2165" s="32">
        <v>42072.0</v>
      </c>
      <c r="G2165" s="32">
        <v>42136.0</v>
      </c>
      <c r="H2165" s="31" t="s">
        <v>2811</v>
      </c>
      <c r="I2165" s="31" t="s">
        <v>2909</v>
      </c>
      <c r="J2165" s="34"/>
      <c r="K2165" s="31" t="s">
        <v>8625</v>
      </c>
      <c r="L2165" s="31" t="s">
        <v>3719</v>
      </c>
      <c r="M2165" s="31" t="s">
        <v>8626</v>
      </c>
      <c r="N2165" s="31" t="s">
        <v>267</v>
      </c>
      <c r="O2165" s="31">
        <v>2.0</v>
      </c>
      <c r="P2165" s="31">
        <v>5.0</v>
      </c>
      <c r="Q2165" s="31" t="s">
        <v>307</v>
      </c>
      <c r="R2165" s="32">
        <v>33275.0</v>
      </c>
      <c r="S2165" s="31" t="s">
        <v>2571</v>
      </c>
      <c r="T2165" s="31" t="s">
        <v>2913</v>
      </c>
      <c r="U2165" s="31" t="s">
        <v>2914</v>
      </c>
      <c r="V2165" s="34"/>
      <c r="W2165" s="34"/>
    </row>
    <row r="2166">
      <c r="A2166" s="30">
        <v>2.161</v>
      </c>
      <c r="B2166" s="31" t="s">
        <v>8627</v>
      </c>
      <c r="C2166" s="31" t="s">
        <v>8628</v>
      </c>
      <c r="D2166" s="31" t="s">
        <v>260</v>
      </c>
      <c r="E2166" s="31" t="s">
        <v>2737</v>
      </c>
      <c r="F2166" s="35">
        <v>44126.0</v>
      </c>
      <c r="G2166" s="35">
        <v>44187.0</v>
      </c>
      <c r="H2166" s="31" t="s">
        <v>2811</v>
      </c>
      <c r="I2166" s="31" t="s">
        <v>326</v>
      </c>
      <c r="J2166" s="31" t="s">
        <v>2737</v>
      </c>
      <c r="K2166" s="31" t="s">
        <v>3356</v>
      </c>
      <c r="L2166" s="31" t="s">
        <v>431</v>
      </c>
      <c r="M2166" s="31" t="s">
        <v>8629</v>
      </c>
      <c r="N2166" s="31" t="s">
        <v>267</v>
      </c>
      <c r="O2166" s="34"/>
      <c r="P2166" s="31">
        <v>2.0</v>
      </c>
      <c r="Q2166" s="31" t="s">
        <v>307</v>
      </c>
      <c r="R2166" s="32">
        <v>35134.0</v>
      </c>
      <c r="S2166" s="31" t="s">
        <v>320</v>
      </c>
      <c r="T2166" s="31" t="s">
        <v>7255</v>
      </c>
      <c r="U2166" s="31" t="s">
        <v>2914</v>
      </c>
      <c r="V2166" s="34"/>
      <c r="W2166" s="34"/>
    </row>
    <row r="2167">
      <c r="A2167" s="30">
        <v>2.162</v>
      </c>
      <c r="B2167" s="31" t="s">
        <v>8630</v>
      </c>
      <c r="C2167" s="31" t="s">
        <v>8631</v>
      </c>
      <c r="D2167" s="31" t="s">
        <v>260</v>
      </c>
      <c r="E2167" s="31" t="s">
        <v>2767</v>
      </c>
      <c r="F2167" s="35">
        <v>43067.0</v>
      </c>
      <c r="G2167" s="32">
        <v>43129.0</v>
      </c>
      <c r="H2167" s="31" t="s">
        <v>2811</v>
      </c>
      <c r="I2167" s="31" t="s">
        <v>2768</v>
      </c>
      <c r="J2167" s="31" t="s">
        <v>2767</v>
      </c>
      <c r="K2167" s="31" t="s">
        <v>3080</v>
      </c>
      <c r="L2167" s="31" t="s">
        <v>392</v>
      </c>
      <c r="M2167" s="31" t="s">
        <v>8632</v>
      </c>
      <c r="N2167" s="31" t="s">
        <v>267</v>
      </c>
      <c r="O2167" s="34"/>
      <c r="P2167" s="31">
        <v>8.0</v>
      </c>
      <c r="Q2167" s="31" t="s">
        <v>307</v>
      </c>
      <c r="R2167" s="32">
        <v>34103.0</v>
      </c>
      <c r="S2167" s="31" t="s">
        <v>1403</v>
      </c>
      <c r="T2167" s="31" t="s">
        <v>8633</v>
      </c>
      <c r="U2167" s="31" t="s">
        <v>2914</v>
      </c>
      <c r="V2167" s="34"/>
      <c r="W2167" s="34"/>
    </row>
    <row r="2168">
      <c r="A2168" s="30">
        <v>2.163</v>
      </c>
      <c r="B2168" s="31" t="s">
        <v>8634</v>
      </c>
      <c r="C2168" s="31" t="s">
        <v>8635</v>
      </c>
      <c r="D2168" s="31" t="s">
        <v>506</v>
      </c>
      <c r="E2168" s="31" t="s">
        <v>2079</v>
      </c>
      <c r="F2168" s="32">
        <v>44977.0</v>
      </c>
      <c r="G2168" s="32">
        <v>45036.0</v>
      </c>
      <c r="H2168" s="31" t="s">
        <v>262</v>
      </c>
      <c r="I2168" s="31" t="s">
        <v>275</v>
      </c>
      <c r="J2168" s="31" t="s">
        <v>2079</v>
      </c>
      <c r="K2168" s="31" t="s">
        <v>2080</v>
      </c>
      <c r="L2168" s="31" t="s">
        <v>2081</v>
      </c>
      <c r="M2168" s="31" t="s">
        <v>8636</v>
      </c>
      <c r="N2168" s="31" t="s">
        <v>467</v>
      </c>
      <c r="O2168" s="34"/>
      <c r="P2168" s="31">
        <v>1.0</v>
      </c>
      <c r="Q2168" s="31" t="s">
        <v>307</v>
      </c>
      <c r="R2168" s="32">
        <v>35802.0</v>
      </c>
      <c r="S2168" s="31" t="s">
        <v>700</v>
      </c>
      <c r="T2168" s="31" t="s">
        <v>1670</v>
      </c>
      <c r="U2168" s="31" t="s">
        <v>271</v>
      </c>
      <c r="V2168" s="34"/>
      <c r="W2168" s="34"/>
    </row>
    <row r="2169">
      <c r="A2169" s="30">
        <v>2.164</v>
      </c>
      <c r="B2169" s="31" t="s">
        <v>8637</v>
      </c>
      <c r="C2169" s="31" t="s">
        <v>8638</v>
      </c>
      <c r="D2169" s="31" t="s">
        <v>925</v>
      </c>
      <c r="E2169" s="31" t="s">
        <v>1985</v>
      </c>
      <c r="F2169" s="32">
        <v>44971.0</v>
      </c>
      <c r="G2169" s="32">
        <v>45030.0</v>
      </c>
      <c r="H2169" s="31" t="s">
        <v>262</v>
      </c>
      <c r="I2169" s="31" t="s">
        <v>275</v>
      </c>
      <c r="J2169" s="31" t="s">
        <v>1986</v>
      </c>
      <c r="K2169" s="31" t="s">
        <v>1987</v>
      </c>
      <c r="L2169" s="31" t="s">
        <v>929</v>
      </c>
      <c r="M2169" s="31" t="s">
        <v>8639</v>
      </c>
      <c r="N2169" s="31" t="s">
        <v>467</v>
      </c>
      <c r="O2169" s="34"/>
      <c r="P2169" s="31">
        <v>1.0</v>
      </c>
      <c r="Q2169" s="31" t="s">
        <v>307</v>
      </c>
      <c r="R2169" s="32">
        <v>37161.0</v>
      </c>
      <c r="S2169" s="31" t="s">
        <v>320</v>
      </c>
      <c r="T2169" s="31" t="s">
        <v>2265</v>
      </c>
      <c r="U2169" s="31" t="s">
        <v>271</v>
      </c>
      <c r="V2169" s="31" t="s">
        <v>1985</v>
      </c>
      <c r="W2169" s="34"/>
    </row>
    <row r="2170">
      <c r="A2170" s="30">
        <v>2.165</v>
      </c>
      <c r="B2170" s="31" t="s">
        <v>8640</v>
      </c>
      <c r="C2170" s="31" t="s">
        <v>8641</v>
      </c>
      <c r="D2170" s="31" t="s">
        <v>313</v>
      </c>
      <c r="E2170" s="31" t="s">
        <v>1598</v>
      </c>
      <c r="F2170" s="35">
        <v>44923.0</v>
      </c>
      <c r="G2170" s="32">
        <v>44985.0</v>
      </c>
      <c r="H2170" s="31" t="s">
        <v>262</v>
      </c>
      <c r="I2170" s="31" t="s">
        <v>315</v>
      </c>
      <c r="J2170" s="31" t="s">
        <v>1577</v>
      </c>
      <c r="K2170" s="31" t="s">
        <v>8419</v>
      </c>
      <c r="L2170" s="31" t="s">
        <v>318</v>
      </c>
      <c r="M2170" s="31" t="s">
        <v>8642</v>
      </c>
      <c r="N2170" s="31" t="s">
        <v>267</v>
      </c>
      <c r="O2170" s="34"/>
      <c r="P2170" s="31">
        <v>1.0</v>
      </c>
      <c r="Q2170" s="31" t="s">
        <v>307</v>
      </c>
      <c r="R2170" s="32">
        <v>36601.0</v>
      </c>
      <c r="S2170" s="31" t="s">
        <v>1809</v>
      </c>
      <c r="T2170" s="31" t="s">
        <v>1686</v>
      </c>
      <c r="U2170" s="31" t="s">
        <v>271</v>
      </c>
      <c r="V2170" s="31" t="s">
        <v>1598</v>
      </c>
      <c r="W2170" s="34"/>
    </row>
    <row r="2171">
      <c r="A2171" s="30">
        <v>2.166</v>
      </c>
      <c r="B2171" s="31" t="s">
        <v>8643</v>
      </c>
      <c r="C2171" s="31" t="s">
        <v>8644</v>
      </c>
      <c r="D2171" s="31" t="s">
        <v>313</v>
      </c>
      <c r="E2171" s="31" t="s">
        <v>1576</v>
      </c>
      <c r="F2171" s="35">
        <v>44884.0</v>
      </c>
      <c r="G2171" s="32">
        <v>44945.0</v>
      </c>
      <c r="H2171" s="31" t="s">
        <v>262</v>
      </c>
      <c r="I2171" s="31" t="s">
        <v>315</v>
      </c>
      <c r="J2171" s="31" t="s">
        <v>1577</v>
      </c>
      <c r="K2171" s="31" t="s">
        <v>7194</v>
      </c>
      <c r="L2171" s="31" t="s">
        <v>318</v>
      </c>
      <c r="M2171" s="31" t="s">
        <v>8645</v>
      </c>
      <c r="N2171" s="31" t="s">
        <v>267</v>
      </c>
      <c r="O2171" s="34"/>
      <c r="P2171" s="31">
        <v>1.0</v>
      </c>
      <c r="Q2171" s="31" t="s">
        <v>307</v>
      </c>
      <c r="R2171" s="32">
        <v>35859.0</v>
      </c>
      <c r="S2171" s="31" t="s">
        <v>526</v>
      </c>
      <c r="T2171" s="31" t="s">
        <v>1647</v>
      </c>
      <c r="U2171" s="31" t="s">
        <v>271</v>
      </c>
      <c r="V2171" s="31" t="s">
        <v>1576</v>
      </c>
      <c r="W2171" s="34"/>
    </row>
    <row r="2172">
      <c r="A2172" s="30">
        <v>2.167</v>
      </c>
      <c r="B2172" s="31" t="s">
        <v>8646</v>
      </c>
      <c r="C2172" s="31" t="s">
        <v>8647</v>
      </c>
      <c r="D2172" s="31" t="s">
        <v>1219</v>
      </c>
      <c r="E2172" s="31" t="s">
        <v>1220</v>
      </c>
      <c r="F2172" s="32">
        <v>44792.0</v>
      </c>
      <c r="G2172" s="35">
        <v>44853.0</v>
      </c>
      <c r="H2172" s="31" t="s">
        <v>262</v>
      </c>
      <c r="I2172" s="31" t="s">
        <v>315</v>
      </c>
      <c r="J2172" s="31" t="s">
        <v>86</v>
      </c>
      <c r="K2172" s="31" t="s">
        <v>2359</v>
      </c>
      <c r="L2172" s="31" t="s">
        <v>1223</v>
      </c>
      <c r="M2172" s="31" t="s">
        <v>8648</v>
      </c>
      <c r="N2172" s="31" t="s">
        <v>467</v>
      </c>
      <c r="O2172" s="34"/>
      <c r="P2172" s="31">
        <v>1.0</v>
      </c>
      <c r="Q2172" s="31" t="s">
        <v>307</v>
      </c>
      <c r="R2172" s="35">
        <v>35361.0</v>
      </c>
      <c r="S2172" s="31" t="s">
        <v>631</v>
      </c>
      <c r="T2172" s="31" t="s">
        <v>2265</v>
      </c>
      <c r="U2172" s="31" t="s">
        <v>271</v>
      </c>
      <c r="V2172" s="31" t="s">
        <v>1220</v>
      </c>
      <c r="W2172" s="34"/>
    </row>
    <row r="2173">
      <c r="A2173" s="30">
        <v>2.168</v>
      </c>
      <c r="B2173" s="31" t="s">
        <v>8649</v>
      </c>
      <c r="C2173" s="31" t="s">
        <v>8650</v>
      </c>
      <c r="D2173" s="31" t="s">
        <v>1219</v>
      </c>
      <c r="E2173" s="31" t="s">
        <v>1395</v>
      </c>
      <c r="F2173" s="32">
        <v>44770.0</v>
      </c>
      <c r="G2173" s="32">
        <v>44832.0</v>
      </c>
      <c r="H2173" s="31" t="s">
        <v>262</v>
      </c>
      <c r="I2173" s="31" t="s">
        <v>315</v>
      </c>
      <c r="J2173" s="31" t="s">
        <v>86</v>
      </c>
      <c r="K2173" s="31" t="s">
        <v>2386</v>
      </c>
      <c r="L2173" s="31" t="s">
        <v>1223</v>
      </c>
      <c r="M2173" s="31" t="s">
        <v>8651</v>
      </c>
      <c r="N2173" s="31" t="s">
        <v>467</v>
      </c>
      <c r="O2173" s="34"/>
      <c r="P2173" s="31">
        <v>1.0</v>
      </c>
      <c r="Q2173" s="31" t="s">
        <v>307</v>
      </c>
      <c r="R2173" s="32">
        <v>36682.0</v>
      </c>
      <c r="S2173" s="31" t="s">
        <v>2057</v>
      </c>
      <c r="T2173" s="31" t="s">
        <v>8301</v>
      </c>
      <c r="U2173" s="31" t="s">
        <v>271</v>
      </c>
      <c r="V2173" s="31" t="s">
        <v>1395</v>
      </c>
      <c r="W2173" s="34"/>
    </row>
    <row r="2174">
      <c r="A2174" s="30">
        <v>2.169</v>
      </c>
      <c r="B2174" s="31" t="s">
        <v>8652</v>
      </c>
      <c r="C2174" s="31" t="s">
        <v>8653</v>
      </c>
      <c r="D2174" s="31" t="s">
        <v>313</v>
      </c>
      <c r="E2174" s="31" t="s">
        <v>2439</v>
      </c>
      <c r="F2174" s="32">
        <v>44742.0</v>
      </c>
      <c r="G2174" s="32">
        <v>44803.0</v>
      </c>
      <c r="H2174" s="31" t="s">
        <v>262</v>
      </c>
      <c r="I2174" s="31" t="s">
        <v>315</v>
      </c>
      <c r="J2174" s="31" t="s">
        <v>1577</v>
      </c>
      <c r="K2174" s="31" t="s">
        <v>2440</v>
      </c>
      <c r="L2174" s="31" t="s">
        <v>318</v>
      </c>
      <c r="M2174" s="31" t="s">
        <v>8654</v>
      </c>
      <c r="N2174" s="31" t="s">
        <v>267</v>
      </c>
      <c r="O2174" s="34"/>
      <c r="P2174" s="31">
        <v>3.0</v>
      </c>
      <c r="Q2174" s="31" t="s">
        <v>307</v>
      </c>
      <c r="R2174" s="32">
        <v>36794.0</v>
      </c>
      <c r="S2174" s="31" t="s">
        <v>1369</v>
      </c>
      <c r="T2174" s="31" t="s">
        <v>2014</v>
      </c>
      <c r="U2174" s="31" t="s">
        <v>271</v>
      </c>
      <c r="V2174" s="31" t="s">
        <v>2439</v>
      </c>
      <c r="W2174" s="34"/>
    </row>
    <row r="2175">
      <c r="A2175" s="30">
        <v>2.17</v>
      </c>
      <c r="B2175" s="31" t="s">
        <v>8655</v>
      </c>
      <c r="C2175" s="31" t="s">
        <v>8656</v>
      </c>
      <c r="D2175" s="31" t="s">
        <v>925</v>
      </c>
      <c r="E2175" s="31" t="s">
        <v>1985</v>
      </c>
      <c r="F2175" s="32">
        <v>44638.0</v>
      </c>
      <c r="G2175" s="32">
        <v>44760.0</v>
      </c>
      <c r="H2175" s="31" t="s">
        <v>262</v>
      </c>
      <c r="I2175" s="31" t="s">
        <v>275</v>
      </c>
      <c r="J2175" s="31" t="s">
        <v>1986</v>
      </c>
      <c r="K2175" s="31" t="s">
        <v>1987</v>
      </c>
      <c r="L2175" s="31" t="s">
        <v>929</v>
      </c>
      <c r="M2175" s="31" t="s">
        <v>8657</v>
      </c>
      <c r="N2175" s="31" t="s">
        <v>267</v>
      </c>
      <c r="O2175" s="34"/>
      <c r="P2175" s="31">
        <v>1.0</v>
      </c>
      <c r="Q2175" s="31" t="s">
        <v>307</v>
      </c>
      <c r="R2175" s="32">
        <v>36345.0</v>
      </c>
      <c r="S2175" s="31" t="s">
        <v>526</v>
      </c>
      <c r="T2175" s="31" t="s">
        <v>2265</v>
      </c>
      <c r="U2175" s="31" t="s">
        <v>271</v>
      </c>
      <c r="V2175" s="31" t="s">
        <v>1985</v>
      </c>
      <c r="W2175" s="34"/>
    </row>
    <row r="2176">
      <c r="A2176" s="30">
        <v>2.171</v>
      </c>
      <c r="B2176" s="31" t="s">
        <v>8658</v>
      </c>
      <c r="C2176" s="31" t="s">
        <v>8659</v>
      </c>
      <c r="D2176" s="31" t="s">
        <v>1219</v>
      </c>
      <c r="E2176" s="31" t="s">
        <v>1395</v>
      </c>
      <c r="F2176" s="32">
        <v>44571.0</v>
      </c>
      <c r="G2176" s="32">
        <v>44630.0</v>
      </c>
      <c r="H2176" s="31" t="s">
        <v>262</v>
      </c>
      <c r="I2176" s="31" t="s">
        <v>315</v>
      </c>
      <c r="J2176" s="31" t="s">
        <v>86</v>
      </c>
      <c r="K2176" s="31" t="s">
        <v>2386</v>
      </c>
      <c r="L2176" s="31" t="s">
        <v>1223</v>
      </c>
      <c r="M2176" s="31" t="s">
        <v>8660</v>
      </c>
      <c r="N2176" s="31" t="s">
        <v>467</v>
      </c>
      <c r="O2176" s="34"/>
      <c r="P2176" s="31">
        <v>1.0</v>
      </c>
      <c r="Q2176" s="31" t="s">
        <v>307</v>
      </c>
      <c r="R2176" s="32">
        <v>35262.0</v>
      </c>
      <c r="S2176" s="31" t="s">
        <v>531</v>
      </c>
      <c r="T2176" s="31" t="s">
        <v>1895</v>
      </c>
      <c r="U2176" s="31" t="s">
        <v>271</v>
      </c>
      <c r="V2176" s="31" t="s">
        <v>1395</v>
      </c>
      <c r="W2176" s="34"/>
    </row>
    <row r="2177">
      <c r="A2177" s="30">
        <v>2.172</v>
      </c>
      <c r="B2177" s="31" t="s">
        <v>8661</v>
      </c>
      <c r="C2177" s="31" t="s">
        <v>8662</v>
      </c>
      <c r="D2177" s="31" t="s">
        <v>1219</v>
      </c>
      <c r="E2177" s="31" t="s">
        <v>1220</v>
      </c>
      <c r="F2177" s="32">
        <v>43588.0</v>
      </c>
      <c r="G2177" s="32">
        <v>43649.0</v>
      </c>
      <c r="H2177" s="31" t="s">
        <v>262</v>
      </c>
      <c r="I2177" s="31" t="s">
        <v>315</v>
      </c>
      <c r="J2177" s="31" t="s">
        <v>86</v>
      </c>
      <c r="K2177" s="31" t="s">
        <v>2359</v>
      </c>
      <c r="L2177" s="31" t="s">
        <v>1223</v>
      </c>
      <c r="M2177" s="31" t="s">
        <v>8663</v>
      </c>
      <c r="N2177" s="31" t="s">
        <v>467</v>
      </c>
      <c r="O2177" s="34"/>
      <c r="P2177" s="31">
        <v>4.0</v>
      </c>
      <c r="Q2177" s="31" t="s">
        <v>307</v>
      </c>
      <c r="R2177" s="35">
        <v>35727.0</v>
      </c>
      <c r="S2177" s="31" t="s">
        <v>681</v>
      </c>
      <c r="T2177" s="31" t="s">
        <v>1476</v>
      </c>
      <c r="U2177" s="31" t="s">
        <v>271</v>
      </c>
      <c r="V2177" s="31" t="s">
        <v>1220</v>
      </c>
      <c r="W2177" s="34"/>
    </row>
    <row r="2178">
      <c r="A2178" s="30">
        <v>2.173</v>
      </c>
      <c r="B2178" s="31" t="s">
        <v>8664</v>
      </c>
      <c r="C2178" s="31" t="s">
        <v>8665</v>
      </c>
      <c r="D2178" s="31" t="s">
        <v>313</v>
      </c>
      <c r="E2178" s="31" t="s">
        <v>2439</v>
      </c>
      <c r="F2178" s="35">
        <v>44133.0</v>
      </c>
      <c r="G2178" s="35">
        <v>44194.0</v>
      </c>
      <c r="H2178" s="31" t="s">
        <v>262</v>
      </c>
      <c r="I2178" s="31" t="s">
        <v>315</v>
      </c>
      <c r="J2178" s="31" t="s">
        <v>1577</v>
      </c>
      <c r="K2178" s="31" t="s">
        <v>2440</v>
      </c>
      <c r="L2178" s="31" t="s">
        <v>318</v>
      </c>
      <c r="M2178" s="31" t="s">
        <v>8666</v>
      </c>
      <c r="N2178" s="31" t="s">
        <v>267</v>
      </c>
      <c r="O2178" s="34"/>
      <c r="P2178" s="31">
        <v>5.0</v>
      </c>
      <c r="Q2178" s="31" t="s">
        <v>307</v>
      </c>
      <c r="R2178" s="35">
        <v>35733.0</v>
      </c>
      <c r="S2178" s="31" t="s">
        <v>681</v>
      </c>
      <c r="T2178" s="31" t="s">
        <v>1915</v>
      </c>
      <c r="U2178" s="31" t="s">
        <v>271</v>
      </c>
      <c r="V2178" s="31" t="s">
        <v>2439</v>
      </c>
      <c r="W2178" s="34"/>
    </row>
    <row r="2179">
      <c r="A2179" s="30">
        <v>2.174</v>
      </c>
      <c r="B2179" s="31" t="s">
        <v>8667</v>
      </c>
      <c r="C2179" s="31" t="s">
        <v>8668</v>
      </c>
      <c r="D2179" s="31" t="s">
        <v>978</v>
      </c>
      <c r="E2179" s="31" t="s">
        <v>295</v>
      </c>
      <c r="F2179" s="32">
        <v>43006.0</v>
      </c>
      <c r="G2179" s="35">
        <v>43067.0</v>
      </c>
      <c r="H2179" s="31" t="s">
        <v>262</v>
      </c>
      <c r="I2179" s="31" t="s">
        <v>275</v>
      </c>
      <c r="J2179" s="31" t="s">
        <v>295</v>
      </c>
      <c r="K2179" s="31" t="s">
        <v>296</v>
      </c>
      <c r="L2179" s="31" t="s">
        <v>3888</v>
      </c>
      <c r="M2179" s="31" t="s">
        <v>8669</v>
      </c>
      <c r="N2179" s="31" t="s">
        <v>467</v>
      </c>
      <c r="O2179" s="31">
        <v>2.0</v>
      </c>
      <c r="P2179" s="31">
        <v>1.0</v>
      </c>
      <c r="Q2179" s="31" t="s">
        <v>307</v>
      </c>
      <c r="R2179" s="32">
        <v>34247.0</v>
      </c>
      <c r="S2179" s="31" t="s">
        <v>2380</v>
      </c>
      <c r="T2179" s="31" t="s">
        <v>1686</v>
      </c>
      <c r="U2179" s="31" t="s">
        <v>271</v>
      </c>
      <c r="V2179" s="34"/>
      <c r="W2179" s="34"/>
    </row>
    <row r="2180">
      <c r="A2180" s="30">
        <v>2.175</v>
      </c>
      <c r="B2180" s="31" t="s">
        <v>8670</v>
      </c>
      <c r="C2180" s="31" t="s">
        <v>8671</v>
      </c>
      <c r="D2180" s="31" t="s">
        <v>260</v>
      </c>
      <c r="E2180" s="31" t="s">
        <v>889</v>
      </c>
      <c r="F2180" s="32">
        <v>43556.0</v>
      </c>
      <c r="G2180" s="32">
        <v>43617.0</v>
      </c>
      <c r="H2180" s="31" t="s">
        <v>262</v>
      </c>
      <c r="I2180" s="31" t="s">
        <v>93</v>
      </c>
      <c r="J2180" s="31" t="s">
        <v>889</v>
      </c>
      <c r="K2180" s="31" t="s">
        <v>1937</v>
      </c>
      <c r="L2180" s="31" t="s">
        <v>891</v>
      </c>
      <c r="M2180" s="31" t="s">
        <v>8672</v>
      </c>
      <c r="N2180" s="31" t="s">
        <v>267</v>
      </c>
      <c r="O2180" s="34"/>
      <c r="P2180" s="31">
        <v>7.0</v>
      </c>
      <c r="Q2180" s="31" t="s">
        <v>307</v>
      </c>
      <c r="R2180" s="32">
        <v>35473.0</v>
      </c>
      <c r="S2180" s="31" t="s">
        <v>3454</v>
      </c>
      <c r="T2180" s="31" t="s">
        <v>1476</v>
      </c>
      <c r="U2180" s="31" t="s">
        <v>271</v>
      </c>
      <c r="V2180" s="34"/>
      <c r="W2180" s="34"/>
    </row>
    <row r="2181">
      <c r="A2181" s="30">
        <v>2.176</v>
      </c>
      <c r="B2181" s="31" t="s">
        <v>8673</v>
      </c>
      <c r="C2181" s="31" t="s">
        <v>8674</v>
      </c>
      <c r="D2181" s="31" t="s">
        <v>978</v>
      </c>
      <c r="E2181" s="31" t="s">
        <v>1991</v>
      </c>
      <c r="F2181" s="32">
        <v>43556.0</v>
      </c>
      <c r="G2181" s="32">
        <v>43617.0</v>
      </c>
      <c r="H2181" s="31" t="s">
        <v>262</v>
      </c>
      <c r="I2181" s="31" t="s">
        <v>93</v>
      </c>
      <c r="J2181" s="31" t="s">
        <v>1918</v>
      </c>
      <c r="K2181" s="31" t="s">
        <v>1992</v>
      </c>
      <c r="L2181" s="31" t="s">
        <v>3719</v>
      </c>
      <c r="M2181" s="31" t="s">
        <v>8675</v>
      </c>
      <c r="N2181" s="31" t="s">
        <v>467</v>
      </c>
      <c r="O2181" s="31">
        <v>2.0</v>
      </c>
      <c r="P2181" s="31">
        <v>1.0</v>
      </c>
      <c r="Q2181" s="31" t="s">
        <v>307</v>
      </c>
      <c r="R2181" s="32">
        <v>34053.0</v>
      </c>
      <c r="S2181" s="31" t="s">
        <v>320</v>
      </c>
      <c r="T2181" s="31" t="s">
        <v>8676</v>
      </c>
      <c r="U2181" s="31" t="s">
        <v>271</v>
      </c>
      <c r="V2181" s="31" t="s">
        <v>1991</v>
      </c>
      <c r="W2181" s="34"/>
    </row>
    <row r="2182">
      <c r="A2182" s="30">
        <v>2.177</v>
      </c>
      <c r="B2182" s="31" t="s">
        <v>8677</v>
      </c>
      <c r="C2182" s="31" t="s">
        <v>8678</v>
      </c>
      <c r="D2182" s="31" t="s">
        <v>8331</v>
      </c>
      <c r="E2182" s="31" t="s">
        <v>8679</v>
      </c>
      <c r="F2182" s="32">
        <v>38930.0</v>
      </c>
      <c r="G2182" s="32">
        <v>39022.0</v>
      </c>
      <c r="H2182" s="31" t="s">
        <v>262</v>
      </c>
      <c r="I2182" s="31" t="s">
        <v>315</v>
      </c>
      <c r="J2182" s="31" t="s">
        <v>8679</v>
      </c>
      <c r="K2182" s="31" t="s">
        <v>8680</v>
      </c>
      <c r="L2182" s="31" t="s">
        <v>8334</v>
      </c>
      <c r="M2182" s="31" t="s">
        <v>8681</v>
      </c>
      <c r="N2182" s="31" t="s">
        <v>467</v>
      </c>
      <c r="O2182" s="31">
        <v>3.0</v>
      </c>
      <c r="P2182" s="31" t="s">
        <v>8682</v>
      </c>
      <c r="Q2182" s="31" t="s">
        <v>307</v>
      </c>
      <c r="R2182" s="32">
        <v>29265.0</v>
      </c>
      <c r="S2182" s="31" t="s">
        <v>320</v>
      </c>
      <c r="T2182" s="31" t="s">
        <v>1019</v>
      </c>
      <c r="U2182" s="31" t="s">
        <v>271</v>
      </c>
      <c r="V2182" s="34"/>
      <c r="W2182" s="34"/>
    </row>
    <row r="2183">
      <c r="A2183" s="30">
        <v>2.178</v>
      </c>
      <c r="B2183" s="31" t="s">
        <v>8683</v>
      </c>
      <c r="C2183" s="31" t="s">
        <v>806</v>
      </c>
      <c r="D2183" s="31" t="s">
        <v>313</v>
      </c>
      <c r="E2183" s="31" t="s">
        <v>1486</v>
      </c>
      <c r="F2183" s="32">
        <v>42639.0</v>
      </c>
      <c r="G2183" s="35">
        <v>42700.0</v>
      </c>
      <c r="H2183" s="31" t="s">
        <v>262</v>
      </c>
      <c r="I2183" s="31" t="s">
        <v>315</v>
      </c>
      <c r="J2183" s="31" t="s">
        <v>316</v>
      </c>
      <c r="K2183" s="31" t="s">
        <v>2394</v>
      </c>
      <c r="L2183" s="31" t="s">
        <v>318</v>
      </c>
      <c r="M2183" s="31" t="s">
        <v>8684</v>
      </c>
      <c r="N2183" s="31" t="s">
        <v>267</v>
      </c>
      <c r="O2183" s="34"/>
      <c r="P2183" s="31">
        <v>6.0</v>
      </c>
      <c r="Q2183" s="31" t="s">
        <v>307</v>
      </c>
      <c r="R2183" s="35">
        <v>32797.0</v>
      </c>
      <c r="S2183" s="31" t="s">
        <v>531</v>
      </c>
      <c r="T2183" s="31" t="s">
        <v>1690</v>
      </c>
      <c r="U2183" s="31" t="s">
        <v>271</v>
      </c>
      <c r="V2183" s="31" t="s">
        <v>1486</v>
      </c>
      <c r="W2183" s="34"/>
    </row>
    <row r="2184">
      <c r="A2184" s="30">
        <v>2.179</v>
      </c>
      <c r="B2184" s="31" t="s">
        <v>8685</v>
      </c>
      <c r="C2184" s="31" t="s">
        <v>8686</v>
      </c>
      <c r="D2184" s="31" t="s">
        <v>260</v>
      </c>
      <c r="E2184" s="31" t="s">
        <v>2021</v>
      </c>
      <c r="F2184" s="35">
        <v>43757.0</v>
      </c>
      <c r="G2184" s="35">
        <v>43818.0</v>
      </c>
      <c r="H2184" s="31" t="s">
        <v>262</v>
      </c>
      <c r="I2184" s="31" t="s">
        <v>275</v>
      </c>
      <c r="J2184" s="31" t="s">
        <v>1986</v>
      </c>
      <c r="K2184" s="31" t="s">
        <v>2022</v>
      </c>
      <c r="L2184" s="31" t="s">
        <v>945</v>
      </c>
      <c r="M2184" s="31" t="s">
        <v>8687</v>
      </c>
      <c r="N2184" s="31" t="s">
        <v>467</v>
      </c>
      <c r="O2184" s="34"/>
      <c r="P2184" s="31">
        <v>1.0</v>
      </c>
      <c r="Q2184" s="31" t="s">
        <v>307</v>
      </c>
      <c r="R2184" s="32">
        <v>35524.0</v>
      </c>
      <c r="S2184" s="31" t="s">
        <v>1740</v>
      </c>
      <c r="T2184" s="31" t="s">
        <v>1777</v>
      </c>
      <c r="U2184" s="31" t="s">
        <v>271</v>
      </c>
      <c r="V2184" s="31" t="s">
        <v>2021</v>
      </c>
      <c r="W2184" s="34"/>
    </row>
    <row r="2185">
      <c r="A2185" s="30">
        <v>2.18</v>
      </c>
      <c r="B2185" s="31" t="s">
        <v>8688</v>
      </c>
      <c r="C2185" s="31" t="s">
        <v>8689</v>
      </c>
      <c r="D2185" s="31" t="s">
        <v>260</v>
      </c>
      <c r="E2185" s="31" t="s">
        <v>2550</v>
      </c>
      <c r="F2185" s="32">
        <v>43214.0</v>
      </c>
      <c r="G2185" s="32">
        <v>43275.0</v>
      </c>
      <c r="H2185" s="31" t="s">
        <v>303</v>
      </c>
      <c r="I2185" s="31" t="s">
        <v>335</v>
      </c>
      <c r="J2185" s="31" t="s">
        <v>2499</v>
      </c>
      <c r="K2185" s="31" t="s">
        <v>2551</v>
      </c>
      <c r="L2185" s="31" t="s">
        <v>2501</v>
      </c>
      <c r="M2185" s="31" t="s">
        <v>8690</v>
      </c>
      <c r="N2185" s="31" t="s">
        <v>467</v>
      </c>
      <c r="O2185" s="34"/>
      <c r="P2185" s="31">
        <v>3.0</v>
      </c>
      <c r="Q2185" s="31" t="s">
        <v>307</v>
      </c>
      <c r="R2185" s="32">
        <v>33654.0</v>
      </c>
      <c r="S2185" s="31" t="s">
        <v>560</v>
      </c>
      <c r="T2185" s="31" t="s">
        <v>8691</v>
      </c>
      <c r="U2185" s="31" t="s">
        <v>361</v>
      </c>
      <c r="V2185" s="31" t="s">
        <v>2550</v>
      </c>
      <c r="W2185" s="34"/>
    </row>
    <row r="2186">
      <c r="A2186" s="30">
        <v>2.181</v>
      </c>
      <c r="B2186" s="31" t="s">
        <v>8692</v>
      </c>
      <c r="C2186" s="31" t="s">
        <v>4979</v>
      </c>
      <c r="D2186" s="31" t="s">
        <v>260</v>
      </c>
      <c r="E2186" s="31" t="s">
        <v>2231</v>
      </c>
      <c r="F2186" s="32">
        <v>44109.0</v>
      </c>
      <c r="G2186" s="32">
        <v>44170.0</v>
      </c>
      <c r="H2186" s="31" t="s">
        <v>262</v>
      </c>
      <c r="I2186" s="31" t="s">
        <v>2219</v>
      </c>
      <c r="J2186" s="31" t="s">
        <v>2231</v>
      </c>
      <c r="K2186" s="31" t="s">
        <v>2232</v>
      </c>
      <c r="L2186" s="31" t="s">
        <v>392</v>
      </c>
      <c r="M2186" s="31" t="s">
        <v>8693</v>
      </c>
      <c r="N2186" s="31" t="s">
        <v>267</v>
      </c>
      <c r="O2186" s="34"/>
      <c r="P2186" s="31">
        <v>1.0</v>
      </c>
      <c r="Q2186" s="31" t="s">
        <v>307</v>
      </c>
      <c r="R2186" s="32">
        <v>36049.0</v>
      </c>
      <c r="S2186" s="31" t="s">
        <v>1740</v>
      </c>
      <c r="T2186" s="31" t="s">
        <v>8143</v>
      </c>
      <c r="U2186" s="31" t="s">
        <v>271</v>
      </c>
      <c r="V2186" s="34"/>
      <c r="W2186" s="34"/>
    </row>
    <row r="2187">
      <c r="A2187" s="30">
        <v>2.182</v>
      </c>
      <c r="B2187" s="31" t="s">
        <v>8694</v>
      </c>
      <c r="C2187" s="31" t="s">
        <v>8695</v>
      </c>
      <c r="D2187" s="31" t="s">
        <v>1219</v>
      </c>
      <c r="E2187" s="31" t="s">
        <v>1220</v>
      </c>
      <c r="F2187" s="35">
        <v>41934.0</v>
      </c>
      <c r="G2187" s="35">
        <v>41995.0</v>
      </c>
      <c r="H2187" s="31" t="s">
        <v>262</v>
      </c>
      <c r="I2187" s="31" t="s">
        <v>315</v>
      </c>
      <c r="J2187" s="31" t="s">
        <v>86</v>
      </c>
      <c r="K2187" s="31" t="s">
        <v>2359</v>
      </c>
      <c r="L2187" s="31" t="s">
        <v>1223</v>
      </c>
      <c r="M2187" s="31" t="s">
        <v>8696</v>
      </c>
      <c r="N2187" s="31" t="s">
        <v>467</v>
      </c>
      <c r="O2187" s="34"/>
      <c r="P2187" s="31">
        <v>9.0</v>
      </c>
      <c r="Q2187" s="31" t="s">
        <v>307</v>
      </c>
      <c r="R2187" s="32">
        <v>33492.0</v>
      </c>
      <c r="S2187" s="31" t="s">
        <v>681</v>
      </c>
      <c r="T2187" s="31" t="s">
        <v>8697</v>
      </c>
      <c r="U2187" s="31" t="s">
        <v>271</v>
      </c>
      <c r="V2187" s="31" t="s">
        <v>1220</v>
      </c>
      <c r="W2187" s="34"/>
    </row>
    <row r="2188">
      <c r="A2188" s="30">
        <v>2.183</v>
      </c>
      <c r="B2188" s="31" t="s">
        <v>8698</v>
      </c>
      <c r="C2188" s="31" t="s">
        <v>8699</v>
      </c>
      <c r="D2188" s="31" t="s">
        <v>313</v>
      </c>
      <c r="E2188" s="31" t="s">
        <v>314</v>
      </c>
      <c r="F2188" s="32">
        <v>40360.0</v>
      </c>
      <c r="G2188" s="32">
        <v>40422.0</v>
      </c>
      <c r="H2188" s="31" t="s">
        <v>262</v>
      </c>
      <c r="I2188" s="31" t="s">
        <v>315</v>
      </c>
      <c r="J2188" s="31" t="s">
        <v>316</v>
      </c>
      <c r="K2188" s="31" t="s">
        <v>317</v>
      </c>
      <c r="L2188" s="31" t="s">
        <v>318</v>
      </c>
      <c r="M2188" s="31" t="s">
        <v>8700</v>
      </c>
      <c r="N2188" s="31" t="s">
        <v>467</v>
      </c>
      <c r="O2188" s="34"/>
      <c r="P2188" s="31">
        <v>10.0</v>
      </c>
      <c r="Q2188" s="31" t="s">
        <v>307</v>
      </c>
      <c r="R2188" s="32">
        <v>32418.0</v>
      </c>
      <c r="S2188" s="31" t="s">
        <v>1332</v>
      </c>
      <c r="T2188" s="31" t="s">
        <v>1476</v>
      </c>
      <c r="U2188" s="31" t="s">
        <v>271</v>
      </c>
      <c r="V2188" s="31" t="s">
        <v>314</v>
      </c>
      <c r="W2188" s="34"/>
    </row>
    <row r="2189">
      <c r="A2189" s="30">
        <v>2.184</v>
      </c>
      <c r="B2189" s="31" t="s">
        <v>8701</v>
      </c>
      <c r="C2189" s="31" t="s">
        <v>8702</v>
      </c>
      <c r="D2189" s="31" t="s">
        <v>1317</v>
      </c>
      <c r="E2189" s="31" t="s">
        <v>86</v>
      </c>
      <c r="F2189" s="32">
        <v>39203.0</v>
      </c>
      <c r="G2189" s="32">
        <v>39295.0</v>
      </c>
      <c r="H2189" s="31" t="s">
        <v>262</v>
      </c>
      <c r="I2189" s="31" t="s">
        <v>315</v>
      </c>
      <c r="J2189" s="31" t="s">
        <v>86</v>
      </c>
      <c r="K2189" s="31" t="s">
        <v>8703</v>
      </c>
      <c r="L2189" s="31" t="s">
        <v>1319</v>
      </c>
      <c r="M2189" s="31" t="s">
        <v>8704</v>
      </c>
      <c r="N2189" s="31" t="s">
        <v>267</v>
      </c>
      <c r="O2189" s="31">
        <v>2.0</v>
      </c>
      <c r="P2189" s="31">
        <v>3.0</v>
      </c>
      <c r="Q2189" s="31" t="s">
        <v>307</v>
      </c>
      <c r="R2189" s="32">
        <v>30367.0</v>
      </c>
      <c r="S2189" s="31" t="s">
        <v>320</v>
      </c>
      <c r="T2189" s="31" t="s">
        <v>1810</v>
      </c>
      <c r="U2189" s="31" t="s">
        <v>271</v>
      </c>
      <c r="V2189" s="34"/>
      <c r="W2189" s="34"/>
    </row>
    <row r="2190">
      <c r="A2190" s="30">
        <v>2.185</v>
      </c>
      <c r="B2190" s="31" t="s">
        <v>8705</v>
      </c>
      <c r="C2190" s="31" t="s">
        <v>8706</v>
      </c>
      <c r="D2190" s="31" t="s">
        <v>1219</v>
      </c>
      <c r="E2190" s="31" t="s">
        <v>1220</v>
      </c>
      <c r="F2190" s="32">
        <v>42509.0</v>
      </c>
      <c r="G2190" s="32">
        <v>42570.0</v>
      </c>
      <c r="H2190" s="31" t="s">
        <v>262</v>
      </c>
      <c r="I2190" s="31" t="s">
        <v>315</v>
      </c>
      <c r="J2190" s="31" t="s">
        <v>86</v>
      </c>
      <c r="K2190" s="31" t="s">
        <v>2359</v>
      </c>
      <c r="L2190" s="31" t="s">
        <v>1223</v>
      </c>
      <c r="M2190" s="31" t="s">
        <v>8707</v>
      </c>
      <c r="N2190" s="31" t="s">
        <v>267</v>
      </c>
      <c r="O2190" s="34"/>
      <c r="P2190" s="31">
        <v>10.0</v>
      </c>
      <c r="Q2190" s="31" t="s">
        <v>307</v>
      </c>
      <c r="R2190" s="32">
        <v>32485.0</v>
      </c>
      <c r="S2190" s="31" t="s">
        <v>1332</v>
      </c>
      <c r="T2190" s="31" t="s">
        <v>1476</v>
      </c>
      <c r="U2190" s="31" t="s">
        <v>271</v>
      </c>
      <c r="V2190" s="31" t="s">
        <v>1220</v>
      </c>
      <c r="W2190" s="34"/>
    </row>
    <row r="2191">
      <c r="A2191" s="30">
        <v>2.186</v>
      </c>
      <c r="B2191" s="31" t="s">
        <v>8708</v>
      </c>
      <c r="C2191" s="31" t="s">
        <v>8709</v>
      </c>
      <c r="D2191" s="31" t="s">
        <v>1329</v>
      </c>
      <c r="E2191" s="31" t="s">
        <v>1220</v>
      </c>
      <c r="F2191" s="32">
        <v>43200.0</v>
      </c>
      <c r="G2191" s="32">
        <v>43261.0</v>
      </c>
      <c r="H2191" s="31" t="s">
        <v>262</v>
      </c>
      <c r="I2191" s="31" t="s">
        <v>315</v>
      </c>
      <c r="J2191" s="31" t="s">
        <v>86</v>
      </c>
      <c r="K2191" s="31" t="s">
        <v>2359</v>
      </c>
      <c r="L2191" s="31" t="s">
        <v>1330</v>
      </c>
      <c r="M2191" s="31" t="s">
        <v>8710</v>
      </c>
      <c r="N2191" s="31" t="s">
        <v>267</v>
      </c>
      <c r="O2191" s="31">
        <v>1.0</v>
      </c>
      <c r="P2191" s="31">
        <v>4.0</v>
      </c>
      <c r="Q2191" s="31" t="s">
        <v>307</v>
      </c>
      <c r="R2191" s="32">
        <v>34955.0</v>
      </c>
      <c r="S2191" s="31" t="s">
        <v>531</v>
      </c>
      <c r="T2191" s="31" t="s">
        <v>1731</v>
      </c>
      <c r="U2191" s="31" t="s">
        <v>271</v>
      </c>
      <c r="V2191" s="31" t="s">
        <v>1220</v>
      </c>
      <c r="W2191" s="34"/>
    </row>
    <row r="2192">
      <c r="A2192" s="30">
        <v>2.187</v>
      </c>
      <c r="B2192" s="31" t="s">
        <v>8711</v>
      </c>
      <c r="C2192" s="31" t="s">
        <v>8712</v>
      </c>
      <c r="D2192" s="31" t="s">
        <v>1219</v>
      </c>
      <c r="E2192" s="31" t="s">
        <v>1395</v>
      </c>
      <c r="F2192" s="32">
        <v>41806.0</v>
      </c>
      <c r="G2192" s="32">
        <v>41867.0</v>
      </c>
      <c r="H2192" s="31" t="s">
        <v>262</v>
      </c>
      <c r="I2192" s="31" t="s">
        <v>315</v>
      </c>
      <c r="J2192" s="31" t="s">
        <v>86</v>
      </c>
      <c r="K2192" s="31" t="s">
        <v>2386</v>
      </c>
      <c r="L2192" s="31" t="s">
        <v>1223</v>
      </c>
      <c r="M2192" s="31" t="s">
        <v>8713</v>
      </c>
      <c r="N2192" s="31" t="s">
        <v>467</v>
      </c>
      <c r="O2192" s="34"/>
      <c r="P2192" s="31">
        <v>6.0</v>
      </c>
      <c r="Q2192" s="31" t="s">
        <v>307</v>
      </c>
      <c r="R2192" s="32">
        <v>33502.0</v>
      </c>
      <c r="S2192" s="31" t="s">
        <v>8714</v>
      </c>
      <c r="T2192" s="31" t="s">
        <v>1476</v>
      </c>
      <c r="U2192" s="31" t="s">
        <v>271</v>
      </c>
      <c r="V2192" s="31" t="s">
        <v>1395</v>
      </c>
      <c r="W2192" s="34"/>
    </row>
    <row r="2193">
      <c r="A2193" s="30">
        <v>2.188</v>
      </c>
      <c r="B2193" s="31" t="s">
        <v>8715</v>
      </c>
      <c r="C2193" s="31" t="s">
        <v>8716</v>
      </c>
      <c r="D2193" s="31" t="s">
        <v>2662</v>
      </c>
      <c r="E2193" s="31" t="s">
        <v>8679</v>
      </c>
      <c r="F2193" s="32">
        <v>38657.0</v>
      </c>
      <c r="G2193" s="32">
        <v>38718.0</v>
      </c>
      <c r="H2193" s="31" t="s">
        <v>262</v>
      </c>
      <c r="I2193" s="31" t="s">
        <v>315</v>
      </c>
      <c r="J2193" s="31" t="s">
        <v>8679</v>
      </c>
      <c r="K2193" s="31" t="s">
        <v>8680</v>
      </c>
      <c r="L2193" s="31" t="s">
        <v>8717</v>
      </c>
      <c r="M2193" s="31" t="s">
        <v>8718</v>
      </c>
      <c r="N2193" s="31" t="s">
        <v>467</v>
      </c>
      <c r="O2193" s="31">
        <v>3.0</v>
      </c>
      <c r="P2193" s="31" t="s">
        <v>8682</v>
      </c>
      <c r="Q2193" s="31" t="s">
        <v>307</v>
      </c>
      <c r="R2193" s="35">
        <v>30607.0</v>
      </c>
      <c r="S2193" s="31" t="s">
        <v>681</v>
      </c>
      <c r="T2193" s="31" t="s">
        <v>1476</v>
      </c>
      <c r="U2193" s="31" t="s">
        <v>271</v>
      </c>
      <c r="V2193" s="34"/>
      <c r="W2193" s="34"/>
    </row>
    <row r="2194">
      <c r="A2194" s="30">
        <v>2.189</v>
      </c>
      <c r="B2194" s="31" t="s">
        <v>8719</v>
      </c>
      <c r="C2194" s="31" t="s">
        <v>8720</v>
      </c>
      <c r="D2194" s="31" t="s">
        <v>1208</v>
      </c>
      <c r="E2194" s="31" t="s">
        <v>1209</v>
      </c>
      <c r="F2194" s="32">
        <v>43676.0</v>
      </c>
      <c r="G2194" s="32">
        <v>43738.0</v>
      </c>
      <c r="H2194" s="31" t="s">
        <v>262</v>
      </c>
      <c r="I2194" s="31" t="s">
        <v>1209</v>
      </c>
      <c r="J2194" s="34"/>
      <c r="K2194" s="31" t="s">
        <v>2305</v>
      </c>
      <c r="L2194" s="31" t="s">
        <v>1211</v>
      </c>
      <c r="M2194" s="31" t="s">
        <v>8721</v>
      </c>
      <c r="N2194" s="31" t="s">
        <v>267</v>
      </c>
      <c r="O2194" s="34"/>
      <c r="P2194" s="31">
        <v>5.0</v>
      </c>
      <c r="Q2194" s="31" t="s">
        <v>307</v>
      </c>
      <c r="R2194" s="32">
        <v>33983.0</v>
      </c>
      <c r="S2194" s="31" t="s">
        <v>3850</v>
      </c>
      <c r="T2194" s="31" t="s">
        <v>1670</v>
      </c>
      <c r="U2194" s="31" t="s">
        <v>271</v>
      </c>
      <c r="V2194" s="34"/>
      <c r="W2194" s="34"/>
    </row>
    <row r="2195">
      <c r="A2195" s="30">
        <v>2.19</v>
      </c>
      <c r="B2195" s="31" t="s">
        <v>8722</v>
      </c>
      <c r="C2195" s="31" t="s">
        <v>8723</v>
      </c>
      <c r="D2195" s="31" t="s">
        <v>1535</v>
      </c>
      <c r="E2195" s="31" t="s">
        <v>316</v>
      </c>
      <c r="F2195" s="32">
        <v>40646.0</v>
      </c>
      <c r="G2195" s="32">
        <v>40707.0</v>
      </c>
      <c r="H2195" s="31" t="s">
        <v>262</v>
      </c>
      <c r="I2195" s="31" t="s">
        <v>315</v>
      </c>
      <c r="J2195" s="31" t="s">
        <v>316</v>
      </c>
      <c r="K2195" s="31" t="s">
        <v>8724</v>
      </c>
      <c r="L2195" s="31" t="s">
        <v>1537</v>
      </c>
      <c r="M2195" s="31" t="s">
        <v>8725</v>
      </c>
      <c r="N2195" s="31" t="s">
        <v>467</v>
      </c>
      <c r="O2195" s="31">
        <v>2.0</v>
      </c>
      <c r="P2195" s="31">
        <v>4.0</v>
      </c>
      <c r="Q2195" s="31" t="s">
        <v>307</v>
      </c>
      <c r="R2195" s="32">
        <v>32553.0</v>
      </c>
      <c r="S2195" s="31" t="s">
        <v>955</v>
      </c>
      <c r="T2195" s="31" t="s">
        <v>1476</v>
      </c>
      <c r="U2195" s="31" t="s">
        <v>271</v>
      </c>
      <c r="V2195" s="34"/>
      <c r="W2195" s="34"/>
    </row>
    <row r="2196">
      <c r="A2196" s="30">
        <v>2.191</v>
      </c>
      <c r="B2196" s="31" t="s">
        <v>8726</v>
      </c>
      <c r="C2196" s="31" t="s">
        <v>8727</v>
      </c>
      <c r="D2196" s="31" t="s">
        <v>1329</v>
      </c>
      <c r="E2196" s="31" t="s">
        <v>1395</v>
      </c>
      <c r="F2196" s="32">
        <v>42863.0</v>
      </c>
      <c r="G2196" s="32">
        <v>42924.0</v>
      </c>
      <c r="H2196" s="31" t="s">
        <v>262</v>
      </c>
      <c r="I2196" s="31" t="s">
        <v>315</v>
      </c>
      <c r="J2196" s="31" t="s">
        <v>86</v>
      </c>
      <c r="K2196" s="31" t="s">
        <v>2386</v>
      </c>
      <c r="L2196" s="31" t="s">
        <v>1330</v>
      </c>
      <c r="M2196" s="31" t="s">
        <v>8728</v>
      </c>
      <c r="N2196" s="31" t="s">
        <v>467</v>
      </c>
      <c r="O2196" s="31">
        <v>1.0</v>
      </c>
      <c r="P2196" s="31">
        <v>3.0</v>
      </c>
      <c r="Q2196" s="31" t="s">
        <v>307</v>
      </c>
      <c r="R2196" s="32">
        <v>34890.0</v>
      </c>
      <c r="S2196" s="31" t="s">
        <v>681</v>
      </c>
      <c r="T2196" s="31" t="s">
        <v>1476</v>
      </c>
      <c r="U2196" s="31" t="s">
        <v>271</v>
      </c>
      <c r="V2196" s="31" t="s">
        <v>1395</v>
      </c>
      <c r="W2196" s="34"/>
    </row>
    <row r="2197">
      <c r="A2197" s="30">
        <v>2.192</v>
      </c>
      <c r="B2197" s="31" t="s">
        <v>8729</v>
      </c>
      <c r="C2197" s="31" t="s">
        <v>8730</v>
      </c>
      <c r="D2197" s="31" t="s">
        <v>313</v>
      </c>
      <c r="E2197" s="31" t="s">
        <v>1598</v>
      </c>
      <c r="F2197" s="32">
        <v>44064.0</v>
      </c>
      <c r="G2197" s="35">
        <v>44125.0</v>
      </c>
      <c r="H2197" s="31" t="s">
        <v>262</v>
      </c>
      <c r="I2197" s="31" t="s">
        <v>315</v>
      </c>
      <c r="J2197" s="31" t="s">
        <v>1577</v>
      </c>
      <c r="K2197" s="31" t="s">
        <v>8419</v>
      </c>
      <c r="L2197" s="31" t="s">
        <v>318</v>
      </c>
      <c r="M2197" s="31" t="s">
        <v>8731</v>
      </c>
      <c r="N2197" s="31" t="s">
        <v>467</v>
      </c>
      <c r="O2197" s="34"/>
      <c r="P2197" s="31">
        <v>3.0</v>
      </c>
      <c r="Q2197" s="31" t="s">
        <v>307</v>
      </c>
      <c r="R2197" s="32">
        <v>34158.0</v>
      </c>
      <c r="S2197" s="31" t="s">
        <v>531</v>
      </c>
      <c r="T2197" s="31" t="s">
        <v>1666</v>
      </c>
      <c r="U2197" s="31" t="s">
        <v>271</v>
      </c>
      <c r="V2197" s="31" t="s">
        <v>1598</v>
      </c>
      <c r="W2197" s="34"/>
    </row>
    <row r="2198">
      <c r="A2198" s="30">
        <v>2.193</v>
      </c>
      <c r="B2198" s="31" t="s">
        <v>8732</v>
      </c>
      <c r="C2198" s="31" t="s">
        <v>8733</v>
      </c>
      <c r="D2198" s="31" t="s">
        <v>8734</v>
      </c>
      <c r="E2198" s="31" t="s">
        <v>86</v>
      </c>
      <c r="F2198" s="32">
        <v>40406.0</v>
      </c>
      <c r="G2198" s="35">
        <v>40467.0</v>
      </c>
      <c r="H2198" s="31" t="s">
        <v>262</v>
      </c>
      <c r="I2198" s="31" t="s">
        <v>315</v>
      </c>
      <c r="J2198" s="31" t="s">
        <v>86</v>
      </c>
      <c r="K2198" s="31" t="s">
        <v>8703</v>
      </c>
      <c r="L2198" s="31" t="s">
        <v>8735</v>
      </c>
      <c r="M2198" s="31" t="s">
        <v>8736</v>
      </c>
      <c r="N2198" s="31" t="s">
        <v>467</v>
      </c>
      <c r="O2198" s="31">
        <v>2.0</v>
      </c>
      <c r="P2198" s="31">
        <v>2.0</v>
      </c>
      <c r="Q2198" s="31" t="s">
        <v>307</v>
      </c>
      <c r="R2198" s="32">
        <v>31154.0</v>
      </c>
      <c r="S2198" s="31" t="s">
        <v>1332</v>
      </c>
      <c r="T2198" s="31" t="s">
        <v>1476</v>
      </c>
      <c r="U2198" s="31" t="s">
        <v>271</v>
      </c>
      <c r="V2198" s="34"/>
      <c r="W2198" s="34"/>
    </row>
    <row r="2199">
      <c r="A2199" s="30">
        <v>2.194</v>
      </c>
      <c r="B2199" s="31" t="s">
        <v>8737</v>
      </c>
      <c r="C2199" s="31" t="s">
        <v>884</v>
      </c>
      <c r="D2199" s="31" t="s">
        <v>1541</v>
      </c>
      <c r="E2199" s="31" t="s">
        <v>1507</v>
      </c>
      <c r="F2199" s="32">
        <v>43665.0</v>
      </c>
      <c r="G2199" s="32">
        <v>43727.0</v>
      </c>
      <c r="H2199" s="31" t="s">
        <v>262</v>
      </c>
      <c r="I2199" s="31" t="s">
        <v>315</v>
      </c>
      <c r="J2199" s="31" t="s">
        <v>316</v>
      </c>
      <c r="K2199" s="31" t="s">
        <v>2390</v>
      </c>
      <c r="L2199" s="31" t="s">
        <v>1542</v>
      </c>
      <c r="M2199" s="31" t="s">
        <v>8738</v>
      </c>
      <c r="N2199" s="31" t="s">
        <v>267</v>
      </c>
      <c r="O2199" s="31">
        <v>1.0</v>
      </c>
      <c r="P2199" s="31">
        <v>5.0</v>
      </c>
      <c r="Q2199" s="31" t="s">
        <v>307</v>
      </c>
      <c r="R2199" s="32">
        <v>35966.0</v>
      </c>
      <c r="S2199" s="31" t="s">
        <v>320</v>
      </c>
      <c r="T2199" s="31" t="s">
        <v>1686</v>
      </c>
      <c r="U2199" s="31" t="s">
        <v>271</v>
      </c>
      <c r="V2199" s="31" t="s">
        <v>1507</v>
      </c>
      <c r="W2199" s="34"/>
    </row>
    <row r="2200">
      <c r="A2200" s="30">
        <v>2.195</v>
      </c>
      <c r="B2200" s="31" t="s">
        <v>8739</v>
      </c>
      <c r="C2200" s="31" t="s">
        <v>4800</v>
      </c>
      <c r="D2200" s="31" t="s">
        <v>765</v>
      </c>
      <c r="E2200" s="31" t="s">
        <v>1701</v>
      </c>
      <c r="F2200" s="32">
        <v>45194.0</v>
      </c>
      <c r="G2200" s="35">
        <v>45254.0</v>
      </c>
      <c r="H2200" s="31" t="s">
        <v>262</v>
      </c>
      <c r="I2200" s="31" t="s">
        <v>263</v>
      </c>
      <c r="J2200" s="31" t="s">
        <v>767</v>
      </c>
      <c r="K2200" s="31" t="s">
        <v>1702</v>
      </c>
      <c r="L2200" s="31" t="s">
        <v>769</v>
      </c>
      <c r="M2200" s="31" t="s">
        <v>8740</v>
      </c>
      <c r="N2200" s="31" t="s">
        <v>467</v>
      </c>
      <c r="O2200" s="34"/>
      <c r="P2200" s="31">
        <v>1.0</v>
      </c>
      <c r="Q2200" s="31" t="s">
        <v>307</v>
      </c>
      <c r="R2200" s="32">
        <v>36693.0</v>
      </c>
      <c r="S2200" s="31" t="s">
        <v>515</v>
      </c>
      <c r="T2200" s="31" t="s">
        <v>321</v>
      </c>
      <c r="U2200" s="31" t="s">
        <v>271</v>
      </c>
      <c r="V2200" s="31" t="s">
        <v>1701</v>
      </c>
      <c r="W2200" s="34"/>
    </row>
    <row r="2201">
      <c r="A2201" s="30">
        <v>2.196</v>
      </c>
      <c r="B2201" s="31" t="s">
        <v>8741</v>
      </c>
      <c r="C2201" s="31" t="s">
        <v>8742</v>
      </c>
      <c r="D2201" s="31" t="s">
        <v>260</v>
      </c>
      <c r="E2201" s="31" t="s">
        <v>403</v>
      </c>
      <c r="F2201" s="32">
        <v>45187.0</v>
      </c>
      <c r="G2201" s="35">
        <v>45247.0</v>
      </c>
      <c r="H2201" s="31" t="s">
        <v>262</v>
      </c>
      <c r="I2201" s="31" t="s">
        <v>2219</v>
      </c>
      <c r="J2201" s="31" t="s">
        <v>403</v>
      </c>
      <c r="K2201" s="31" t="s">
        <v>2227</v>
      </c>
      <c r="L2201" s="31" t="s">
        <v>392</v>
      </c>
      <c r="M2201" s="31" t="s">
        <v>8743</v>
      </c>
      <c r="N2201" s="31" t="s">
        <v>267</v>
      </c>
      <c r="O2201" s="34"/>
      <c r="P2201" s="31">
        <v>1.0</v>
      </c>
      <c r="Q2201" s="31" t="s">
        <v>307</v>
      </c>
      <c r="R2201" s="32">
        <v>34590.0</v>
      </c>
      <c r="S2201" s="31" t="s">
        <v>286</v>
      </c>
      <c r="T2201" s="31" t="s">
        <v>1999</v>
      </c>
      <c r="U2201" s="31" t="s">
        <v>271</v>
      </c>
      <c r="V2201" s="34"/>
      <c r="W2201" s="34"/>
    </row>
    <row r="2202">
      <c r="A2202" s="30">
        <v>2.197</v>
      </c>
      <c r="B2202" s="31" t="s">
        <v>8744</v>
      </c>
      <c r="C2202" s="31" t="s">
        <v>8745</v>
      </c>
      <c r="D2202" s="31" t="s">
        <v>925</v>
      </c>
      <c r="E2202" s="31" t="s">
        <v>1985</v>
      </c>
      <c r="F2202" s="32">
        <v>45159.0</v>
      </c>
      <c r="G2202" s="35">
        <v>45219.0</v>
      </c>
      <c r="H2202" s="31" t="s">
        <v>262</v>
      </c>
      <c r="I2202" s="31" t="s">
        <v>275</v>
      </c>
      <c r="J2202" s="31" t="s">
        <v>2029</v>
      </c>
      <c r="K2202" s="31" t="s">
        <v>2070</v>
      </c>
      <c r="L2202" s="31" t="s">
        <v>929</v>
      </c>
      <c r="M2202" s="31" t="s">
        <v>8746</v>
      </c>
      <c r="N2202" s="31" t="s">
        <v>467</v>
      </c>
      <c r="O2202" s="34"/>
      <c r="P2202" s="31">
        <v>1.0</v>
      </c>
      <c r="Q2202" s="31" t="s">
        <v>307</v>
      </c>
      <c r="R2202" s="32">
        <v>37171.0</v>
      </c>
      <c r="S2202" s="31" t="s">
        <v>320</v>
      </c>
      <c r="T2202" s="31" t="s">
        <v>8747</v>
      </c>
      <c r="U2202" s="31" t="s">
        <v>271</v>
      </c>
      <c r="V2202" s="31" t="s">
        <v>1985</v>
      </c>
      <c r="W2202" s="34"/>
    </row>
    <row r="2203">
      <c r="A2203" s="30">
        <v>2.198</v>
      </c>
      <c r="B2203" s="31" t="s">
        <v>8748</v>
      </c>
      <c r="C2203" s="31" t="s">
        <v>8749</v>
      </c>
      <c r="D2203" s="31" t="s">
        <v>925</v>
      </c>
      <c r="E2203" s="31" t="s">
        <v>1985</v>
      </c>
      <c r="F2203" s="32">
        <v>45159.0</v>
      </c>
      <c r="G2203" s="35">
        <v>45219.0</v>
      </c>
      <c r="H2203" s="31" t="s">
        <v>262</v>
      </c>
      <c r="I2203" s="31" t="s">
        <v>275</v>
      </c>
      <c r="J2203" s="31" t="s">
        <v>1986</v>
      </c>
      <c r="K2203" s="31" t="s">
        <v>1987</v>
      </c>
      <c r="L2203" s="31" t="s">
        <v>929</v>
      </c>
      <c r="M2203" s="31" t="s">
        <v>8750</v>
      </c>
      <c r="N2203" s="31" t="s">
        <v>467</v>
      </c>
      <c r="O2203" s="34"/>
      <c r="P2203" s="31">
        <v>1.0</v>
      </c>
      <c r="Q2203" s="31" t="s">
        <v>307</v>
      </c>
      <c r="R2203" s="35">
        <v>36818.0</v>
      </c>
      <c r="S2203" s="31" t="s">
        <v>320</v>
      </c>
      <c r="T2203" s="31" t="s">
        <v>1666</v>
      </c>
      <c r="U2203" s="31" t="s">
        <v>271</v>
      </c>
      <c r="V2203" s="31" t="s">
        <v>1985</v>
      </c>
      <c r="W2203" s="34"/>
    </row>
    <row r="2204">
      <c r="A2204" s="30">
        <v>2.199</v>
      </c>
      <c r="B2204" s="31" t="s">
        <v>8751</v>
      </c>
      <c r="C2204" s="31" t="s">
        <v>8752</v>
      </c>
      <c r="D2204" s="31" t="s">
        <v>260</v>
      </c>
      <c r="E2204" s="31" t="s">
        <v>2090</v>
      </c>
      <c r="F2204" s="32">
        <v>45149.0</v>
      </c>
      <c r="G2204" s="35">
        <v>45209.0</v>
      </c>
      <c r="H2204" s="31" t="s">
        <v>262</v>
      </c>
      <c r="I2204" s="31" t="s">
        <v>275</v>
      </c>
      <c r="J2204" s="31" t="s">
        <v>2090</v>
      </c>
      <c r="K2204" s="31" t="s">
        <v>2091</v>
      </c>
      <c r="L2204" s="31" t="s">
        <v>277</v>
      </c>
      <c r="M2204" s="31" t="s">
        <v>8753</v>
      </c>
      <c r="N2204" s="31" t="s">
        <v>267</v>
      </c>
      <c r="O2204" s="34"/>
      <c r="P2204" s="31">
        <v>1.0</v>
      </c>
      <c r="Q2204" s="31" t="s">
        <v>307</v>
      </c>
      <c r="R2204" s="32">
        <v>37295.0</v>
      </c>
      <c r="S2204" s="31" t="s">
        <v>320</v>
      </c>
      <c r="T2204" s="31" t="s">
        <v>7398</v>
      </c>
      <c r="U2204" s="31" t="s">
        <v>271</v>
      </c>
      <c r="V2204" s="34"/>
      <c r="W2204" s="34"/>
    </row>
    <row r="2205">
      <c r="A2205" s="30">
        <v>2.2</v>
      </c>
      <c r="B2205" s="31" t="s">
        <v>8754</v>
      </c>
      <c r="C2205" s="31" t="s">
        <v>8755</v>
      </c>
      <c r="D2205" s="31" t="s">
        <v>260</v>
      </c>
      <c r="E2205" s="31" t="s">
        <v>274</v>
      </c>
      <c r="F2205" s="32">
        <v>45149.0</v>
      </c>
      <c r="G2205" s="35">
        <v>45209.0</v>
      </c>
      <c r="H2205" s="31" t="s">
        <v>262</v>
      </c>
      <c r="I2205" s="31" t="s">
        <v>275</v>
      </c>
      <c r="J2205" s="31" t="s">
        <v>274</v>
      </c>
      <c r="K2205" s="31" t="s">
        <v>276</v>
      </c>
      <c r="L2205" s="31" t="s">
        <v>277</v>
      </c>
      <c r="M2205" s="31" t="s">
        <v>8756</v>
      </c>
      <c r="N2205" s="31" t="s">
        <v>267</v>
      </c>
      <c r="O2205" s="34"/>
      <c r="P2205" s="31">
        <v>1.0</v>
      </c>
      <c r="Q2205" s="31" t="s">
        <v>307</v>
      </c>
      <c r="R2205" s="32">
        <v>37523.0</v>
      </c>
      <c r="S2205" s="31" t="s">
        <v>320</v>
      </c>
      <c r="T2205" s="31" t="s">
        <v>4540</v>
      </c>
      <c r="U2205" s="31" t="s">
        <v>271</v>
      </c>
      <c r="V2205" s="34"/>
      <c r="W2205" s="34"/>
    </row>
    <row r="2206">
      <c r="A2206" s="30">
        <v>2.201</v>
      </c>
      <c r="B2206" s="31" t="s">
        <v>8757</v>
      </c>
      <c r="C2206" s="31" t="s">
        <v>8758</v>
      </c>
      <c r="D2206" s="31" t="s">
        <v>506</v>
      </c>
      <c r="E2206" s="31" t="s">
        <v>2079</v>
      </c>
      <c r="F2206" s="32">
        <v>45149.0</v>
      </c>
      <c r="G2206" s="35">
        <v>45209.0</v>
      </c>
      <c r="H2206" s="31" t="s">
        <v>262</v>
      </c>
      <c r="I2206" s="31" t="s">
        <v>275</v>
      </c>
      <c r="J2206" s="31" t="s">
        <v>2079</v>
      </c>
      <c r="K2206" s="31" t="s">
        <v>2080</v>
      </c>
      <c r="L2206" s="31" t="s">
        <v>8441</v>
      </c>
      <c r="M2206" s="31" t="s">
        <v>8759</v>
      </c>
      <c r="N2206" s="31" t="s">
        <v>267</v>
      </c>
      <c r="O2206" s="34"/>
      <c r="P2206" s="31">
        <v>1.0</v>
      </c>
      <c r="Q2206" s="31" t="s">
        <v>307</v>
      </c>
      <c r="R2206" s="32">
        <v>36203.0</v>
      </c>
      <c r="S2206" s="31" t="s">
        <v>1740</v>
      </c>
      <c r="T2206" s="31" t="s">
        <v>1639</v>
      </c>
      <c r="U2206" s="31" t="s">
        <v>271</v>
      </c>
      <c r="V2206" s="34"/>
      <c r="W2206" s="34"/>
    </row>
    <row r="2207">
      <c r="A2207" s="30">
        <v>2.202</v>
      </c>
      <c r="B2207" s="31" t="s">
        <v>8760</v>
      </c>
      <c r="C2207" s="31" t="s">
        <v>8761</v>
      </c>
      <c r="D2207" s="31" t="s">
        <v>260</v>
      </c>
      <c r="E2207" s="31" t="s">
        <v>403</v>
      </c>
      <c r="F2207" s="32">
        <v>45133.0</v>
      </c>
      <c r="G2207" s="32">
        <v>45193.0</v>
      </c>
      <c r="H2207" s="31" t="s">
        <v>262</v>
      </c>
      <c r="I2207" s="31" t="s">
        <v>2219</v>
      </c>
      <c r="J2207" s="31" t="s">
        <v>403</v>
      </c>
      <c r="K2207" s="31" t="s">
        <v>2227</v>
      </c>
      <c r="L2207" s="31" t="s">
        <v>392</v>
      </c>
      <c r="M2207" s="31" t="s">
        <v>8762</v>
      </c>
      <c r="N2207" s="31" t="s">
        <v>267</v>
      </c>
      <c r="O2207" s="34"/>
      <c r="P2207" s="31">
        <v>1.0</v>
      </c>
      <c r="Q2207" s="31" t="s">
        <v>307</v>
      </c>
      <c r="R2207" s="32">
        <v>37271.0</v>
      </c>
      <c r="S2207" s="31" t="s">
        <v>1041</v>
      </c>
      <c r="T2207" s="31" t="s">
        <v>8763</v>
      </c>
      <c r="U2207" s="31" t="s">
        <v>271</v>
      </c>
      <c r="V2207" s="34"/>
      <c r="W2207" s="34"/>
    </row>
    <row r="2208">
      <c r="A2208" s="30">
        <v>2.203</v>
      </c>
      <c r="B2208" s="31" t="s">
        <v>8764</v>
      </c>
      <c r="C2208" s="31" t="s">
        <v>8765</v>
      </c>
      <c r="D2208" s="31" t="s">
        <v>260</v>
      </c>
      <c r="E2208" s="31" t="s">
        <v>403</v>
      </c>
      <c r="F2208" s="32">
        <v>45133.0</v>
      </c>
      <c r="G2208" s="32">
        <v>45193.0</v>
      </c>
      <c r="H2208" s="31" t="s">
        <v>262</v>
      </c>
      <c r="I2208" s="31" t="s">
        <v>2219</v>
      </c>
      <c r="J2208" s="31" t="s">
        <v>403</v>
      </c>
      <c r="K2208" s="31" t="s">
        <v>2227</v>
      </c>
      <c r="L2208" s="31" t="s">
        <v>392</v>
      </c>
      <c r="M2208" s="31" t="s">
        <v>8766</v>
      </c>
      <c r="N2208" s="31" t="s">
        <v>267</v>
      </c>
      <c r="O2208" s="34"/>
      <c r="P2208" s="31">
        <v>1.0</v>
      </c>
      <c r="Q2208" s="31" t="s">
        <v>307</v>
      </c>
      <c r="R2208" s="32">
        <v>37062.0</v>
      </c>
      <c r="S2208" s="31" t="s">
        <v>955</v>
      </c>
      <c r="T2208" s="31" t="s">
        <v>1915</v>
      </c>
      <c r="U2208" s="31" t="s">
        <v>271</v>
      </c>
      <c r="V2208" s="34"/>
      <c r="W2208" s="34"/>
    </row>
    <row r="2209">
      <c r="A2209" s="30">
        <v>2.204</v>
      </c>
      <c r="B2209" s="31" t="s">
        <v>8767</v>
      </c>
      <c r="C2209" s="31" t="s">
        <v>8768</v>
      </c>
      <c r="D2209" s="31" t="s">
        <v>260</v>
      </c>
      <c r="E2209" s="31" t="s">
        <v>261</v>
      </c>
      <c r="F2209" s="32">
        <v>45132.0</v>
      </c>
      <c r="G2209" s="32">
        <v>45192.0</v>
      </c>
      <c r="H2209" s="31" t="s">
        <v>262</v>
      </c>
      <c r="I2209" s="31" t="s">
        <v>263</v>
      </c>
      <c r="J2209" s="31" t="s">
        <v>261</v>
      </c>
      <c r="K2209" s="31" t="s">
        <v>264</v>
      </c>
      <c r="L2209" s="31" t="s">
        <v>265</v>
      </c>
      <c r="M2209" s="31" t="s">
        <v>8769</v>
      </c>
      <c r="N2209" s="31" t="s">
        <v>267</v>
      </c>
      <c r="O2209" s="34"/>
      <c r="P2209" s="31">
        <v>1.0</v>
      </c>
      <c r="Q2209" s="31" t="s">
        <v>307</v>
      </c>
      <c r="R2209" s="32">
        <v>37036.0</v>
      </c>
      <c r="S2209" s="31" t="s">
        <v>631</v>
      </c>
      <c r="T2209" s="31" t="s">
        <v>4620</v>
      </c>
      <c r="U2209" s="31" t="s">
        <v>271</v>
      </c>
      <c r="V2209" s="34"/>
      <c r="W2209" s="34"/>
    </row>
    <row r="2210">
      <c r="A2210" s="30">
        <v>2.205</v>
      </c>
      <c r="B2210" s="31" t="s">
        <v>8770</v>
      </c>
      <c r="C2210" s="31" t="s">
        <v>8771</v>
      </c>
      <c r="D2210" s="31" t="s">
        <v>260</v>
      </c>
      <c r="E2210" s="31" t="s">
        <v>2231</v>
      </c>
      <c r="F2210" s="32">
        <v>45124.0</v>
      </c>
      <c r="G2210" s="32">
        <v>45184.0</v>
      </c>
      <c r="H2210" s="31" t="s">
        <v>262</v>
      </c>
      <c r="I2210" s="31" t="s">
        <v>2219</v>
      </c>
      <c r="J2210" s="31" t="s">
        <v>2231</v>
      </c>
      <c r="K2210" s="31" t="s">
        <v>2232</v>
      </c>
      <c r="L2210" s="31" t="s">
        <v>392</v>
      </c>
      <c r="M2210" s="31" t="s">
        <v>8772</v>
      </c>
      <c r="N2210" s="31" t="s">
        <v>467</v>
      </c>
      <c r="O2210" s="34"/>
      <c r="P2210" s="31">
        <v>1.0</v>
      </c>
      <c r="Q2210" s="31" t="s">
        <v>307</v>
      </c>
      <c r="R2210" s="32">
        <v>37445.0</v>
      </c>
      <c r="S2210" s="31" t="s">
        <v>320</v>
      </c>
      <c r="T2210" s="31" t="s">
        <v>8143</v>
      </c>
      <c r="U2210" s="31" t="s">
        <v>271</v>
      </c>
      <c r="V2210" s="34"/>
      <c r="W2210" s="34"/>
    </row>
    <row r="2211">
      <c r="A2211" s="30">
        <v>2.206</v>
      </c>
      <c r="B2211" s="31" t="s">
        <v>8773</v>
      </c>
      <c r="C2211" s="31" t="s">
        <v>8774</v>
      </c>
      <c r="D2211" s="31" t="s">
        <v>260</v>
      </c>
      <c r="E2211" s="31" t="s">
        <v>403</v>
      </c>
      <c r="F2211" s="32">
        <v>45114.0</v>
      </c>
      <c r="G2211" s="32">
        <v>45174.0</v>
      </c>
      <c r="H2211" s="31" t="s">
        <v>262</v>
      </c>
      <c r="I2211" s="31" t="s">
        <v>2219</v>
      </c>
      <c r="J2211" s="31" t="s">
        <v>403</v>
      </c>
      <c r="K2211" s="31" t="s">
        <v>2227</v>
      </c>
      <c r="L2211" s="31" t="s">
        <v>392</v>
      </c>
      <c r="M2211" s="31" t="s">
        <v>8775</v>
      </c>
      <c r="N2211" s="31" t="s">
        <v>267</v>
      </c>
      <c r="O2211" s="34"/>
      <c r="P2211" s="31">
        <v>1.0</v>
      </c>
      <c r="Q2211" s="31" t="s">
        <v>307</v>
      </c>
      <c r="R2211" s="32">
        <v>36677.0</v>
      </c>
      <c r="S2211" s="31" t="s">
        <v>681</v>
      </c>
      <c r="T2211" s="31" t="s">
        <v>1915</v>
      </c>
      <c r="U2211" s="31" t="s">
        <v>271</v>
      </c>
      <c r="V2211" s="34"/>
      <c r="W2211" s="34"/>
    </row>
    <row r="2212">
      <c r="A2212" s="30">
        <v>2.207</v>
      </c>
      <c r="B2212" s="31" t="s">
        <v>8776</v>
      </c>
      <c r="C2212" s="31" t="s">
        <v>8777</v>
      </c>
      <c r="D2212" s="31" t="s">
        <v>260</v>
      </c>
      <c r="E2212" s="31" t="s">
        <v>1139</v>
      </c>
      <c r="F2212" s="32">
        <v>45110.0</v>
      </c>
      <c r="G2212" s="32">
        <v>45170.0</v>
      </c>
      <c r="H2212" s="31" t="s">
        <v>262</v>
      </c>
      <c r="I2212" s="31" t="s">
        <v>2219</v>
      </c>
      <c r="J2212" s="31" t="s">
        <v>1139</v>
      </c>
      <c r="K2212" s="31" t="s">
        <v>2220</v>
      </c>
      <c r="L2212" s="31" t="s">
        <v>392</v>
      </c>
      <c r="M2212" s="31" t="s">
        <v>8778</v>
      </c>
      <c r="N2212" s="31" t="s">
        <v>267</v>
      </c>
      <c r="O2212" s="34"/>
      <c r="P2212" s="31">
        <v>1.0</v>
      </c>
      <c r="Q2212" s="31" t="s">
        <v>307</v>
      </c>
      <c r="R2212" s="32">
        <v>37329.0</v>
      </c>
      <c r="S2212" s="31" t="s">
        <v>320</v>
      </c>
      <c r="T2212" s="31" t="s">
        <v>1476</v>
      </c>
      <c r="U2212" s="31" t="s">
        <v>271</v>
      </c>
      <c r="V2212" s="34"/>
      <c r="W2212" s="34"/>
    </row>
    <row r="2213">
      <c r="A2213" s="30">
        <v>2.208</v>
      </c>
      <c r="B2213" s="31" t="s">
        <v>8779</v>
      </c>
      <c r="C2213" s="31" t="s">
        <v>8780</v>
      </c>
      <c r="D2213" s="31" t="s">
        <v>260</v>
      </c>
      <c r="E2213" s="31" t="s">
        <v>403</v>
      </c>
      <c r="F2213" s="32">
        <v>45110.0</v>
      </c>
      <c r="G2213" s="32">
        <v>45170.0</v>
      </c>
      <c r="H2213" s="31" t="s">
        <v>262</v>
      </c>
      <c r="I2213" s="31" t="s">
        <v>2219</v>
      </c>
      <c r="J2213" s="31" t="s">
        <v>403</v>
      </c>
      <c r="K2213" s="31" t="s">
        <v>2227</v>
      </c>
      <c r="L2213" s="31" t="s">
        <v>392</v>
      </c>
      <c r="M2213" s="31" t="s">
        <v>8781</v>
      </c>
      <c r="N2213" s="31" t="s">
        <v>467</v>
      </c>
      <c r="O2213" s="34"/>
      <c r="P2213" s="31">
        <v>1.0</v>
      </c>
      <c r="Q2213" s="31" t="s">
        <v>307</v>
      </c>
      <c r="R2213" s="32">
        <v>37358.0</v>
      </c>
      <c r="S2213" s="31" t="s">
        <v>320</v>
      </c>
      <c r="T2213" s="31" t="s">
        <v>1666</v>
      </c>
      <c r="U2213" s="31" t="s">
        <v>271</v>
      </c>
      <c r="V2213" s="34"/>
      <c r="W2213" s="34"/>
    </row>
    <row r="2214">
      <c r="A2214" s="30">
        <v>2.209</v>
      </c>
      <c r="B2214" s="31" t="s">
        <v>8782</v>
      </c>
      <c r="C2214" s="31" t="s">
        <v>1812</v>
      </c>
      <c r="D2214" s="31" t="s">
        <v>260</v>
      </c>
      <c r="E2214" s="31" t="s">
        <v>283</v>
      </c>
      <c r="F2214" s="32">
        <v>45110.0</v>
      </c>
      <c r="G2214" s="32">
        <v>45170.0</v>
      </c>
      <c r="H2214" s="31" t="s">
        <v>262</v>
      </c>
      <c r="I2214" s="31" t="s">
        <v>275</v>
      </c>
      <c r="J2214" s="31" t="s">
        <v>283</v>
      </c>
      <c r="K2214" s="31" t="s">
        <v>284</v>
      </c>
      <c r="L2214" s="31" t="s">
        <v>277</v>
      </c>
      <c r="M2214" s="31" t="s">
        <v>8783</v>
      </c>
      <c r="N2214" s="31" t="s">
        <v>267</v>
      </c>
      <c r="O2214" s="34"/>
      <c r="P2214" s="31">
        <v>1.0</v>
      </c>
      <c r="Q2214" s="31" t="s">
        <v>307</v>
      </c>
      <c r="R2214" s="32">
        <v>36682.0</v>
      </c>
      <c r="S2214" s="31" t="s">
        <v>320</v>
      </c>
      <c r="T2214" s="31" t="s">
        <v>321</v>
      </c>
      <c r="U2214" s="31" t="s">
        <v>271</v>
      </c>
      <c r="V2214" s="34"/>
      <c r="W2214" s="34"/>
    </row>
    <row r="2215">
      <c r="A2215" s="30">
        <v>2.21</v>
      </c>
      <c r="B2215" s="31" t="s">
        <v>8784</v>
      </c>
      <c r="C2215" s="31" t="s">
        <v>8785</v>
      </c>
      <c r="D2215" s="31" t="s">
        <v>260</v>
      </c>
      <c r="E2215" s="31" t="s">
        <v>283</v>
      </c>
      <c r="F2215" s="32">
        <v>45110.0</v>
      </c>
      <c r="G2215" s="32">
        <v>45170.0</v>
      </c>
      <c r="H2215" s="31" t="s">
        <v>262</v>
      </c>
      <c r="I2215" s="31" t="s">
        <v>275</v>
      </c>
      <c r="J2215" s="31" t="s">
        <v>283</v>
      </c>
      <c r="K2215" s="31" t="s">
        <v>284</v>
      </c>
      <c r="L2215" s="31" t="s">
        <v>277</v>
      </c>
      <c r="M2215" s="31" t="s">
        <v>8786</v>
      </c>
      <c r="N2215" s="31" t="s">
        <v>267</v>
      </c>
      <c r="O2215" s="34"/>
      <c r="P2215" s="31">
        <v>1.0</v>
      </c>
      <c r="Q2215" s="31" t="s">
        <v>307</v>
      </c>
      <c r="R2215" s="32">
        <v>36636.0</v>
      </c>
      <c r="S2215" s="31" t="s">
        <v>320</v>
      </c>
      <c r="T2215" s="31" t="s">
        <v>1639</v>
      </c>
      <c r="U2215" s="31" t="s">
        <v>271</v>
      </c>
      <c r="V2215" s="34"/>
      <c r="W2215" s="34"/>
    </row>
    <row r="2216">
      <c r="A2216" s="30">
        <v>2.211</v>
      </c>
      <c r="B2216" s="31" t="s">
        <v>8787</v>
      </c>
      <c r="C2216" s="31" t="s">
        <v>8788</v>
      </c>
      <c r="D2216" s="31" t="s">
        <v>260</v>
      </c>
      <c r="E2216" s="31" t="s">
        <v>2090</v>
      </c>
      <c r="F2216" s="32">
        <v>45073.0</v>
      </c>
      <c r="G2216" s="32">
        <v>45133.0</v>
      </c>
      <c r="H2216" s="31" t="s">
        <v>262</v>
      </c>
      <c r="I2216" s="31" t="s">
        <v>275</v>
      </c>
      <c r="J2216" s="31" t="s">
        <v>2090</v>
      </c>
      <c r="K2216" s="31" t="s">
        <v>2091</v>
      </c>
      <c r="L2216" s="31" t="s">
        <v>277</v>
      </c>
      <c r="M2216" s="31" t="s">
        <v>8789</v>
      </c>
      <c r="N2216" s="31" t="s">
        <v>467</v>
      </c>
      <c r="O2216" s="34"/>
      <c r="P2216" s="31">
        <v>1.0</v>
      </c>
      <c r="Q2216" s="31" t="s">
        <v>307</v>
      </c>
      <c r="R2216" s="32">
        <v>37149.0</v>
      </c>
      <c r="S2216" s="31" t="s">
        <v>526</v>
      </c>
      <c r="T2216" s="31" t="s">
        <v>1647</v>
      </c>
      <c r="U2216" s="31" t="s">
        <v>271</v>
      </c>
      <c r="V2216" s="34"/>
      <c r="W2216" s="34"/>
    </row>
    <row r="2217">
      <c r="A2217" s="30">
        <v>2.212</v>
      </c>
      <c r="B2217" s="31" t="s">
        <v>8790</v>
      </c>
      <c r="C2217" s="31" t="s">
        <v>7421</v>
      </c>
      <c r="D2217" s="31" t="s">
        <v>260</v>
      </c>
      <c r="E2217" s="31" t="s">
        <v>2090</v>
      </c>
      <c r="F2217" s="32">
        <v>45068.0</v>
      </c>
      <c r="G2217" s="32">
        <v>45128.0</v>
      </c>
      <c r="H2217" s="31" t="s">
        <v>262</v>
      </c>
      <c r="I2217" s="31" t="s">
        <v>275</v>
      </c>
      <c r="J2217" s="31" t="s">
        <v>2090</v>
      </c>
      <c r="K2217" s="31" t="s">
        <v>2091</v>
      </c>
      <c r="L2217" s="31" t="s">
        <v>277</v>
      </c>
      <c r="M2217" s="31" t="s">
        <v>8791</v>
      </c>
      <c r="N2217" s="31" t="s">
        <v>267</v>
      </c>
      <c r="O2217" s="34"/>
      <c r="P2217" s="31">
        <v>1.0</v>
      </c>
      <c r="Q2217" s="31" t="s">
        <v>307</v>
      </c>
      <c r="R2217" s="32">
        <v>37074.0</v>
      </c>
      <c r="S2217" s="31" t="s">
        <v>874</v>
      </c>
      <c r="T2217" s="31" t="s">
        <v>1476</v>
      </c>
      <c r="U2217" s="31" t="s">
        <v>271</v>
      </c>
      <c r="V2217" s="34"/>
      <c r="W2217" s="34"/>
    </row>
    <row r="2218">
      <c r="A2218" s="30">
        <v>2.213</v>
      </c>
      <c r="B2218" s="31" t="s">
        <v>8792</v>
      </c>
      <c r="C2218" s="31" t="s">
        <v>8793</v>
      </c>
      <c r="D2218" s="31" t="s">
        <v>260</v>
      </c>
      <c r="E2218" s="31" t="s">
        <v>2231</v>
      </c>
      <c r="F2218" s="32">
        <v>45055.0</v>
      </c>
      <c r="G2218" s="32">
        <v>45115.0</v>
      </c>
      <c r="H2218" s="31" t="s">
        <v>262</v>
      </c>
      <c r="I2218" s="31" t="s">
        <v>2219</v>
      </c>
      <c r="J2218" s="31" t="s">
        <v>2231</v>
      </c>
      <c r="K2218" s="31" t="s">
        <v>2232</v>
      </c>
      <c r="L2218" s="31" t="s">
        <v>392</v>
      </c>
      <c r="M2218" s="31" t="s">
        <v>8794</v>
      </c>
      <c r="N2218" s="31" t="s">
        <v>267</v>
      </c>
      <c r="O2218" s="34"/>
      <c r="P2218" s="31">
        <v>1.0</v>
      </c>
      <c r="Q2218" s="31" t="s">
        <v>307</v>
      </c>
      <c r="R2218" s="35">
        <v>36815.0</v>
      </c>
      <c r="S2218" s="31" t="s">
        <v>531</v>
      </c>
      <c r="T2218" s="31" t="s">
        <v>1765</v>
      </c>
      <c r="U2218" s="31" t="s">
        <v>271</v>
      </c>
      <c r="V2218" s="34"/>
      <c r="W2218" s="34"/>
    </row>
    <row r="2219">
      <c r="A2219" s="30">
        <v>2.214</v>
      </c>
      <c r="B2219" s="31" t="s">
        <v>8795</v>
      </c>
      <c r="C2219" s="31" t="s">
        <v>8796</v>
      </c>
      <c r="D2219" s="31" t="s">
        <v>260</v>
      </c>
      <c r="E2219" s="31" t="s">
        <v>390</v>
      </c>
      <c r="F2219" s="32">
        <v>45040.0</v>
      </c>
      <c r="G2219" s="32">
        <v>45101.0</v>
      </c>
      <c r="H2219" s="31" t="s">
        <v>262</v>
      </c>
      <c r="I2219" s="31" t="s">
        <v>2219</v>
      </c>
      <c r="J2219" s="31" t="s">
        <v>390</v>
      </c>
      <c r="K2219" s="31" t="s">
        <v>2290</v>
      </c>
      <c r="L2219" s="31" t="s">
        <v>392</v>
      </c>
      <c r="M2219" s="31" t="s">
        <v>8797</v>
      </c>
      <c r="N2219" s="31" t="s">
        <v>267</v>
      </c>
      <c r="O2219" s="34"/>
      <c r="P2219" s="31">
        <v>1.0</v>
      </c>
      <c r="Q2219" s="31" t="s">
        <v>307</v>
      </c>
      <c r="R2219" s="35">
        <v>36859.0</v>
      </c>
      <c r="S2219" s="31" t="s">
        <v>320</v>
      </c>
      <c r="T2219" s="31" t="s">
        <v>7152</v>
      </c>
      <c r="U2219" s="31" t="s">
        <v>271</v>
      </c>
      <c r="V2219" s="34"/>
      <c r="W2219" s="34"/>
    </row>
    <row r="2220">
      <c r="A2220" s="30">
        <v>2.215</v>
      </c>
      <c r="B2220" s="31" t="s">
        <v>8798</v>
      </c>
      <c r="C2220" s="31" t="s">
        <v>8799</v>
      </c>
      <c r="D2220" s="31" t="s">
        <v>260</v>
      </c>
      <c r="E2220" s="31" t="s">
        <v>1130</v>
      </c>
      <c r="F2220" s="32">
        <v>45040.0</v>
      </c>
      <c r="G2220" s="32">
        <v>45101.0</v>
      </c>
      <c r="H2220" s="31" t="s">
        <v>262</v>
      </c>
      <c r="I2220" s="31" t="s">
        <v>2219</v>
      </c>
      <c r="J2220" s="31" t="s">
        <v>1130</v>
      </c>
      <c r="K2220" s="31" t="s">
        <v>2236</v>
      </c>
      <c r="L2220" s="31" t="s">
        <v>392</v>
      </c>
      <c r="M2220" s="31" t="s">
        <v>8800</v>
      </c>
      <c r="N2220" s="31" t="s">
        <v>267</v>
      </c>
      <c r="O2220" s="34"/>
      <c r="P2220" s="31">
        <v>1.0</v>
      </c>
      <c r="Q2220" s="31" t="s">
        <v>307</v>
      </c>
      <c r="R2220" s="32">
        <v>36623.0</v>
      </c>
      <c r="S2220" s="31" t="s">
        <v>631</v>
      </c>
      <c r="T2220" s="31" t="s">
        <v>1789</v>
      </c>
      <c r="U2220" s="31" t="s">
        <v>271</v>
      </c>
      <c r="V2220" s="34"/>
      <c r="W2220" s="34"/>
    </row>
    <row r="2221">
      <c r="A2221" s="30">
        <v>2.216</v>
      </c>
      <c r="B2221" s="31" t="s">
        <v>8801</v>
      </c>
      <c r="C2221" s="31" t="s">
        <v>2853</v>
      </c>
      <c r="D2221" s="31" t="s">
        <v>260</v>
      </c>
      <c r="E2221" s="31" t="s">
        <v>261</v>
      </c>
      <c r="F2221" s="32">
        <v>45030.0</v>
      </c>
      <c r="G2221" s="32">
        <v>45091.0</v>
      </c>
      <c r="H2221" s="31" t="s">
        <v>262</v>
      </c>
      <c r="I2221" s="31" t="s">
        <v>263</v>
      </c>
      <c r="J2221" s="31" t="s">
        <v>261</v>
      </c>
      <c r="K2221" s="31" t="s">
        <v>264</v>
      </c>
      <c r="L2221" s="31" t="s">
        <v>265</v>
      </c>
      <c r="M2221" s="31" t="s">
        <v>8802</v>
      </c>
      <c r="N2221" s="31" t="s">
        <v>267</v>
      </c>
      <c r="O2221" s="34"/>
      <c r="P2221" s="31">
        <v>1.0</v>
      </c>
      <c r="Q2221" s="31" t="s">
        <v>307</v>
      </c>
      <c r="R2221" s="32">
        <v>37085.0</v>
      </c>
      <c r="S2221" s="31" t="s">
        <v>2380</v>
      </c>
      <c r="T2221" s="31" t="s">
        <v>1686</v>
      </c>
      <c r="U2221" s="31" t="s">
        <v>271</v>
      </c>
      <c r="V2221" s="34"/>
      <c r="W2221" s="34"/>
    </row>
    <row r="2222">
      <c r="A2222" s="30">
        <v>2.217</v>
      </c>
      <c r="B2222" s="31" t="s">
        <v>8803</v>
      </c>
      <c r="C2222" s="31" t="s">
        <v>8804</v>
      </c>
      <c r="D2222" s="31" t="s">
        <v>260</v>
      </c>
      <c r="E2222" s="31" t="s">
        <v>374</v>
      </c>
      <c r="F2222" s="32">
        <v>45027.0</v>
      </c>
      <c r="G2222" s="32">
        <v>45088.0</v>
      </c>
      <c r="H2222" s="31" t="s">
        <v>262</v>
      </c>
      <c r="I2222" s="31" t="s">
        <v>275</v>
      </c>
      <c r="J2222" s="31" t="s">
        <v>374</v>
      </c>
      <c r="K2222" s="31" t="s">
        <v>2184</v>
      </c>
      <c r="L2222" s="31" t="s">
        <v>376</v>
      </c>
      <c r="M2222" s="31" t="s">
        <v>8805</v>
      </c>
      <c r="N2222" s="31" t="s">
        <v>267</v>
      </c>
      <c r="O2222" s="34"/>
      <c r="P2222" s="31">
        <v>1.0</v>
      </c>
      <c r="Q2222" s="31" t="s">
        <v>307</v>
      </c>
      <c r="R2222" s="32">
        <v>35891.0</v>
      </c>
      <c r="S2222" s="31" t="s">
        <v>320</v>
      </c>
      <c r="T2222" s="31" t="s">
        <v>1686</v>
      </c>
      <c r="U2222" s="31" t="s">
        <v>271</v>
      </c>
      <c r="V2222" s="34"/>
      <c r="W2222" s="34"/>
    </row>
    <row r="2223">
      <c r="A2223" s="30">
        <v>2.218</v>
      </c>
      <c r="B2223" s="31" t="s">
        <v>8806</v>
      </c>
      <c r="C2223" s="31" t="s">
        <v>8807</v>
      </c>
      <c r="D2223" s="31" t="s">
        <v>260</v>
      </c>
      <c r="E2223" s="31" t="s">
        <v>1991</v>
      </c>
      <c r="F2223" s="32">
        <v>45017.0</v>
      </c>
      <c r="G2223" s="32">
        <v>45078.0</v>
      </c>
      <c r="H2223" s="31" t="s">
        <v>262</v>
      </c>
      <c r="I2223" s="31" t="s">
        <v>93</v>
      </c>
      <c r="J2223" s="31" t="s">
        <v>1918</v>
      </c>
      <c r="K2223" s="31" t="s">
        <v>1992</v>
      </c>
      <c r="L2223" s="31" t="s">
        <v>905</v>
      </c>
      <c r="M2223" s="31" t="s">
        <v>8808</v>
      </c>
      <c r="N2223" s="31" t="s">
        <v>267</v>
      </c>
      <c r="O2223" s="34"/>
      <c r="P2223" s="31">
        <v>1.0</v>
      </c>
      <c r="Q2223" s="31" t="s">
        <v>307</v>
      </c>
      <c r="R2223" s="32">
        <v>37053.0</v>
      </c>
      <c r="S2223" s="31" t="s">
        <v>8809</v>
      </c>
      <c r="T2223" s="31" t="s">
        <v>8810</v>
      </c>
      <c r="U2223" s="31" t="s">
        <v>271</v>
      </c>
      <c r="V2223" s="31" t="s">
        <v>1991</v>
      </c>
      <c r="W2223" s="34"/>
    </row>
    <row r="2224">
      <c r="A2224" s="30">
        <v>2.219</v>
      </c>
      <c r="B2224" s="31" t="s">
        <v>8811</v>
      </c>
      <c r="C2224" s="31" t="s">
        <v>8812</v>
      </c>
      <c r="D2224" s="31" t="s">
        <v>260</v>
      </c>
      <c r="E2224" s="31" t="s">
        <v>914</v>
      </c>
      <c r="F2224" s="32">
        <v>45013.0</v>
      </c>
      <c r="G2224" s="32">
        <v>45074.0</v>
      </c>
      <c r="H2224" s="31" t="s">
        <v>262</v>
      </c>
      <c r="I2224" s="31" t="s">
        <v>93</v>
      </c>
      <c r="J2224" s="31" t="s">
        <v>1918</v>
      </c>
      <c r="K2224" s="31" t="s">
        <v>1919</v>
      </c>
      <c r="L2224" s="31" t="s">
        <v>905</v>
      </c>
      <c r="M2224" s="31" t="s">
        <v>8813</v>
      </c>
      <c r="N2224" s="31" t="s">
        <v>267</v>
      </c>
      <c r="O2224" s="34"/>
      <c r="P2224" s="31">
        <v>1.0</v>
      </c>
      <c r="Q2224" s="31" t="s">
        <v>307</v>
      </c>
      <c r="R2224" s="35">
        <v>36888.0</v>
      </c>
      <c r="S2224" s="31" t="s">
        <v>8814</v>
      </c>
      <c r="T2224" s="31" t="s">
        <v>1647</v>
      </c>
      <c r="U2224" s="31" t="s">
        <v>271</v>
      </c>
      <c r="V2224" s="31" t="s">
        <v>914</v>
      </c>
      <c r="W2224" s="34"/>
    </row>
    <row r="2225">
      <c r="A2225" s="30">
        <v>2.22</v>
      </c>
      <c r="B2225" s="31" t="s">
        <v>8815</v>
      </c>
      <c r="C2225" s="31" t="s">
        <v>7160</v>
      </c>
      <c r="D2225" s="31" t="s">
        <v>260</v>
      </c>
      <c r="E2225" s="31" t="s">
        <v>403</v>
      </c>
      <c r="F2225" s="32">
        <v>45013.0</v>
      </c>
      <c r="G2225" s="32">
        <v>45074.0</v>
      </c>
      <c r="H2225" s="31" t="s">
        <v>262</v>
      </c>
      <c r="I2225" s="31" t="s">
        <v>2219</v>
      </c>
      <c r="J2225" s="31" t="s">
        <v>403</v>
      </c>
      <c r="K2225" s="31" t="s">
        <v>2227</v>
      </c>
      <c r="L2225" s="31" t="s">
        <v>392</v>
      </c>
      <c r="M2225" s="31" t="s">
        <v>8816</v>
      </c>
      <c r="N2225" s="31" t="s">
        <v>267</v>
      </c>
      <c r="O2225" s="34"/>
      <c r="P2225" s="31">
        <v>1.0</v>
      </c>
      <c r="Q2225" s="31" t="s">
        <v>307</v>
      </c>
      <c r="R2225" s="32">
        <v>36578.0</v>
      </c>
      <c r="S2225" s="31" t="s">
        <v>526</v>
      </c>
      <c r="T2225" s="31" t="s">
        <v>2295</v>
      </c>
      <c r="U2225" s="31" t="s">
        <v>271</v>
      </c>
      <c r="V2225" s="34"/>
      <c r="W2225" s="34"/>
    </row>
    <row r="2226">
      <c r="A2226" s="30">
        <v>2.221</v>
      </c>
      <c r="B2226" s="31" t="s">
        <v>8817</v>
      </c>
      <c r="C2226" s="31" t="s">
        <v>8818</v>
      </c>
      <c r="D2226" s="31" t="s">
        <v>260</v>
      </c>
      <c r="E2226" s="31" t="s">
        <v>1139</v>
      </c>
      <c r="F2226" s="32">
        <v>45013.0</v>
      </c>
      <c r="G2226" s="32">
        <v>45074.0</v>
      </c>
      <c r="H2226" s="31" t="s">
        <v>262</v>
      </c>
      <c r="I2226" s="31" t="s">
        <v>2219</v>
      </c>
      <c r="J2226" s="31" t="s">
        <v>1139</v>
      </c>
      <c r="K2226" s="31" t="s">
        <v>2220</v>
      </c>
      <c r="L2226" s="31" t="s">
        <v>392</v>
      </c>
      <c r="M2226" s="31" t="s">
        <v>8819</v>
      </c>
      <c r="N2226" s="31" t="s">
        <v>467</v>
      </c>
      <c r="O2226" s="34"/>
      <c r="P2226" s="31">
        <v>1.0</v>
      </c>
      <c r="Q2226" s="31" t="s">
        <v>307</v>
      </c>
      <c r="R2226" s="32">
        <v>36498.0</v>
      </c>
      <c r="S2226" s="31" t="s">
        <v>681</v>
      </c>
      <c r="T2226" s="31" t="s">
        <v>1810</v>
      </c>
      <c r="U2226" s="31" t="s">
        <v>271</v>
      </c>
      <c r="V2226" s="34"/>
      <c r="W2226" s="34"/>
    </row>
    <row r="2227">
      <c r="A2227" s="30">
        <v>2.222</v>
      </c>
      <c r="B2227" s="31" t="s">
        <v>8820</v>
      </c>
      <c r="C2227" s="31" t="s">
        <v>8821</v>
      </c>
      <c r="D2227" s="31" t="s">
        <v>260</v>
      </c>
      <c r="E2227" s="31" t="s">
        <v>1130</v>
      </c>
      <c r="F2227" s="32">
        <v>45005.0</v>
      </c>
      <c r="G2227" s="32">
        <v>45066.0</v>
      </c>
      <c r="H2227" s="31" t="s">
        <v>262</v>
      </c>
      <c r="I2227" s="31" t="s">
        <v>2219</v>
      </c>
      <c r="J2227" s="31" t="s">
        <v>1130</v>
      </c>
      <c r="K2227" s="31" t="s">
        <v>2236</v>
      </c>
      <c r="L2227" s="31" t="s">
        <v>392</v>
      </c>
      <c r="M2227" s="31" t="s">
        <v>8822</v>
      </c>
      <c r="N2227" s="31" t="s">
        <v>467</v>
      </c>
      <c r="O2227" s="34"/>
      <c r="P2227" s="31">
        <v>1.0</v>
      </c>
      <c r="Q2227" s="31" t="s">
        <v>307</v>
      </c>
      <c r="R2227" s="32">
        <v>36947.0</v>
      </c>
      <c r="S2227" s="31" t="s">
        <v>320</v>
      </c>
      <c r="T2227" s="31" t="s">
        <v>2295</v>
      </c>
      <c r="U2227" s="31" t="s">
        <v>271</v>
      </c>
      <c r="V2227" s="34"/>
      <c r="W2227" s="34"/>
    </row>
    <row r="2228">
      <c r="A2228" s="30">
        <v>2.223</v>
      </c>
      <c r="B2228" s="31" t="s">
        <v>8823</v>
      </c>
      <c r="C2228" s="31" t="s">
        <v>8824</v>
      </c>
      <c r="D2228" s="31" t="s">
        <v>765</v>
      </c>
      <c r="E2228" s="31" t="s">
        <v>1701</v>
      </c>
      <c r="F2228" s="32">
        <v>45005.0</v>
      </c>
      <c r="G2228" s="32">
        <v>45066.0</v>
      </c>
      <c r="H2228" s="31" t="s">
        <v>262</v>
      </c>
      <c r="I2228" s="31" t="s">
        <v>263</v>
      </c>
      <c r="J2228" s="31" t="s">
        <v>767</v>
      </c>
      <c r="K2228" s="31" t="s">
        <v>1702</v>
      </c>
      <c r="L2228" s="31" t="s">
        <v>769</v>
      </c>
      <c r="M2228" s="31" t="s">
        <v>8825</v>
      </c>
      <c r="N2228" s="31" t="s">
        <v>267</v>
      </c>
      <c r="O2228" s="34"/>
      <c r="P2228" s="31">
        <v>1.0</v>
      </c>
      <c r="Q2228" s="31" t="s">
        <v>307</v>
      </c>
      <c r="R2228" s="32">
        <v>36908.0</v>
      </c>
      <c r="S2228" s="31" t="s">
        <v>320</v>
      </c>
      <c r="T2228" s="31" t="s">
        <v>2295</v>
      </c>
      <c r="U2228" s="31" t="s">
        <v>271</v>
      </c>
      <c r="V2228" s="31" t="s">
        <v>1701</v>
      </c>
      <c r="W2228" s="34"/>
    </row>
    <row r="2229">
      <c r="A2229" s="30">
        <v>2.224</v>
      </c>
      <c r="B2229" s="31" t="s">
        <v>8826</v>
      </c>
      <c r="C2229" s="31" t="s">
        <v>8827</v>
      </c>
      <c r="D2229" s="31" t="s">
        <v>765</v>
      </c>
      <c r="E2229" s="31" t="s">
        <v>1701</v>
      </c>
      <c r="F2229" s="32">
        <v>45005.0</v>
      </c>
      <c r="G2229" s="32">
        <v>45066.0</v>
      </c>
      <c r="H2229" s="31" t="s">
        <v>262</v>
      </c>
      <c r="I2229" s="31" t="s">
        <v>263</v>
      </c>
      <c r="J2229" s="31" t="s">
        <v>767</v>
      </c>
      <c r="K2229" s="31" t="s">
        <v>1702</v>
      </c>
      <c r="L2229" s="31" t="s">
        <v>769</v>
      </c>
      <c r="M2229" s="31" t="s">
        <v>8828</v>
      </c>
      <c r="N2229" s="31" t="s">
        <v>267</v>
      </c>
      <c r="O2229" s="34"/>
      <c r="P2229" s="31">
        <v>1.0</v>
      </c>
      <c r="Q2229" s="31" t="s">
        <v>307</v>
      </c>
      <c r="R2229" s="32">
        <v>36726.0</v>
      </c>
      <c r="S2229" s="31" t="s">
        <v>320</v>
      </c>
      <c r="T2229" s="31" t="s">
        <v>8829</v>
      </c>
      <c r="U2229" s="31" t="s">
        <v>271</v>
      </c>
      <c r="V2229" s="31" t="s">
        <v>1701</v>
      </c>
      <c r="W2229" s="34"/>
    </row>
    <row r="2230">
      <c r="A2230" s="30">
        <v>2.225</v>
      </c>
      <c r="B2230" s="31" t="s">
        <v>8830</v>
      </c>
      <c r="C2230" s="31" t="s">
        <v>8831</v>
      </c>
      <c r="D2230" s="31" t="s">
        <v>260</v>
      </c>
      <c r="E2230" s="31" t="s">
        <v>1854</v>
      </c>
      <c r="F2230" s="32">
        <v>44965.0</v>
      </c>
      <c r="G2230" s="32">
        <v>45024.0</v>
      </c>
      <c r="H2230" s="31" t="s">
        <v>262</v>
      </c>
      <c r="I2230" s="31" t="s">
        <v>263</v>
      </c>
      <c r="J2230" s="31" t="s">
        <v>123</v>
      </c>
      <c r="K2230" s="31" t="s">
        <v>1855</v>
      </c>
      <c r="L2230" s="31" t="s">
        <v>431</v>
      </c>
      <c r="M2230" s="31" t="s">
        <v>8832</v>
      </c>
      <c r="N2230" s="31" t="s">
        <v>267</v>
      </c>
      <c r="O2230" s="34"/>
      <c r="P2230" s="31">
        <v>1.0</v>
      </c>
      <c r="Q2230" s="31" t="s">
        <v>307</v>
      </c>
      <c r="R2230" s="32">
        <v>36350.0</v>
      </c>
      <c r="S2230" s="31" t="s">
        <v>320</v>
      </c>
      <c r="T2230" s="31" t="s">
        <v>1639</v>
      </c>
      <c r="U2230" s="31" t="s">
        <v>271</v>
      </c>
      <c r="V2230" s="31" t="s">
        <v>1854</v>
      </c>
      <c r="W2230" s="34"/>
    </row>
    <row r="2231">
      <c r="A2231" s="30">
        <v>2.226</v>
      </c>
      <c r="B2231" s="31" t="s">
        <v>8833</v>
      </c>
      <c r="C2231" s="31" t="s">
        <v>8834</v>
      </c>
      <c r="D2231" s="31" t="s">
        <v>260</v>
      </c>
      <c r="E2231" s="31" t="s">
        <v>261</v>
      </c>
      <c r="F2231" s="32">
        <v>44960.0</v>
      </c>
      <c r="G2231" s="32">
        <v>45019.0</v>
      </c>
      <c r="H2231" s="31" t="s">
        <v>262</v>
      </c>
      <c r="I2231" s="31" t="s">
        <v>263</v>
      </c>
      <c r="J2231" s="31" t="s">
        <v>261</v>
      </c>
      <c r="K2231" s="31" t="s">
        <v>264</v>
      </c>
      <c r="L2231" s="31" t="s">
        <v>265</v>
      </c>
      <c r="M2231" s="31" t="s">
        <v>8835</v>
      </c>
      <c r="N2231" s="31" t="s">
        <v>267</v>
      </c>
      <c r="O2231" s="34"/>
      <c r="P2231" s="31">
        <v>1.0</v>
      </c>
      <c r="Q2231" s="31" t="s">
        <v>307</v>
      </c>
      <c r="R2231" s="32">
        <v>36988.0</v>
      </c>
      <c r="S2231" s="31" t="s">
        <v>526</v>
      </c>
      <c r="T2231" s="31" t="s">
        <v>321</v>
      </c>
      <c r="U2231" s="31" t="s">
        <v>271</v>
      </c>
      <c r="V2231" s="34"/>
      <c r="W2231" s="34"/>
    </row>
    <row r="2232">
      <c r="A2232" s="30">
        <v>2.227</v>
      </c>
      <c r="B2232" s="31" t="s">
        <v>8836</v>
      </c>
      <c r="C2232" s="31" t="s">
        <v>8837</v>
      </c>
      <c r="D2232" s="31" t="s">
        <v>345</v>
      </c>
      <c r="E2232" s="31" t="s">
        <v>38</v>
      </c>
      <c r="F2232" s="32">
        <v>44903.0</v>
      </c>
      <c r="G2232" s="32">
        <v>44965.0</v>
      </c>
      <c r="H2232" s="31" t="s">
        <v>262</v>
      </c>
      <c r="I2232" s="31" t="s">
        <v>38</v>
      </c>
      <c r="J2232" s="34"/>
      <c r="K2232" s="31" t="s">
        <v>2423</v>
      </c>
      <c r="L2232" s="31" t="s">
        <v>348</v>
      </c>
      <c r="M2232" s="31" t="s">
        <v>8838</v>
      </c>
      <c r="N2232" s="31" t="s">
        <v>267</v>
      </c>
      <c r="O2232" s="34"/>
      <c r="P2232" s="31">
        <v>2.0</v>
      </c>
      <c r="Q2232" s="31" t="s">
        <v>307</v>
      </c>
      <c r="R2232" s="32">
        <v>36730.0</v>
      </c>
      <c r="S2232" s="31" t="s">
        <v>8839</v>
      </c>
      <c r="T2232" s="31" t="s">
        <v>1915</v>
      </c>
      <c r="U2232" s="31" t="s">
        <v>271</v>
      </c>
      <c r="V2232" s="34"/>
      <c r="W2232" s="34"/>
    </row>
    <row r="2233">
      <c r="A2233" s="30">
        <v>2.228</v>
      </c>
      <c r="B2233" s="31" t="s">
        <v>8840</v>
      </c>
      <c r="C2233" s="31" t="s">
        <v>8841</v>
      </c>
      <c r="D2233" s="31" t="s">
        <v>260</v>
      </c>
      <c r="E2233" s="31" t="s">
        <v>1991</v>
      </c>
      <c r="F2233" s="32">
        <v>44819.0</v>
      </c>
      <c r="G2233" s="35">
        <v>44880.0</v>
      </c>
      <c r="H2233" s="31" t="s">
        <v>262</v>
      </c>
      <c r="I2233" s="31" t="s">
        <v>93</v>
      </c>
      <c r="J2233" s="31" t="s">
        <v>1918</v>
      </c>
      <c r="K2233" s="31" t="s">
        <v>1992</v>
      </c>
      <c r="L2233" s="31" t="s">
        <v>905</v>
      </c>
      <c r="M2233" s="31" t="s">
        <v>8842</v>
      </c>
      <c r="N2233" s="31" t="s">
        <v>267</v>
      </c>
      <c r="O2233" s="34"/>
      <c r="P2233" s="31">
        <v>3.0</v>
      </c>
      <c r="Q2233" s="31" t="s">
        <v>307</v>
      </c>
      <c r="R2233" s="32">
        <v>36928.0</v>
      </c>
      <c r="S2233" s="31" t="s">
        <v>1041</v>
      </c>
      <c r="T2233" s="31" t="s">
        <v>2014</v>
      </c>
      <c r="U2233" s="31" t="s">
        <v>271</v>
      </c>
      <c r="V2233" s="31" t="s">
        <v>1991</v>
      </c>
      <c r="W2233" s="34"/>
    </row>
    <row r="2234">
      <c r="A2234" s="30">
        <v>2.229</v>
      </c>
      <c r="B2234" s="31" t="s">
        <v>8843</v>
      </c>
      <c r="C2234" s="31" t="s">
        <v>635</v>
      </c>
      <c r="D2234" s="31" t="s">
        <v>260</v>
      </c>
      <c r="E2234" s="31" t="s">
        <v>274</v>
      </c>
      <c r="F2234" s="32">
        <v>44785.0</v>
      </c>
      <c r="G2234" s="35">
        <v>44846.0</v>
      </c>
      <c r="H2234" s="31" t="s">
        <v>262</v>
      </c>
      <c r="I2234" s="31" t="s">
        <v>275</v>
      </c>
      <c r="J2234" s="31" t="s">
        <v>274</v>
      </c>
      <c r="K2234" s="31" t="s">
        <v>276</v>
      </c>
      <c r="L2234" s="31" t="s">
        <v>277</v>
      </c>
      <c r="M2234" s="31" t="s">
        <v>8844</v>
      </c>
      <c r="N2234" s="31" t="s">
        <v>267</v>
      </c>
      <c r="O2234" s="34"/>
      <c r="P2234" s="31">
        <v>2.0</v>
      </c>
      <c r="Q2234" s="31" t="s">
        <v>307</v>
      </c>
      <c r="R2234" s="32">
        <v>37035.0</v>
      </c>
      <c r="S2234" s="31" t="s">
        <v>320</v>
      </c>
      <c r="T2234" s="31" t="s">
        <v>2014</v>
      </c>
      <c r="U2234" s="31" t="s">
        <v>271</v>
      </c>
      <c r="V2234" s="34"/>
      <c r="W2234" s="34"/>
    </row>
    <row r="2235">
      <c r="A2235" s="30">
        <v>2.23</v>
      </c>
      <c r="B2235" s="31" t="s">
        <v>8845</v>
      </c>
      <c r="C2235" s="31" t="s">
        <v>8846</v>
      </c>
      <c r="D2235" s="31" t="s">
        <v>260</v>
      </c>
      <c r="E2235" s="31" t="s">
        <v>261</v>
      </c>
      <c r="F2235" s="32">
        <v>44782.0</v>
      </c>
      <c r="G2235" s="32">
        <v>44843.0</v>
      </c>
      <c r="H2235" s="31" t="s">
        <v>262</v>
      </c>
      <c r="I2235" s="31" t="s">
        <v>263</v>
      </c>
      <c r="J2235" s="31" t="s">
        <v>261</v>
      </c>
      <c r="K2235" s="31" t="s">
        <v>264</v>
      </c>
      <c r="L2235" s="31" t="s">
        <v>265</v>
      </c>
      <c r="M2235" s="31" t="s">
        <v>8847</v>
      </c>
      <c r="N2235" s="31" t="s">
        <v>267</v>
      </c>
      <c r="O2235" s="34"/>
      <c r="P2235" s="31">
        <v>1.0</v>
      </c>
      <c r="Q2235" s="31" t="s">
        <v>307</v>
      </c>
      <c r="R2235" s="35">
        <v>36860.0</v>
      </c>
      <c r="S2235" s="31" t="s">
        <v>320</v>
      </c>
      <c r="T2235" s="31" t="s">
        <v>8848</v>
      </c>
      <c r="U2235" s="31" t="s">
        <v>271</v>
      </c>
      <c r="V2235" s="34"/>
      <c r="W2235" s="34"/>
    </row>
    <row r="2236">
      <c r="A2236" s="30">
        <v>2.231</v>
      </c>
      <c r="B2236" s="31" t="s">
        <v>8849</v>
      </c>
      <c r="C2236" s="31" t="s">
        <v>8850</v>
      </c>
      <c r="D2236" s="31" t="s">
        <v>260</v>
      </c>
      <c r="E2236" s="31" t="s">
        <v>1862</v>
      </c>
      <c r="F2236" s="32">
        <v>44677.0</v>
      </c>
      <c r="G2236" s="32">
        <v>44738.0</v>
      </c>
      <c r="H2236" s="31" t="s">
        <v>262</v>
      </c>
      <c r="I2236" s="31" t="s">
        <v>263</v>
      </c>
      <c r="J2236" s="31" t="s">
        <v>123</v>
      </c>
      <c r="K2236" s="31" t="s">
        <v>1863</v>
      </c>
      <c r="L2236" s="31" t="s">
        <v>431</v>
      </c>
      <c r="M2236" s="31" t="s">
        <v>8851</v>
      </c>
      <c r="N2236" s="31" t="s">
        <v>267</v>
      </c>
      <c r="O2236" s="34"/>
      <c r="P2236" s="31">
        <v>1.0</v>
      </c>
      <c r="Q2236" s="31" t="s">
        <v>307</v>
      </c>
      <c r="R2236" s="32">
        <v>36748.0</v>
      </c>
      <c r="S2236" s="31" t="s">
        <v>531</v>
      </c>
      <c r="T2236" s="31" t="s">
        <v>8852</v>
      </c>
      <c r="U2236" s="31" t="s">
        <v>271</v>
      </c>
      <c r="V2236" s="31" t="s">
        <v>1862</v>
      </c>
      <c r="W2236" s="34"/>
    </row>
    <row r="2237">
      <c r="A2237" s="30">
        <v>2.232</v>
      </c>
      <c r="B2237" s="31" t="s">
        <v>8853</v>
      </c>
      <c r="C2237" s="31" t="s">
        <v>8854</v>
      </c>
      <c r="D2237" s="31" t="s">
        <v>260</v>
      </c>
      <c r="E2237" s="31" t="s">
        <v>390</v>
      </c>
      <c r="F2237" s="32">
        <v>44677.0</v>
      </c>
      <c r="G2237" s="32">
        <v>44738.0</v>
      </c>
      <c r="H2237" s="31" t="s">
        <v>262</v>
      </c>
      <c r="I2237" s="31" t="s">
        <v>2219</v>
      </c>
      <c r="J2237" s="31" t="s">
        <v>390</v>
      </c>
      <c r="K2237" s="31" t="s">
        <v>2290</v>
      </c>
      <c r="L2237" s="31" t="s">
        <v>392</v>
      </c>
      <c r="M2237" s="31" t="s">
        <v>8855</v>
      </c>
      <c r="N2237" s="31" t="s">
        <v>267</v>
      </c>
      <c r="O2237" s="34"/>
      <c r="P2237" s="31">
        <v>1.0</v>
      </c>
      <c r="Q2237" s="31" t="s">
        <v>307</v>
      </c>
      <c r="R2237" s="32">
        <v>36863.0</v>
      </c>
      <c r="S2237" s="31" t="s">
        <v>526</v>
      </c>
      <c r="T2237" s="31" t="s">
        <v>1670</v>
      </c>
      <c r="U2237" s="31" t="s">
        <v>271</v>
      </c>
      <c r="V2237" s="34"/>
      <c r="W2237" s="34"/>
    </row>
    <row r="2238">
      <c r="A2238" s="30">
        <v>2.233</v>
      </c>
      <c r="B2238" s="31" t="s">
        <v>8856</v>
      </c>
      <c r="C2238" s="31" t="s">
        <v>8857</v>
      </c>
      <c r="D2238" s="31" t="s">
        <v>260</v>
      </c>
      <c r="E2238" s="31" t="s">
        <v>390</v>
      </c>
      <c r="F2238" s="32">
        <v>44620.0</v>
      </c>
      <c r="G2238" s="32">
        <v>44679.0</v>
      </c>
      <c r="H2238" s="31" t="s">
        <v>262</v>
      </c>
      <c r="I2238" s="31" t="s">
        <v>2219</v>
      </c>
      <c r="J2238" s="31" t="s">
        <v>390</v>
      </c>
      <c r="K2238" s="31" t="s">
        <v>2290</v>
      </c>
      <c r="L2238" s="31" t="s">
        <v>392</v>
      </c>
      <c r="M2238" s="31" t="s">
        <v>8858</v>
      </c>
      <c r="N2238" s="31" t="s">
        <v>267</v>
      </c>
      <c r="O2238" s="34"/>
      <c r="P2238" s="31">
        <v>1.0</v>
      </c>
      <c r="Q2238" s="31" t="s">
        <v>307</v>
      </c>
      <c r="R2238" s="32">
        <v>36670.0</v>
      </c>
      <c r="S2238" s="31" t="s">
        <v>320</v>
      </c>
      <c r="T2238" s="31" t="s">
        <v>1915</v>
      </c>
      <c r="U2238" s="31" t="s">
        <v>271</v>
      </c>
      <c r="V2238" s="34"/>
      <c r="W2238" s="34"/>
    </row>
    <row r="2239">
      <c r="A2239" s="30">
        <v>2.234</v>
      </c>
      <c r="B2239" s="31" t="s">
        <v>8859</v>
      </c>
      <c r="C2239" s="31" t="s">
        <v>8860</v>
      </c>
      <c r="D2239" s="31" t="s">
        <v>260</v>
      </c>
      <c r="E2239" s="31" t="s">
        <v>403</v>
      </c>
      <c r="F2239" s="32">
        <v>44589.0</v>
      </c>
      <c r="G2239" s="32">
        <v>44648.0</v>
      </c>
      <c r="H2239" s="31" t="s">
        <v>262</v>
      </c>
      <c r="I2239" s="31" t="s">
        <v>2219</v>
      </c>
      <c r="J2239" s="31" t="s">
        <v>403</v>
      </c>
      <c r="K2239" s="31" t="s">
        <v>2227</v>
      </c>
      <c r="L2239" s="31" t="s">
        <v>392</v>
      </c>
      <c r="M2239" s="31" t="s">
        <v>8861</v>
      </c>
      <c r="N2239" s="31" t="s">
        <v>267</v>
      </c>
      <c r="O2239" s="34"/>
      <c r="P2239" s="31">
        <v>1.0</v>
      </c>
      <c r="Q2239" s="31" t="s">
        <v>307</v>
      </c>
      <c r="R2239" s="35">
        <v>36876.0</v>
      </c>
      <c r="S2239" s="31" t="s">
        <v>320</v>
      </c>
      <c r="T2239" s="31" t="s">
        <v>321</v>
      </c>
      <c r="U2239" s="31" t="s">
        <v>271</v>
      </c>
      <c r="V2239" s="34"/>
      <c r="W2239" s="34"/>
    </row>
    <row r="2240">
      <c r="A2240" s="30">
        <v>2.235</v>
      </c>
      <c r="B2240" s="31" t="s">
        <v>8862</v>
      </c>
      <c r="C2240" s="31" t="s">
        <v>8863</v>
      </c>
      <c r="D2240" s="31" t="s">
        <v>260</v>
      </c>
      <c r="E2240" s="31" t="s">
        <v>390</v>
      </c>
      <c r="F2240" s="35">
        <v>44561.0</v>
      </c>
      <c r="G2240" s="32">
        <v>44621.0</v>
      </c>
      <c r="H2240" s="31" t="s">
        <v>262</v>
      </c>
      <c r="I2240" s="31" t="s">
        <v>2219</v>
      </c>
      <c r="J2240" s="31" t="s">
        <v>390</v>
      </c>
      <c r="K2240" s="31" t="s">
        <v>2290</v>
      </c>
      <c r="L2240" s="31" t="s">
        <v>392</v>
      </c>
      <c r="M2240" s="31" t="s">
        <v>8864</v>
      </c>
      <c r="N2240" s="31" t="s">
        <v>267</v>
      </c>
      <c r="O2240" s="34"/>
      <c r="P2240" s="31">
        <v>1.0</v>
      </c>
      <c r="Q2240" s="31" t="s">
        <v>307</v>
      </c>
      <c r="R2240" s="35">
        <v>36814.0</v>
      </c>
      <c r="S2240" s="31" t="s">
        <v>320</v>
      </c>
      <c r="T2240" s="31" t="s">
        <v>1915</v>
      </c>
      <c r="U2240" s="31" t="s">
        <v>271</v>
      </c>
      <c r="V2240" s="34"/>
      <c r="W2240" s="34"/>
    </row>
    <row r="2241">
      <c r="A2241" s="30">
        <v>2.236</v>
      </c>
      <c r="B2241" s="31" t="s">
        <v>8865</v>
      </c>
      <c r="C2241" s="31" t="s">
        <v>8866</v>
      </c>
      <c r="D2241" s="31" t="s">
        <v>260</v>
      </c>
      <c r="E2241" s="31" t="s">
        <v>1130</v>
      </c>
      <c r="F2241" s="32">
        <v>44562.0</v>
      </c>
      <c r="G2241" s="32">
        <v>44621.0</v>
      </c>
      <c r="H2241" s="31" t="s">
        <v>262</v>
      </c>
      <c r="I2241" s="31" t="s">
        <v>2219</v>
      </c>
      <c r="J2241" s="31" t="s">
        <v>1130</v>
      </c>
      <c r="K2241" s="31" t="s">
        <v>2236</v>
      </c>
      <c r="L2241" s="31" t="s">
        <v>392</v>
      </c>
      <c r="M2241" s="31" t="s">
        <v>8867</v>
      </c>
      <c r="N2241" s="31" t="s">
        <v>267</v>
      </c>
      <c r="O2241" s="34"/>
      <c r="P2241" s="31">
        <v>4.0</v>
      </c>
      <c r="Q2241" s="31" t="s">
        <v>307</v>
      </c>
      <c r="R2241" s="32">
        <v>36867.0</v>
      </c>
      <c r="S2241" s="31" t="s">
        <v>955</v>
      </c>
      <c r="T2241" s="31" t="s">
        <v>1915</v>
      </c>
      <c r="U2241" s="31" t="s">
        <v>271</v>
      </c>
      <c r="V2241" s="34"/>
      <c r="W2241" s="34"/>
    </row>
    <row r="2242">
      <c r="A2242" s="30">
        <v>2.237</v>
      </c>
      <c r="B2242" s="31" t="s">
        <v>8868</v>
      </c>
      <c r="C2242" s="31" t="s">
        <v>8869</v>
      </c>
      <c r="D2242" s="31" t="s">
        <v>260</v>
      </c>
      <c r="E2242" s="31" t="s">
        <v>390</v>
      </c>
      <c r="F2242" s="32">
        <v>44562.0</v>
      </c>
      <c r="G2242" s="32">
        <v>44621.0</v>
      </c>
      <c r="H2242" s="31" t="s">
        <v>262</v>
      </c>
      <c r="I2242" s="31" t="s">
        <v>2219</v>
      </c>
      <c r="J2242" s="31" t="s">
        <v>390</v>
      </c>
      <c r="K2242" s="31" t="s">
        <v>2290</v>
      </c>
      <c r="L2242" s="31" t="s">
        <v>392</v>
      </c>
      <c r="M2242" s="31" t="s">
        <v>8870</v>
      </c>
      <c r="N2242" s="31" t="s">
        <v>267</v>
      </c>
      <c r="O2242" s="34"/>
      <c r="P2242" s="31">
        <v>1.0</v>
      </c>
      <c r="Q2242" s="31" t="s">
        <v>307</v>
      </c>
      <c r="R2242" s="32">
        <v>36713.0</v>
      </c>
      <c r="S2242" s="31" t="s">
        <v>320</v>
      </c>
      <c r="T2242" s="31" t="s">
        <v>2014</v>
      </c>
      <c r="U2242" s="31" t="s">
        <v>271</v>
      </c>
      <c r="V2242" s="34"/>
      <c r="W2242" s="34"/>
    </row>
    <row r="2243">
      <c r="A2243" s="30">
        <v>2.238</v>
      </c>
      <c r="B2243" s="31" t="s">
        <v>8871</v>
      </c>
      <c r="C2243" s="31" t="s">
        <v>8872</v>
      </c>
      <c r="D2243" s="31" t="s">
        <v>260</v>
      </c>
      <c r="E2243" s="31" t="s">
        <v>2060</v>
      </c>
      <c r="F2243" s="32">
        <v>44169.0</v>
      </c>
      <c r="G2243" s="32">
        <v>44231.0</v>
      </c>
      <c r="H2243" s="31" t="s">
        <v>262</v>
      </c>
      <c r="I2243" s="31" t="s">
        <v>275</v>
      </c>
      <c r="J2243" s="31" t="s">
        <v>2029</v>
      </c>
      <c r="K2243" s="31" t="s">
        <v>8873</v>
      </c>
      <c r="L2243" s="31" t="s">
        <v>1114</v>
      </c>
      <c r="M2243" s="31" t="s">
        <v>8874</v>
      </c>
      <c r="N2243" s="31" t="s">
        <v>267</v>
      </c>
      <c r="O2243" s="34"/>
      <c r="P2243" s="31">
        <v>3.0</v>
      </c>
      <c r="Q2243" s="31" t="s">
        <v>307</v>
      </c>
      <c r="R2243" s="32">
        <v>35697.0</v>
      </c>
      <c r="S2243" s="31" t="s">
        <v>1041</v>
      </c>
      <c r="T2243" s="31" t="s">
        <v>3260</v>
      </c>
      <c r="U2243" s="31" t="s">
        <v>271</v>
      </c>
      <c r="V2243" s="31" t="s">
        <v>2060</v>
      </c>
      <c r="W2243" s="34"/>
    </row>
    <row r="2244">
      <c r="A2244" s="30">
        <v>2.239</v>
      </c>
      <c r="B2244" s="31" t="s">
        <v>8875</v>
      </c>
      <c r="C2244" s="31" t="s">
        <v>8876</v>
      </c>
      <c r="D2244" s="31" t="s">
        <v>876</v>
      </c>
      <c r="E2244" s="31" t="s">
        <v>1854</v>
      </c>
      <c r="F2244" s="32">
        <v>41109.0</v>
      </c>
      <c r="G2244" s="32">
        <v>41214.0</v>
      </c>
      <c r="H2244" s="31" t="s">
        <v>262</v>
      </c>
      <c r="I2244" s="31" t="s">
        <v>263</v>
      </c>
      <c r="J2244" s="31" t="s">
        <v>123</v>
      </c>
      <c r="K2244" s="31" t="s">
        <v>1855</v>
      </c>
      <c r="L2244" s="31" t="s">
        <v>877</v>
      </c>
      <c r="M2244" s="31" t="s">
        <v>8877</v>
      </c>
      <c r="N2244" s="31" t="s">
        <v>267</v>
      </c>
      <c r="O2244" s="31">
        <v>2.0</v>
      </c>
      <c r="P2244" s="31">
        <v>1.0</v>
      </c>
      <c r="Q2244" s="31" t="s">
        <v>307</v>
      </c>
      <c r="R2244" s="35">
        <v>32807.0</v>
      </c>
      <c r="S2244" s="31" t="s">
        <v>320</v>
      </c>
      <c r="T2244" s="31" t="s">
        <v>1881</v>
      </c>
      <c r="U2244" s="31" t="s">
        <v>271</v>
      </c>
      <c r="V2244" s="31" t="s">
        <v>1854</v>
      </c>
      <c r="W2244" s="34"/>
    </row>
    <row r="2245">
      <c r="A2245" s="30">
        <v>2.24</v>
      </c>
      <c r="B2245" s="31" t="s">
        <v>8878</v>
      </c>
      <c r="C2245" s="31" t="s">
        <v>8879</v>
      </c>
      <c r="D2245" s="31" t="s">
        <v>260</v>
      </c>
      <c r="E2245" s="31" t="s">
        <v>1862</v>
      </c>
      <c r="F2245" s="32">
        <v>44690.0</v>
      </c>
      <c r="G2245" s="32">
        <v>44751.0</v>
      </c>
      <c r="H2245" s="31" t="s">
        <v>262</v>
      </c>
      <c r="I2245" s="31" t="s">
        <v>263</v>
      </c>
      <c r="J2245" s="31" t="s">
        <v>123</v>
      </c>
      <c r="K2245" s="31" t="s">
        <v>1863</v>
      </c>
      <c r="L2245" s="31" t="s">
        <v>431</v>
      </c>
      <c r="M2245" s="31" t="s">
        <v>8880</v>
      </c>
      <c r="N2245" s="31" t="s">
        <v>467</v>
      </c>
      <c r="O2245" s="34"/>
      <c r="P2245" s="31">
        <v>6.0</v>
      </c>
      <c r="Q2245" s="31" t="s">
        <v>307</v>
      </c>
      <c r="R2245" s="32">
        <v>33640.0</v>
      </c>
      <c r="S2245" s="31" t="s">
        <v>838</v>
      </c>
      <c r="T2245" s="31" t="s">
        <v>1690</v>
      </c>
      <c r="U2245" s="31" t="s">
        <v>271</v>
      </c>
      <c r="V2245" s="31" t="s">
        <v>1862</v>
      </c>
      <c r="W2245" s="34"/>
    </row>
    <row r="2246">
      <c r="A2246" s="30">
        <v>2.241</v>
      </c>
      <c r="B2246" s="31" t="s">
        <v>8881</v>
      </c>
      <c r="C2246" s="31" t="s">
        <v>8882</v>
      </c>
      <c r="D2246" s="31" t="s">
        <v>260</v>
      </c>
      <c r="E2246" s="31" t="s">
        <v>2034</v>
      </c>
      <c r="F2246" s="32">
        <v>42618.0</v>
      </c>
      <c r="G2246" s="32">
        <v>42679.0</v>
      </c>
      <c r="H2246" s="31" t="s">
        <v>262</v>
      </c>
      <c r="I2246" s="31" t="s">
        <v>275</v>
      </c>
      <c r="J2246" s="31" t="s">
        <v>2029</v>
      </c>
      <c r="K2246" s="31" t="s">
        <v>8883</v>
      </c>
      <c r="L2246" s="31" t="s">
        <v>2036</v>
      </c>
      <c r="M2246" s="31" t="s">
        <v>8884</v>
      </c>
      <c r="N2246" s="31" t="s">
        <v>267</v>
      </c>
      <c r="O2246" s="34"/>
      <c r="P2246" s="31">
        <v>7.0</v>
      </c>
      <c r="Q2246" s="31" t="s">
        <v>307</v>
      </c>
      <c r="R2246" s="35">
        <v>34618.0</v>
      </c>
      <c r="S2246" s="31" t="s">
        <v>700</v>
      </c>
      <c r="T2246" s="31" t="s">
        <v>1698</v>
      </c>
      <c r="U2246" s="31" t="s">
        <v>271</v>
      </c>
      <c r="V2246" s="31" t="s">
        <v>2034</v>
      </c>
      <c r="W2246" s="34"/>
    </row>
    <row r="2247">
      <c r="A2247" s="30">
        <v>2.242</v>
      </c>
      <c r="B2247" s="31" t="s">
        <v>8885</v>
      </c>
      <c r="C2247" s="31" t="s">
        <v>8886</v>
      </c>
      <c r="D2247" s="31" t="s">
        <v>260</v>
      </c>
      <c r="E2247" s="31" t="s">
        <v>1130</v>
      </c>
      <c r="F2247" s="32">
        <v>44109.0</v>
      </c>
      <c r="G2247" s="32">
        <v>44170.0</v>
      </c>
      <c r="H2247" s="31" t="s">
        <v>262</v>
      </c>
      <c r="I2247" s="31" t="s">
        <v>2219</v>
      </c>
      <c r="J2247" s="31" t="s">
        <v>1130</v>
      </c>
      <c r="K2247" s="31" t="s">
        <v>2236</v>
      </c>
      <c r="L2247" s="31" t="s">
        <v>392</v>
      </c>
      <c r="M2247" s="31" t="s">
        <v>8887</v>
      </c>
      <c r="N2247" s="31" t="s">
        <v>267</v>
      </c>
      <c r="O2247" s="34"/>
      <c r="P2247" s="31">
        <v>3.0</v>
      </c>
      <c r="Q2247" s="31" t="s">
        <v>307</v>
      </c>
      <c r="R2247" s="32">
        <v>36379.0</v>
      </c>
      <c r="S2247" s="31" t="s">
        <v>320</v>
      </c>
      <c r="T2247" s="31" t="s">
        <v>1686</v>
      </c>
      <c r="U2247" s="31" t="s">
        <v>271</v>
      </c>
      <c r="V2247" s="34"/>
      <c r="W2247" s="34"/>
    </row>
    <row r="2248">
      <c r="A2248" s="30">
        <v>2.243</v>
      </c>
      <c r="B2248" s="31" t="s">
        <v>8888</v>
      </c>
      <c r="C2248" s="31" t="s">
        <v>8889</v>
      </c>
      <c r="D2248" s="31" t="s">
        <v>260</v>
      </c>
      <c r="E2248" s="31" t="s">
        <v>1130</v>
      </c>
      <c r="F2248" s="35">
        <v>43780.0</v>
      </c>
      <c r="G2248" s="32">
        <v>43841.0</v>
      </c>
      <c r="H2248" s="31" t="s">
        <v>262</v>
      </c>
      <c r="I2248" s="31" t="s">
        <v>2219</v>
      </c>
      <c r="J2248" s="31" t="s">
        <v>1130</v>
      </c>
      <c r="K2248" s="31" t="s">
        <v>2236</v>
      </c>
      <c r="L2248" s="31" t="s">
        <v>392</v>
      </c>
      <c r="M2248" s="31" t="s">
        <v>8890</v>
      </c>
      <c r="N2248" s="31" t="s">
        <v>267</v>
      </c>
      <c r="O2248" s="34"/>
      <c r="P2248" s="31">
        <v>4.0</v>
      </c>
      <c r="Q2248" s="31" t="s">
        <v>307</v>
      </c>
      <c r="R2248" s="35">
        <v>35748.0</v>
      </c>
      <c r="S2248" s="31" t="s">
        <v>320</v>
      </c>
      <c r="T2248" s="31" t="s">
        <v>1765</v>
      </c>
      <c r="U2248" s="31" t="s">
        <v>271</v>
      </c>
      <c r="V2248" s="34"/>
      <c r="W2248" s="34"/>
    </row>
    <row r="2249">
      <c r="A2249" s="30">
        <v>2.244</v>
      </c>
      <c r="B2249" s="31" t="s">
        <v>8891</v>
      </c>
      <c r="C2249" s="31" t="s">
        <v>8892</v>
      </c>
      <c r="D2249" s="31" t="s">
        <v>260</v>
      </c>
      <c r="E2249" s="31" t="s">
        <v>283</v>
      </c>
      <c r="F2249" s="32">
        <v>44278.0</v>
      </c>
      <c r="G2249" s="32">
        <v>44339.0</v>
      </c>
      <c r="H2249" s="31" t="s">
        <v>262</v>
      </c>
      <c r="I2249" s="31" t="s">
        <v>275</v>
      </c>
      <c r="J2249" s="31" t="s">
        <v>283</v>
      </c>
      <c r="K2249" s="31" t="s">
        <v>284</v>
      </c>
      <c r="L2249" s="31" t="s">
        <v>277</v>
      </c>
      <c r="M2249" s="31" t="s">
        <v>8893</v>
      </c>
      <c r="N2249" s="31" t="s">
        <v>267</v>
      </c>
      <c r="O2249" s="34"/>
      <c r="P2249" s="31">
        <v>6.0</v>
      </c>
      <c r="Q2249" s="31" t="s">
        <v>307</v>
      </c>
      <c r="R2249" s="35">
        <v>36506.0</v>
      </c>
      <c r="S2249" s="31" t="s">
        <v>320</v>
      </c>
      <c r="T2249" s="31" t="s">
        <v>1805</v>
      </c>
      <c r="U2249" s="31" t="s">
        <v>271</v>
      </c>
      <c r="V2249" s="34"/>
      <c r="W2249" s="34"/>
    </row>
    <row r="2250">
      <c r="A2250" s="30">
        <v>2.245</v>
      </c>
      <c r="B2250" s="31" t="s">
        <v>8894</v>
      </c>
      <c r="C2250" s="31" t="s">
        <v>8895</v>
      </c>
      <c r="D2250" s="31" t="s">
        <v>260</v>
      </c>
      <c r="E2250" s="31" t="s">
        <v>2231</v>
      </c>
      <c r="F2250" s="35">
        <v>44180.0</v>
      </c>
      <c r="G2250" s="32">
        <v>44242.0</v>
      </c>
      <c r="H2250" s="31" t="s">
        <v>262</v>
      </c>
      <c r="I2250" s="31" t="s">
        <v>2219</v>
      </c>
      <c r="J2250" s="31" t="s">
        <v>2231</v>
      </c>
      <c r="K2250" s="31" t="s">
        <v>2232</v>
      </c>
      <c r="L2250" s="31" t="s">
        <v>392</v>
      </c>
      <c r="M2250" s="31" t="s">
        <v>8896</v>
      </c>
      <c r="N2250" s="31" t="s">
        <v>467</v>
      </c>
      <c r="O2250" s="34"/>
      <c r="P2250" s="31">
        <v>5.0</v>
      </c>
      <c r="Q2250" s="31" t="s">
        <v>307</v>
      </c>
      <c r="R2250" s="32">
        <v>35838.0</v>
      </c>
      <c r="S2250" s="31" t="s">
        <v>893</v>
      </c>
      <c r="T2250" s="31" t="s">
        <v>1476</v>
      </c>
      <c r="U2250" s="31" t="s">
        <v>271</v>
      </c>
      <c r="V2250" s="34"/>
      <c r="W2250" s="34"/>
    </row>
    <row r="2251">
      <c r="A2251" s="30">
        <v>2.246</v>
      </c>
      <c r="B2251" s="31" t="s">
        <v>8897</v>
      </c>
      <c r="C2251" s="31" t="s">
        <v>8898</v>
      </c>
      <c r="D2251" s="31" t="s">
        <v>2172</v>
      </c>
      <c r="E2251" s="31" t="s">
        <v>914</v>
      </c>
      <c r="F2251" s="32">
        <v>43924.0</v>
      </c>
      <c r="G2251" s="32">
        <v>43985.0</v>
      </c>
      <c r="H2251" s="31" t="s">
        <v>262</v>
      </c>
      <c r="I2251" s="31" t="s">
        <v>93</v>
      </c>
      <c r="J2251" s="31" t="s">
        <v>1918</v>
      </c>
      <c r="K2251" s="31" t="s">
        <v>1919</v>
      </c>
      <c r="L2251" s="31" t="s">
        <v>4785</v>
      </c>
      <c r="M2251" s="31" t="s">
        <v>8899</v>
      </c>
      <c r="N2251" s="31" t="s">
        <v>467</v>
      </c>
      <c r="O2251" s="31">
        <v>2.0</v>
      </c>
      <c r="P2251" s="31">
        <v>1.0</v>
      </c>
      <c r="Q2251" s="31" t="s">
        <v>307</v>
      </c>
      <c r="R2251" s="35">
        <v>36453.0</v>
      </c>
      <c r="S2251" s="31" t="s">
        <v>2038</v>
      </c>
      <c r="T2251" s="31" t="s">
        <v>1377</v>
      </c>
      <c r="U2251" s="31" t="s">
        <v>271</v>
      </c>
      <c r="V2251" s="31" t="s">
        <v>914</v>
      </c>
      <c r="W2251" s="34"/>
    </row>
    <row r="2252">
      <c r="A2252" s="30">
        <v>2.247</v>
      </c>
      <c r="B2252" s="31" t="s">
        <v>8900</v>
      </c>
      <c r="C2252" s="31" t="s">
        <v>3824</v>
      </c>
      <c r="D2252" s="31" t="s">
        <v>260</v>
      </c>
      <c r="E2252" s="31" t="s">
        <v>2231</v>
      </c>
      <c r="F2252" s="32">
        <v>43242.0</v>
      </c>
      <c r="G2252" s="32">
        <v>43303.0</v>
      </c>
      <c r="H2252" s="31" t="s">
        <v>262</v>
      </c>
      <c r="I2252" s="31" t="s">
        <v>2219</v>
      </c>
      <c r="J2252" s="31" t="s">
        <v>2231</v>
      </c>
      <c r="K2252" s="31" t="s">
        <v>2232</v>
      </c>
      <c r="L2252" s="31" t="s">
        <v>392</v>
      </c>
      <c r="M2252" s="31" t="s">
        <v>8901</v>
      </c>
      <c r="N2252" s="31" t="s">
        <v>267</v>
      </c>
      <c r="O2252" s="34"/>
      <c r="P2252" s="31">
        <v>3.0</v>
      </c>
      <c r="Q2252" s="31" t="s">
        <v>307</v>
      </c>
      <c r="R2252" s="35">
        <v>34982.0</v>
      </c>
      <c r="S2252" s="31" t="s">
        <v>320</v>
      </c>
      <c r="T2252" s="31" t="s">
        <v>1666</v>
      </c>
      <c r="U2252" s="31" t="s">
        <v>271</v>
      </c>
      <c r="V2252" s="34"/>
      <c r="W2252" s="34"/>
    </row>
    <row r="2253">
      <c r="A2253" s="30">
        <v>2.248</v>
      </c>
      <c r="B2253" s="31" t="s">
        <v>8902</v>
      </c>
      <c r="C2253" s="31" t="s">
        <v>2358</v>
      </c>
      <c r="D2253" s="31" t="s">
        <v>260</v>
      </c>
      <c r="E2253" s="31" t="s">
        <v>390</v>
      </c>
      <c r="F2253" s="32">
        <v>44268.0</v>
      </c>
      <c r="G2253" s="32">
        <v>44329.0</v>
      </c>
      <c r="H2253" s="31" t="s">
        <v>262</v>
      </c>
      <c r="I2253" s="31" t="s">
        <v>2219</v>
      </c>
      <c r="J2253" s="31" t="s">
        <v>390</v>
      </c>
      <c r="K2253" s="31" t="s">
        <v>2290</v>
      </c>
      <c r="L2253" s="31" t="s">
        <v>392</v>
      </c>
      <c r="M2253" s="31" t="s">
        <v>8903</v>
      </c>
      <c r="N2253" s="31" t="s">
        <v>267</v>
      </c>
      <c r="O2253" s="34"/>
      <c r="P2253" s="31">
        <v>2.0</v>
      </c>
      <c r="Q2253" s="31" t="s">
        <v>307</v>
      </c>
      <c r="R2253" s="32">
        <v>36258.0</v>
      </c>
      <c r="S2253" s="31" t="s">
        <v>320</v>
      </c>
      <c r="T2253" s="31" t="s">
        <v>1476</v>
      </c>
      <c r="U2253" s="31" t="s">
        <v>271</v>
      </c>
      <c r="V2253" s="34"/>
      <c r="W2253" s="34"/>
    </row>
    <row r="2254">
      <c r="A2254" s="30">
        <v>2.249</v>
      </c>
      <c r="B2254" s="31" t="s">
        <v>8904</v>
      </c>
      <c r="C2254" s="31" t="s">
        <v>8905</v>
      </c>
      <c r="D2254" s="31" t="s">
        <v>260</v>
      </c>
      <c r="E2254" s="31" t="s">
        <v>2231</v>
      </c>
      <c r="F2254" s="32">
        <v>44340.0</v>
      </c>
      <c r="G2254" s="32">
        <v>44401.0</v>
      </c>
      <c r="H2254" s="31" t="s">
        <v>262</v>
      </c>
      <c r="I2254" s="31" t="s">
        <v>2219</v>
      </c>
      <c r="J2254" s="31" t="s">
        <v>2231</v>
      </c>
      <c r="K2254" s="31" t="s">
        <v>2232</v>
      </c>
      <c r="L2254" s="31" t="s">
        <v>392</v>
      </c>
      <c r="M2254" s="31" t="s">
        <v>8906</v>
      </c>
      <c r="N2254" s="31" t="s">
        <v>267</v>
      </c>
      <c r="O2254" s="34"/>
      <c r="P2254" s="31">
        <v>2.0</v>
      </c>
      <c r="Q2254" s="31" t="s">
        <v>307</v>
      </c>
      <c r="R2254" s="35">
        <v>36095.0</v>
      </c>
      <c r="S2254" s="31" t="s">
        <v>626</v>
      </c>
      <c r="T2254" s="31" t="s">
        <v>1751</v>
      </c>
      <c r="U2254" s="31" t="s">
        <v>271</v>
      </c>
      <c r="V2254" s="34"/>
      <c r="W2254" s="34"/>
    </row>
    <row r="2255">
      <c r="A2255" s="30">
        <v>2.25</v>
      </c>
      <c r="B2255" s="31" t="s">
        <v>8907</v>
      </c>
      <c r="C2255" s="31" t="s">
        <v>8908</v>
      </c>
      <c r="D2255" s="31" t="s">
        <v>925</v>
      </c>
      <c r="E2255" s="31" t="s">
        <v>1985</v>
      </c>
      <c r="F2255" s="32">
        <v>44013.0</v>
      </c>
      <c r="G2255" s="32">
        <v>44075.0</v>
      </c>
      <c r="H2255" s="31" t="s">
        <v>262</v>
      </c>
      <c r="I2255" s="31" t="s">
        <v>275</v>
      </c>
      <c r="J2255" s="31" t="s">
        <v>2029</v>
      </c>
      <c r="K2255" s="31" t="s">
        <v>2070</v>
      </c>
      <c r="L2255" s="31" t="s">
        <v>929</v>
      </c>
      <c r="M2255" s="31" t="s">
        <v>8909</v>
      </c>
      <c r="N2255" s="31" t="s">
        <v>267</v>
      </c>
      <c r="O2255" s="34"/>
      <c r="P2255" s="31">
        <v>3.0</v>
      </c>
      <c r="Q2255" s="31" t="s">
        <v>307</v>
      </c>
      <c r="R2255" s="32">
        <v>35796.0</v>
      </c>
      <c r="S2255" s="31" t="s">
        <v>2321</v>
      </c>
      <c r="T2255" s="31" t="s">
        <v>1686</v>
      </c>
      <c r="U2255" s="31" t="s">
        <v>271</v>
      </c>
      <c r="V2255" s="31" t="s">
        <v>1985</v>
      </c>
      <c r="W2255" s="34"/>
    </row>
    <row r="2256">
      <c r="A2256" s="30">
        <v>2.251</v>
      </c>
      <c r="B2256" s="31" t="s">
        <v>8910</v>
      </c>
      <c r="C2256" s="31" t="s">
        <v>8911</v>
      </c>
      <c r="D2256" s="31" t="s">
        <v>1011</v>
      </c>
      <c r="E2256" s="31" t="s">
        <v>1986</v>
      </c>
      <c r="F2256" s="32">
        <v>43004.0</v>
      </c>
      <c r="G2256" s="35">
        <v>43065.0</v>
      </c>
      <c r="H2256" s="31" t="s">
        <v>262</v>
      </c>
      <c r="I2256" s="31" t="s">
        <v>275</v>
      </c>
      <c r="J2256" s="31" t="s">
        <v>1986</v>
      </c>
      <c r="K2256" s="31" t="s">
        <v>8912</v>
      </c>
      <c r="L2256" s="31" t="s">
        <v>1014</v>
      </c>
      <c r="M2256" s="31" t="s">
        <v>8913</v>
      </c>
      <c r="N2256" s="31" t="s">
        <v>467</v>
      </c>
      <c r="O2256" s="31">
        <v>2.0</v>
      </c>
      <c r="P2256" s="31">
        <v>1.0</v>
      </c>
      <c r="Q2256" s="31" t="s">
        <v>307</v>
      </c>
      <c r="R2256" s="35">
        <v>35030.0</v>
      </c>
      <c r="S2256" s="31" t="s">
        <v>320</v>
      </c>
      <c r="T2256" s="31" t="s">
        <v>321</v>
      </c>
      <c r="U2256" s="31" t="s">
        <v>271</v>
      </c>
      <c r="V2256" s="34"/>
      <c r="W2256" s="34"/>
    </row>
    <row r="2257">
      <c r="A2257" s="30">
        <v>2.252</v>
      </c>
      <c r="B2257" s="31" t="s">
        <v>8914</v>
      </c>
      <c r="C2257" s="31" t="s">
        <v>8915</v>
      </c>
      <c r="D2257" s="31" t="s">
        <v>364</v>
      </c>
      <c r="E2257" s="31" t="s">
        <v>365</v>
      </c>
      <c r="F2257" s="32">
        <v>44013.0</v>
      </c>
      <c r="G2257" s="32">
        <v>44075.0</v>
      </c>
      <c r="H2257" s="31" t="s">
        <v>262</v>
      </c>
      <c r="I2257" s="31" t="s">
        <v>93</v>
      </c>
      <c r="J2257" s="31" t="s">
        <v>1912</v>
      </c>
      <c r="K2257" s="31" t="s">
        <v>1913</v>
      </c>
      <c r="L2257" s="31" t="s">
        <v>368</v>
      </c>
      <c r="M2257" s="31" t="s">
        <v>8916</v>
      </c>
      <c r="N2257" s="31" t="s">
        <v>467</v>
      </c>
      <c r="O2257" s="34"/>
      <c r="P2257" s="31">
        <v>4.0</v>
      </c>
      <c r="Q2257" s="31" t="s">
        <v>307</v>
      </c>
      <c r="R2257" s="32">
        <v>36370.0</v>
      </c>
      <c r="S2257" s="31" t="s">
        <v>1809</v>
      </c>
      <c r="T2257" s="31" t="s">
        <v>8917</v>
      </c>
      <c r="U2257" s="31" t="s">
        <v>271</v>
      </c>
      <c r="V2257" s="31" t="s">
        <v>365</v>
      </c>
      <c r="W2257" s="34"/>
    </row>
    <row r="2258">
      <c r="A2258" s="30">
        <v>2.253</v>
      </c>
      <c r="B2258" s="31" t="s">
        <v>8918</v>
      </c>
      <c r="C2258" s="31" t="s">
        <v>2198</v>
      </c>
      <c r="D2258" s="31" t="s">
        <v>260</v>
      </c>
      <c r="E2258" s="31" t="s">
        <v>2231</v>
      </c>
      <c r="F2258" s="32">
        <v>43298.0</v>
      </c>
      <c r="G2258" s="32">
        <v>43360.0</v>
      </c>
      <c r="H2258" s="31" t="s">
        <v>262</v>
      </c>
      <c r="I2258" s="31" t="s">
        <v>2219</v>
      </c>
      <c r="J2258" s="31" t="s">
        <v>2231</v>
      </c>
      <c r="K2258" s="31" t="s">
        <v>2232</v>
      </c>
      <c r="L2258" s="31" t="s">
        <v>392</v>
      </c>
      <c r="M2258" s="31" t="s">
        <v>8919</v>
      </c>
      <c r="N2258" s="31" t="s">
        <v>267</v>
      </c>
      <c r="O2258" s="34"/>
      <c r="P2258" s="31">
        <v>4.0</v>
      </c>
      <c r="Q2258" s="31" t="s">
        <v>307</v>
      </c>
      <c r="R2258" s="32">
        <v>35237.0</v>
      </c>
      <c r="S2258" s="31" t="s">
        <v>681</v>
      </c>
      <c r="T2258" s="31" t="s">
        <v>1476</v>
      </c>
      <c r="U2258" s="31" t="s">
        <v>271</v>
      </c>
      <c r="V2258" s="34"/>
      <c r="W2258" s="34"/>
    </row>
    <row r="2259">
      <c r="A2259" s="30">
        <v>2.254</v>
      </c>
      <c r="B2259" s="31" t="s">
        <v>8920</v>
      </c>
      <c r="C2259" s="31" t="s">
        <v>8921</v>
      </c>
      <c r="D2259" s="31" t="s">
        <v>260</v>
      </c>
      <c r="E2259" s="31" t="s">
        <v>390</v>
      </c>
      <c r="F2259" s="32">
        <v>43284.0</v>
      </c>
      <c r="G2259" s="32">
        <v>43346.0</v>
      </c>
      <c r="H2259" s="31" t="s">
        <v>262</v>
      </c>
      <c r="I2259" s="31" t="s">
        <v>2219</v>
      </c>
      <c r="J2259" s="31" t="s">
        <v>390</v>
      </c>
      <c r="K2259" s="31" t="s">
        <v>2290</v>
      </c>
      <c r="L2259" s="31" t="s">
        <v>392</v>
      </c>
      <c r="M2259" s="31" t="s">
        <v>8922</v>
      </c>
      <c r="N2259" s="31" t="s">
        <v>267</v>
      </c>
      <c r="O2259" s="34"/>
      <c r="P2259" s="31">
        <v>5.0</v>
      </c>
      <c r="Q2259" s="31" t="s">
        <v>307</v>
      </c>
      <c r="R2259" s="35">
        <v>35383.0</v>
      </c>
      <c r="S2259" s="31" t="s">
        <v>681</v>
      </c>
      <c r="T2259" s="31" t="s">
        <v>8143</v>
      </c>
      <c r="U2259" s="31" t="s">
        <v>271</v>
      </c>
      <c r="V2259" s="34"/>
      <c r="W2259" s="34"/>
    </row>
    <row r="2260">
      <c r="A2260" s="30">
        <v>2.255</v>
      </c>
      <c r="B2260" s="31" t="s">
        <v>8923</v>
      </c>
      <c r="C2260" s="31" t="s">
        <v>8924</v>
      </c>
      <c r="D2260" s="31" t="s">
        <v>260</v>
      </c>
      <c r="E2260" s="31" t="s">
        <v>2051</v>
      </c>
      <c r="F2260" s="32">
        <v>44244.0</v>
      </c>
      <c r="G2260" s="32">
        <v>44303.0</v>
      </c>
      <c r="H2260" s="31" t="s">
        <v>262</v>
      </c>
      <c r="I2260" s="31" t="s">
        <v>275</v>
      </c>
      <c r="J2260" s="31" t="s">
        <v>2029</v>
      </c>
      <c r="K2260" s="31" t="s">
        <v>2131</v>
      </c>
      <c r="L2260" s="31" t="s">
        <v>997</v>
      </c>
      <c r="M2260" s="31" t="s">
        <v>8925</v>
      </c>
      <c r="N2260" s="31" t="s">
        <v>267</v>
      </c>
      <c r="O2260" s="34"/>
      <c r="P2260" s="31">
        <v>5.0</v>
      </c>
      <c r="Q2260" s="31" t="s">
        <v>307</v>
      </c>
      <c r="R2260" s="32">
        <v>35842.0</v>
      </c>
      <c r="S2260" s="31" t="s">
        <v>3363</v>
      </c>
      <c r="T2260" s="31" t="s">
        <v>8926</v>
      </c>
      <c r="U2260" s="31" t="s">
        <v>271</v>
      </c>
      <c r="V2260" s="31" t="s">
        <v>2051</v>
      </c>
      <c r="W2260" s="34"/>
    </row>
    <row r="2261">
      <c r="A2261" s="30">
        <v>2.256</v>
      </c>
      <c r="B2261" s="31" t="s">
        <v>8927</v>
      </c>
      <c r="C2261" s="31" t="s">
        <v>8928</v>
      </c>
      <c r="D2261" s="31" t="s">
        <v>876</v>
      </c>
      <c r="E2261" s="31" t="s">
        <v>1862</v>
      </c>
      <c r="F2261" s="32">
        <v>42768.0</v>
      </c>
      <c r="G2261" s="32">
        <v>42828.0</v>
      </c>
      <c r="H2261" s="31" t="s">
        <v>262</v>
      </c>
      <c r="I2261" s="31" t="s">
        <v>263</v>
      </c>
      <c r="J2261" s="31" t="s">
        <v>123</v>
      </c>
      <c r="K2261" s="31" t="s">
        <v>1863</v>
      </c>
      <c r="L2261" s="31" t="s">
        <v>877</v>
      </c>
      <c r="M2261" s="31" t="s">
        <v>8929</v>
      </c>
      <c r="N2261" s="31" t="s">
        <v>467</v>
      </c>
      <c r="O2261" s="31">
        <v>2.0</v>
      </c>
      <c r="P2261" s="31">
        <v>1.0</v>
      </c>
      <c r="Q2261" s="31" t="s">
        <v>307</v>
      </c>
      <c r="R2261" s="35">
        <v>32464.0</v>
      </c>
      <c r="S2261" s="31" t="s">
        <v>531</v>
      </c>
      <c r="T2261" s="31" t="s">
        <v>8930</v>
      </c>
      <c r="U2261" s="31" t="s">
        <v>271</v>
      </c>
      <c r="V2261" s="31" t="s">
        <v>1862</v>
      </c>
      <c r="W2261" s="34"/>
    </row>
    <row r="2262">
      <c r="A2262" s="30">
        <v>2.257</v>
      </c>
      <c r="B2262" s="31" t="s">
        <v>8931</v>
      </c>
      <c r="C2262" s="31" t="s">
        <v>8498</v>
      </c>
      <c r="D2262" s="31" t="s">
        <v>260</v>
      </c>
      <c r="E2262" s="31" t="s">
        <v>902</v>
      </c>
      <c r="F2262" s="35">
        <v>44158.0</v>
      </c>
      <c r="G2262" s="32">
        <v>44219.0</v>
      </c>
      <c r="H2262" s="31" t="s">
        <v>262</v>
      </c>
      <c r="I2262" s="31" t="s">
        <v>93</v>
      </c>
      <c r="J2262" s="31" t="s">
        <v>1918</v>
      </c>
      <c r="K2262" s="31" t="s">
        <v>2005</v>
      </c>
      <c r="L2262" s="31" t="s">
        <v>905</v>
      </c>
      <c r="M2262" s="31" t="s">
        <v>8932</v>
      </c>
      <c r="N2262" s="31" t="s">
        <v>267</v>
      </c>
      <c r="O2262" s="34"/>
      <c r="P2262" s="31">
        <v>1.0</v>
      </c>
      <c r="Q2262" s="31" t="s">
        <v>307</v>
      </c>
      <c r="R2262" s="32">
        <v>34056.0</v>
      </c>
      <c r="S2262" s="31" t="s">
        <v>626</v>
      </c>
      <c r="T2262" s="31" t="s">
        <v>8933</v>
      </c>
      <c r="U2262" s="31" t="s">
        <v>271</v>
      </c>
      <c r="V2262" s="31" t="s">
        <v>902</v>
      </c>
      <c r="W2262" s="34"/>
    </row>
    <row r="2263">
      <c r="A2263" s="30">
        <v>2.258</v>
      </c>
      <c r="B2263" s="31" t="s">
        <v>8934</v>
      </c>
      <c r="C2263" s="31" t="s">
        <v>8935</v>
      </c>
      <c r="D2263" s="31" t="s">
        <v>260</v>
      </c>
      <c r="E2263" s="31" t="s">
        <v>2060</v>
      </c>
      <c r="F2263" s="32">
        <v>44092.0</v>
      </c>
      <c r="G2263" s="35">
        <v>44153.0</v>
      </c>
      <c r="H2263" s="31" t="s">
        <v>262</v>
      </c>
      <c r="I2263" s="31" t="s">
        <v>275</v>
      </c>
      <c r="J2263" s="31" t="s">
        <v>2029</v>
      </c>
      <c r="K2263" s="31" t="s">
        <v>8873</v>
      </c>
      <c r="L2263" s="31" t="s">
        <v>1114</v>
      </c>
      <c r="M2263" s="31" t="s">
        <v>8936</v>
      </c>
      <c r="N2263" s="31" t="s">
        <v>267</v>
      </c>
      <c r="O2263" s="34"/>
      <c r="P2263" s="31">
        <v>6.0</v>
      </c>
      <c r="Q2263" s="31" t="s">
        <v>307</v>
      </c>
      <c r="R2263" s="32">
        <v>35950.0</v>
      </c>
      <c r="S2263" s="31" t="s">
        <v>526</v>
      </c>
      <c r="T2263" s="31" t="s">
        <v>1915</v>
      </c>
      <c r="U2263" s="31" t="s">
        <v>271</v>
      </c>
      <c r="V2263" s="31" t="s">
        <v>2060</v>
      </c>
      <c r="W2263" s="34"/>
    </row>
    <row r="2264">
      <c r="A2264" s="30">
        <v>2.259</v>
      </c>
      <c r="B2264" s="31" t="s">
        <v>8937</v>
      </c>
      <c r="C2264" s="31" t="s">
        <v>1259</v>
      </c>
      <c r="D2264" s="31" t="s">
        <v>260</v>
      </c>
      <c r="E2264" s="31" t="s">
        <v>403</v>
      </c>
      <c r="F2264" s="32">
        <v>44620.0</v>
      </c>
      <c r="G2264" s="32">
        <v>44679.0</v>
      </c>
      <c r="H2264" s="31" t="s">
        <v>262</v>
      </c>
      <c r="I2264" s="31" t="s">
        <v>2219</v>
      </c>
      <c r="J2264" s="31" t="s">
        <v>403</v>
      </c>
      <c r="K2264" s="31" t="s">
        <v>2227</v>
      </c>
      <c r="L2264" s="31" t="s">
        <v>392</v>
      </c>
      <c r="M2264" s="31" t="s">
        <v>8938</v>
      </c>
      <c r="N2264" s="31" t="s">
        <v>267</v>
      </c>
      <c r="O2264" s="34"/>
      <c r="P2264" s="31">
        <v>6.0</v>
      </c>
      <c r="Q2264" s="31" t="s">
        <v>307</v>
      </c>
      <c r="R2264" s="35">
        <v>34627.0</v>
      </c>
      <c r="S2264" s="31" t="s">
        <v>681</v>
      </c>
      <c r="T2264" s="31" t="s">
        <v>1682</v>
      </c>
      <c r="U2264" s="31" t="s">
        <v>271</v>
      </c>
      <c r="V2264" s="34"/>
      <c r="W2264" s="34"/>
    </row>
    <row r="2265">
      <c r="A2265" s="30">
        <v>2.26</v>
      </c>
      <c r="B2265" s="31" t="s">
        <v>8939</v>
      </c>
      <c r="C2265" s="31" t="s">
        <v>8940</v>
      </c>
      <c r="D2265" s="31" t="s">
        <v>978</v>
      </c>
      <c r="E2265" s="31" t="s">
        <v>261</v>
      </c>
      <c r="F2265" s="32">
        <v>43587.0</v>
      </c>
      <c r="G2265" s="32">
        <v>43648.0</v>
      </c>
      <c r="H2265" s="31" t="s">
        <v>262</v>
      </c>
      <c r="I2265" s="31" t="s">
        <v>263</v>
      </c>
      <c r="J2265" s="31" t="s">
        <v>261</v>
      </c>
      <c r="K2265" s="31" t="s">
        <v>264</v>
      </c>
      <c r="L2265" s="31" t="s">
        <v>4109</v>
      </c>
      <c r="M2265" s="31" t="s">
        <v>8941</v>
      </c>
      <c r="N2265" s="31" t="s">
        <v>467</v>
      </c>
      <c r="O2265" s="31">
        <v>2.0</v>
      </c>
      <c r="P2265" s="31">
        <v>2.0</v>
      </c>
      <c r="Q2265" s="31" t="s">
        <v>307</v>
      </c>
      <c r="R2265" s="32">
        <v>34423.0</v>
      </c>
      <c r="S2265" s="31" t="s">
        <v>626</v>
      </c>
      <c r="T2265" s="31" t="s">
        <v>8942</v>
      </c>
      <c r="U2265" s="31" t="s">
        <v>271</v>
      </c>
      <c r="V2265" s="34"/>
      <c r="W2265" s="34"/>
    </row>
    <row r="2266">
      <c r="A2266" s="30">
        <v>2.261</v>
      </c>
      <c r="B2266" s="31" t="s">
        <v>8943</v>
      </c>
      <c r="C2266" s="31" t="s">
        <v>8944</v>
      </c>
      <c r="D2266" s="31" t="s">
        <v>260</v>
      </c>
      <c r="E2266" s="31" t="s">
        <v>374</v>
      </c>
      <c r="F2266" s="32">
        <v>44285.0</v>
      </c>
      <c r="G2266" s="32">
        <v>44346.0</v>
      </c>
      <c r="H2266" s="31" t="s">
        <v>262</v>
      </c>
      <c r="I2266" s="31" t="s">
        <v>275</v>
      </c>
      <c r="J2266" s="31" t="s">
        <v>374</v>
      </c>
      <c r="K2266" s="31" t="s">
        <v>2184</v>
      </c>
      <c r="L2266" s="31" t="s">
        <v>376</v>
      </c>
      <c r="M2266" s="31" t="s">
        <v>8945</v>
      </c>
      <c r="N2266" s="31" t="s">
        <v>467</v>
      </c>
      <c r="O2266" s="34"/>
      <c r="P2266" s="31">
        <v>1.0</v>
      </c>
      <c r="Q2266" s="31" t="s">
        <v>307</v>
      </c>
      <c r="R2266" s="32">
        <v>35873.0</v>
      </c>
      <c r="S2266" s="31" t="s">
        <v>955</v>
      </c>
      <c r="T2266" s="31" t="s">
        <v>1783</v>
      </c>
      <c r="U2266" s="31" t="s">
        <v>271</v>
      </c>
      <c r="V2266" s="34"/>
      <c r="W2266" s="34"/>
    </row>
    <row r="2267">
      <c r="A2267" s="30">
        <v>2.262</v>
      </c>
      <c r="B2267" s="31" t="s">
        <v>8946</v>
      </c>
      <c r="C2267" s="31" t="s">
        <v>8947</v>
      </c>
      <c r="D2267" s="31" t="s">
        <v>260</v>
      </c>
      <c r="E2267" s="31" t="s">
        <v>2090</v>
      </c>
      <c r="F2267" s="32">
        <v>44109.0</v>
      </c>
      <c r="G2267" s="32">
        <v>44170.0</v>
      </c>
      <c r="H2267" s="31" t="s">
        <v>262</v>
      </c>
      <c r="I2267" s="31" t="s">
        <v>275</v>
      </c>
      <c r="J2267" s="31" t="s">
        <v>2090</v>
      </c>
      <c r="K2267" s="31" t="s">
        <v>2091</v>
      </c>
      <c r="L2267" s="31" t="s">
        <v>277</v>
      </c>
      <c r="M2267" s="31" t="s">
        <v>8948</v>
      </c>
      <c r="N2267" s="31" t="s">
        <v>267</v>
      </c>
      <c r="O2267" s="34"/>
      <c r="P2267" s="31">
        <v>7.0</v>
      </c>
      <c r="Q2267" s="31" t="s">
        <v>307</v>
      </c>
      <c r="R2267" s="32">
        <v>36106.0</v>
      </c>
      <c r="S2267" s="31" t="s">
        <v>955</v>
      </c>
      <c r="T2267" s="31" t="s">
        <v>1959</v>
      </c>
      <c r="U2267" s="31" t="s">
        <v>271</v>
      </c>
      <c r="V2267" s="34"/>
      <c r="W2267" s="34"/>
    </row>
    <row r="2268">
      <c r="A2268" s="30">
        <v>2.263</v>
      </c>
      <c r="B2268" s="31" t="s">
        <v>8949</v>
      </c>
      <c r="C2268" s="31" t="s">
        <v>4952</v>
      </c>
      <c r="D2268" s="31" t="s">
        <v>978</v>
      </c>
      <c r="E2268" s="31" t="s">
        <v>2090</v>
      </c>
      <c r="F2268" s="32">
        <v>42919.0</v>
      </c>
      <c r="G2268" s="32">
        <v>42981.0</v>
      </c>
      <c r="H2268" s="31" t="s">
        <v>262</v>
      </c>
      <c r="I2268" s="31" t="s">
        <v>275</v>
      </c>
      <c r="J2268" s="31" t="s">
        <v>2090</v>
      </c>
      <c r="K2268" s="31" t="s">
        <v>2091</v>
      </c>
      <c r="L2268" s="31" t="s">
        <v>2215</v>
      </c>
      <c r="M2268" s="31" t="s">
        <v>8950</v>
      </c>
      <c r="N2268" s="31" t="s">
        <v>267</v>
      </c>
      <c r="O2268" s="31">
        <v>2.0</v>
      </c>
      <c r="P2268" s="31">
        <v>1.0</v>
      </c>
      <c r="Q2268" s="31" t="s">
        <v>307</v>
      </c>
      <c r="R2268" s="32">
        <v>34804.0</v>
      </c>
      <c r="S2268" s="31" t="s">
        <v>4241</v>
      </c>
      <c r="T2268" s="31" t="s">
        <v>8951</v>
      </c>
      <c r="U2268" s="31" t="s">
        <v>271</v>
      </c>
      <c r="V2268" s="34"/>
      <c r="W2268" s="34"/>
    </row>
    <row r="2269">
      <c r="A2269" s="30">
        <v>2.264</v>
      </c>
      <c r="B2269" s="31" t="s">
        <v>8952</v>
      </c>
      <c r="C2269" s="31" t="s">
        <v>8953</v>
      </c>
      <c r="D2269" s="31" t="s">
        <v>978</v>
      </c>
      <c r="E2269" s="31" t="s">
        <v>2285</v>
      </c>
      <c r="F2269" s="35">
        <v>42669.0</v>
      </c>
      <c r="G2269" s="35">
        <v>42730.0</v>
      </c>
      <c r="H2269" s="31" t="s">
        <v>262</v>
      </c>
      <c r="I2269" s="31" t="s">
        <v>2219</v>
      </c>
      <c r="J2269" s="31" t="s">
        <v>2285</v>
      </c>
      <c r="K2269" s="31" t="s">
        <v>2286</v>
      </c>
      <c r="L2269" s="31" t="s">
        <v>1171</v>
      </c>
      <c r="M2269" s="31" t="s">
        <v>8954</v>
      </c>
      <c r="N2269" s="31" t="s">
        <v>467</v>
      </c>
      <c r="O2269" s="31">
        <v>2.0</v>
      </c>
      <c r="P2269" s="31">
        <v>1.0</v>
      </c>
      <c r="Q2269" s="31" t="s">
        <v>307</v>
      </c>
      <c r="R2269" s="32">
        <v>34251.0</v>
      </c>
      <c r="S2269" s="31" t="s">
        <v>320</v>
      </c>
      <c r="T2269" s="31" t="s">
        <v>1783</v>
      </c>
      <c r="U2269" s="31" t="s">
        <v>271</v>
      </c>
      <c r="V2269" s="34"/>
      <c r="W2269" s="34"/>
    </row>
    <row r="2270">
      <c r="A2270" s="30">
        <v>2.265</v>
      </c>
      <c r="B2270" s="31" t="s">
        <v>8955</v>
      </c>
      <c r="C2270" s="31" t="s">
        <v>8956</v>
      </c>
      <c r="D2270" s="31" t="s">
        <v>260</v>
      </c>
      <c r="E2270" s="31" t="s">
        <v>1854</v>
      </c>
      <c r="F2270" s="35">
        <v>44119.0</v>
      </c>
      <c r="G2270" s="35">
        <v>44180.0</v>
      </c>
      <c r="H2270" s="31" t="s">
        <v>262</v>
      </c>
      <c r="I2270" s="31" t="s">
        <v>263</v>
      </c>
      <c r="J2270" s="31" t="s">
        <v>123</v>
      </c>
      <c r="K2270" s="31" t="s">
        <v>1855</v>
      </c>
      <c r="L2270" s="31" t="s">
        <v>431</v>
      </c>
      <c r="M2270" s="31" t="s">
        <v>8957</v>
      </c>
      <c r="N2270" s="31" t="s">
        <v>267</v>
      </c>
      <c r="O2270" s="34"/>
      <c r="P2270" s="31">
        <v>1.0</v>
      </c>
      <c r="Q2270" s="31" t="s">
        <v>307</v>
      </c>
      <c r="R2270" s="32">
        <v>36051.0</v>
      </c>
      <c r="S2270" s="31" t="s">
        <v>1041</v>
      </c>
      <c r="T2270" s="31" t="s">
        <v>1895</v>
      </c>
      <c r="U2270" s="31" t="s">
        <v>271</v>
      </c>
      <c r="V2270" s="31" t="s">
        <v>1854</v>
      </c>
      <c r="W2270" s="34"/>
    </row>
    <row r="2271">
      <c r="A2271" s="30">
        <v>2.266</v>
      </c>
      <c r="B2271" s="31" t="s">
        <v>8958</v>
      </c>
      <c r="C2271" s="31" t="s">
        <v>8959</v>
      </c>
      <c r="D2271" s="31" t="s">
        <v>260</v>
      </c>
      <c r="E2271" s="31" t="s">
        <v>1693</v>
      </c>
      <c r="F2271" s="32">
        <v>43904.0</v>
      </c>
      <c r="G2271" s="32">
        <v>43965.0</v>
      </c>
      <c r="H2271" s="31" t="s">
        <v>262</v>
      </c>
      <c r="I2271" s="31" t="s">
        <v>263</v>
      </c>
      <c r="J2271" s="31" t="s">
        <v>1693</v>
      </c>
      <c r="K2271" s="31" t="s">
        <v>1694</v>
      </c>
      <c r="L2271" s="31" t="s">
        <v>749</v>
      </c>
      <c r="M2271" s="31" t="s">
        <v>8960</v>
      </c>
      <c r="N2271" s="31" t="s">
        <v>267</v>
      </c>
      <c r="O2271" s="34"/>
      <c r="P2271" s="31">
        <v>10.0</v>
      </c>
      <c r="Q2271" s="31" t="s">
        <v>307</v>
      </c>
      <c r="R2271" s="32">
        <v>35833.0</v>
      </c>
      <c r="S2271" s="31" t="s">
        <v>676</v>
      </c>
      <c r="T2271" s="31" t="s">
        <v>1686</v>
      </c>
      <c r="U2271" s="31" t="s">
        <v>271</v>
      </c>
      <c r="V2271" s="34"/>
      <c r="W2271" s="34"/>
    </row>
    <row r="2272">
      <c r="A2272" s="30">
        <v>2.267</v>
      </c>
      <c r="B2272" s="31" t="s">
        <v>8961</v>
      </c>
      <c r="C2272" s="31" t="s">
        <v>8962</v>
      </c>
      <c r="D2272" s="31" t="s">
        <v>260</v>
      </c>
      <c r="E2272" s="31" t="s">
        <v>403</v>
      </c>
      <c r="F2272" s="32">
        <v>44620.0</v>
      </c>
      <c r="G2272" s="32">
        <v>44679.0</v>
      </c>
      <c r="H2272" s="31" t="s">
        <v>262</v>
      </c>
      <c r="I2272" s="31" t="s">
        <v>2219</v>
      </c>
      <c r="J2272" s="31" t="s">
        <v>403</v>
      </c>
      <c r="K2272" s="31" t="s">
        <v>2227</v>
      </c>
      <c r="L2272" s="31" t="s">
        <v>392</v>
      </c>
      <c r="M2272" s="31" t="s">
        <v>8963</v>
      </c>
      <c r="N2272" s="31" t="s">
        <v>267</v>
      </c>
      <c r="O2272" s="34"/>
      <c r="P2272" s="31">
        <v>8.0</v>
      </c>
      <c r="Q2272" s="31" t="s">
        <v>307</v>
      </c>
      <c r="R2272" s="32">
        <v>34954.0</v>
      </c>
      <c r="S2272" s="31" t="s">
        <v>681</v>
      </c>
      <c r="T2272" s="31" t="s">
        <v>1682</v>
      </c>
      <c r="U2272" s="31" t="s">
        <v>271</v>
      </c>
      <c r="V2272" s="34"/>
      <c r="W2272" s="34"/>
    </row>
    <row r="2273">
      <c r="A2273" s="30">
        <v>2.268</v>
      </c>
      <c r="B2273" s="31" t="s">
        <v>8964</v>
      </c>
      <c r="C2273" s="31" t="s">
        <v>8965</v>
      </c>
      <c r="D2273" s="31" t="s">
        <v>260</v>
      </c>
      <c r="E2273" s="31" t="s">
        <v>1260</v>
      </c>
      <c r="F2273" s="32">
        <v>45133.0</v>
      </c>
      <c r="G2273" s="32">
        <v>45193.0</v>
      </c>
      <c r="H2273" s="31" t="s">
        <v>262</v>
      </c>
      <c r="I2273" s="31" t="s">
        <v>2219</v>
      </c>
      <c r="J2273" s="31" t="s">
        <v>1260</v>
      </c>
      <c r="K2273" s="31" t="s">
        <v>2281</v>
      </c>
      <c r="L2273" s="31" t="s">
        <v>392</v>
      </c>
      <c r="M2273" s="31" t="s">
        <v>8966</v>
      </c>
      <c r="N2273" s="31" t="s">
        <v>267</v>
      </c>
      <c r="O2273" s="34"/>
      <c r="P2273" s="31">
        <v>1.0</v>
      </c>
      <c r="Q2273" s="31" t="s">
        <v>307</v>
      </c>
      <c r="R2273" s="32">
        <v>37330.0</v>
      </c>
      <c r="S2273" s="31" t="s">
        <v>955</v>
      </c>
      <c r="T2273" s="31" t="s">
        <v>7398</v>
      </c>
      <c r="U2273" s="31" t="s">
        <v>271</v>
      </c>
      <c r="V2273" s="34"/>
      <c r="W2273" s="34"/>
    </row>
    <row r="2274">
      <c r="A2274" s="30">
        <v>2.269</v>
      </c>
      <c r="B2274" s="31" t="s">
        <v>8967</v>
      </c>
      <c r="C2274" s="31" t="s">
        <v>8611</v>
      </c>
      <c r="D2274" s="31" t="s">
        <v>260</v>
      </c>
      <c r="E2274" s="31" t="s">
        <v>2285</v>
      </c>
      <c r="F2274" s="32">
        <v>45124.0</v>
      </c>
      <c r="G2274" s="32">
        <v>45184.0</v>
      </c>
      <c r="H2274" s="31" t="s">
        <v>262</v>
      </c>
      <c r="I2274" s="31" t="s">
        <v>2219</v>
      </c>
      <c r="J2274" s="31" t="s">
        <v>2285</v>
      </c>
      <c r="K2274" s="31" t="s">
        <v>2286</v>
      </c>
      <c r="L2274" s="31" t="s">
        <v>392</v>
      </c>
      <c r="M2274" s="31" t="s">
        <v>8968</v>
      </c>
      <c r="N2274" s="31" t="s">
        <v>267</v>
      </c>
      <c r="O2274" s="34"/>
      <c r="P2274" s="31">
        <v>1.0</v>
      </c>
      <c r="Q2274" s="31" t="s">
        <v>307</v>
      </c>
      <c r="R2274" s="32">
        <v>37404.0</v>
      </c>
      <c r="S2274" s="31" t="s">
        <v>320</v>
      </c>
      <c r="T2274" s="31" t="s">
        <v>1666</v>
      </c>
      <c r="U2274" s="31" t="s">
        <v>271</v>
      </c>
      <c r="V2274" s="34"/>
      <c r="W2274" s="34"/>
    </row>
    <row r="2275">
      <c r="A2275" s="30">
        <v>2.27</v>
      </c>
      <c r="B2275" s="31" t="s">
        <v>8969</v>
      </c>
      <c r="C2275" s="31" t="s">
        <v>8970</v>
      </c>
      <c r="D2275" s="31" t="s">
        <v>260</v>
      </c>
      <c r="E2275" s="31" t="s">
        <v>324</v>
      </c>
      <c r="F2275" s="32">
        <v>45078.0</v>
      </c>
      <c r="G2275" s="32">
        <v>45108.0</v>
      </c>
      <c r="H2275" s="31" t="s">
        <v>2732</v>
      </c>
      <c r="I2275" s="31" t="s">
        <v>326</v>
      </c>
      <c r="J2275" s="31" t="s">
        <v>324</v>
      </c>
      <c r="K2275" s="31" t="s">
        <v>2733</v>
      </c>
      <c r="L2275" s="31" t="s">
        <v>328</v>
      </c>
      <c r="M2275" s="31" t="s">
        <v>8971</v>
      </c>
      <c r="N2275" s="31" t="s">
        <v>267</v>
      </c>
      <c r="O2275" s="34"/>
      <c r="P2275" s="31">
        <v>3.0</v>
      </c>
      <c r="Q2275" s="31" t="s">
        <v>307</v>
      </c>
      <c r="R2275" s="32">
        <v>37069.0</v>
      </c>
      <c r="S2275" s="31" t="s">
        <v>2057</v>
      </c>
      <c r="T2275" s="31" t="s">
        <v>2740</v>
      </c>
      <c r="U2275" s="31" t="s">
        <v>2735</v>
      </c>
      <c r="V2275" s="34"/>
      <c r="W2275" s="34"/>
    </row>
    <row r="2276">
      <c r="A2276" s="30">
        <v>2.271</v>
      </c>
      <c r="B2276" s="31" t="s">
        <v>8972</v>
      </c>
      <c r="C2276" s="31" t="s">
        <v>8973</v>
      </c>
      <c r="D2276" s="31" t="s">
        <v>260</v>
      </c>
      <c r="E2276" s="31" t="s">
        <v>324</v>
      </c>
      <c r="F2276" s="32">
        <v>44994.0</v>
      </c>
      <c r="G2276" s="32">
        <v>45055.0</v>
      </c>
      <c r="H2276" s="31" t="s">
        <v>2732</v>
      </c>
      <c r="I2276" s="31" t="s">
        <v>326</v>
      </c>
      <c r="J2276" s="31" t="s">
        <v>324</v>
      </c>
      <c r="K2276" s="31" t="s">
        <v>2733</v>
      </c>
      <c r="L2276" s="31" t="s">
        <v>328</v>
      </c>
      <c r="M2276" s="31" t="s">
        <v>8974</v>
      </c>
      <c r="N2276" s="31" t="s">
        <v>267</v>
      </c>
      <c r="O2276" s="34"/>
      <c r="P2276" s="31">
        <v>3.0</v>
      </c>
      <c r="Q2276" s="31" t="s">
        <v>307</v>
      </c>
      <c r="R2276" s="32">
        <v>36703.0</v>
      </c>
      <c r="S2276" s="31" t="s">
        <v>1876</v>
      </c>
      <c r="T2276" s="31" t="s">
        <v>1647</v>
      </c>
      <c r="U2276" s="31" t="s">
        <v>2735</v>
      </c>
      <c r="V2276" s="34"/>
      <c r="W2276" s="34"/>
    </row>
    <row r="2277">
      <c r="A2277" s="30">
        <v>2.272</v>
      </c>
      <c r="B2277" s="31" t="s">
        <v>8975</v>
      </c>
      <c r="C2277" s="31" t="s">
        <v>8976</v>
      </c>
      <c r="D2277" s="31" t="s">
        <v>260</v>
      </c>
      <c r="E2277" s="31" t="s">
        <v>2285</v>
      </c>
      <c r="F2277" s="32">
        <v>44991.0</v>
      </c>
      <c r="G2277" s="32">
        <v>45052.0</v>
      </c>
      <c r="H2277" s="31" t="s">
        <v>262</v>
      </c>
      <c r="I2277" s="31" t="s">
        <v>2219</v>
      </c>
      <c r="J2277" s="31" t="s">
        <v>2285</v>
      </c>
      <c r="K2277" s="31" t="s">
        <v>2286</v>
      </c>
      <c r="L2277" s="31" t="s">
        <v>392</v>
      </c>
      <c r="M2277" s="31" t="s">
        <v>8977</v>
      </c>
      <c r="N2277" s="31" t="s">
        <v>267</v>
      </c>
      <c r="O2277" s="34"/>
      <c r="P2277" s="31">
        <v>1.0</v>
      </c>
      <c r="Q2277" s="31" t="s">
        <v>307</v>
      </c>
      <c r="R2277" s="35">
        <v>36080.0</v>
      </c>
      <c r="S2277" s="31" t="s">
        <v>626</v>
      </c>
      <c r="T2277" s="31" t="s">
        <v>1915</v>
      </c>
      <c r="U2277" s="31" t="s">
        <v>271</v>
      </c>
      <c r="V2277" s="34"/>
      <c r="W2277" s="34"/>
    </row>
    <row r="2278">
      <c r="A2278" s="30">
        <v>2.273</v>
      </c>
      <c r="B2278" s="31" t="s">
        <v>8978</v>
      </c>
      <c r="C2278" s="31" t="s">
        <v>8979</v>
      </c>
      <c r="D2278" s="31" t="s">
        <v>313</v>
      </c>
      <c r="E2278" s="31" t="s">
        <v>81</v>
      </c>
      <c r="F2278" s="35">
        <v>44910.0</v>
      </c>
      <c r="G2278" s="32">
        <v>44972.0</v>
      </c>
      <c r="H2278" s="31" t="s">
        <v>2732</v>
      </c>
      <c r="I2278" s="31" t="s">
        <v>2797</v>
      </c>
      <c r="J2278" s="31" t="s">
        <v>81</v>
      </c>
      <c r="K2278" s="31" t="s">
        <v>7439</v>
      </c>
      <c r="L2278" s="31" t="s">
        <v>318</v>
      </c>
      <c r="M2278" s="31" t="s">
        <v>8980</v>
      </c>
      <c r="N2278" s="31" t="s">
        <v>267</v>
      </c>
      <c r="O2278" s="34"/>
      <c r="P2278" s="31">
        <v>1.0</v>
      </c>
      <c r="Q2278" s="31" t="s">
        <v>307</v>
      </c>
      <c r="R2278" s="32">
        <v>34846.0</v>
      </c>
      <c r="S2278" s="31" t="s">
        <v>864</v>
      </c>
      <c r="T2278" s="31" t="s">
        <v>8517</v>
      </c>
      <c r="U2278" s="31" t="s">
        <v>2735</v>
      </c>
      <c r="V2278" s="34"/>
      <c r="W2278" s="34"/>
    </row>
    <row r="2279">
      <c r="A2279" s="30">
        <v>2.274</v>
      </c>
      <c r="B2279" s="31" t="s">
        <v>8981</v>
      </c>
      <c r="C2279" s="31" t="s">
        <v>8982</v>
      </c>
      <c r="D2279" s="31" t="s">
        <v>1219</v>
      </c>
      <c r="E2279" s="31" t="s">
        <v>2796</v>
      </c>
      <c r="F2279" s="32">
        <v>44831.0</v>
      </c>
      <c r="G2279" s="35">
        <v>44892.0</v>
      </c>
      <c r="H2279" s="31" t="s">
        <v>2732</v>
      </c>
      <c r="I2279" s="31" t="s">
        <v>2797</v>
      </c>
      <c r="J2279" s="31" t="s">
        <v>2796</v>
      </c>
      <c r="K2279" s="31" t="s">
        <v>2798</v>
      </c>
      <c r="L2279" s="31" t="s">
        <v>1223</v>
      </c>
      <c r="M2279" s="31" t="s">
        <v>8983</v>
      </c>
      <c r="N2279" s="31" t="s">
        <v>467</v>
      </c>
      <c r="O2279" s="34"/>
      <c r="P2279" s="31">
        <v>1.0</v>
      </c>
      <c r="Q2279" s="31" t="s">
        <v>307</v>
      </c>
      <c r="R2279" s="32">
        <v>35990.0</v>
      </c>
      <c r="S2279" s="31" t="s">
        <v>320</v>
      </c>
      <c r="T2279" s="31" t="s">
        <v>8984</v>
      </c>
      <c r="U2279" s="31" t="s">
        <v>2735</v>
      </c>
      <c r="V2279" s="34"/>
      <c r="W2279" s="34"/>
    </row>
    <row r="2280">
      <c r="A2280" s="30">
        <v>2.275</v>
      </c>
      <c r="B2280" s="31" t="s">
        <v>8985</v>
      </c>
      <c r="C2280" s="31" t="s">
        <v>8986</v>
      </c>
      <c r="D2280" s="31" t="s">
        <v>1219</v>
      </c>
      <c r="E2280" s="31" t="s">
        <v>2796</v>
      </c>
      <c r="F2280" s="32">
        <v>44831.0</v>
      </c>
      <c r="G2280" s="35">
        <v>44892.0</v>
      </c>
      <c r="H2280" s="31" t="s">
        <v>2732</v>
      </c>
      <c r="I2280" s="31" t="s">
        <v>2797</v>
      </c>
      <c r="J2280" s="31" t="s">
        <v>2796</v>
      </c>
      <c r="K2280" s="31" t="s">
        <v>2798</v>
      </c>
      <c r="L2280" s="31" t="s">
        <v>1223</v>
      </c>
      <c r="M2280" s="31" t="s">
        <v>8987</v>
      </c>
      <c r="N2280" s="31" t="s">
        <v>467</v>
      </c>
      <c r="O2280" s="34"/>
      <c r="P2280" s="31">
        <v>1.0</v>
      </c>
      <c r="Q2280" s="31" t="s">
        <v>307</v>
      </c>
      <c r="R2280" s="32">
        <v>34704.0</v>
      </c>
      <c r="S2280" s="31" t="s">
        <v>5654</v>
      </c>
      <c r="T2280" s="31" t="s">
        <v>8988</v>
      </c>
      <c r="U2280" s="31" t="s">
        <v>2735</v>
      </c>
      <c r="V2280" s="34"/>
      <c r="W2280" s="34"/>
    </row>
    <row r="2281">
      <c r="A2281" s="30">
        <v>2.276</v>
      </c>
      <c r="B2281" s="31" t="s">
        <v>8989</v>
      </c>
      <c r="C2281" s="31" t="s">
        <v>8990</v>
      </c>
      <c r="D2281" s="31" t="s">
        <v>648</v>
      </c>
      <c r="E2281" s="31" t="s">
        <v>2781</v>
      </c>
      <c r="F2281" s="32">
        <v>44802.0</v>
      </c>
      <c r="G2281" s="35">
        <v>44862.0</v>
      </c>
      <c r="H2281" s="31" t="s">
        <v>2732</v>
      </c>
      <c r="I2281" s="31" t="s">
        <v>153</v>
      </c>
      <c r="J2281" s="31" t="s">
        <v>2781</v>
      </c>
      <c r="K2281" s="31" t="s">
        <v>8991</v>
      </c>
      <c r="L2281" s="31" t="s">
        <v>663</v>
      </c>
      <c r="M2281" s="31" t="s">
        <v>8992</v>
      </c>
      <c r="N2281" s="31" t="s">
        <v>267</v>
      </c>
      <c r="O2281" s="34"/>
      <c r="P2281" s="31">
        <v>3.0</v>
      </c>
      <c r="Q2281" s="31" t="s">
        <v>307</v>
      </c>
      <c r="R2281" s="32">
        <v>36762.0</v>
      </c>
      <c r="S2281" s="31" t="s">
        <v>2057</v>
      </c>
      <c r="T2281" s="31" t="s">
        <v>8993</v>
      </c>
      <c r="U2281" s="31" t="s">
        <v>2735</v>
      </c>
      <c r="V2281" s="34"/>
      <c r="W2281" s="34"/>
    </row>
    <row r="2282">
      <c r="A2282" s="30">
        <v>2.277</v>
      </c>
      <c r="B2282" s="31" t="s">
        <v>8994</v>
      </c>
      <c r="C2282" s="31" t="s">
        <v>8995</v>
      </c>
      <c r="D2282" s="31" t="s">
        <v>260</v>
      </c>
      <c r="E2282" s="31" t="s">
        <v>1260</v>
      </c>
      <c r="F2282" s="32">
        <v>44744.0</v>
      </c>
      <c r="G2282" s="32">
        <v>44806.0</v>
      </c>
      <c r="H2282" s="31" t="s">
        <v>262</v>
      </c>
      <c r="I2282" s="31" t="s">
        <v>2219</v>
      </c>
      <c r="J2282" s="31" t="s">
        <v>1260</v>
      </c>
      <c r="K2282" s="31" t="s">
        <v>2281</v>
      </c>
      <c r="L2282" s="31" t="s">
        <v>392</v>
      </c>
      <c r="M2282" s="31" t="s">
        <v>8996</v>
      </c>
      <c r="N2282" s="31" t="s">
        <v>267</v>
      </c>
      <c r="O2282" s="34"/>
      <c r="P2282" s="31">
        <v>2.0</v>
      </c>
      <c r="Q2282" s="31" t="s">
        <v>307</v>
      </c>
      <c r="R2282" s="32">
        <v>37078.0</v>
      </c>
      <c r="S2282" s="31" t="s">
        <v>1472</v>
      </c>
      <c r="T2282" s="31" t="s">
        <v>1711</v>
      </c>
      <c r="U2282" s="31" t="s">
        <v>271</v>
      </c>
      <c r="V2282" s="34"/>
      <c r="W2282" s="34"/>
    </row>
    <row r="2283">
      <c r="A2283" s="30">
        <v>2.278</v>
      </c>
      <c r="B2283" s="31" t="s">
        <v>8997</v>
      </c>
      <c r="C2283" s="31" t="s">
        <v>8998</v>
      </c>
      <c r="D2283" s="31" t="s">
        <v>260</v>
      </c>
      <c r="E2283" s="31" t="s">
        <v>2285</v>
      </c>
      <c r="F2283" s="32">
        <v>44742.0</v>
      </c>
      <c r="G2283" s="32">
        <v>44803.0</v>
      </c>
      <c r="H2283" s="31" t="s">
        <v>262</v>
      </c>
      <c r="I2283" s="31" t="s">
        <v>2219</v>
      </c>
      <c r="J2283" s="31" t="s">
        <v>2285</v>
      </c>
      <c r="K2283" s="31" t="s">
        <v>2286</v>
      </c>
      <c r="L2283" s="31" t="s">
        <v>392</v>
      </c>
      <c r="M2283" s="31" t="s">
        <v>8999</v>
      </c>
      <c r="N2283" s="31" t="s">
        <v>267</v>
      </c>
      <c r="O2283" s="34"/>
      <c r="P2283" s="31">
        <v>1.0</v>
      </c>
      <c r="Q2283" s="31" t="s">
        <v>307</v>
      </c>
      <c r="R2283" s="35">
        <v>36478.0</v>
      </c>
      <c r="S2283" s="31" t="s">
        <v>1041</v>
      </c>
      <c r="T2283" s="31" t="s">
        <v>9000</v>
      </c>
      <c r="U2283" s="31" t="s">
        <v>271</v>
      </c>
      <c r="V2283" s="34"/>
      <c r="W2283" s="34"/>
    </row>
    <row r="2284">
      <c r="A2284" s="30">
        <v>2.279</v>
      </c>
      <c r="B2284" s="31" t="s">
        <v>9001</v>
      </c>
      <c r="C2284" s="31" t="s">
        <v>3839</v>
      </c>
      <c r="D2284" s="31" t="s">
        <v>313</v>
      </c>
      <c r="E2284" s="31" t="s">
        <v>81</v>
      </c>
      <c r="F2284" s="32">
        <v>44708.0</v>
      </c>
      <c r="G2284" s="32">
        <v>44769.0</v>
      </c>
      <c r="H2284" s="31" t="s">
        <v>2732</v>
      </c>
      <c r="I2284" s="31" t="s">
        <v>2797</v>
      </c>
      <c r="J2284" s="31" t="s">
        <v>81</v>
      </c>
      <c r="K2284" s="31" t="s">
        <v>7439</v>
      </c>
      <c r="L2284" s="31" t="s">
        <v>318</v>
      </c>
      <c r="M2284" s="31" t="s">
        <v>9002</v>
      </c>
      <c r="N2284" s="31" t="s">
        <v>267</v>
      </c>
      <c r="O2284" s="34"/>
      <c r="P2284" s="31">
        <v>1.0</v>
      </c>
      <c r="Q2284" s="31" t="s">
        <v>307</v>
      </c>
      <c r="R2284" s="32">
        <v>36779.0</v>
      </c>
      <c r="S2284" s="31" t="s">
        <v>9003</v>
      </c>
      <c r="T2284" s="31" t="s">
        <v>9004</v>
      </c>
      <c r="U2284" s="31" t="s">
        <v>2735</v>
      </c>
      <c r="V2284" s="34"/>
      <c r="W2284" s="34"/>
    </row>
    <row r="2285">
      <c r="A2285" s="30">
        <v>2.28</v>
      </c>
      <c r="B2285" s="31" t="s">
        <v>9005</v>
      </c>
      <c r="C2285" s="31" t="s">
        <v>6206</v>
      </c>
      <c r="D2285" s="31" t="s">
        <v>260</v>
      </c>
      <c r="E2285" s="31" t="s">
        <v>2285</v>
      </c>
      <c r="F2285" s="32">
        <v>44677.0</v>
      </c>
      <c r="G2285" s="32">
        <v>44738.0</v>
      </c>
      <c r="H2285" s="31" t="s">
        <v>262</v>
      </c>
      <c r="I2285" s="31" t="s">
        <v>2219</v>
      </c>
      <c r="J2285" s="31" t="s">
        <v>2285</v>
      </c>
      <c r="K2285" s="31" t="s">
        <v>2286</v>
      </c>
      <c r="L2285" s="31" t="s">
        <v>392</v>
      </c>
      <c r="M2285" s="31" t="s">
        <v>9006</v>
      </c>
      <c r="N2285" s="31" t="s">
        <v>267</v>
      </c>
      <c r="O2285" s="34"/>
      <c r="P2285" s="31">
        <v>5.0</v>
      </c>
      <c r="Q2285" s="31" t="s">
        <v>307</v>
      </c>
      <c r="R2285" s="32">
        <v>36661.0</v>
      </c>
      <c r="S2285" s="31" t="s">
        <v>320</v>
      </c>
      <c r="T2285" s="31" t="s">
        <v>4573</v>
      </c>
      <c r="U2285" s="31" t="s">
        <v>271</v>
      </c>
      <c r="V2285" s="34"/>
      <c r="W2285" s="34"/>
    </row>
    <row r="2286">
      <c r="A2286" s="30">
        <v>2.281</v>
      </c>
      <c r="B2286" s="31" t="s">
        <v>9007</v>
      </c>
      <c r="C2286" s="31" t="s">
        <v>4210</v>
      </c>
      <c r="D2286" s="31" t="s">
        <v>260</v>
      </c>
      <c r="E2286" s="31" t="s">
        <v>2760</v>
      </c>
      <c r="F2286" s="32">
        <v>44642.0</v>
      </c>
      <c r="G2286" s="32">
        <v>44703.0</v>
      </c>
      <c r="H2286" s="31" t="s">
        <v>2732</v>
      </c>
      <c r="I2286" s="31" t="s">
        <v>2761</v>
      </c>
      <c r="J2286" s="31" t="s">
        <v>2760</v>
      </c>
      <c r="K2286" s="31" t="s">
        <v>7444</v>
      </c>
      <c r="L2286" s="31" t="s">
        <v>891</v>
      </c>
      <c r="M2286" s="31" t="s">
        <v>9008</v>
      </c>
      <c r="N2286" s="31" t="s">
        <v>267</v>
      </c>
      <c r="O2286" s="34"/>
      <c r="P2286" s="31">
        <v>1.0</v>
      </c>
      <c r="Q2286" s="31" t="s">
        <v>307</v>
      </c>
      <c r="R2286" s="35">
        <v>36855.0</v>
      </c>
      <c r="S2286" s="31" t="s">
        <v>1018</v>
      </c>
      <c r="T2286" s="31" t="s">
        <v>9009</v>
      </c>
      <c r="U2286" s="31" t="s">
        <v>2735</v>
      </c>
      <c r="V2286" s="34"/>
      <c r="W2286" s="34"/>
    </row>
    <row r="2287">
      <c r="A2287" s="30">
        <v>2.282</v>
      </c>
      <c r="B2287" s="31" t="s">
        <v>9010</v>
      </c>
      <c r="C2287" s="31" t="s">
        <v>9011</v>
      </c>
      <c r="D2287" s="31" t="s">
        <v>260</v>
      </c>
      <c r="E2287" s="31" t="s">
        <v>2760</v>
      </c>
      <c r="F2287" s="32">
        <v>44642.0</v>
      </c>
      <c r="G2287" s="32">
        <v>44703.0</v>
      </c>
      <c r="H2287" s="31" t="s">
        <v>2732</v>
      </c>
      <c r="I2287" s="31" t="s">
        <v>2761</v>
      </c>
      <c r="J2287" s="31" t="s">
        <v>2760</v>
      </c>
      <c r="K2287" s="31" t="s">
        <v>7444</v>
      </c>
      <c r="L2287" s="31" t="s">
        <v>891</v>
      </c>
      <c r="M2287" s="31" t="s">
        <v>9012</v>
      </c>
      <c r="N2287" s="31" t="s">
        <v>267</v>
      </c>
      <c r="O2287" s="34"/>
      <c r="P2287" s="31">
        <v>2.0</v>
      </c>
      <c r="Q2287" s="31" t="s">
        <v>307</v>
      </c>
      <c r="R2287" s="32">
        <v>35492.0</v>
      </c>
      <c r="S2287" s="31" t="s">
        <v>898</v>
      </c>
      <c r="T2287" s="31" t="s">
        <v>592</v>
      </c>
      <c r="U2287" s="31" t="s">
        <v>2735</v>
      </c>
      <c r="V2287" s="34"/>
      <c r="W2287" s="34"/>
    </row>
    <row r="2288">
      <c r="A2288" s="30">
        <v>2.283</v>
      </c>
      <c r="B2288" s="31" t="s">
        <v>9013</v>
      </c>
      <c r="C2288" s="31" t="s">
        <v>9014</v>
      </c>
      <c r="D2288" s="31" t="s">
        <v>1219</v>
      </c>
      <c r="E2288" s="31" t="s">
        <v>2796</v>
      </c>
      <c r="F2288" s="32">
        <v>44622.0</v>
      </c>
      <c r="G2288" s="32">
        <v>44683.0</v>
      </c>
      <c r="H2288" s="31" t="s">
        <v>2732</v>
      </c>
      <c r="I2288" s="31" t="s">
        <v>2797</v>
      </c>
      <c r="J2288" s="31" t="s">
        <v>2796</v>
      </c>
      <c r="K2288" s="31" t="s">
        <v>2798</v>
      </c>
      <c r="L2288" s="31" t="s">
        <v>1223</v>
      </c>
      <c r="M2288" s="31" t="s">
        <v>9015</v>
      </c>
      <c r="N2288" s="31" t="s">
        <v>267</v>
      </c>
      <c r="O2288" s="34"/>
      <c r="P2288" s="31">
        <v>2.0</v>
      </c>
      <c r="Q2288" s="31" t="s">
        <v>307</v>
      </c>
      <c r="R2288" s="35">
        <v>35415.0</v>
      </c>
      <c r="S2288" s="31" t="s">
        <v>626</v>
      </c>
      <c r="T2288" s="31" t="s">
        <v>2740</v>
      </c>
      <c r="U2288" s="31" t="s">
        <v>2735</v>
      </c>
      <c r="V2288" s="34"/>
      <c r="W2288" s="34"/>
    </row>
    <row r="2289">
      <c r="A2289" s="30">
        <v>2.284</v>
      </c>
      <c r="B2289" s="31" t="s">
        <v>9016</v>
      </c>
      <c r="C2289" s="31" t="s">
        <v>9017</v>
      </c>
      <c r="D2289" s="31" t="s">
        <v>1219</v>
      </c>
      <c r="E2289" s="31" t="s">
        <v>2796</v>
      </c>
      <c r="F2289" s="32">
        <v>44622.0</v>
      </c>
      <c r="G2289" s="32">
        <v>44682.0</v>
      </c>
      <c r="H2289" s="31" t="s">
        <v>2732</v>
      </c>
      <c r="I2289" s="31" t="s">
        <v>2797</v>
      </c>
      <c r="J2289" s="31" t="s">
        <v>2796</v>
      </c>
      <c r="K2289" s="31" t="s">
        <v>2798</v>
      </c>
      <c r="L2289" s="31" t="s">
        <v>1223</v>
      </c>
      <c r="M2289" s="31" t="s">
        <v>9018</v>
      </c>
      <c r="N2289" s="31" t="s">
        <v>467</v>
      </c>
      <c r="O2289" s="34"/>
      <c r="P2289" s="31">
        <v>2.0</v>
      </c>
      <c r="Q2289" s="31" t="s">
        <v>307</v>
      </c>
      <c r="R2289" s="32">
        <v>36295.0</v>
      </c>
      <c r="S2289" s="31" t="s">
        <v>815</v>
      </c>
      <c r="T2289" s="31" t="s">
        <v>9019</v>
      </c>
      <c r="U2289" s="31" t="s">
        <v>2735</v>
      </c>
      <c r="V2289" s="34"/>
      <c r="W2289" s="34"/>
    </row>
    <row r="2290">
      <c r="A2290" s="30">
        <v>2.285</v>
      </c>
      <c r="B2290" s="31" t="s">
        <v>9020</v>
      </c>
      <c r="C2290" s="31" t="s">
        <v>9021</v>
      </c>
      <c r="D2290" s="31" t="s">
        <v>978</v>
      </c>
      <c r="E2290" s="31" t="s">
        <v>2858</v>
      </c>
      <c r="F2290" s="32">
        <v>42626.0</v>
      </c>
      <c r="G2290" s="35">
        <v>42690.0</v>
      </c>
      <c r="H2290" s="31" t="s">
        <v>2732</v>
      </c>
      <c r="I2290" s="31" t="s">
        <v>2768</v>
      </c>
      <c r="J2290" s="31" t="s">
        <v>2858</v>
      </c>
      <c r="K2290" s="31" t="s">
        <v>2859</v>
      </c>
      <c r="L2290" s="31" t="s">
        <v>1171</v>
      </c>
      <c r="M2290" s="31" t="s">
        <v>9022</v>
      </c>
      <c r="N2290" s="31" t="s">
        <v>267</v>
      </c>
      <c r="O2290" s="31">
        <v>2.0</v>
      </c>
      <c r="P2290" s="31">
        <v>1.0</v>
      </c>
      <c r="Q2290" s="31" t="s">
        <v>307</v>
      </c>
      <c r="R2290" s="32">
        <v>33136.0</v>
      </c>
      <c r="S2290" s="31" t="s">
        <v>922</v>
      </c>
      <c r="T2290" s="31" t="s">
        <v>9023</v>
      </c>
      <c r="U2290" s="31" t="s">
        <v>2735</v>
      </c>
      <c r="V2290" s="34"/>
      <c r="W2290" s="34"/>
    </row>
    <row r="2291">
      <c r="A2291" s="30">
        <v>2.286</v>
      </c>
      <c r="B2291" s="31" t="s">
        <v>9024</v>
      </c>
      <c r="C2291" s="31" t="s">
        <v>9025</v>
      </c>
      <c r="D2291" s="31" t="s">
        <v>313</v>
      </c>
      <c r="E2291" s="31" t="s">
        <v>81</v>
      </c>
      <c r="F2291" s="35">
        <v>43810.0</v>
      </c>
      <c r="G2291" s="32">
        <v>43873.0</v>
      </c>
      <c r="H2291" s="31" t="s">
        <v>2732</v>
      </c>
      <c r="I2291" s="31" t="s">
        <v>2797</v>
      </c>
      <c r="J2291" s="31" t="s">
        <v>81</v>
      </c>
      <c r="K2291" s="31" t="s">
        <v>7439</v>
      </c>
      <c r="L2291" s="31" t="s">
        <v>318</v>
      </c>
      <c r="M2291" s="31" t="s">
        <v>9026</v>
      </c>
      <c r="N2291" s="31" t="s">
        <v>267</v>
      </c>
      <c r="O2291" s="34"/>
      <c r="P2291" s="31">
        <v>3.0</v>
      </c>
      <c r="Q2291" s="31" t="s">
        <v>307</v>
      </c>
      <c r="R2291" s="35">
        <v>36456.0</v>
      </c>
      <c r="S2291" s="31" t="s">
        <v>526</v>
      </c>
      <c r="T2291" s="31" t="s">
        <v>1865</v>
      </c>
      <c r="U2291" s="31" t="s">
        <v>2735</v>
      </c>
      <c r="V2291" s="34"/>
      <c r="W2291" s="34"/>
    </row>
    <row r="2292">
      <c r="A2292" s="30">
        <v>2.287</v>
      </c>
      <c r="B2292" s="31" t="s">
        <v>9027</v>
      </c>
      <c r="C2292" s="31" t="s">
        <v>9028</v>
      </c>
      <c r="D2292" s="31" t="s">
        <v>260</v>
      </c>
      <c r="E2292" s="31" t="s">
        <v>2858</v>
      </c>
      <c r="F2292" s="35">
        <v>44120.0</v>
      </c>
      <c r="G2292" s="35">
        <v>44180.0</v>
      </c>
      <c r="H2292" s="31" t="s">
        <v>2732</v>
      </c>
      <c r="I2292" s="31" t="s">
        <v>2768</v>
      </c>
      <c r="J2292" s="31" t="s">
        <v>2858</v>
      </c>
      <c r="K2292" s="31" t="s">
        <v>2859</v>
      </c>
      <c r="L2292" s="31" t="s">
        <v>392</v>
      </c>
      <c r="M2292" s="31" t="s">
        <v>9029</v>
      </c>
      <c r="N2292" s="31" t="s">
        <v>267</v>
      </c>
      <c r="O2292" s="34"/>
      <c r="P2292" s="31">
        <v>1.0</v>
      </c>
      <c r="Q2292" s="31" t="s">
        <v>307</v>
      </c>
      <c r="R2292" s="35">
        <v>35416.0</v>
      </c>
      <c r="S2292" s="31" t="s">
        <v>320</v>
      </c>
      <c r="T2292" s="31" t="s">
        <v>2740</v>
      </c>
      <c r="U2292" s="31" t="s">
        <v>2735</v>
      </c>
      <c r="V2292" s="34"/>
      <c r="W2292" s="34"/>
    </row>
    <row r="2293">
      <c r="A2293" s="30">
        <v>2.288</v>
      </c>
      <c r="B2293" s="31" t="s">
        <v>9030</v>
      </c>
      <c r="C2293" s="31" t="s">
        <v>9031</v>
      </c>
      <c r="D2293" s="31" t="s">
        <v>7433</v>
      </c>
      <c r="E2293" s="31" t="s">
        <v>326</v>
      </c>
      <c r="F2293" s="32">
        <v>40984.0</v>
      </c>
      <c r="G2293" s="32">
        <v>41045.0</v>
      </c>
      <c r="H2293" s="31" t="s">
        <v>2732</v>
      </c>
      <c r="I2293" s="31" t="s">
        <v>326</v>
      </c>
      <c r="J2293" s="34"/>
      <c r="K2293" s="31" t="s">
        <v>9032</v>
      </c>
      <c r="L2293" s="31" t="s">
        <v>7435</v>
      </c>
      <c r="M2293" s="31" t="s">
        <v>9033</v>
      </c>
      <c r="N2293" s="31" t="s">
        <v>267</v>
      </c>
      <c r="O2293" s="31">
        <v>2.0</v>
      </c>
      <c r="P2293" s="31">
        <v>7.0</v>
      </c>
      <c r="Q2293" s="31" t="s">
        <v>307</v>
      </c>
      <c r="R2293" s="32">
        <v>32383.0</v>
      </c>
      <c r="S2293" s="31" t="s">
        <v>626</v>
      </c>
      <c r="T2293" s="31" t="s">
        <v>2845</v>
      </c>
      <c r="U2293" s="31" t="s">
        <v>2735</v>
      </c>
      <c r="V2293" s="34"/>
      <c r="W2293" s="34"/>
    </row>
    <row r="2294">
      <c r="A2294" s="30">
        <v>2.289</v>
      </c>
      <c r="B2294" s="31" t="s">
        <v>9034</v>
      </c>
      <c r="C2294" s="31" t="s">
        <v>7005</v>
      </c>
      <c r="D2294" s="31" t="s">
        <v>8352</v>
      </c>
      <c r="E2294" s="31" t="s">
        <v>2463</v>
      </c>
      <c r="F2294" s="32">
        <v>40182.0</v>
      </c>
      <c r="G2294" s="32">
        <v>40242.0</v>
      </c>
      <c r="H2294" s="31" t="s">
        <v>2732</v>
      </c>
      <c r="I2294" s="31" t="s">
        <v>2463</v>
      </c>
      <c r="J2294" s="34"/>
      <c r="K2294" s="31" t="s">
        <v>4549</v>
      </c>
      <c r="L2294" s="31" t="s">
        <v>8353</v>
      </c>
      <c r="M2294" s="31" t="s">
        <v>9035</v>
      </c>
      <c r="N2294" s="31" t="s">
        <v>267</v>
      </c>
      <c r="O2294" s="34"/>
      <c r="P2294" s="31">
        <v>6.0</v>
      </c>
      <c r="Q2294" s="31" t="s">
        <v>307</v>
      </c>
      <c r="R2294" s="32">
        <v>31788.0</v>
      </c>
      <c r="S2294" s="31" t="s">
        <v>531</v>
      </c>
      <c r="T2294" s="31" t="s">
        <v>2740</v>
      </c>
      <c r="U2294" s="31" t="s">
        <v>2735</v>
      </c>
      <c r="V2294" s="34"/>
      <c r="W2294" s="34"/>
    </row>
    <row r="2295">
      <c r="A2295" s="30">
        <v>2.29</v>
      </c>
      <c r="B2295" s="31" t="s">
        <v>9036</v>
      </c>
      <c r="C2295" s="31" t="s">
        <v>9037</v>
      </c>
      <c r="D2295" s="31" t="s">
        <v>4968</v>
      </c>
      <c r="E2295" s="31" t="s">
        <v>2463</v>
      </c>
      <c r="F2295" s="32">
        <v>40252.0</v>
      </c>
      <c r="G2295" s="32">
        <v>40330.0</v>
      </c>
      <c r="H2295" s="31" t="s">
        <v>2732</v>
      </c>
      <c r="I2295" s="31" t="s">
        <v>2463</v>
      </c>
      <c r="J2295" s="34"/>
      <c r="K2295" s="31" t="s">
        <v>4549</v>
      </c>
      <c r="L2295" s="31" t="s">
        <v>4970</v>
      </c>
      <c r="M2295" s="31" t="s">
        <v>9038</v>
      </c>
      <c r="N2295" s="31" t="s">
        <v>467</v>
      </c>
      <c r="O2295" s="34"/>
      <c r="P2295" s="31">
        <v>7.0</v>
      </c>
      <c r="Q2295" s="31" t="s">
        <v>307</v>
      </c>
      <c r="R2295" s="32">
        <v>29093.0</v>
      </c>
      <c r="S2295" s="31" t="s">
        <v>9039</v>
      </c>
      <c r="T2295" s="31" t="s">
        <v>2740</v>
      </c>
      <c r="U2295" s="31" t="s">
        <v>2735</v>
      </c>
      <c r="V2295" s="34"/>
      <c r="W2295" s="34"/>
    </row>
    <row r="2296">
      <c r="A2296" s="30">
        <v>2.291</v>
      </c>
      <c r="B2296" s="31" t="s">
        <v>9040</v>
      </c>
      <c r="C2296" s="31" t="s">
        <v>9041</v>
      </c>
      <c r="D2296" s="31" t="s">
        <v>648</v>
      </c>
      <c r="E2296" s="31" t="s">
        <v>2781</v>
      </c>
      <c r="F2296" s="32">
        <v>43880.0</v>
      </c>
      <c r="G2296" s="32">
        <v>43941.0</v>
      </c>
      <c r="H2296" s="31" t="s">
        <v>2732</v>
      </c>
      <c r="I2296" s="31" t="s">
        <v>153</v>
      </c>
      <c r="J2296" s="31" t="s">
        <v>2781</v>
      </c>
      <c r="K2296" s="31" t="s">
        <v>8991</v>
      </c>
      <c r="L2296" s="31" t="s">
        <v>663</v>
      </c>
      <c r="M2296" s="31" t="s">
        <v>9042</v>
      </c>
      <c r="N2296" s="31" t="s">
        <v>267</v>
      </c>
      <c r="O2296" s="34"/>
      <c r="P2296" s="31">
        <v>3.0</v>
      </c>
      <c r="Q2296" s="31" t="s">
        <v>307</v>
      </c>
      <c r="R2296" s="32">
        <v>35568.0</v>
      </c>
      <c r="S2296" s="31" t="s">
        <v>320</v>
      </c>
      <c r="T2296" s="31" t="s">
        <v>1915</v>
      </c>
      <c r="U2296" s="31" t="s">
        <v>2735</v>
      </c>
      <c r="V2296" s="34"/>
      <c r="W2296" s="34"/>
    </row>
    <row r="2297">
      <c r="A2297" s="30">
        <v>2.292</v>
      </c>
      <c r="B2297" s="31" t="s">
        <v>9043</v>
      </c>
      <c r="C2297" s="31" t="s">
        <v>9044</v>
      </c>
      <c r="D2297" s="31" t="s">
        <v>2451</v>
      </c>
      <c r="E2297" s="31" t="s">
        <v>2463</v>
      </c>
      <c r="F2297" s="32">
        <v>40984.0</v>
      </c>
      <c r="G2297" s="32">
        <v>41045.0</v>
      </c>
      <c r="H2297" s="31" t="s">
        <v>2732</v>
      </c>
      <c r="I2297" s="31" t="s">
        <v>2463</v>
      </c>
      <c r="J2297" s="34"/>
      <c r="K2297" s="31" t="s">
        <v>4549</v>
      </c>
      <c r="L2297" s="31" t="s">
        <v>2453</v>
      </c>
      <c r="M2297" s="31" t="s">
        <v>9045</v>
      </c>
      <c r="N2297" s="31" t="s">
        <v>267</v>
      </c>
      <c r="O2297" s="34"/>
      <c r="P2297" s="31">
        <v>3.0</v>
      </c>
      <c r="Q2297" s="31" t="s">
        <v>307</v>
      </c>
      <c r="R2297" s="32">
        <v>32687.0</v>
      </c>
      <c r="S2297" s="31" t="s">
        <v>320</v>
      </c>
      <c r="T2297" s="31" t="s">
        <v>9046</v>
      </c>
      <c r="U2297" s="31" t="s">
        <v>2735</v>
      </c>
      <c r="V2297" s="34"/>
      <c r="W2297" s="34"/>
    </row>
    <row r="2298">
      <c r="A2298" s="30">
        <v>2.293</v>
      </c>
      <c r="B2298" s="31" t="s">
        <v>9047</v>
      </c>
      <c r="C2298" s="31" t="s">
        <v>9048</v>
      </c>
      <c r="D2298" s="31" t="s">
        <v>260</v>
      </c>
      <c r="E2298" s="31" t="s">
        <v>2858</v>
      </c>
      <c r="F2298" s="35">
        <v>43780.0</v>
      </c>
      <c r="G2298" s="32">
        <v>43841.0</v>
      </c>
      <c r="H2298" s="31" t="s">
        <v>2732</v>
      </c>
      <c r="I2298" s="31" t="s">
        <v>2768</v>
      </c>
      <c r="J2298" s="31" t="s">
        <v>2858</v>
      </c>
      <c r="K2298" s="31" t="s">
        <v>2859</v>
      </c>
      <c r="L2298" s="31" t="s">
        <v>392</v>
      </c>
      <c r="M2298" s="31" t="s">
        <v>9049</v>
      </c>
      <c r="N2298" s="31" t="s">
        <v>267</v>
      </c>
      <c r="O2298" s="34"/>
      <c r="P2298" s="31">
        <v>4.0</v>
      </c>
      <c r="Q2298" s="31" t="s">
        <v>307</v>
      </c>
      <c r="R2298" s="32">
        <v>34671.0</v>
      </c>
      <c r="S2298" s="31" t="s">
        <v>320</v>
      </c>
      <c r="T2298" s="31" t="s">
        <v>3184</v>
      </c>
      <c r="U2298" s="31" t="s">
        <v>2735</v>
      </c>
      <c r="V2298" s="34"/>
      <c r="W2298" s="34"/>
    </row>
    <row r="2299">
      <c r="A2299" s="30">
        <v>2.294</v>
      </c>
      <c r="B2299" s="31" t="s">
        <v>9050</v>
      </c>
      <c r="C2299" s="31" t="s">
        <v>9051</v>
      </c>
      <c r="D2299" s="31" t="s">
        <v>1219</v>
      </c>
      <c r="E2299" s="31" t="s">
        <v>2796</v>
      </c>
      <c r="F2299" s="32">
        <v>44294.0</v>
      </c>
      <c r="G2299" s="32">
        <v>44355.0</v>
      </c>
      <c r="H2299" s="31" t="s">
        <v>2732</v>
      </c>
      <c r="I2299" s="31" t="s">
        <v>2797</v>
      </c>
      <c r="J2299" s="31" t="s">
        <v>2796</v>
      </c>
      <c r="K2299" s="31" t="s">
        <v>2798</v>
      </c>
      <c r="L2299" s="31" t="s">
        <v>1223</v>
      </c>
      <c r="M2299" s="31" t="s">
        <v>9052</v>
      </c>
      <c r="N2299" s="31" t="s">
        <v>267</v>
      </c>
      <c r="O2299" s="34"/>
      <c r="P2299" s="31">
        <v>2.0</v>
      </c>
      <c r="Q2299" s="31" t="s">
        <v>307</v>
      </c>
      <c r="R2299" s="32">
        <v>35432.0</v>
      </c>
      <c r="S2299" s="31" t="s">
        <v>320</v>
      </c>
      <c r="T2299" s="31" t="s">
        <v>8517</v>
      </c>
      <c r="U2299" s="31" t="s">
        <v>2735</v>
      </c>
      <c r="V2299" s="34"/>
      <c r="W2299" s="34"/>
    </row>
    <row r="2300">
      <c r="A2300" s="30">
        <v>2.295</v>
      </c>
      <c r="B2300" s="31" t="s">
        <v>9053</v>
      </c>
      <c r="C2300" s="31" t="s">
        <v>9054</v>
      </c>
      <c r="D2300" s="31" t="s">
        <v>260</v>
      </c>
      <c r="E2300" s="31" t="s">
        <v>324</v>
      </c>
      <c r="F2300" s="35">
        <v>43780.0</v>
      </c>
      <c r="G2300" s="32">
        <v>43841.0</v>
      </c>
      <c r="H2300" s="31" t="s">
        <v>2732</v>
      </c>
      <c r="I2300" s="31" t="s">
        <v>326</v>
      </c>
      <c r="J2300" s="31" t="s">
        <v>324</v>
      </c>
      <c r="K2300" s="31" t="s">
        <v>2733</v>
      </c>
      <c r="L2300" s="31" t="s">
        <v>328</v>
      </c>
      <c r="M2300" s="31" t="s">
        <v>9055</v>
      </c>
      <c r="N2300" s="31" t="s">
        <v>267</v>
      </c>
      <c r="O2300" s="34"/>
      <c r="P2300" s="31">
        <v>9.0</v>
      </c>
      <c r="Q2300" s="31" t="s">
        <v>307</v>
      </c>
      <c r="R2300" s="32">
        <v>35691.0</v>
      </c>
      <c r="S2300" s="31" t="s">
        <v>320</v>
      </c>
      <c r="T2300" s="31" t="s">
        <v>2740</v>
      </c>
      <c r="U2300" s="31" t="s">
        <v>2735</v>
      </c>
      <c r="V2300" s="34"/>
      <c r="W2300" s="34"/>
    </row>
    <row r="2301">
      <c r="A2301" s="30">
        <v>2.296</v>
      </c>
      <c r="B2301" s="31" t="s">
        <v>9056</v>
      </c>
      <c r="C2301" s="31" t="s">
        <v>9057</v>
      </c>
      <c r="D2301" s="31" t="s">
        <v>765</v>
      </c>
      <c r="E2301" s="31" t="s">
        <v>9058</v>
      </c>
      <c r="F2301" s="35">
        <v>43780.0</v>
      </c>
      <c r="G2301" s="32">
        <v>43841.0</v>
      </c>
      <c r="H2301" s="31" t="s">
        <v>2732</v>
      </c>
      <c r="I2301" s="31" t="s">
        <v>326</v>
      </c>
      <c r="J2301" s="31" t="s">
        <v>9058</v>
      </c>
      <c r="K2301" s="31" t="s">
        <v>9059</v>
      </c>
      <c r="L2301" s="31" t="s">
        <v>769</v>
      </c>
      <c r="M2301" s="31" t="s">
        <v>9060</v>
      </c>
      <c r="N2301" s="31" t="s">
        <v>267</v>
      </c>
      <c r="O2301" s="34"/>
      <c r="P2301" s="31">
        <v>1.0</v>
      </c>
      <c r="Q2301" s="31" t="s">
        <v>307</v>
      </c>
      <c r="R2301" s="32">
        <v>33078.0</v>
      </c>
      <c r="S2301" s="31" t="s">
        <v>531</v>
      </c>
      <c r="T2301" s="31" t="s">
        <v>718</v>
      </c>
      <c r="U2301" s="31" t="s">
        <v>2735</v>
      </c>
      <c r="V2301" s="34"/>
      <c r="W2301" s="34"/>
    </row>
    <row r="2302">
      <c r="A2302" s="30">
        <v>2.297</v>
      </c>
      <c r="B2302" s="31" t="s">
        <v>9061</v>
      </c>
      <c r="C2302" s="31" t="s">
        <v>9062</v>
      </c>
      <c r="D2302" s="31" t="s">
        <v>1219</v>
      </c>
      <c r="E2302" s="31" t="s">
        <v>2796</v>
      </c>
      <c r="F2302" s="32">
        <v>44278.0</v>
      </c>
      <c r="G2302" s="32">
        <v>44338.0</v>
      </c>
      <c r="H2302" s="31" t="s">
        <v>2732</v>
      </c>
      <c r="I2302" s="31" t="s">
        <v>2797</v>
      </c>
      <c r="J2302" s="31" t="s">
        <v>2796</v>
      </c>
      <c r="K2302" s="31" t="s">
        <v>2798</v>
      </c>
      <c r="L2302" s="31" t="s">
        <v>1223</v>
      </c>
      <c r="M2302" s="31" t="s">
        <v>9063</v>
      </c>
      <c r="N2302" s="31" t="s">
        <v>467</v>
      </c>
      <c r="O2302" s="34"/>
      <c r="P2302" s="31">
        <v>4.0</v>
      </c>
      <c r="Q2302" s="31" t="s">
        <v>307</v>
      </c>
      <c r="R2302" s="32">
        <v>35667.0</v>
      </c>
      <c r="S2302" s="31" t="s">
        <v>320</v>
      </c>
      <c r="T2302" s="31" t="s">
        <v>2740</v>
      </c>
      <c r="U2302" s="31" t="s">
        <v>2735</v>
      </c>
      <c r="V2302" s="34"/>
      <c r="W2302" s="34"/>
    </row>
    <row r="2303">
      <c r="A2303" s="30">
        <v>2.298</v>
      </c>
      <c r="B2303" s="31" t="s">
        <v>9064</v>
      </c>
      <c r="C2303" s="31" t="s">
        <v>9065</v>
      </c>
      <c r="D2303" s="31" t="s">
        <v>2867</v>
      </c>
      <c r="E2303" s="31" t="s">
        <v>2463</v>
      </c>
      <c r="F2303" s="32">
        <v>43549.0</v>
      </c>
      <c r="G2303" s="32">
        <v>43610.0</v>
      </c>
      <c r="H2303" s="31" t="s">
        <v>2732</v>
      </c>
      <c r="I2303" s="31" t="s">
        <v>2463</v>
      </c>
      <c r="J2303" s="34"/>
      <c r="K2303" s="31" t="s">
        <v>4549</v>
      </c>
      <c r="L2303" s="31" t="s">
        <v>2869</v>
      </c>
      <c r="M2303" s="31" t="s">
        <v>9066</v>
      </c>
      <c r="N2303" s="31" t="s">
        <v>467</v>
      </c>
      <c r="O2303" s="34"/>
      <c r="P2303" s="31">
        <v>4.0</v>
      </c>
      <c r="Q2303" s="31" t="s">
        <v>307</v>
      </c>
      <c r="R2303" s="32">
        <v>33025.0</v>
      </c>
      <c r="S2303" s="34"/>
      <c r="T2303" s="31" t="s">
        <v>9067</v>
      </c>
      <c r="U2303" s="31" t="s">
        <v>2735</v>
      </c>
      <c r="V2303" s="34"/>
      <c r="W2303" s="34"/>
    </row>
    <row r="2304">
      <c r="A2304" s="30">
        <v>2.299</v>
      </c>
      <c r="B2304" s="31" t="s">
        <v>9068</v>
      </c>
      <c r="C2304" s="31" t="s">
        <v>9069</v>
      </c>
      <c r="D2304" s="31" t="s">
        <v>1219</v>
      </c>
      <c r="E2304" s="31" t="s">
        <v>2796</v>
      </c>
      <c r="F2304" s="32">
        <v>40515.0</v>
      </c>
      <c r="G2304" s="32">
        <v>40577.0</v>
      </c>
      <c r="H2304" s="31" t="s">
        <v>2732</v>
      </c>
      <c r="I2304" s="31" t="s">
        <v>2797</v>
      </c>
      <c r="J2304" s="31" t="s">
        <v>2796</v>
      </c>
      <c r="K2304" s="31" t="s">
        <v>2798</v>
      </c>
      <c r="L2304" s="31" t="s">
        <v>1223</v>
      </c>
      <c r="M2304" s="31" t="s">
        <v>9070</v>
      </c>
      <c r="N2304" s="31" t="s">
        <v>267</v>
      </c>
      <c r="O2304" s="34"/>
      <c r="P2304" s="31">
        <v>8.0</v>
      </c>
      <c r="Q2304" s="31" t="s">
        <v>307</v>
      </c>
      <c r="R2304" s="32">
        <v>31813.0</v>
      </c>
      <c r="S2304" s="31" t="s">
        <v>531</v>
      </c>
      <c r="T2304" s="31" t="s">
        <v>2740</v>
      </c>
      <c r="U2304" s="31" t="s">
        <v>2735</v>
      </c>
      <c r="V2304" s="34"/>
      <c r="W2304" s="34"/>
    </row>
    <row r="2305">
      <c r="A2305" s="30">
        <v>2.3</v>
      </c>
      <c r="B2305" s="31" t="s">
        <v>9071</v>
      </c>
      <c r="C2305" s="31" t="s">
        <v>9072</v>
      </c>
      <c r="D2305" s="31" t="s">
        <v>1219</v>
      </c>
      <c r="E2305" s="31" t="s">
        <v>2796</v>
      </c>
      <c r="F2305" s="32">
        <v>42845.0</v>
      </c>
      <c r="G2305" s="32">
        <v>42907.0</v>
      </c>
      <c r="H2305" s="31" t="s">
        <v>2732</v>
      </c>
      <c r="I2305" s="31" t="s">
        <v>2797</v>
      </c>
      <c r="J2305" s="31" t="s">
        <v>2796</v>
      </c>
      <c r="K2305" s="31" t="s">
        <v>2798</v>
      </c>
      <c r="L2305" s="31" t="s">
        <v>1223</v>
      </c>
      <c r="M2305" s="31" t="s">
        <v>9073</v>
      </c>
      <c r="N2305" s="31" t="s">
        <v>467</v>
      </c>
      <c r="O2305" s="34"/>
      <c r="P2305" s="31">
        <v>7.0</v>
      </c>
      <c r="Q2305" s="31" t="s">
        <v>307</v>
      </c>
      <c r="R2305" s="32">
        <v>33061.0</v>
      </c>
      <c r="S2305" s="31" t="s">
        <v>531</v>
      </c>
      <c r="T2305" s="31" t="s">
        <v>9074</v>
      </c>
      <c r="U2305" s="31" t="s">
        <v>2735</v>
      </c>
      <c r="V2305" s="34"/>
      <c r="W2305" s="34"/>
    </row>
    <row r="2306">
      <c r="A2306" s="30">
        <v>2.301</v>
      </c>
      <c r="B2306" s="31" t="s">
        <v>9075</v>
      </c>
      <c r="C2306" s="31" t="s">
        <v>5140</v>
      </c>
      <c r="D2306" s="31" t="s">
        <v>5260</v>
      </c>
      <c r="E2306" s="31" t="s">
        <v>2463</v>
      </c>
      <c r="F2306" s="32">
        <v>40756.0</v>
      </c>
      <c r="G2306" s="32">
        <v>40817.0</v>
      </c>
      <c r="H2306" s="31" t="s">
        <v>2732</v>
      </c>
      <c r="I2306" s="31" t="s">
        <v>2463</v>
      </c>
      <c r="J2306" s="34"/>
      <c r="K2306" s="31" t="s">
        <v>4549</v>
      </c>
      <c r="L2306" s="31" t="s">
        <v>5261</v>
      </c>
      <c r="M2306" s="31" t="s">
        <v>9076</v>
      </c>
      <c r="N2306" s="31" t="s">
        <v>267</v>
      </c>
      <c r="O2306" s="34"/>
      <c r="P2306" s="31">
        <v>3.0</v>
      </c>
      <c r="Q2306" s="31" t="s">
        <v>307</v>
      </c>
      <c r="R2306" s="32">
        <v>32341.0</v>
      </c>
      <c r="S2306" s="31" t="s">
        <v>626</v>
      </c>
      <c r="T2306" s="31" t="s">
        <v>3488</v>
      </c>
      <c r="U2306" s="31" t="s">
        <v>2735</v>
      </c>
      <c r="V2306" s="34"/>
      <c r="W2306" s="34"/>
    </row>
    <row r="2307">
      <c r="A2307" s="30">
        <v>2.302</v>
      </c>
      <c r="B2307" s="31" t="s">
        <v>9077</v>
      </c>
      <c r="C2307" s="31" t="s">
        <v>9078</v>
      </c>
      <c r="D2307" s="31" t="s">
        <v>978</v>
      </c>
      <c r="E2307" s="31" t="s">
        <v>2761</v>
      </c>
      <c r="F2307" s="32">
        <v>43684.0</v>
      </c>
      <c r="G2307" s="32">
        <v>43746.0</v>
      </c>
      <c r="H2307" s="31" t="s">
        <v>2732</v>
      </c>
      <c r="I2307" s="31" t="s">
        <v>2761</v>
      </c>
      <c r="J2307" s="34"/>
      <c r="K2307" s="31" t="s">
        <v>9079</v>
      </c>
      <c r="L2307" s="31" t="s">
        <v>3719</v>
      </c>
      <c r="M2307" s="31" t="s">
        <v>9080</v>
      </c>
      <c r="N2307" s="31" t="s">
        <v>267</v>
      </c>
      <c r="O2307" s="31">
        <v>2.0</v>
      </c>
      <c r="P2307" s="31">
        <v>1.0</v>
      </c>
      <c r="Q2307" s="31" t="s">
        <v>307</v>
      </c>
      <c r="R2307" s="35">
        <v>35423.0</v>
      </c>
      <c r="S2307" s="31" t="s">
        <v>531</v>
      </c>
      <c r="T2307" s="31" t="s">
        <v>2740</v>
      </c>
      <c r="U2307" s="31" t="s">
        <v>2735</v>
      </c>
      <c r="V2307" s="34"/>
      <c r="W2307" s="34"/>
    </row>
    <row r="2308">
      <c r="A2308" s="30">
        <v>2.303</v>
      </c>
      <c r="B2308" s="31" t="s">
        <v>9081</v>
      </c>
      <c r="C2308" s="31" t="s">
        <v>4553</v>
      </c>
      <c r="D2308" s="31" t="s">
        <v>260</v>
      </c>
      <c r="E2308" s="31" t="s">
        <v>2858</v>
      </c>
      <c r="F2308" s="32">
        <v>42527.0</v>
      </c>
      <c r="G2308" s="32">
        <v>42591.0</v>
      </c>
      <c r="H2308" s="31" t="s">
        <v>2732</v>
      </c>
      <c r="I2308" s="31" t="s">
        <v>2768</v>
      </c>
      <c r="J2308" s="31" t="s">
        <v>2858</v>
      </c>
      <c r="K2308" s="31" t="s">
        <v>2859</v>
      </c>
      <c r="L2308" s="31" t="s">
        <v>392</v>
      </c>
      <c r="M2308" s="31" t="s">
        <v>9082</v>
      </c>
      <c r="N2308" s="31" t="s">
        <v>267</v>
      </c>
      <c r="O2308" s="34"/>
      <c r="P2308" s="31">
        <v>4.0</v>
      </c>
      <c r="Q2308" s="31" t="s">
        <v>307</v>
      </c>
      <c r="R2308" s="32">
        <v>32196.0</v>
      </c>
      <c r="S2308" s="31" t="s">
        <v>626</v>
      </c>
      <c r="T2308" s="31" t="s">
        <v>2845</v>
      </c>
      <c r="U2308" s="31" t="s">
        <v>2735</v>
      </c>
      <c r="V2308" s="34"/>
      <c r="W2308" s="34"/>
    </row>
    <row r="2309">
      <c r="A2309" s="30">
        <v>2.304</v>
      </c>
      <c r="B2309" s="31" t="s">
        <v>9083</v>
      </c>
      <c r="C2309" s="31" t="s">
        <v>9084</v>
      </c>
      <c r="D2309" s="31" t="s">
        <v>1208</v>
      </c>
      <c r="E2309" s="31" t="s">
        <v>2791</v>
      </c>
      <c r="F2309" s="32">
        <v>43537.0</v>
      </c>
      <c r="G2309" s="32">
        <v>43598.0</v>
      </c>
      <c r="H2309" s="31" t="s">
        <v>2732</v>
      </c>
      <c r="I2309" s="31" t="s">
        <v>2791</v>
      </c>
      <c r="J2309" s="34"/>
      <c r="K2309" s="31" t="s">
        <v>9085</v>
      </c>
      <c r="L2309" s="31" t="s">
        <v>1211</v>
      </c>
      <c r="M2309" s="31" t="s">
        <v>9086</v>
      </c>
      <c r="N2309" s="31" t="s">
        <v>267</v>
      </c>
      <c r="O2309" s="34"/>
      <c r="P2309" s="31">
        <v>4.0</v>
      </c>
      <c r="Q2309" s="31" t="s">
        <v>307</v>
      </c>
      <c r="R2309" s="35">
        <v>35729.0</v>
      </c>
      <c r="S2309" s="31" t="s">
        <v>320</v>
      </c>
      <c r="T2309" s="31" t="s">
        <v>9087</v>
      </c>
      <c r="U2309" s="31" t="s">
        <v>2735</v>
      </c>
      <c r="V2309" s="34"/>
      <c r="W2309" s="34"/>
    </row>
    <row r="2310">
      <c r="A2310" s="30">
        <v>2.305</v>
      </c>
      <c r="B2310" s="31" t="s">
        <v>9088</v>
      </c>
      <c r="C2310" s="31" t="s">
        <v>9089</v>
      </c>
      <c r="D2310" s="31" t="s">
        <v>260</v>
      </c>
      <c r="E2310" s="31" t="s">
        <v>1260</v>
      </c>
      <c r="F2310" s="32">
        <v>43229.0</v>
      </c>
      <c r="G2310" s="32">
        <v>43290.0</v>
      </c>
      <c r="H2310" s="31" t="s">
        <v>262</v>
      </c>
      <c r="I2310" s="31" t="s">
        <v>2219</v>
      </c>
      <c r="J2310" s="31" t="s">
        <v>1260</v>
      </c>
      <c r="K2310" s="31" t="s">
        <v>2281</v>
      </c>
      <c r="L2310" s="31" t="s">
        <v>392</v>
      </c>
      <c r="M2310" s="31" t="s">
        <v>9090</v>
      </c>
      <c r="N2310" s="31" t="s">
        <v>267</v>
      </c>
      <c r="O2310" s="34"/>
      <c r="P2310" s="31">
        <v>8.0</v>
      </c>
      <c r="Q2310" s="31" t="s">
        <v>307</v>
      </c>
      <c r="R2310" s="32">
        <v>35255.0</v>
      </c>
      <c r="S2310" s="31" t="s">
        <v>531</v>
      </c>
      <c r="T2310" s="31" t="s">
        <v>1810</v>
      </c>
      <c r="U2310" s="31" t="s">
        <v>271</v>
      </c>
      <c r="V2310" s="34"/>
      <c r="W2310" s="34"/>
    </row>
    <row r="2311">
      <c r="A2311" s="30">
        <v>2.306</v>
      </c>
      <c r="B2311" s="31" t="s">
        <v>9091</v>
      </c>
      <c r="C2311" s="31" t="s">
        <v>9092</v>
      </c>
      <c r="D2311" s="31" t="s">
        <v>2172</v>
      </c>
      <c r="E2311" s="31" t="s">
        <v>2231</v>
      </c>
      <c r="F2311" s="35">
        <v>42290.0</v>
      </c>
      <c r="G2311" s="35">
        <v>42350.0</v>
      </c>
      <c r="H2311" s="31" t="s">
        <v>262</v>
      </c>
      <c r="I2311" s="31" t="s">
        <v>2219</v>
      </c>
      <c r="J2311" s="31" t="s">
        <v>2231</v>
      </c>
      <c r="K2311" s="31" t="s">
        <v>2232</v>
      </c>
      <c r="L2311" s="31" t="s">
        <v>2588</v>
      </c>
      <c r="M2311" s="31" t="s">
        <v>9093</v>
      </c>
      <c r="N2311" s="31" t="s">
        <v>267</v>
      </c>
      <c r="O2311" s="31">
        <v>2.0</v>
      </c>
      <c r="P2311" s="31">
        <v>1.0</v>
      </c>
      <c r="Q2311" s="31" t="s">
        <v>307</v>
      </c>
      <c r="R2311" s="32">
        <v>34062.0</v>
      </c>
      <c r="S2311" s="31" t="s">
        <v>955</v>
      </c>
      <c r="T2311" s="31" t="s">
        <v>1662</v>
      </c>
      <c r="U2311" s="31" t="s">
        <v>271</v>
      </c>
      <c r="V2311" s="34"/>
      <c r="W2311" s="34"/>
    </row>
    <row r="2312">
      <c r="A2312" s="30">
        <v>2.307</v>
      </c>
      <c r="B2312" s="31" t="s">
        <v>9094</v>
      </c>
      <c r="C2312" s="31" t="s">
        <v>9095</v>
      </c>
      <c r="D2312" s="31" t="s">
        <v>260</v>
      </c>
      <c r="E2312" s="31" t="s">
        <v>2737</v>
      </c>
      <c r="F2312" s="32">
        <v>40787.0</v>
      </c>
      <c r="G2312" s="32">
        <v>40848.0</v>
      </c>
      <c r="H2312" s="31" t="s">
        <v>2732</v>
      </c>
      <c r="I2312" s="31" t="s">
        <v>326</v>
      </c>
      <c r="J2312" s="31" t="s">
        <v>2737</v>
      </c>
      <c r="K2312" s="31" t="s">
        <v>2738</v>
      </c>
      <c r="L2312" s="31" t="s">
        <v>431</v>
      </c>
      <c r="M2312" s="31" t="s">
        <v>9096</v>
      </c>
      <c r="N2312" s="31" t="s">
        <v>267</v>
      </c>
      <c r="O2312" s="34"/>
      <c r="P2312" s="31">
        <v>9.0</v>
      </c>
      <c r="Q2312" s="31" t="s">
        <v>307</v>
      </c>
      <c r="R2312" s="32">
        <v>32175.0</v>
      </c>
      <c r="S2312" s="31" t="s">
        <v>9097</v>
      </c>
      <c r="T2312" s="31" t="s">
        <v>9098</v>
      </c>
      <c r="U2312" s="31" t="s">
        <v>2735</v>
      </c>
      <c r="V2312" s="34"/>
      <c r="W2312" s="34"/>
    </row>
    <row r="2313">
      <c r="A2313" s="30">
        <v>2.308</v>
      </c>
      <c r="B2313" s="31" t="s">
        <v>9099</v>
      </c>
      <c r="C2313" s="31" t="s">
        <v>9100</v>
      </c>
      <c r="D2313" s="31" t="s">
        <v>1219</v>
      </c>
      <c r="E2313" s="31" t="s">
        <v>2796</v>
      </c>
      <c r="F2313" s="32">
        <v>42929.0</v>
      </c>
      <c r="G2313" s="32">
        <v>42992.0</v>
      </c>
      <c r="H2313" s="31" t="s">
        <v>2732</v>
      </c>
      <c r="I2313" s="31" t="s">
        <v>2797</v>
      </c>
      <c r="J2313" s="31" t="s">
        <v>2796</v>
      </c>
      <c r="K2313" s="31" t="s">
        <v>2798</v>
      </c>
      <c r="L2313" s="31" t="s">
        <v>1223</v>
      </c>
      <c r="M2313" s="31" t="s">
        <v>9101</v>
      </c>
      <c r="N2313" s="31" t="s">
        <v>467</v>
      </c>
      <c r="O2313" s="34"/>
      <c r="P2313" s="31">
        <v>6.0</v>
      </c>
      <c r="Q2313" s="31" t="s">
        <v>307</v>
      </c>
      <c r="R2313" s="35">
        <v>34267.0</v>
      </c>
      <c r="S2313" s="31" t="s">
        <v>320</v>
      </c>
      <c r="T2313" s="31" t="s">
        <v>8517</v>
      </c>
      <c r="U2313" s="31" t="s">
        <v>2735</v>
      </c>
      <c r="V2313" s="34"/>
      <c r="W2313" s="34"/>
    </row>
    <row r="2314">
      <c r="A2314" s="30">
        <v>2.309</v>
      </c>
      <c r="B2314" s="31" t="s">
        <v>9102</v>
      </c>
      <c r="C2314" s="31" t="s">
        <v>9103</v>
      </c>
      <c r="D2314" s="31" t="s">
        <v>260</v>
      </c>
      <c r="E2314" s="31" t="s">
        <v>2858</v>
      </c>
      <c r="F2314" s="32">
        <v>44284.0</v>
      </c>
      <c r="G2314" s="32">
        <v>44344.0</v>
      </c>
      <c r="H2314" s="31" t="s">
        <v>2732</v>
      </c>
      <c r="I2314" s="31" t="s">
        <v>2768</v>
      </c>
      <c r="J2314" s="31" t="s">
        <v>2858</v>
      </c>
      <c r="K2314" s="31" t="s">
        <v>2859</v>
      </c>
      <c r="L2314" s="31" t="s">
        <v>392</v>
      </c>
      <c r="M2314" s="31" t="s">
        <v>9104</v>
      </c>
      <c r="N2314" s="31" t="s">
        <v>267</v>
      </c>
      <c r="O2314" s="34"/>
      <c r="P2314" s="31">
        <v>2.0</v>
      </c>
      <c r="Q2314" s="31" t="s">
        <v>307</v>
      </c>
      <c r="R2314" s="32">
        <v>36427.0</v>
      </c>
      <c r="S2314" s="31" t="s">
        <v>320</v>
      </c>
      <c r="T2314" s="31" t="s">
        <v>1977</v>
      </c>
      <c r="U2314" s="31" t="s">
        <v>2735</v>
      </c>
      <c r="V2314" s="34"/>
      <c r="W2314" s="34"/>
    </row>
    <row r="2315">
      <c r="A2315" s="30">
        <v>2.31</v>
      </c>
      <c r="B2315" s="31" t="s">
        <v>9105</v>
      </c>
      <c r="C2315" s="31" t="s">
        <v>9106</v>
      </c>
      <c r="D2315" s="31" t="s">
        <v>9107</v>
      </c>
      <c r="E2315" s="31" t="s">
        <v>153</v>
      </c>
      <c r="F2315" s="32">
        <v>43262.0</v>
      </c>
      <c r="G2315" s="32">
        <v>43324.0</v>
      </c>
      <c r="H2315" s="31" t="s">
        <v>2732</v>
      </c>
      <c r="I2315" s="31" t="s">
        <v>153</v>
      </c>
      <c r="J2315" s="34"/>
      <c r="K2315" s="31" t="s">
        <v>9108</v>
      </c>
      <c r="L2315" s="31" t="s">
        <v>9109</v>
      </c>
      <c r="M2315" s="31" t="s">
        <v>9110</v>
      </c>
      <c r="N2315" s="31" t="s">
        <v>267</v>
      </c>
      <c r="O2315" s="31">
        <v>1.0</v>
      </c>
      <c r="P2315" s="31">
        <v>2.0</v>
      </c>
      <c r="Q2315" s="31" t="s">
        <v>307</v>
      </c>
      <c r="R2315" s="32">
        <v>33418.0</v>
      </c>
      <c r="S2315" s="31" t="s">
        <v>531</v>
      </c>
      <c r="T2315" s="31" t="s">
        <v>1999</v>
      </c>
      <c r="U2315" s="31" t="s">
        <v>2735</v>
      </c>
      <c r="V2315" s="34"/>
      <c r="W2315" s="34"/>
    </row>
    <row r="2316">
      <c r="A2316" s="30">
        <v>2.311</v>
      </c>
      <c r="B2316" s="31" t="s">
        <v>9111</v>
      </c>
      <c r="C2316" s="31" t="s">
        <v>9112</v>
      </c>
      <c r="D2316" s="31" t="s">
        <v>6848</v>
      </c>
      <c r="E2316" s="31" t="s">
        <v>2463</v>
      </c>
      <c r="F2316" s="32">
        <v>39142.0</v>
      </c>
      <c r="G2316" s="32">
        <v>39203.0</v>
      </c>
      <c r="H2316" s="31" t="s">
        <v>2732</v>
      </c>
      <c r="I2316" s="31" t="s">
        <v>2463</v>
      </c>
      <c r="J2316" s="34"/>
      <c r="K2316" s="31" t="s">
        <v>4549</v>
      </c>
      <c r="L2316" s="31" t="s">
        <v>6849</v>
      </c>
      <c r="M2316" s="31" t="s">
        <v>9113</v>
      </c>
      <c r="N2316" s="31" t="s">
        <v>267</v>
      </c>
      <c r="O2316" s="31">
        <v>2.0</v>
      </c>
      <c r="P2316" s="31">
        <v>1.0</v>
      </c>
      <c r="Q2316" s="31" t="s">
        <v>307</v>
      </c>
      <c r="R2316" s="32">
        <v>30914.0</v>
      </c>
      <c r="S2316" s="31" t="s">
        <v>531</v>
      </c>
      <c r="T2316" s="31" t="s">
        <v>9114</v>
      </c>
      <c r="U2316" s="31" t="s">
        <v>2735</v>
      </c>
      <c r="V2316" s="34"/>
      <c r="W2316" s="34"/>
    </row>
    <row r="2317">
      <c r="A2317" s="30">
        <v>2.312</v>
      </c>
      <c r="B2317" s="31" t="s">
        <v>9115</v>
      </c>
      <c r="C2317" s="31" t="s">
        <v>9116</v>
      </c>
      <c r="D2317" s="31" t="s">
        <v>2867</v>
      </c>
      <c r="E2317" s="31" t="s">
        <v>2463</v>
      </c>
      <c r="F2317" s="32">
        <v>42104.0</v>
      </c>
      <c r="G2317" s="32">
        <v>42165.0</v>
      </c>
      <c r="H2317" s="31" t="s">
        <v>303</v>
      </c>
      <c r="I2317" s="31" t="s">
        <v>2463</v>
      </c>
      <c r="J2317" s="34"/>
      <c r="K2317" s="31" t="s">
        <v>2868</v>
      </c>
      <c r="L2317" s="31" t="s">
        <v>2869</v>
      </c>
      <c r="M2317" s="31" t="s">
        <v>9117</v>
      </c>
      <c r="N2317" s="31" t="s">
        <v>467</v>
      </c>
      <c r="O2317" s="34"/>
      <c r="P2317" s="34"/>
      <c r="Q2317" s="31" t="s">
        <v>307</v>
      </c>
      <c r="R2317" s="32">
        <v>33794.0</v>
      </c>
      <c r="S2317" s="34"/>
      <c r="T2317" s="31" t="s">
        <v>9118</v>
      </c>
      <c r="U2317" s="31" t="s">
        <v>310</v>
      </c>
      <c r="V2317" s="34"/>
      <c r="W2317" s="34"/>
    </row>
    <row r="2318">
      <c r="A2318" s="30">
        <v>2.313</v>
      </c>
      <c r="B2318" s="31" t="s">
        <v>9119</v>
      </c>
      <c r="C2318" s="31" t="s">
        <v>3186</v>
      </c>
      <c r="D2318" s="31" t="s">
        <v>1219</v>
      </c>
      <c r="E2318" s="31" t="s">
        <v>7298</v>
      </c>
      <c r="F2318" s="32">
        <v>43902.0</v>
      </c>
      <c r="G2318" s="32">
        <v>43963.0</v>
      </c>
      <c r="H2318" s="31" t="s">
        <v>325</v>
      </c>
      <c r="I2318" s="31" t="s">
        <v>2797</v>
      </c>
      <c r="J2318" s="31" t="s">
        <v>7298</v>
      </c>
      <c r="K2318" s="31" t="s">
        <v>7299</v>
      </c>
      <c r="L2318" s="31" t="s">
        <v>1223</v>
      </c>
      <c r="M2318" s="31" t="s">
        <v>9120</v>
      </c>
      <c r="N2318" s="31" t="s">
        <v>467</v>
      </c>
      <c r="O2318" s="34"/>
      <c r="P2318" s="31">
        <v>4.0</v>
      </c>
      <c r="Q2318" s="31" t="s">
        <v>307</v>
      </c>
      <c r="R2318" s="32">
        <v>34644.0</v>
      </c>
      <c r="S2318" s="31" t="s">
        <v>681</v>
      </c>
      <c r="T2318" s="31" t="s">
        <v>9121</v>
      </c>
      <c r="U2318" s="31" t="s">
        <v>331</v>
      </c>
      <c r="V2318" s="34"/>
      <c r="W2318" s="34"/>
    </row>
    <row r="2319">
      <c r="A2319" s="30">
        <v>2.314</v>
      </c>
      <c r="B2319" s="31" t="s">
        <v>9122</v>
      </c>
      <c r="C2319" s="31" t="s">
        <v>9123</v>
      </c>
      <c r="D2319" s="31" t="s">
        <v>1219</v>
      </c>
      <c r="E2319" s="31" t="s">
        <v>7298</v>
      </c>
      <c r="F2319" s="32">
        <v>44330.0</v>
      </c>
      <c r="G2319" s="32">
        <v>44391.0</v>
      </c>
      <c r="H2319" s="31" t="s">
        <v>325</v>
      </c>
      <c r="I2319" s="31" t="s">
        <v>2797</v>
      </c>
      <c r="J2319" s="31" t="s">
        <v>7298</v>
      </c>
      <c r="K2319" s="31" t="s">
        <v>7299</v>
      </c>
      <c r="L2319" s="31" t="s">
        <v>1223</v>
      </c>
      <c r="M2319" s="31" t="s">
        <v>9124</v>
      </c>
      <c r="N2319" s="31" t="s">
        <v>267</v>
      </c>
      <c r="O2319" s="34"/>
      <c r="P2319" s="31">
        <v>3.0</v>
      </c>
      <c r="Q2319" s="31" t="s">
        <v>307</v>
      </c>
      <c r="R2319" s="32">
        <v>35101.0</v>
      </c>
      <c r="S2319" s="31" t="s">
        <v>308</v>
      </c>
      <c r="T2319" s="31" t="s">
        <v>2764</v>
      </c>
      <c r="U2319" s="31" t="s">
        <v>331</v>
      </c>
      <c r="V2319" s="34"/>
      <c r="W2319" s="34"/>
    </row>
    <row r="2320">
      <c r="A2320" s="30">
        <v>2.315</v>
      </c>
      <c r="B2320" s="31" t="s">
        <v>9125</v>
      </c>
      <c r="C2320" s="31" t="s">
        <v>9126</v>
      </c>
      <c r="D2320" s="31" t="s">
        <v>1329</v>
      </c>
      <c r="E2320" s="31" t="s">
        <v>7298</v>
      </c>
      <c r="F2320" s="32">
        <v>40452.0</v>
      </c>
      <c r="G2320" s="32">
        <v>40513.0</v>
      </c>
      <c r="H2320" s="31" t="s">
        <v>325</v>
      </c>
      <c r="I2320" s="31" t="s">
        <v>2797</v>
      </c>
      <c r="J2320" s="31" t="s">
        <v>7298</v>
      </c>
      <c r="K2320" s="31" t="s">
        <v>7299</v>
      </c>
      <c r="L2320" s="31" t="s">
        <v>1330</v>
      </c>
      <c r="M2320" s="31" t="s">
        <v>9127</v>
      </c>
      <c r="N2320" s="31" t="s">
        <v>467</v>
      </c>
      <c r="O2320" s="31">
        <v>1.0</v>
      </c>
      <c r="P2320" s="31">
        <v>4.0</v>
      </c>
      <c r="Q2320" s="31" t="s">
        <v>307</v>
      </c>
      <c r="R2320" s="32">
        <v>32144.0</v>
      </c>
      <c r="S2320" s="31" t="s">
        <v>531</v>
      </c>
      <c r="T2320" s="31" t="s">
        <v>9128</v>
      </c>
      <c r="U2320" s="31" t="s">
        <v>331</v>
      </c>
      <c r="V2320" s="34"/>
      <c r="W2320" s="34"/>
    </row>
    <row r="2321">
      <c r="A2321" s="30">
        <v>2.316</v>
      </c>
      <c r="B2321" s="31" t="s">
        <v>9129</v>
      </c>
      <c r="C2321" s="31" t="s">
        <v>9130</v>
      </c>
      <c r="D2321" s="31" t="s">
        <v>9131</v>
      </c>
      <c r="E2321" s="31" t="s">
        <v>228</v>
      </c>
      <c r="F2321" s="35">
        <v>43755.0</v>
      </c>
      <c r="G2321" s="35">
        <v>43816.0</v>
      </c>
      <c r="H2321" s="31" t="s">
        <v>303</v>
      </c>
      <c r="I2321" s="31" t="s">
        <v>228</v>
      </c>
      <c r="J2321" s="34"/>
      <c r="K2321" s="31" t="s">
        <v>304</v>
      </c>
      <c r="L2321" s="31" t="s">
        <v>9132</v>
      </c>
      <c r="M2321" s="31" t="s">
        <v>9133</v>
      </c>
      <c r="N2321" s="31" t="s">
        <v>267</v>
      </c>
      <c r="O2321" s="34"/>
      <c r="P2321" s="34"/>
      <c r="Q2321" s="31" t="s">
        <v>307</v>
      </c>
      <c r="R2321" s="32">
        <v>35742.0</v>
      </c>
      <c r="S2321" s="31" t="s">
        <v>681</v>
      </c>
      <c r="T2321" s="31" t="s">
        <v>686</v>
      </c>
      <c r="U2321" s="31" t="s">
        <v>310</v>
      </c>
      <c r="V2321" s="34"/>
      <c r="W2321" s="34"/>
    </row>
    <row r="2322">
      <c r="A2322" s="30">
        <v>2.317</v>
      </c>
      <c r="B2322" s="31" t="s">
        <v>9134</v>
      </c>
      <c r="C2322" s="31" t="s">
        <v>8011</v>
      </c>
      <c r="D2322" s="31" t="s">
        <v>2977</v>
      </c>
      <c r="E2322" s="31" t="s">
        <v>167</v>
      </c>
      <c r="F2322" s="32">
        <v>44750.0</v>
      </c>
      <c r="G2322" s="32">
        <v>44812.0</v>
      </c>
      <c r="H2322" s="31" t="s">
        <v>303</v>
      </c>
      <c r="I2322" s="31" t="s">
        <v>3877</v>
      </c>
      <c r="J2322" s="31" t="s">
        <v>167</v>
      </c>
      <c r="K2322" s="31" t="s">
        <v>3878</v>
      </c>
      <c r="L2322" s="31" t="s">
        <v>9135</v>
      </c>
      <c r="M2322" s="31" t="s">
        <v>9136</v>
      </c>
      <c r="N2322" s="31" t="s">
        <v>267</v>
      </c>
      <c r="O2322" s="34"/>
      <c r="P2322" s="34"/>
      <c r="Q2322" s="31" t="s">
        <v>307</v>
      </c>
      <c r="R2322" s="32">
        <v>36917.0</v>
      </c>
      <c r="S2322" s="31" t="s">
        <v>9137</v>
      </c>
      <c r="T2322" s="31" t="s">
        <v>9138</v>
      </c>
      <c r="U2322" s="31" t="s">
        <v>310</v>
      </c>
      <c r="V2322" s="34"/>
      <c r="W2322" s="34"/>
    </row>
    <row r="2323">
      <c r="A2323" s="30">
        <v>2.318</v>
      </c>
      <c r="B2323" s="31" t="s">
        <v>9139</v>
      </c>
      <c r="C2323" s="31" t="s">
        <v>9140</v>
      </c>
      <c r="D2323" s="31" t="s">
        <v>260</v>
      </c>
      <c r="E2323" s="31" t="s">
        <v>436</v>
      </c>
      <c r="F2323" s="35">
        <v>45219.0</v>
      </c>
      <c r="G2323" s="35">
        <v>45279.0</v>
      </c>
      <c r="H2323" s="31" t="s">
        <v>262</v>
      </c>
      <c r="I2323" s="31" t="s">
        <v>275</v>
      </c>
      <c r="J2323" s="31" t="s">
        <v>436</v>
      </c>
      <c r="K2323" s="31" t="s">
        <v>2147</v>
      </c>
      <c r="L2323" s="31" t="s">
        <v>438</v>
      </c>
      <c r="M2323" s="31" t="s">
        <v>9141</v>
      </c>
      <c r="N2323" s="31" t="s">
        <v>267</v>
      </c>
      <c r="O2323" s="34"/>
      <c r="P2323" s="31">
        <v>1.0</v>
      </c>
      <c r="Q2323" s="31" t="s">
        <v>307</v>
      </c>
      <c r="R2323" s="32">
        <v>37094.0</v>
      </c>
      <c r="S2323" s="31" t="s">
        <v>1369</v>
      </c>
      <c r="T2323" s="31" t="s">
        <v>321</v>
      </c>
      <c r="U2323" s="31" t="s">
        <v>271</v>
      </c>
      <c r="V2323" s="34"/>
      <c r="W2323" s="34"/>
    </row>
    <row r="2324">
      <c r="A2324" s="30">
        <v>2.319</v>
      </c>
      <c r="B2324" s="31" t="s">
        <v>9142</v>
      </c>
      <c r="C2324" s="31" t="s">
        <v>9143</v>
      </c>
      <c r="D2324" s="31" t="s">
        <v>9144</v>
      </c>
      <c r="E2324" s="31" t="s">
        <v>228</v>
      </c>
      <c r="F2324" s="32">
        <v>40787.0</v>
      </c>
      <c r="G2324" s="32">
        <v>40848.0</v>
      </c>
      <c r="H2324" s="31" t="s">
        <v>303</v>
      </c>
      <c r="I2324" s="31" t="s">
        <v>228</v>
      </c>
      <c r="J2324" s="34"/>
      <c r="K2324" s="31" t="s">
        <v>304</v>
      </c>
      <c r="L2324" s="31" t="s">
        <v>9145</v>
      </c>
      <c r="M2324" s="31" t="s">
        <v>9146</v>
      </c>
      <c r="N2324" s="31" t="s">
        <v>267</v>
      </c>
      <c r="O2324" s="31">
        <v>2.0</v>
      </c>
      <c r="P2324" s="34"/>
      <c r="Q2324" s="31" t="s">
        <v>307</v>
      </c>
      <c r="R2324" s="32">
        <v>31528.0</v>
      </c>
      <c r="S2324" s="31" t="s">
        <v>320</v>
      </c>
      <c r="T2324" s="31" t="s">
        <v>778</v>
      </c>
      <c r="U2324" s="31" t="s">
        <v>310</v>
      </c>
      <c r="V2324" s="34"/>
      <c r="W2324" s="34"/>
    </row>
    <row r="2325">
      <c r="A2325" s="30">
        <v>2.32</v>
      </c>
      <c r="B2325" s="31" t="s">
        <v>9147</v>
      </c>
      <c r="C2325" s="31" t="s">
        <v>9148</v>
      </c>
      <c r="D2325" s="31" t="s">
        <v>1219</v>
      </c>
      <c r="E2325" s="31" t="s">
        <v>7532</v>
      </c>
      <c r="F2325" s="35">
        <v>44883.0</v>
      </c>
      <c r="G2325" s="32">
        <v>44943.0</v>
      </c>
      <c r="H2325" s="31" t="s">
        <v>2811</v>
      </c>
      <c r="I2325" s="31" t="s">
        <v>2797</v>
      </c>
      <c r="J2325" s="31" t="s">
        <v>7532</v>
      </c>
      <c r="K2325" s="31" t="s">
        <v>7533</v>
      </c>
      <c r="L2325" s="31" t="s">
        <v>1223</v>
      </c>
      <c r="M2325" s="31" t="s">
        <v>9149</v>
      </c>
      <c r="N2325" s="31" t="s">
        <v>467</v>
      </c>
      <c r="O2325" s="34"/>
      <c r="P2325" s="31">
        <v>2.0</v>
      </c>
      <c r="Q2325" s="31" t="s">
        <v>307</v>
      </c>
      <c r="R2325" s="32">
        <v>33377.0</v>
      </c>
      <c r="S2325" s="31" t="s">
        <v>681</v>
      </c>
      <c r="T2325" s="31" t="s">
        <v>8531</v>
      </c>
      <c r="U2325" s="31" t="s">
        <v>2914</v>
      </c>
      <c r="V2325" s="34"/>
      <c r="W2325" s="34"/>
    </row>
    <row r="2326">
      <c r="A2326" s="30">
        <v>2.321</v>
      </c>
      <c r="B2326" s="31" t="s">
        <v>9150</v>
      </c>
      <c r="C2326" s="31" t="s">
        <v>9151</v>
      </c>
      <c r="D2326" s="31" t="s">
        <v>260</v>
      </c>
      <c r="E2326" s="31" t="s">
        <v>1862</v>
      </c>
      <c r="F2326" s="35">
        <v>45209.0</v>
      </c>
      <c r="G2326" s="32">
        <v>45269.0</v>
      </c>
      <c r="H2326" s="31" t="s">
        <v>262</v>
      </c>
      <c r="I2326" s="31" t="s">
        <v>263</v>
      </c>
      <c r="J2326" s="31" t="s">
        <v>123</v>
      </c>
      <c r="K2326" s="31" t="s">
        <v>1863</v>
      </c>
      <c r="L2326" s="31" t="s">
        <v>431</v>
      </c>
      <c r="M2326" s="31" t="s">
        <v>9152</v>
      </c>
      <c r="N2326" s="31" t="s">
        <v>267</v>
      </c>
      <c r="O2326" s="34"/>
      <c r="P2326" s="31">
        <v>1.0</v>
      </c>
      <c r="Q2326" s="31" t="s">
        <v>307</v>
      </c>
      <c r="R2326" s="32">
        <v>36912.0</v>
      </c>
      <c r="S2326" s="31" t="s">
        <v>1023</v>
      </c>
      <c r="T2326" s="31" t="s">
        <v>1651</v>
      </c>
      <c r="U2326" s="31" t="s">
        <v>271</v>
      </c>
      <c r="V2326" s="31" t="s">
        <v>1862</v>
      </c>
      <c r="W2326" s="34"/>
    </row>
    <row r="2327">
      <c r="A2327" s="30">
        <v>2.322</v>
      </c>
      <c r="B2327" s="31" t="s">
        <v>9153</v>
      </c>
      <c r="C2327" s="31" t="s">
        <v>9154</v>
      </c>
      <c r="D2327" s="31" t="s">
        <v>506</v>
      </c>
      <c r="E2327" s="31" t="s">
        <v>101</v>
      </c>
      <c r="F2327" s="32">
        <v>44974.0</v>
      </c>
      <c r="G2327" s="32">
        <v>45033.0</v>
      </c>
      <c r="H2327" s="31" t="s">
        <v>346</v>
      </c>
      <c r="I2327" s="31" t="s">
        <v>275</v>
      </c>
      <c r="J2327" s="31" t="s">
        <v>101</v>
      </c>
      <c r="K2327" s="31" t="s">
        <v>507</v>
      </c>
      <c r="L2327" s="31" t="s">
        <v>508</v>
      </c>
      <c r="M2327" s="31" t="s">
        <v>9155</v>
      </c>
      <c r="N2327" s="31" t="s">
        <v>467</v>
      </c>
      <c r="O2327" s="34"/>
      <c r="P2327" s="31">
        <v>2.0</v>
      </c>
      <c r="Q2327" s="31" t="s">
        <v>307</v>
      </c>
      <c r="R2327" s="35">
        <v>37224.0</v>
      </c>
      <c r="S2327" s="31" t="s">
        <v>804</v>
      </c>
      <c r="T2327" s="31" t="s">
        <v>686</v>
      </c>
      <c r="U2327" s="31" t="s">
        <v>352</v>
      </c>
      <c r="V2327" s="34"/>
      <c r="W2327" s="34"/>
    </row>
    <row r="2328">
      <c r="A2328" s="30">
        <v>2.323</v>
      </c>
      <c r="B2328" s="31" t="s">
        <v>9156</v>
      </c>
      <c r="C2328" s="31" t="s">
        <v>9157</v>
      </c>
      <c r="D2328" s="31" t="s">
        <v>345</v>
      </c>
      <c r="E2328" s="31" t="s">
        <v>38</v>
      </c>
      <c r="F2328" s="32">
        <v>44796.0</v>
      </c>
      <c r="G2328" s="35">
        <v>44858.0</v>
      </c>
      <c r="H2328" s="31" t="s">
        <v>346</v>
      </c>
      <c r="I2328" s="31" t="s">
        <v>38</v>
      </c>
      <c r="J2328" s="34"/>
      <c r="K2328" s="31" t="s">
        <v>347</v>
      </c>
      <c r="L2328" s="31" t="s">
        <v>348</v>
      </c>
      <c r="M2328" s="31" t="s">
        <v>9158</v>
      </c>
      <c r="N2328" s="31" t="s">
        <v>467</v>
      </c>
      <c r="O2328" s="34"/>
      <c r="P2328" s="34"/>
      <c r="Q2328" s="31" t="s">
        <v>307</v>
      </c>
      <c r="R2328" s="32">
        <v>35516.0</v>
      </c>
      <c r="S2328" s="31" t="s">
        <v>9159</v>
      </c>
      <c r="T2328" s="31" t="s">
        <v>2721</v>
      </c>
      <c r="U2328" s="31" t="s">
        <v>352</v>
      </c>
      <c r="V2328" s="34"/>
      <c r="W2328" s="34"/>
    </row>
    <row r="2329">
      <c r="A2329" s="30">
        <v>2.324</v>
      </c>
      <c r="B2329" s="31" t="s">
        <v>9160</v>
      </c>
      <c r="C2329" s="31" t="s">
        <v>9161</v>
      </c>
      <c r="D2329" s="31" t="s">
        <v>1219</v>
      </c>
      <c r="E2329" s="31" t="s">
        <v>1323</v>
      </c>
      <c r="F2329" s="32">
        <v>44966.0</v>
      </c>
      <c r="G2329" s="32">
        <v>45025.0</v>
      </c>
      <c r="H2329" s="31" t="s">
        <v>346</v>
      </c>
      <c r="I2329" s="31" t="s">
        <v>315</v>
      </c>
      <c r="J2329" s="31" t="s">
        <v>1221</v>
      </c>
      <c r="K2329" s="31" t="s">
        <v>1324</v>
      </c>
      <c r="L2329" s="31" t="s">
        <v>1223</v>
      </c>
      <c r="M2329" s="31" t="s">
        <v>9162</v>
      </c>
      <c r="N2329" s="31" t="s">
        <v>467</v>
      </c>
      <c r="O2329" s="34"/>
      <c r="P2329" s="34"/>
      <c r="Q2329" s="31" t="s">
        <v>307</v>
      </c>
      <c r="R2329" s="32">
        <v>34468.0</v>
      </c>
      <c r="S2329" s="31" t="s">
        <v>9163</v>
      </c>
      <c r="T2329" s="31" t="s">
        <v>459</v>
      </c>
      <c r="U2329" s="31" t="s">
        <v>352</v>
      </c>
      <c r="V2329" s="31" t="s">
        <v>1323</v>
      </c>
      <c r="W2329" s="34"/>
    </row>
    <row r="2330">
      <c r="A2330" s="30">
        <v>2.325</v>
      </c>
      <c r="B2330" s="31" t="s">
        <v>9164</v>
      </c>
      <c r="C2330" s="31" t="s">
        <v>2198</v>
      </c>
      <c r="D2330" s="31" t="s">
        <v>3644</v>
      </c>
      <c r="E2330" s="31" t="s">
        <v>2463</v>
      </c>
      <c r="F2330" s="32">
        <v>42787.0</v>
      </c>
      <c r="G2330" s="32">
        <v>42846.0</v>
      </c>
      <c r="H2330" s="31" t="s">
        <v>346</v>
      </c>
      <c r="I2330" s="31" t="s">
        <v>2463</v>
      </c>
      <c r="J2330" s="34"/>
      <c r="K2330" s="31" t="s">
        <v>4694</v>
      </c>
      <c r="L2330" s="31" t="s">
        <v>3646</v>
      </c>
      <c r="M2330" s="31" t="s">
        <v>9165</v>
      </c>
      <c r="N2330" s="31" t="s">
        <v>267</v>
      </c>
      <c r="O2330" s="34"/>
      <c r="P2330" s="34"/>
      <c r="Q2330" s="31" t="s">
        <v>307</v>
      </c>
      <c r="R2330" s="32">
        <v>33152.0</v>
      </c>
      <c r="S2330" s="31" t="s">
        <v>9166</v>
      </c>
      <c r="T2330" s="31" t="s">
        <v>9167</v>
      </c>
      <c r="U2330" s="31" t="s">
        <v>352</v>
      </c>
      <c r="V2330" s="34"/>
      <c r="W2330" s="34"/>
    </row>
    <row r="2331">
      <c r="A2331" s="30">
        <v>2.326</v>
      </c>
      <c r="B2331" s="31" t="s">
        <v>9168</v>
      </c>
      <c r="C2331" s="31" t="s">
        <v>806</v>
      </c>
      <c r="D2331" s="31" t="s">
        <v>7721</v>
      </c>
      <c r="E2331" s="31" t="s">
        <v>2474</v>
      </c>
      <c r="F2331" s="35">
        <v>42361.0</v>
      </c>
      <c r="G2331" s="35">
        <v>42361.0</v>
      </c>
      <c r="H2331" s="31" t="s">
        <v>346</v>
      </c>
      <c r="I2331" s="31" t="s">
        <v>2474</v>
      </c>
      <c r="J2331" s="34"/>
      <c r="K2331" s="31" t="s">
        <v>8341</v>
      </c>
      <c r="L2331" s="31" t="s">
        <v>7722</v>
      </c>
      <c r="M2331" s="31" t="s">
        <v>9169</v>
      </c>
      <c r="N2331" s="31" t="s">
        <v>267</v>
      </c>
      <c r="O2331" s="34"/>
      <c r="P2331" s="34"/>
      <c r="Q2331" s="31" t="s">
        <v>307</v>
      </c>
      <c r="R2331" s="32">
        <v>34279.0</v>
      </c>
      <c r="S2331" s="31" t="s">
        <v>2426</v>
      </c>
      <c r="T2331" s="31" t="s">
        <v>1347</v>
      </c>
      <c r="U2331" s="31" t="s">
        <v>352</v>
      </c>
      <c r="V2331" s="34"/>
      <c r="W2331" s="34"/>
    </row>
    <row r="2332">
      <c r="A2332" s="30">
        <v>2.327</v>
      </c>
      <c r="B2332" s="31" t="s">
        <v>9170</v>
      </c>
      <c r="C2332" s="31" t="s">
        <v>9171</v>
      </c>
      <c r="D2332" s="31" t="s">
        <v>9172</v>
      </c>
      <c r="E2332" s="31" t="s">
        <v>2430</v>
      </c>
      <c r="F2332" s="32">
        <v>41785.0</v>
      </c>
      <c r="G2332" s="32">
        <v>41846.0</v>
      </c>
      <c r="H2332" s="31" t="s">
        <v>346</v>
      </c>
      <c r="I2332" s="31" t="s">
        <v>2430</v>
      </c>
      <c r="J2332" s="34"/>
      <c r="K2332" s="31" t="s">
        <v>3272</v>
      </c>
      <c r="L2332" s="31" t="s">
        <v>9173</v>
      </c>
      <c r="M2332" s="31" t="s">
        <v>9174</v>
      </c>
      <c r="N2332" s="31" t="s">
        <v>467</v>
      </c>
      <c r="O2332" s="31">
        <v>2.0</v>
      </c>
      <c r="P2332" s="34"/>
      <c r="Q2332" s="31" t="s">
        <v>307</v>
      </c>
      <c r="R2332" s="35">
        <v>32801.0</v>
      </c>
      <c r="S2332" s="31" t="s">
        <v>502</v>
      </c>
      <c r="T2332" s="31" t="s">
        <v>7368</v>
      </c>
      <c r="U2332" s="31" t="s">
        <v>352</v>
      </c>
      <c r="V2332" s="34"/>
      <c r="W2332" s="34"/>
    </row>
    <row r="2333">
      <c r="A2333" s="30">
        <v>2.328</v>
      </c>
      <c r="B2333" s="31" t="s">
        <v>9175</v>
      </c>
      <c r="C2333" s="31" t="s">
        <v>9176</v>
      </c>
      <c r="D2333" s="31" t="s">
        <v>1535</v>
      </c>
      <c r="E2333" s="31" t="s">
        <v>2797</v>
      </c>
      <c r="F2333" s="32">
        <v>42261.0</v>
      </c>
      <c r="G2333" s="35">
        <v>42322.0</v>
      </c>
      <c r="H2333" s="31" t="s">
        <v>2811</v>
      </c>
      <c r="I2333" s="31" t="s">
        <v>2797</v>
      </c>
      <c r="J2333" s="34"/>
      <c r="K2333" s="31" t="s">
        <v>9177</v>
      </c>
      <c r="L2333" s="31" t="s">
        <v>1537</v>
      </c>
      <c r="M2333" s="31" t="s">
        <v>9178</v>
      </c>
      <c r="N2333" s="31" t="s">
        <v>467</v>
      </c>
      <c r="O2333" s="31">
        <v>2.0</v>
      </c>
      <c r="P2333" s="31">
        <v>3.0</v>
      </c>
      <c r="Q2333" s="31" t="s">
        <v>307</v>
      </c>
      <c r="R2333" s="32">
        <v>33831.0</v>
      </c>
      <c r="S2333" s="31" t="s">
        <v>955</v>
      </c>
      <c r="T2333" s="31" t="s">
        <v>8605</v>
      </c>
      <c r="U2333" s="31" t="s">
        <v>2914</v>
      </c>
      <c r="V2333" s="34"/>
      <c r="W2333" s="34"/>
    </row>
    <row r="2334">
      <c r="A2334" s="30">
        <v>2.329</v>
      </c>
      <c r="B2334" s="31" t="s">
        <v>9179</v>
      </c>
      <c r="C2334" s="31" t="s">
        <v>7005</v>
      </c>
      <c r="D2334" s="31" t="s">
        <v>334</v>
      </c>
      <c r="E2334" s="31" t="s">
        <v>9180</v>
      </c>
      <c r="F2334" s="32">
        <v>45156.0</v>
      </c>
      <c r="G2334" s="35">
        <v>45216.0</v>
      </c>
      <c r="H2334" s="31" t="s">
        <v>303</v>
      </c>
      <c r="I2334" s="31" t="s">
        <v>335</v>
      </c>
      <c r="J2334" s="31" t="s">
        <v>336</v>
      </c>
      <c r="K2334" s="31" t="s">
        <v>9181</v>
      </c>
      <c r="L2334" s="31" t="s">
        <v>338</v>
      </c>
      <c r="M2334" s="31" t="s">
        <v>9182</v>
      </c>
      <c r="N2334" s="31" t="s">
        <v>267</v>
      </c>
      <c r="O2334" s="34"/>
      <c r="P2334" s="34"/>
      <c r="Q2334" s="31" t="s">
        <v>307</v>
      </c>
      <c r="R2334" s="32">
        <v>36105.0</v>
      </c>
      <c r="S2334" s="31" t="s">
        <v>9183</v>
      </c>
      <c r="T2334" s="31" t="s">
        <v>9184</v>
      </c>
      <c r="U2334" s="31" t="s">
        <v>342</v>
      </c>
      <c r="V2334" s="31" t="s">
        <v>9180</v>
      </c>
      <c r="W2334" s="34"/>
    </row>
    <row r="2335">
      <c r="A2335" s="30">
        <v>2.33</v>
      </c>
      <c r="B2335" s="31" t="s">
        <v>9185</v>
      </c>
      <c r="C2335" s="31" t="s">
        <v>7020</v>
      </c>
      <c r="D2335" s="31" t="s">
        <v>9186</v>
      </c>
      <c r="E2335" s="31" t="s">
        <v>2971</v>
      </c>
      <c r="F2335" s="32">
        <v>42772.0</v>
      </c>
      <c r="G2335" s="32">
        <v>42831.0</v>
      </c>
      <c r="H2335" s="31" t="s">
        <v>303</v>
      </c>
      <c r="I2335" s="31" t="s">
        <v>2971</v>
      </c>
      <c r="J2335" s="34"/>
      <c r="K2335" s="31" t="s">
        <v>2972</v>
      </c>
      <c r="L2335" s="31" t="s">
        <v>9187</v>
      </c>
      <c r="M2335" s="31" t="s">
        <v>9188</v>
      </c>
      <c r="N2335" s="31" t="s">
        <v>267</v>
      </c>
      <c r="O2335" s="31">
        <v>3.0</v>
      </c>
      <c r="P2335" s="34"/>
      <c r="Q2335" s="31" t="s">
        <v>307</v>
      </c>
      <c r="R2335" s="32">
        <v>34771.0</v>
      </c>
      <c r="S2335" s="31" t="s">
        <v>700</v>
      </c>
      <c r="T2335" s="31" t="s">
        <v>686</v>
      </c>
      <c r="U2335" s="31" t="s">
        <v>480</v>
      </c>
      <c r="V2335" s="34"/>
      <c r="W2335" s="34"/>
    </row>
    <row r="2336">
      <c r="A2336" s="30">
        <v>2.331</v>
      </c>
      <c r="B2336" s="31" t="s">
        <v>9189</v>
      </c>
      <c r="C2336" s="31" t="s">
        <v>9190</v>
      </c>
      <c r="D2336" s="31" t="s">
        <v>9191</v>
      </c>
      <c r="E2336" s="31" t="s">
        <v>2463</v>
      </c>
      <c r="F2336" s="32">
        <v>39888.0</v>
      </c>
      <c r="G2336" s="32">
        <v>39948.0</v>
      </c>
      <c r="H2336" s="31" t="s">
        <v>346</v>
      </c>
      <c r="I2336" s="31" t="s">
        <v>2463</v>
      </c>
      <c r="J2336" s="34"/>
      <c r="K2336" s="31" t="s">
        <v>4694</v>
      </c>
      <c r="L2336" s="31" t="s">
        <v>9192</v>
      </c>
      <c r="M2336" s="31" t="s">
        <v>9193</v>
      </c>
      <c r="N2336" s="31" t="s">
        <v>267</v>
      </c>
      <c r="O2336" s="34"/>
      <c r="P2336" s="34"/>
      <c r="Q2336" s="31" t="s">
        <v>307</v>
      </c>
      <c r="R2336" s="32">
        <v>31181.0</v>
      </c>
      <c r="S2336" s="31" t="s">
        <v>560</v>
      </c>
      <c r="T2336" s="31" t="s">
        <v>8343</v>
      </c>
      <c r="U2336" s="31" t="s">
        <v>361</v>
      </c>
      <c r="V2336" s="34"/>
      <c r="W2336" s="34"/>
    </row>
    <row r="2337">
      <c r="A2337" s="30">
        <v>2.332</v>
      </c>
      <c r="B2337" s="31" t="s">
        <v>9194</v>
      </c>
      <c r="C2337" s="31" t="s">
        <v>3073</v>
      </c>
      <c r="D2337" s="31" t="s">
        <v>3644</v>
      </c>
      <c r="E2337" s="31" t="s">
        <v>2463</v>
      </c>
      <c r="F2337" s="32">
        <v>44841.0</v>
      </c>
      <c r="G2337" s="32">
        <v>44902.0</v>
      </c>
      <c r="H2337" s="31" t="s">
        <v>346</v>
      </c>
      <c r="I2337" s="31" t="s">
        <v>2463</v>
      </c>
      <c r="J2337" s="34"/>
      <c r="K2337" s="31" t="s">
        <v>4694</v>
      </c>
      <c r="L2337" s="31" t="s">
        <v>3646</v>
      </c>
      <c r="M2337" s="31" t="s">
        <v>9195</v>
      </c>
      <c r="N2337" s="31" t="s">
        <v>267</v>
      </c>
      <c r="O2337" s="34"/>
      <c r="P2337" s="34"/>
      <c r="Q2337" s="31" t="s">
        <v>307</v>
      </c>
      <c r="R2337" s="32">
        <v>35210.0</v>
      </c>
      <c r="S2337" s="31" t="s">
        <v>9196</v>
      </c>
      <c r="T2337" s="31" t="s">
        <v>9197</v>
      </c>
      <c r="U2337" s="31" t="s">
        <v>361</v>
      </c>
      <c r="V2337" s="34"/>
      <c r="W2337" s="34"/>
    </row>
    <row r="2338">
      <c r="A2338" s="30">
        <v>2.333</v>
      </c>
      <c r="B2338" s="31" t="s">
        <v>9198</v>
      </c>
      <c r="C2338" s="31" t="s">
        <v>9199</v>
      </c>
      <c r="D2338" s="31" t="s">
        <v>3644</v>
      </c>
      <c r="E2338" s="31" t="s">
        <v>2463</v>
      </c>
      <c r="F2338" s="32">
        <v>42159.0</v>
      </c>
      <c r="G2338" s="32">
        <v>42220.0</v>
      </c>
      <c r="H2338" s="31" t="s">
        <v>346</v>
      </c>
      <c r="I2338" s="31" t="s">
        <v>2463</v>
      </c>
      <c r="J2338" s="34"/>
      <c r="K2338" s="31" t="s">
        <v>4694</v>
      </c>
      <c r="L2338" s="31" t="s">
        <v>3646</v>
      </c>
      <c r="M2338" s="31" t="s">
        <v>9200</v>
      </c>
      <c r="N2338" s="31" t="s">
        <v>267</v>
      </c>
      <c r="O2338" s="34"/>
      <c r="P2338" s="34"/>
      <c r="Q2338" s="31" t="s">
        <v>307</v>
      </c>
      <c r="R2338" s="32">
        <v>33376.0</v>
      </c>
      <c r="S2338" s="31" t="s">
        <v>320</v>
      </c>
      <c r="T2338" s="31" t="s">
        <v>665</v>
      </c>
      <c r="U2338" s="31" t="s">
        <v>352</v>
      </c>
      <c r="V2338" s="34"/>
      <c r="W2338" s="34"/>
    </row>
    <row r="2339">
      <c r="A2339" s="30">
        <v>2.334</v>
      </c>
      <c r="B2339" s="31" t="s">
        <v>9201</v>
      </c>
      <c r="C2339" s="31" t="s">
        <v>9202</v>
      </c>
      <c r="D2339" s="31" t="s">
        <v>8352</v>
      </c>
      <c r="E2339" s="31" t="s">
        <v>2474</v>
      </c>
      <c r="F2339" s="32">
        <v>39630.0</v>
      </c>
      <c r="G2339" s="32">
        <v>39692.0</v>
      </c>
      <c r="H2339" s="31" t="s">
        <v>346</v>
      </c>
      <c r="I2339" s="31" t="s">
        <v>2474</v>
      </c>
      <c r="J2339" s="34"/>
      <c r="K2339" s="31" t="s">
        <v>8341</v>
      </c>
      <c r="L2339" s="31" t="s">
        <v>8353</v>
      </c>
      <c r="M2339" s="31" t="s">
        <v>9203</v>
      </c>
      <c r="N2339" s="31" t="s">
        <v>267</v>
      </c>
      <c r="O2339" s="34"/>
      <c r="P2339" s="34"/>
      <c r="Q2339" s="31" t="s">
        <v>307</v>
      </c>
      <c r="R2339" s="32">
        <v>31306.0</v>
      </c>
      <c r="S2339" s="31" t="s">
        <v>531</v>
      </c>
      <c r="T2339" s="31" t="s">
        <v>686</v>
      </c>
      <c r="U2339" s="31" t="s">
        <v>352</v>
      </c>
      <c r="V2339" s="34"/>
      <c r="W2339" s="34"/>
    </row>
    <row r="2340">
      <c r="A2340" s="30">
        <v>2.335</v>
      </c>
      <c r="B2340" s="31" t="s">
        <v>9204</v>
      </c>
      <c r="C2340" s="31" t="s">
        <v>9205</v>
      </c>
      <c r="D2340" s="31" t="s">
        <v>7721</v>
      </c>
      <c r="E2340" s="31" t="s">
        <v>2474</v>
      </c>
      <c r="F2340" s="32">
        <v>39539.0</v>
      </c>
      <c r="G2340" s="32">
        <v>39600.0</v>
      </c>
      <c r="H2340" s="31" t="s">
        <v>346</v>
      </c>
      <c r="I2340" s="31" t="s">
        <v>2474</v>
      </c>
      <c r="J2340" s="34"/>
      <c r="K2340" s="31" t="s">
        <v>8341</v>
      </c>
      <c r="L2340" s="31" t="s">
        <v>7722</v>
      </c>
      <c r="M2340" s="31" t="s">
        <v>9206</v>
      </c>
      <c r="N2340" s="31" t="s">
        <v>267</v>
      </c>
      <c r="O2340" s="34"/>
      <c r="P2340" s="34"/>
      <c r="Q2340" s="31" t="s">
        <v>307</v>
      </c>
      <c r="R2340" s="32">
        <v>27917.0</v>
      </c>
      <c r="S2340" s="31" t="s">
        <v>531</v>
      </c>
      <c r="T2340" s="31" t="s">
        <v>9207</v>
      </c>
      <c r="U2340" s="31" t="s">
        <v>352</v>
      </c>
      <c r="V2340" s="34"/>
      <c r="W2340" s="34"/>
    </row>
    <row r="2341">
      <c r="A2341" s="30">
        <v>2.336</v>
      </c>
      <c r="B2341" s="31" t="s">
        <v>9208</v>
      </c>
      <c r="C2341" s="31" t="s">
        <v>552</v>
      </c>
      <c r="D2341" s="31" t="s">
        <v>1219</v>
      </c>
      <c r="E2341" s="31" t="s">
        <v>1323</v>
      </c>
      <c r="F2341" s="32">
        <v>39887.0</v>
      </c>
      <c r="G2341" s="32">
        <v>39948.0</v>
      </c>
      <c r="H2341" s="31" t="s">
        <v>346</v>
      </c>
      <c r="I2341" s="31" t="s">
        <v>315</v>
      </c>
      <c r="J2341" s="31" t="s">
        <v>1221</v>
      </c>
      <c r="K2341" s="31" t="s">
        <v>1324</v>
      </c>
      <c r="L2341" s="31" t="s">
        <v>1223</v>
      </c>
      <c r="M2341" s="31" t="s">
        <v>9209</v>
      </c>
      <c r="N2341" s="31" t="s">
        <v>267</v>
      </c>
      <c r="O2341" s="34"/>
      <c r="P2341" s="34"/>
      <c r="Q2341" s="31" t="s">
        <v>307</v>
      </c>
      <c r="R2341" s="35">
        <v>31734.0</v>
      </c>
      <c r="S2341" s="31" t="s">
        <v>5167</v>
      </c>
      <c r="T2341" s="31" t="s">
        <v>778</v>
      </c>
      <c r="U2341" s="31" t="s">
        <v>352</v>
      </c>
      <c r="V2341" s="31" t="s">
        <v>1323</v>
      </c>
      <c r="W2341" s="34"/>
    </row>
    <row r="2342">
      <c r="A2342" s="30">
        <v>2.337</v>
      </c>
      <c r="B2342" s="31" t="s">
        <v>9210</v>
      </c>
      <c r="C2342" s="31" t="s">
        <v>9211</v>
      </c>
      <c r="D2342" s="31" t="s">
        <v>2462</v>
      </c>
      <c r="E2342" s="31" t="s">
        <v>2463</v>
      </c>
      <c r="F2342" s="32">
        <v>45043.0</v>
      </c>
      <c r="G2342" s="32">
        <v>45104.0</v>
      </c>
      <c r="H2342" s="31" t="s">
        <v>346</v>
      </c>
      <c r="I2342" s="31" t="s">
        <v>2463</v>
      </c>
      <c r="J2342" s="34"/>
      <c r="K2342" s="31" t="s">
        <v>4694</v>
      </c>
      <c r="L2342" s="31" t="s">
        <v>2465</v>
      </c>
      <c r="M2342" s="31" t="s">
        <v>9212</v>
      </c>
      <c r="N2342" s="31" t="s">
        <v>467</v>
      </c>
      <c r="O2342" s="34"/>
      <c r="P2342" s="34"/>
      <c r="Q2342" s="31" t="s">
        <v>307</v>
      </c>
      <c r="R2342" s="35">
        <v>36156.0</v>
      </c>
      <c r="S2342" s="31" t="s">
        <v>9213</v>
      </c>
      <c r="T2342" s="31" t="s">
        <v>9214</v>
      </c>
      <c r="U2342" s="31" t="s">
        <v>361</v>
      </c>
      <c r="V2342" s="34"/>
      <c r="W2342" s="34"/>
    </row>
    <row r="2343">
      <c r="A2343" s="30">
        <v>2.338</v>
      </c>
      <c r="B2343" s="31" t="s">
        <v>9215</v>
      </c>
      <c r="C2343" s="31" t="s">
        <v>7771</v>
      </c>
      <c r="D2343" s="31" t="s">
        <v>648</v>
      </c>
      <c r="E2343" s="31" t="s">
        <v>153</v>
      </c>
      <c r="F2343" s="32">
        <v>45013.0</v>
      </c>
      <c r="G2343" s="32">
        <v>45074.0</v>
      </c>
      <c r="H2343" s="31" t="s">
        <v>346</v>
      </c>
      <c r="I2343" s="31" t="s">
        <v>93</v>
      </c>
      <c r="J2343" s="31" t="s">
        <v>153</v>
      </c>
      <c r="K2343" s="31" t="s">
        <v>958</v>
      </c>
      <c r="L2343" s="31" t="s">
        <v>959</v>
      </c>
      <c r="M2343" s="31" t="s">
        <v>9216</v>
      </c>
      <c r="N2343" s="31" t="s">
        <v>267</v>
      </c>
      <c r="O2343" s="34"/>
      <c r="P2343" s="34"/>
      <c r="Q2343" s="31" t="s">
        <v>307</v>
      </c>
      <c r="R2343" s="32">
        <v>36711.0</v>
      </c>
      <c r="S2343" s="31" t="s">
        <v>4196</v>
      </c>
      <c r="T2343" s="31" t="s">
        <v>1161</v>
      </c>
      <c r="U2343" s="31" t="s">
        <v>352</v>
      </c>
      <c r="V2343" s="34"/>
      <c r="W2343" s="34"/>
    </row>
    <row r="2344">
      <c r="A2344" s="30">
        <v>2.339</v>
      </c>
      <c r="B2344" s="31" t="s">
        <v>9217</v>
      </c>
      <c r="C2344" s="31" t="s">
        <v>9218</v>
      </c>
      <c r="D2344" s="31" t="s">
        <v>648</v>
      </c>
      <c r="E2344" s="31" t="s">
        <v>153</v>
      </c>
      <c r="F2344" s="32">
        <v>44718.0</v>
      </c>
      <c r="G2344" s="32">
        <v>44779.0</v>
      </c>
      <c r="H2344" s="31" t="s">
        <v>346</v>
      </c>
      <c r="I2344" s="31" t="s">
        <v>93</v>
      </c>
      <c r="J2344" s="31" t="s">
        <v>153</v>
      </c>
      <c r="K2344" s="31" t="s">
        <v>958</v>
      </c>
      <c r="L2344" s="31" t="s">
        <v>959</v>
      </c>
      <c r="M2344" s="31" t="s">
        <v>9219</v>
      </c>
      <c r="N2344" s="31" t="s">
        <v>467</v>
      </c>
      <c r="O2344" s="34"/>
      <c r="P2344" s="34"/>
      <c r="Q2344" s="31" t="s">
        <v>307</v>
      </c>
      <c r="R2344" s="32">
        <v>34902.0</v>
      </c>
      <c r="S2344" s="31" t="s">
        <v>560</v>
      </c>
      <c r="T2344" s="31" t="s">
        <v>682</v>
      </c>
      <c r="U2344" s="31" t="s">
        <v>352</v>
      </c>
      <c r="V2344" s="34"/>
      <c r="W2344" s="34"/>
    </row>
    <row r="2345">
      <c r="A2345" s="30">
        <v>2.34</v>
      </c>
      <c r="B2345" s="31" t="s">
        <v>9220</v>
      </c>
      <c r="C2345" s="31" t="s">
        <v>9221</v>
      </c>
      <c r="D2345" s="31" t="s">
        <v>1219</v>
      </c>
      <c r="E2345" s="31" t="s">
        <v>1220</v>
      </c>
      <c r="F2345" s="32">
        <v>42625.0</v>
      </c>
      <c r="G2345" s="35">
        <v>42686.0</v>
      </c>
      <c r="H2345" s="31" t="s">
        <v>346</v>
      </c>
      <c r="I2345" s="31" t="s">
        <v>315</v>
      </c>
      <c r="J2345" s="31" t="s">
        <v>1221</v>
      </c>
      <c r="K2345" s="31" t="s">
        <v>1222</v>
      </c>
      <c r="L2345" s="31" t="s">
        <v>1223</v>
      </c>
      <c r="M2345" s="31" t="s">
        <v>9222</v>
      </c>
      <c r="N2345" s="31" t="s">
        <v>267</v>
      </c>
      <c r="O2345" s="34"/>
      <c r="P2345" s="34"/>
      <c r="Q2345" s="31" t="s">
        <v>307</v>
      </c>
      <c r="R2345" s="35">
        <v>32460.0</v>
      </c>
      <c r="S2345" s="31" t="s">
        <v>531</v>
      </c>
      <c r="T2345" s="31" t="s">
        <v>9223</v>
      </c>
      <c r="U2345" s="31" t="s">
        <v>352</v>
      </c>
      <c r="V2345" s="31" t="s">
        <v>1220</v>
      </c>
      <c r="W2345" s="34"/>
    </row>
    <row r="2346">
      <c r="A2346" s="30">
        <v>2.341</v>
      </c>
      <c r="B2346" s="31" t="s">
        <v>9224</v>
      </c>
      <c r="C2346" s="31" t="s">
        <v>9225</v>
      </c>
      <c r="D2346" s="31" t="s">
        <v>3644</v>
      </c>
      <c r="E2346" s="31" t="s">
        <v>2463</v>
      </c>
      <c r="F2346" s="32">
        <v>41442.0</v>
      </c>
      <c r="G2346" s="32">
        <v>41502.0</v>
      </c>
      <c r="H2346" s="31" t="s">
        <v>346</v>
      </c>
      <c r="I2346" s="31" t="s">
        <v>2463</v>
      </c>
      <c r="J2346" s="34"/>
      <c r="K2346" s="31" t="s">
        <v>4694</v>
      </c>
      <c r="L2346" s="31" t="s">
        <v>3646</v>
      </c>
      <c r="M2346" s="31" t="s">
        <v>9226</v>
      </c>
      <c r="N2346" s="31" t="s">
        <v>267</v>
      </c>
      <c r="O2346" s="34"/>
      <c r="P2346" s="34"/>
      <c r="Q2346" s="31" t="s">
        <v>307</v>
      </c>
      <c r="R2346" s="32">
        <v>33315.0</v>
      </c>
      <c r="S2346" s="31" t="s">
        <v>531</v>
      </c>
      <c r="T2346" s="31" t="s">
        <v>459</v>
      </c>
      <c r="U2346" s="31" t="s">
        <v>352</v>
      </c>
      <c r="V2346" s="34"/>
      <c r="W2346" s="34"/>
    </row>
    <row r="2347">
      <c r="A2347" s="30">
        <v>2.342</v>
      </c>
      <c r="B2347" s="31" t="s">
        <v>9227</v>
      </c>
      <c r="C2347" s="31" t="s">
        <v>9228</v>
      </c>
      <c r="D2347" s="31" t="s">
        <v>1219</v>
      </c>
      <c r="E2347" s="31" t="s">
        <v>1323</v>
      </c>
      <c r="F2347" s="32">
        <v>42625.0</v>
      </c>
      <c r="G2347" s="35">
        <v>42686.0</v>
      </c>
      <c r="H2347" s="31" t="s">
        <v>346</v>
      </c>
      <c r="I2347" s="31" t="s">
        <v>315</v>
      </c>
      <c r="J2347" s="31" t="s">
        <v>1221</v>
      </c>
      <c r="K2347" s="31" t="s">
        <v>1324</v>
      </c>
      <c r="L2347" s="31" t="s">
        <v>1223</v>
      </c>
      <c r="M2347" s="31" t="s">
        <v>9229</v>
      </c>
      <c r="N2347" s="31" t="s">
        <v>467</v>
      </c>
      <c r="O2347" s="34"/>
      <c r="P2347" s="34"/>
      <c r="Q2347" s="31" t="s">
        <v>307</v>
      </c>
      <c r="R2347" s="35">
        <v>34698.0</v>
      </c>
      <c r="S2347" s="31" t="s">
        <v>737</v>
      </c>
      <c r="T2347" s="31" t="s">
        <v>686</v>
      </c>
      <c r="U2347" s="31" t="s">
        <v>352</v>
      </c>
      <c r="V2347" s="31" t="s">
        <v>1323</v>
      </c>
      <c r="W2347" s="34"/>
    </row>
    <row r="2348">
      <c r="A2348" s="30">
        <v>2.343</v>
      </c>
      <c r="B2348" s="31" t="s">
        <v>9230</v>
      </c>
      <c r="C2348" s="31" t="s">
        <v>9231</v>
      </c>
      <c r="D2348" s="31" t="s">
        <v>648</v>
      </c>
      <c r="E2348" s="31" t="s">
        <v>153</v>
      </c>
      <c r="F2348" s="35">
        <v>43762.0</v>
      </c>
      <c r="G2348" s="35">
        <v>43823.0</v>
      </c>
      <c r="H2348" s="31" t="s">
        <v>346</v>
      </c>
      <c r="I2348" s="31" t="s">
        <v>93</v>
      </c>
      <c r="J2348" s="31" t="s">
        <v>153</v>
      </c>
      <c r="K2348" s="31" t="s">
        <v>958</v>
      </c>
      <c r="L2348" s="31" t="s">
        <v>959</v>
      </c>
      <c r="M2348" s="31" t="s">
        <v>9232</v>
      </c>
      <c r="N2348" s="31" t="s">
        <v>267</v>
      </c>
      <c r="O2348" s="34"/>
      <c r="P2348" s="34"/>
      <c r="Q2348" s="31" t="s">
        <v>307</v>
      </c>
      <c r="R2348" s="35">
        <v>35730.0</v>
      </c>
      <c r="S2348" s="31" t="s">
        <v>626</v>
      </c>
      <c r="T2348" s="31" t="s">
        <v>459</v>
      </c>
      <c r="U2348" s="31" t="s">
        <v>352</v>
      </c>
      <c r="V2348" s="34"/>
      <c r="W2348" s="34"/>
    </row>
    <row r="2349">
      <c r="A2349" s="30">
        <v>2.344</v>
      </c>
      <c r="B2349" s="31" t="s">
        <v>9233</v>
      </c>
      <c r="C2349" s="31" t="s">
        <v>9234</v>
      </c>
      <c r="D2349" s="31" t="s">
        <v>1219</v>
      </c>
      <c r="E2349" s="31" t="s">
        <v>1395</v>
      </c>
      <c r="F2349" s="32">
        <v>43599.0</v>
      </c>
      <c r="G2349" s="32">
        <v>43660.0</v>
      </c>
      <c r="H2349" s="31" t="s">
        <v>346</v>
      </c>
      <c r="I2349" s="31" t="s">
        <v>315</v>
      </c>
      <c r="J2349" s="31" t="s">
        <v>1366</v>
      </c>
      <c r="K2349" s="31" t="s">
        <v>1396</v>
      </c>
      <c r="L2349" s="31" t="s">
        <v>1223</v>
      </c>
      <c r="M2349" s="31" t="s">
        <v>9235</v>
      </c>
      <c r="N2349" s="31" t="s">
        <v>267</v>
      </c>
      <c r="O2349" s="34"/>
      <c r="P2349" s="34"/>
      <c r="Q2349" s="31" t="s">
        <v>307</v>
      </c>
      <c r="R2349" s="35">
        <v>35783.0</v>
      </c>
      <c r="S2349" s="31" t="s">
        <v>458</v>
      </c>
      <c r="T2349" s="31" t="s">
        <v>459</v>
      </c>
      <c r="U2349" s="31" t="s">
        <v>352</v>
      </c>
      <c r="V2349" s="31" t="s">
        <v>1395</v>
      </c>
      <c r="W2349" s="34"/>
    </row>
    <row r="2350">
      <c r="A2350" s="30">
        <v>2.345</v>
      </c>
      <c r="B2350" s="31" t="s">
        <v>9236</v>
      </c>
      <c r="C2350" s="31" t="s">
        <v>9237</v>
      </c>
      <c r="D2350" s="31" t="s">
        <v>1329</v>
      </c>
      <c r="E2350" s="31" t="s">
        <v>1365</v>
      </c>
      <c r="F2350" s="32">
        <v>41792.0</v>
      </c>
      <c r="G2350" s="32">
        <v>41852.0</v>
      </c>
      <c r="H2350" s="31" t="s">
        <v>346</v>
      </c>
      <c r="I2350" s="31" t="s">
        <v>315</v>
      </c>
      <c r="J2350" s="31" t="s">
        <v>1366</v>
      </c>
      <c r="K2350" s="31" t="s">
        <v>1367</v>
      </c>
      <c r="L2350" s="31" t="s">
        <v>1330</v>
      </c>
      <c r="M2350" s="31" t="s">
        <v>9238</v>
      </c>
      <c r="N2350" s="31" t="s">
        <v>467</v>
      </c>
      <c r="O2350" s="31">
        <v>1.0</v>
      </c>
      <c r="P2350" s="34"/>
      <c r="Q2350" s="31" t="s">
        <v>307</v>
      </c>
      <c r="R2350" s="32">
        <v>33746.0</v>
      </c>
      <c r="S2350" s="31" t="s">
        <v>531</v>
      </c>
      <c r="T2350" s="31" t="s">
        <v>9239</v>
      </c>
      <c r="U2350" s="31" t="s">
        <v>352</v>
      </c>
      <c r="V2350" s="31" t="s">
        <v>1365</v>
      </c>
      <c r="W2350" s="34"/>
    </row>
    <row r="2351">
      <c r="A2351" s="30">
        <v>2.346</v>
      </c>
      <c r="B2351" s="31" t="s">
        <v>9240</v>
      </c>
      <c r="C2351" s="31" t="s">
        <v>9241</v>
      </c>
      <c r="D2351" s="31" t="s">
        <v>1219</v>
      </c>
      <c r="E2351" s="31" t="s">
        <v>1220</v>
      </c>
      <c r="F2351" s="32">
        <v>40674.0</v>
      </c>
      <c r="G2351" s="32">
        <v>40740.0</v>
      </c>
      <c r="H2351" s="31" t="s">
        <v>346</v>
      </c>
      <c r="I2351" s="31" t="s">
        <v>315</v>
      </c>
      <c r="J2351" s="31" t="s">
        <v>1221</v>
      </c>
      <c r="K2351" s="31" t="s">
        <v>1222</v>
      </c>
      <c r="L2351" s="31" t="s">
        <v>1223</v>
      </c>
      <c r="M2351" s="31" t="s">
        <v>9242</v>
      </c>
      <c r="N2351" s="31" t="s">
        <v>267</v>
      </c>
      <c r="O2351" s="34"/>
      <c r="P2351" s="34"/>
      <c r="Q2351" s="31" t="s">
        <v>307</v>
      </c>
      <c r="R2351" s="32">
        <v>32453.0</v>
      </c>
      <c r="S2351" s="31" t="s">
        <v>531</v>
      </c>
      <c r="T2351" s="31" t="s">
        <v>503</v>
      </c>
      <c r="U2351" s="31" t="s">
        <v>352</v>
      </c>
      <c r="V2351" s="31" t="s">
        <v>1220</v>
      </c>
      <c r="W2351" s="34"/>
    </row>
    <row r="2352">
      <c r="A2352" s="30">
        <v>2.347</v>
      </c>
      <c r="B2352" s="31" t="s">
        <v>9243</v>
      </c>
      <c r="C2352" s="31" t="s">
        <v>9244</v>
      </c>
      <c r="D2352" s="31" t="s">
        <v>2867</v>
      </c>
      <c r="E2352" s="31" t="s">
        <v>2463</v>
      </c>
      <c r="F2352" s="32">
        <v>43223.0</v>
      </c>
      <c r="G2352" s="32">
        <v>43284.0</v>
      </c>
      <c r="H2352" s="31" t="s">
        <v>346</v>
      </c>
      <c r="I2352" s="31" t="s">
        <v>2463</v>
      </c>
      <c r="J2352" s="34"/>
      <c r="K2352" s="31" t="s">
        <v>4694</v>
      </c>
      <c r="L2352" s="31" t="s">
        <v>2869</v>
      </c>
      <c r="M2352" s="31" t="s">
        <v>9245</v>
      </c>
      <c r="N2352" s="31" t="s">
        <v>467</v>
      </c>
      <c r="O2352" s="34"/>
      <c r="P2352" s="34"/>
      <c r="Q2352" s="31" t="s">
        <v>307</v>
      </c>
      <c r="R2352" s="32">
        <v>30786.0</v>
      </c>
      <c r="S2352" s="31" t="s">
        <v>4679</v>
      </c>
      <c r="T2352" s="31" t="s">
        <v>9246</v>
      </c>
      <c r="U2352" s="31" t="s">
        <v>352</v>
      </c>
      <c r="V2352" s="34"/>
      <c r="W2352" s="34"/>
    </row>
    <row r="2353">
      <c r="A2353" s="30">
        <v>2.348</v>
      </c>
      <c r="B2353" s="31" t="s">
        <v>9247</v>
      </c>
      <c r="C2353" s="31" t="s">
        <v>9248</v>
      </c>
      <c r="D2353" s="31" t="s">
        <v>1219</v>
      </c>
      <c r="E2353" s="31" t="s">
        <v>1323</v>
      </c>
      <c r="F2353" s="32">
        <v>38518.0</v>
      </c>
      <c r="G2353" s="32">
        <v>38518.0</v>
      </c>
      <c r="H2353" s="31" t="s">
        <v>346</v>
      </c>
      <c r="I2353" s="31" t="s">
        <v>315</v>
      </c>
      <c r="J2353" s="31" t="s">
        <v>1221</v>
      </c>
      <c r="K2353" s="31" t="s">
        <v>1324</v>
      </c>
      <c r="L2353" s="31" t="s">
        <v>1223</v>
      </c>
      <c r="M2353" s="31" t="s">
        <v>9249</v>
      </c>
      <c r="N2353" s="31" t="s">
        <v>267</v>
      </c>
      <c r="O2353" s="34"/>
      <c r="P2353" s="34"/>
      <c r="Q2353" s="31" t="s">
        <v>307</v>
      </c>
      <c r="R2353" s="32">
        <v>30127.0</v>
      </c>
      <c r="S2353" s="31" t="s">
        <v>531</v>
      </c>
      <c r="T2353" s="31" t="s">
        <v>8130</v>
      </c>
      <c r="U2353" s="31" t="s">
        <v>352</v>
      </c>
      <c r="V2353" s="31" t="s">
        <v>1323</v>
      </c>
      <c r="W2353" s="34"/>
    </row>
    <row r="2354">
      <c r="A2354" s="30">
        <v>2.349</v>
      </c>
      <c r="B2354" s="31" t="s">
        <v>9250</v>
      </c>
      <c r="C2354" s="31" t="s">
        <v>3105</v>
      </c>
      <c r="D2354" s="31" t="s">
        <v>9251</v>
      </c>
      <c r="E2354" s="31" t="s">
        <v>2463</v>
      </c>
      <c r="F2354" s="35">
        <v>43090.0</v>
      </c>
      <c r="G2354" s="32">
        <v>43153.0</v>
      </c>
      <c r="H2354" s="31" t="s">
        <v>346</v>
      </c>
      <c r="I2354" s="31" t="s">
        <v>2463</v>
      </c>
      <c r="J2354" s="34"/>
      <c r="K2354" s="31" t="s">
        <v>4694</v>
      </c>
      <c r="L2354" s="31" t="s">
        <v>9252</v>
      </c>
      <c r="M2354" s="31" t="s">
        <v>9253</v>
      </c>
      <c r="N2354" s="31" t="s">
        <v>467</v>
      </c>
      <c r="O2354" s="34"/>
      <c r="P2354" s="34"/>
      <c r="Q2354" s="31" t="s">
        <v>307</v>
      </c>
      <c r="R2354" s="35">
        <v>31412.0</v>
      </c>
      <c r="S2354" s="31" t="s">
        <v>2467</v>
      </c>
      <c r="T2354" s="31" t="s">
        <v>9254</v>
      </c>
      <c r="U2354" s="31" t="s">
        <v>361</v>
      </c>
      <c r="V2354" s="34"/>
      <c r="W2354" s="34"/>
    </row>
    <row r="2355">
      <c r="A2355" s="30">
        <v>2.35</v>
      </c>
      <c r="B2355" s="31" t="s">
        <v>9255</v>
      </c>
      <c r="C2355" s="31" t="s">
        <v>862</v>
      </c>
      <c r="D2355" s="31" t="s">
        <v>1219</v>
      </c>
      <c r="E2355" s="31" t="s">
        <v>1323</v>
      </c>
      <c r="F2355" s="32">
        <v>40674.0</v>
      </c>
      <c r="G2355" s="32">
        <v>40740.0</v>
      </c>
      <c r="H2355" s="31" t="s">
        <v>346</v>
      </c>
      <c r="I2355" s="31" t="s">
        <v>315</v>
      </c>
      <c r="J2355" s="31" t="s">
        <v>1221</v>
      </c>
      <c r="K2355" s="31" t="s">
        <v>1324</v>
      </c>
      <c r="L2355" s="31" t="s">
        <v>1223</v>
      </c>
      <c r="M2355" s="31" t="s">
        <v>9256</v>
      </c>
      <c r="N2355" s="31" t="s">
        <v>267</v>
      </c>
      <c r="O2355" s="34"/>
      <c r="P2355" s="34"/>
      <c r="Q2355" s="31" t="s">
        <v>307</v>
      </c>
      <c r="R2355" s="35">
        <v>32811.0</v>
      </c>
      <c r="S2355" s="31" t="s">
        <v>838</v>
      </c>
      <c r="T2355" s="31" t="s">
        <v>459</v>
      </c>
      <c r="U2355" s="31" t="s">
        <v>352</v>
      </c>
      <c r="V2355" s="31" t="s">
        <v>1323</v>
      </c>
      <c r="W2355" s="34"/>
    </row>
    <row r="2356">
      <c r="A2356" s="30">
        <v>2.351</v>
      </c>
      <c r="B2356" s="31" t="s">
        <v>9257</v>
      </c>
      <c r="C2356" s="31" t="s">
        <v>9258</v>
      </c>
      <c r="D2356" s="31" t="s">
        <v>2867</v>
      </c>
      <c r="E2356" s="31" t="s">
        <v>2463</v>
      </c>
      <c r="F2356" s="32">
        <v>41533.0</v>
      </c>
      <c r="G2356" s="35">
        <v>41594.0</v>
      </c>
      <c r="H2356" s="31" t="s">
        <v>346</v>
      </c>
      <c r="I2356" s="31" t="s">
        <v>2463</v>
      </c>
      <c r="J2356" s="34"/>
      <c r="K2356" s="31" t="s">
        <v>4694</v>
      </c>
      <c r="L2356" s="31" t="s">
        <v>2869</v>
      </c>
      <c r="M2356" s="31" t="s">
        <v>9259</v>
      </c>
      <c r="N2356" s="31" t="s">
        <v>467</v>
      </c>
      <c r="O2356" s="34"/>
      <c r="P2356" s="34"/>
      <c r="Q2356" s="31" t="s">
        <v>307</v>
      </c>
      <c r="R2356" s="32">
        <v>23573.0</v>
      </c>
      <c r="S2356" s="31" t="s">
        <v>4679</v>
      </c>
      <c r="T2356" s="31" t="s">
        <v>9246</v>
      </c>
      <c r="U2356" s="31" t="s">
        <v>352</v>
      </c>
      <c r="V2356" s="34"/>
      <c r="W2356" s="34"/>
    </row>
    <row r="2357">
      <c r="A2357" s="30">
        <v>2.352</v>
      </c>
      <c r="B2357" s="31" t="s">
        <v>9260</v>
      </c>
      <c r="C2357" s="31" t="s">
        <v>9261</v>
      </c>
      <c r="D2357" s="31" t="s">
        <v>1219</v>
      </c>
      <c r="E2357" s="31" t="s">
        <v>1323</v>
      </c>
      <c r="F2357" s="32">
        <v>40245.0</v>
      </c>
      <c r="G2357" s="32">
        <v>40299.0</v>
      </c>
      <c r="H2357" s="31" t="s">
        <v>346</v>
      </c>
      <c r="I2357" s="31" t="s">
        <v>315</v>
      </c>
      <c r="J2357" s="31" t="s">
        <v>1221</v>
      </c>
      <c r="K2357" s="31" t="s">
        <v>1324</v>
      </c>
      <c r="L2357" s="31" t="s">
        <v>1223</v>
      </c>
      <c r="M2357" s="31" t="s">
        <v>9262</v>
      </c>
      <c r="N2357" s="31" t="s">
        <v>467</v>
      </c>
      <c r="O2357" s="34"/>
      <c r="P2357" s="34"/>
      <c r="Q2357" s="31" t="s">
        <v>307</v>
      </c>
      <c r="R2357" s="32">
        <v>30769.0</v>
      </c>
      <c r="S2357" s="31" t="s">
        <v>1197</v>
      </c>
      <c r="T2357" s="31" t="s">
        <v>503</v>
      </c>
      <c r="U2357" s="31" t="s">
        <v>352</v>
      </c>
      <c r="V2357" s="31" t="s">
        <v>1323</v>
      </c>
      <c r="W2357" s="34"/>
    </row>
    <row r="2358">
      <c r="A2358" s="30">
        <v>2.353</v>
      </c>
      <c r="B2358" s="31" t="s">
        <v>9263</v>
      </c>
      <c r="C2358" s="31" t="s">
        <v>5674</v>
      </c>
      <c r="D2358" s="31" t="s">
        <v>9251</v>
      </c>
      <c r="E2358" s="31" t="s">
        <v>2463</v>
      </c>
      <c r="F2358" s="32">
        <v>44298.0</v>
      </c>
      <c r="G2358" s="32">
        <v>44359.0</v>
      </c>
      <c r="H2358" s="31" t="s">
        <v>346</v>
      </c>
      <c r="I2358" s="31" t="s">
        <v>2463</v>
      </c>
      <c r="J2358" s="34"/>
      <c r="K2358" s="31" t="s">
        <v>4694</v>
      </c>
      <c r="L2358" s="31" t="s">
        <v>9252</v>
      </c>
      <c r="M2358" s="31" t="s">
        <v>9264</v>
      </c>
      <c r="N2358" s="31" t="s">
        <v>467</v>
      </c>
      <c r="O2358" s="34"/>
      <c r="P2358" s="34"/>
      <c r="Q2358" s="31" t="s">
        <v>307</v>
      </c>
      <c r="R2358" s="32">
        <v>33353.0</v>
      </c>
      <c r="S2358" s="31" t="s">
        <v>9265</v>
      </c>
      <c r="T2358" s="31" t="s">
        <v>5294</v>
      </c>
      <c r="U2358" s="31" t="s">
        <v>352</v>
      </c>
      <c r="V2358" s="34"/>
      <c r="W2358" s="34"/>
    </row>
    <row r="2359">
      <c r="A2359" s="30">
        <v>2.354</v>
      </c>
      <c r="B2359" s="31" t="s">
        <v>9266</v>
      </c>
      <c r="C2359" s="31" t="s">
        <v>9267</v>
      </c>
      <c r="D2359" s="31" t="s">
        <v>2867</v>
      </c>
      <c r="E2359" s="31" t="s">
        <v>2463</v>
      </c>
      <c r="F2359" s="32">
        <v>41487.0</v>
      </c>
      <c r="G2359" s="32">
        <v>41548.0</v>
      </c>
      <c r="H2359" s="31" t="s">
        <v>346</v>
      </c>
      <c r="I2359" s="31" t="s">
        <v>2463</v>
      </c>
      <c r="J2359" s="34"/>
      <c r="K2359" s="31" t="s">
        <v>4694</v>
      </c>
      <c r="L2359" s="31" t="s">
        <v>2869</v>
      </c>
      <c r="M2359" s="31" t="s">
        <v>9268</v>
      </c>
      <c r="N2359" s="31" t="s">
        <v>467</v>
      </c>
      <c r="O2359" s="34"/>
      <c r="P2359" s="34"/>
      <c r="Q2359" s="31" t="s">
        <v>307</v>
      </c>
      <c r="R2359" s="32">
        <v>28565.0</v>
      </c>
      <c r="S2359" s="31" t="s">
        <v>9269</v>
      </c>
      <c r="T2359" s="31" t="s">
        <v>503</v>
      </c>
      <c r="U2359" s="31" t="s">
        <v>352</v>
      </c>
      <c r="V2359" s="34"/>
      <c r="W2359" s="34"/>
    </row>
    <row r="2360">
      <c r="A2360" s="30">
        <v>2.355</v>
      </c>
      <c r="B2360" s="31" t="s">
        <v>9270</v>
      </c>
      <c r="C2360" s="31" t="s">
        <v>1923</v>
      </c>
      <c r="D2360" s="31" t="s">
        <v>1219</v>
      </c>
      <c r="E2360" s="31" t="s">
        <v>1365</v>
      </c>
      <c r="F2360" s="32">
        <v>42859.0</v>
      </c>
      <c r="G2360" s="32">
        <v>42920.0</v>
      </c>
      <c r="H2360" s="31" t="s">
        <v>346</v>
      </c>
      <c r="I2360" s="31" t="s">
        <v>315</v>
      </c>
      <c r="J2360" s="31" t="s">
        <v>1366</v>
      </c>
      <c r="K2360" s="31" t="s">
        <v>1367</v>
      </c>
      <c r="L2360" s="31" t="s">
        <v>1223</v>
      </c>
      <c r="M2360" s="31" t="s">
        <v>9271</v>
      </c>
      <c r="N2360" s="31" t="s">
        <v>467</v>
      </c>
      <c r="O2360" s="34"/>
      <c r="P2360" s="34"/>
      <c r="Q2360" s="31" t="s">
        <v>307</v>
      </c>
      <c r="R2360" s="32">
        <v>34803.0</v>
      </c>
      <c r="S2360" s="31" t="s">
        <v>495</v>
      </c>
      <c r="T2360" s="31" t="s">
        <v>503</v>
      </c>
      <c r="U2360" s="31" t="s">
        <v>352</v>
      </c>
      <c r="V2360" s="31" t="s">
        <v>1365</v>
      </c>
      <c r="W2360" s="34"/>
    </row>
    <row r="2361">
      <c r="A2361" s="30">
        <v>2.356</v>
      </c>
      <c r="B2361" s="31" t="s">
        <v>9272</v>
      </c>
      <c r="C2361" s="31" t="s">
        <v>9273</v>
      </c>
      <c r="D2361" s="31" t="s">
        <v>2867</v>
      </c>
      <c r="E2361" s="31" t="s">
        <v>2463</v>
      </c>
      <c r="F2361" s="32">
        <v>41730.0</v>
      </c>
      <c r="G2361" s="32">
        <v>41791.0</v>
      </c>
      <c r="H2361" s="31" t="s">
        <v>346</v>
      </c>
      <c r="I2361" s="31" t="s">
        <v>2463</v>
      </c>
      <c r="J2361" s="34"/>
      <c r="K2361" s="31" t="s">
        <v>4694</v>
      </c>
      <c r="L2361" s="31" t="s">
        <v>2869</v>
      </c>
      <c r="M2361" s="31" t="s">
        <v>9274</v>
      </c>
      <c r="N2361" s="31" t="s">
        <v>467</v>
      </c>
      <c r="O2361" s="34"/>
      <c r="P2361" s="34"/>
      <c r="Q2361" s="31" t="s">
        <v>307</v>
      </c>
      <c r="R2361" s="32">
        <v>30956.0</v>
      </c>
      <c r="S2361" s="31" t="s">
        <v>7247</v>
      </c>
      <c r="T2361" s="31" t="s">
        <v>9275</v>
      </c>
      <c r="U2361" s="31" t="s">
        <v>352</v>
      </c>
      <c r="V2361" s="34"/>
      <c r="W2361" s="34"/>
    </row>
    <row r="2362">
      <c r="A2362" s="30">
        <v>2.357</v>
      </c>
      <c r="B2362" s="31" t="s">
        <v>9276</v>
      </c>
      <c r="C2362" s="31" t="s">
        <v>9277</v>
      </c>
      <c r="D2362" s="31" t="s">
        <v>2867</v>
      </c>
      <c r="E2362" s="31" t="s">
        <v>2463</v>
      </c>
      <c r="F2362" s="32">
        <v>38718.0</v>
      </c>
      <c r="G2362" s="32">
        <v>38720.0</v>
      </c>
      <c r="H2362" s="31" t="s">
        <v>346</v>
      </c>
      <c r="I2362" s="31" t="s">
        <v>2463</v>
      </c>
      <c r="J2362" s="34"/>
      <c r="K2362" s="31" t="s">
        <v>4694</v>
      </c>
      <c r="L2362" s="31" t="s">
        <v>2869</v>
      </c>
      <c r="M2362" s="31" t="s">
        <v>9278</v>
      </c>
      <c r="N2362" s="31" t="s">
        <v>467</v>
      </c>
      <c r="O2362" s="34"/>
      <c r="P2362" s="34"/>
      <c r="Q2362" s="31" t="s">
        <v>307</v>
      </c>
      <c r="R2362" s="32">
        <v>31230.0</v>
      </c>
      <c r="S2362" s="31" t="s">
        <v>9265</v>
      </c>
      <c r="T2362" s="31" t="s">
        <v>9118</v>
      </c>
      <c r="U2362" s="31" t="s">
        <v>352</v>
      </c>
      <c r="V2362" s="34"/>
      <c r="W2362" s="34"/>
    </row>
    <row r="2363">
      <c r="A2363" s="30">
        <v>2.358</v>
      </c>
      <c r="B2363" s="31" t="s">
        <v>9279</v>
      </c>
      <c r="C2363" s="31" t="s">
        <v>9280</v>
      </c>
      <c r="D2363" s="31" t="s">
        <v>6848</v>
      </c>
      <c r="E2363" s="31" t="s">
        <v>2463</v>
      </c>
      <c r="F2363" s="32">
        <v>39212.0</v>
      </c>
      <c r="G2363" s="32">
        <v>39248.0</v>
      </c>
      <c r="H2363" s="31" t="s">
        <v>346</v>
      </c>
      <c r="I2363" s="31" t="s">
        <v>2463</v>
      </c>
      <c r="J2363" s="34"/>
      <c r="K2363" s="31" t="s">
        <v>4694</v>
      </c>
      <c r="L2363" s="31" t="s">
        <v>6849</v>
      </c>
      <c r="M2363" s="31" t="s">
        <v>9281</v>
      </c>
      <c r="N2363" s="31" t="s">
        <v>267</v>
      </c>
      <c r="O2363" s="31">
        <v>2.0</v>
      </c>
      <c r="P2363" s="34"/>
      <c r="Q2363" s="31" t="s">
        <v>307</v>
      </c>
      <c r="R2363" s="32">
        <v>27933.0</v>
      </c>
      <c r="S2363" s="31" t="s">
        <v>531</v>
      </c>
      <c r="T2363" s="31" t="s">
        <v>9282</v>
      </c>
      <c r="U2363" s="31" t="s">
        <v>352</v>
      </c>
      <c r="V2363" s="34"/>
      <c r="W2363" s="34"/>
    </row>
    <row r="2364">
      <c r="A2364" s="30">
        <v>2.359</v>
      </c>
      <c r="B2364" s="31" t="s">
        <v>9283</v>
      </c>
      <c r="C2364" s="31" t="s">
        <v>6700</v>
      </c>
      <c r="D2364" s="31" t="s">
        <v>2462</v>
      </c>
      <c r="E2364" s="31" t="s">
        <v>2463</v>
      </c>
      <c r="F2364" s="32">
        <v>44306.0</v>
      </c>
      <c r="G2364" s="32">
        <v>44368.0</v>
      </c>
      <c r="H2364" s="31" t="s">
        <v>346</v>
      </c>
      <c r="I2364" s="31" t="s">
        <v>2463</v>
      </c>
      <c r="J2364" s="34"/>
      <c r="K2364" s="31" t="s">
        <v>4694</v>
      </c>
      <c r="L2364" s="31" t="s">
        <v>2465</v>
      </c>
      <c r="M2364" s="31" t="s">
        <v>9284</v>
      </c>
      <c r="N2364" s="31" t="s">
        <v>467</v>
      </c>
      <c r="O2364" s="34"/>
      <c r="P2364" s="34"/>
      <c r="Q2364" s="31" t="s">
        <v>307</v>
      </c>
      <c r="R2364" s="32">
        <v>32982.0</v>
      </c>
      <c r="S2364" s="31" t="s">
        <v>495</v>
      </c>
      <c r="T2364" s="31" t="s">
        <v>718</v>
      </c>
      <c r="U2364" s="31" t="s">
        <v>352</v>
      </c>
      <c r="V2364" s="34"/>
      <c r="W2364" s="34"/>
    </row>
    <row r="2365">
      <c r="A2365" s="30">
        <v>2.36</v>
      </c>
      <c r="B2365" s="31" t="s">
        <v>9285</v>
      </c>
      <c r="C2365" s="31" t="s">
        <v>9286</v>
      </c>
      <c r="D2365" s="31" t="s">
        <v>1219</v>
      </c>
      <c r="E2365" s="31" t="s">
        <v>1220</v>
      </c>
      <c r="F2365" s="32">
        <v>43577.0</v>
      </c>
      <c r="G2365" s="32">
        <v>43638.0</v>
      </c>
      <c r="H2365" s="31" t="s">
        <v>346</v>
      </c>
      <c r="I2365" s="31" t="s">
        <v>315</v>
      </c>
      <c r="J2365" s="31" t="s">
        <v>1221</v>
      </c>
      <c r="K2365" s="31" t="s">
        <v>1222</v>
      </c>
      <c r="L2365" s="31" t="s">
        <v>1223</v>
      </c>
      <c r="M2365" s="31" t="s">
        <v>9287</v>
      </c>
      <c r="N2365" s="31" t="s">
        <v>267</v>
      </c>
      <c r="O2365" s="34"/>
      <c r="P2365" s="34"/>
      <c r="Q2365" s="31" t="s">
        <v>307</v>
      </c>
      <c r="R2365" s="32">
        <v>31963.0</v>
      </c>
      <c r="S2365" s="31" t="s">
        <v>681</v>
      </c>
      <c r="T2365" s="31" t="s">
        <v>686</v>
      </c>
      <c r="U2365" s="31" t="s">
        <v>352</v>
      </c>
      <c r="V2365" s="31" t="s">
        <v>1220</v>
      </c>
      <c r="W2365" s="34"/>
    </row>
    <row r="2366">
      <c r="A2366" s="30">
        <v>2.361</v>
      </c>
      <c r="B2366" s="31" t="s">
        <v>9288</v>
      </c>
      <c r="C2366" s="31" t="s">
        <v>9289</v>
      </c>
      <c r="D2366" s="31" t="s">
        <v>1219</v>
      </c>
      <c r="E2366" s="31" t="s">
        <v>1323</v>
      </c>
      <c r="F2366" s="32">
        <v>39330.0</v>
      </c>
      <c r="G2366" s="32">
        <v>39448.0</v>
      </c>
      <c r="H2366" s="31" t="s">
        <v>346</v>
      </c>
      <c r="I2366" s="31" t="s">
        <v>315</v>
      </c>
      <c r="J2366" s="31" t="s">
        <v>1221</v>
      </c>
      <c r="K2366" s="31" t="s">
        <v>1324</v>
      </c>
      <c r="L2366" s="31" t="s">
        <v>1223</v>
      </c>
      <c r="M2366" s="31" t="s">
        <v>9290</v>
      </c>
      <c r="N2366" s="31" t="s">
        <v>267</v>
      </c>
      <c r="O2366" s="34"/>
      <c r="P2366" s="34"/>
      <c r="Q2366" s="31" t="s">
        <v>307</v>
      </c>
      <c r="R2366" s="32">
        <v>28726.0</v>
      </c>
      <c r="S2366" s="31" t="s">
        <v>9291</v>
      </c>
      <c r="T2366" s="31" t="s">
        <v>3174</v>
      </c>
      <c r="U2366" s="31" t="s">
        <v>352</v>
      </c>
      <c r="V2366" s="31" t="s">
        <v>1323</v>
      </c>
      <c r="W2366" s="34"/>
    </row>
    <row r="2367">
      <c r="A2367" s="30">
        <v>2.362</v>
      </c>
      <c r="B2367" s="31" t="s">
        <v>9292</v>
      </c>
      <c r="C2367" s="31" t="s">
        <v>9293</v>
      </c>
      <c r="D2367" s="31" t="s">
        <v>3644</v>
      </c>
      <c r="E2367" s="31" t="s">
        <v>2463</v>
      </c>
      <c r="F2367" s="32">
        <v>43889.0</v>
      </c>
      <c r="G2367" s="32">
        <v>43949.0</v>
      </c>
      <c r="H2367" s="31" t="s">
        <v>346</v>
      </c>
      <c r="I2367" s="31" t="s">
        <v>2463</v>
      </c>
      <c r="J2367" s="34"/>
      <c r="K2367" s="31" t="s">
        <v>4694</v>
      </c>
      <c r="L2367" s="31" t="s">
        <v>3646</v>
      </c>
      <c r="M2367" s="31" t="s">
        <v>9294</v>
      </c>
      <c r="N2367" s="31" t="s">
        <v>467</v>
      </c>
      <c r="O2367" s="34"/>
      <c r="P2367" s="34"/>
      <c r="Q2367" s="31" t="s">
        <v>307</v>
      </c>
      <c r="R2367" s="32">
        <v>33857.0</v>
      </c>
      <c r="S2367" s="31" t="s">
        <v>626</v>
      </c>
      <c r="T2367" s="31" t="s">
        <v>9295</v>
      </c>
      <c r="U2367" s="31" t="s">
        <v>352</v>
      </c>
      <c r="V2367" s="34"/>
      <c r="W2367" s="34"/>
    </row>
    <row r="2368">
      <c r="A2368" s="30">
        <v>2.363</v>
      </c>
      <c r="B2368" s="31" t="s">
        <v>9296</v>
      </c>
      <c r="C2368" s="31" t="s">
        <v>9297</v>
      </c>
      <c r="D2368" s="31" t="s">
        <v>9298</v>
      </c>
      <c r="E2368" s="31" t="s">
        <v>4789</v>
      </c>
      <c r="F2368" s="32">
        <v>45133.0</v>
      </c>
      <c r="G2368" s="32">
        <v>45193.0</v>
      </c>
      <c r="H2368" s="31" t="s">
        <v>303</v>
      </c>
      <c r="I2368" s="31" t="s">
        <v>335</v>
      </c>
      <c r="J2368" s="31" t="s">
        <v>1963</v>
      </c>
      <c r="K2368" s="31" t="s">
        <v>4790</v>
      </c>
      <c r="L2368" s="31" t="s">
        <v>9299</v>
      </c>
      <c r="M2368" s="31" t="s">
        <v>9300</v>
      </c>
      <c r="N2368" s="31" t="s">
        <v>267</v>
      </c>
      <c r="O2368" s="34"/>
      <c r="P2368" s="34"/>
      <c r="Q2368" s="31" t="s">
        <v>307</v>
      </c>
      <c r="R2368" s="32">
        <v>34978.0</v>
      </c>
      <c r="S2368" s="31" t="s">
        <v>1730</v>
      </c>
      <c r="T2368" s="31" t="s">
        <v>7790</v>
      </c>
      <c r="U2368" s="31" t="s">
        <v>342</v>
      </c>
      <c r="V2368" s="31" t="s">
        <v>4789</v>
      </c>
      <c r="W2368" s="34"/>
    </row>
    <row r="2369">
      <c r="A2369" s="30">
        <v>2.364</v>
      </c>
      <c r="B2369" s="31" t="s">
        <v>9301</v>
      </c>
      <c r="C2369" s="31" t="s">
        <v>2555</v>
      </c>
      <c r="D2369" s="31" t="s">
        <v>7143</v>
      </c>
      <c r="E2369" s="31" t="s">
        <v>4726</v>
      </c>
      <c r="F2369" s="32">
        <v>45132.0</v>
      </c>
      <c r="G2369" s="32">
        <v>45192.0</v>
      </c>
      <c r="H2369" s="31" t="s">
        <v>4727</v>
      </c>
      <c r="I2369" s="31" t="s">
        <v>4726</v>
      </c>
      <c r="J2369" s="34"/>
      <c r="K2369" s="31" t="s">
        <v>4728</v>
      </c>
      <c r="L2369" s="31" t="s">
        <v>7144</v>
      </c>
      <c r="M2369" s="31" t="s">
        <v>9302</v>
      </c>
      <c r="N2369" s="31" t="s">
        <v>267</v>
      </c>
      <c r="O2369" s="34"/>
      <c r="P2369" s="34"/>
      <c r="Q2369" s="31" t="s">
        <v>307</v>
      </c>
      <c r="R2369" s="32">
        <v>33817.0</v>
      </c>
      <c r="S2369" s="31" t="s">
        <v>458</v>
      </c>
      <c r="T2369" s="31" t="s">
        <v>360</v>
      </c>
      <c r="U2369" s="31" t="s">
        <v>342</v>
      </c>
      <c r="V2369" s="34"/>
      <c r="W2369" s="34"/>
    </row>
    <row r="2370">
      <c r="A2370" s="30">
        <v>2.365</v>
      </c>
      <c r="B2370" s="31" t="s">
        <v>9303</v>
      </c>
      <c r="C2370" s="31" t="s">
        <v>9304</v>
      </c>
      <c r="D2370" s="31" t="s">
        <v>9305</v>
      </c>
      <c r="E2370" s="31" t="s">
        <v>9306</v>
      </c>
      <c r="F2370" s="32">
        <v>39995.0</v>
      </c>
      <c r="G2370" s="32">
        <v>40087.0</v>
      </c>
      <c r="H2370" s="31" t="s">
        <v>303</v>
      </c>
      <c r="I2370" s="31" t="s">
        <v>9306</v>
      </c>
      <c r="J2370" s="34"/>
      <c r="K2370" s="31" t="s">
        <v>9307</v>
      </c>
      <c r="L2370" s="31" t="s">
        <v>9308</v>
      </c>
      <c r="M2370" s="31" t="s">
        <v>9309</v>
      </c>
      <c r="N2370" s="31" t="s">
        <v>267</v>
      </c>
      <c r="O2370" s="34"/>
      <c r="P2370" s="34"/>
      <c r="Q2370" s="31" t="s">
        <v>307</v>
      </c>
      <c r="R2370" s="35">
        <v>31726.0</v>
      </c>
      <c r="S2370" s="31" t="s">
        <v>1041</v>
      </c>
      <c r="T2370" s="31" t="s">
        <v>1789</v>
      </c>
      <c r="U2370" s="31" t="s">
        <v>310</v>
      </c>
      <c r="V2370" s="34"/>
      <c r="W2370" s="34"/>
    </row>
    <row r="2371">
      <c r="A2371" s="30">
        <v>2.366</v>
      </c>
      <c r="B2371" s="31" t="s">
        <v>9310</v>
      </c>
      <c r="C2371" s="31" t="s">
        <v>9311</v>
      </c>
      <c r="D2371" s="31" t="s">
        <v>9305</v>
      </c>
      <c r="E2371" s="31" t="s">
        <v>9306</v>
      </c>
      <c r="F2371" s="32">
        <v>40452.0</v>
      </c>
      <c r="G2371" s="32">
        <v>40513.0</v>
      </c>
      <c r="H2371" s="31" t="s">
        <v>303</v>
      </c>
      <c r="I2371" s="31" t="s">
        <v>9306</v>
      </c>
      <c r="J2371" s="34"/>
      <c r="K2371" s="31" t="s">
        <v>9307</v>
      </c>
      <c r="L2371" s="31" t="s">
        <v>9308</v>
      </c>
      <c r="M2371" s="31" t="s">
        <v>9312</v>
      </c>
      <c r="N2371" s="31" t="s">
        <v>267</v>
      </c>
      <c r="O2371" s="34"/>
      <c r="P2371" s="34"/>
      <c r="Q2371" s="31" t="s">
        <v>307</v>
      </c>
      <c r="R2371" s="35">
        <v>32463.0</v>
      </c>
      <c r="S2371" s="31" t="s">
        <v>320</v>
      </c>
      <c r="T2371" s="31" t="s">
        <v>9313</v>
      </c>
      <c r="U2371" s="31" t="s">
        <v>271</v>
      </c>
      <c r="V2371" s="34"/>
      <c r="W2371" s="34"/>
    </row>
    <row r="2372">
      <c r="A2372" s="30">
        <v>2.367</v>
      </c>
      <c r="B2372" s="31" t="s">
        <v>9314</v>
      </c>
      <c r="C2372" s="31" t="s">
        <v>9315</v>
      </c>
      <c r="D2372" s="31" t="s">
        <v>9316</v>
      </c>
      <c r="E2372" s="31" t="s">
        <v>9317</v>
      </c>
      <c r="F2372" s="32">
        <v>45104.0</v>
      </c>
      <c r="G2372" s="32">
        <v>45164.0</v>
      </c>
      <c r="H2372" s="31" t="s">
        <v>303</v>
      </c>
      <c r="I2372" s="31" t="s">
        <v>335</v>
      </c>
      <c r="J2372" s="31" t="s">
        <v>336</v>
      </c>
      <c r="K2372" s="31" t="s">
        <v>9318</v>
      </c>
      <c r="L2372" s="31" t="s">
        <v>9319</v>
      </c>
      <c r="M2372" s="31" t="s">
        <v>9320</v>
      </c>
      <c r="N2372" s="31" t="s">
        <v>467</v>
      </c>
      <c r="O2372" s="31">
        <v>1.0</v>
      </c>
      <c r="P2372" s="34"/>
      <c r="Q2372" s="31" t="s">
        <v>307</v>
      </c>
      <c r="R2372" s="32">
        <v>34849.0</v>
      </c>
      <c r="S2372" s="31" t="s">
        <v>3151</v>
      </c>
      <c r="T2372" s="31" t="s">
        <v>1178</v>
      </c>
      <c r="U2372" s="31" t="s">
        <v>342</v>
      </c>
      <c r="V2372" s="31" t="s">
        <v>9317</v>
      </c>
      <c r="W2372" s="34"/>
    </row>
    <row r="2373">
      <c r="A2373" s="30">
        <v>2.368</v>
      </c>
      <c r="B2373" s="31" t="s">
        <v>9321</v>
      </c>
      <c r="C2373" s="31" t="s">
        <v>9322</v>
      </c>
      <c r="D2373" s="31" t="s">
        <v>4788</v>
      </c>
      <c r="E2373" s="31" t="s">
        <v>9323</v>
      </c>
      <c r="F2373" s="32">
        <v>45072.0</v>
      </c>
      <c r="G2373" s="32">
        <v>45132.0</v>
      </c>
      <c r="H2373" s="31" t="s">
        <v>303</v>
      </c>
      <c r="I2373" s="31" t="s">
        <v>335</v>
      </c>
      <c r="J2373" s="31" t="s">
        <v>336</v>
      </c>
      <c r="K2373" s="31" t="s">
        <v>9324</v>
      </c>
      <c r="L2373" s="31" t="s">
        <v>4791</v>
      </c>
      <c r="M2373" s="31" t="s">
        <v>9325</v>
      </c>
      <c r="N2373" s="31" t="s">
        <v>267</v>
      </c>
      <c r="O2373" s="34"/>
      <c r="P2373" s="34"/>
      <c r="Q2373" s="31" t="s">
        <v>307</v>
      </c>
      <c r="R2373" s="32">
        <v>35070.0</v>
      </c>
      <c r="S2373" s="31" t="s">
        <v>400</v>
      </c>
      <c r="T2373" s="31" t="s">
        <v>7896</v>
      </c>
      <c r="U2373" s="31" t="s">
        <v>342</v>
      </c>
      <c r="V2373" s="31" t="s">
        <v>9323</v>
      </c>
      <c r="W2373" s="34"/>
    </row>
    <row r="2374">
      <c r="A2374" s="30">
        <v>2.369</v>
      </c>
      <c r="B2374" s="31" t="s">
        <v>9326</v>
      </c>
      <c r="C2374" s="31" t="s">
        <v>4081</v>
      </c>
      <c r="D2374" s="31" t="s">
        <v>9327</v>
      </c>
      <c r="E2374" s="31" t="s">
        <v>9180</v>
      </c>
      <c r="F2374" s="32">
        <v>44929.0</v>
      </c>
      <c r="G2374" s="32">
        <v>44988.0</v>
      </c>
      <c r="H2374" s="31" t="s">
        <v>303</v>
      </c>
      <c r="I2374" s="31" t="s">
        <v>335</v>
      </c>
      <c r="J2374" s="31" t="s">
        <v>336</v>
      </c>
      <c r="K2374" s="31" t="s">
        <v>9181</v>
      </c>
      <c r="L2374" s="31" t="s">
        <v>9328</v>
      </c>
      <c r="M2374" s="31" t="s">
        <v>9329</v>
      </c>
      <c r="N2374" s="31" t="s">
        <v>267</v>
      </c>
      <c r="O2374" s="31">
        <v>1.0</v>
      </c>
      <c r="P2374" s="34"/>
      <c r="Q2374" s="31" t="s">
        <v>307</v>
      </c>
      <c r="R2374" s="32">
        <v>34537.0</v>
      </c>
      <c r="S2374" s="31" t="s">
        <v>2459</v>
      </c>
      <c r="T2374" s="31" t="s">
        <v>3116</v>
      </c>
      <c r="U2374" s="31" t="s">
        <v>342</v>
      </c>
      <c r="V2374" s="31" t="s">
        <v>9180</v>
      </c>
      <c r="W2374" s="34"/>
    </row>
    <row r="2375">
      <c r="A2375" s="30">
        <v>2.37</v>
      </c>
      <c r="B2375" s="31" t="s">
        <v>9330</v>
      </c>
      <c r="C2375" s="31" t="s">
        <v>9331</v>
      </c>
      <c r="D2375" s="31" t="s">
        <v>4788</v>
      </c>
      <c r="E2375" s="31" t="s">
        <v>7685</v>
      </c>
      <c r="F2375" s="35">
        <v>44879.0</v>
      </c>
      <c r="G2375" s="32">
        <v>44940.0</v>
      </c>
      <c r="H2375" s="31" t="s">
        <v>303</v>
      </c>
      <c r="I2375" s="31" t="s">
        <v>335</v>
      </c>
      <c r="J2375" s="31" t="s">
        <v>336</v>
      </c>
      <c r="K2375" s="31" t="s">
        <v>7686</v>
      </c>
      <c r="L2375" s="31" t="s">
        <v>4791</v>
      </c>
      <c r="M2375" s="31" t="s">
        <v>9332</v>
      </c>
      <c r="N2375" s="31" t="s">
        <v>267</v>
      </c>
      <c r="O2375" s="34"/>
      <c r="P2375" s="34"/>
      <c r="Q2375" s="31" t="s">
        <v>307</v>
      </c>
      <c r="R2375" s="32">
        <v>35509.0</v>
      </c>
      <c r="S2375" s="31" t="s">
        <v>9333</v>
      </c>
      <c r="T2375" s="31" t="s">
        <v>3116</v>
      </c>
      <c r="U2375" s="31" t="s">
        <v>342</v>
      </c>
      <c r="V2375" s="31" t="s">
        <v>7685</v>
      </c>
      <c r="W2375" s="34"/>
    </row>
    <row r="2376">
      <c r="A2376" s="30">
        <v>2.371</v>
      </c>
      <c r="B2376" s="31" t="s">
        <v>9334</v>
      </c>
      <c r="C2376" s="31" t="s">
        <v>9335</v>
      </c>
      <c r="D2376" s="31" t="s">
        <v>4788</v>
      </c>
      <c r="E2376" s="31" t="s">
        <v>7685</v>
      </c>
      <c r="F2376" s="32">
        <v>44817.0</v>
      </c>
      <c r="G2376" s="35">
        <v>44878.0</v>
      </c>
      <c r="H2376" s="31" t="s">
        <v>303</v>
      </c>
      <c r="I2376" s="31" t="s">
        <v>335</v>
      </c>
      <c r="J2376" s="31" t="s">
        <v>336</v>
      </c>
      <c r="K2376" s="31" t="s">
        <v>7686</v>
      </c>
      <c r="L2376" s="31" t="s">
        <v>4791</v>
      </c>
      <c r="M2376" s="31" t="s">
        <v>9336</v>
      </c>
      <c r="N2376" s="31" t="s">
        <v>267</v>
      </c>
      <c r="O2376" s="34"/>
      <c r="P2376" s="34"/>
      <c r="Q2376" s="31" t="s">
        <v>307</v>
      </c>
      <c r="R2376" s="32">
        <v>36468.0</v>
      </c>
      <c r="S2376" s="31" t="s">
        <v>1369</v>
      </c>
      <c r="T2376" s="31" t="s">
        <v>9337</v>
      </c>
      <c r="U2376" s="31" t="s">
        <v>342</v>
      </c>
      <c r="V2376" s="31" t="s">
        <v>7685</v>
      </c>
      <c r="W2376" s="34"/>
    </row>
    <row r="2377">
      <c r="A2377" s="30">
        <v>2.372</v>
      </c>
      <c r="B2377" s="31" t="s">
        <v>9338</v>
      </c>
      <c r="C2377" s="31" t="s">
        <v>9339</v>
      </c>
      <c r="D2377" s="31" t="s">
        <v>334</v>
      </c>
      <c r="E2377" s="31" t="s">
        <v>9323</v>
      </c>
      <c r="F2377" s="32">
        <v>44749.0</v>
      </c>
      <c r="G2377" s="32">
        <v>44811.0</v>
      </c>
      <c r="H2377" s="31" t="s">
        <v>303</v>
      </c>
      <c r="I2377" s="31" t="s">
        <v>335</v>
      </c>
      <c r="J2377" s="31" t="s">
        <v>336</v>
      </c>
      <c r="K2377" s="31" t="s">
        <v>9324</v>
      </c>
      <c r="L2377" s="31" t="s">
        <v>338</v>
      </c>
      <c r="M2377" s="31" t="s">
        <v>9340</v>
      </c>
      <c r="N2377" s="31" t="s">
        <v>267</v>
      </c>
      <c r="O2377" s="34"/>
      <c r="P2377" s="34"/>
      <c r="Q2377" s="31" t="s">
        <v>307</v>
      </c>
      <c r="R2377" s="32">
        <v>35278.0</v>
      </c>
      <c r="S2377" s="31" t="s">
        <v>6360</v>
      </c>
      <c r="T2377" s="31" t="s">
        <v>9341</v>
      </c>
      <c r="U2377" s="31" t="s">
        <v>342</v>
      </c>
      <c r="V2377" s="31" t="s">
        <v>9323</v>
      </c>
      <c r="W2377" s="34"/>
    </row>
    <row r="2378">
      <c r="A2378" s="30">
        <v>2.373</v>
      </c>
      <c r="B2378" s="31" t="s">
        <v>9342</v>
      </c>
      <c r="C2378" s="31" t="s">
        <v>9343</v>
      </c>
      <c r="D2378" s="31" t="s">
        <v>334</v>
      </c>
      <c r="E2378" s="31" t="s">
        <v>9323</v>
      </c>
      <c r="F2378" s="32">
        <v>44697.0</v>
      </c>
      <c r="G2378" s="32">
        <v>44758.0</v>
      </c>
      <c r="H2378" s="31" t="s">
        <v>303</v>
      </c>
      <c r="I2378" s="31" t="s">
        <v>335</v>
      </c>
      <c r="J2378" s="31" t="s">
        <v>336</v>
      </c>
      <c r="K2378" s="31" t="s">
        <v>9324</v>
      </c>
      <c r="L2378" s="31" t="s">
        <v>338</v>
      </c>
      <c r="M2378" s="31" t="s">
        <v>9344</v>
      </c>
      <c r="N2378" s="31" t="s">
        <v>267</v>
      </c>
      <c r="O2378" s="34"/>
      <c r="P2378" s="34"/>
      <c r="Q2378" s="31" t="s">
        <v>307</v>
      </c>
      <c r="R2378" s="32">
        <v>35918.0</v>
      </c>
      <c r="S2378" s="31" t="s">
        <v>1104</v>
      </c>
      <c r="T2378" s="31" t="s">
        <v>5617</v>
      </c>
      <c r="U2378" s="31" t="s">
        <v>342</v>
      </c>
      <c r="V2378" s="31" t="s">
        <v>9323</v>
      </c>
      <c r="W2378" s="34"/>
    </row>
    <row r="2379">
      <c r="A2379" s="30">
        <v>2.374</v>
      </c>
      <c r="B2379" s="31" t="s">
        <v>9345</v>
      </c>
      <c r="C2379" s="31" t="s">
        <v>9346</v>
      </c>
      <c r="D2379" s="31" t="s">
        <v>9327</v>
      </c>
      <c r="E2379" s="31" t="s">
        <v>9323</v>
      </c>
      <c r="F2379" s="32">
        <v>44694.0</v>
      </c>
      <c r="G2379" s="32">
        <v>44755.0</v>
      </c>
      <c r="H2379" s="31" t="s">
        <v>303</v>
      </c>
      <c r="I2379" s="31" t="s">
        <v>335</v>
      </c>
      <c r="J2379" s="31" t="s">
        <v>336</v>
      </c>
      <c r="K2379" s="31" t="s">
        <v>9324</v>
      </c>
      <c r="L2379" s="31" t="s">
        <v>9328</v>
      </c>
      <c r="M2379" s="31" t="s">
        <v>9347</v>
      </c>
      <c r="N2379" s="31" t="s">
        <v>267</v>
      </c>
      <c r="O2379" s="31">
        <v>1.0</v>
      </c>
      <c r="P2379" s="34"/>
      <c r="Q2379" s="31" t="s">
        <v>307</v>
      </c>
      <c r="R2379" s="32">
        <v>34041.0</v>
      </c>
      <c r="S2379" s="31" t="s">
        <v>700</v>
      </c>
      <c r="T2379" s="31" t="s">
        <v>2721</v>
      </c>
      <c r="U2379" s="31" t="s">
        <v>342</v>
      </c>
      <c r="V2379" s="31" t="s">
        <v>9323</v>
      </c>
      <c r="W2379" s="34"/>
    </row>
    <row r="2380">
      <c r="A2380" s="30">
        <v>2.375</v>
      </c>
      <c r="B2380" s="31" t="s">
        <v>9348</v>
      </c>
      <c r="C2380" s="31" t="s">
        <v>333</v>
      </c>
      <c r="D2380" s="31" t="s">
        <v>9298</v>
      </c>
      <c r="E2380" s="31" t="s">
        <v>7685</v>
      </c>
      <c r="F2380" s="32">
        <v>44677.0</v>
      </c>
      <c r="G2380" s="32">
        <v>44738.0</v>
      </c>
      <c r="H2380" s="31" t="s">
        <v>303</v>
      </c>
      <c r="I2380" s="31" t="s">
        <v>335</v>
      </c>
      <c r="J2380" s="31" t="s">
        <v>336</v>
      </c>
      <c r="K2380" s="31" t="s">
        <v>7686</v>
      </c>
      <c r="L2380" s="31" t="s">
        <v>9299</v>
      </c>
      <c r="M2380" s="31" t="s">
        <v>9349</v>
      </c>
      <c r="N2380" s="31" t="s">
        <v>267</v>
      </c>
      <c r="O2380" s="34"/>
      <c r="P2380" s="34"/>
      <c r="Q2380" s="31" t="s">
        <v>307</v>
      </c>
      <c r="R2380" s="35">
        <v>35013.0</v>
      </c>
      <c r="S2380" s="31" t="s">
        <v>9350</v>
      </c>
      <c r="T2380" s="31" t="s">
        <v>1468</v>
      </c>
      <c r="U2380" s="31" t="s">
        <v>342</v>
      </c>
      <c r="V2380" s="31" t="s">
        <v>7685</v>
      </c>
      <c r="W2380" s="34"/>
    </row>
    <row r="2381">
      <c r="A2381" s="30">
        <v>2.376</v>
      </c>
      <c r="B2381" s="31" t="s">
        <v>9351</v>
      </c>
      <c r="C2381" s="31" t="s">
        <v>9352</v>
      </c>
      <c r="D2381" s="31" t="s">
        <v>9353</v>
      </c>
      <c r="E2381" s="31" t="s">
        <v>9180</v>
      </c>
      <c r="F2381" s="32">
        <v>44669.0</v>
      </c>
      <c r="G2381" s="32">
        <v>44730.0</v>
      </c>
      <c r="H2381" s="31" t="s">
        <v>303</v>
      </c>
      <c r="I2381" s="31" t="s">
        <v>335</v>
      </c>
      <c r="J2381" s="31" t="s">
        <v>336</v>
      </c>
      <c r="K2381" s="31" t="s">
        <v>9181</v>
      </c>
      <c r="L2381" s="31" t="s">
        <v>9354</v>
      </c>
      <c r="M2381" s="31" t="s">
        <v>9355</v>
      </c>
      <c r="N2381" s="31" t="s">
        <v>467</v>
      </c>
      <c r="O2381" s="31">
        <v>1.0</v>
      </c>
      <c r="P2381" s="34"/>
      <c r="Q2381" s="31" t="s">
        <v>307</v>
      </c>
      <c r="R2381" s="32">
        <v>34491.0</v>
      </c>
      <c r="S2381" s="31" t="s">
        <v>8076</v>
      </c>
      <c r="T2381" s="31" t="s">
        <v>9356</v>
      </c>
      <c r="U2381" s="31" t="s">
        <v>342</v>
      </c>
      <c r="V2381" s="31" t="s">
        <v>9180</v>
      </c>
      <c r="W2381" s="34"/>
    </row>
    <row r="2382">
      <c r="A2382" s="30">
        <v>2.377</v>
      </c>
      <c r="B2382" s="31" t="s">
        <v>9357</v>
      </c>
      <c r="C2382" s="31" t="s">
        <v>9358</v>
      </c>
      <c r="D2382" s="31" t="s">
        <v>334</v>
      </c>
      <c r="E2382" s="31" t="s">
        <v>7685</v>
      </c>
      <c r="F2382" s="32">
        <v>44656.0</v>
      </c>
      <c r="G2382" s="32">
        <v>44717.0</v>
      </c>
      <c r="H2382" s="31" t="s">
        <v>303</v>
      </c>
      <c r="I2382" s="31" t="s">
        <v>335</v>
      </c>
      <c r="J2382" s="31" t="s">
        <v>336</v>
      </c>
      <c r="K2382" s="31" t="s">
        <v>7686</v>
      </c>
      <c r="L2382" s="31" t="s">
        <v>338</v>
      </c>
      <c r="M2382" s="31" t="s">
        <v>9359</v>
      </c>
      <c r="N2382" s="31" t="s">
        <v>467</v>
      </c>
      <c r="O2382" s="34"/>
      <c r="P2382" s="34"/>
      <c r="Q2382" s="31" t="s">
        <v>307</v>
      </c>
      <c r="R2382" s="35">
        <v>35428.0</v>
      </c>
      <c r="S2382" s="31" t="s">
        <v>681</v>
      </c>
      <c r="T2382" s="31" t="s">
        <v>9360</v>
      </c>
      <c r="U2382" s="31" t="s">
        <v>342</v>
      </c>
      <c r="V2382" s="31" t="s">
        <v>7685</v>
      </c>
      <c r="W2382" s="34"/>
    </row>
    <row r="2383">
      <c r="A2383" s="30">
        <v>2.378</v>
      </c>
      <c r="B2383" s="31" t="s">
        <v>9361</v>
      </c>
      <c r="C2383" s="31" t="s">
        <v>9362</v>
      </c>
      <c r="D2383" s="31" t="s">
        <v>4788</v>
      </c>
      <c r="E2383" s="31" t="s">
        <v>9180</v>
      </c>
      <c r="F2383" s="32">
        <v>44774.0</v>
      </c>
      <c r="G2383" s="32">
        <v>44835.0</v>
      </c>
      <c r="H2383" s="31" t="s">
        <v>303</v>
      </c>
      <c r="I2383" s="31" t="s">
        <v>335</v>
      </c>
      <c r="J2383" s="31" t="s">
        <v>336</v>
      </c>
      <c r="K2383" s="31" t="s">
        <v>9181</v>
      </c>
      <c r="L2383" s="31" t="s">
        <v>4791</v>
      </c>
      <c r="M2383" s="31" t="s">
        <v>9363</v>
      </c>
      <c r="N2383" s="31" t="s">
        <v>267</v>
      </c>
      <c r="O2383" s="34"/>
      <c r="P2383" s="34"/>
      <c r="Q2383" s="31" t="s">
        <v>307</v>
      </c>
      <c r="R2383" s="32">
        <v>36437.0</v>
      </c>
      <c r="S2383" s="31" t="s">
        <v>3580</v>
      </c>
      <c r="T2383" s="31" t="s">
        <v>3116</v>
      </c>
      <c r="U2383" s="31" t="s">
        <v>342</v>
      </c>
      <c r="V2383" s="31" t="s">
        <v>9180</v>
      </c>
      <c r="W2383" s="34"/>
    </row>
    <row r="2384">
      <c r="A2384" s="30">
        <v>2.379</v>
      </c>
      <c r="B2384" s="31" t="s">
        <v>9364</v>
      </c>
      <c r="C2384" s="31" t="s">
        <v>9365</v>
      </c>
      <c r="D2384" s="31" t="s">
        <v>9298</v>
      </c>
      <c r="E2384" s="31" t="s">
        <v>3340</v>
      </c>
      <c r="F2384" s="32">
        <v>44622.0</v>
      </c>
      <c r="G2384" s="32">
        <v>44683.0</v>
      </c>
      <c r="H2384" s="31" t="s">
        <v>303</v>
      </c>
      <c r="I2384" s="31" t="s">
        <v>335</v>
      </c>
      <c r="J2384" s="31" t="s">
        <v>2499</v>
      </c>
      <c r="K2384" s="31" t="s">
        <v>3341</v>
      </c>
      <c r="L2384" s="31" t="s">
        <v>9299</v>
      </c>
      <c r="M2384" s="31" t="s">
        <v>9366</v>
      </c>
      <c r="N2384" s="31" t="s">
        <v>267</v>
      </c>
      <c r="O2384" s="34"/>
      <c r="P2384" s="34"/>
      <c r="Q2384" s="31" t="s">
        <v>307</v>
      </c>
      <c r="R2384" s="32">
        <v>35823.0</v>
      </c>
      <c r="S2384" s="31" t="s">
        <v>526</v>
      </c>
      <c r="T2384" s="31" t="s">
        <v>1370</v>
      </c>
      <c r="U2384" s="31" t="s">
        <v>342</v>
      </c>
      <c r="V2384" s="31" t="s">
        <v>3340</v>
      </c>
      <c r="W2384" s="34"/>
    </row>
    <row r="2385">
      <c r="A2385" s="30">
        <v>2.38</v>
      </c>
      <c r="B2385" s="31" t="s">
        <v>9367</v>
      </c>
      <c r="C2385" s="31" t="s">
        <v>7344</v>
      </c>
      <c r="D2385" s="31" t="s">
        <v>9368</v>
      </c>
      <c r="E2385" s="31" t="s">
        <v>4789</v>
      </c>
      <c r="F2385" s="35">
        <v>44510.0</v>
      </c>
      <c r="G2385" s="32">
        <v>44571.0</v>
      </c>
      <c r="H2385" s="31" t="s">
        <v>303</v>
      </c>
      <c r="I2385" s="31" t="s">
        <v>335</v>
      </c>
      <c r="J2385" s="31" t="s">
        <v>1963</v>
      </c>
      <c r="K2385" s="31" t="s">
        <v>4790</v>
      </c>
      <c r="L2385" s="31" t="s">
        <v>9369</v>
      </c>
      <c r="M2385" s="31" t="s">
        <v>9370</v>
      </c>
      <c r="N2385" s="31" t="s">
        <v>267</v>
      </c>
      <c r="O2385" s="34"/>
      <c r="P2385" s="34"/>
      <c r="Q2385" s="31" t="s">
        <v>307</v>
      </c>
      <c r="R2385" s="32">
        <v>36428.0</v>
      </c>
      <c r="S2385" s="31" t="s">
        <v>3044</v>
      </c>
      <c r="T2385" s="31" t="s">
        <v>1522</v>
      </c>
      <c r="U2385" s="31" t="s">
        <v>342</v>
      </c>
      <c r="V2385" s="31" t="s">
        <v>4789</v>
      </c>
      <c r="W2385" s="34"/>
    </row>
    <row r="2386">
      <c r="A2386" s="30">
        <v>2.381</v>
      </c>
      <c r="B2386" s="31" t="s">
        <v>9371</v>
      </c>
      <c r="C2386" s="31" t="s">
        <v>9372</v>
      </c>
      <c r="D2386" s="31" t="s">
        <v>334</v>
      </c>
      <c r="E2386" s="31" t="s">
        <v>3340</v>
      </c>
      <c r="F2386" s="35">
        <v>44484.0</v>
      </c>
      <c r="G2386" s="35">
        <v>44545.0</v>
      </c>
      <c r="H2386" s="31" t="s">
        <v>303</v>
      </c>
      <c r="I2386" s="31" t="s">
        <v>335</v>
      </c>
      <c r="J2386" s="31" t="s">
        <v>2499</v>
      </c>
      <c r="K2386" s="31" t="s">
        <v>3341</v>
      </c>
      <c r="L2386" s="31" t="s">
        <v>338</v>
      </c>
      <c r="M2386" s="31" t="s">
        <v>9373</v>
      </c>
      <c r="N2386" s="31" t="s">
        <v>267</v>
      </c>
      <c r="O2386" s="34"/>
      <c r="P2386" s="34"/>
      <c r="Q2386" s="31" t="s">
        <v>307</v>
      </c>
      <c r="R2386" s="32">
        <v>36173.0</v>
      </c>
      <c r="S2386" s="31" t="s">
        <v>526</v>
      </c>
      <c r="T2386" s="31" t="s">
        <v>1370</v>
      </c>
      <c r="U2386" s="31" t="s">
        <v>342</v>
      </c>
      <c r="V2386" s="31" t="s">
        <v>3340</v>
      </c>
      <c r="W2386" s="34"/>
    </row>
    <row r="2387">
      <c r="A2387" s="30">
        <v>2.382</v>
      </c>
      <c r="B2387" s="31" t="s">
        <v>9374</v>
      </c>
      <c r="C2387" s="31" t="s">
        <v>9375</v>
      </c>
      <c r="D2387" s="31" t="s">
        <v>334</v>
      </c>
      <c r="E2387" s="31" t="s">
        <v>9180</v>
      </c>
      <c r="F2387" s="32">
        <v>44475.0</v>
      </c>
      <c r="G2387" s="32">
        <v>44536.0</v>
      </c>
      <c r="H2387" s="31" t="s">
        <v>303</v>
      </c>
      <c r="I2387" s="31" t="s">
        <v>335</v>
      </c>
      <c r="J2387" s="31" t="s">
        <v>336</v>
      </c>
      <c r="K2387" s="31" t="s">
        <v>9181</v>
      </c>
      <c r="L2387" s="31" t="s">
        <v>338</v>
      </c>
      <c r="M2387" s="31" t="s">
        <v>9376</v>
      </c>
      <c r="N2387" s="31" t="s">
        <v>267</v>
      </c>
      <c r="O2387" s="34"/>
      <c r="P2387" s="34"/>
      <c r="Q2387" s="31" t="s">
        <v>307</v>
      </c>
      <c r="R2387" s="32">
        <v>34397.0</v>
      </c>
      <c r="S2387" s="31" t="s">
        <v>681</v>
      </c>
      <c r="T2387" s="31" t="s">
        <v>459</v>
      </c>
      <c r="U2387" s="31" t="s">
        <v>342</v>
      </c>
      <c r="V2387" s="31" t="s">
        <v>9180</v>
      </c>
      <c r="W2387" s="34"/>
    </row>
    <row r="2388">
      <c r="A2388" s="30">
        <v>2.383</v>
      </c>
      <c r="B2388" s="31" t="s">
        <v>9377</v>
      </c>
      <c r="C2388" s="31" t="s">
        <v>3556</v>
      </c>
      <c r="D2388" s="31" t="s">
        <v>9327</v>
      </c>
      <c r="E2388" s="31" t="s">
        <v>7685</v>
      </c>
      <c r="F2388" s="32">
        <v>44333.0</v>
      </c>
      <c r="G2388" s="32">
        <v>44394.0</v>
      </c>
      <c r="H2388" s="31" t="s">
        <v>303</v>
      </c>
      <c r="I2388" s="31" t="s">
        <v>335</v>
      </c>
      <c r="J2388" s="31" t="s">
        <v>336</v>
      </c>
      <c r="K2388" s="31" t="s">
        <v>7686</v>
      </c>
      <c r="L2388" s="31" t="s">
        <v>9328</v>
      </c>
      <c r="M2388" s="31" t="s">
        <v>9378</v>
      </c>
      <c r="N2388" s="31" t="s">
        <v>267</v>
      </c>
      <c r="O2388" s="31">
        <v>1.0</v>
      </c>
      <c r="P2388" s="34"/>
      <c r="Q2388" s="31" t="s">
        <v>307</v>
      </c>
      <c r="R2388" s="35">
        <v>35418.0</v>
      </c>
      <c r="S2388" s="31" t="s">
        <v>1800</v>
      </c>
      <c r="T2388" s="31" t="s">
        <v>9379</v>
      </c>
      <c r="U2388" s="31" t="s">
        <v>342</v>
      </c>
      <c r="V2388" s="31" t="s">
        <v>7685</v>
      </c>
      <c r="W2388" s="34"/>
    </row>
    <row r="2389">
      <c r="A2389" s="30">
        <v>2.384</v>
      </c>
      <c r="B2389" s="31" t="s">
        <v>9380</v>
      </c>
      <c r="C2389" s="31" t="s">
        <v>9381</v>
      </c>
      <c r="D2389" s="31" t="s">
        <v>9368</v>
      </c>
      <c r="E2389" s="31" t="s">
        <v>104</v>
      </c>
      <c r="F2389" s="32">
        <v>44277.0</v>
      </c>
      <c r="G2389" s="32">
        <v>44338.0</v>
      </c>
      <c r="H2389" s="31" t="s">
        <v>303</v>
      </c>
      <c r="I2389" s="31" t="s">
        <v>335</v>
      </c>
      <c r="J2389" s="31" t="s">
        <v>336</v>
      </c>
      <c r="K2389" s="31" t="s">
        <v>337</v>
      </c>
      <c r="L2389" s="31" t="s">
        <v>9369</v>
      </c>
      <c r="M2389" s="31" t="s">
        <v>9382</v>
      </c>
      <c r="N2389" s="31" t="s">
        <v>267</v>
      </c>
      <c r="O2389" s="34"/>
      <c r="P2389" s="34"/>
      <c r="Q2389" s="31" t="s">
        <v>307</v>
      </c>
      <c r="R2389" s="32">
        <v>35440.0</v>
      </c>
      <c r="S2389" s="31" t="s">
        <v>9383</v>
      </c>
      <c r="T2389" s="31" t="s">
        <v>4179</v>
      </c>
      <c r="U2389" s="31" t="s">
        <v>342</v>
      </c>
      <c r="V2389" s="31" t="s">
        <v>104</v>
      </c>
      <c r="W2389" s="34"/>
    </row>
    <row r="2390">
      <c r="A2390" s="30">
        <v>2.385</v>
      </c>
      <c r="B2390" s="31" t="s">
        <v>9384</v>
      </c>
      <c r="C2390" s="31" t="s">
        <v>9385</v>
      </c>
      <c r="D2390" s="31" t="s">
        <v>4788</v>
      </c>
      <c r="E2390" s="31" t="s">
        <v>3340</v>
      </c>
      <c r="F2390" s="32">
        <v>43227.0</v>
      </c>
      <c r="G2390" s="32">
        <v>43288.0</v>
      </c>
      <c r="H2390" s="31" t="s">
        <v>303</v>
      </c>
      <c r="I2390" s="31" t="s">
        <v>335</v>
      </c>
      <c r="J2390" s="31" t="s">
        <v>2499</v>
      </c>
      <c r="K2390" s="31" t="s">
        <v>3341</v>
      </c>
      <c r="L2390" s="31" t="s">
        <v>4791</v>
      </c>
      <c r="M2390" s="31" t="s">
        <v>9386</v>
      </c>
      <c r="N2390" s="31" t="s">
        <v>267</v>
      </c>
      <c r="O2390" s="34"/>
      <c r="P2390" s="34"/>
      <c r="Q2390" s="31" t="s">
        <v>307</v>
      </c>
      <c r="R2390" s="32">
        <v>34232.0</v>
      </c>
      <c r="S2390" s="31" t="s">
        <v>320</v>
      </c>
      <c r="T2390" s="31" t="s">
        <v>3851</v>
      </c>
      <c r="U2390" s="31" t="s">
        <v>342</v>
      </c>
      <c r="V2390" s="31" t="s">
        <v>3340</v>
      </c>
      <c r="W2390" s="34"/>
    </row>
    <row r="2391">
      <c r="A2391" s="30">
        <v>2.386</v>
      </c>
      <c r="B2391" s="31" t="s">
        <v>9387</v>
      </c>
      <c r="C2391" s="31" t="s">
        <v>9388</v>
      </c>
      <c r="D2391" s="31" t="s">
        <v>9389</v>
      </c>
      <c r="E2391" s="31" t="s">
        <v>140</v>
      </c>
      <c r="F2391" s="32">
        <v>38869.0</v>
      </c>
      <c r="G2391" s="32">
        <v>38930.0</v>
      </c>
      <c r="H2391" s="31" t="s">
        <v>303</v>
      </c>
      <c r="I2391" s="31" t="s">
        <v>335</v>
      </c>
      <c r="J2391" s="31" t="s">
        <v>140</v>
      </c>
      <c r="K2391" s="31" t="s">
        <v>9390</v>
      </c>
      <c r="L2391" s="31" t="s">
        <v>9391</v>
      </c>
      <c r="M2391" s="31" t="s">
        <v>9392</v>
      </c>
      <c r="N2391" s="31" t="s">
        <v>467</v>
      </c>
      <c r="O2391" s="31">
        <v>2.0</v>
      </c>
      <c r="P2391" s="34"/>
      <c r="Q2391" s="31" t="s">
        <v>307</v>
      </c>
      <c r="R2391" s="35">
        <v>30976.0</v>
      </c>
      <c r="S2391" s="31" t="s">
        <v>560</v>
      </c>
      <c r="T2391" s="31" t="s">
        <v>9393</v>
      </c>
      <c r="U2391" s="31" t="s">
        <v>342</v>
      </c>
      <c r="V2391" s="34"/>
      <c r="W2391" s="34"/>
    </row>
    <row r="2392">
      <c r="A2392" s="30">
        <v>2.387</v>
      </c>
      <c r="B2392" s="31" t="s">
        <v>9394</v>
      </c>
      <c r="C2392" s="31" t="s">
        <v>9395</v>
      </c>
      <c r="D2392" s="31" t="s">
        <v>9396</v>
      </c>
      <c r="E2392" s="31" t="s">
        <v>148</v>
      </c>
      <c r="F2392" s="32">
        <v>43945.0</v>
      </c>
      <c r="G2392" s="32">
        <v>44006.0</v>
      </c>
      <c r="H2392" s="31" t="s">
        <v>303</v>
      </c>
      <c r="I2392" s="31" t="s">
        <v>335</v>
      </c>
      <c r="J2392" s="31" t="s">
        <v>336</v>
      </c>
      <c r="K2392" s="31" t="s">
        <v>2532</v>
      </c>
      <c r="L2392" s="31" t="s">
        <v>9397</v>
      </c>
      <c r="M2392" s="31" t="s">
        <v>9398</v>
      </c>
      <c r="N2392" s="31" t="s">
        <v>267</v>
      </c>
      <c r="O2392" s="31">
        <v>1.0</v>
      </c>
      <c r="P2392" s="34"/>
      <c r="Q2392" s="31" t="s">
        <v>307</v>
      </c>
      <c r="R2392" s="32">
        <v>35682.0</v>
      </c>
      <c r="S2392" s="31" t="s">
        <v>531</v>
      </c>
      <c r="T2392" s="31" t="s">
        <v>1370</v>
      </c>
      <c r="U2392" s="31" t="s">
        <v>342</v>
      </c>
      <c r="V2392" s="31" t="s">
        <v>148</v>
      </c>
      <c r="W2392" s="34"/>
    </row>
    <row r="2393">
      <c r="A2393" s="30">
        <v>2.388</v>
      </c>
      <c r="B2393" s="31" t="s">
        <v>9399</v>
      </c>
      <c r="C2393" s="31" t="s">
        <v>9400</v>
      </c>
      <c r="D2393" s="31" t="s">
        <v>334</v>
      </c>
      <c r="E2393" s="31" t="s">
        <v>3340</v>
      </c>
      <c r="F2393" s="32">
        <v>44362.0</v>
      </c>
      <c r="G2393" s="32">
        <v>44423.0</v>
      </c>
      <c r="H2393" s="31" t="s">
        <v>303</v>
      </c>
      <c r="I2393" s="31" t="s">
        <v>335</v>
      </c>
      <c r="J2393" s="31" t="s">
        <v>2499</v>
      </c>
      <c r="K2393" s="31" t="s">
        <v>3341</v>
      </c>
      <c r="L2393" s="31" t="s">
        <v>338</v>
      </c>
      <c r="M2393" s="31" t="s">
        <v>9401</v>
      </c>
      <c r="N2393" s="31" t="s">
        <v>467</v>
      </c>
      <c r="O2393" s="34"/>
      <c r="P2393" s="34"/>
      <c r="Q2393" s="31" t="s">
        <v>307</v>
      </c>
      <c r="R2393" s="35">
        <v>32855.0</v>
      </c>
      <c r="S2393" s="31" t="s">
        <v>472</v>
      </c>
      <c r="T2393" s="31" t="s">
        <v>503</v>
      </c>
      <c r="U2393" s="31" t="s">
        <v>342</v>
      </c>
      <c r="V2393" s="31" t="s">
        <v>3340</v>
      </c>
      <c r="W2393" s="34"/>
    </row>
    <row r="2394">
      <c r="A2394" s="30">
        <v>2.389</v>
      </c>
      <c r="B2394" s="31" t="s">
        <v>9402</v>
      </c>
      <c r="C2394" s="31" t="s">
        <v>9403</v>
      </c>
      <c r="D2394" s="31" t="s">
        <v>9298</v>
      </c>
      <c r="E2394" s="31" t="s">
        <v>104</v>
      </c>
      <c r="F2394" s="32">
        <v>44355.0</v>
      </c>
      <c r="G2394" s="32">
        <v>44416.0</v>
      </c>
      <c r="H2394" s="31" t="s">
        <v>303</v>
      </c>
      <c r="I2394" s="31" t="s">
        <v>335</v>
      </c>
      <c r="J2394" s="31" t="s">
        <v>336</v>
      </c>
      <c r="K2394" s="31" t="s">
        <v>337</v>
      </c>
      <c r="L2394" s="31" t="s">
        <v>9299</v>
      </c>
      <c r="M2394" s="31" t="s">
        <v>9404</v>
      </c>
      <c r="N2394" s="31" t="s">
        <v>267</v>
      </c>
      <c r="O2394" s="34"/>
      <c r="P2394" s="34"/>
      <c r="Q2394" s="31" t="s">
        <v>307</v>
      </c>
      <c r="R2394" s="32">
        <v>33312.0</v>
      </c>
      <c r="S2394" s="31" t="s">
        <v>560</v>
      </c>
      <c r="T2394" s="31" t="s">
        <v>9405</v>
      </c>
      <c r="U2394" s="31" t="s">
        <v>342</v>
      </c>
      <c r="V2394" s="31" t="s">
        <v>104</v>
      </c>
      <c r="W2394" s="34"/>
    </row>
    <row r="2395">
      <c r="A2395" s="30">
        <v>2.39</v>
      </c>
      <c r="B2395" s="31" t="s">
        <v>9406</v>
      </c>
      <c r="C2395" s="31" t="s">
        <v>9407</v>
      </c>
      <c r="D2395" s="31" t="s">
        <v>4788</v>
      </c>
      <c r="E2395" s="31" t="s">
        <v>3340</v>
      </c>
      <c r="F2395" s="32">
        <v>44355.0</v>
      </c>
      <c r="G2395" s="32">
        <v>44416.0</v>
      </c>
      <c r="H2395" s="31" t="s">
        <v>303</v>
      </c>
      <c r="I2395" s="31" t="s">
        <v>335</v>
      </c>
      <c r="J2395" s="31" t="s">
        <v>2499</v>
      </c>
      <c r="K2395" s="31" t="s">
        <v>3341</v>
      </c>
      <c r="L2395" s="31" t="s">
        <v>4791</v>
      </c>
      <c r="M2395" s="31" t="s">
        <v>9408</v>
      </c>
      <c r="N2395" s="31" t="s">
        <v>267</v>
      </c>
      <c r="O2395" s="34"/>
      <c r="P2395" s="34"/>
      <c r="Q2395" s="31" t="s">
        <v>307</v>
      </c>
      <c r="R2395" s="32">
        <v>35526.0</v>
      </c>
      <c r="S2395" s="31" t="s">
        <v>1305</v>
      </c>
      <c r="T2395" s="31" t="s">
        <v>686</v>
      </c>
      <c r="U2395" s="31" t="s">
        <v>342</v>
      </c>
      <c r="V2395" s="31" t="s">
        <v>3340</v>
      </c>
      <c r="W2395" s="34"/>
    </row>
    <row r="2396">
      <c r="A2396" s="30">
        <v>2.391</v>
      </c>
      <c r="B2396" s="31" t="s">
        <v>9409</v>
      </c>
      <c r="C2396" s="31" t="s">
        <v>9410</v>
      </c>
      <c r="D2396" s="31" t="s">
        <v>9411</v>
      </c>
      <c r="E2396" s="31" t="s">
        <v>9317</v>
      </c>
      <c r="F2396" s="35">
        <v>44180.0</v>
      </c>
      <c r="G2396" s="32">
        <v>44242.0</v>
      </c>
      <c r="H2396" s="31" t="s">
        <v>303</v>
      </c>
      <c r="I2396" s="31" t="s">
        <v>335</v>
      </c>
      <c r="J2396" s="31" t="s">
        <v>336</v>
      </c>
      <c r="K2396" s="31" t="s">
        <v>9318</v>
      </c>
      <c r="L2396" s="31" t="s">
        <v>9412</v>
      </c>
      <c r="M2396" s="31" t="s">
        <v>9413</v>
      </c>
      <c r="N2396" s="31" t="s">
        <v>267</v>
      </c>
      <c r="O2396" s="34"/>
      <c r="P2396" s="34"/>
      <c r="Q2396" s="31" t="s">
        <v>307</v>
      </c>
      <c r="R2396" s="32">
        <v>33126.0</v>
      </c>
      <c r="S2396" s="31" t="s">
        <v>1058</v>
      </c>
      <c r="T2396" s="31" t="s">
        <v>1145</v>
      </c>
      <c r="U2396" s="31" t="s">
        <v>342</v>
      </c>
      <c r="V2396" s="31" t="s">
        <v>9317</v>
      </c>
      <c r="W2396" s="34"/>
    </row>
    <row r="2397">
      <c r="A2397" s="30">
        <v>2.392</v>
      </c>
      <c r="B2397" s="31" t="s">
        <v>9414</v>
      </c>
      <c r="C2397" s="31" t="s">
        <v>9415</v>
      </c>
      <c r="D2397" s="31" t="s">
        <v>9327</v>
      </c>
      <c r="E2397" s="31" t="s">
        <v>3340</v>
      </c>
      <c r="F2397" s="32">
        <v>44383.0</v>
      </c>
      <c r="G2397" s="32">
        <v>44445.0</v>
      </c>
      <c r="H2397" s="31" t="s">
        <v>303</v>
      </c>
      <c r="I2397" s="31" t="s">
        <v>335</v>
      </c>
      <c r="J2397" s="31" t="s">
        <v>2499</v>
      </c>
      <c r="K2397" s="31" t="s">
        <v>3341</v>
      </c>
      <c r="L2397" s="31" t="s">
        <v>9328</v>
      </c>
      <c r="M2397" s="31" t="s">
        <v>9416</v>
      </c>
      <c r="N2397" s="31" t="s">
        <v>267</v>
      </c>
      <c r="O2397" s="31">
        <v>1.0</v>
      </c>
      <c r="P2397" s="34"/>
      <c r="Q2397" s="31" t="s">
        <v>307</v>
      </c>
      <c r="R2397" s="35">
        <v>34272.0</v>
      </c>
      <c r="S2397" s="31" t="s">
        <v>1085</v>
      </c>
      <c r="T2397" s="31" t="s">
        <v>1522</v>
      </c>
      <c r="U2397" s="31" t="s">
        <v>342</v>
      </c>
      <c r="V2397" s="31" t="s">
        <v>3340</v>
      </c>
      <c r="W2397" s="34"/>
    </row>
    <row r="2398">
      <c r="A2398" s="30">
        <v>2.393</v>
      </c>
      <c r="B2398" s="31" t="s">
        <v>9417</v>
      </c>
      <c r="C2398" s="31" t="s">
        <v>8804</v>
      </c>
      <c r="D2398" s="31" t="s">
        <v>2531</v>
      </c>
      <c r="E2398" s="31" t="s">
        <v>148</v>
      </c>
      <c r="F2398" s="32">
        <v>43945.0</v>
      </c>
      <c r="G2398" s="32">
        <v>44006.0</v>
      </c>
      <c r="H2398" s="31" t="s">
        <v>303</v>
      </c>
      <c r="I2398" s="31" t="s">
        <v>335</v>
      </c>
      <c r="J2398" s="31" t="s">
        <v>336</v>
      </c>
      <c r="K2398" s="31" t="s">
        <v>2532</v>
      </c>
      <c r="L2398" s="31" t="s">
        <v>2533</v>
      </c>
      <c r="M2398" s="31" t="s">
        <v>9418</v>
      </c>
      <c r="N2398" s="31" t="s">
        <v>267</v>
      </c>
      <c r="O2398" s="34"/>
      <c r="P2398" s="34"/>
      <c r="Q2398" s="31" t="s">
        <v>307</v>
      </c>
      <c r="R2398" s="35">
        <v>35425.0</v>
      </c>
      <c r="S2398" s="31" t="s">
        <v>846</v>
      </c>
      <c r="T2398" s="31" t="s">
        <v>686</v>
      </c>
      <c r="U2398" s="31" t="s">
        <v>342</v>
      </c>
      <c r="V2398" s="31" t="s">
        <v>148</v>
      </c>
      <c r="W2398" s="34"/>
    </row>
    <row r="2399">
      <c r="A2399" s="30">
        <v>2.394</v>
      </c>
      <c r="B2399" s="31" t="s">
        <v>9419</v>
      </c>
      <c r="C2399" s="31" t="s">
        <v>9420</v>
      </c>
      <c r="D2399" s="31" t="s">
        <v>9421</v>
      </c>
      <c r="E2399" s="31" t="s">
        <v>140</v>
      </c>
      <c r="F2399" s="35">
        <v>44552.0</v>
      </c>
      <c r="G2399" s="32">
        <v>44642.0</v>
      </c>
      <c r="H2399" s="31" t="s">
        <v>303</v>
      </c>
      <c r="I2399" s="31" t="s">
        <v>335</v>
      </c>
      <c r="J2399" s="31" t="s">
        <v>140</v>
      </c>
      <c r="K2399" s="31" t="s">
        <v>9390</v>
      </c>
      <c r="L2399" s="31" t="s">
        <v>9422</v>
      </c>
      <c r="M2399" s="31" t="s">
        <v>9423</v>
      </c>
      <c r="N2399" s="31" t="s">
        <v>267</v>
      </c>
      <c r="O2399" s="31">
        <v>3.0</v>
      </c>
      <c r="P2399" s="34"/>
      <c r="Q2399" s="31" t="s">
        <v>307</v>
      </c>
      <c r="R2399" s="35">
        <v>33207.0</v>
      </c>
      <c r="S2399" s="31" t="s">
        <v>9424</v>
      </c>
      <c r="T2399" s="31" t="s">
        <v>9425</v>
      </c>
      <c r="U2399" s="31" t="s">
        <v>342</v>
      </c>
      <c r="V2399" s="34"/>
      <c r="W2399" s="34"/>
    </row>
    <row r="2400">
      <c r="A2400" s="30">
        <v>2.395</v>
      </c>
      <c r="B2400" s="31" t="s">
        <v>9426</v>
      </c>
      <c r="C2400" s="31" t="s">
        <v>9427</v>
      </c>
      <c r="D2400" s="31" t="s">
        <v>334</v>
      </c>
      <c r="E2400" s="31" t="s">
        <v>104</v>
      </c>
      <c r="F2400" s="32">
        <v>44708.0</v>
      </c>
      <c r="G2400" s="32">
        <v>44769.0</v>
      </c>
      <c r="H2400" s="31" t="s">
        <v>303</v>
      </c>
      <c r="I2400" s="31" t="s">
        <v>335</v>
      </c>
      <c r="J2400" s="31" t="s">
        <v>336</v>
      </c>
      <c r="K2400" s="31" t="s">
        <v>337</v>
      </c>
      <c r="L2400" s="31" t="s">
        <v>338</v>
      </c>
      <c r="M2400" s="31" t="s">
        <v>9428</v>
      </c>
      <c r="N2400" s="31" t="s">
        <v>467</v>
      </c>
      <c r="O2400" s="34"/>
      <c r="P2400" s="34"/>
      <c r="Q2400" s="31" t="s">
        <v>307</v>
      </c>
      <c r="R2400" s="35">
        <v>35348.0</v>
      </c>
      <c r="S2400" s="31" t="s">
        <v>1755</v>
      </c>
      <c r="T2400" s="31" t="s">
        <v>9429</v>
      </c>
      <c r="U2400" s="31" t="s">
        <v>342</v>
      </c>
      <c r="V2400" s="31" t="s">
        <v>104</v>
      </c>
      <c r="W2400" s="34"/>
    </row>
    <row r="2401">
      <c r="A2401" s="30">
        <v>2.396</v>
      </c>
      <c r="B2401" s="31" t="s">
        <v>9430</v>
      </c>
      <c r="C2401" s="31" t="s">
        <v>2549</v>
      </c>
      <c r="D2401" s="31" t="s">
        <v>4788</v>
      </c>
      <c r="E2401" s="31" t="s">
        <v>104</v>
      </c>
      <c r="F2401" s="32">
        <v>43587.0</v>
      </c>
      <c r="G2401" s="32">
        <v>43648.0</v>
      </c>
      <c r="H2401" s="31" t="s">
        <v>303</v>
      </c>
      <c r="I2401" s="31" t="s">
        <v>335</v>
      </c>
      <c r="J2401" s="31" t="s">
        <v>336</v>
      </c>
      <c r="K2401" s="31" t="s">
        <v>337</v>
      </c>
      <c r="L2401" s="31" t="s">
        <v>4791</v>
      </c>
      <c r="M2401" s="31" t="s">
        <v>9431</v>
      </c>
      <c r="N2401" s="31" t="s">
        <v>267</v>
      </c>
      <c r="O2401" s="34"/>
      <c r="P2401" s="34"/>
      <c r="Q2401" s="31" t="s">
        <v>307</v>
      </c>
      <c r="R2401" s="32">
        <v>34200.0</v>
      </c>
      <c r="S2401" s="31" t="s">
        <v>1800</v>
      </c>
      <c r="T2401" s="31" t="s">
        <v>9432</v>
      </c>
      <c r="U2401" s="31" t="s">
        <v>342</v>
      </c>
      <c r="V2401" s="31" t="s">
        <v>104</v>
      </c>
      <c r="W2401" s="34"/>
    </row>
    <row r="2402">
      <c r="A2402" s="30">
        <v>2.397</v>
      </c>
      <c r="B2402" s="31" t="s">
        <v>9433</v>
      </c>
      <c r="C2402" s="31" t="s">
        <v>9434</v>
      </c>
      <c r="D2402" s="31" t="s">
        <v>4788</v>
      </c>
      <c r="E2402" s="31" t="s">
        <v>9435</v>
      </c>
      <c r="F2402" s="32">
        <v>44536.0</v>
      </c>
      <c r="G2402" s="32">
        <v>44598.0</v>
      </c>
      <c r="H2402" s="31" t="s">
        <v>303</v>
      </c>
      <c r="I2402" s="31" t="s">
        <v>335</v>
      </c>
      <c r="J2402" s="31" t="s">
        <v>2608</v>
      </c>
      <c r="K2402" s="31" t="s">
        <v>9436</v>
      </c>
      <c r="L2402" s="31" t="s">
        <v>4791</v>
      </c>
      <c r="M2402" s="31" t="s">
        <v>9437</v>
      </c>
      <c r="N2402" s="31" t="s">
        <v>267</v>
      </c>
      <c r="O2402" s="34"/>
      <c r="P2402" s="34"/>
      <c r="Q2402" s="31" t="s">
        <v>307</v>
      </c>
      <c r="R2402" s="32">
        <v>35907.0</v>
      </c>
      <c r="S2402" s="31" t="s">
        <v>9438</v>
      </c>
      <c r="T2402" s="31" t="s">
        <v>3116</v>
      </c>
      <c r="U2402" s="31" t="s">
        <v>342</v>
      </c>
      <c r="V2402" s="31" t="s">
        <v>9435</v>
      </c>
      <c r="W2402" s="34"/>
    </row>
    <row r="2403">
      <c r="A2403" s="30">
        <v>2.398</v>
      </c>
      <c r="B2403" s="31" t="s">
        <v>9439</v>
      </c>
      <c r="C2403" s="31" t="s">
        <v>9440</v>
      </c>
      <c r="D2403" s="31" t="s">
        <v>9441</v>
      </c>
      <c r="E2403" s="31" t="s">
        <v>9317</v>
      </c>
      <c r="F2403" s="32">
        <v>44866.0</v>
      </c>
      <c r="G2403" s="32">
        <v>44927.0</v>
      </c>
      <c r="H2403" s="31" t="s">
        <v>303</v>
      </c>
      <c r="I2403" s="31" t="s">
        <v>335</v>
      </c>
      <c r="J2403" s="31" t="s">
        <v>336</v>
      </c>
      <c r="K2403" s="31" t="s">
        <v>9318</v>
      </c>
      <c r="L2403" s="31" t="s">
        <v>9442</v>
      </c>
      <c r="M2403" s="31" t="s">
        <v>9443</v>
      </c>
      <c r="N2403" s="31" t="s">
        <v>267</v>
      </c>
      <c r="O2403" s="34"/>
      <c r="P2403" s="34"/>
      <c r="Q2403" s="31" t="s">
        <v>307</v>
      </c>
      <c r="R2403" s="32">
        <v>33072.0</v>
      </c>
      <c r="S2403" s="31" t="s">
        <v>3871</v>
      </c>
      <c r="T2403" s="31" t="s">
        <v>8283</v>
      </c>
      <c r="U2403" s="31" t="s">
        <v>342</v>
      </c>
      <c r="V2403" s="31" t="s">
        <v>9317</v>
      </c>
      <c r="W2403" s="34"/>
    </row>
    <row r="2404">
      <c r="A2404" s="30">
        <v>2.399</v>
      </c>
      <c r="B2404" s="31" t="s">
        <v>9444</v>
      </c>
      <c r="C2404" s="31" t="s">
        <v>9445</v>
      </c>
      <c r="D2404" s="31" t="s">
        <v>334</v>
      </c>
      <c r="E2404" s="31" t="s">
        <v>4789</v>
      </c>
      <c r="F2404" s="32">
        <v>45159.0</v>
      </c>
      <c r="G2404" s="35">
        <v>45219.0</v>
      </c>
      <c r="H2404" s="31" t="s">
        <v>303</v>
      </c>
      <c r="I2404" s="31" t="s">
        <v>335</v>
      </c>
      <c r="J2404" s="31" t="s">
        <v>1963</v>
      </c>
      <c r="K2404" s="31" t="s">
        <v>4790</v>
      </c>
      <c r="L2404" s="31" t="s">
        <v>338</v>
      </c>
      <c r="M2404" s="31" t="s">
        <v>9446</v>
      </c>
      <c r="N2404" s="31" t="s">
        <v>267</v>
      </c>
      <c r="O2404" s="34"/>
      <c r="P2404" s="34"/>
      <c r="Q2404" s="31" t="s">
        <v>307</v>
      </c>
      <c r="R2404" s="35">
        <v>36120.0</v>
      </c>
      <c r="S2404" s="31" t="s">
        <v>1116</v>
      </c>
      <c r="T2404" s="31" t="s">
        <v>1059</v>
      </c>
      <c r="U2404" s="31" t="s">
        <v>342</v>
      </c>
      <c r="V2404" s="31" t="s">
        <v>4789</v>
      </c>
      <c r="W2404" s="34"/>
    </row>
    <row r="2405">
      <c r="A2405" s="30">
        <v>2.4</v>
      </c>
      <c r="B2405" s="31" t="s">
        <v>9447</v>
      </c>
      <c r="C2405" s="31" t="s">
        <v>9448</v>
      </c>
      <c r="D2405" s="31" t="s">
        <v>4788</v>
      </c>
      <c r="E2405" s="31" t="s">
        <v>9180</v>
      </c>
      <c r="F2405" s="32">
        <v>45070.0</v>
      </c>
      <c r="G2405" s="32">
        <v>45130.0</v>
      </c>
      <c r="H2405" s="31" t="s">
        <v>303</v>
      </c>
      <c r="I2405" s="31" t="s">
        <v>335</v>
      </c>
      <c r="J2405" s="31" t="s">
        <v>336</v>
      </c>
      <c r="K2405" s="31" t="s">
        <v>9181</v>
      </c>
      <c r="L2405" s="31" t="s">
        <v>4791</v>
      </c>
      <c r="M2405" s="31" t="s">
        <v>9449</v>
      </c>
      <c r="N2405" s="31" t="s">
        <v>267</v>
      </c>
      <c r="O2405" s="34"/>
      <c r="P2405" s="34"/>
      <c r="Q2405" s="31" t="s">
        <v>307</v>
      </c>
      <c r="R2405" s="32">
        <v>34565.0</v>
      </c>
      <c r="S2405" s="31" t="s">
        <v>9450</v>
      </c>
      <c r="T2405" s="31" t="s">
        <v>3116</v>
      </c>
      <c r="U2405" s="31" t="s">
        <v>342</v>
      </c>
      <c r="V2405" s="31" t="s">
        <v>9180</v>
      </c>
      <c r="W2405" s="34"/>
    </row>
    <row r="2406">
      <c r="A2406" s="30">
        <v>2.401</v>
      </c>
      <c r="B2406" s="31" t="s">
        <v>9451</v>
      </c>
      <c r="C2406" s="31" t="s">
        <v>9452</v>
      </c>
      <c r="D2406" s="31" t="s">
        <v>4788</v>
      </c>
      <c r="E2406" s="31" t="s">
        <v>104</v>
      </c>
      <c r="F2406" s="32">
        <v>45110.0</v>
      </c>
      <c r="G2406" s="32">
        <v>45170.0</v>
      </c>
      <c r="H2406" s="31" t="s">
        <v>303</v>
      </c>
      <c r="I2406" s="31" t="s">
        <v>335</v>
      </c>
      <c r="J2406" s="31" t="s">
        <v>336</v>
      </c>
      <c r="K2406" s="31" t="s">
        <v>337</v>
      </c>
      <c r="L2406" s="31" t="s">
        <v>4791</v>
      </c>
      <c r="M2406" s="31" t="s">
        <v>9453</v>
      </c>
      <c r="N2406" s="31" t="s">
        <v>267</v>
      </c>
      <c r="O2406" s="34"/>
      <c r="P2406" s="34"/>
      <c r="Q2406" s="31" t="s">
        <v>307</v>
      </c>
      <c r="R2406" s="32">
        <v>35139.0</v>
      </c>
      <c r="S2406" s="31" t="s">
        <v>9454</v>
      </c>
      <c r="T2406" s="31" t="s">
        <v>561</v>
      </c>
      <c r="U2406" s="31" t="s">
        <v>342</v>
      </c>
      <c r="V2406" s="31" t="s">
        <v>104</v>
      </c>
      <c r="W2406" s="34"/>
    </row>
    <row r="2407">
      <c r="A2407" s="30">
        <v>2.402</v>
      </c>
      <c r="B2407" s="31" t="s">
        <v>9455</v>
      </c>
      <c r="C2407" s="31" t="s">
        <v>9456</v>
      </c>
      <c r="D2407" s="31" t="s">
        <v>9457</v>
      </c>
      <c r="E2407" s="31" t="s">
        <v>140</v>
      </c>
      <c r="F2407" s="32">
        <v>42516.0</v>
      </c>
      <c r="G2407" s="32">
        <v>42577.0</v>
      </c>
      <c r="H2407" s="31" t="s">
        <v>303</v>
      </c>
      <c r="I2407" s="31" t="s">
        <v>335</v>
      </c>
      <c r="J2407" s="31" t="s">
        <v>140</v>
      </c>
      <c r="K2407" s="31" t="s">
        <v>9390</v>
      </c>
      <c r="L2407" s="31" t="s">
        <v>9458</v>
      </c>
      <c r="M2407" s="31" t="s">
        <v>9459</v>
      </c>
      <c r="N2407" s="31" t="s">
        <v>467</v>
      </c>
      <c r="O2407" s="31">
        <v>3.0</v>
      </c>
      <c r="P2407" s="34"/>
      <c r="Q2407" s="31" t="s">
        <v>307</v>
      </c>
      <c r="R2407" s="32">
        <v>34438.0</v>
      </c>
      <c r="S2407" s="31" t="s">
        <v>700</v>
      </c>
      <c r="T2407" s="31" t="s">
        <v>686</v>
      </c>
      <c r="U2407" s="31" t="s">
        <v>342</v>
      </c>
      <c r="V2407" s="34"/>
      <c r="W2407" s="34"/>
    </row>
    <row r="2408">
      <c r="A2408" s="30">
        <v>2.403</v>
      </c>
      <c r="B2408" s="31" t="s">
        <v>9460</v>
      </c>
      <c r="C2408" s="31" t="s">
        <v>9461</v>
      </c>
      <c r="D2408" s="31" t="s">
        <v>3644</v>
      </c>
      <c r="E2408" s="31" t="s">
        <v>9462</v>
      </c>
      <c r="F2408" s="32">
        <v>44078.0</v>
      </c>
      <c r="G2408" s="32">
        <v>44139.0</v>
      </c>
      <c r="H2408" s="31" t="s">
        <v>4727</v>
      </c>
      <c r="I2408" s="31" t="s">
        <v>9462</v>
      </c>
      <c r="J2408" s="34"/>
      <c r="K2408" s="31" t="s">
        <v>9463</v>
      </c>
      <c r="L2408" s="31" t="s">
        <v>3646</v>
      </c>
      <c r="M2408" s="31" t="s">
        <v>9464</v>
      </c>
      <c r="N2408" s="31" t="s">
        <v>267</v>
      </c>
      <c r="O2408" s="34"/>
      <c r="P2408" s="34"/>
      <c r="Q2408" s="31" t="s">
        <v>307</v>
      </c>
      <c r="R2408" s="35">
        <v>36088.0</v>
      </c>
      <c r="S2408" s="31" t="s">
        <v>898</v>
      </c>
      <c r="T2408" s="31" t="s">
        <v>459</v>
      </c>
      <c r="U2408" s="31" t="s">
        <v>342</v>
      </c>
      <c r="V2408" s="34"/>
      <c r="W2408" s="34"/>
    </row>
    <row r="2409">
      <c r="A2409" s="30">
        <v>2.404</v>
      </c>
      <c r="B2409" s="31" t="s">
        <v>9465</v>
      </c>
      <c r="C2409" s="31" t="s">
        <v>9466</v>
      </c>
      <c r="D2409" s="31" t="s">
        <v>452</v>
      </c>
      <c r="E2409" s="31" t="s">
        <v>9467</v>
      </c>
      <c r="F2409" s="32">
        <v>45096.0</v>
      </c>
      <c r="G2409" s="32">
        <v>45156.0</v>
      </c>
      <c r="H2409" s="31" t="s">
        <v>453</v>
      </c>
      <c r="I2409" s="31" t="s">
        <v>52</v>
      </c>
      <c r="J2409" s="31" t="s">
        <v>638</v>
      </c>
      <c r="K2409" s="31" t="s">
        <v>9468</v>
      </c>
      <c r="L2409" s="31" t="s">
        <v>456</v>
      </c>
      <c r="M2409" s="31" t="s">
        <v>9469</v>
      </c>
      <c r="N2409" s="31" t="s">
        <v>267</v>
      </c>
      <c r="O2409" s="34"/>
      <c r="P2409" s="34"/>
      <c r="Q2409" s="31" t="s">
        <v>307</v>
      </c>
      <c r="R2409" s="32">
        <v>36783.0</v>
      </c>
      <c r="S2409" s="31" t="s">
        <v>515</v>
      </c>
      <c r="T2409" s="31" t="s">
        <v>744</v>
      </c>
      <c r="U2409" s="31" t="s">
        <v>643</v>
      </c>
      <c r="V2409" s="31" t="s">
        <v>9467</v>
      </c>
      <c r="W2409" s="34"/>
    </row>
    <row r="2410">
      <c r="A2410" s="30">
        <v>2.405</v>
      </c>
      <c r="B2410" s="31" t="s">
        <v>9470</v>
      </c>
      <c r="C2410" s="31" t="s">
        <v>9471</v>
      </c>
      <c r="D2410" s="31" t="s">
        <v>9305</v>
      </c>
      <c r="E2410" s="31" t="s">
        <v>9306</v>
      </c>
      <c r="F2410" s="32">
        <v>45187.0</v>
      </c>
      <c r="G2410" s="35">
        <v>45247.0</v>
      </c>
      <c r="H2410" s="31" t="s">
        <v>303</v>
      </c>
      <c r="I2410" s="31" t="s">
        <v>9306</v>
      </c>
      <c r="J2410" s="34"/>
      <c r="K2410" s="31" t="s">
        <v>9307</v>
      </c>
      <c r="L2410" s="31" t="s">
        <v>9308</v>
      </c>
      <c r="M2410" s="31" t="s">
        <v>9472</v>
      </c>
      <c r="N2410" s="31" t="s">
        <v>467</v>
      </c>
      <c r="O2410" s="34"/>
      <c r="P2410" s="34"/>
      <c r="Q2410" s="31" t="s">
        <v>307</v>
      </c>
      <c r="R2410" s="32">
        <v>36049.0</v>
      </c>
      <c r="S2410" s="31" t="s">
        <v>537</v>
      </c>
      <c r="T2410" s="31" t="s">
        <v>3596</v>
      </c>
      <c r="U2410" s="31" t="s">
        <v>310</v>
      </c>
      <c r="V2410" s="34"/>
      <c r="W2410" s="34"/>
    </row>
    <row r="2411">
      <c r="A2411" s="30">
        <v>2.406</v>
      </c>
      <c r="B2411" s="31" t="s">
        <v>9473</v>
      </c>
      <c r="C2411" s="31" t="s">
        <v>9474</v>
      </c>
      <c r="D2411" s="31" t="s">
        <v>9305</v>
      </c>
      <c r="E2411" s="31" t="s">
        <v>9306</v>
      </c>
      <c r="F2411" s="32">
        <v>45159.0</v>
      </c>
      <c r="G2411" s="35">
        <v>45219.0</v>
      </c>
      <c r="H2411" s="31" t="s">
        <v>303</v>
      </c>
      <c r="I2411" s="31" t="s">
        <v>9306</v>
      </c>
      <c r="J2411" s="34"/>
      <c r="K2411" s="31" t="s">
        <v>9307</v>
      </c>
      <c r="L2411" s="31" t="s">
        <v>9308</v>
      </c>
      <c r="M2411" s="31" t="s">
        <v>9475</v>
      </c>
      <c r="N2411" s="31" t="s">
        <v>267</v>
      </c>
      <c r="O2411" s="34"/>
      <c r="P2411" s="34"/>
      <c r="Q2411" s="31" t="s">
        <v>307</v>
      </c>
      <c r="R2411" s="32">
        <v>35603.0</v>
      </c>
      <c r="S2411" s="31" t="s">
        <v>756</v>
      </c>
      <c r="T2411" s="31" t="s">
        <v>9476</v>
      </c>
      <c r="U2411" s="31" t="s">
        <v>310</v>
      </c>
      <c r="V2411" s="34"/>
      <c r="W2411" s="34"/>
    </row>
    <row r="2412">
      <c r="A2412" s="30">
        <v>2.407</v>
      </c>
      <c r="B2412" s="31" t="s">
        <v>9477</v>
      </c>
      <c r="C2412" s="31" t="s">
        <v>9478</v>
      </c>
      <c r="D2412" s="31" t="s">
        <v>1219</v>
      </c>
      <c r="E2412" s="31" t="s">
        <v>7532</v>
      </c>
      <c r="F2412" s="32">
        <v>40634.0</v>
      </c>
      <c r="G2412" s="32">
        <v>40695.0</v>
      </c>
      <c r="H2412" s="31" t="s">
        <v>2811</v>
      </c>
      <c r="I2412" s="31" t="s">
        <v>2797</v>
      </c>
      <c r="J2412" s="31" t="s">
        <v>7532</v>
      </c>
      <c r="K2412" s="31" t="s">
        <v>7533</v>
      </c>
      <c r="L2412" s="31" t="s">
        <v>1223</v>
      </c>
      <c r="M2412" s="31" t="s">
        <v>9479</v>
      </c>
      <c r="N2412" s="31" t="s">
        <v>267</v>
      </c>
      <c r="O2412" s="34"/>
      <c r="P2412" s="31">
        <v>6.0</v>
      </c>
      <c r="Q2412" s="31" t="s">
        <v>307</v>
      </c>
      <c r="R2412" s="32">
        <v>31512.0</v>
      </c>
      <c r="S2412" s="31" t="s">
        <v>531</v>
      </c>
      <c r="T2412" s="31" t="s">
        <v>2128</v>
      </c>
      <c r="U2412" s="31" t="s">
        <v>2914</v>
      </c>
      <c r="V2412" s="34"/>
      <c r="W2412" s="34"/>
    </row>
    <row r="2413">
      <c r="A2413" s="30">
        <v>2.408</v>
      </c>
      <c r="B2413" s="31" t="s">
        <v>9480</v>
      </c>
      <c r="C2413" s="31" t="s">
        <v>9481</v>
      </c>
      <c r="D2413" s="31" t="s">
        <v>1219</v>
      </c>
      <c r="E2413" s="31" t="s">
        <v>7532</v>
      </c>
      <c r="F2413" s="32">
        <v>40149.0</v>
      </c>
      <c r="G2413" s="32">
        <v>40211.0</v>
      </c>
      <c r="H2413" s="31" t="s">
        <v>2811</v>
      </c>
      <c r="I2413" s="31" t="s">
        <v>2797</v>
      </c>
      <c r="J2413" s="31" t="s">
        <v>7532</v>
      </c>
      <c r="K2413" s="31" t="s">
        <v>7533</v>
      </c>
      <c r="L2413" s="31" t="s">
        <v>1223</v>
      </c>
      <c r="M2413" s="31" t="s">
        <v>9482</v>
      </c>
      <c r="N2413" s="31" t="s">
        <v>467</v>
      </c>
      <c r="O2413" s="34"/>
      <c r="P2413" s="31">
        <v>7.0</v>
      </c>
      <c r="Q2413" s="31" t="s">
        <v>307</v>
      </c>
      <c r="R2413" s="35">
        <v>30985.0</v>
      </c>
      <c r="S2413" s="31" t="s">
        <v>320</v>
      </c>
      <c r="T2413" s="31" t="s">
        <v>4337</v>
      </c>
      <c r="U2413" s="31" t="s">
        <v>2914</v>
      </c>
      <c r="V2413" s="34"/>
      <c r="W2413" s="34"/>
    </row>
    <row r="2414">
      <c r="A2414" s="30">
        <v>2.409</v>
      </c>
      <c r="B2414" s="31" t="s">
        <v>9483</v>
      </c>
      <c r="C2414" s="31" t="s">
        <v>9484</v>
      </c>
      <c r="D2414" s="31" t="s">
        <v>1329</v>
      </c>
      <c r="E2414" s="31" t="s">
        <v>7532</v>
      </c>
      <c r="F2414" s="32">
        <v>40330.0</v>
      </c>
      <c r="G2414" s="32">
        <v>40391.0</v>
      </c>
      <c r="H2414" s="31" t="s">
        <v>2811</v>
      </c>
      <c r="I2414" s="31" t="s">
        <v>2797</v>
      </c>
      <c r="J2414" s="31" t="s">
        <v>7532</v>
      </c>
      <c r="K2414" s="31" t="s">
        <v>7533</v>
      </c>
      <c r="L2414" s="31" t="s">
        <v>1330</v>
      </c>
      <c r="M2414" s="31" t="s">
        <v>9485</v>
      </c>
      <c r="N2414" s="31" t="s">
        <v>467</v>
      </c>
      <c r="O2414" s="31">
        <v>1.0</v>
      </c>
      <c r="P2414" s="31">
        <v>2.0</v>
      </c>
      <c r="Q2414" s="31" t="s">
        <v>307</v>
      </c>
      <c r="R2414" s="32">
        <v>30459.0</v>
      </c>
      <c r="S2414" s="31" t="s">
        <v>531</v>
      </c>
      <c r="T2414" s="31" t="s">
        <v>9486</v>
      </c>
      <c r="U2414" s="31" t="s">
        <v>2914</v>
      </c>
      <c r="V2414" s="34"/>
      <c r="W2414" s="34"/>
    </row>
    <row r="2415">
      <c r="A2415" s="30">
        <v>2.41</v>
      </c>
      <c r="B2415" s="31" t="s">
        <v>9487</v>
      </c>
      <c r="C2415" s="31" t="s">
        <v>9488</v>
      </c>
      <c r="D2415" s="31" t="s">
        <v>1219</v>
      </c>
      <c r="E2415" s="31" t="s">
        <v>7532</v>
      </c>
      <c r="F2415" s="32">
        <v>44211.0</v>
      </c>
      <c r="G2415" s="32">
        <v>44271.0</v>
      </c>
      <c r="H2415" s="31" t="s">
        <v>2811</v>
      </c>
      <c r="I2415" s="31" t="s">
        <v>2797</v>
      </c>
      <c r="J2415" s="31" t="s">
        <v>7532</v>
      </c>
      <c r="K2415" s="31" t="s">
        <v>7533</v>
      </c>
      <c r="L2415" s="31" t="s">
        <v>1223</v>
      </c>
      <c r="M2415" s="31" t="s">
        <v>9489</v>
      </c>
      <c r="N2415" s="31" t="s">
        <v>467</v>
      </c>
      <c r="O2415" s="34"/>
      <c r="P2415" s="31">
        <v>4.0</v>
      </c>
      <c r="Q2415" s="31" t="s">
        <v>307</v>
      </c>
      <c r="R2415" s="32">
        <v>35796.0</v>
      </c>
      <c r="S2415" s="31" t="s">
        <v>9490</v>
      </c>
      <c r="T2415" s="31" t="s">
        <v>7255</v>
      </c>
      <c r="U2415" s="31" t="s">
        <v>2914</v>
      </c>
      <c r="V2415" s="34"/>
      <c r="W2415" s="34"/>
    </row>
    <row r="2416">
      <c r="A2416" s="30">
        <v>2.411</v>
      </c>
      <c r="B2416" s="31" t="s">
        <v>9491</v>
      </c>
      <c r="C2416" s="31" t="s">
        <v>9492</v>
      </c>
      <c r="D2416" s="31" t="s">
        <v>1219</v>
      </c>
      <c r="E2416" s="31" t="s">
        <v>7532</v>
      </c>
      <c r="F2416" s="32">
        <v>43313.0</v>
      </c>
      <c r="G2416" s="32">
        <v>43374.0</v>
      </c>
      <c r="H2416" s="31" t="s">
        <v>2811</v>
      </c>
      <c r="I2416" s="31" t="s">
        <v>2797</v>
      </c>
      <c r="J2416" s="31" t="s">
        <v>7532</v>
      </c>
      <c r="K2416" s="31" t="s">
        <v>7533</v>
      </c>
      <c r="L2416" s="31" t="s">
        <v>1223</v>
      </c>
      <c r="M2416" s="31" t="s">
        <v>9493</v>
      </c>
      <c r="N2416" s="31" t="s">
        <v>267</v>
      </c>
      <c r="O2416" s="34"/>
      <c r="P2416" s="31">
        <v>4.0</v>
      </c>
      <c r="Q2416" s="31" t="s">
        <v>307</v>
      </c>
      <c r="R2416" s="32">
        <v>33632.0</v>
      </c>
      <c r="S2416" s="31" t="s">
        <v>9494</v>
      </c>
      <c r="T2416" s="31" t="s">
        <v>4722</v>
      </c>
      <c r="U2416" s="31" t="s">
        <v>2914</v>
      </c>
      <c r="V2416" s="34"/>
      <c r="W2416" s="34"/>
    </row>
    <row r="2417">
      <c r="A2417" s="30">
        <v>2.412</v>
      </c>
      <c r="B2417" s="31" t="s">
        <v>9495</v>
      </c>
      <c r="C2417" s="31" t="s">
        <v>5345</v>
      </c>
      <c r="D2417" s="31" t="s">
        <v>1219</v>
      </c>
      <c r="E2417" s="31" t="s">
        <v>7532</v>
      </c>
      <c r="F2417" s="35">
        <v>42293.0</v>
      </c>
      <c r="G2417" s="35">
        <v>42353.0</v>
      </c>
      <c r="H2417" s="31" t="s">
        <v>2811</v>
      </c>
      <c r="I2417" s="31" t="s">
        <v>2797</v>
      </c>
      <c r="J2417" s="31" t="s">
        <v>7532</v>
      </c>
      <c r="K2417" s="31" t="s">
        <v>7533</v>
      </c>
      <c r="L2417" s="31" t="s">
        <v>1223</v>
      </c>
      <c r="M2417" s="31" t="s">
        <v>9496</v>
      </c>
      <c r="N2417" s="31" t="s">
        <v>267</v>
      </c>
      <c r="O2417" s="34"/>
      <c r="P2417" s="31">
        <v>4.0</v>
      </c>
      <c r="Q2417" s="31" t="s">
        <v>307</v>
      </c>
      <c r="R2417" s="32">
        <v>34549.0</v>
      </c>
      <c r="S2417" s="31" t="s">
        <v>531</v>
      </c>
      <c r="T2417" s="31" t="s">
        <v>9497</v>
      </c>
      <c r="U2417" s="31" t="s">
        <v>2914</v>
      </c>
      <c r="V2417" s="34"/>
      <c r="W2417" s="34"/>
    </row>
    <row r="2418">
      <c r="A2418" s="30">
        <v>2.413</v>
      </c>
      <c r="B2418" s="31" t="s">
        <v>9498</v>
      </c>
      <c r="C2418" s="31" t="s">
        <v>9499</v>
      </c>
      <c r="D2418" s="31" t="s">
        <v>1219</v>
      </c>
      <c r="E2418" s="31" t="s">
        <v>7532</v>
      </c>
      <c r="F2418" s="35">
        <v>44182.0</v>
      </c>
      <c r="G2418" s="32">
        <v>44244.0</v>
      </c>
      <c r="H2418" s="31" t="s">
        <v>2811</v>
      </c>
      <c r="I2418" s="31" t="s">
        <v>2797</v>
      </c>
      <c r="J2418" s="31" t="s">
        <v>7532</v>
      </c>
      <c r="K2418" s="31" t="s">
        <v>7533</v>
      </c>
      <c r="L2418" s="31" t="s">
        <v>1223</v>
      </c>
      <c r="M2418" s="31" t="s">
        <v>9500</v>
      </c>
      <c r="N2418" s="31" t="s">
        <v>267</v>
      </c>
      <c r="O2418" s="34"/>
      <c r="P2418" s="31">
        <v>3.0</v>
      </c>
      <c r="Q2418" s="31" t="s">
        <v>307</v>
      </c>
      <c r="R2418" s="35">
        <v>36080.0</v>
      </c>
      <c r="S2418" s="31" t="s">
        <v>917</v>
      </c>
      <c r="T2418" s="31" t="s">
        <v>4638</v>
      </c>
      <c r="U2418" s="31" t="s">
        <v>2914</v>
      </c>
      <c r="V2418" s="34"/>
      <c r="W2418" s="34"/>
    </row>
    <row r="2419">
      <c r="A2419" s="30">
        <v>2.414</v>
      </c>
      <c r="B2419" s="31" t="s">
        <v>9501</v>
      </c>
      <c r="C2419" s="31" t="s">
        <v>9502</v>
      </c>
      <c r="D2419" s="31" t="s">
        <v>1219</v>
      </c>
      <c r="E2419" s="31" t="s">
        <v>7532</v>
      </c>
      <c r="F2419" s="32">
        <v>43832.0</v>
      </c>
      <c r="G2419" s="32">
        <v>43890.0</v>
      </c>
      <c r="H2419" s="31" t="s">
        <v>2811</v>
      </c>
      <c r="I2419" s="31" t="s">
        <v>2797</v>
      </c>
      <c r="J2419" s="31" t="s">
        <v>7532</v>
      </c>
      <c r="K2419" s="31" t="s">
        <v>7533</v>
      </c>
      <c r="L2419" s="31" t="s">
        <v>1223</v>
      </c>
      <c r="M2419" s="31" t="s">
        <v>9503</v>
      </c>
      <c r="N2419" s="31" t="s">
        <v>467</v>
      </c>
      <c r="O2419" s="34"/>
      <c r="P2419" s="31">
        <v>4.0</v>
      </c>
      <c r="Q2419" s="31" t="s">
        <v>307</v>
      </c>
      <c r="R2419" s="32">
        <v>33277.0</v>
      </c>
      <c r="S2419" s="31" t="s">
        <v>531</v>
      </c>
      <c r="T2419" s="31" t="s">
        <v>4809</v>
      </c>
      <c r="U2419" s="31" t="s">
        <v>2914</v>
      </c>
      <c r="V2419" s="34"/>
      <c r="W2419" s="34"/>
    </row>
    <row r="2420">
      <c r="A2420" s="30">
        <v>2.415</v>
      </c>
      <c r="B2420" s="31" t="s">
        <v>9504</v>
      </c>
      <c r="C2420" s="31" t="s">
        <v>9505</v>
      </c>
      <c r="D2420" s="31" t="s">
        <v>9506</v>
      </c>
      <c r="E2420" s="31" t="s">
        <v>9507</v>
      </c>
      <c r="F2420" s="32">
        <v>43154.0</v>
      </c>
      <c r="G2420" s="32">
        <v>43213.0</v>
      </c>
      <c r="H2420" s="31" t="s">
        <v>303</v>
      </c>
      <c r="I2420" s="31" t="s">
        <v>9507</v>
      </c>
      <c r="J2420" s="34"/>
      <c r="K2420" s="31" t="s">
        <v>9508</v>
      </c>
      <c r="L2420" s="31" t="s">
        <v>9509</v>
      </c>
      <c r="M2420" s="31" t="s">
        <v>9510</v>
      </c>
      <c r="N2420" s="31" t="s">
        <v>467</v>
      </c>
      <c r="O2420" s="34"/>
      <c r="P2420" s="34"/>
      <c r="Q2420" s="31" t="s">
        <v>307</v>
      </c>
      <c r="R2420" s="32">
        <v>34228.0</v>
      </c>
      <c r="S2420" s="31" t="s">
        <v>560</v>
      </c>
      <c r="T2420" s="31" t="s">
        <v>1178</v>
      </c>
      <c r="U2420" s="31" t="s">
        <v>480</v>
      </c>
      <c r="V2420" s="34"/>
      <c r="W2420" s="34"/>
    </row>
    <row r="2421">
      <c r="A2421" s="30">
        <v>2.416</v>
      </c>
      <c r="B2421" s="31" t="s">
        <v>9511</v>
      </c>
      <c r="C2421" s="31" t="s">
        <v>9512</v>
      </c>
      <c r="D2421" s="31" t="s">
        <v>2662</v>
      </c>
      <c r="E2421" s="31" t="s">
        <v>155</v>
      </c>
      <c r="F2421" s="32">
        <v>41745.0</v>
      </c>
      <c r="G2421" s="32">
        <v>41821.0</v>
      </c>
      <c r="H2421" s="31" t="s">
        <v>346</v>
      </c>
      <c r="I2421" s="31" t="s">
        <v>275</v>
      </c>
      <c r="J2421" s="31" t="s">
        <v>155</v>
      </c>
      <c r="K2421" s="31" t="s">
        <v>7285</v>
      </c>
      <c r="L2421" s="31" t="s">
        <v>7232</v>
      </c>
      <c r="M2421" s="31" t="s">
        <v>9513</v>
      </c>
      <c r="N2421" s="31" t="s">
        <v>267</v>
      </c>
      <c r="O2421" s="31">
        <v>3.0</v>
      </c>
      <c r="P2421" s="34"/>
      <c r="Q2421" s="31" t="s">
        <v>307</v>
      </c>
      <c r="R2421" s="32">
        <v>33713.0</v>
      </c>
      <c r="S2421" s="31" t="s">
        <v>733</v>
      </c>
      <c r="T2421" s="31" t="s">
        <v>686</v>
      </c>
      <c r="U2421" s="31" t="s">
        <v>352</v>
      </c>
      <c r="V2421" s="34"/>
      <c r="W2421" s="34"/>
    </row>
    <row r="2422">
      <c r="A2422" s="30">
        <v>2.417</v>
      </c>
      <c r="B2422" s="31" t="s">
        <v>9514</v>
      </c>
      <c r="C2422" s="31" t="s">
        <v>4147</v>
      </c>
      <c r="D2422" s="31" t="s">
        <v>7236</v>
      </c>
      <c r="E2422" s="31" t="s">
        <v>122</v>
      </c>
      <c r="F2422" s="32">
        <v>40422.0</v>
      </c>
      <c r="G2422" s="32">
        <v>40483.0</v>
      </c>
      <c r="H2422" s="31" t="s">
        <v>346</v>
      </c>
      <c r="I2422" s="31" t="s">
        <v>263</v>
      </c>
      <c r="J2422" s="31" t="s">
        <v>122</v>
      </c>
      <c r="K2422" s="31" t="s">
        <v>2663</v>
      </c>
      <c r="L2422" s="31" t="s">
        <v>7674</v>
      </c>
      <c r="M2422" s="31" t="s">
        <v>9515</v>
      </c>
      <c r="N2422" s="31" t="s">
        <v>267</v>
      </c>
      <c r="O2422" s="31">
        <v>3.0</v>
      </c>
      <c r="P2422" s="34"/>
      <c r="Q2422" s="31" t="s">
        <v>307</v>
      </c>
      <c r="R2422" s="35">
        <v>32426.0</v>
      </c>
      <c r="S2422" s="31" t="s">
        <v>3905</v>
      </c>
      <c r="T2422" s="31" t="s">
        <v>9516</v>
      </c>
      <c r="U2422" s="31" t="s">
        <v>361</v>
      </c>
      <c r="V2422" s="34"/>
      <c r="W2422" s="34"/>
    </row>
    <row r="2423">
      <c r="A2423" s="30">
        <v>2.418</v>
      </c>
      <c r="B2423" s="31" t="s">
        <v>9517</v>
      </c>
      <c r="C2423" s="31" t="s">
        <v>9518</v>
      </c>
      <c r="D2423" s="31" t="s">
        <v>7380</v>
      </c>
      <c r="E2423" s="31" t="s">
        <v>7381</v>
      </c>
      <c r="F2423" s="32">
        <v>38078.0</v>
      </c>
      <c r="G2423" s="32">
        <v>38108.0</v>
      </c>
      <c r="H2423" s="31" t="s">
        <v>303</v>
      </c>
      <c r="I2423" s="31" t="s">
        <v>221</v>
      </c>
      <c r="J2423" s="31" t="s">
        <v>7381</v>
      </c>
      <c r="K2423" s="31" t="s">
        <v>7382</v>
      </c>
      <c r="L2423" s="31" t="s">
        <v>9519</v>
      </c>
      <c r="M2423" s="31" t="s">
        <v>9520</v>
      </c>
      <c r="N2423" s="31" t="s">
        <v>467</v>
      </c>
      <c r="O2423" s="31">
        <v>5.0</v>
      </c>
      <c r="P2423" s="34"/>
      <c r="Q2423" s="31" t="s">
        <v>307</v>
      </c>
      <c r="R2423" s="35">
        <v>29876.0</v>
      </c>
      <c r="S2423" s="31" t="s">
        <v>531</v>
      </c>
      <c r="T2423" s="31" t="s">
        <v>686</v>
      </c>
      <c r="U2423" s="31" t="s">
        <v>310</v>
      </c>
      <c r="V2423" s="34"/>
      <c r="W2423" s="34"/>
    </row>
    <row r="2424">
      <c r="A2424" s="30">
        <v>2.419</v>
      </c>
      <c r="B2424" s="31" t="s">
        <v>9521</v>
      </c>
      <c r="C2424" s="31" t="s">
        <v>6097</v>
      </c>
      <c r="D2424" s="31" t="s">
        <v>7380</v>
      </c>
      <c r="E2424" s="31" t="s">
        <v>7381</v>
      </c>
      <c r="F2424" s="32">
        <v>38078.0</v>
      </c>
      <c r="G2424" s="32">
        <v>38108.0</v>
      </c>
      <c r="H2424" s="31" t="s">
        <v>303</v>
      </c>
      <c r="I2424" s="31" t="s">
        <v>221</v>
      </c>
      <c r="J2424" s="31" t="s">
        <v>7381</v>
      </c>
      <c r="K2424" s="31" t="s">
        <v>7382</v>
      </c>
      <c r="L2424" s="31" t="s">
        <v>9522</v>
      </c>
      <c r="M2424" s="31" t="s">
        <v>9523</v>
      </c>
      <c r="N2424" s="31" t="s">
        <v>467</v>
      </c>
      <c r="O2424" s="31">
        <v>5.0</v>
      </c>
      <c r="P2424" s="31">
        <v>5.0</v>
      </c>
      <c r="Q2424" s="31" t="s">
        <v>307</v>
      </c>
      <c r="R2424" s="32">
        <v>29804.0</v>
      </c>
      <c r="S2424" s="31" t="s">
        <v>320</v>
      </c>
      <c r="T2424" s="31" t="s">
        <v>9524</v>
      </c>
      <c r="U2424" s="31" t="s">
        <v>271</v>
      </c>
      <c r="V2424" s="34"/>
      <c r="W2424" s="34"/>
    </row>
    <row r="2425">
      <c r="A2425" s="30">
        <v>2.42</v>
      </c>
      <c r="B2425" s="31" t="s">
        <v>9525</v>
      </c>
      <c r="C2425" s="31" t="s">
        <v>9526</v>
      </c>
      <c r="D2425" s="31" t="s">
        <v>2480</v>
      </c>
      <c r="E2425" s="31" t="s">
        <v>2474</v>
      </c>
      <c r="F2425" s="32">
        <v>42445.0</v>
      </c>
      <c r="G2425" s="32">
        <v>42506.0</v>
      </c>
      <c r="H2425" s="31" t="s">
        <v>262</v>
      </c>
      <c r="I2425" s="31" t="s">
        <v>2474</v>
      </c>
      <c r="J2425" s="34"/>
      <c r="K2425" s="31" t="s">
        <v>2475</v>
      </c>
      <c r="L2425" s="31" t="s">
        <v>2481</v>
      </c>
      <c r="M2425" s="31" t="s">
        <v>9527</v>
      </c>
      <c r="N2425" s="31" t="s">
        <v>267</v>
      </c>
      <c r="O2425" s="34"/>
      <c r="P2425" s="34"/>
      <c r="Q2425" s="31" t="s">
        <v>307</v>
      </c>
      <c r="R2425" s="32">
        <v>31884.0</v>
      </c>
      <c r="S2425" s="31" t="s">
        <v>681</v>
      </c>
      <c r="T2425" s="31" t="s">
        <v>1476</v>
      </c>
      <c r="U2425" s="31" t="s">
        <v>271</v>
      </c>
      <c r="V2425" s="34"/>
      <c r="W2425" s="34"/>
    </row>
    <row r="2426">
      <c r="A2426" s="30">
        <v>2.421</v>
      </c>
      <c r="B2426" s="31" t="s">
        <v>9528</v>
      </c>
      <c r="C2426" s="31" t="s">
        <v>9529</v>
      </c>
      <c r="D2426" s="31" t="s">
        <v>9530</v>
      </c>
      <c r="E2426" s="31" t="s">
        <v>32</v>
      </c>
      <c r="F2426" s="32">
        <v>40714.0</v>
      </c>
      <c r="G2426" s="32">
        <v>40760.0</v>
      </c>
      <c r="H2426" s="31" t="s">
        <v>2811</v>
      </c>
      <c r="I2426" s="31" t="s">
        <v>32</v>
      </c>
      <c r="J2426" s="34"/>
      <c r="K2426" s="31" t="s">
        <v>9531</v>
      </c>
      <c r="L2426" s="31" t="s">
        <v>9532</v>
      </c>
      <c r="M2426" s="31" t="s">
        <v>9533</v>
      </c>
      <c r="N2426" s="31" t="s">
        <v>267</v>
      </c>
      <c r="O2426" s="31">
        <v>4.0</v>
      </c>
      <c r="P2426" s="34"/>
      <c r="Q2426" s="31" t="s">
        <v>307</v>
      </c>
      <c r="R2426" s="32">
        <v>32587.0</v>
      </c>
      <c r="S2426" s="31" t="s">
        <v>531</v>
      </c>
      <c r="T2426" s="31" t="s">
        <v>7697</v>
      </c>
      <c r="U2426" s="31" t="s">
        <v>2914</v>
      </c>
      <c r="V2426" s="34"/>
      <c r="W2426" s="34"/>
    </row>
    <row r="2427">
      <c r="A2427" s="30">
        <v>2.422</v>
      </c>
      <c r="B2427" s="31" t="s">
        <v>9534</v>
      </c>
      <c r="C2427" s="31" t="s">
        <v>9535</v>
      </c>
      <c r="D2427" s="31" t="s">
        <v>345</v>
      </c>
      <c r="E2427" s="31" t="s">
        <v>38</v>
      </c>
      <c r="F2427" s="32">
        <v>44998.0</v>
      </c>
      <c r="G2427" s="32">
        <v>45059.0</v>
      </c>
      <c r="H2427" s="31" t="s">
        <v>262</v>
      </c>
      <c r="I2427" s="31" t="s">
        <v>38</v>
      </c>
      <c r="J2427" s="34"/>
      <c r="K2427" s="31" t="s">
        <v>2423</v>
      </c>
      <c r="L2427" s="31" t="s">
        <v>348</v>
      </c>
      <c r="M2427" s="31" t="s">
        <v>9536</v>
      </c>
      <c r="N2427" s="31" t="s">
        <v>267</v>
      </c>
      <c r="O2427" s="34"/>
      <c r="P2427" s="34"/>
      <c r="Q2427" s="31" t="s">
        <v>307</v>
      </c>
      <c r="R2427" s="32">
        <v>36928.0</v>
      </c>
      <c r="S2427" s="31" t="s">
        <v>320</v>
      </c>
      <c r="T2427" s="31" t="s">
        <v>1476</v>
      </c>
      <c r="U2427" s="31" t="s">
        <v>271</v>
      </c>
      <c r="V2427" s="34"/>
      <c r="W2427" s="34"/>
    </row>
    <row r="2428">
      <c r="A2428" s="30">
        <v>2.423</v>
      </c>
      <c r="B2428" s="31" t="s">
        <v>9537</v>
      </c>
      <c r="C2428" s="31" t="s">
        <v>9538</v>
      </c>
      <c r="D2428" s="31" t="s">
        <v>7721</v>
      </c>
      <c r="E2428" s="31" t="s">
        <v>2474</v>
      </c>
      <c r="F2428" s="32">
        <v>43894.0</v>
      </c>
      <c r="G2428" s="32">
        <v>43955.0</v>
      </c>
      <c r="H2428" s="31" t="s">
        <v>262</v>
      </c>
      <c r="I2428" s="31" t="s">
        <v>2474</v>
      </c>
      <c r="J2428" s="34"/>
      <c r="K2428" s="31" t="s">
        <v>2475</v>
      </c>
      <c r="L2428" s="31" t="s">
        <v>7722</v>
      </c>
      <c r="M2428" s="31" t="s">
        <v>9539</v>
      </c>
      <c r="N2428" s="31" t="s">
        <v>267</v>
      </c>
      <c r="O2428" s="34"/>
      <c r="P2428" s="34"/>
      <c r="Q2428" s="31" t="s">
        <v>307</v>
      </c>
      <c r="R2428" s="32">
        <v>32885.0</v>
      </c>
      <c r="S2428" s="31" t="s">
        <v>626</v>
      </c>
      <c r="T2428" s="31" t="s">
        <v>9540</v>
      </c>
      <c r="U2428" s="31" t="s">
        <v>271</v>
      </c>
      <c r="V2428" s="34"/>
      <c r="W2428" s="34"/>
    </row>
    <row r="2429">
      <c r="A2429" s="30">
        <v>2.424</v>
      </c>
      <c r="B2429" s="31" t="s">
        <v>9541</v>
      </c>
      <c r="C2429" s="31" t="s">
        <v>7947</v>
      </c>
      <c r="D2429" s="31" t="s">
        <v>345</v>
      </c>
      <c r="E2429" s="31" t="s">
        <v>38</v>
      </c>
      <c r="F2429" s="32">
        <v>43141.0</v>
      </c>
      <c r="G2429" s="32">
        <v>43200.0</v>
      </c>
      <c r="H2429" s="31" t="s">
        <v>262</v>
      </c>
      <c r="I2429" s="31" t="s">
        <v>38</v>
      </c>
      <c r="J2429" s="34"/>
      <c r="K2429" s="31" t="s">
        <v>2423</v>
      </c>
      <c r="L2429" s="31" t="s">
        <v>348</v>
      </c>
      <c r="M2429" s="31" t="s">
        <v>9542</v>
      </c>
      <c r="N2429" s="31" t="s">
        <v>267</v>
      </c>
      <c r="O2429" s="34"/>
      <c r="P2429" s="34"/>
      <c r="Q2429" s="31" t="s">
        <v>307</v>
      </c>
      <c r="R2429" s="32">
        <v>34361.0</v>
      </c>
      <c r="S2429" s="31" t="s">
        <v>320</v>
      </c>
      <c r="T2429" s="31" t="s">
        <v>1666</v>
      </c>
      <c r="U2429" s="31" t="s">
        <v>271</v>
      </c>
      <c r="V2429" s="34"/>
      <c r="W2429" s="34"/>
    </row>
    <row r="2430">
      <c r="A2430" s="30">
        <v>2.425</v>
      </c>
      <c r="B2430" s="31" t="s">
        <v>9543</v>
      </c>
      <c r="C2430" s="31" t="s">
        <v>9544</v>
      </c>
      <c r="D2430" s="31" t="s">
        <v>2867</v>
      </c>
      <c r="E2430" s="31" t="s">
        <v>2463</v>
      </c>
      <c r="F2430" s="32">
        <v>38869.0</v>
      </c>
      <c r="G2430" s="32">
        <v>38961.0</v>
      </c>
      <c r="H2430" s="31" t="s">
        <v>262</v>
      </c>
      <c r="I2430" s="31" t="s">
        <v>2463</v>
      </c>
      <c r="J2430" s="34"/>
      <c r="K2430" s="31" t="s">
        <v>2464</v>
      </c>
      <c r="L2430" s="31" t="s">
        <v>2869</v>
      </c>
      <c r="M2430" s="31" t="s">
        <v>9545</v>
      </c>
      <c r="N2430" s="31" t="s">
        <v>467</v>
      </c>
      <c r="O2430" s="34"/>
      <c r="P2430" s="34"/>
      <c r="Q2430" s="31" t="s">
        <v>307</v>
      </c>
      <c r="R2430" s="32">
        <v>26578.0</v>
      </c>
      <c r="S2430" s="31" t="s">
        <v>4679</v>
      </c>
      <c r="T2430" s="34"/>
      <c r="U2430" s="31" t="s">
        <v>271</v>
      </c>
      <c r="V2430" s="34"/>
      <c r="W2430" s="34"/>
    </row>
    <row r="2431">
      <c r="A2431" s="30">
        <v>2.426</v>
      </c>
      <c r="B2431" s="31" t="s">
        <v>9546</v>
      </c>
      <c r="C2431" s="31" t="s">
        <v>9547</v>
      </c>
      <c r="D2431" s="31" t="s">
        <v>6125</v>
      </c>
      <c r="E2431" s="31" t="s">
        <v>36</v>
      </c>
      <c r="F2431" s="32">
        <v>43302.0</v>
      </c>
      <c r="G2431" s="32">
        <v>43364.0</v>
      </c>
      <c r="H2431" s="31" t="s">
        <v>262</v>
      </c>
      <c r="I2431" s="31" t="s">
        <v>36</v>
      </c>
      <c r="J2431" s="34"/>
      <c r="K2431" s="31" t="s">
        <v>2452</v>
      </c>
      <c r="L2431" s="31" t="s">
        <v>6127</v>
      </c>
      <c r="M2431" s="31" t="s">
        <v>9548</v>
      </c>
      <c r="N2431" s="31" t="s">
        <v>267</v>
      </c>
      <c r="O2431" s="31">
        <v>2.0</v>
      </c>
      <c r="P2431" s="34"/>
      <c r="Q2431" s="31" t="s">
        <v>307</v>
      </c>
      <c r="R2431" s="32">
        <v>34464.0</v>
      </c>
      <c r="S2431" s="31" t="s">
        <v>1800</v>
      </c>
      <c r="T2431" s="31" t="s">
        <v>2471</v>
      </c>
      <c r="U2431" s="31" t="s">
        <v>271</v>
      </c>
      <c r="V2431" s="34"/>
      <c r="W2431" s="34"/>
    </row>
    <row r="2432">
      <c r="A2432" s="30">
        <v>2.427</v>
      </c>
      <c r="B2432" s="31" t="s">
        <v>9549</v>
      </c>
      <c r="C2432" s="31" t="s">
        <v>9550</v>
      </c>
      <c r="D2432" s="31" t="s">
        <v>9551</v>
      </c>
      <c r="E2432" s="31" t="s">
        <v>38</v>
      </c>
      <c r="F2432" s="32">
        <v>39173.0</v>
      </c>
      <c r="G2432" s="32">
        <v>39264.0</v>
      </c>
      <c r="H2432" s="31" t="s">
        <v>262</v>
      </c>
      <c r="I2432" s="31" t="s">
        <v>38</v>
      </c>
      <c r="J2432" s="34"/>
      <c r="K2432" s="31" t="s">
        <v>2423</v>
      </c>
      <c r="L2432" s="31" t="s">
        <v>9552</v>
      </c>
      <c r="M2432" s="31" t="s">
        <v>9553</v>
      </c>
      <c r="N2432" s="31" t="s">
        <v>267</v>
      </c>
      <c r="O2432" s="34"/>
      <c r="P2432" s="34"/>
      <c r="Q2432" s="31" t="s">
        <v>307</v>
      </c>
      <c r="R2432" s="35">
        <v>29521.0</v>
      </c>
      <c r="S2432" s="31" t="s">
        <v>320</v>
      </c>
      <c r="T2432" s="31" t="s">
        <v>1682</v>
      </c>
      <c r="U2432" s="31" t="s">
        <v>271</v>
      </c>
      <c r="V2432" s="34"/>
      <c r="W2432" s="34"/>
    </row>
    <row r="2433">
      <c r="A2433" s="30">
        <v>2.428</v>
      </c>
      <c r="B2433" s="31" t="s">
        <v>9554</v>
      </c>
      <c r="C2433" s="31" t="s">
        <v>9555</v>
      </c>
      <c r="D2433" s="31" t="s">
        <v>6848</v>
      </c>
      <c r="E2433" s="31" t="s">
        <v>2463</v>
      </c>
      <c r="F2433" s="32">
        <v>38930.0</v>
      </c>
      <c r="G2433" s="32">
        <v>39022.0</v>
      </c>
      <c r="H2433" s="31" t="s">
        <v>262</v>
      </c>
      <c r="I2433" s="31" t="s">
        <v>2463</v>
      </c>
      <c r="J2433" s="34"/>
      <c r="K2433" s="31" t="s">
        <v>2464</v>
      </c>
      <c r="L2433" s="31" t="s">
        <v>6849</v>
      </c>
      <c r="M2433" s="31" t="s">
        <v>9556</v>
      </c>
      <c r="N2433" s="31" t="s">
        <v>467</v>
      </c>
      <c r="O2433" s="31">
        <v>2.0</v>
      </c>
      <c r="P2433" s="34"/>
      <c r="Q2433" s="31" t="s">
        <v>307</v>
      </c>
      <c r="R2433" s="32">
        <v>30651.0</v>
      </c>
      <c r="S2433" s="31" t="s">
        <v>560</v>
      </c>
      <c r="T2433" s="31" t="s">
        <v>1881</v>
      </c>
      <c r="U2433" s="31" t="s">
        <v>271</v>
      </c>
      <c r="V2433" s="34"/>
      <c r="W2433" s="34"/>
    </row>
    <row r="2434">
      <c r="A2434" s="30">
        <v>2.429</v>
      </c>
      <c r="B2434" s="31" t="s">
        <v>9557</v>
      </c>
      <c r="C2434" s="31" t="s">
        <v>8166</v>
      </c>
      <c r="D2434" s="31" t="s">
        <v>9558</v>
      </c>
      <c r="E2434" s="31" t="s">
        <v>2474</v>
      </c>
      <c r="F2434" s="32">
        <v>38975.0</v>
      </c>
      <c r="G2434" s="32">
        <v>38991.0</v>
      </c>
      <c r="H2434" s="31" t="s">
        <v>262</v>
      </c>
      <c r="I2434" s="31" t="s">
        <v>2474</v>
      </c>
      <c r="J2434" s="34"/>
      <c r="K2434" s="31" t="s">
        <v>2475</v>
      </c>
      <c r="L2434" s="31" t="s">
        <v>9559</v>
      </c>
      <c r="M2434" s="31" t="s">
        <v>9560</v>
      </c>
      <c r="N2434" s="31" t="s">
        <v>267</v>
      </c>
      <c r="O2434" s="34"/>
      <c r="P2434" s="34"/>
      <c r="Q2434" s="31" t="s">
        <v>307</v>
      </c>
      <c r="R2434" s="32">
        <v>29278.0</v>
      </c>
      <c r="S2434" s="31" t="s">
        <v>531</v>
      </c>
      <c r="T2434" s="31" t="s">
        <v>9561</v>
      </c>
      <c r="U2434" s="31" t="s">
        <v>271</v>
      </c>
      <c r="V2434" s="34"/>
      <c r="W2434" s="34"/>
    </row>
    <row r="2435">
      <c r="A2435" s="30">
        <v>2.43</v>
      </c>
      <c r="B2435" s="31" t="s">
        <v>9562</v>
      </c>
      <c r="C2435" s="31" t="s">
        <v>9563</v>
      </c>
      <c r="D2435" s="31" t="s">
        <v>8481</v>
      </c>
      <c r="E2435" s="31" t="s">
        <v>2463</v>
      </c>
      <c r="F2435" s="32">
        <v>42774.0</v>
      </c>
      <c r="G2435" s="32">
        <v>42833.0</v>
      </c>
      <c r="H2435" s="31" t="s">
        <v>262</v>
      </c>
      <c r="I2435" s="31" t="s">
        <v>2463</v>
      </c>
      <c r="J2435" s="34"/>
      <c r="K2435" s="31" t="s">
        <v>2464</v>
      </c>
      <c r="L2435" s="31" t="s">
        <v>8482</v>
      </c>
      <c r="M2435" s="31" t="s">
        <v>9564</v>
      </c>
      <c r="N2435" s="31" t="s">
        <v>267</v>
      </c>
      <c r="O2435" s="34"/>
      <c r="P2435" s="34"/>
      <c r="Q2435" s="31" t="s">
        <v>307</v>
      </c>
      <c r="R2435" s="32">
        <v>34516.0</v>
      </c>
      <c r="S2435" s="31" t="s">
        <v>9565</v>
      </c>
      <c r="T2435" s="31" t="s">
        <v>1670</v>
      </c>
      <c r="U2435" s="31" t="s">
        <v>271</v>
      </c>
      <c r="V2435" s="34"/>
      <c r="W2435" s="34"/>
    </row>
    <row r="2436">
      <c r="A2436" s="30">
        <v>2.431</v>
      </c>
      <c r="B2436" s="31" t="s">
        <v>9566</v>
      </c>
      <c r="C2436" s="31" t="s">
        <v>9567</v>
      </c>
      <c r="D2436" s="31" t="s">
        <v>3644</v>
      </c>
      <c r="E2436" s="31" t="s">
        <v>2463</v>
      </c>
      <c r="F2436" s="32">
        <v>43194.0</v>
      </c>
      <c r="G2436" s="32">
        <v>43255.0</v>
      </c>
      <c r="H2436" s="31" t="s">
        <v>262</v>
      </c>
      <c r="I2436" s="31" t="s">
        <v>2463</v>
      </c>
      <c r="J2436" s="34"/>
      <c r="K2436" s="31" t="s">
        <v>2464</v>
      </c>
      <c r="L2436" s="31" t="s">
        <v>3646</v>
      </c>
      <c r="M2436" s="31" t="s">
        <v>9568</v>
      </c>
      <c r="N2436" s="31" t="s">
        <v>267</v>
      </c>
      <c r="O2436" s="34"/>
      <c r="P2436" s="34"/>
      <c r="Q2436" s="31" t="s">
        <v>307</v>
      </c>
      <c r="R2436" s="32">
        <v>33779.0</v>
      </c>
      <c r="S2436" s="31" t="s">
        <v>7105</v>
      </c>
      <c r="T2436" s="31" t="s">
        <v>1657</v>
      </c>
      <c r="U2436" s="31" t="s">
        <v>271</v>
      </c>
      <c r="V2436" s="34"/>
      <c r="W2436" s="34"/>
    </row>
    <row r="2437">
      <c r="A2437" s="30">
        <v>2.432</v>
      </c>
      <c r="B2437" s="31" t="s">
        <v>9569</v>
      </c>
      <c r="C2437" s="31" t="s">
        <v>9570</v>
      </c>
      <c r="D2437" s="31" t="s">
        <v>2462</v>
      </c>
      <c r="E2437" s="31" t="s">
        <v>2463</v>
      </c>
      <c r="F2437" s="32">
        <v>44823.0</v>
      </c>
      <c r="G2437" s="35">
        <v>44884.0</v>
      </c>
      <c r="H2437" s="31" t="s">
        <v>262</v>
      </c>
      <c r="I2437" s="31" t="s">
        <v>2463</v>
      </c>
      <c r="J2437" s="34"/>
      <c r="K2437" s="31" t="s">
        <v>2464</v>
      </c>
      <c r="L2437" s="31" t="s">
        <v>2465</v>
      </c>
      <c r="M2437" s="31" t="s">
        <v>9571</v>
      </c>
      <c r="N2437" s="31" t="s">
        <v>467</v>
      </c>
      <c r="O2437" s="34"/>
      <c r="P2437" s="34"/>
      <c r="Q2437" s="31" t="s">
        <v>307</v>
      </c>
      <c r="R2437" s="32">
        <v>36864.0</v>
      </c>
      <c r="S2437" s="31" t="s">
        <v>5691</v>
      </c>
      <c r="T2437" s="31" t="s">
        <v>1647</v>
      </c>
      <c r="U2437" s="31" t="s">
        <v>271</v>
      </c>
      <c r="V2437" s="34"/>
      <c r="W2437" s="34"/>
    </row>
    <row r="2438">
      <c r="A2438" s="30">
        <v>2.433</v>
      </c>
      <c r="B2438" s="31" t="s">
        <v>9572</v>
      </c>
      <c r="C2438" s="31" t="s">
        <v>9573</v>
      </c>
      <c r="D2438" s="31" t="s">
        <v>3644</v>
      </c>
      <c r="E2438" s="31" t="s">
        <v>2463</v>
      </c>
      <c r="F2438" s="32">
        <v>43627.0</v>
      </c>
      <c r="G2438" s="32">
        <v>43688.0</v>
      </c>
      <c r="H2438" s="31" t="s">
        <v>262</v>
      </c>
      <c r="I2438" s="31" t="s">
        <v>2463</v>
      </c>
      <c r="J2438" s="34"/>
      <c r="K2438" s="31" t="s">
        <v>2464</v>
      </c>
      <c r="L2438" s="31" t="s">
        <v>3646</v>
      </c>
      <c r="M2438" s="31" t="s">
        <v>9574</v>
      </c>
      <c r="N2438" s="31" t="s">
        <v>467</v>
      </c>
      <c r="O2438" s="34"/>
      <c r="P2438" s="34"/>
      <c r="Q2438" s="31" t="s">
        <v>307</v>
      </c>
      <c r="R2438" s="32">
        <v>34509.0</v>
      </c>
      <c r="S2438" s="31" t="s">
        <v>9575</v>
      </c>
      <c r="T2438" s="31" t="s">
        <v>2101</v>
      </c>
      <c r="U2438" s="31" t="s">
        <v>271</v>
      </c>
      <c r="V2438" s="34"/>
      <c r="W2438" s="34"/>
    </row>
    <row r="2439">
      <c r="A2439" s="30">
        <v>2.434</v>
      </c>
      <c r="B2439" s="31" t="s">
        <v>9576</v>
      </c>
      <c r="C2439" s="31" t="s">
        <v>9577</v>
      </c>
      <c r="D2439" s="31" t="s">
        <v>3644</v>
      </c>
      <c r="E2439" s="31" t="s">
        <v>2463</v>
      </c>
      <c r="F2439" s="32">
        <v>39828.0</v>
      </c>
      <c r="G2439" s="32">
        <v>39887.0</v>
      </c>
      <c r="H2439" s="31" t="s">
        <v>262</v>
      </c>
      <c r="I2439" s="31" t="s">
        <v>2463</v>
      </c>
      <c r="J2439" s="34"/>
      <c r="K2439" s="31" t="s">
        <v>2464</v>
      </c>
      <c r="L2439" s="31" t="s">
        <v>3646</v>
      </c>
      <c r="M2439" s="31" t="s">
        <v>9578</v>
      </c>
      <c r="N2439" s="31" t="s">
        <v>467</v>
      </c>
      <c r="O2439" s="34"/>
      <c r="P2439" s="34"/>
      <c r="Q2439" s="31" t="s">
        <v>307</v>
      </c>
      <c r="R2439" s="32">
        <v>27917.0</v>
      </c>
      <c r="S2439" s="34"/>
      <c r="T2439" s="34"/>
      <c r="U2439" s="31" t="s">
        <v>271</v>
      </c>
      <c r="V2439" s="34"/>
      <c r="W2439" s="34"/>
    </row>
    <row r="2440">
      <c r="A2440" s="30">
        <v>2.435</v>
      </c>
      <c r="B2440" s="31" t="s">
        <v>9579</v>
      </c>
      <c r="C2440" s="31" t="s">
        <v>9580</v>
      </c>
      <c r="D2440" s="31" t="s">
        <v>2422</v>
      </c>
      <c r="E2440" s="31" t="s">
        <v>38</v>
      </c>
      <c r="F2440" s="32">
        <v>43665.0</v>
      </c>
      <c r="G2440" s="32">
        <v>43727.0</v>
      </c>
      <c r="H2440" s="31" t="s">
        <v>262</v>
      </c>
      <c r="I2440" s="31" t="s">
        <v>38</v>
      </c>
      <c r="J2440" s="34"/>
      <c r="K2440" s="31" t="s">
        <v>2423</v>
      </c>
      <c r="L2440" s="31" t="s">
        <v>2424</v>
      </c>
      <c r="M2440" s="31" t="s">
        <v>9581</v>
      </c>
      <c r="N2440" s="31" t="s">
        <v>267</v>
      </c>
      <c r="O2440" s="34"/>
      <c r="P2440" s="34"/>
      <c r="Q2440" s="31" t="s">
        <v>307</v>
      </c>
      <c r="R2440" s="32">
        <v>36001.0</v>
      </c>
      <c r="S2440" s="31" t="s">
        <v>4592</v>
      </c>
      <c r="T2440" s="31" t="s">
        <v>1686</v>
      </c>
      <c r="U2440" s="31" t="s">
        <v>271</v>
      </c>
      <c r="V2440" s="34"/>
      <c r="W2440" s="34"/>
    </row>
    <row r="2441">
      <c r="A2441" s="30">
        <v>2.436</v>
      </c>
      <c r="B2441" s="31" t="s">
        <v>9582</v>
      </c>
      <c r="C2441" s="31" t="s">
        <v>9583</v>
      </c>
      <c r="D2441" s="31" t="s">
        <v>8481</v>
      </c>
      <c r="E2441" s="31" t="s">
        <v>2463</v>
      </c>
      <c r="F2441" s="32">
        <v>43588.0</v>
      </c>
      <c r="G2441" s="32">
        <v>43649.0</v>
      </c>
      <c r="H2441" s="31" t="s">
        <v>262</v>
      </c>
      <c r="I2441" s="31" t="s">
        <v>2463</v>
      </c>
      <c r="J2441" s="34"/>
      <c r="K2441" s="31" t="s">
        <v>2464</v>
      </c>
      <c r="L2441" s="31" t="s">
        <v>8482</v>
      </c>
      <c r="M2441" s="31" t="s">
        <v>9584</v>
      </c>
      <c r="N2441" s="31" t="s">
        <v>267</v>
      </c>
      <c r="O2441" s="34"/>
      <c r="P2441" s="34"/>
      <c r="Q2441" s="31" t="s">
        <v>307</v>
      </c>
      <c r="R2441" s="32">
        <v>33776.0</v>
      </c>
      <c r="S2441" s="31" t="s">
        <v>531</v>
      </c>
      <c r="T2441" s="31" t="s">
        <v>1657</v>
      </c>
      <c r="U2441" s="31" t="s">
        <v>271</v>
      </c>
      <c r="V2441" s="34"/>
      <c r="W2441" s="34"/>
    </row>
    <row r="2442">
      <c r="A2442" s="30">
        <v>2.437</v>
      </c>
      <c r="B2442" s="31" t="s">
        <v>9585</v>
      </c>
      <c r="C2442" s="31" t="s">
        <v>9586</v>
      </c>
      <c r="D2442" s="31" t="s">
        <v>6795</v>
      </c>
      <c r="E2442" s="31" t="s">
        <v>2463</v>
      </c>
      <c r="F2442" s="32">
        <v>39663.0</v>
      </c>
      <c r="G2442" s="32">
        <v>39723.0</v>
      </c>
      <c r="H2442" s="31" t="s">
        <v>262</v>
      </c>
      <c r="I2442" s="31" t="s">
        <v>2463</v>
      </c>
      <c r="J2442" s="34"/>
      <c r="K2442" s="31" t="s">
        <v>2464</v>
      </c>
      <c r="L2442" s="31" t="s">
        <v>6796</v>
      </c>
      <c r="M2442" s="31" t="s">
        <v>9587</v>
      </c>
      <c r="N2442" s="31" t="s">
        <v>467</v>
      </c>
      <c r="O2442" s="34"/>
      <c r="P2442" s="34"/>
      <c r="Q2442" s="31" t="s">
        <v>307</v>
      </c>
      <c r="R2442" s="32">
        <v>31354.0</v>
      </c>
      <c r="S2442" s="31" t="s">
        <v>1332</v>
      </c>
      <c r="T2442" s="31" t="s">
        <v>1476</v>
      </c>
      <c r="U2442" s="31" t="s">
        <v>271</v>
      </c>
      <c r="V2442" s="34"/>
      <c r="W2442" s="34"/>
    </row>
    <row r="2443">
      <c r="A2443" s="30">
        <v>2.438</v>
      </c>
      <c r="B2443" s="31" t="s">
        <v>9588</v>
      </c>
      <c r="C2443" s="31" t="s">
        <v>7634</v>
      </c>
      <c r="D2443" s="31" t="s">
        <v>7721</v>
      </c>
      <c r="E2443" s="31" t="s">
        <v>2474</v>
      </c>
      <c r="F2443" s="32">
        <v>43733.0</v>
      </c>
      <c r="G2443" s="35">
        <v>43794.0</v>
      </c>
      <c r="H2443" s="31" t="s">
        <v>262</v>
      </c>
      <c r="I2443" s="31" t="s">
        <v>2474</v>
      </c>
      <c r="J2443" s="34"/>
      <c r="K2443" s="31" t="s">
        <v>2475</v>
      </c>
      <c r="L2443" s="31" t="s">
        <v>7722</v>
      </c>
      <c r="M2443" s="31" t="s">
        <v>9589</v>
      </c>
      <c r="N2443" s="31" t="s">
        <v>267</v>
      </c>
      <c r="O2443" s="34"/>
      <c r="P2443" s="34"/>
      <c r="Q2443" s="31" t="s">
        <v>307</v>
      </c>
      <c r="R2443" s="32">
        <v>35513.0</v>
      </c>
      <c r="S2443" s="31" t="s">
        <v>320</v>
      </c>
      <c r="T2443" s="31" t="s">
        <v>1666</v>
      </c>
      <c r="U2443" s="31" t="s">
        <v>271</v>
      </c>
      <c r="V2443" s="34"/>
      <c r="W2443" s="34"/>
    </row>
    <row r="2444">
      <c r="A2444" s="30">
        <v>2.439</v>
      </c>
      <c r="B2444" s="31" t="s">
        <v>9590</v>
      </c>
      <c r="C2444" s="31" t="s">
        <v>9591</v>
      </c>
      <c r="D2444" s="31" t="s">
        <v>9191</v>
      </c>
      <c r="E2444" s="31" t="s">
        <v>2463</v>
      </c>
      <c r="F2444" s="32">
        <v>40374.0</v>
      </c>
      <c r="G2444" s="32">
        <v>40436.0</v>
      </c>
      <c r="H2444" s="31" t="s">
        <v>262</v>
      </c>
      <c r="I2444" s="31" t="s">
        <v>2463</v>
      </c>
      <c r="J2444" s="34"/>
      <c r="K2444" s="31" t="s">
        <v>2464</v>
      </c>
      <c r="L2444" s="31" t="s">
        <v>9192</v>
      </c>
      <c r="M2444" s="31" t="s">
        <v>9592</v>
      </c>
      <c r="N2444" s="31" t="s">
        <v>467</v>
      </c>
      <c r="O2444" s="34"/>
      <c r="P2444" s="34"/>
      <c r="Q2444" s="31" t="s">
        <v>307</v>
      </c>
      <c r="R2444" s="35">
        <v>32121.0</v>
      </c>
      <c r="S2444" s="31" t="s">
        <v>1332</v>
      </c>
      <c r="T2444" s="31" t="s">
        <v>1476</v>
      </c>
      <c r="U2444" s="31" t="s">
        <v>271</v>
      </c>
      <c r="V2444" s="34"/>
      <c r="W2444" s="34"/>
    </row>
    <row r="2445">
      <c r="A2445" s="30">
        <v>2.44</v>
      </c>
      <c r="B2445" s="31" t="s">
        <v>9593</v>
      </c>
      <c r="C2445" s="31" t="s">
        <v>9594</v>
      </c>
      <c r="D2445" s="31" t="s">
        <v>3644</v>
      </c>
      <c r="E2445" s="31" t="s">
        <v>2463</v>
      </c>
      <c r="F2445" s="32">
        <v>42433.0</v>
      </c>
      <c r="G2445" s="32">
        <v>42494.0</v>
      </c>
      <c r="H2445" s="31" t="s">
        <v>262</v>
      </c>
      <c r="I2445" s="31" t="s">
        <v>2463</v>
      </c>
      <c r="J2445" s="34"/>
      <c r="K2445" s="31" t="s">
        <v>2464</v>
      </c>
      <c r="L2445" s="31" t="s">
        <v>3646</v>
      </c>
      <c r="M2445" s="31" t="s">
        <v>9595</v>
      </c>
      <c r="N2445" s="31" t="s">
        <v>267</v>
      </c>
      <c r="O2445" s="34"/>
      <c r="P2445" s="34"/>
      <c r="Q2445" s="31" t="s">
        <v>307</v>
      </c>
      <c r="R2445" s="35">
        <v>33933.0</v>
      </c>
      <c r="S2445" s="31" t="s">
        <v>531</v>
      </c>
      <c r="T2445" s="31" t="s">
        <v>9596</v>
      </c>
      <c r="U2445" s="31" t="s">
        <v>271</v>
      </c>
      <c r="V2445" s="34"/>
      <c r="W2445" s="34"/>
    </row>
    <row r="2446">
      <c r="A2446" s="30">
        <v>2.441</v>
      </c>
      <c r="B2446" s="31" t="s">
        <v>9597</v>
      </c>
      <c r="C2446" s="31" t="s">
        <v>9598</v>
      </c>
      <c r="D2446" s="31" t="s">
        <v>2867</v>
      </c>
      <c r="E2446" s="31" t="s">
        <v>2463</v>
      </c>
      <c r="F2446" s="32">
        <v>41610.0</v>
      </c>
      <c r="G2446" s="32">
        <v>41672.0</v>
      </c>
      <c r="H2446" s="31" t="s">
        <v>262</v>
      </c>
      <c r="I2446" s="31" t="s">
        <v>2463</v>
      </c>
      <c r="J2446" s="34"/>
      <c r="K2446" s="31" t="s">
        <v>2464</v>
      </c>
      <c r="L2446" s="31" t="s">
        <v>2869</v>
      </c>
      <c r="M2446" s="31" t="s">
        <v>9599</v>
      </c>
      <c r="N2446" s="31" t="s">
        <v>467</v>
      </c>
      <c r="O2446" s="34"/>
      <c r="P2446" s="34"/>
      <c r="Q2446" s="31" t="s">
        <v>307</v>
      </c>
      <c r="R2446" s="32">
        <v>31504.0</v>
      </c>
      <c r="S2446" s="31" t="s">
        <v>9600</v>
      </c>
      <c r="T2446" s="31" t="s">
        <v>9601</v>
      </c>
      <c r="U2446" s="31" t="s">
        <v>271</v>
      </c>
      <c r="V2446" s="34"/>
      <c r="W2446" s="34"/>
    </row>
    <row r="2447">
      <c r="A2447" s="30">
        <v>2.442</v>
      </c>
      <c r="B2447" s="31" t="s">
        <v>9602</v>
      </c>
      <c r="C2447" s="31" t="s">
        <v>9603</v>
      </c>
      <c r="D2447" s="31" t="s">
        <v>313</v>
      </c>
      <c r="E2447" s="31" t="s">
        <v>3068</v>
      </c>
      <c r="F2447" s="32">
        <v>44739.0</v>
      </c>
      <c r="G2447" s="32">
        <v>44800.0</v>
      </c>
      <c r="H2447" s="31" t="s">
        <v>2811</v>
      </c>
      <c r="I2447" s="31" t="s">
        <v>2797</v>
      </c>
      <c r="J2447" s="31" t="s">
        <v>3068</v>
      </c>
      <c r="K2447" s="31" t="s">
        <v>3069</v>
      </c>
      <c r="L2447" s="31" t="s">
        <v>318</v>
      </c>
      <c r="M2447" s="31" t="s">
        <v>9604</v>
      </c>
      <c r="N2447" s="31" t="s">
        <v>467</v>
      </c>
      <c r="O2447" s="34"/>
      <c r="P2447" s="31">
        <v>2.0</v>
      </c>
      <c r="Q2447" s="31" t="s">
        <v>307</v>
      </c>
      <c r="R2447" s="32">
        <v>35553.0</v>
      </c>
      <c r="S2447" s="31" t="s">
        <v>515</v>
      </c>
      <c r="T2447" s="31" t="s">
        <v>8531</v>
      </c>
      <c r="U2447" s="31" t="s">
        <v>2914</v>
      </c>
      <c r="V2447" s="34"/>
      <c r="W2447" s="34"/>
    </row>
    <row r="2448">
      <c r="A2448" s="30">
        <v>2.443</v>
      </c>
      <c r="B2448" s="31" t="s">
        <v>9605</v>
      </c>
      <c r="C2448" s="31" t="s">
        <v>5884</v>
      </c>
      <c r="D2448" s="31" t="s">
        <v>313</v>
      </c>
      <c r="E2448" s="31" t="s">
        <v>3068</v>
      </c>
      <c r="F2448" s="32">
        <v>43171.0</v>
      </c>
      <c r="G2448" s="32">
        <v>43251.0</v>
      </c>
      <c r="H2448" s="31" t="s">
        <v>2811</v>
      </c>
      <c r="I2448" s="31" t="s">
        <v>2797</v>
      </c>
      <c r="J2448" s="31" t="s">
        <v>3068</v>
      </c>
      <c r="K2448" s="31" t="s">
        <v>3069</v>
      </c>
      <c r="L2448" s="31" t="s">
        <v>318</v>
      </c>
      <c r="M2448" s="31" t="s">
        <v>9606</v>
      </c>
      <c r="N2448" s="31" t="s">
        <v>267</v>
      </c>
      <c r="O2448" s="34"/>
      <c r="P2448" s="31">
        <v>8.0</v>
      </c>
      <c r="Q2448" s="31" t="s">
        <v>307</v>
      </c>
      <c r="R2448" s="32">
        <v>32056.0</v>
      </c>
      <c r="S2448" s="31" t="s">
        <v>531</v>
      </c>
      <c r="T2448" s="31" t="s">
        <v>9607</v>
      </c>
      <c r="U2448" s="31" t="s">
        <v>2914</v>
      </c>
      <c r="V2448" s="34"/>
      <c r="W2448" s="34"/>
    </row>
    <row r="2449">
      <c r="A2449" s="30">
        <v>2.444</v>
      </c>
      <c r="B2449" s="31" t="s">
        <v>9608</v>
      </c>
      <c r="C2449" s="31" t="s">
        <v>9609</v>
      </c>
      <c r="D2449" s="31" t="s">
        <v>1541</v>
      </c>
      <c r="E2449" s="31" t="s">
        <v>3068</v>
      </c>
      <c r="F2449" s="32">
        <v>42074.0</v>
      </c>
      <c r="G2449" s="32">
        <v>42167.0</v>
      </c>
      <c r="H2449" s="31" t="s">
        <v>2811</v>
      </c>
      <c r="I2449" s="31" t="s">
        <v>2797</v>
      </c>
      <c r="J2449" s="31" t="s">
        <v>3068</v>
      </c>
      <c r="K2449" s="31" t="s">
        <v>3069</v>
      </c>
      <c r="L2449" s="31" t="s">
        <v>1542</v>
      </c>
      <c r="M2449" s="31" t="s">
        <v>9610</v>
      </c>
      <c r="N2449" s="31" t="s">
        <v>267</v>
      </c>
      <c r="O2449" s="31">
        <v>1.0</v>
      </c>
      <c r="P2449" s="31">
        <v>6.0</v>
      </c>
      <c r="Q2449" s="31" t="s">
        <v>307</v>
      </c>
      <c r="R2449" s="35">
        <v>31351.0</v>
      </c>
      <c r="S2449" s="31" t="s">
        <v>560</v>
      </c>
      <c r="T2449" s="31" t="s">
        <v>9611</v>
      </c>
      <c r="U2449" s="31" t="s">
        <v>2914</v>
      </c>
      <c r="V2449" s="34"/>
      <c r="W2449" s="34"/>
    </row>
    <row r="2450">
      <c r="A2450" s="30">
        <v>2.445</v>
      </c>
      <c r="B2450" s="31" t="s">
        <v>9612</v>
      </c>
      <c r="C2450" s="31" t="s">
        <v>9613</v>
      </c>
      <c r="D2450" s="31" t="s">
        <v>313</v>
      </c>
      <c r="E2450" s="31" t="s">
        <v>3068</v>
      </c>
      <c r="F2450" s="32">
        <v>43112.0</v>
      </c>
      <c r="G2450" s="32">
        <v>43171.0</v>
      </c>
      <c r="H2450" s="31" t="s">
        <v>2811</v>
      </c>
      <c r="I2450" s="31" t="s">
        <v>2797</v>
      </c>
      <c r="J2450" s="31" t="s">
        <v>3068</v>
      </c>
      <c r="K2450" s="31" t="s">
        <v>3069</v>
      </c>
      <c r="L2450" s="31" t="s">
        <v>318</v>
      </c>
      <c r="M2450" s="31" t="s">
        <v>9614</v>
      </c>
      <c r="N2450" s="31" t="s">
        <v>467</v>
      </c>
      <c r="O2450" s="34"/>
      <c r="P2450" s="31">
        <v>5.0</v>
      </c>
      <c r="Q2450" s="31" t="s">
        <v>307</v>
      </c>
      <c r="R2450" s="32">
        <v>33262.0</v>
      </c>
      <c r="S2450" s="31" t="s">
        <v>717</v>
      </c>
      <c r="T2450" s="31" t="s">
        <v>4722</v>
      </c>
      <c r="U2450" s="31" t="s">
        <v>2914</v>
      </c>
      <c r="V2450" s="34"/>
      <c r="W2450" s="34"/>
    </row>
    <row r="2451">
      <c r="A2451" s="30">
        <v>2.446</v>
      </c>
      <c r="B2451" s="31" t="s">
        <v>9615</v>
      </c>
      <c r="C2451" s="31" t="s">
        <v>9616</v>
      </c>
      <c r="D2451" s="31" t="s">
        <v>260</v>
      </c>
      <c r="E2451" s="31" t="s">
        <v>2810</v>
      </c>
      <c r="F2451" s="35">
        <v>43817.0</v>
      </c>
      <c r="G2451" s="32">
        <v>43879.0</v>
      </c>
      <c r="H2451" s="31" t="s">
        <v>325</v>
      </c>
      <c r="I2451" s="31" t="s">
        <v>2810</v>
      </c>
      <c r="J2451" s="34"/>
      <c r="K2451" s="31" t="s">
        <v>7631</v>
      </c>
      <c r="L2451" s="31" t="s">
        <v>2965</v>
      </c>
      <c r="M2451" s="31" t="s">
        <v>9617</v>
      </c>
      <c r="N2451" s="31" t="s">
        <v>267</v>
      </c>
      <c r="O2451" s="34"/>
      <c r="P2451" s="31">
        <v>3.0</v>
      </c>
      <c r="Q2451" s="31" t="s">
        <v>307</v>
      </c>
      <c r="R2451" s="35">
        <v>35713.0</v>
      </c>
      <c r="S2451" s="31" t="s">
        <v>9618</v>
      </c>
      <c r="T2451" s="31" t="s">
        <v>2744</v>
      </c>
      <c r="U2451" s="31" t="s">
        <v>331</v>
      </c>
      <c r="V2451" s="34"/>
      <c r="W2451" s="34"/>
    </row>
    <row r="2452">
      <c r="A2452" s="30">
        <v>2.447</v>
      </c>
      <c r="B2452" s="31" t="s">
        <v>9619</v>
      </c>
      <c r="C2452" s="31" t="s">
        <v>9620</v>
      </c>
      <c r="D2452" s="31" t="s">
        <v>1535</v>
      </c>
      <c r="E2452" s="31" t="s">
        <v>2797</v>
      </c>
      <c r="F2452" s="35">
        <v>42289.0</v>
      </c>
      <c r="G2452" s="35">
        <v>42351.0</v>
      </c>
      <c r="H2452" s="31" t="s">
        <v>325</v>
      </c>
      <c r="I2452" s="31" t="s">
        <v>2797</v>
      </c>
      <c r="J2452" s="34"/>
      <c r="K2452" s="31" t="s">
        <v>9621</v>
      </c>
      <c r="L2452" s="31" t="s">
        <v>1537</v>
      </c>
      <c r="M2452" s="31" t="s">
        <v>9622</v>
      </c>
      <c r="N2452" s="31" t="s">
        <v>467</v>
      </c>
      <c r="O2452" s="31">
        <v>2.0</v>
      </c>
      <c r="P2452" s="31">
        <v>2.0</v>
      </c>
      <c r="Q2452" s="31" t="s">
        <v>307</v>
      </c>
      <c r="R2452" s="32">
        <v>34116.0</v>
      </c>
      <c r="S2452" s="31" t="s">
        <v>1085</v>
      </c>
      <c r="T2452" s="31" t="s">
        <v>2764</v>
      </c>
      <c r="U2452" s="31" t="s">
        <v>331</v>
      </c>
      <c r="V2452" s="34"/>
      <c r="W2452" s="34"/>
    </row>
    <row r="2453">
      <c r="A2453" s="30">
        <v>2.448</v>
      </c>
      <c r="B2453" s="31" t="s">
        <v>9623</v>
      </c>
      <c r="C2453" s="31" t="s">
        <v>9624</v>
      </c>
      <c r="D2453" s="31" t="s">
        <v>2429</v>
      </c>
      <c r="E2453" s="31" t="s">
        <v>2430</v>
      </c>
      <c r="F2453" s="32">
        <v>42961.0</v>
      </c>
      <c r="G2453" s="35">
        <v>43022.0</v>
      </c>
      <c r="H2453" s="31" t="s">
        <v>346</v>
      </c>
      <c r="I2453" s="31" t="s">
        <v>2430</v>
      </c>
      <c r="J2453" s="34"/>
      <c r="K2453" s="31" t="s">
        <v>3272</v>
      </c>
      <c r="L2453" s="31" t="s">
        <v>2432</v>
      </c>
      <c r="M2453" s="31" t="s">
        <v>9625</v>
      </c>
      <c r="N2453" s="31" t="s">
        <v>267</v>
      </c>
      <c r="O2453" s="34"/>
      <c r="P2453" s="34"/>
      <c r="Q2453" s="31" t="s">
        <v>307</v>
      </c>
      <c r="R2453" s="32">
        <v>34977.0</v>
      </c>
      <c r="S2453" s="31" t="s">
        <v>320</v>
      </c>
      <c r="T2453" s="31" t="s">
        <v>5725</v>
      </c>
      <c r="U2453" s="31" t="s">
        <v>352</v>
      </c>
      <c r="V2453" s="34"/>
      <c r="W2453" s="34"/>
    </row>
    <row r="2454">
      <c r="A2454" s="30">
        <v>2.449</v>
      </c>
      <c r="B2454" s="31" t="s">
        <v>9626</v>
      </c>
      <c r="C2454" s="31" t="s">
        <v>9627</v>
      </c>
      <c r="D2454" s="31" t="s">
        <v>2422</v>
      </c>
      <c r="E2454" s="31" t="s">
        <v>38</v>
      </c>
      <c r="F2454" s="32">
        <v>41076.0</v>
      </c>
      <c r="G2454" s="32">
        <v>41122.0</v>
      </c>
      <c r="H2454" s="31" t="s">
        <v>346</v>
      </c>
      <c r="I2454" s="31" t="s">
        <v>38</v>
      </c>
      <c r="J2454" s="34"/>
      <c r="K2454" s="31" t="s">
        <v>347</v>
      </c>
      <c r="L2454" s="31" t="s">
        <v>2424</v>
      </c>
      <c r="M2454" s="31" t="s">
        <v>9628</v>
      </c>
      <c r="N2454" s="31" t="s">
        <v>267</v>
      </c>
      <c r="O2454" s="34"/>
      <c r="P2454" s="34"/>
      <c r="Q2454" s="31" t="s">
        <v>307</v>
      </c>
      <c r="R2454" s="32">
        <v>33080.0</v>
      </c>
      <c r="S2454" s="31" t="s">
        <v>700</v>
      </c>
      <c r="T2454" s="31" t="s">
        <v>4337</v>
      </c>
      <c r="U2454" s="31" t="s">
        <v>352</v>
      </c>
      <c r="V2454" s="34"/>
      <c r="W2454" s="34"/>
    </row>
    <row r="2455">
      <c r="A2455" s="30">
        <v>2.45</v>
      </c>
      <c r="B2455" s="31" t="s">
        <v>9629</v>
      </c>
      <c r="C2455" s="31" t="s">
        <v>9630</v>
      </c>
      <c r="D2455" s="31" t="s">
        <v>6479</v>
      </c>
      <c r="E2455" s="31" t="s">
        <v>38</v>
      </c>
      <c r="F2455" s="32">
        <v>42109.0</v>
      </c>
      <c r="G2455" s="32">
        <v>42171.0</v>
      </c>
      <c r="H2455" s="31" t="s">
        <v>346</v>
      </c>
      <c r="I2455" s="31" t="s">
        <v>38</v>
      </c>
      <c r="J2455" s="34"/>
      <c r="K2455" s="31" t="s">
        <v>347</v>
      </c>
      <c r="L2455" s="31" t="s">
        <v>6480</v>
      </c>
      <c r="M2455" s="31" t="s">
        <v>9631</v>
      </c>
      <c r="N2455" s="31" t="s">
        <v>267</v>
      </c>
      <c r="O2455" s="34"/>
      <c r="P2455" s="34"/>
      <c r="Q2455" s="31" t="s">
        <v>307</v>
      </c>
      <c r="R2455" s="32">
        <v>34096.0</v>
      </c>
      <c r="S2455" s="31" t="s">
        <v>700</v>
      </c>
      <c r="T2455" s="31" t="s">
        <v>503</v>
      </c>
      <c r="U2455" s="31" t="s">
        <v>361</v>
      </c>
      <c r="V2455" s="34"/>
      <c r="W2455" s="34"/>
    </row>
    <row r="2456">
      <c r="A2456" s="30">
        <v>2.451</v>
      </c>
      <c r="B2456" s="31" t="s">
        <v>9632</v>
      </c>
      <c r="C2456" s="31" t="s">
        <v>7496</v>
      </c>
      <c r="D2456" s="31" t="s">
        <v>345</v>
      </c>
      <c r="E2456" s="31" t="s">
        <v>38</v>
      </c>
      <c r="F2456" s="32">
        <v>43650.0</v>
      </c>
      <c r="G2456" s="32">
        <v>43712.0</v>
      </c>
      <c r="H2456" s="31" t="s">
        <v>346</v>
      </c>
      <c r="I2456" s="31" t="s">
        <v>38</v>
      </c>
      <c r="J2456" s="34"/>
      <c r="K2456" s="31" t="s">
        <v>347</v>
      </c>
      <c r="L2456" s="31" t="s">
        <v>348</v>
      </c>
      <c r="M2456" s="31" t="s">
        <v>9633</v>
      </c>
      <c r="N2456" s="31" t="s">
        <v>467</v>
      </c>
      <c r="O2456" s="34"/>
      <c r="P2456" s="34"/>
      <c r="Q2456" s="31" t="s">
        <v>307</v>
      </c>
      <c r="R2456" s="32">
        <v>35244.0</v>
      </c>
      <c r="S2456" s="31" t="s">
        <v>1398</v>
      </c>
      <c r="T2456" s="31" t="s">
        <v>9197</v>
      </c>
      <c r="U2456" s="31" t="s">
        <v>352</v>
      </c>
      <c r="V2456" s="34"/>
      <c r="W2456" s="34"/>
    </row>
    <row r="2457">
      <c r="A2457" s="30">
        <v>2.452</v>
      </c>
      <c r="B2457" s="31" t="s">
        <v>9634</v>
      </c>
      <c r="C2457" s="31" t="s">
        <v>9635</v>
      </c>
      <c r="D2457" s="31" t="s">
        <v>9636</v>
      </c>
      <c r="E2457" s="31" t="s">
        <v>36</v>
      </c>
      <c r="F2457" s="35">
        <v>43032.0</v>
      </c>
      <c r="G2457" s="35">
        <v>43093.0</v>
      </c>
      <c r="H2457" s="31" t="s">
        <v>346</v>
      </c>
      <c r="I2457" s="31" t="s">
        <v>36</v>
      </c>
      <c r="J2457" s="34"/>
      <c r="K2457" s="31" t="s">
        <v>7593</v>
      </c>
      <c r="L2457" s="31" t="s">
        <v>9637</v>
      </c>
      <c r="M2457" s="31" t="s">
        <v>9638</v>
      </c>
      <c r="N2457" s="31" t="s">
        <v>467</v>
      </c>
      <c r="O2457" s="31">
        <v>2.0</v>
      </c>
      <c r="P2457" s="34"/>
      <c r="Q2457" s="31" t="s">
        <v>307</v>
      </c>
      <c r="R2457" s="32">
        <v>34850.0</v>
      </c>
      <c r="S2457" s="31" t="s">
        <v>874</v>
      </c>
      <c r="T2457" s="31" t="s">
        <v>999</v>
      </c>
      <c r="U2457" s="31" t="s">
        <v>352</v>
      </c>
      <c r="V2457" s="34"/>
      <c r="W2457" s="34"/>
    </row>
    <row r="2458">
      <c r="A2458" s="30">
        <v>2.453</v>
      </c>
      <c r="B2458" s="31" t="s">
        <v>9639</v>
      </c>
      <c r="C2458" s="31" t="s">
        <v>9640</v>
      </c>
      <c r="D2458" s="31" t="s">
        <v>9641</v>
      </c>
      <c r="E2458" s="31" t="s">
        <v>38</v>
      </c>
      <c r="F2458" s="35">
        <v>44880.0</v>
      </c>
      <c r="G2458" s="32">
        <v>44941.0</v>
      </c>
      <c r="H2458" s="31" t="s">
        <v>346</v>
      </c>
      <c r="I2458" s="31" t="s">
        <v>38</v>
      </c>
      <c r="J2458" s="34"/>
      <c r="K2458" s="31" t="s">
        <v>347</v>
      </c>
      <c r="L2458" s="31" t="s">
        <v>9642</v>
      </c>
      <c r="M2458" s="31" t="s">
        <v>9643</v>
      </c>
      <c r="N2458" s="31" t="s">
        <v>267</v>
      </c>
      <c r="O2458" s="34"/>
      <c r="P2458" s="34"/>
      <c r="Q2458" s="31" t="s">
        <v>307</v>
      </c>
      <c r="R2458" s="32">
        <v>35451.0</v>
      </c>
      <c r="S2458" s="31" t="s">
        <v>9644</v>
      </c>
      <c r="T2458" s="31" t="s">
        <v>9645</v>
      </c>
      <c r="U2458" s="31" t="s">
        <v>352</v>
      </c>
      <c r="V2458" s="34"/>
      <c r="W2458" s="34"/>
    </row>
    <row r="2459">
      <c r="A2459" s="30">
        <v>2.454</v>
      </c>
      <c r="B2459" s="31" t="s">
        <v>9646</v>
      </c>
      <c r="C2459" s="31" t="s">
        <v>5172</v>
      </c>
      <c r="D2459" s="31" t="s">
        <v>2662</v>
      </c>
      <c r="E2459" s="31" t="s">
        <v>113</v>
      </c>
      <c r="F2459" s="32">
        <v>39995.0</v>
      </c>
      <c r="G2459" s="32">
        <v>40057.0</v>
      </c>
      <c r="H2459" s="31" t="s">
        <v>346</v>
      </c>
      <c r="I2459" s="31" t="s">
        <v>112</v>
      </c>
      <c r="J2459" s="31" t="s">
        <v>113</v>
      </c>
      <c r="K2459" s="31" t="s">
        <v>9647</v>
      </c>
      <c r="L2459" s="31" t="s">
        <v>7662</v>
      </c>
      <c r="M2459" s="31" t="s">
        <v>9648</v>
      </c>
      <c r="N2459" s="31" t="s">
        <v>267</v>
      </c>
      <c r="O2459" s="31">
        <v>3.0</v>
      </c>
      <c r="P2459" s="34"/>
      <c r="Q2459" s="31" t="s">
        <v>307</v>
      </c>
      <c r="R2459" s="32">
        <v>31203.0</v>
      </c>
      <c r="S2459" s="31" t="s">
        <v>320</v>
      </c>
      <c r="T2459" s="31" t="s">
        <v>665</v>
      </c>
      <c r="U2459" s="31" t="s">
        <v>361</v>
      </c>
      <c r="V2459" s="34"/>
      <c r="W2459" s="34"/>
    </row>
    <row r="2460">
      <c r="A2460" s="30">
        <v>2.455</v>
      </c>
      <c r="B2460" s="31" t="s">
        <v>9649</v>
      </c>
      <c r="C2460" s="31" t="s">
        <v>9650</v>
      </c>
      <c r="D2460" s="31" t="s">
        <v>7236</v>
      </c>
      <c r="E2460" s="31" t="s">
        <v>8332</v>
      </c>
      <c r="F2460" s="32">
        <v>39888.0</v>
      </c>
      <c r="G2460" s="32">
        <v>40756.0</v>
      </c>
      <c r="H2460" s="31" t="s">
        <v>346</v>
      </c>
      <c r="I2460" s="31" t="s">
        <v>315</v>
      </c>
      <c r="J2460" s="31" t="s">
        <v>8332</v>
      </c>
      <c r="K2460" s="31" t="s">
        <v>8333</v>
      </c>
      <c r="L2460" s="31" t="s">
        <v>9651</v>
      </c>
      <c r="M2460" s="31" t="s">
        <v>9652</v>
      </c>
      <c r="N2460" s="31" t="s">
        <v>467</v>
      </c>
      <c r="O2460" s="31">
        <v>3.0</v>
      </c>
      <c r="P2460" s="34"/>
      <c r="Q2460" s="31" t="s">
        <v>307</v>
      </c>
      <c r="R2460" s="32">
        <v>30952.0</v>
      </c>
      <c r="S2460" s="31" t="s">
        <v>681</v>
      </c>
      <c r="T2460" s="31" t="s">
        <v>459</v>
      </c>
      <c r="U2460" s="31" t="s">
        <v>352</v>
      </c>
      <c r="V2460" s="34"/>
      <c r="W2460" s="34"/>
    </row>
    <row r="2461">
      <c r="A2461" s="30">
        <v>2.456</v>
      </c>
      <c r="B2461" s="31" t="s">
        <v>9653</v>
      </c>
      <c r="C2461" s="31" t="s">
        <v>9654</v>
      </c>
      <c r="D2461" s="31" t="s">
        <v>345</v>
      </c>
      <c r="E2461" s="31" t="s">
        <v>38</v>
      </c>
      <c r="F2461" s="32">
        <v>45068.0</v>
      </c>
      <c r="G2461" s="32">
        <v>45129.0</v>
      </c>
      <c r="H2461" s="31" t="s">
        <v>346</v>
      </c>
      <c r="I2461" s="31" t="s">
        <v>38</v>
      </c>
      <c r="J2461" s="34"/>
      <c r="K2461" s="31" t="s">
        <v>347</v>
      </c>
      <c r="L2461" s="31" t="s">
        <v>348</v>
      </c>
      <c r="M2461" s="31" t="s">
        <v>9655</v>
      </c>
      <c r="N2461" s="31" t="s">
        <v>267</v>
      </c>
      <c r="O2461" s="34"/>
      <c r="P2461" s="34"/>
      <c r="Q2461" s="31" t="s">
        <v>307</v>
      </c>
      <c r="R2461" s="32">
        <v>37166.0</v>
      </c>
      <c r="S2461" s="31" t="s">
        <v>1398</v>
      </c>
      <c r="T2461" s="31" t="s">
        <v>4367</v>
      </c>
      <c r="U2461" s="31" t="s">
        <v>352</v>
      </c>
      <c r="V2461" s="34"/>
      <c r="W2461" s="34"/>
    </row>
    <row r="2462">
      <c r="A2462" s="30">
        <v>2.457</v>
      </c>
      <c r="B2462" s="31" t="s">
        <v>9656</v>
      </c>
      <c r="C2462" s="31" t="s">
        <v>9657</v>
      </c>
      <c r="D2462" s="31" t="s">
        <v>2451</v>
      </c>
      <c r="E2462" s="31" t="s">
        <v>36</v>
      </c>
      <c r="F2462" s="32">
        <v>45027.0</v>
      </c>
      <c r="G2462" s="32">
        <v>45088.0</v>
      </c>
      <c r="H2462" s="31" t="s">
        <v>346</v>
      </c>
      <c r="I2462" s="31" t="s">
        <v>36</v>
      </c>
      <c r="J2462" s="34"/>
      <c r="K2462" s="31" t="s">
        <v>7593</v>
      </c>
      <c r="L2462" s="31" t="s">
        <v>2453</v>
      </c>
      <c r="M2462" s="31" t="s">
        <v>9658</v>
      </c>
      <c r="N2462" s="31" t="s">
        <v>267</v>
      </c>
      <c r="O2462" s="34"/>
      <c r="P2462" s="34"/>
      <c r="Q2462" s="31" t="s">
        <v>307</v>
      </c>
      <c r="R2462" s="32">
        <v>36009.0</v>
      </c>
      <c r="S2462" s="31" t="s">
        <v>9659</v>
      </c>
      <c r="T2462" s="31" t="s">
        <v>3116</v>
      </c>
      <c r="U2462" s="31" t="s">
        <v>352</v>
      </c>
      <c r="V2462" s="34"/>
      <c r="W2462" s="34"/>
    </row>
    <row r="2463">
      <c r="A2463" s="30">
        <v>2.458</v>
      </c>
      <c r="B2463" s="31" t="s">
        <v>9660</v>
      </c>
      <c r="C2463" s="31" t="s">
        <v>9661</v>
      </c>
      <c r="D2463" s="31" t="s">
        <v>9661</v>
      </c>
      <c r="E2463" s="31" t="s">
        <v>2463</v>
      </c>
      <c r="F2463" s="33"/>
      <c r="G2463" s="33"/>
      <c r="H2463" s="31" t="s">
        <v>262</v>
      </c>
      <c r="I2463" s="31" t="s">
        <v>2463</v>
      </c>
      <c r="J2463" s="34"/>
      <c r="K2463" s="31" t="s">
        <v>2464</v>
      </c>
      <c r="L2463" s="31" t="s">
        <v>9662</v>
      </c>
      <c r="M2463" s="31" t="s">
        <v>9663</v>
      </c>
      <c r="N2463" s="34"/>
      <c r="O2463" s="34"/>
      <c r="P2463" s="34"/>
      <c r="Q2463" s="31" t="s">
        <v>3337</v>
      </c>
      <c r="R2463" s="33"/>
      <c r="S2463" s="34"/>
      <c r="T2463" s="34"/>
      <c r="U2463" s="34"/>
      <c r="V2463" s="34"/>
      <c r="W2463" s="34"/>
    </row>
    <row r="2464">
      <c r="A2464" s="30">
        <v>2.459</v>
      </c>
      <c r="B2464" s="31" t="s">
        <v>9664</v>
      </c>
      <c r="C2464" s="31" t="s">
        <v>9665</v>
      </c>
      <c r="D2464" s="31" t="s">
        <v>9665</v>
      </c>
      <c r="E2464" s="31" t="s">
        <v>2463</v>
      </c>
      <c r="F2464" s="33"/>
      <c r="G2464" s="33"/>
      <c r="H2464" s="31" t="s">
        <v>346</v>
      </c>
      <c r="I2464" s="31" t="s">
        <v>2463</v>
      </c>
      <c r="J2464" s="34"/>
      <c r="K2464" s="31" t="s">
        <v>4694</v>
      </c>
      <c r="L2464" s="31" t="s">
        <v>9666</v>
      </c>
      <c r="M2464" s="31" t="s">
        <v>9667</v>
      </c>
      <c r="N2464" s="34"/>
      <c r="O2464" s="34"/>
      <c r="P2464" s="34"/>
      <c r="Q2464" s="31" t="s">
        <v>3337</v>
      </c>
      <c r="R2464" s="33"/>
      <c r="S2464" s="34"/>
      <c r="T2464" s="34"/>
      <c r="U2464" s="34"/>
      <c r="V2464" s="34"/>
      <c r="W2464" s="34"/>
    </row>
    <row r="2465">
      <c r="A2465" s="30">
        <v>2.46</v>
      </c>
      <c r="B2465" s="31" t="s">
        <v>9668</v>
      </c>
      <c r="C2465" s="31" t="s">
        <v>9669</v>
      </c>
      <c r="D2465" s="31" t="s">
        <v>615</v>
      </c>
      <c r="E2465" s="31" t="s">
        <v>3099</v>
      </c>
      <c r="F2465" s="32">
        <v>44825.0</v>
      </c>
      <c r="G2465" s="35">
        <v>44886.0</v>
      </c>
      <c r="H2465" s="31" t="s">
        <v>2924</v>
      </c>
      <c r="I2465" s="31" t="s">
        <v>75</v>
      </c>
      <c r="J2465" s="31" t="s">
        <v>3100</v>
      </c>
      <c r="K2465" s="31" t="s">
        <v>3101</v>
      </c>
      <c r="L2465" s="31" t="s">
        <v>9670</v>
      </c>
      <c r="M2465" s="31" t="s">
        <v>9671</v>
      </c>
      <c r="N2465" s="31" t="s">
        <v>467</v>
      </c>
      <c r="O2465" s="34"/>
      <c r="P2465" s="34"/>
      <c r="Q2465" s="31" t="s">
        <v>307</v>
      </c>
      <c r="R2465" s="32">
        <v>35454.0</v>
      </c>
      <c r="S2465" s="31" t="s">
        <v>9672</v>
      </c>
      <c r="T2465" s="31" t="s">
        <v>9673</v>
      </c>
      <c r="U2465" s="31" t="s">
        <v>460</v>
      </c>
      <c r="V2465" s="31" t="s">
        <v>3099</v>
      </c>
      <c r="W2465" s="34"/>
    </row>
    <row r="2466">
      <c r="A2466" s="30">
        <v>2.461</v>
      </c>
      <c r="B2466" s="31" t="s">
        <v>9674</v>
      </c>
      <c r="C2466" s="31" t="s">
        <v>9675</v>
      </c>
      <c r="D2466" s="31" t="s">
        <v>9676</v>
      </c>
      <c r="E2466" s="31" t="s">
        <v>2978</v>
      </c>
      <c r="F2466" s="32">
        <v>44287.0</v>
      </c>
      <c r="G2466" s="32">
        <v>44348.0</v>
      </c>
      <c r="H2466" s="31" t="s">
        <v>303</v>
      </c>
      <c r="I2466" s="31" t="s">
        <v>2978</v>
      </c>
      <c r="J2466" s="34"/>
      <c r="K2466" s="31" t="s">
        <v>2979</v>
      </c>
      <c r="L2466" s="31" t="s">
        <v>9677</v>
      </c>
      <c r="M2466" s="31" t="s">
        <v>9678</v>
      </c>
      <c r="N2466" s="31" t="s">
        <v>267</v>
      </c>
      <c r="O2466" s="31">
        <v>2.0</v>
      </c>
      <c r="P2466" s="34"/>
      <c r="Q2466" s="31" t="s">
        <v>307</v>
      </c>
      <c r="R2466" s="32">
        <v>33485.0</v>
      </c>
      <c r="S2466" s="31" t="s">
        <v>626</v>
      </c>
      <c r="T2466" s="31" t="s">
        <v>686</v>
      </c>
      <c r="U2466" s="31" t="s">
        <v>310</v>
      </c>
      <c r="V2466" s="34"/>
      <c r="W2466" s="34"/>
    </row>
    <row r="2467">
      <c r="A2467" s="30">
        <v>2.462</v>
      </c>
      <c r="B2467" s="31" t="s">
        <v>9679</v>
      </c>
      <c r="C2467" s="31" t="s">
        <v>9680</v>
      </c>
      <c r="D2467" s="31" t="s">
        <v>7353</v>
      </c>
      <c r="E2467" s="31" t="s">
        <v>36</v>
      </c>
      <c r="F2467" s="35">
        <v>44551.0</v>
      </c>
      <c r="G2467" s="32">
        <v>44613.0</v>
      </c>
      <c r="H2467" s="31" t="s">
        <v>303</v>
      </c>
      <c r="I2467" s="31" t="s">
        <v>36</v>
      </c>
      <c r="J2467" s="34"/>
      <c r="K2467" s="31" t="s">
        <v>3014</v>
      </c>
      <c r="L2467" s="31" t="s">
        <v>7354</v>
      </c>
      <c r="M2467" s="31" t="s">
        <v>9681</v>
      </c>
      <c r="N2467" s="31" t="s">
        <v>467</v>
      </c>
      <c r="O2467" s="34"/>
      <c r="P2467" s="34"/>
      <c r="Q2467" s="31" t="s">
        <v>307</v>
      </c>
      <c r="R2467" s="32">
        <v>36347.0</v>
      </c>
      <c r="S2467" s="31" t="s">
        <v>5691</v>
      </c>
      <c r="T2467" s="31" t="s">
        <v>2685</v>
      </c>
      <c r="U2467" s="31" t="s">
        <v>310</v>
      </c>
      <c r="V2467" s="34"/>
      <c r="W2467" s="34"/>
    </row>
    <row r="2468">
      <c r="A2468" s="30">
        <v>2.463</v>
      </c>
      <c r="B2468" s="31" t="s">
        <v>9682</v>
      </c>
      <c r="C2468" s="31" t="s">
        <v>9683</v>
      </c>
      <c r="D2468" s="31" t="s">
        <v>7353</v>
      </c>
      <c r="E2468" s="31" t="s">
        <v>36</v>
      </c>
      <c r="F2468" s="32">
        <v>45068.0</v>
      </c>
      <c r="G2468" s="32">
        <v>45128.0</v>
      </c>
      <c r="H2468" s="31" t="s">
        <v>303</v>
      </c>
      <c r="I2468" s="31" t="s">
        <v>36</v>
      </c>
      <c r="J2468" s="34"/>
      <c r="K2468" s="31" t="s">
        <v>3014</v>
      </c>
      <c r="L2468" s="31" t="s">
        <v>7354</v>
      </c>
      <c r="M2468" s="31" t="s">
        <v>9684</v>
      </c>
      <c r="N2468" s="31" t="s">
        <v>467</v>
      </c>
      <c r="O2468" s="34"/>
      <c r="P2468" s="34"/>
      <c r="Q2468" s="31" t="s">
        <v>307</v>
      </c>
      <c r="R2468" s="32">
        <v>35697.0</v>
      </c>
      <c r="S2468" s="31" t="s">
        <v>560</v>
      </c>
      <c r="T2468" s="31" t="s">
        <v>5980</v>
      </c>
      <c r="U2468" s="31" t="s">
        <v>310</v>
      </c>
      <c r="V2468" s="34"/>
      <c r="W2468" s="34"/>
    </row>
    <row r="2469">
      <c r="A2469" s="30">
        <v>2.464</v>
      </c>
      <c r="B2469" s="31" t="s">
        <v>9685</v>
      </c>
      <c r="C2469" s="31" t="s">
        <v>9686</v>
      </c>
      <c r="D2469" s="31" t="s">
        <v>9636</v>
      </c>
      <c r="E2469" s="31" t="s">
        <v>36</v>
      </c>
      <c r="F2469" s="32">
        <v>40057.0</v>
      </c>
      <c r="G2469" s="32">
        <v>40118.0</v>
      </c>
      <c r="H2469" s="31" t="s">
        <v>303</v>
      </c>
      <c r="I2469" s="31" t="s">
        <v>36</v>
      </c>
      <c r="J2469" s="34"/>
      <c r="K2469" s="31" t="s">
        <v>3014</v>
      </c>
      <c r="L2469" s="31" t="s">
        <v>9637</v>
      </c>
      <c r="M2469" s="31" t="s">
        <v>9687</v>
      </c>
      <c r="N2469" s="31" t="s">
        <v>267</v>
      </c>
      <c r="O2469" s="31">
        <v>2.0</v>
      </c>
      <c r="P2469" s="34"/>
      <c r="Q2469" s="31" t="s">
        <v>307</v>
      </c>
      <c r="R2469" s="32">
        <v>32024.0</v>
      </c>
      <c r="S2469" s="31" t="s">
        <v>1800</v>
      </c>
      <c r="T2469" s="31" t="s">
        <v>5725</v>
      </c>
      <c r="U2469" s="31" t="s">
        <v>310</v>
      </c>
      <c r="V2469" s="34"/>
      <c r="W2469" s="34"/>
    </row>
    <row r="2470">
      <c r="A2470" s="30">
        <v>2.465</v>
      </c>
      <c r="B2470" s="31" t="s">
        <v>9688</v>
      </c>
      <c r="C2470" s="31" t="s">
        <v>9689</v>
      </c>
      <c r="D2470" s="31" t="s">
        <v>9690</v>
      </c>
      <c r="E2470" s="31" t="s">
        <v>9691</v>
      </c>
      <c r="F2470" s="32">
        <v>39941.0</v>
      </c>
      <c r="G2470" s="32">
        <v>40002.0</v>
      </c>
      <c r="H2470" s="31" t="s">
        <v>303</v>
      </c>
      <c r="I2470" s="31" t="s">
        <v>9691</v>
      </c>
      <c r="J2470" s="34"/>
      <c r="K2470" s="31" t="s">
        <v>9692</v>
      </c>
      <c r="L2470" s="31" t="s">
        <v>9693</v>
      </c>
      <c r="M2470" s="31" t="s">
        <v>9694</v>
      </c>
      <c r="N2470" s="31" t="s">
        <v>467</v>
      </c>
      <c r="O2470" s="31">
        <v>2.0</v>
      </c>
      <c r="P2470" s="34"/>
      <c r="Q2470" s="31" t="s">
        <v>307</v>
      </c>
      <c r="R2470" s="32">
        <v>29301.0</v>
      </c>
      <c r="S2470" s="31" t="s">
        <v>1249</v>
      </c>
      <c r="T2470" s="31" t="s">
        <v>9695</v>
      </c>
      <c r="U2470" s="31" t="s">
        <v>310</v>
      </c>
      <c r="V2470" s="34"/>
      <c r="W2470" s="34"/>
    </row>
    <row r="2471">
      <c r="A2471" s="30">
        <v>2.466</v>
      </c>
      <c r="B2471" s="31" t="s">
        <v>9696</v>
      </c>
      <c r="C2471" s="31" t="s">
        <v>9697</v>
      </c>
      <c r="D2471" s="31" t="s">
        <v>6848</v>
      </c>
      <c r="E2471" s="31" t="s">
        <v>2463</v>
      </c>
      <c r="F2471" s="32">
        <v>39173.0</v>
      </c>
      <c r="G2471" s="32">
        <v>39264.0</v>
      </c>
      <c r="H2471" s="31" t="s">
        <v>303</v>
      </c>
      <c r="I2471" s="31" t="s">
        <v>2463</v>
      </c>
      <c r="J2471" s="34"/>
      <c r="K2471" s="31" t="s">
        <v>2868</v>
      </c>
      <c r="L2471" s="31" t="s">
        <v>6849</v>
      </c>
      <c r="M2471" s="31" t="s">
        <v>9698</v>
      </c>
      <c r="N2471" s="31" t="s">
        <v>267</v>
      </c>
      <c r="O2471" s="31">
        <v>2.0</v>
      </c>
      <c r="P2471" s="31">
        <v>1.0</v>
      </c>
      <c r="Q2471" s="31" t="s">
        <v>307</v>
      </c>
      <c r="R2471" s="35">
        <v>30978.0</v>
      </c>
      <c r="S2471" s="31" t="s">
        <v>320</v>
      </c>
      <c r="T2471" s="31" t="s">
        <v>9699</v>
      </c>
      <c r="U2471" s="31" t="s">
        <v>310</v>
      </c>
      <c r="V2471" s="34"/>
      <c r="W2471" s="34"/>
    </row>
    <row r="2472">
      <c r="A2472" s="30">
        <v>2.467</v>
      </c>
      <c r="B2472" s="31" t="s">
        <v>9700</v>
      </c>
      <c r="C2472" s="31" t="s">
        <v>9701</v>
      </c>
      <c r="D2472" s="31" t="s">
        <v>9702</v>
      </c>
      <c r="E2472" s="31" t="s">
        <v>231</v>
      </c>
      <c r="F2472" s="32">
        <v>43255.0</v>
      </c>
      <c r="G2472" s="32">
        <v>43316.0</v>
      </c>
      <c r="H2472" s="31" t="s">
        <v>303</v>
      </c>
      <c r="I2472" s="31" t="s">
        <v>231</v>
      </c>
      <c r="J2472" s="34"/>
      <c r="K2472" s="31" t="s">
        <v>4395</v>
      </c>
      <c r="L2472" s="31" t="s">
        <v>9703</v>
      </c>
      <c r="M2472" s="31" t="s">
        <v>9704</v>
      </c>
      <c r="N2472" s="31" t="s">
        <v>467</v>
      </c>
      <c r="O2472" s="31">
        <v>2.0</v>
      </c>
      <c r="P2472" s="34"/>
      <c r="Q2472" s="31" t="s">
        <v>307</v>
      </c>
      <c r="R2472" s="35">
        <v>33174.0</v>
      </c>
      <c r="S2472" s="31" t="s">
        <v>7247</v>
      </c>
      <c r="T2472" s="31" t="s">
        <v>2713</v>
      </c>
      <c r="U2472" s="31" t="s">
        <v>310</v>
      </c>
      <c r="V2472" s="34"/>
      <c r="W2472" s="34"/>
    </row>
    <row r="2473">
      <c r="A2473" s="30">
        <v>2.468</v>
      </c>
      <c r="B2473" s="31" t="s">
        <v>9705</v>
      </c>
      <c r="C2473" s="31" t="s">
        <v>9706</v>
      </c>
      <c r="D2473" s="31" t="s">
        <v>9707</v>
      </c>
      <c r="E2473" s="31" t="s">
        <v>9306</v>
      </c>
      <c r="F2473" s="32">
        <v>44791.0</v>
      </c>
      <c r="G2473" s="35">
        <v>44852.0</v>
      </c>
      <c r="H2473" s="31" t="s">
        <v>303</v>
      </c>
      <c r="I2473" s="31" t="s">
        <v>9306</v>
      </c>
      <c r="J2473" s="34"/>
      <c r="K2473" s="31" t="s">
        <v>9307</v>
      </c>
      <c r="L2473" s="31" t="s">
        <v>9708</v>
      </c>
      <c r="M2473" s="31" t="s">
        <v>9709</v>
      </c>
      <c r="N2473" s="31" t="s">
        <v>267</v>
      </c>
      <c r="O2473" s="34"/>
      <c r="P2473" s="34"/>
      <c r="Q2473" s="31" t="s">
        <v>307</v>
      </c>
      <c r="R2473" s="32">
        <v>34583.0</v>
      </c>
      <c r="S2473" s="31" t="s">
        <v>1398</v>
      </c>
      <c r="T2473" s="31" t="s">
        <v>823</v>
      </c>
      <c r="U2473" s="31" t="s">
        <v>310</v>
      </c>
      <c r="V2473" s="34"/>
      <c r="W2473" s="34"/>
    </row>
    <row r="2474">
      <c r="A2474" s="30">
        <v>2.469</v>
      </c>
      <c r="B2474" s="31" t="s">
        <v>9710</v>
      </c>
      <c r="C2474" s="31" t="s">
        <v>9711</v>
      </c>
      <c r="D2474" s="31" t="s">
        <v>3013</v>
      </c>
      <c r="E2474" s="31" t="s">
        <v>36</v>
      </c>
      <c r="F2474" s="32">
        <v>44666.0</v>
      </c>
      <c r="G2474" s="32">
        <v>44727.0</v>
      </c>
      <c r="H2474" s="31" t="s">
        <v>303</v>
      </c>
      <c r="I2474" s="31" t="s">
        <v>36</v>
      </c>
      <c r="J2474" s="34"/>
      <c r="K2474" s="31" t="s">
        <v>3014</v>
      </c>
      <c r="L2474" s="31" t="s">
        <v>3015</v>
      </c>
      <c r="M2474" s="31" t="s">
        <v>9712</v>
      </c>
      <c r="N2474" s="31" t="s">
        <v>267</v>
      </c>
      <c r="O2474" s="34"/>
      <c r="P2474" s="34"/>
      <c r="Q2474" s="31" t="s">
        <v>307</v>
      </c>
      <c r="R2474" s="32">
        <v>35452.0</v>
      </c>
      <c r="S2474" s="31" t="s">
        <v>9713</v>
      </c>
      <c r="T2474" s="31" t="s">
        <v>3116</v>
      </c>
      <c r="U2474" s="31" t="s">
        <v>310</v>
      </c>
      <c r="V2474" s="34"/>
      <c r="W2474" s="34"/>
    </row>
    <row r="2475">
      <c r="A2475" s="30">
        <v>2.47</v>
      </c>
      <c r="B2475" s="31" t="s">
        <v>9714</v>
      </c>
      <c r="C2475" s="31" t="s">
        <v>9715</v>
      </c>
      <c r="D2475" s="31" t="s">
        <v>9716</v>
      </c>
      <c r="E2475" s="31" t="s">
        <v>36</v>
      </c>
      <c r="F2475" s="32">
        <v>44637.0</v>
      </c>
      <c r="G2475" s="32">
        <v>44698.0</v>
      </c>
      <c r="H2475" s="31" t="s">
        <v>303</v>
      </c>
      <c r="I2475" s="31" t="s">
        <v>36</v>
      </c>
      <c r="J2475" s="34"/>
      <c r="K2475" s="31" t="s">
        <v>3014</v>
      </c>
      <c r="L2475" s="31" t="s">
        <v>9717</v>
      </c>
      <c r="M2475" s="31" t="s">
        <v>9718</v>
      </c>
      <c r="N2475" s="31" t="s">
        <v>467</v>
      </c>
      <c r="O2475" s="34"/>
      <c r="P2475" s="34"/>
      <c r="Q2475" s="31" t="s">
        <v>307</v>
      </c>
      <c r="R2475" s="32">
        <v>32911.0</v>
      </c>
      <c r="S2475" s="31" t="s">
        <v>9719</v>
      </c>
      <c r="T2475" s="31" t="s">
        <v>744</v>
      </c>
      <c r="U2475" s="31" t="s">
        <v>310</v>
      </c>
      <c r="V2475" s="34"/>
      <c r="W2475" s="34"/>
    </row>
    <row r="2476">
      <c r="A2476" s="30">
        <v>2.471</v>
      </c>
      <c r="B2476" s="31" t="s">
        <v>9720</v>
      </c>
      <c r="C2476" s="31" t="s">
        <v>9721</v>
      </c>
      <c r="D2476" s="31" t="s">
        <v>9716</v>
      </c>
      <c r="E2476" s="31" t="s">
        <v>36</v>
      </c>
      <c r="F2476" s="32">
        <v>43255.0</v>
      </c>
      <c r="G2476" s="32">
        <v>43316.0</v>
      </c>
      <c r="H2476" s="31" t="s">
        <v>303</v>
      </c>
      <c r="I2476" s="31" t="s">
        <v>36</v>
      </c>
      <c r="J2476" s="34"/>
      <c r="K2476" s="31" t="s">
        <v>3014</v>
      </c>
      <c r="L2476" s="31" t="s">
        <v>9717</v>
      </c>
      <c r="M2476" s="31" t="s">
        <v>9722</v>
      </c>
      <c r="N2476" s="31" t="s">
        <v>467</v>
      </c>
      <c r="O2476" s="34"/>
      <c r="P2476" s="34"/>
      <c r="Q2476" s="31" t="s">
        <v>307</v>
      </c>
      <c r="R2476" s="32">
        <v>33087.0</v>
      </c>
      <c r="S2476" s="31" t="s">
        <v>4976</v>
      </c>
      <c r="T2476" s="31" t="s">
        <v>9723</v>
      </c>
      <c r="U2476" s="31" t="s">
        <v>310</v>
      </c>
      <c r="V2476" s="34"/>
      <c r="W2476" s="34"/>
    </row>
    <row r="2477">
      <c r="A2477" s="30">
        <v>2.472</v>
      </c>
      <c r="B2477" s="31" t="s">
        <v>9724</v>
      </c>
      <c r="C2477" s="31" t="s">
        <v>9725</v>
      </c>
      <c r="D2477" s="31" t="s">
        <v>7353</v>
      </c>
      <c r="E2477" s="31" t="s">
        <v>36</v>
      </c>
      <c r="F2477" s="32">
        <v>43531.0</v>
      </c>
      <c r="G2477" s="32">
        <v>43592.0</v>
      </c>
      <c r="H2477" s="31" t="s">
        <v>303</v>
      </c>
      <c r="I2477" s="31" t="s">
        <v>36</v>
      </c>
      <c r="J2477" s="34"/>
      <c r="K2477" s="31" t="s">
        <v>3014</v>
      </c>
      <c r="L2477" s="31" t="s">
        <v>7354</v>
      </c>
      <c r="M2477" s="31" t="s">
        <v>9726</v>
      </c>
      <c r="N2477" s="31" t="s">
        <v>467</v>
      </c>
      <c r="O2477" s="34"/>
      <c r="P2477" s="34"/>
      <c r="Q2477" s="31" t="s">
        <v>307</v>
      </c>
      <c r="R2477" s="32">
        <v>32187.0</v>
      </c>
      <c r="S2477" s="31" t="s">
        <v>1876</v>
      </c>
      <c r="T2477" s="31" t="s">
        <v>744</v>
      </c>
      <c r="U2477" s="31" t="s">
        <v>310</v>
      </c>
      <c r="V2477" s="34"/>
      <c r="W2477" s="34"/>
    </row>
    <row r="2478">
      <c r="A2478" s="30">
        <v>2.473</v>
      </c>
      <c r="B2478" s="31" t="s">
        <v>9727</v>
      </c>
      <c r="C2478" s="31" t="s">
        <v>9728</v>
      </c>
      <c r="D2478" s="31" t="s">
        <v>9729</v>
      </c>
      <c r="E2478" s="31" t="s">
        <v>36</v>
      </c>
      <c r="F2478" s="32">
        <v>45012.0</v>
      </c>
      <c r="G2478" s="32">
        <v>45073.0</v>
      </c>
      <c r="H2478" s="31" t="s">
        <v>303</v>
      </c>
      <c r="I2478" s="31" t="s">
        <v>36</v>
      </c>
      <c r="J2478" s="34"/>
      <c r="K2478" s="31" t="s">
        <v>3014</v>
      </c>
      <c r="L2478" s="31" t="s">
        <v>9730</v>
      </c>
      <c r="M2478" s="31" t="s">
        <v>9731</v>
      </c>
      <c r="N2478" s="31" t="s">
        <v>267</v>
      </c>
      <c r="O2478" s="34"/>
      <c r="P2478" s="34"/>
      <c r="Q2478" s="31" t="s">
        <v>307</v>
      </c>
      <c r="R2478" s="32">
        <v>36534.0</v>
      </c>
      <c r="S2478" s="31" t="s">
        <v>8282</v>
      </c>
      <c r="T2478" s="31" t="s">
        <v>3116</v>
      </c>
      <c r="U2478" s="31" t="s">
        <v>310</v>
      </c>
      <c r="V2478" s="34"/>
      <c r="W2478" s="34"/>
    </row>
    <row r="2479">
      <c r="A2479" s="30">
        <v>2.474</v>
      </c>
      <c r="B2479" s="31" t="s">
        <v>9732</v>
      </c>
      <c r="C2479" s="31" t="s">
        <v>9733</v>
      </c>
      <c r="D2479" s="31" t="s">
        <v>334</v>
      </c>
      <c r="E2479" s="31" t="s">
        <v>4789</v>
      </c>
      <c r="F2479" s="32">
        <v>44620.0</v>
      </c>
      <c r="G2479" s="32">
        <v>44679.0</v>
      </c>
      <c r="H2479" s="31" t="s">
        <v>303</v>
      </c>
      <c r="I2479" s="31" t="s">
        <v>335</v>
      </c>
      <c r="J2479" s="31" t="s">
        <v>1963</v>
      </c>
      <c r="K2479" s="31" t="s">
        <v>4790</v>
      </c>
      <c r="L2479" s="31" t="s">
        <v>338</v>
      </c>
      <c r="M2479" s="31" t="s">
        <v>9734</v>
      </c>
      <c r="N2479" s="31" t="s">
        <v>467</v>
      </c>
      <c r="O2479" s="34"/>
      <c r="P2479" s="34"/>
      <c r="Q2479" s="31" t="s">
        <v>307</v>
      </c>
      <c r="R2479" s="32">
        <v>35242.0</v>
      </c>
      <c r="S2479" s="31" t="s">
        <v>955</v>
      </c>
      <c r="T2479" s="31" t="s">
        <v>3184</v>
      </c>
      <c r="U2479" s="31" t="s">
        <v>271</v>
      </c>
      <c r="V2479" s="31" t="s">
        <v>4789</v>
      </c>
      <c r="W2479" s="34"/>
    </row>
    <row r="2480">
      <c r="A2480" s="30">
        <v>2.475</v>
      </c>
      <c r="B2480" s="31" t="s">
        <v>9735</v>
      </c>
      <c r="C2480" s="31" t="s">
        <v>9736</v>
      </c>
      <c r="D2480" s="31" t="s">
        <v>2531</v>
      </c>
      <c r="E2480" s="31" t="s">
        <v>148</v>
      </c>
      <c r="F2480" s="32">
        <v>43222.0</v>
      </c>
      <c r="G2480" s="32">
        <v>43283.0</v>
      </c>
      <c r="H2480" s="31" t="s">
        <v>303</v>
      </c>
      <c r="I2480" s="31" t="s">
        <v>335</v>
      </c>
      <c r="J2480" s="31" t="s">
        <v>336</v>
      </c>
      <c r="K2480" s="31" t="s">
        <v>2532</v>
      </c>
      <c r="L2480" s="31" t="s">
        <v>2533</v>
      </c>
      <c r="M2480" s="31" t="s">
        <v>9737</v>
      </c>
      <c r="N2480" s="31" t="s">
        <v>267</v>
      </c>
      <c r="O2480" s="34"/>
      <c r="P2480" s="34"/>
      <c r="Q2480" s="31" t="s">
        <v>307</v>
      </c>
      <c r="R2480" s="32">
        <v>35219.0</v>
      </c>
      <c r="S2480" s="31" t="s">
        <v>531</v>
      </c>
      <c r="T2480" s="31" t="s">
        <v>9738</v>
      </c>
      <c r="U2480" s="31" t="s">
        <v>271</v>
      </c>
      <c r="V2480" s="31" t="s">
        <v>148</v>
      </c>
      <c r="W2480" s="34"/>
    </row>
    <row r="2481">
      <c r="A2481" s="30">
        <v>2.476</v>
      </c>
      <c r="B2481" s="31" t="s">
        <v>9739</v>
      </c>
      <c r="C2481" s="31" t="s">
        <v>8466</v>
      </c>
      <c r="D2481" s="31" t="s">
        <v>2531</v>
      </c>
      <c r="E2481" s="31" t="s">
        <v>148</v>
      </c>
      <c r="F2481" s="32">
        <v>43629.0</v>
      </c>
      <c r="G2481" s="32">
        <v>43690.0</v>
      </c>
      <c r="H2481" s="31" t="s">
        <v>303</v>
      </c>
      <c r="I2481" s="31" t="s">
        <v>335</v>
      </c>
      <c r="J2481" s="31" t="s">
        <v>336</v>
      </c>
      <c r="K2481" s="31" t="s">
        <v>2532</v>
      </c>
      <c r="L2481" s="31" t="s">
        <v>2533</v>
      </c>
      <c r="M2481" s="31" t="s">
        <v>9740</v>
      </c>
      <c r="N2481" s="31" t="s">
        <v>267</v>
      </c>
      <c r="O2481" s="34"/>
      <c r="P2481" s="34"/>
      <c r="Q2481" s="31" t="s">
        <v>307</v>
      </c>
      <c r="R2481" s="32">
        <v>32284.0</v>
      </c>
      <c r="S2481" s="31" t="s">
        <v>1332</v>
      </c>
      <c r="T2481" s="31" t="s">
        <v>8083</v>
      </c>
      <c r="U2481" s="31" t="s">
        <v>271</v>
      </c>
      <c r="V2481" s="31" t="s">
        <v>148</v>
      </c>
      <c r="W2481" s="34"/>
    </row>
    <row r="2482">
      <c r="A2482" s="30">
        <v>2.477</v>
      </c>
      <c r="B2482" s="31" t="s">
        <v>9741</v>
      </c>
      <c r="C2482" s="31" t="s">
        <v>9742</v>
      </c>
      <c r="D2482" s="31" t="s">
        <v>3350</v>
      </c>
      <c r="E2482" s="31" t="s">
        <v>2978</v>
      </c>
      <c r="F2482" s="32">
        <v>43610.0</v>
      </c>
      <c r="G2482" s="32">
        <v>43671.0</v>
      </c>
      <c r="H2482" s="31" t="s">
        <v>303</v>
      </c>
      <c r="I2482" s="31" t="s">
        <v>2978</v>
      </c>
      <c r="J2482" s="34"/>
      <c r="K2482" s="31" t="s">
        <v>2979</v>
      </c>
      <c r="L2482" s="31" t="s">
        <v>3351</v>
      </c>
      <c r="M2482" s="31" t="s">
        <v>9743</v>
      </c>
      <c r="N2482" s="31" t="s">
        <v>267</v>
      </c>
      <c r="O2482" s="34"/>
      <c r="P2482" s="34"/>
      <c r="Q2482" s="31" t="s">
        <v>307</v>
      </c>
      <c r="R2482" s="32">
        <v>35578.0</v>
      </c>
      <c r="S2482" s="31" t="s">
        <v>320</v>
      </c>
      <c r="T2482" s="31" t="s">
        <v>9744</v>
      </c>
      <c r="U2482" s="31" t="s">
        <v>310</v>
      </c>
      <c r="V2482" s="34"/>
      <c r="W2482" s="34"/>
    </row>
    <row r="2483">
      <c r="A2483" s="30">
        <v>2.478</v>
      </c>
      <c r="B2483" s="31" t="s">
        <v>9745</v>
      </c>
      <c r="C2483" s="31" t="s">
        <v>9746</v>
      </c>
      <c r="D2483" s="31" t="s">
        <v>9747</v>
      </c>
      <c r="E2483" s="31" t="s">
        <v>7550</v>
      </c>
      <c r="F2483" s="32">
        <v>37865.0</v>
      </c>
      <c r="G2483" s="32">
        <v>37926.0</v>
      </c>
      <c r="H2483" s="31" t="s">
        <v>303</v>
      </c>
      <c r="I2483" s="31" t="s">
        <v>7550</v>
      </c>
      <c r="J2483" s="34"/>
      <c r="K2483" s="31" t="s">
        <v>9748</v>
      </c>
      <c r="L2483" s="31" t="s">
        <v>9749</v>
      </c>
      <c r="M2483" s="31" t="s">
        <v>9750</v>
      </c>
      <c r="N2483" s="31" t="s">
        <v>267</v>
      </c>
      <c r="O2483" s="31">
        <v>4.0</v>
      </c>
      <c r="P2483" s="34"/>
      <c r="Q2483" s="31" t="s">
        <v>307</v>
      </c>
      <c r="R2483" s="35">
        <v>29938.0</v>
      </c>
      <c r="S2483" s="31" t="s">
        <v>531</v>
      </c>
      <c r="T2483" s="31" t="s">
        <v>686</v>
      </c>
      <c r="U2483" s="31" t="s">
        <v>310</v>
      </c>
      <c r="V2483" s="34"/>
      <c r="W2483" s="34"/>
    </row>
    <row r="2484">
      <c r="A2484" s="30">
        <v>2.479</v>
      </c>
      <c r="B2484" s="31" t="s">
        <v>9751</v>
      </c>
      <c r="C2484" s="31" t="s">
        <v>9752</v>
      </c>
      <c r="D2484" s="31" t="s">
        <v>9753</v>
      </c>
      <c r="E2484" s="31" t="s">
        <v>9754</v>
      </c>
      <c r="F2484" s="32">
        <v>45152.0</v>
      </c>
      <c r="G2484" s="35">
        <v>45212.0</v>
      </c>
      <c r="H2484" s="31" t="s">
        <v>303</v>
      </c>
      <c r="I2484" s="31" t="s">
        <v>9754</v>
      </c>
      <c r="J2484" s="34"/>
      <c r="K2484" s="31" t="s">
        <v>9755</v>
      </c>
      <c r="L2484" s="31" t="s">
        <v>9756</v>
      </c>
      <c r="M2484" s="31" t="s">
        <v>9757</v>
      </c>
      <c r="N2484" s="31" t="s">
        <v>267</v>
      </c>
      <c r="O2484" s="34"/>
      <c r="P2484" s="34"/>
      <c r="Q2484" s="31" t="s">
        <v>307</v>
      </c>
      <c r="R2484" s="32">
        <v>36392.0</v>
      </c>
      <c r="S2484" s="31" t="s">
        <v>1309</v>
      </c>
      <c r="T2484" s="31" t="s">
        <v>9758</v>
      </c>
      <c r="U2484" s="31" t="s">
        <v>310</v>
      </c>
      <c r="V2484" s="34"/>
      <c r="W2484" s="34"/>
    </row>
    <row r="2485">
      <c r="A2485" s="30">
        <v>2.48</v>
      </c>
      <c r="B2485" s="31" t="s">
        <v>9759</v>
      </c>
      <c r="C2485" s="31" t="s">
        <v>7575</v>
      </c>
      <c r="D2485" s="31" t="s">
        <v>3441</v>
      </c>
      <c r="E2485" s="31" t="s">
        <v>2934</v>
      </c>
      <c r="F2485" s="32">
        <v>41821.0</v>
      </c>
      <c r="G2485" s="32">
        <v>41883.0</v>
      </c>
      <c r="H2485" s="31" t="s">
        <v>576</v>
      </c>
      <c r="I2485" s="31" t="s">
        <v>2934</v>
      </c>
      <c r="J2485" s="34"/>
      <c r="K2485" s="31" t="s">
        <v>9760</v>
      </c>
      <c r="L2485" s="31" t="s">
        <v>3443</v>
      </c>
      <c r="M2485" s="31" t="s">
        <v>9761</v>
      </c>
      <c r="N2485" s="31" t="s">
        <v>267</v>
      </c>
      <c r="O2485" s="31">
        <v>2.0</v>
      </c>
      <c r="P2485" s="34"/>
      <c r="Q2485" s="31" t="s">
        <v>307</v>
      </c>
      <c r="R2485" s="32">
        <v>33405.0</v>
      </c>
      <c r="S2485" s="31" t="s">
        <v>1197</v>
      </c>
      <c r="T2485" s="31" t="s">
        <v>778</v>
      </c>
      <c r="U2485" s="31" t="s">
        <v>633</v>
      </c>
      <c r="V2485" s="34"/>
      <c r="W2485" s="34"/>
    </row>
    <row r="2486">
      <c r="A2486" s="30">
        <v>2.481</v>
      </c>
      <c r="B2486" s="31" t="s">
        <v>9762</v>
      </c>
      <c r="C2486" s="31" t="s">
        <v>9763</v>
      </c>
      <c r="D2486" s="31" t="s">
        <v>2867</v>
      </c>
      <c r="E2486" s="31" t="s">
        <v>2463</v>
      </c>
      <c r="F2486" s="32">
        <v>45135.0</v>
      </c>
      <c r="G2486" s="32">
        <v>45195.0</v>
      </c>
      <c r="H2486" s="31" t="s">
        <v>262</v>
      </c>
      <c r="I2486" s="31" t="s">
        <v>2463</v>
      </c>
      <c r="J2486" s="34"/>
      <c r="K2486" s="31" t="s">
        <v>2464</v>
      </c>
      <c r="L2486" s="31" t="s">
        <v>2869</v>
      </c>
      <c r="M2486" s="31" t="s">
        <v>9764</v>
      </c>
      <c r="N2486" s="31" t="s">
        <v>467</v>
      </c>
      <c r="O2486" s="34"/>
      <c r="P2486" s="34"/>
      <c r="Q2486" s="31" t="s">
        <v>307</v>
      </c>
      <c r="R2486" s="32">
        <v>33082.0</v>
      </c>
      <c r="S2486" s="31" t="s">
        <v>9765</v>
      </c>
      <c r="T2486" s="31" t="s">
        <v>9766</v>
      </c>
      <c r="U2486" s="31" t="s">
        <v>271</v>
      </c>
      <c r="V2486" s="34"/>
      <c r="W2486" s="34"/>
    </row>
    <row r="2487">
      <c r="A2487" s="30">
        <v>2.482</v>
      </c>
      <c r="B2487" s="31" t="s">
        <v>9767</v>
      </c>
      <c r="C2487" s="31" t="s">
        <v>9768</v>
      </c>
      <c r="D2487" s="31" t="s">
        <v>9769</v>
      </c>
      <c r="E2487" s="31" t="s">
        <v>4386</v>
      </c>
      <c r="F2487" s="32">
        <v>44614.0</v>
      </c>
      <c r="G2487" s="32">
        <v>44673.0</v>
      </c>
      <c r="H2487" s="31" t="s">
        <v>303</v>
      </c>
      <c r="I2487" s="31" t="s">
        <v>4386</v>
      </c>
      <c r="J2487" s="34"/>
      <c r="K2487" s="31" t="s">
        <v>4387</v>
      </c>
      <c r="L2487" s="31" t="s">
        <v>9770</v>
      </c>
      <c r="M2487" s="31" t="s">
        <v>9771</v>
      </c>
      <c r="N2487" s="31" t="s">
        <v>467</v>
      </c>
      <c r="O2487" s="31">
        <v>2.0</v>
      </c>
      <c r="P2487" s="34"/>
      <c r="Q2487" s="31" t="s">
        <v>307</v>
      </c>
      <c r="R2487" s="32">
        <v>35247.0</v>
      </c>
      <c r="S2487" s="31" t="s">
        <v>3044</v>
      </c>
      <c r="T2487" s="31" t="s">
        <v>4762</v>
      </c>
      <c r="U2487" s="31" t="s">
        <v>271</v>
      </c>
      <c r="V2487" s="34"/>
      <c r="W2487" s="34"/>
    </row>
    <row r="2488">
      <c r="A2488" s="30">
        <v>2.483</v>
      </c>
      <c r="B2488" s="31" t="s">
        <v>9772</v>
      </c>
      <c r="C2488" s="31" t="s">
        <v>4491</v>
      </c>
      <c r="D2488" s="31" t="s">
        <v>8079</v>
      </c>
      <c r="E2488" s="31" t="s">
        <v>2817</v>
      </c>
      <c r="F2488" s="32">
        <v>38899.0</v>
      </c>
      <c r="G2488" s="32">
        <v>38961.0</v>
      </c>
      <c r="H2488" s="31" t="s">
        <v>576</v>
      </c>
      <c r="I2488" s="31" t="s">
        <v>2817</v>
      </c>
      <c r="J2488" s="34"/>
      <c r="K2488" s="31" t="s">
        <v>8233</v>
      </c>
      <c r="L2488" s="31" t="s">
        <v>8081</v>
      </c>
      <c r="M2488" s="31" t="s">
        <v>9773</v>
      </c>
      <c r="N2488" s="31" t="s">
        <v>467</v>
      </c>
      <c r="O2488" s="31">
        <v>2.0</v>
      </c>
      <c r="P2488" s="34"/>
      <c r="Q2488" s="31" t="s">
        <v>307</v>
      </c>
      <c r="R2488" s="32">
        <v>30815.0</v>
      </c>
      <c r="S2488" s="31" t="s">
        <v>626</v>
      </c>
      <c r="T2488" s="31" t="s">
        <v>686</v>
      </c>
      <c r="U2488" s="31" t="s">
        <v>633</v>
      </c>
      <c r="V2488" s="34"/>
      <c r="W2488" s="34"/>
    </row>
    <row r="2489">
      <c r="A2489" s="30">
        <v>2.484</v>
      </c>
      <c r="B2489" s="31" t="s">
        <v>9774</v>
      </c>
      <c r="C2489" s="31" t="s">
        <v>9775</v>
      </c>
      <c r="D2489" s="31" t="s">
        <v>2977</v>
      </c>
      <c r="E2489" s="31" t="s">
        <v>167</v>
      </c>
      <c r="F2489" s="32">
        <v>43612.0</v>
      </c>
      <c r="G2489" s="32">
        <v>43673.0</v>
      </c>
      <c r="H2489" s="31" t="s">
        <v>303</v>
      </c>
      <c r="I2489" s="31" t="s">
        <v>3877</v>
      </c>
      <c r="J2489" s="31" t="s">
        <v>167</v>
      </c>
      <c r="K2489" s="31" t="s">
        <v>3878</v>
      </c>
      <c r="L2489" s="31" t="s">
        <v>9135</v>
      </c>
      <c r="M2489" s="31" t="s">
        <v>9776</v>
      </c>
      <c r="N2489" s="31" t="s">
        <v>267</v>
      </c>
      <c r="O2489" s="34"/>
      <c r="P2489" s="34"/>
      <c r="Q2489" s="31" t="s">
        <v>307</v>
      </c>
      <c r="R2489" s="35">
        <v>34627.0</v>
      </c>
      <c r="S2489" s="31" t="s">
        <v>1403</v>
      </c>
      <c r="T2489" s="31" t="s">
        <v>9777</v>
      </c>
      <c r="U2489" s="31" t="s">
        <v>310</v>
      </c>
      <c r="V2489" s="34"/>
      <c r="W2489" s="34"/>
    </row>
    <row r="2490">
      <c r="A2490" s="30">
        <v>2.485</v>
      </c>
      <c r="B2490" s="31" t="s">
        <v>9778</v>
      </c>
      <c r="C2490" s="31" t="s">
        <v>9779</v>
      </c>
      <c r="D2490" s="31" t="s">
        <v>2977</v>
      </c>
      <c r="E2490" s="31" t="s">
        <v>167</v>
      </c>
      <c r="F2490" s="32">
        <v>44305.0</v>
      </c>
      <c r="G2490" s="32">
        <v>44366.0</v>
      </c>
      <c r="H2490" s="31" t="s">
        <v>303</v>
      </c>
      <c r="I2490" s="31" t="s">
        <v>3877</v>
      </c>
      <c r="J2490" s="31" t="s">
        <v>167</v>
      </c>
      <c r="K2490" s="31" t="s">
        <v>3878</v>
      </c>
      <c r="L2490" s="31" t="s">
        <v>9135</v>
      </c>
      <c r="M2490" s="31" t="s">
        <v>9780</v>
      </c>
      <c r="N2490" s="31" t="s">
        <v>267</v>
      </c>
      <c r="O2490" s="34"/>
      <c r="P2490" s="34"/>
      <c r="Q2490" s="31" t="s">
        <v>307</v>
      </c>
      <c r="R2490" s="32">
        <v>35473.0</v>
      </c>
      <c r="S2490" s="31" t="s">
        <v>537</v>
      </c>
      <c r="T2490" s="31" t="s">
        <v>1651</v>
      </c>
      <c r="U2490" s="31" t="s">
        <v>271</v>
      </c>
      <c r="V2490" s="34"/>
      <c r="W2490" s="34"/>
    </row>
    <row r="2491">
      <c r="A2491" s="30">
        <v>2.486</v>
      </c>
      <c r="B2491" s="31" t="s">
        <v>9781</v>
      </c>
      <c r="C2491" s="31" t="s">
        <v>9782</v>
      </c>
      <c r="D2491" s="31" t="s">
        <v>3593</v>
      </c>
      <c r="E2491" s="31" t="s">
        <v>167</v>
      </c>
      <c r="F2491" s="32">
        <v>42625.0</v>
      </c>
      <c r="G2491" s="35">
        <v>42687.0</v>
      </c>
      <c r="H2491" s="31" t="s">
        <v>303</v>
      </c>
      <c r="I2491" s="31" t="s">
        <v>3877</v>
      </c>
      <c r="J2491" s="31" t="s">
        <v>167</v>
      </c>
      <c r="K2491" s="31" t="s">
        <v>3878</v>
      </c>
      <c r="L2491" s="31" t="s">
        <v>8374</v>
      </c>
      <c r="M2491" s="31" t="s">
        <v>9783</v>
      </c>
      <c r="N2491" s="31" t="s">
        <v>467</v>
      </c>
      <c r="O2491" s="34"/>
      <c r="P2491" s="34"/>
      <c r="Q2491" s="31" t="s">
        <v>307</v>
      </c>
      <c r="R2491" s="32">
        <v>34522.0</v>
      </c>
      <c r="S2491" s="31" t="s">
        <v>700</v>
      </c>
      <c r="T2491" s="31" t="s">
        <v>686</v>
      </c>
      <c r="U2491" s="31" t="s">
        <v>310</v>
      </c>
      <c r="V2491" s="34"/>
      <c r="W2491" s="34"/>
    </row>
    <row r="2492">
      <c r="A2492" s="30">
        <v>2.487</v>
      </c>
      <c r="B2492" s="31" t="s">
        <v>9784</v>
      </c>
      <c r="C2492" s="31" t="s">
        <v>9785</v>
      </c>
      <c r="D2492" s="31" t="s">
        <v>1625</v>
      </c>
      <c r="E2492" s="31" t="s">
        <v>9786</v>
      </c>
      <c r="F2492" s="32">
        <v>38965.0</v>
      </c>
      <c r="G2492" s="32">
        <v>38965.0</v>
      </c>
      <c r="H2492" s="31" t="s">
        <v>303</v>
      </c>
      <c r="I2492" s="31" t="s">
        <v>3877</v>
      </c>
      <c r="J2492" s="31" t="s">
        <v>9786</v>
      </c>
      <c r="K2492" s="31" t="s">
        <v>9787</v>
      </c>
      <c r="L2492" s="36" t="s">
        <v>9788</v>
      </c>
      <c r="M2492" s="31" t="s">
        <v>9789</v>
      </c>
      <c r="N2492" s="31" t="s">
        <v>267</v>
      </c>
      <c r="O2492" s="31">
        <v>3.0</v>
      </c>
      <c r="P2492" s="34"/>
      <c r="Q2492" s="31" t="s">
        <v>307</v>
      </c>
      <c r="R2492" s="32">
        <v>31206.0</v>
      </c>
      <c r="S2492" s="31" t="s">
        <v>626</v>
      </c>
      <c r="T2492" s="31" t="s">
        <v>757</v>
      </c>
      <c r="U2492" s="31" t="s">
        <v>310</v>
      </c>
      <c r="V2492" s="34"/>
      <c r="W2492" s="34"/>
    </row>
    <row r="2493">
      <c r="A2493" s="30">
        <v>2.488</v>
      </c>
      <c r="B2493" s="31" t="s">
        <v>9790</v>
      </c>
      <c r="C2493" s="31" t="s">
        <v>6509</v>
      </c>
      <c r="D2493" s="31" t="s">
        <v>9791</v>
      </c>
      <c r="E2493" s="31" t="s">
        <v>228</v>
      </c>
      <c r="F2493" s="32">
        <v>43508.0</v>
      </c>
      <c r="G2493" s="32">
        <v>43567.0</v>
      </c>
      <c r="H2493" s="31" t="s">
        <v>303</v>
      </c>
      <c r="I2493" s="31" t="s">
        <v>228</v>
      </c>
      <c r="J2493" s="34"/>
      <c r="K2493" s="31" t="s">
        <v>304</v>
      </c>
      <c r="L2493" s="31" t="s">
        <v>9792</v>
      </c>
      <c r="M2493" s="31" t="s">
        <v>9793</v>
      </c>
      <c r="N2493" s="31" t="s">
        <v>267</v>
      </c>
      <c r="O2493" s="31">
        <v>2.0</v>
      </c>
      <c r="P2493" s="34"/>
      <c r="Q2493" s="31" t="s">
        <v>581</v>
      </c>
      <c r="R2493" s="32">
        <v>31454.0</v>
      </c>
      <c r="S2493" s="31" t="s">
        <v>9794</v>
      </c>
      <c r="T2493" s="31" t="s">
        <v>9795</v>
      </c>
      <c r="U2493" s="31" t="s">
        <v>310</v>
      </c>
      <c r="V2493" s="34"/>
      <c r="W2493" s="34"/>
    </row>
    <row r="2494">
      <c r="A2494" s="30">
        <v>2.489</v>
      </c>
      <c r="B2494" s="31" t="s">
        <v>9796</v>
      </c>
      <c r="C2494" s="31" t="s">
        <v>9797</v>
      </c>
      <c r="D2494" s="31" t="s">
        <v>3350</v>
      </c>
      <c r="E2494" s="31" t="s">
        <v>2978</v>
      </c>
      <c r="F2494" s="35">
        <v>43444.0</v>
      </c>
      <c r="G2494" s="32">
        <v>43497.0</v>
      </c>
      <c r="H2494" s="31" t="s">
        <v>303</v>
      </c>
      <c r="I2494" s="31" t="s">
        <v>2978</v>
      </c>
      <c r="J2494" s="34"/>
      <c r="K2494" s="31" t="s">
        <v>2979</v>
      </c>
      <c r="L2494" s="31" t="s">
        <v>3351</v>
      </c>
      <c r="M2494" s="31" t="s">
        <v>9798</v>
      </c>
      <c r="N2494" s="31" t="s">
        <v>267</v>
      </c>
      <c r="O2494" s="34"/>
      <c r="P2494" s="34"/>
      <c r="Q2494" s="31" t="s">
        <v>307</v>
      </c>
      <c r="R2494" s="32">
        <v>34939.0</v>
      </c>
      <c r="S2494" s="31" t="s">
        <v>531</v>
      </c>
      <c r="T2494" s="31" t="s">
        <v>503</v>
      </c>
      <c r="U2494" s="31" t="s">
        <v>310</v>
      </c>
      <c r="V2494" s="34"/>
      <c r="W2494" s="34"/>
    </row>
    <row r="2495">
      <c r="A2495" s="30">
        <v>2.49</v>
      </c>
      <c r="B2495" s="31" t="s">
        <v>9799</v>
      </c>
      <c r="C2495" s="31" t="s">
        <v>9800</v>
      </c>
      <c r="D2495" s="31" t="s">
        <v>499</v>
      </c>
      <c r="E2495" s="31" t="s">
        <v>3085</v>
      </c>
      <c r="F2495" s="32">
        <v>43178.0</v>
      </c>
      <c r="G2495" s="32">
        <v>43178.0</v>
      </c>
      <c r="H2495" s="31" t="s">
        <v>2924</v>
      </c>
      <c r="I2495" s="31" t="s">
        <v>75</v>
      </c>
      <c r="J2495" s="31" t="s">
        <v>3086</v>
      </c>
      <c r="K2495" s="31" t="s">
        <v>3087</v>
      </c>
      <c r="L2495" s="31" t="s">
        <v>9801</v>
      </c>
      <c r="M2495" s="31" t="s">
        <v>9802</v>
      </c>
      <c r="N2495" s="31" t="s">
        <v>467</v>
      </c>
      <c r="O2495" s="31">
        <v>1.0</v>
      </c>
      <c r="P2495" s="34"/>
      <c r="Q2495" s="31" t="s">
        <v>307</v>
      </c>
      <c r="R2495" s="32">
        <v>35253.0</v>
      </c>
      <c r="S2495" s="31" t="s">
        <v>560</v>
      </c>
      <c r="T2495" s="31" t="s">
        <v>1178</v>
      </c>
      <c r="U2495" s="31" t="s">
        <v>460</v>
      </c>
      <c r="V2495" s="31" t="s">
        <v>3085</v>
      </c>
      <c r="W2495" s="34"/>
    </row>
    <row r="2496">
      <c r="A2496" s="30">
        <v>2.491</v>
      </c>
      <c r="B2496" s="31" t="s">
        <v>9803</v>
      </c>
      <c r="C2496" s="31" t="s">
        <v>9669</v>
      </c>
      <c r="D2496" s="31" t="s">
        <v>3657</v>
      </c>
      <c r="E2496" s="31" t="s">
        <v>2430</v>
      </c>
      <c r="F2496" s="32">
        <v>43678.0</v>
      </c>
      <c r="G2496" s="32">
        <v>43739.0</v>
      </c>
      <c r="H2496" s="31" t="s">
        <v>262</v>
      </c>
      <c r="I2496" s="31" t="s">
        <v>2430</v>
      </c>
      <c r="J2496" s="34"/>
      <c r="K2496" s="31" t="s">
        <v>2431</v>
      </c>
      <c r="L2496" s="31" t="s">
        <v>3658</v>
      </c>
      <c r="M2496" s="31" t="s">
        <v>9804</v>
      </c>
      <c r="N2496" s="31" t="s">
        <v>267</v>
      </c>
      <c r="O2496" s="34"/>
      <c r="P2496" s="34"/>
      <c r="Q2496" s="31" t="s">
        <v>307</v>
      </c>
      <c r="R2496" s="35">
        <v>35755.0</v>
      </c>
      <c r="S2496" s="31" t="s">
        <v>531</v>
      </c>
      <c r="T2496" s="31" t="s">
        <v>1657</v>
      </c>
      <c r="U2496" s="31" t="s">
        <v>271</v>
      </c>
      <c r="V2496" s="34"/>
      <c r="W2496" s="34"/>
    </row>
    <row r="2497">
      <c r="A2497" s="30">
        <v>2.492</v>
      </c>
      <c r="B2497" s="31" t="s">
        <v>9805</v>
      </c>
      <c r="C2497" s="31" t="s">
        <v>9806</v>
      </c>
      <c r="D2497" s="31" t="s">
        <v>9807</v>
      </c>
      <c r="E2497" s="31" t="s">
        <v>7601</v>
      </c>
      <c r="F2497" s="32">
        <v>40057.0</v>
      </c>
      <c r="G2497" s="32">
        <v>40118.0</v>
      </c>
      <c r="H2497" s="31" t="s">
        <v>262</v>
      </c>
      <c r="I2497" s="31" t="s">
        <v>7601</v>
      </c>
      <c r="J2497" s="34"/>
      <c r="K2497" s="31" t="s">
        <v>7602</v>
      </c>
      <c r="L2497" s="31" t="s">
        <v>9808</v>
      </c>
      <c r="M2497" s="31" t="s">
        <v>9809</v>
      </c>
      <c r="N2497" s="31" t="s">
        <v>267</v>
      </c>
      <c r="O2497" s="31">
        <v>4.0</v>
      </c>
      <c r="P2497" s="34"/>
      <c r="Q2497" s="31" t="s">
        <v>307</v>
      </c>
      <c r="R2497" s="32">
        <v>31465.0</v>
      </c>
      <c r="S2497" s="31" t="s">
        <v>3044</v>
      </c>
      <c r="T2497" s="31" t="s">
        <v>9810</v>
      </c>
      <c r="U2497" s="31" t="s">
        <v>271</v>
      </c>
      <c r="V2497" s="34"/>
      <c r="W2497" s="34"/>
    </row>
    <row r="2498">
      <c r="A2498" s="30">
        <v>2.493</v>
      </c>
      <c r="B2498" s="31" t="s">
        <v>9811</v>
      </c>
      <c r="C2498" s="31" t="s">
        <v>9812</v>
      </c>
      <c r="D2498" s="31" t="s">
        <v>5193</v>
      </c>
      <c r="E2498" s="31" t="s">
        <v>75</v>
      </c>
      <c r="F2498" s="32">
        <v>44470.0</v>
      </c>
      <c r="G2498" s="32">
        <v>44531.0</v>
      </c>
      <c r="H2498" s="31" t="s">
        <v>2924</v>
      </c>
      <c r="I2498" s="31" t="s">
        <v>75</v>
      </c>
      <c r="J2498" s="34"/>
      <c r="K2498" s="31" t="s">
        <v>3093</v>
      </c>
      <c r="L2498" s="31" t="s">
        <v>9813</v>
      </c>
      <c r="M2498" s="31" t="s">
        <v>9814</v>
      </c>
      <c r="N2498" s="31" t="s">
        <v>467</v>
      </c>
      <c r="O2498" s="34"/>
      <c r="P2498" s="34"/>
      <c r="Q2498" s="31" t="s">
        <v>307</v>
      </c>
      <c r="R2498" s="35">
        <v>35386.0</v>
      </c>
      <c r="S2498" s="31" t="s">
        <v>468</v>
      </c>
      <c r="T2498" s="31" t="s">
        <v>2713</v>
      </c>
      <c r="U2498" s="31" t="s">
        <v>460</v>
      </c>
      <c r="V2498" s="34"/>
      <c r="W2498" s="34"/>
    </row>
    <row r="2499">
      <c r="A2499" s="30">
        <v>2.494</v>
      </c>
      <c r="B2499" s="31" t="s">
        <v>9815</v>
      </c>
      <c r="C2499" s="31" t="s">
        <v>9816</v>
      </c>
      <c r="D2499" s="31" t="s">
        <v>4581</v>
      </c>
      <c r="E2499" s="31" t="s">
        <v>4386</v>
      </c>
      <c r="F2499" s="32">
        <v>43321.0</v>
      </c>
      <c r="G2499" s="32">
        <v>43382.0</v>
      </c>
      <c r="H2499" s="31" t="s">
        <v>303</v>
      </c>
      <c r="I2499" s="31" t="s">
        <v>4386</v>
      </c>
      <c r="J2499" s="34"/>
      <c r="K2499" s="31" t="s">
        <v>4387</v>
      </c>
      <c r="L2499" s="31" t="s">
        <v>4582</v>
      </c>
      <c r="M2499" s="31" t="s">
        <v>9817</v>
      </c>
      <c r="N2499" s="31" t="s">
        <v>467</v>
      </c>
      <c r="O2499" s="34"/>
      <c r="P2499" s="34"/>
      <c r="Q2499" s="31" t="s">
        <v>307</v>
      </c>
      <c r="R2499" s="32">
        <v>33211.0</v>
      </c>
      <c r="S2499" s="31" t="s">
        <v>1369</v>
      </c>
      <c r="T2499" s="31" t="s">
        <v>6073</v>
      </c>
      <c r="U2499" s="31" t="s">
        <v>271</v>
      </c>
      <c r="V2499" s="34"/>
      <c r="W2499" s="34"/>
    </row>
    <row r="2500">
      <c r="A2500" s="30">
        <v>2.495</v>
      </c>
      <c r="B2500" s="31" t="s">
        <v>9818</v>
      </c>
      <c r="C2500" s="31" t="s">
        <v>9819</v>
      </c>
      <c r="D2500" s="31" t="s">
        <v>9820</v>
      </c>
      <c r="E2500" s="31" t="s">
        <v>4386</v>
      </c>
      <c r="F2500" s="32">
        <v>42471.0</v>
      </c>
      <c r="G2500" s="32">
        <v>42536.0</v>
      </c>
      <c r="H2500" s="31" t="s">
        <v>303</v>
      </c>
      <c r="I2500" s="31" t="s">
        <v>4386</v>
      </c>
      <c r="J2500" s="34"/>
      <c r="K2500" s="31" t="s">
        <v>4387</v>
      </c>
      <c r="L2500" s="31" t="s">
        <v>9821</v>
      </c>
      <c r="M2500" s="31" t="s">
        <v>9822</v>
      </c>
      <c r="N2500" s="31" t="s">
        <v>267</v>
      </c>
      <c r="O2500" s="34"/>
      <c r="P2500" s="34"/>
      <c r="Q2500" s="31" t="s">
        <v>307</v>
      </c>
      <c r="R2500" s="32">
        <v>32886.0</v>
      </c>
      <c r="S2500" s="31" t="s">
        <v>3871</v>
      </c>
      <c r="T2500" s="31" t="s">
        <v>9046</v>
      </c>
      <c r="U2500" s="31" t="s">
        <v>271</v>
      </c>
      <c r="V2500" s="34"/>
      <c r="W2500" s="34"/>
    </row>
    <row r="2501">
      <c r="A2501" s="30">
        <v>2.496</v>
      </c>
      <c r="B2501" s="31" t="s">
        <v>9823</v>
      </c>
      <c r="C2501" s="31" t="s">
        <v>9824</v>
      </c>
      <c r="D2501" s="31" t="s">
        <v>472</v>
      </c>
      <c r="E2501" s="31" t="s">
        <v>3099</v>
      </c>
      <c r="F2501" s="35">
        <v>44879.0</v>
      </c>
      <c r="G2501" s="32">
        <v>44940.0</v>
      </c>
      <c r="H2501" s="31" t="s">
        <v>2924</v>
      </c>
      <c r="I2501" s="31" t="s">
        <v>75</v>
      </c>
      <c r="J2501" s="31" t="s">
        <v>3100</v>
      </c>
      <c r="K2501" s="31" t="s">
        <v>3101</v>
      </c>
      <c r="L2501" s="31" t="s">
        <v>3088</v>
      </c>
      <c r="M2501" s="31" t="s">
        <v>9825</v>
      </c>
      <c r="N2501" s="31" t="s">
        <v>467</v>
      </c>
      <c r="O2501" s="34"/>
      <c r="P2501" s="34"/>
      <c r="Q2501" s="31" t="s">
        <v>307</v>
      </c>
      <c r="R2501" s="32">
        <v>36556.0</v>
      </c>
      <c r="S2501" s="31" t="s">
        <v>560</v>
      </c>
      <c r="T2501" s="31" t="s">
        <v>9826</v>
      </c>
      <c r="U2501" s="31" t="s">
        <v>460</v>
      </c>
      <c r="V2501" s="31" t="s">
        <v>3099</v>
      </c>
      <c r="W2501" s="34"/>
    </row>
    <row r="2502">
      <c r="A2502" s="30">
        <v>2.497</v>
      </c>
      <c r="B2502" s="31" t="s">
        <v>9827</v>
      </c>
      <c r="C2502" s="31" t="s">
        <v>9828</v>
      </c>
      <c r="D2502" s="31" t="s">
        <v>9829</v>
      </c>
      <c r="E2502" s="31" t="s">
        <v>155</v>
      </c>
      <c r="F2502" s="32">
        <v>44144.0</v>
      </c>
      <c r="G2502" s="32">
        <v>44205.0</v>
      </c>
      <c r="H2502" s="31" t="s">
        <v>2924</v>
      </c>
      <c r="I2502" s="31" t="s">
        <v>155</v>
      </c>
      <c r="J2502" s="34"/>
      <c r="K2502" s="31" t="s">
        <v>9830</v>
      </c>
      <c r="L2502" s="31" t="s">
        <v>9831</v>
      </c>
      <c r="M2502" s="31" t="s">
        <v>9832</v>
      </c>
      <c r="N2502" s="31" t="s">
        <v>467</v>
      </c>
      <c r="O2502" s="31">
        <v>4.0</v>
      </c>
      <c r="P2502" s="34"/>
      <c r="Q2502" s="31" t="s">
        <v>307</v>
      </c>
      <c r="R2502" s="32">
        <v>34222.0</v>
      </c>
      <c r="S2502" s="31" t="s">
        <v>631</v>
      </c>
      <c r="T2502" s="31" t="s">
        <v>9833</v>
      </c>
      <c r="U2502" s="31" t="s">
        <v>460</v>
      </c>
      <c r="V2502" s="34"/>
      <c r="W2502" s="34"/>
    </row>
    <row r="2503">
      <c r="A2503" s="30">
        <v>2.498</v>
      </c>
      <c r="B2503" s="31" t="s">
        <v>9834</v>
      </c>
      <c r="C2503" s="31" t="s">
        <v>9835</v>
      </c>
      <c r="D2503" s="31" t="s">
        <v>472</v>
      </c>
      <c r="E2503" s="31" t="s">
        <v>3099</v>
      </c>
      <c r="F2503" s="32">
        <v>44298.0</v>
      </c>
      <c r="G2503" s="32">
        <v>44359.0</v>
      </c>
      <c r="H2503" s="31" t="s">
        <v>2924</v>
      </c>
      <c r="I2503" s="31" t="s">
        <v>75</v>
      </c>
      <c r="J2503" s="31" t="s">
        <v>3100</v>
      </c>
      <c r="K2503" s="31" t="s">
        <v>3101</v>
      </c>
      <c r="L2503" s="31" t="s">
        <v>3088</v>
      </c>
      <c r="M2503" s="31" t="s">
        <v>9836</v>
      </c>
      <c r="N2503" s="31" t="s">
        <v>467</v>
      </c>
      <c r="O2503" s="34"/>
      <c r="P2503" s="34"/>
      <c r="Q2503" s="31" t="s">
        <v>307</v>
      </c>
      <c r="R2503" s="32">
        <v>36199.0</v>
      </c>
      <c r="S2503" s="31" t="s">
        <v>560</v>
      </c>
      <c r="T2503" s="31" t="s">
        <v>752</v>
      </c>
      <c r="U2503" s="31" t="s">
        <v>460</v>
      </c>
      <c r="V2503" s="31" t="s">
        <v>3099</v>
      </c>
      <c r="W2503" s="34"/>
    </row>
    <row r="2504">
      <c r="A2504" s="30">
        <v>2.499</v>
      </c>
      <c r="B2504" s="31" t="s">
        <v>9837</v>
      </c>
      <c r="C2504" s="31" t="s">
        <v>9838</v>
      </c>
      <c r="D2504" s="31" t="s">
        <v>553</v>
      </c>
      <c r="E2504" s="31" t="s">
        <v>3099</v>
      </c>
      <c r="F2504" s="32">
        <v>43556.0</v>
      </c>
      <c r="G2504" s="32">
        <v>43617.0</v>
      </c>
      <c r="H2504" s="31" t="s">
        <v>2924</v>
      </c>
      <c r="I2504" s="31" t="s">
        <v>75</v>
      </c>
      <c r="J2504" s="31" t="s">
        <v>3100</v>
      </c>
      <c r="K2504" s="31" t="s">
        <v>3101</v>
      </c>
      <c r="L2504" s="31" t="s">
        <v>3631</v>
      </c>
      <c r="M2504" s="31" t="s">
        <v>9839</v>
      </c>
      <c r="N2504" s="31" t="s">
        <v>267</v>
      </c>
      <c r="O2504" s="34"/>
      <c r="P2504" s="34"/>
      <c r="Q2504" s="31" t="s">
        <v>307</v>
      </c>
      <c r="R2504" s="32">
        <v>33676.0</v>
      </c>
      <c r="S2504" s="31" t="s">
        <v>560</v>
      </c>
      <c r="T2504" s="31" t="s">
        <v>4337</v>
      </c>
      <c r="U2504" s="31" t="s">
        <v>460</v>
      </c>
      <c r="V2504" s="31" t="s">
        <v>3099</v>
      </c>
      <c r="W2504" s="34"/>
    </row>
    <row r="2505">
      <c r="A2505" s="30">
        <v>2.5</v>
      </c>
      <c r="B2505" s="31" t="s">
        <v>9840</v>
      </c>
      <c r="C2505" s="31" t="s">
        <v>9841</v>
      </c>
      <c r="D2505" s="31" t="s">
        <v>452</v>
      </c>
      <c r="E2505" s="31" t="s">
        <v>3099</v>
      </c>
      <c r="F2505" s="35">
        <v>42661.0</v>
      </c>
      <c r="G2505" s="35">
        <v>42722.0</v>
      </c>
      <c r="H2505" s="31" t="s">
        <v>2924</v>
      </c>
      <c r="I2505" s="31" t="s">
        <v>75</v>
      </c>
      <c r="J2505" s="31" t="s">
        <v>3100</v>
      </c>
      <c r="K2505" s="31" t="s">
        <v>3101</v>
      </c>
      <c r="L2505" s="31" t="s">
        <v>3102</v>
      </c>
      <c r="M2505" s="31" t="s">
        <v>9842</v>
      </c>
      <c r="N2505" s="31" t="s">
        <v>267</v>
      </c>
      <c r="O2505" s="34"/>
      <c r="P2505" s="34"/>
      <c r="Q2505" s="31" t="s">
        <v>307</v>
      </c>
      <c r="R2505" s="32">
        <v>34576.0</v>
      </c>
      <c r="S2505" s="31" t="s">
        <v>729</v>
      </c>
      <c r="T2505" s="31" t="s">
        <v>686</v>
      </c>
      <c r="U2505" s="31" t="s">
        <v>460</v>
      </c>
      <c r="V2505" s="31" t="s">
        <v>3099</v>
      </c>
      <c r="W2505" s="34"/>
    </row>
    <row r="2506">
      <c r="A2506" s="30">
        <v>2.501</v>
      </c>
      <c r="B2506" s="31" t="s">
        <v>9843</v>
      </c>
      <c r="C2506" s="31" t="s">
        <v>6601</v>
      </c>
      <c r="D2506" s="31" t="s">
        <v>472</v>
      </c>
      <c r="E2506" s="31" t="s">
        <v>3085</v>
      </c>
      <c r="F2506" s="32">
        <v>44396.0</v>
      </c>
      <c r="G2506" s="32">
        <v>44458.0</v>
      </c>
      <c r="H2506" s="31" t="s">
        <v>2924</v>
      </c>
      <c r="I2506" s="31" t="s">
        <v>75</v>
      </c>
      <c r="J2506" s="31" t="s">
        <v>3086</v>
      </c>
      <c r="K2506" s="31" t="s">
        <v>3087</v>
      </c>
      <c r="L2506" s="31" t="s">
        <v>3088</v>
      </c>
      <c r="M2506" s="31" t="s">
        <v>9844</v>
      </c>
      <c r="N2506" s="31" t="s">
        <v>467</v>
      </c>
      <c r="O2506" s="34"/>
      <c r="P2506" s="34"/>
      <c r="Q2506" s="31" t="s">
        <v>307</v>
      </c>
      <c r="R2506" s="35">
        <v>35778.0</v>
      </c>
      <c r="S2506" s="31" t="s">
        <v>560</v>
      </c>
      <c r="T2506" s="31" t="s">
        <v>3052</v>
      </c>
      <c r="U2506" s="31" t="s">
        <v>460</v>
      </c>
      <c r="V2506" s="31" t="s">
        <v>3085</v>
      </c>
      <c r="W2506" s="34"/>
    </row>
    <row r="2507">
      <c r="A2507" s="30">
        <v>2.502</v>
      </c>
      <c r="B2507" s="31" t="s">
        <v>9845</v>
      </c>
      <c r="C2507" s="31" t="s">
        <v>9846</v>
      </c>
      <c r="D2507" s="31" t="s">
        <v>472</v>
      </c>
      <c r="E2507" s="31" t="s">
        <v>3099</v>
      </c>
      <c r="F2507" s="32">
        <v>44298.0</v>
      </c>
      <c r="G2507" s="32">
        <v>44359.0</v>
      </c>
      <c r="H2507" s="31" t="s">
        <v>2924</v>
      </c>
      <c r="I2507" s="31" t="s">
        <v>75</v>
      </c>
      <c r="J2507" s="31" t="s">
        <v>3100</v>
      </c>
      <c r="K2507" s="31" t="s">
        <v>3101</v>
      </c>
      <c r="L2507" s="31" t="s">
        <v>3088</v>
      </c>
      <c r="M2507" s="31" t="s">
        <v>9847</v>
      </c>
      <c r="N2507" s="31" t="s">
        <v>467</v>
      </c>
      <c r="O2507" s="34"/>
      <c r="P2507" s="34"/>
      <c r="Q2507" s="31" t="s">
        <v>307</v>
      </c>
      <c r="R2507" s="32">
        <v>36332.0</v>
      </c>
      <c r="S2507" s="31" t="s">
        <v>502</v>
      </c>
      <c r="T2507" s="31" t="s">
        <v>503</v>
      </c>
      <c r="U2507" s="31" t="s">
        <v>460</v>
      </c>
      <c r="V2507" s="31" t="s">
        <v>3099</v>
      </c>
      <c r="W2507" s="34"/>
    </row>
    <row r="2508">
      <c r="A2508" s="30">
        <v>2.503</v>
      </c>
      <c r="B2508" s="31" t="s">
        <v>9848</v>
      </c>
      <c r="C2508" s="31" t="s">
        <v>9849</v>
      </c>
      <c r="D2508" s="31" t="s">
        <v>9850</v>
      </c>
      <c r="E2508" s="31" t="s">
        <v>2463</v>
      </c>
      <c r="F2508" s="32">
        <v>43236.0</v>
      </c>
      <c r="G2508" s="32">
        <v>43297.0</v>
      </c>
      <c r="H2508" s="31" t="s">
        <v>576</v>
      </c>
      <c r="I2508" s="31" t="s">
        <v>2463</v>
      </c>
      <c r="J2508" s="34"/>
      <c r="K2508" s="31" t="s">
        <v>7335</v>
      </c>
      <c r="L2508" s="31" t="s">
        <v>9851</v>
      </c>
      <c r="M2508" s="31" t="s">
        <v>9852</v>
      </c>
      <c r="N2508" s="31" t="s">
        <v>267</v>
      </c>
      <c r="O2508" s="34"/>
      <c r="P2508" s="34"/>
      <c r="Q2508" s="31" t="s">
        <v>307</v>
      </c>
      <c r="R2508" s="32">
        <v>33885.0</v>
      </c>
      <c r="S2508" s="31" t="s">
        <v>2426</v>
      </c>
      <c r="T2508" s="31" t="s">
        <v>9853</v>
      </c>
      <c r="U2508" s="31" t="s">
        <v>583</v>
      </c>
      <c r="V2508" s="34"/>
      <c r="W2508" s="34"/>
    </row>
    <row r="2509">
      <c r="A2509" s="30">
        <v>2.504</v>
      </c>
      <c r="B2509" s="31" t="s">
        <v>9854</v>
      </c>
      <c r="C2509" s="31" t="s">
        <v>1450</v>
      </c>
      <c r="D2509" s="31" t="s">
        <v>9855</v>
      </c>
      <c r="E2509" s="31" t="s">
        <v>7381</v>
      </c>
      <c r="F2509" s="32">
        <v>36008.0</v>
      </c>
      <c r="G2509" s="32">
        <v>36161.0</v>
      </c>
      <c r="H2509" s="31" t="s">
        <v>303</v>
      </c>
      <c r="I2509" s="31" t="s">
        <v>221</v>
      </c>
      <c r="J2509" s="31" t="s">
        <v>7381</v>
      </c>
      <c r="K2509" s="31" t="s">
        <v>7382</v>
      </c>
      <c r="L2509" s="31" t="s">
        <v>9856</v>
      </c>
      <c r="M2509" s="31" t="s">
        <v>9857</v>
      </c>
      <c r="N2509" s="31" t="s">
        <v>267</v>
      </c>
      <c r="O2509" s="31">
        <v>5.0</v>
      </c>
      <c r="P2509" s="34"/>
      <c r="Q2509" s="31" t="s">
        <v>307</v>
      </c>
      <c r="R2509" s="32">
        <v>27807.0</v>
      </c>
      <c r="S2509" s="31" t="s">
        <v>631</v>
      </c>
      <c r="T2509" s="31" t="s">
        <v>686</v>
      </c>
      <c r="U2509" s="31" t="s">
        <v>310</v>
      </c>
      <c r="V2509" s="34"/>
      <c r="W2509" s="34"/>
    </row>
    <row r="2510">
      <c r="A2510" s="30">
        <v>2.505</v>
      </c>
      <c r="B2510" s="31" t="s">
        <v>9858</v>
      </c>
      <c r="C2510" s="31" t="s">
        <v>9859</v>
      </c>
      <c r="D2510" s="31" t="s">
        <v>9860</v>
      </c>
      <c r="E2510" s="31" t="s">
        <v>221</v>
      </c>
      <c r="F2510" s="32">
        <v>38492.0</v>
      </c>
      <c r="G2510" s="32">
        <v>38553.0</v>
      </c>
      <c r="H2510" s="31" t="s">
        <v>303</v>
      </c>
      <c r="I2510" s="31" t="s">
        <v>221</v>
      </c>
      <c r="J2510" s="34"/>
      <c r="K2510" s="31" t="s">
        <v>9861</v>
      </c>
      <c r="L2510" s="31" t="s">
        <v>9862</v>
      </c>
      <c r="M2510" s="31" t="s">
        <v>9863</v>
      </c>
      <c r="N2510" s="31" t="s">
        <v>267</v>
      </c>
      <c r="O2510" s="31">
        <v>4.0</v>
      </c>
      <c r="P2510" s="34"/>
      <c r="Q2510" s="31" t="s">
        <v>307</v>
      </c>
      <c r="R2510" s="32">
        <v>29132.0</v>
      </c>
      <c r="S2510" s="31" t="s">
        <v>700</v>
      </c>
      <c r="T2510" s="31" t="s">
        <v>686</v>
      </c>
      <c r="U2510" s="31" t="s">
        <v>310</v>
      </c>
      <c r="V2510" s="34"/>
      <c r="W2510" s="34"/>
    </row>
    <row r="2511">
      <c r="A2511" s="30">
        <v>2.506</v>
      </c>
      <c r="B2511" s="31" t="s">
        <v>9864</v>
      </c>
      <c r="C2511" s="31" t="s">
        <v>9865</v>
      </c>
      <c r="D2511" s="31" t="s">
        <v>7279</v>
      </c>
      <c r="E2511" s="31" t="s">
        <v>32</v>
      </c>
      <c r="F2511" s="32">
        <v>38353.0</v>
      </c>
      <c r="G2511" s="32">
        <v>38418.0</v>
      </c>
      <c r="H2511" s="31" t="s">
        <v>2732</v>
      </c>
      <c r="I2511" s="31" t="s">
        <v>32</v>
      </c>
      <c r="J2511" s="34"/>
      <c r="K2511" s="31" t="s">
        <v>9866</v>
      </c>
      <c r="L2511" s="31" t="s">
        <v>7281</v>
      </c>
      <c r="M2511" s="31" t="s">
        <v>9867</v>
      </c>
      <c r="N2511" s="31" t="s">
        <v>467</v>
      </c>
      <c r="O2511" s="31">
        <v>4.0</v>
      </c>
      <c r="P2511" s="34"/>
      <c r="Q2511" s="31" t="s">
        <v>307</v>
      </c>
      <c r="R2511" s="35">
        <v>27313.0</v>
      </c>
      <c r="S2511" s="31" t="s">
        <v>320</v>
      </c>
      <c r="T2511" s="31" t="s">
        <v>2740</v>
      </c>
      <c r="U2511" s="31" t="s">
        <v>2735</v>
      </c>
      <c r="V2511" s="34"/>
      <c r="W2511" s="34"/>
    </row>
    <row r="2512">
      <c r="A2512" s="30">
        <v>2.507</v>
      </c>
      <c r="B2512" s="31" t="s">
        <v>9868</v>
      </c>
      <c r="C2512" s="31" t="s">
        <v>9869</v>
      </c>
      <c r="D2512" s="31" t="s">
        <v>7588</v>
      </c>
      <c r="E2512" s="31" t="s">
        <v>32</v>
      </c>
      <c r="F2512" s="32">
        <v>43348.0</v>
      </c>
      <c r="G2512" s="32">
        <v>43409.0</v>
      </c>
      <c r="H2512" s="31" t="s">
        <v>2732</v>
      </c>
      <c r="I2512" s="31" t="s">
        <v>32</v>
      </c>
      <c r="J2512" s="34"/>
      <c r="K2512" s="31" t="s">
        <v>9866</v>
      </c>
      <c r="L2512" s="31" t="s">
        <v>7589</v>
      </c>
      <c r="M2512" s="31" t="s">
        <v>9870</v>
      </c>
      <c r="N2512" s="31" t="s">
        <v>467</v>
      </c>
      <c r="O2512" s="31">
        <v>4.0</v>
      </c>
      <c r="P2512" s="34"/>
      <c r="Q2512" s="31" t="s">
        <v>307</v>
      </c>
      <c r="R2512" s="32">
        <v>32051.0</v>
      </c>
      <c r="S2512" s="31" t="s">
        <v>531</v>
      </c>
      <c r="T2512" s="31" t="s">
        <v>7697</v>
      </c>
      <c r="U2512" s="31" t="s">
        <v>2735</v>
      </c>
      <c r="V2512" s="34"/>
      <c r="W2512" s="34"/>
    </row>
    <row r="2513">
      <c r="A2513" s="30">
        <v>2.508</v>
      </c>
      <c r="B2513" s="31" t="s">
        <v>9871</v>
      </c>
      <c r="C2513" s="31" t="s">
        <v>9872</v>
      </c>
      <c r="D2513" s="31" t="s">
        <v>313</v>
      </c>
      <c r="E2513" s="31" t="s">
        <v>3068</v>
      </c>
      <c r="F2513" s="32">
        <v>42880.0</v>
      </c>
      <c r="G2513" s="32">
        <v>42942.0</v>
      </c>
      <c r="H2513" s="31" t="s">
        <v>2811</v>
      </c>
      <c r="I2513" s="31" t="s">
        <v>2797</v>
      </c>
      <c r="J2513" s="31" t="s">
        <v>3068</v>
      </c>
      <c r="K2513" s="31" t="s">
        <v>3069</v>
      </c>
      <c r="L2513" s="31" t="s">
        <v>318</v>
      </c>
      <c r="M2513" s="31" t="s">
        <v>9873</v>
      </c>
      <c r="N2513" s="31" t="s">
        <v>467</v>
      </c>
      <c r="O2513" s="34"/>
      <c r="P2513" s="31">
        <v>8.0</v>
      </c>
      <c r="Q2513" s="31" t="s">
        <v>307</v>
      </c>
      <c r="R2513" s="35">
        <v>33955.0</v>
      </c>
      <c r="S2513" s="31" t="s">
        <v>681</v>
      </c>
      <c r="T2513" s="31" t="s">
        <v>4722</v>
      </c>
      <c r="U2513" s="31" t="s">
        <v>2914</v>
      </c>
      <c r="V2513" s="34"/>
      <c r="W2513" s="34"/>
    </row>
    <row r="2514">
      <c r="A2514" s="30">
        <v>2.509</v>
      </c>
      <c r="B2514" s="31" t="s">
        <v>9874</v>
      </c>
      <c r="C2514" s="31" t="s">
        <v>9875</v>
      </c>
      <c r="D2514" s="31" t="s">
        <v>9876</v>
      </c>
      <c r="E2514" s="31" t="s">
        <v>9691</v>
      </c>
      <c r="F2514" s="32">
        <v>43222.0</v>
      </c>
      <c r="G2514" s="32">
        <v>43277.0</v>
      </c>
      <c r="H2514" s="31" t="s">
        <v>303</v>
      </c>
      <c r="I2514" s="31" t="s">
        <v>9691</v>
      </c>
      <c r="J2514" s="34"/>
      <c r="K2514" s="31" t="s">
        <v>9692</v>
      </c>
      <c r="L2514" s="31" t="s">
        <v>9877</v>
      </c>
      <c r="M2514" s="31" t="s">
        <v>9878</v>
      </c>
      <c r="N2514" s="31" t="s">
        <v>467</v>
      </c>
      <c r="O2514" s="34"/>
      <c r="P2514" s="34"/>
      <c r="Q2514" s="31" t="s">
        <v>307</v>
      </c>
      <c r="R2514" s="32">
        <v>33647.0</v>
      </c>
      <c r="S2514" s="31" t="s">
        <v>700</v>
      </c>
      <c r="T2514" s="31" t="s">
        <v>1865</v>
      </c>
      <c r="U2514" s="31" t="s">
        <v>310</v>
      </c>
      <c r="V2514" s="34"/>
      <c r="W2514" s="34"/>
    </row>
    <row r="2515">
      <c r="A2515" s="30">
        <v>2.51</v>
      </c>
      <c r="B2515" s="31" t="s">
        <v>9879</v>
      </c>
      <c r="C2515" s="31" t="s">
        <v>9880</v>
      </c>
      <c r="D2515" s="31" t="s">
        <v>9881</v>
      </c>
      <c r="E2515" s="31" t="s">
        <v>9691</v>
      </c>
      <c r="F2515" s="32">
        <v>43570.0</v>
      </c>
      <c r="G2515" s="32">
        <v>43631.0</v>
      </c>
      <c r="H2515" s="31" t="s">
        <v>303</v>
      </c>
      <c r="I2515" s="31" t="s">
        <v>9691</v>
      </c>
      <c r="J2515" s="34"/>
      <c r="K2515" s="31" t="s">
        <v>9692</v>
      </c>
      <c r="L2515" s="31" t="s">
        <v>9882</v>
      </c>
      <c r="M2515" s="31" t="s">
        <v>9883</v>
      </c>
      <c r="N2515" s="31" t="s">
        <v>467</v>
      </c>
      <c r="O2515" s="31">
        <v>2.0</v>
      </c>
      <c r="P2515" s="34"/>
      <c r="Q2515" s="31" t="s">
        <v>307</v>
      </c>
      <c r="R2515" s="32">
        <v>31597.0</v>
      </c>
      <c r="S2515" s="31" t="s">
        <v>1249</v>
      </c>
      <c r="T2515" s="31" t="s">
        <v>9884</v>
      </c>
      <c r="U2515" s="31" t="s">
        <v>310</v>
      </c>
      <c r="V2515" s="34"/>
      <c r="W2515" s="34"/>
    </row>
    <row r="2516">
      <c r="A2516" s="30">
        <v>2.511</v>
      </c>
      <c r="B2516" s="31" t="s">
        <v>9885</v>
      </c>
      <c r="C2516" s="31" t="s">
        <v>9886</v>
      </c>
      <c r="D2516" s="31" t="s">
        <v>6125</v>
      </c>
      <c r="E2516" s="31" t="s">
        <v>36</v>
      </c>
      <c r="F2516" s="32">
        <v>44404.0</v>
      </c>
      <c r="G2516" s="32">
        <v>44466.0</v>
      </c>
      <c r="H2516" s="31" t="s">
        <v>303</v>
      </c>
      <c r="I2516" s="31" t="s">
        <v>36</v>
      </c>
      <c r="J2516" s="34"/>
      <c r="K2516" s="31" t="s">
        <v>3014</v>
      </c>
      <c r="L2516" s="31" t="s">
        <v>6127</v>
      </c>
      <c r="M2516" s="31" t="s">
        <v>9887</v>
      </c>
      <c r="N2516" s="31" t="s">
        <v>267</v>
      </c>
      <c r="O2516" s="31">
        <v>2.0</v>
      </c>
      <c r="P2516" s="34"/>
      <c r="Q2516" s="31" t="s">
        <v>307</v>
      </c>
      <c r="R2516" s="32">
        <v>35572.0</v>
      </c>
      <c r="S2516" s="31" t="s">
        <v>2625</v>
      </c>
      <c r="T2516" s="31" t="s">
        <v>3116</v>
      </c>
      <c r="U2516" s="31" t="s">
        <v>310</v>
      </c>
      <c r="V2516" s="34"/>
      <c r="W2516" s="34"/>
    </row>
    <row r="2517">
      <c r="A2517" s="30">
        <v>2.512</v>
      </c>
      <c r="B2517" s="31" t="s">
        <v>9888</v>
      </c>
      <c r="C2517" s="31" t="s">
        <v>9889</v>
      </c>
      <c r="D2517" s="31" t="s">
        <v>2480</v>
      </c>
      <c r="E2517" s="31" t="s">
        <v>226</v>
      </c>
      <c r="F2517" s="32">
        <v>40848.0</v>
      </c>
      <c r="G2517" s="32">
        <v>40848.0</v>
      </c>
      <c r="H2517" s="31" t="s">
        <v>303</v>
      </c>
      <c r="I2517" s="31" t="s">
        <v>226</v>
      </c>
      <c r="J2517" s="34"/>
      <c r="K2517" s="31" t="s">
        <v>9890</v>
      </c>
      <c r="L2517" s="31" t="s">
        <v>2481</v>
      </c>
      <c r="M2517" s="31" t="s">
        <v>9891</v>
      </c>
      <c r="N2517" s="31" t="s">
        <v>467</v>
      </c>
      <c r="O2517" s="34"/>
      <c r="P2517" s="34"/>
      <c r="Q2517" s="31" t="s">
        <v>307</v>
      </c>
      <c r="R2517" s="32">
        <v>32313.0</v>
      </c>
      <c r="S2517" s="31" t="s">
        <v>626</v>
      </c>
      <c r="T2517" s="31" t="s">
        <v>5980</v>
      </c>
      <c r="U2517" s="31" t="s">
        <v>310</v>
      </c>
      <c r="V2517" s="34"/>
      <c r="W2517" s="34"/>
    </row>
    <row r="2518">
      <c r="A2518" s="30">
        <v>2.513</v>
      </c>
      <c r="B2518" s="31" t="s">
        <v>9892</v>
      </c>
      <c r="C2518" s="31" t="s">
        <v>9893</v>
      </c>
      <c r="D2518" s="31" t="s">
        <v>9894</v>
      </c>
      <c r="E2518" s="31" t="s">
        <v>226</v>
      </c>
      <c r="F2518" s="32">
        <v>40681.0</v>
      </c>
      <c r="G2518" s="32">
        <v>42156.0</v>
      </c>
      <c r="H2518" s="31" t="s">
        <v>303</v>
      </c>
      <c r="I2518" s="31" t="s">
        <v>226</v>
      </c>
      <c r="J2518" s="34"/>
      <c r="K2518" s="31" t="s">
        <v>9890</v>
      </c>
      <c r="L2518" s="31" t="s">
        <v>9895</v>
      </c>
      <c r="M2518" s="31" t="s">
        <v>9896</v>
      </c>
      <c r="N2518" s="31" t="s">
        <v>467</v>
      </c>
      <c r="O2518" s="31">
        <v>2.0</v>
      </c>
      <c r="P2518" s="34"/>
      <c r="Q2518" s="31" t="s">
        <v>307</v>
      </c>
      <c r="R2518" s="32">
        <v>30739.0</v>
      </c>
      <c r="S2518" s="31" t="s">
        <v>9897</v>
      </c>
      <c r="T2518" s="31" t="s">
        <v>686</v>
      </c>
      <c r="U2518" s="31" t="s">
        <v>310</v>
      </c>
      <c r="V2518" s="34"/>
      <c r="W2518" s="34"/>
    </row>
    <row r="2519">
      <c r="A2519" s="30">
        <v>2.514</v>
      </c>
      <c r="B2519" s="31" t="s">
        <v>9898</v>
      </c>
      <c r="C2519" s="31" t="s">
        <v>9899</v>
      </c>
      <c r="D2519" s="31" t="s">
        <v>1197</v>
      </c>
      <c r="E2519" s="31" t="s">
        <v>226</v>
      </c>
      <c r="F2519" s="32">
        <v>40324.0</v>
      </c>
      <c r="G2519" s="32">
        <v>40385.0</v>
      </c>
      <c r="H2519" s="31" t="s">
        <v>303</v>
      </c>
      <c r="I2519" s="31" t="s">
        <v>226</v>
      </c>
      <c r="J2519" s="34"/>
      <c r="K2519" s="31" t="s">
        <v>9890</v>
      </c>
      <c r="L2519" s="31" t="s">
        <v>2476</v>
      </c>
      <c r="M2519" s="31" t="s">
        <v>9900</v>
      </c>
      <c r="N2519" s="31" t="s">
        <v>267</v>
      </c>
      <c r="O2519" s="34"/>
      <c r="P2519" s="34"/>
      <c r="Q2519" s="31" t="s">
        <v>307</v>
      </c>
      <c r="R2519" s="32">
        <v>32349.0</v>
      </c>
      <c r="S2519" s="31" t="s">
        <v>531</v>
      </c>
      <c r="T2519" s="31" t="s">
        <v>686</v>
      </c>
      <c r="U2519" s="31" t="s">
        <v>310</v>
      </c>
      <c r="V2519" s="34"/>
      <c r="W2519" s="34"/>
    </row>
    <row r="2520">
      <c r="A2520" s="30">
        <v>2.515</v>
      </c>
      <c r="B2520" s="31" t="s">
        <v>9901</v>
      </c>
      <c r="C2520" s="31" t="s">
        <v>9902</v>
      </c>
      <c r="D2520" s="31" t="s">
        <v>1197</v>
      </c>
      <c r="E2520" s="31" t="s">
        <v>226</v>
      </c>
      <c r="F2520" s="32">
        <v>43906.0</v>
      </c>
      <c r="G2520" s="32">
        <v>43937.0</v>
      </c>
      <c r="H2520" s="31" t="s">
        <v>303</v>
      </c>
      <c r="I2520" s="31" t="s">
        <v>226</v>
      </c>
      <c r="J2520" s="34"/>
      <c r="K2520" s="31" t="s">
        <v>9890</v>
      </c>
      <c r="L2520" s="31" t="s">
        <v>2476</v>
      </c>
      <c r="M2520" s="31" t="s">
        <v>9903</v>
      </c>
      <c r="N2520" s="31" t="s">
        <v>467</v>
      </c>
      <c r="O2520" s="34"/>
      <c r="P2520" s="34"/>
      <c r="Q2520" s="31" t="s">
        <v>307</v>
      </c>
      <c r="R2520" s="32">
        <v>35066.0</v>
      </c>
      <c r="S2520" s="31" t="s">
        <v>531</v>
      </c>
      <c r="T2520" s="31" t="s">
        <v>9904</v>
      </c>
      <c r="U2520" s="31" t="s">
        <v>310</v>
      </c>
      <c r="V2520" s="34"/>
      <c r="W2520" s="34"/>
    </row>
    <row r="2521">
      <c r="A2521" s="30">
        <v>2.516</v>
      </c>
      <c r="B2521" s="31" t="s">
        <v>9905</v>
      </c>
      <c r="C2521" s="31" t="s">
        <v>817</v>
      </c>
      <c r="D2521" s="31" t="s">
        <v>8352</v>
      </c>
      <c r="E2521" s="31" t="s">
        <v>226</v>
      </c>
      <c r="F2521" s="32">
        <v>39941.0</v>
      </c>
      <c r="G2521" s="32">
        <v>40002.0</v>
      </c>
      <c r="H2521" s="31" t="s">
        <v>303</v>
      </c>
      <c r="I2521" s="31" t="s">
        <v>226</v>
      </c>
      <c r="J2521" s="34"/>
      <c r="K2521" s="31" t="s">
        <v>9890</v>
      </c>
      <c r="L2521" s="31" t="s">
        <v>8353</v>
      </c>
      <c r="M2521" s="31" t="s">
        <v>9906</v>
      </c>
      <c r="N2521" s="31" t="s">
        <v>267</v>
      </c>
      <c r="O2521" s="34"/>
      <c r="P2521" s="34"/>
      <c r="Q2521" s="31" t="s">
        <v>307</v>
      </c>
      <c r="R2521" s="32">
        <v>32119.0</v>
      </c>
      <c r="S2521" s="31" t="s">
        <v>531</v>
      </c>
      <c r="T2521" s="31" t="s">
        <v>686</v>
      </c>
      <c r="U2521" s="31" t="s">
        <v>310</v>
      </c>
      <c r="V2521" s="34"/>
      <c r="W2521" s="34"/>
    </row>
    <row r="2522">
      <c r="A2522" s="30">
        <v>2.517</v>
      </c>
      <c r="B2522" s="31" t="s">
        <v>9907</v>
      </c>
      <c r="C2522" s="31" t="s">
        <v>9908</v>
      </c>
      <c r="D2522" s="31" t="s">
        <v>9909</v>
      </c>
      <c r="E2522" s="31" t="s">
        <v>2463</v>
      </c>
      <c r="F2522" s="32">
        <v>44958.0</v>
      </c>
      <c r="G2522" s="32">
        <v>45017.0</v>
      </c>
      <c r="H2522" s="31" t="s">
        <v>303</v>
      </c>
      <c r="I2522" s="31" t="s">
        <v>2463</v>
      </c>
      <c r="J2522" s="34"/>
      <c r="K2522" s="31" t="s">
        <v>2868</v>
      </c>
      <c r="L2522" s="31" t="s">
        <v>9910</v>
      </c>
      <c r="M2522" s="31" t="s">
        <v>9911</v>
      </c>
      <c r="N2522" s="31" t="s">
        <v>267</v>
      </c>
      <c r="O2522" s="34"/>
      <c r="P2522" s="34"/>
      <c r="Q2522" s="31" t="s">
        <v>307</v>
      </c>
      <c r="R2522" s="32">
        <v>36014.0</v>
      </c>
      <c r="S2522" s="31" t="s">
        <v>5994</v>
      </c>
      <c r="T2522" s="31" t="s">
        <v>9912</v>
      </c>
      <c r="U2522" s="31" t="s">
        <v>310</v>
      </c>
      <c r="V2522" s="34"/>
      <c r="W2522" s="34"/>
    </row>
    <row r="2523">
      <c r="A2523" s="30">
        <v>2.518</v>
      </c>
      <c r="B2523" s="31" t="s">
        <v>9913</v>
      </c>
      <c r="C2523" s="31" t="s">
        <v>9914</v>
      </c>
      <c r="D2523" s="31" t="s">
        <v>3644</v>
      </c>
      <c r="E2523" s="31" t="s">
        <v>2463</v>
      </c>
      <c r="F2523" s="32">
        <v>37817.0</v>
      </c>
      <c r="G2523" s="32">
        <v>37879.0</v>
      </c>
      <c r="H2523" s="31" t="s">
        <v>303</v>
      </c>
      <c r="I2523" s="31" t="s">
        <v>2463</v>
      </c>
      <c r="J2523" s="34"/>
      <c r="K2523" s="31" t="s">
        <v>2868</v>
      </c>
      <c r="L2523" s="31" t="s">
        <v>3646</v>
      </c>
      <c r="M2523" s="31" t="s">
        <v>9915</v>
      </c>
      <c r="N2523" s="31" t="s">
        <v>267</v>
      </c>
      <c r="O2523" s="34"/>
      <c r="P2523" s="34"/>
      <c r="Q2523" s="31" t="s">
        <v>307</v>
      </c>
      <c r="R2523" s="32">
        <v>31825.0</v>
      </c>
      <c r="S2523" s="31" t="s">
        <v>9265</v>
      </c>
      <c r="T2523" s="31" t="s">
        <v>9916</v>
      </c>
      <c r="U2523" s="31" t="s">
        <v>310</v>
      </c>
      <c r="V2523" s="34"/>
      <c r="W2523" s="34"/>
    </row>
    <row r="2524">
      <c r="A2524" s="30">
        <v>2.519</v>
      </c>
      <c r="B2524" s="31" t="s">
        <v>9917</v>
      </c>
      <c r="C2524" s="31" t="s">
        <v>9918</v>
      </c>
      <c r="D2524" s="31" t="s">
        <v>9251</v>
      </c>
      <c r="E2524" s="31" t="s">
        <v>2463</v>
      </c>
      <c r="F2524" s="32">
        <v>40413.0</v>
      </c>
      <c r="G2524" s="35">
        <v>40474.0</v>
      </c>
      <c r="H2524" s="31" t="s">
        <v>303</v>
      </c>
      <c r="I2524" s="31" t="s">
        <v>2463</v>
      </c>
      <c r="J2524" s="34"/>
      <c r="K2524" s="31" t="s">
        <v>2868</v>
      </c>
      <c r="L2524" s="31" t="s">
        <v>9252</v>
      </c>
      <c r="M2524" s="31" t="s">
        <v>9919</v>
      </c>
      <c r="N2524" s="31" t="s">
        <v>467</v>
      </c>
      <c r="O2524" s="34"/>
      <c r="P2524" s="34"/>
      <c r="Q2524" s="31" t="s">
        <v>307</v>
      </c>
      <c r="R2524" s="32">
        <v>30087.0</v>
      </c>
      <c r="S2524" s="34"/>
      <c r="T2524" s="31" t="s">
        <v>9920</v>
      </c>
      <c r="U2524" s="31" t="s">
        <v>310</v>
      </c>
      <c r="V2524" s="34"/>
      <c r="W2524" s="34"/>
    </row>
    <row r="2525">
      <c r="A2525" s="30">
        <v>2.52</v>
      </c>
      <c r="B2525" s="31" t="s">
        <v>9921</v>
      </c>
      <c r="C2525" s="31" t="s">
        <v>9922</v>
      </c>
      <c r="D2525" s="31" t="s">
        <v>3644</v>
      </c>
      <c r="E2525" s="31" t="s">
        <v>2463</v>
      </c>
      <c r="F2525" s="32">
        <v>42159.0</v>
      </c>
      <c r="G2525" s="32">
        <v>42220.0</v>
      </c>
      <c r="H2525" s="31" t="s">
        <v>303</v>
      </c>
      <c r="I2525" s="31" t="s">
        <v>2463</v>
      </c>
      <c r="J2525" s="34"/>
      <c r="K2525" s="31" t="s">
        <v>2868</v>
      </c>
      <c r="L2525" s="31" t="s">
        <v>3646</v>
      </c>
      <c r="M2525" s="31" t="s">
        <v>9923</v>
      </c>
      <c r="N2525" s="31" t="s">
        <v>267</v>
      </c>
      <c r="O2525" s="34"/>
      <c r="P2525" s="34"/>
      <c r="Q2525" s="31" t="s">
        <v>307</v>
      </c>
      <c r="R2525" s="35">
        <v>33196.0</v>
      </c>
      <c r="S2525" s="31" t="s">
        <v>9924</v>
      </c>
      <c r="T2525" s="31" t="s">
        <v>3116</v>
      </c>
      <c r="U2525" s="31" t="s">
        <v>310</v>
      </c>
      <c r="V2525" s="34"/>
      <c r="W2525" s="34"/>
    </row>
    <row r="2526">
      <c r="A2526" s="30">
        <v>2.521</v>
      </c>
      <c r="B2526" s="31" t="s">
        <v>9925</v>
      </c>
      <c r="C2526" s="31" t="s">
        <v>9926</v>
      </c>
      <c r="D2526" s="31" t="s">
        <v>9305</v>
      </c>
      <c r="E2526" s="31" t="s">
        <v>9306</v>
      </c>
      <c r="F2526" s="32">
        <v>41745.0</v>
      </c>
      <c r="G2526" s="32">
        <v>41806.0</v>
      </c>
      <c r="H2526" s="31" t="s">
        <v>303</v>
      </c>
      <c r="I2526" s="31" t="s">
        <v>9306</v>
      </c>
      <c r="J2526" s="34"/>
      <c r="K2526" s="31" t="s">
        <v>9307</v>
      </c>
      <c r="L2526" s="31" t="s">
        <v>9308</v>
      </c>
      <c r="M2526" s="31" t="s">
        <v>9927</v>
      </c>
      <c r="N2526" s="31" t="s">
        <v>467</v>
      </c>
      <c r="O2526" s="34"/>
      <c r="P2526" s="34"/>
      <c r="Q2526" s="31" t="s">
        <v>307</v>
      </c>
      <c r="R2526" s="32">
        <v>33361.0</v>
      </c>
      <c r="S2526" s="31" t="s">
        <v>626</v>
      </c>
      <c r="T2526" s="31" t="s">
        <v>757</v>
      </c>
      <c r="U2526" s="31" t="s">
        <v>310</v>
      </c>
      <c r="V2526" s="34"/>
      <c r="W2526" s="34"/>
    </row>
    <row r="2527">
      <c r="A2527" s="30">
        <v>2.522</v>
      </c>
      <c r="B2527" s="31" t="s">
        <v>9928</v>
      </c>
      <c r="C2527" s="31" t="s">
        <v>4147</v>
      </c>
      <c r="D2527" s="31" t="s">
        <v>9305</v>
      </c>
      <c r="E2527" s="31" t="s">
        <v>9306</v>
      </c>
      <c r="F2527" s="32">
        <v>40664.0</v>
      </c>
      <c r="G2527" s="32">
        <v>40725.0</v>
      </c>
      <c r="H2527" s="31" t="s">
        <v>303</v>
      </c>
      <c r="I2527" s="31" t="s">
        <v>9306</v>
      </c>
      <c r="J2527" s="34"/>
      <c r="K2527" s="31" t="s">
        <v>9307</v>
      </c>
      <c r="L2527" s="31" t="s">
        <v>9308</v>
      </c>
      <c r="M2527" s="31" t="s">
        <v>9929</v>
      </c>
      <c r="N2527" s="31" t="s">
        <v>267</v>
      </c>
      <c r="O2527" s="34"/>
      <c r="P2527" s="34"/>
      <c r="Q2527" s="31" t="s">
        <v>307</v>
      </c>
      <c r="R2527" s="35">
        <v>32136.0</v>
      </c>
      <c r="S2527" s="31" t="s">
        <v>681</v>
      </c>
      <c r="T2527" s="31" t="s">
        <v>778</v>
      </c>
      <c r="U2527" s="31" t="s">
        <v>310</v>
      </c>
      <c r="V2527" s="34"/>
      <c r="W2527" s="34"/>
    </row>
    <row r="2528">
      <c r="A2528" s="30">
        <v>2.523</v>
      </c>
      <c r="B2528" s="31" t="s">
        <v>9930</v>
      </c>
      <c r="C2528" s="31" t="s">
        <v>9931</v>
      </c>
      <c r="D2528" s="31" t="s">
        <v>9932</v>
      </c>
      <c r="E2528" s="31" t="s">
        <v>9306</v>
      </c>
      <c r="F2528" s="32">
        <v>44393.0</v>
      </c>
      <c r="G2528" s="32">
        <v>44455.0</v>
      </c>
      <c r="H2528" s="31" t="s">
        <v>303</v>
      </c>
      <c r="I2528" s="31" t="s">
        <v>9306</v>
      </c>
      <c r="J2528" s="34"/>
      <c r="K2528" s="31" t="s">
        <v>9307</v>
      </c>
      <c r="L2528" s="31" t="s">
        <v>9933</v>
      </c>
      <c r="M2528" s="31" t="s">
        <v>9934</v>
      </c>
      <c r="N2528" s="31" t="s">
        <v>467</v>
      </c>
      <c r="O2528" s="34"/>
      <c r="P2528" s="34"/>
      <c r="Q2528" s="31" t="s">
        <v>307</v>
      </c>
      <c r="R2528" s="32">
        <v>34199.0</v>
      </c>
      <c r="S2528" s="31" t="s">
        <v>320</v>
      </c>
      <c r="T2528" s="31" t="s">
        <v>9935</v>
      </c>
      <c r="U2528" s="31" t="s">
        <v>310</v>
      </c>
      <c r="V2528" s="34"/>
      <c r="W2528" s="34"/>
    </row>
    <row r="2529">
      <c r="A2529" s="30">
        <v>2.524</v>
      </c>
      <c r="B2529" s="31" t="s">
        <v>9936</v>
      </c>
      <c r="C2529" s="31" t="s">
        <v>9937</v>
      </c>
      <c r="D2529" s="31" t="s">
        <v>7263</v>
      </c>
      <c r="E2529" s="31" t="s">
        <v>7264</v>
      </c>
      <c r="F2529" s="32">
        <v>44831.0</v>
      </c>
      <c r="G2529" s="35">
        <v>44892.0</v>
      </c>
      <c r="H2529" s="31" t="s">
        <v>303</v>
      </c>
      <c r="I2529" s="31" t="s">
        <v>7264</v>
      </c>
      <c r="J2529" s="34"/>
      <c r="K2529" s="31" t="s">
        <v>7265</v>
      </c>
      <c r="L2529" s="31" t="s">
        <v>7266</v>
      </c>
      <c r="M2529" s="31" t="s">
        <v>9938</v>
      </c>
      <c r="N2529" s="31" t="s">
        <v>267</v>
      </c>
      <c r="O2529" s="34"/>
      <c r="P2529" s="34"/>
      <c r="Q2529" s="31" t="s">
        <v>307</v>
      </c>
      <c r="R2529" s="32">
        <v>36774.0</v>
      </c>
      <c r="S2529" s="31" t="s">
        <v>700</v>
      </c>
      <c r="T2529" s="31" t="s">
        <v>9939</v>
      </c>
      <c r="U2529" s="31" t="s">
        <v>310</v>
      </c>
      <c r="V2529" s="34"/>
      <c r="W2529" s="34"/>
    </row>
    <row r="2530">
      <c r="A2530" s="30">
        <v>2.525</v>
      </c>
      <c r="B2530" s="31" t="s">
        <v>9940</v>
      </c>
      <c r="C2530" s="31" t="s">
        <v>9941</v>
      </c>
      <c r="D2530" s="31" t="s">
        <v>2977</v>
      </c>
      <c r="E2530" s="31" t="s">
        <v>2978</v>
      </c>
      <c r="F2530" s="32">
        <v>44958.0</v>
      </c>
      <c r="G2530" s="32">
        <v>45017.0</v>
      </c>
      <c r="H2530" s="31" t="s">
        <v>303</v>
      </c>
      <c r="I2530" s="31" t="s">
        <v>2978</v>
      </c>
      <c r="J2530" s="34"/>
      <c r="K2530" s="31" t="s">
        <v>2979</v>
      </c>
      <c r="L2530" s="31" t="s">
        <v>2980</v>
      </c>
      <c r="M2530" s="31" t="s">
        <v>9942</v>
      </c>
      <c r="N2530" s="31" t="s">
        <v>467</v>
      </c>
      <c r="O2530" s="34"/>
      <c r="P2530" s="34"/>
      <c r="Q2530" s="31" t="s">
        <v>307</v>
      </c>
      <c r="R2530" s="32">
        <v>35836.0</v>
      </c>
      <c r="S2530" s="31" t="s">
        <v>898</v>
      </c>
      <c r="T2530" s="31" t="s">
        <v>808</v>
      </c>
      <c r="U2530" s="31" t="s">
        <v>310</v>
      </c>
      <c r="V2530" s="34"/>
      <c r="W2530" s="34"/>
    </row>
    <row r="2531">
      <c r="A2531" s="30">
        <v>2.526</v>
      </c>
      <c r="B2531" s="31" t="s">
        <v>9943</v>
      </c>
      <c r="C2531" s="31" t="s">
        <v>9944</v>
      </c>
      <c r="D2531" s="31" t="s">
        <v>2977</v>
      </c>
      <c r="E2531" s="31" t="s">
        <v>2978</v>
      </c>
      <c r="F2531" s="32">
        <v>44943.0</v>
      </c>
      <c r="G2531" s="32">
        <v>45002.0</v>
      </c>
      <c r="H2531" s="31" t="s">
        <v>303</v>
      </c>
      <c r="I2531" s="31" t="s">
        <v>2978</v>
      </c>
      <c r="J2531" s="34"/>
      <c r="K2531" s="31" t="s">
        <v>2979</v>
      </c>
      <c r="L2531" s="31" t="s">
        <v>2980</v>
      </c>
      <c r="M2531" s="31" t="s">
        <v>9945</v>
      </c>
      <c r="N2531" s="31" t="s">
        <v>267</v>
      </c>
      <c r="O2531" s="34"/>
      <c r="P2531" s="34"/>
      <c r="Q2531" s="31" t="s">
        <v>307</v>
      </c>
      <c r="R2531" s="32">
        <v>35993.0</v>
      </c>
      <c r="S2531" s="31" t="s">
        <v>9946</v>
      </c>
      <c r="T2531" s="31" t="s">
        <v>744</v>
      </c>
      <c r="U2531" s="31" t="s">
        <v>310</v>
      </c>
      <c r="V2531" s="34"/>
      <c r="W2531" s="34"/>
    </row>
    <row r="2532">
      <c r="A2532" s="30">
        <v>2.527</v>
      </c>
      <c r="B2532" s="31" t="s">
        <v>9947</v>
      </c>
      <c r="C2532" s="31" t="s">
        <v>9948</v>
      </c>
      <c r="D2532" s="31" t="s">
        <v>2977</v>
      </c>
      <c r="E2532" s="31" t="s">
        <v>2978</v>
      </c>
      <c r="F2532" s="32">
        <v>44771.0</v>
      </c>
      <c r="G2532" s="32">
        <v>44833.0</v>
      </c>
      <c r="H2532" s="31" t="s">
        <v>303</v>
      </c>
      <c r="I2532" s="31" t="s">
        <v>2978</v>
      </c>
      <c r="J2532" s="34"/>
      <c r="K2532" s="31" t="s">
        <v>2979</v>
      </c>
      <c r="L2532" s="31" t="s">
        <v>2980</v>
      </c>
      <c r="M2532" s="31" t="s">
        <v>9949</v>
      </c>
      <c r="N2532" s="31" t="s">
        <v>267</v>
      </c>
      <c r="O2532" s="34"/>
      <c r="P2532" s="34"/>
      <c r="Q2532" s="31" t="s">
        <v>307</v>
      </c>
      <c r="R2532" s="32">
        <v>36062.0</v>
      </c>
      <c r="S2532" s="31" t="s">
        <v>2514</v>
      </c>
      <c r="T2532" s="31" t="s">
        <v>9950</v>
      </c>
      <c r="U2532" s="31" t="s">
        <v>310</v>
      </c>
      <c r="V2532" s="34"/>
      <c r="W2532" s="34"/>
    </row>
    <row r="2533">
      <c r="A2533" s="30">
        <v>2.528</v>
      </c>
      <c r="B2533" s="31" t="s">
        <v>9951</v>
      </c>
      <c r="C2533" s="31" t="s">
        <v>9952</v>
      </c>
      <c r="D2533" s="31" t="s">
        <v>3350</v>
      </c>
      <c r="E2533" s="31" t="s">
        <v>2978</v>
      </c>
      <c r="F2533" s="32">
        <v>44762.0</v>
      </c>
      <c r="G2533" s="32">
        <v>44824.0</v>
      </c>
      <c r="H2533" s="31" t="s">
        <v>303</v>
      </c>
      <c r="I2533" s="31" t="s">
        <v>2978</v>
      </c>
      <c r="J2533" s="34"/>
      <c r="K2533" s="31" t="s">
        <v>2979</v>
      </c>
      <c r="L2533" s="31" t="s">
        <v>3351</v>
      </c>
      <c r="M2533" s="31" t="s">
        <v>9953</v>
      </c>
      <c r="N2533" s="31" t="s">
        <v>267</v>
      </c>
      <c r="O2533" s="34"/>
      <c r="P2533" s="34"/>
      <c r="Q2533" s="31" t="s">
        <v>307</v>
      </c>
      <c r="R2533" s="35">
        <v>35752.0</v>
      </c>
      <c r="S2533" s="31" t="s">
        <v>700</v>
      </c>
      <c r="T2533" s="31" t="s">
        <v>6743</v>
      </c>
      <c r="U2533" s="31" t="s">
        <v>310</v>
      </c>
      <c r="V2533" s="34"/>
      <c r="W2533" s="34"/>
    </row>
    <row r="2534">
      <c r="A2534" s="30">
        <v>2.529</v>
      </c>
      <c r="B2534" s="31" t="s">
        <v>9954</v>
      </c>
      <c r="C2534" s="31" t="s">
        <v>9955</v>
      </c>
      <c r="D2534" s="31" t="s">
        <v>3593</v>
      </c>
      <c r="E2534" s="31" t="s">
        <v>2978</v>
      </c>
      <c r="F2534" s="35">
        <v>44530.0</v>
      </c>
      <c r="G2534" s="32">
        <v>44591.0</v>
      </c>
      <c r="H2534" s="31" t="s">
        <v>303</v>
      </c>
      <c r="I2534" s="31" t="s">
        <v>2978</v>
      </c>
      <c r="J2534" s="34"/>
      <c r="K2534" s="31" t="s">
        <v>2979</v>
      </c>
      <c r="L2534" s="31" t="s">
        <v>3594</v>
      </c>
      <c r="M2534" s="31" t="s">
        <v>9956</v>
      </c>
      <c r="N2534" s="31" t="s">
        <v>267</v>
      </c>
      <c r="O2534" s="34"/>
      <c r="P2534" s="34"/>
      <c r="Q2534" s="31" t="s">
        <v>307</v>
      </c>
      <c r="R2534" s="32">
        <v>36432.0</v>
      </c>
      <c r="S2534" s="31" t="s">
        <v>838</v>
      </c>
      <c r="T2534" s="31" t="s">
        <v>778</v>
      </c>
      <c r="U2534" s="31" t="s">
        <v>310</v>
      </c>
      <c r="V2534" s="34"/>
      <c r="W2534" s="34"/>
    </row>
    <row r="2535">
      <c r="A2535" s="30">
        <v>2.53</v>
      </c>
      <c r="B2535" s="31" t="s">
        <v>9957</v>
      </c>
      <c r="C2535" s="31" t="s">
        <v>1382</v>
      </c>
      <c r="D2535" s="31" t="s">
        <v>4788</v>
      </c>
      <c r="E2535" s="31" t="s">
        <v>2978</v>
      </c>
      <c r="F2535" s="32">
        <v>44397.0</v>
      </c>
      <c r="G2535" s="32">
        <v>44459.0</v>
      </c>
      <c r="H2535" s="31" t="s">
        <v>303</v>
      </c>
      <c r="I2535" s="31" t="s">
        <v>2978</v>
      </c>
      <c r="J2535" s="34"/>
      <c r="K2535" s="31" t="s">
        <v>2979</v>
      </c>
      <c r="L2535" s="31" t="s">
        <v>9958</v>
      </c>
      <c r="M2535" s="31" t="s">
        <v>9959</v>
      </c>
      <c r="N2535" s="31" t="s">
        <v>267</v>
      </c>
      <c r="O2535" s="34"/>
      <c r="P2535" s="34"/>
      <c r="Q2535" s="31" t="s">
        <v>307</v>
      </c>
      <c r="R2535" s="32">
        <v>35544.0</v>
      </c>
      <c r="S2535" s="31" t="s">
        <v>681</v>
      </c>
      <c r="T2535" s="31" t="s">
        <v>778</v>
      </c>
      <c r="U2535" s="31" t="s">
        <v>310</v>
      </c>
      <c r="V2535" s="34"/>
      <c r="W2535" s="34"/>
    </row>
    <row r="2536">
      <c r="A2536" s="30">
        <v>2.531</v>
      </c>
      <c r="B2536" s="31" t="s">
        <v>9960</v>
      </c>
      <c r="C2536" s="31" t="s">
        <v>9961</v>
      </c>
      <c r="D2536" s="31" t="s">
        <v>9962</v>
      </c>
      <c r="E2536" s="31" t="s">
        <v>2978</v>
      </c>
      <c r="F2536" s="32">
        <v>43557.0</v>
      </c>
      <c r="G2536" s="32">
        <v>43618.0</v>
      </c>
      <c r="H2536" s="31" t="s">
        <v>303</v>
      </c>
      <c r="I2536" s="31" t="s">
        <v>2978</v>
      </c>
      <c r="J2536" s="34"/>
      <c r="K2536" s="31" t="s">
        <v>2979</v>
      </c>
      <c r="L2536" s="31" t="s">
        <v>9963</v>
      </c>
      <c r="M2536" s="31" t="s">
        <v>9964</v>
      </c>
      <c r="N2536" s="31" t="s">
        <v>467</v>
      </c>
      <c r="O2536" s="31">
        <v>2.0</v>
      </c>
      <c r="P2536" s="34"/>
      <c r="Q2536" s="31" t="s">
        <v>307</v>
      </c>
      <c r="R2536" s="32">
        <v>35616.0</v>
      </c>
      <c r="S2536" s="31" t="s">
        <v>700</v>
      </c>
      <c r="T2536" s="31" t="s">
        <v>757</v>
      </c>
      <c r="U2536" s="31" t="s">
        <v>310</v>
      </c>
      <c r="V2536" s="34"/>
      <c r="W2536" s="34"/>
    </row>
    <row r="2537">
      <c r="A2537" s="30">
        <v>2.532</v>
      </c>
      <c r="B2537" s="31" t="s">
        <v>9965</v>
      </c>
      <c r="C2537" s="31" t="s">
        <v>9966</v>
      </c>
      <c r="D2537" s="31" t="s">
        <v>3350</v>
      </c>
      <c r="E2537" s="31" t="s">
        <v>2978</v>
      </c>
      <c r="F2537" s="32">
        <v>42801.0</v>
      </c>
      <c r="G2537" s="32">
        <v>42862.0</v>
      </c>
      <c r="H2537" s="31" t="s">
        <v>303</v>
      </c>
      <c r="I2537" s="31" t="s">
        <v>2978</v>
      </c>
      <c r="J2537" s="34"/>
      <c r="K2537" s="31" t="s">
        <v>2979</v>
      </c>
      <c r="L2537" s="31" t="s">
        <v>3351</v>
      </c>
      <c r="M2537" s="31" t="s">
        <v>9967</v>
      </c>
      <c r="N2537" s="31" t="s">
        <v>267</v>
      </c>
      <c r="O2537" s="34"/>
      <c r="P2537" s="34"/>
      <c r="Q2537" s="31" t="s">
        <v>307</v>
      </c>
      <c r="R2537" s="32">
        <v>34842.0</v>
      </c>
      <c r="S2537" s="31" t="s">
        <v>458</v>
      </c>
      <c r="T2537" s="31" t="s">
        <v>686</v>
      </c>
      <c r="U2537" s="31" t="s">
        <v>310</v>
      </c>
      <c r="V2537" s="34"/>
      <c r="W2537" s="34"/>
    </row>
    <row r="2538">
      <c r="A2538" s="30">
        <v>2.533</v>
      </c>
      <c r="B2538" s="31" t="s">
        <v>9968</v>
      </c>
      <c r="C2538" s="31" t="s">
        <v>9969</v>
      </c>
      <c r="D2538" s="31" t="s">
        <v>9970</v>
      </c>
      <c r="E2538" s="31" t="s">
        <v>2978</v>
      </c>
      <c r="F2538" s="32">
        <v>41441.0</v>
      </c>
      <c r="G2538" s="32">
        <v>41487.0</v>
      </c>
      <c r="H2538" s="31" t="s">
        <v>303</v>
      </c>
      <c r="I2538" s="31" t="s">
        <v>2978</v>
      </c>
      <c r="J2538" s="34"/>
      <c r="K2538" s="31" t="s">
        <v>2979</v>
      </c>
      <c r="L2538" s="31" t="s">
        <v>9971</v>
      </c>
      <c r="M2538" s="31" t="s">
        <v>9972</v>
      </c>
      <c r="N2538" s="31" t="s">
        <v>267</v>
      </c>
      <c r="O2538" s="31">
        <v>3.0</v>
      </c>
      <c r="P2538" s="34"/>
      <c r="Q2538" s="31" t="s">
        <v>307</v>
      </c>
      <c r="R2538" s="32">
        <v>33446.0</v>
      </c>
      <c r="S2538" s="31" t="s">
        <v>531</v>
      </c>
      <c r="T2538" s="31" t="s">
        <v>6599</v>
      </c>
      <c r="U2538" s="31" t="s">
        <v>310</v>
      </c>
      <c r="V2538" s="34"/>
      <c r="W2538" s="34"/>
    </row>
    <row r="2539">
      <c r="A2539" s="30">
        <v>2.534</v>
      </c>
      <c r="B2539" s="31" t="s">
        <v>9973</v>
      </c>
      <c r="C2539" s="31" t="s">
        <v>9974</v>
      </c>
      <c r="D2539" s="31" t="s">
        <v>9975</v>
      </c>
      <c r="E2539" s="31" t="s">
        <v>9754</v>
      </c>
      <c r="F2539" s="32">
        <v>44411.0</v>
      </c>
      <c r="G2539" s="32">
        <v>44442.0</v>
      </c>
      <c r="H2539" s="31" t="s">
        <v>303</v>
      </c>
      <c r="I2539" s="31" t="s">
        <v>9754</v>
      </c>
      <c r="J2539" s="34"/>
      <c r="K2539" s="31" t="s">
        <v>9755</v>
      </c>
      <c r="L2539" s="31" t="s">
        <v>9976</v>
      </c>
      <c r="M2539" s="31" t="s">
        <v>9977</v>
      </c>
      <c r="N2539" s="31" t="s">
        <v>267</v>
      </c>
      <c r="O2539" s="31">
        <v>2.0</v>
      </c>
      <c r="P2539" s="34"/>
      <c r="Q2539" s="31" t="s">
        <v>307</v>
      </c>
      <c r="R2539" s="32">
        <v>34308.0</v>
      </c>
      <c r="S2539" s="31" t="s">
        <v>9978</v>
      </c>
      <c r="T2539" s="31" t="s">
        <v>309</v>
      </c>
      <c r="U2539" s="31" t="s">
        <v>310</v>
      </c>
      <c r="V2539" s="34"/>
      <c r="W2539" s="34"/>
    </row>
    <row r="2540">
      <c r="A2540" s="30">
        <v>2.535</v>
      </c>
      <c r="B2540" s="31" t="s">
        <v>9979</v>
      </c>
      <c r="C2540" s="31" t="s">
        <v>9980</v>
      </c>
      <c r="D2540" s="31" t="s">
        <v>2867</v>
      </c>
      <c r="E2540" s="31" t="s">
        <v>2463</v>
      </c>
      <c r="F2540" s="32">
        <v>40695.0</v>
      </c>
      <c r="G2540" s="32">
        <v>40756.0</v>
      </c>
      <c r="H2540" s="31" t="s">
        <v>303</v>
      </c>
      <c r="I2540" s="31" t="s">
        <v>2463</v>
      </c>
      <c r="J2540" s="34"/>
      <c r="K2540" s="31" t="s">
        <v>2868</v>
      </c>
      <c r="L2540" s="31" t="s">
        <v>2869</v>
      </c>
      <c r="M2540" s="31" t="s">
        <v>9981</v>
      </c>
      <c r="N2540" s="31" t="s">
        <v>467</v>
      </c>
      <c r="O2540" s="34"/>
      <c r="P2540" s="34"/>
      <c r="Q2540" s="31" t="s">
        <v>307</v>
      </c>
      <c r="R2540" s="35">
        <v>33219.0</v>
      </c>
      <c r="S2540" s="31" t="s">
        <v>9265</v>
      </c>
      <c r="T2540" s="31" t="s">
        <v>9118</v>
      </c>
      <c r="U2540" s="31" t="s">
        <v>271</v>
      </c>
      <c r="V2540" s="34"/>
      <c r="W2540" s="34"/>
    </row>
    <row r="2541">
      <c r="A2541" s="30">
        <v>2.536</v>
      </c>
      <c r="B2541" s="31" t="s">
        <v>9982</v>
      </c>
      <c r="C2541" s="31" t="s">
        <v>9983</v>
      </c>
      <c r="D2541" s="31" t="s">
        <v>9984</v>
      </c>
      <c r="E2541" s="31" t="s">
        <v>9985</v>
      </c>
      <c r="F2541" s="32">
        <v>38457.0</v>
      </c>
      <c r="G2541" s="32">
        <v>38518.0</v>
      </c>
      <c r="H2541" s="31" t="s">
        <v>576</v>
      </c>
      <c r="I2541" s="31" t="s">
        <v>9985</v>
      </c>
      <c r="J2541" s="34"/>
      <c r="K2541" s="31" t="s">
        <v>9986</v>
      </c>
      <c r="L2541" s="31" t="s">
        <v>9987</v>
      </c>
      <c r="M2541" s="31" t="s">
        <v>9988</v>
      </c>
      <c r="N2541" s="31" t="s">
        <v>267</v>
      </c>
      <c r="O2541" s="31">
        <v>4.0</v>
      </c>
      <c r="P2541" s="34"/>
      <c r="Q2541" s="31" t="s">
        <v>307</v>
      </c>
      <c r="R2541" s="35">
        <v>29902.0</v>
      </c>
      <c r="S2541" s="31" t="s">
        <v>531</v>
      </c>
      <c r="T2541" s="31" t="s">
        <v>4337</v>
      </c>
      <c r="U2541" s="31" t="s">
        <v>2821</v>
      </c>
      <c r="V2541" s="34"/>
      <c r="W2541" s="34"/>
    </row>
    <row r="2542">
      <c r="A2542" s="30">
        <v>2.537</v>
      </c>
      <c r="B2542" s="31" t="s">
        <v>9989</v>
      </c>
      <c r="C2542" s="31" t="s">
        <v>9990</v>
      </c>
      <c r="D2542" s="31" t="s">
        <v>9991</v>
      </c>
      <c r="E2542" s="31" t="s">
        <v>7219</v>
      </c>
      <c r="F2542" s="32">
        <v>35431.0</v>
      </c>
      <c r="G2542" s="32">
        <v>35431.0</v>
      </c>
      <c r="H2542" s="31" t="s">
        <v>303</v>
      </c>
      <c r="I2542" s="31" t="s">
        <v>7219</v>
      </c>
      <c r="J2542" s="34"/>
      <c r="K2542" s="31" t="s">
        <v>7220</v>
      </c>
      <c r="L2542" s="31" t="s">
        <v>9992</v>
      </c>
      <c r="M2542" s="31" t="s">
        <v>9993</v>
      </c>
      <c r="N2542" s="31" t="s">
        <v>467</v>
      </c>
      <c r="O2542" s="31">
        <v>6.0</v>
      </c>
      <c r="P2542" s="34"/>
      <c r="Q2542" s="31" t="s">
        <v>307</v>
      </c>
      <c r="R2542" s="32">
        <v>23138.0</v>
      </c>
      <c r="S2542" s="31" t="s">
        <v>9994</v>
      </c>
      <c r="T2542" s="31" t="s">
        <v>9995</v>
      </c>
      <c r="U2542" s="31" t="s">
        <v>271</v>
      </c>
      <c r="V2542" s="34"/>
      <c r="W2542" s="34"/>
    </row>
    <row r="2543">
      <c r="A2543" s="30">
        <v>2.538</v>
      </c>
      <c r="B2543" s="31" t="s">
        <v>9996</v>
      </c>
      <c r="C2543" s="31" t="s">
        <v>9997</v>
      </c>
      <c r="D2543" s="31" t="s">
        <v>9991</v>
      </c>
      <c r="E2543" s="31" t="s">
        <v>7219</v>
      </c>
      <c r="F2543" s="32">
        <v>37012.0</v>
      </c>
      <c r="G2543" s="32">
        <v>37012.0</v>
      </c>
      <c r="H2543" s="31" t="s">
        <v>303</v>
      </c>
      <c r="I2543" s="31" t="s">
        <v>7219</v>
      </c>
      <c r="J2543" s="34"/>
      <c r="K2543" s="31" t="s">
        <v>7220</v>
      </c>
      <c r="L2543" s="31" t="s">
        <v>9992</v>
      </c>
      <c r="M2543" s="31" t="s">
        <v>9998</v>
      </c>
      <c r="N2543" s="31" t="s">
        <v>467</v>
      </c>
      <c r="O2543" s="31">
        <v>6.0</v>
      </c>
      <c r="P2543" s="34"/>
      <c r="Q2543" s="31" t="s">
        <v>307</v>
      </c>
      <c r="R2543" s="32">
        <v>27154.0</v>
      </c>
      <c r="S2543" s="31" t="s">
        <v>560</v>
      </c>
      <c r="T2543" s="31" t="s">
        <v>5725</v>
      </c>
      <c r="U2543" s="31" t="s">
        <v>480</v>
      </c>
      <c r="V2543" s="34"/>
      <c r="W2543" s="34"/>
    </row>
    <row r="2544">
      <c r="A2544" s="30">
        <v>2.539</v>
      </c>
      <c r="B2544" s="31" t="s">
        <v>9999</v>
      </c>
      <c r="C2544" s="31" t="s">
        <v>10000</v>
      </c>
      <c r="D2544" s="31" t="s">
        <v>4394</v>
      </c>
      <c r="E2544" s="31" t="s">
        <v>231</v>
      </c>
      <c r="F2544" s="32">
        <v>44249.0</v>
      </c>
      <c r="G2544" s="32">
        <v>44308.0</v>
      </c>
      <c r="H2544" s="31" t="s">
        <v>303</v>
      </c>
      <c r="I2544" s="31" t="s">
        <v>231</v>
      </c>
      <c r="J2544" s="34"/>
      <c r="K2544" s="31" t="s">
        <v>4395</v>
      </c>
      <c r="L2544" s="31" t="s">
        <v>4396</v>
      </c>
      <c r="M2544" s="31" t="s">
        <v>10001</v>
      </c>
      <c r="N2544" s="31" t="s">
        <v>267</v>
      </c>
      <c r="O2544" s="34"/>
      <c r="P2544" s="34"/>
      <c r="Q2544" s="31" t="s">
        <v>307</v>
      </c>
      <c r="R2544" s="32">
        <v>36250.0</v>
      </c>
      <c r="S2544" s="31" t="s">
        <v>4883</v>
      </c>
      <c r="T2544" s="31" t="s">
        <v>744</v>
      </c>
      <c r="U2544" s="31" t="s">
        <v>310</v>
      </c>
      <c r="V2544" s="34"/>
      <c r="W2544" s="34"/>
    </row>
    <row r="2545">
      <c r="A2545" s="30">
        <v>2.54</v>
      </c>
      <c r="B2545" s="31" t="s">
        <v>10002</v>
      </c>
      <c r="C2545" s="31" t="s">
        <v>10003</v>
      </c>
      <c r="D2545" s="31" t="s">
        <v>3644</v>
      </c>
      <c r="E2545" s="31" t="s">
        <v>2463</v>
      </c>
      <c r="F2545" s="32">
        <v>40544.0</v>
      </c>
      <c r="G2545" s="32">
        <v>40603.0</v>
      </c>
      <c r="H2545" s="31" t="s">
        <v>576</v>
      </c>
      <c r="I2545" s="31" t="s">
        <v>2463</v>
      </c>
      <c r="J2545" s="34"/>
      <c r="K2545" s="31" t="s">
        <v>7335</v>
      </c>
      <c r="L2545" s="31" t="s">
        <v>3646</v>
      </c>
      <c r="M2545" s="31" t="s">
        <v>10004</v>
      </c>
      <c r="N2545" s="31" t="s">
        <v>467</v>
      </c>
      <c r="O2545" s="34"/>
      <c r="P2545" s="34"/>
      <c r="Q2545" s="31" t="s">
        <v>307</v>
      </c>
      <c r="R2545" s="35">
        <v>29566.0</v>
      </c>
      <c r="S2545" s="31" t="s">
        <v>560</v>
      </c>
      <c r="T2545" s="31" t="s">
        <v>10005</v>
      </c>
      <c r="U2545" s="31" t="s">
        <v>2821</v>
      </c>
      <c r="V2545" s="34"/>
      <c r="W2545" s="34"/>
    </row>
    <row r="2546">
      <c r="A2546" s="30">
        <v>2.541</v>
      </c>
      <c r="B2546" s="31" t="s">
        <v>10006</v>
      </c>
      <c r="C2546" s="31" t="s">
        <v>3966</v>
      </c>
      <c r="D2546" s="31" t="s">
        <v>9850</v>
      </c>
      <c r="E2546" s="31" t="s">
        <v>2463</v>
      </c>
      <c r="F2546" s="32">
        <v>41153.0</v>
      </c>
      <c r="G2546" s="32">
        <v>41214.0</v>
      </c>
      <c r="H2546" s="31" t="s">
        <v>576</v>
      </c>
      <c r="I2546" s="31" t="s">
        <v>2463</v>
      </c>
      <c r="J2546" s="34"/>
      <c r="K2546" s="31" t="s">
        <v>7335</v>
      </c>
      <c r="L2546" s="31" t="s">
        <v>9851</v>
      </c>
      <c r="M2546" s="31" t="s">
        <v>10007</v>
      </c>
      <c r="N2546" s="31" t="s">
        <v>267</v>
      </c>
      <c r="O2546" s="34"/>
      <c r="P2546" s="34"/>
      <c r="Q2546" s="31" t="s">
        <v>307</v>
      </c>
      <c r="R2546" s="32">
        <v>32924.0</v>
      </c>
      <c r="S2546" s="31" t="s">
        <v>9265</v>
      </c>
      <c r="T2546" s="31" t="s">
        <v>947</v>
      </c>
      <c r="U2546" s="31" t="s">
        <v>633</v>
      </c>
      <c r="V2546" s="34"/>
      <c r="W2546" s="34"/>
    </row>
    <row r="2547">
      <c r="A2547" s="30">
        <v>2.542</v>
      </c>
      <c r="B2547" s="31" t="s">
        <v>10008</v>
      </c>
      <c r="C2547" s="31" t="s">
        <v>10009</v>
      </c>
      <c r="D2547" s="31" t="s">
        <v>2462</v>
      </c>
      <c r="E2547" s="31" t="s">
        <v>2463</v>
      </c>
      <c r="F2547" s="32">
        <v>44082.0</v>
      </c>
      <c r="G2547" s="32">
        <v>44143.0</v>
      </c>
      <c r="H2547" s="31" t="s">
        <v>576</v>
      </c>
      <c r="I2547" s="31" t="s">
        <v>2463</v>
      </c>
      <c r="J2547" s="34"/>
      <c r="K2547" s="31" t="s">
        <v>7335</v>
      </c>
      <c r="L2547" s="31" t="s">
        <v>2465</v>
      </c>
      <c r="M2547" s="31" t="s">
        <v>10010</v>
      </c>
      <c r="N2547" s="31" t="s">
        <v>467</v>
      </c>
      <c r="O2547" s="34"/>
      <c r="P2547" s="34"/>
      <c r="Q2547" s="31" t="s">
        <v>307</v>
      </c>
      <c r="R2547" s="32">
        <v>33816.0</v>
      </c>
      <c r="S2547" s="31" t="s">
        <v>560</v>
      </c>
      <c r="T2547" s="31" t="s">
        <v>496</v>
      </c>
      <c r="U2547" s="31" t="s">
        <v>633</v>
      </c>
      <c r="V2547" s="34"/>
      <c r="W2547" s="34"/>
    </row>
    <row r="2548">
      <c r="A2548" s="30">
        <v>2.543</v>
      </c>
      <c r="B2548" s="31" t="s">
        <v>10011</v>
      </c>
      <c r="C2548" s="31" t="s">
        <v>10012</v>
      </c>
      <c r="D2548" s="31" t="s">
        <v>9850</v>
      </c>
      <c r="E2548" s="31" t="s">
        <v>2463</v>
      </c>
      <c r="F2548" s="32">
        <v>38903.0</v>
      </c>
      <c r="G2548" s="32">
        <v>38965.0</v>
      </c>
      <c r="H2548" s="31" t="s">
        <v>576</v>
      </c>
      <c r="I2548" s="31" t="s">
        <v>2463</v>
      </c>
      <c r="J2548" s="34"/>
      <c r="K2548" s="31" t="s">
        <v>7335</v>
      </c>
      <c r="L2548" s="31" t="s">
        <v>9851</v>
      </c>
      <c r="M2548" s="31" t="s">
        <v>10013</v>
      </c>
      <c r="N2548" s="31" t="s">
        <v>267</v>
      </c>
      <c r="O2548" s="34"/>
      <c r="P2548" s="34"/>
      <c r="Q2548" s="31" t="s">
        <v>307</v>
      </c>
      <c r="R2548" s="32">
        <v>30833.0</v>
      </c>
      <c r="S2548" s="31" t="s">
        <v>1249</v>
      </c>
      <c r="T2548" s="31" t="s">
        <v>3699</v>
      </c>
      <c r="U2548" s="31" t="s">
        <v>633</v>
      </c>
      <c r="V2548" s="34"/>
      <c r="W2548" s="34"/>
    </row>
    <row r="2549">
      <c r="A2549" s="30">
        <v>2.544</v>
      </c>
      <c r="B2549" s="31" t="s">
        <v>10014</v>
      </c>
      <c r="C2549" s="31" t="s">
        <v>10015</v>
      </c>
      <c r="D2549" s="31" t="s">
        <v>8352</v>
      </c>
      <c r="E2549" s="31" t="s">
        <v>2463</v>
      </c>
      <c r="F2549" s="32">
        <v>38899.0</v>
      </c>
      <c r="G2549" s="32">
        <v>38991.0</v>
      </c>
      <c r="H2549" s="31" t="s">
        <v>2811</v>
      </c>
      <c r="I2549" s="31" t="s">
        <v>2463</v>
      </c>
      <c r="J2549" s="34"/>
      <c r="K2549" s="31" t="s">
        <v>3645</v>
      </c>
      <c r="L2549" s="31" t="s">
        <v>8353</v>
      </c>
      <c r="M2549" s="31" t="s">
        <v>10016</v>
      </c>
      <c r="N2549" s="31" t="s">
        <v>267</v>
      </c>
      <c r="O2549" s="34"/>
      <c r="P2549" s="34"/>
      <c r="Q2549" s="31" t="s">
        <v>307</v>
      </c>
      <c r="R2549" s="32">
        <v>30426.0</v>
      </c>
      <c r="S2549" s="31" t="s">
        <v>1955</v>
      </c>
      <c r="T2549" s="31" t="s">
        <v>10017</v>
      </c>
      <c r="U2549" s="31" t="s">
        <v>2914</v>
      </c>
      <c r="V2549" s="34"/>
      <c r="W2549" s="34"/>
    </row>
    <row r="2550">
      <c r="A2550" s="30">
        <v>2.545</v>
      </c>
      <c r="B2550" s="31" t="s">
        <v>10018</v>
      </c>
      <c r="C2550" s="31" t="s">
        <v>10019</v>
      </c>
      <c r="D2550" s="31" t="s">
        <v>3644</v>
      </c>
      <c r="E2550" s="31" t="s">
        <v>2463</v>
      </c>
      <c r="F2550" s="32">
        <v>44636.0</v>
      </c>
      <c r="G2550" s="32">
        <v>44697.0</v>
      </c>
      <c r="H2550" s="31" t="s">
        <v>2811</v>
      </c>
      <c r="I2550" s="31" t="s">
        <v>2463</v>
      </c>
      <c r="J2550" s="34"/>
      <c r="K2550" s="31" t="s">
        <v>3645</v>
      </c>
      <c r="L2550" s="31" t="s">
        <v>3646</v>
      </c>
      <c r="M2550" s="31" t="s">
        <v>10020</v>
      </c>
      <c r="N2550" s="31" t="s">
        <v>467</v>
      </c>
      <c r="O2550" s="34"/>
      <c r="P2550" s="34"/>
      <c r="Q2550" s="31" t="s">
        <v>307</v>
      </c>
      <c r="R2550" s="32">
        <v>31156.0</v>
      </c>
      <c r="S2550" s="34"/>
      <c r="T2550" s="34"/>
      <c r="U2550" s="31" t="s">
        <v>2914</v>
      </c>
      <c r="V2550" s="34"/>
      <c r="W2550" s="34"/>
    </row>
    <row r="2551">
      <c r="A2551" s="30">
        <v>2.546</v>
      </c>
      <c r="B2551" s="31" t="s">
        <v>10021</v>
      </c>
      <c r="C2551" s="31" t="s">
        <v>10022</v>
      </c>
      <c r="D2551" s="31" t="s">
        <v>2451</v>
      </c>
      <c r="E2551" s="31" t="s">
        <v>2463</v>
      </c>
      <c r="F2551" s="32">
        <v>44616.0</v>
      </c>
      <c r="G2551" s="32">
        <v>44675.0</v>
      </c>
      <c r="H2551" s="31" t="s">
        <v>2811</v>
      </c>
      <c r="I2551" s="31" t="s">
        <v>2463</v>
      </c>
      <c r="J2551" s="34"/>
      <c r="K2551" s="31" t="s">
        <v>3645</v>
      </c>
      <c r="L2551" s="31" t="s">
        <v>2453</v>
      </c>
      <c r="M2551" s="31" t="s">
        <v>10023</v>
      </c>
      <c r="N2551" s="31" t="s">
        <v>267</v>
      </c>
      <c r="O2551" s="34"/>
      <c r="P2551" s="34"/>
      <c r="Q2551" s="31" t="s">
        <v>307</v>
      </c>
      <c r="R2551" s="35">
        <v>35399.0</v>
      </c>
      <c r="S2551" s="31" t="s">
        <v>2455</v>
      </c>
      <c r="T2551" s="31" t="s">
        <v>3648</v>
      </c>
      <c r="U2551" s="31" t="s">
        <v>2914</v>
      </c>
      <c r="V2551" s="34"/>
      <c r="W2551" s="34"/>
    </row>
    <row r="2552">
      <c r="A2552" s="30">
        <v>2.547</v>
      </c>
      <c r="B2552" s="31" t="s">
        <v>10024</v>
      </c>
      <c r="C2552" s="31" t="s">
        <v>9140</v>
      </c>
      <c r="D2552" s="31" t="s">
        <v>5260</v>
      </c>
      <c r="E2552" s="31" t="s">
        <v>2463</v>
      </c>
      <c r="F2552" s="32">
        <v>42527.0</v>
      </c>
      <c r="G2552" s="32">
        <v>42583.0</v>
      </c>
      <c r="H2552" s="31" t="s">
        <v>2811</v>
      </c>
      <c r="I2552" s="31" t="s">
        <v>2463</v>
      </c>
      <c r="J2552" s="34"/>
      <c r="K2552" s="31" t="s">
        <v>3645</v>
      </c>
      <c r="L2552" s="31" t="s">
        <v>5261</v>
      </c>
      <c r="M2552" s="31" t="s">
        <v>10025</v>
      </c>
      <c r="N2552" s="31" t="s">
        <v>267</v>
      </c>
      <c r="O2552" s="34"/>
      <c r="P2552" s="34"/>
      <c r="Q2552" s="31" t="s">
        <v>307</v>
      </c>
      <c r="R2552" s="35">
        <v>33164.0</v>
      </c>
      <c r="S2552" s="31" t="s">
        <v>2426</v>
      </c>
      <c r="T2552" s="31" t="s">
        <v>7697</v>
      </c>
      <c r="U2552" s="31" t="s">
        <v>2914</v>
      </c>
      <c r="V2552" s="34"/>
      <c r="W2552" s="34"/>
    </row>
    <row r="2553">
      <c r="A2553" s="30">
        <v>2.548</v>
      </c>
      <c r="B2553" s="31" t="s">
        <v>10026</v>
      </c>
      <c r="C2553" s="31" t="s">
        <v>10027</v>
      </c>
      <c r="D2553" s="31" t="s">
        <v>7279</v>
      </c>
      <c r="E2553" s="31" t="s">
        <v>32</v>
      </c>
      <c r="F2553" s="32">
        <v>42928.0</v>
      </c>
      <c r="G2553" s="32">
        <v>42996.0</v>
      </c>
      <c r="H2553" s="31" t="s">
        <v>2811</v>
      </c>
      <c r="I2553" s="31" t="s">
        <v>32</v>
      </c>
      <c r="J2553" s="34"/>
      <c r="K2553" s="31" t="s">
        <v>9531</v>
      </c>
      <c r="L2553" s="31" t="s">
        <v>7281</v>
      </c>
      <c r="M2553" s="31" t="s">
        <v>10028</v>
      </c>
      <c r="N2553" s="31" t="s">
        <v>467</v>
      </c>
      <c r="O2553" s="31">
        <v>4.0</v>
      </c>
      <c r="P2553" s="34"/>
      <c r="Q2553" s="31" t="s">
        <v>307</v>
      </c>
      <c r="R2553" s="32">
        <v>30112.0</v>
      </c>
      <c r="S2553" s="31" t="s">
        <v>320</v>
      </c>
      <c r="T2553" s="31" t="s">
        <v>7446</v>
      </c>
      <c r="U2553" s="31" t="s">
        <v>2914</v>
      </c>
      <c r="V2553" s="34"/>
      <c r="W2553" s="34"/>
    </row>
    <row r="2554">
      <c r="A2554" s="30">
        <v>2.549</v>
      </c>
      <c r="B2554" s="31" t="s">
        <v>10029</v>
      </c>
      <c r="C2554" s="31" t="s">
        <v>10030</v>
      </c>
      <c r="D2554" s="31" t="s">
        <v>6848</v>
      </c>
      <c r="E2554" s="31" t="s">
        <v>2463</v>
      </c>
      <c r="F2554" s="32">
        <v>39934.0</v>
      </c>
      <c r="G2554" s="32">
        <v>39995.0</v>
      </c>
      <c r="H2554" s="31" t="s">
        <v>2811</v>
      </c>
      <c r="I2554" s="31" t="s">
        <v>2463</v>
      </c>
      <c r="J2554" s="34"/>
      <c r="K2554" s="31" t="s">
        <v>3645</v>
      </c>
      <c r="L2554" s="31" t="s">
        <v>6849</v>
      </c>
      <c r="M2554" s="31" t="s">
        <v>10031</v>
      </c>
      <c r="N2554" s="31" t="s">
        <v>467</v>
      </c>
      <c r="O2554" s="31">
        <v>2.0</v>
      </c>
      <c r="P2554" s="31">
        <v>2.0</v>
      </c>
      <c r="Q2554" s="31" t="s">
        <v>307</v>
      </c>
      <c r="R2554" s="32">
        <v>30499.0</v>
      </c>
      <c r="S2554" s="31" t="s">
        <v>1194</v>
      </c>
      <c r="T2554" s="31" t="s">
        <v>10032</v>
      </c>
      <c r="U2554" s="31" t="s">
        <v>2914</v>
      </c>
      <c r="V2554" s="34"/>
      <c r="W2554" s="34"/>
    </row>
    <row r="2555">
      <c r="A2555" s="30">
        <v>2.55</v>
      </c>
      <c r="B2555" s="31" t="s">
        <v>10033</v>
      </c>
      <c r="C2555" s="31" t="s">
        <v>10034</v>
      </c>
      <c r="D2555" s="31" t="s">
        <v>4968</v>
      </c>
      <c r="E2555" s="31" t="s">
        <v>2463</v>
      </c>
      <c r="F2555" s="32">
        <v>42611.0</v>
      </c>
      <c r="G2555" s="35">
        <v>42672.0</v>
      </c>
      <c r="H2555" s="31" t="s">
        <v>2811</v>
      </c>
      <c r="I2555" s="31" t="s">
        <v>2463</v>
      </c>
      <c r="J2555" s="34"/>
      <c r="K2555" s="31" t="s">
        <v>3645</v>
      </c>
      <c r="L2555" s="31" t="s">
        <v>4970</v>
      </c>
      <c r="M2555" s="31" t="s">
        <v>10035</v>
      </c>
      <c r="N2555" s="31" t="s">
        <v>467</v>
      </c>
      <c r="O2555" s="34"/>
      <c r="P2555" s="34"/>
      <c r="Q2555" s="31" t="s">
        <v>307</v>
      </c>
      <c r="R2555" s="35">
        <v>33955.0</v>
      </c>
      <c r="S2555" s="31" t="s">
        <v>5691</v>
      </c>
      <c r="T2555" s="31" t="s">
        <v>10036</v>
      </c>
      <c r="U2555" s="31" t="s">
        <v>2914</v>
      </c>
      <c r="V2555" s="34"/>
      <c r="W2555" s="34"/>
    </row>
    <row r="2556">
      <c r="A2556" s="30">
        <v>2.551</v>
      </c>
      <c r="B2556" s="31" t="s">
        <v>10037</v>
      </c>
      <c r="C2556" s="31" t="s">
        <v>10038</v>
      </c>
      <c r="D2556" s="31" t="s">
        <v>1219</v>
      </c>
      <c r="E2556" s="31" t="s">
        <v>7532</v>
      </c>
      <c r="F2556" s="32">
        <v>43382.0</v>
      </c>
      <c r="G2556" s="32">
        <v>43443.0</v>
      </c>
      <c r="H2556" s="31" t="s">
        <v>2811</v>
      </c>
      <c r="I2556" s="31" t="s">
        <v>2797</v>
      </c>
      <c r="J2556" s="31" t="s">
        <v>7532</v>
      </c>
      <c r="K2556" s="31" t="s">
        <v>7533</v>
      </c>
      <c r="L2556" s="31" t="s">
        <v>1223</v>
      </c>
      <c r="M2556" s="31" t="s">
        <v>10039</v>
      </c>
      <c r="N2556" s="31" t="s">
        <v>267</v>
      </c>
      <c r="O2556" s="34"/>
      <c r="P2556" s="31">
        <v>4.0</v>
      </c>
      <c r="Q2556" s="31" t="s">
        <v>307</v>
      </c>
      <c r="R2556" s="32">
        <v>35256.0</v>
      </c>
      <c r="S2556" s="31" t="s">
        <v>531</v>
      </c>
      <c r="T2556" s="31" t="s">
        <v>1657</v>
      </c>
      <c r="U2556" s="31" t="s">
        <v>2914</v>
      </c>
      <c r="V2556" s="34"/>
      <c r="W2556" s="34"/>
    </row>
    <row r="2557">
      <c r="A2557" s="30">
        <v>2.552</v>
      </c>
      <c r="B2557" s="31" t="s">
        <v>10040</v>
      </c>
      <c r="C2557" s="31" t="s">
        <v>10041</v>
      </c>
      <c r="D2557" s="31" t="s">
        <v>9991</v>
      </c>
      <c r="E2557" s="31" t="s">
        <v>7219</v>
      </c>
      <c r="F2557" s="33"/>
      <c r="G2557" s="33"/>
      <c r="H2557" s="31" t="s">
        <v>303</v>
      </c>
      <c r="I2557" s="31" t="s">
        <v>7219</v>
      </c>
      <c r="J2557" s="34"/>
      <c r="K2557" s="31" t="s">
        <v>7220</v>
      </c>
      <c r="L2557" s="31" t="s">
        <v>9992</v>
      </c>
      <c r="M2557" s="34"/>
      <c r="N2557" s="31" t="s">
        <v>467</v>
      </c>
      <c r="O2557" s="31">
        <v>6.0</v>
      </c>
      <c r="P2557" s="34"/>
      <c r="Q2557" s="31" t="s">
        <v>307</v>
      </c>
      <c r="R2557" s="32">
        <v>26753.0</v>
      </c>
      <c r="S2557" s="34"/>
      <c r="T2557" s="34"/>
      <c r="U2557" s="34"/>
      <c r="V2557" s="34"/>
      <c r="W2557" s="34"/>
    </row>
    <row r="2558">
      <c r="A2558" s="30">
        <v>2.553</v>
      </c>
      <c r="B2558" s="31" t="s">
        <v>10042</v>
      </c>
      <c r="C2558" s="31" t="s">
        <v>10043</v>
      </c>
      <c r="D2558" s="31" t="s">
        <v>622</v>
      </c>
      <c r="E2558" s="31" t="s">
        <v>41</v>
      </c>
      <c r="F2558" s="32">
        <v>40422.0</v>
      </c>
      <c r="G2558" s="32">
        <v>40483.0</v>
      </c>
      <c r="H2558" s="31" t="s">
        <v>453</v>
      </c>
      <c r="I2558" s="31" t="s">
        <v>41</v>
      </c>
      <c r="J2558" s="34"/>
      <c r="K2558" s="31" t="s">
        <v>623</v>
      </c>
      <c r="L2558" s="31" t="s">
        <v>624</v>
      </c>
      <c r="M2558" s="31" t="s">
        <v>10044</v>
      </c>
      <c r="N2558" s="31" t="s">
        <v>267</v>
      </c>
      <c r="O2558" s="34"/>
      <c r="P2558" s="34"/>
      <c r="Q2558" s="31" t="s">
        <v>307</v>
      </c>
      <c r="R2558" s="35">
        <v>32133.0</v>
      </c>
      <c r="S2558" s="31" t="s">
        <v>1249</v>
      </c>
      <c r="T2558" s="31" t="s">
        <v>686</v>
      </c>
      <c r="U2558" s="31" t="s">
        <v>480</v>
      </c>
      <c r="V2558" s="34"/>
      <c r="W2558" s="34"/>
    </row>
    <row r="2559">
      <c r="A2559" s="30">
        <v>2.554</v>
      </c>
      <c r="B2559" s="31" t="s">
        <v>10045</v>
      </c>
      <c r="C2559" s="31" t="s">
        <v>10046</v>
      </c>
      <c r="D2559" s="31" t="s">
        <v>3132</v>
      </c>
      <c r="E2559" s="31" t="s">
        <v>10047</v>
      </c>
      <c r="F2559" s="32">
        <v>39934.0</v>
      </c>
      <c r="G2559" s="32">
        <v>39995.0</v>
      </c>
      <c r="H2559" s="31" t="s">
        <v>453</v>
      </c>
      <c r="I2559" s="31" t="s">
        <v>607</v>
      </c>
      <c r="J2559" s="31" t="s">
        <v>5009</v>
      </c>
      <c r="K2559" s="31" t="s">
        <v>10048</v>
      </c>
      <c r="L2559" s="31" t="s">
        <v>3380</v>
      </c>
      <c r="M2559" s="31" t="s">
        <v>10049</v>
      </c>
      <c r="N2559" s="31" t="s">
        <v>267</v>
      </c>
      <c r="O2559" s="31">
        <v>2.0</v>
      </c>
      <c r="P2559" s="34"/>
      <c r="Q2559" s="31" t="s">
        <v>307</v>
      </c>
      <c r="R2559" s="32">
        <v>31901.0</v>
      </c>
      <c r="S2559" s="31" t="s">
        <v>531</v>
      </c>
      <c r="T2559" s="31" t="s">
        <v>686</v>
      </c>
      <c r="U2559" s="31" t="s">
        <v>643</v>
      </c>
      <c r="V2559" s="31" t="s">
        <v>10047</v>
      </c>
      <c r="W2559" s="34"/>
    </row>
    <row r="2560">
      <c r="A2560" s="30">
        <v>2.555</v>
      </c>
      <c r="B2560" s="31" t="s">
        <v>10050</v>
      </c>
      <c r="C2560" s="31" t="s">
        <v>10051</v>
      </c>
      <c r="D2560" s="31" t="s">
        <v>472</v>
      </c>
      <c r="E2560" s="31" t="s">
        <v>2696</v>
      </c>
      <c r="F2560" s="32">
        <v>43707.0</v>
      </c>
      <c r="G2560" s="35">
        <v>43768.0</v>
      </c>
      <c r="H2560" s="31" t="s">
        <v>453</v>
      </c>
      <c r="I2560" s="31" t="s">
        <v>607</v>
      </c>
      <c r="J2560" s="31" t="s">
        <v>2697</v>
      </c>
      <c r="K2560" s="31" t="s">
        <v>2698</v>
      </c>
      <c r="L2560" s="31" t="s">
        <v>476</v>
      </c>
      <c r="M2560" s="31" t="s">
        <v>10052</v>
      </c>
      <c r="N2560" s="31" t="s">
        <v>467</v>
      </c>
      <c r="O2560" s="34"/>
      <c r="P2560" s="34"/>
      <c r="Q2560" s="31" t="s">
        <v>307</v>
      </c>
      <c r="R2560" s="32">
        <v>35800.0</v>
      </c>
      <c r="S2560" s="31" t="s">
        <v>560</v>
      </c>
      <c r="T2560" s="31" t="s">
        <v>496</v>
      </c>
      <c r="U2560" s="31" t="s">
        <v>643</v>
      </c>
      <c r="V2560" s="31" t="s">
        <v>2696</v>
      </c>
      <c r="W2560" s="34"/>
    </row>
    <row r="2561">
      <c r="A2561" s="30">
        <v>2.556</v>
      </c>
      <c r="B2561" s="31" t="s">
        <v>10053</v>
      </c>
      <c r="C2561" s="31" t="s">
        <v>10054</v>
      </c>
      <c r="D2561" s="31" t="s">
        <v>4909</v>
      </c>
      <c r="E2561" s="31" t="s">
        <v>2696</v>
      </c>
      <c r="F2561" s="32">
        <v>43707.0</v>
      </c>
      <c r="G2561" s="35">
        <v>43768.0</v>
      </c>
      <c r="H2561" s="31" t="s">
        <v>453</v>
      </c>
      <c r="I2561" s="31" t="s">
        <v>607</v>
      </c>
      <c r="J2561" s="31" t="s">
        <v>2697</v>
      </c>
      <c r="K2561" s="31" t="s">
        <v>2698</v>
      </c>
      <c r="L2561" s="31" t="s">
        <v>4910</v>
      </c>
      <c r="M2561" s="31" t="s">
        <v>10055</v>
      </c>
      <c r="N2561" s="31" t="s">
        <v>467</v>
      </c>
      <c r="O2561" s="34"/>
      <c r="P2561" s="34"/>
      <c r="Q2561" s="31" t="s">
        <v>307</v>
      </c>
      <c r="R2561" s="32">
        <v>35644.0</v>
      </c>
      <c r="S2561" s="31" t="s">
        <v>560</v>
      </c>
      <c r="T2561" s="31" t="s">
        <v>1242</v>
      </c>
      <c r="U2561" s="31" t="s">
        <v>643</v>
      </c>
      <c r="V2561" s="31" t="s">
        <v>2696</v>
      </c>
      <c r="W2561" s="34"/>
    </row>
    <row r="2562">
      <c r="A2562" s="30">
        <v>2.557</v>
      </c>
      <c r="B2562" s="31" t="s">
        <v>10056</v>
      </c>
      <c r="C2562" s="31" t="s">
        <v>10057</v>
      </c>
      <c r="D2562" s="31" t="s">
        <v>4828</v>
      </c>
      <c r="E2562" s="31" t="s">
        <v>2668</v>
      </c>
      <c r="F2562" s="32">
        <v>44287.0</v>
      </c>
      <c r="G2562" s="32">
        <v>44348.0</v>
      </c>
      <c r="H2562" s="31" t="s">
        <v>453</v>
      </c>
      <c r="I2562" s="31" t="s">
        <v>454</v>
      </c>
      <c r="J2562" s="31" t="s">
        <v>2669</v>
      </c>
      <c r="K2562" s="31" t="s">
        <v>2670</v>
      </c>
      <c r="L2562" s="31" t="s">
        <v>4829</v>
      </c>
      <c r="M2562" s="31" t="s">
        <v>10058</v>
      </c>
      <c r="N2562" s="31" t="s">
        <v>267</v>
      </c>
      <c r="O2562" s="31">
        <v>1.0</v>
      </c>
      <c r="P2562" s="34"/>
      <c r="Q2562" s="31" t="s">
        <v>307</v>
      </c>
      <c r="R2562" s="35">
        <v>32796.0</v>
      </c>
      <c r="S2562" s="31" t="s">
        <v>10059</v>
      </c>
      <c r="T2562" s="31" t="s">
        <v>10060</v>
      </c>
      <c r="U2562" s="31" t="s">
        <v>480</v>
      </c>
      <c r="V2562" s="31" t="s">
        <v>2668</v>
      </c>
      <c r="W2562" s="34"/>
    </row>
    <row r="2563">
      <c r="A2563" s="30">
        <v>2.558</v>
      </c>
      <c r="B2563" s="31" t="s">
        <v>10061</v>
      </c>
      <c r="C2563" s="31" t="s">
        <v>10062</v>
      </c>
      <c r="D2563" s="31" t="s">
        <v>4909</v>
      </c>
      <c r="E2563" s="31" t="s">
        <v>4895</v>
      </c>
      <c r="F2563" s="32">
        <v>43207.0</v>
      </c>
      <c r="G2563" s="32">
        <v>43207.0</v>
      </c>
      <c r="H2563" s="31" t="s">
        <v>453</v>
      </c>
      <c r="I2563" s="31" t="s">
        <v>454</v>
      </c>
      <c r="J2563" s="31" t="s">
        <v>4823</v>
      </c>
      <c r="K2563" s="31" t="s">
        <v>4896</v>
      </c>
      <c r="L2563" s="31" t="s">
        <v>4910</v>
      </c>
      <c r="M2563" s="31" t="s">
        <v>10063</v>
      </c>
      <c r="N2563" s="31" t="s">
        <v>467</v>
      </c>
      <c r="O2563" s="34"/>
      <c r="P2563" s="34"/>
      <c r="Q2563" s="31" t="s">
        <v>307</v>
      </c>
      <c r="R2563" s="32">
        <v>35162.0</v>
      </c>
      <c r="S2563" s="31" t="s">
        <v>490</v>
      </c>
      <c r="T2563" s="31" t="s">
        <v>503</v>
      </c>
      <c r="U2563" s="31" t="s">
        <v>460</v>
      </c>
      <c r="V2563" s="31" t="s">
        <v>4895</v>
      </c>
      <c r="W2563" s="34"/>
    </row>
    <row r="2564">
      <c r="A2564" s="30">
        <v>2.559</v>
      </c>
      <c r="B2564" s="31" t="s">
        <v>10064</v>
      </c>
      <c r="C2564" s="31" t="s">
        <v>10065</v>
      </c>
      <c r="D2564" s="31" t="s">
        <v>472</v>
      </c>
      <c r="E2564" s="31" t="s">
        <v>4864</v>
      </c>
      <c r="F2564" s="32">
        <v>44666.0</v>
      </c>
      <c r="G2564" s="32">
        <v>44727.0</v>
      </c>
      <c r="H2564" s="31" t="s">
        <v>453</v>
      </c>
      <c r="I2564" s="31" t="s">
        <v>47</v>
      </c>
      <c r="J2564" s="31" t="s">
        <v>4502</v>
      </c>
      <c r="K2564" s="31" t="s">
        <v>4865</v>
      </c>
      <c r="L2564" s="31" t="s">
        <v>476</v>
      </c>
      <c r="M2564" s="31" t="s">
        <v>10066</v>
      </c>
      <c r="N2564" s="31" t="s">
        <v>467</v>
      </c>
      <c r="O2564" s="34"/>
      <c r="P2564" s="34"/>
      <c r="Q2564" s="31" t="s">
        <v>307</v>
      </c>
      <c r="R2564" s="35">
        <v>35014.0</v>
      </c>
      <c r="S2564" s="31" t="s">
        <v>822</v>
      </c>
      <c r="T2564" s="31" t="s">
        <v>2626</v>
      </c>
      <c r="U2564" s="31" t="s">
        <v>480</v>
      </c>
      <c r="V2564" s="31" t="s">
        <v>4864</v>
      </c>
      <c r="W2564" s="34"/>
    </row>
    <row r="2565">
      <c r="A2565" s="30">
        <v>2.56</v>
      </c>
      <c r="B2565" s="31" t="s">
        <v>10067</v>
      </c>
      <c r="C2565" s="31" t="s">
        <v>10068</v>
      </c>
      <c r="D2565" s="31" t="s">
        <v>615</v>
      </c>
      <c r="E2565" s="31" t="s">
        <v>5604</v>
      </c>
      <c r="F2565" s="32">
        <v>44298.0</v>
      </c>
      <c r="G2565" s="32">
        <v>44359.0</v>
      </c>
      <c r="H2565" s="31" t="s">
        <v>453</v>
      </c>
      <c r="I2565" s="31" t="s">
        <v>454</v>
      </c>
      <c r="J2565" s="31" t="s">
        <v>5107</v>
      </c>
      <c r="K2565" s="31" t="s">
        <v>5605</v>
      </c>
      <c r="L2565" s="31" t="s">
        <v>618</v>
      </c>
      <c r="M2565" s="31" t="s">
        <v>10069</v>
      </c>
      <c r="N2565" s="31" t="s">
        <v>467</v>
      </c>
      <c r="O2565" s="34"/>
      <c r="P2565" s="34"/>
      <c r="Q2565" s="31" t="s">
        <v>307</v>
      </c>
      <c r="R2565" s="32">
        <v>32090.0</v>
      </c>
      <c r="S2565" s="31" t="s">
        <v>4976</v>
      </c>
      <c r="T2565" s="31" t="s">
        <v>4977</v>
      </c>
      <c r="U2565" s="31" t="s">
        <v>480</v>
      </c>
      <c r="V2565" s="31" t="s">
        <v>5604</v>
      </c>
      <c r="W2565" s="34"/>
    </row>
    <row r="2566">
      <c r="A2566" s="30">
        <v>2.561</v>
      </c>
      <c r="B2566" s="31" t="s">
        <v>10070</v>
      </c>
      <c r="C2566" s="31" t="s">
        <v>10071</v>
      </c>
      <c r="D2566" s="31" t="s">
        <v>472</v>
      </c>
      <c r="E2566" s="31" t="s">
        <v>3569</v>
      </c>
      <c r="F2566" s="32">
        <v>44657.0</v>
      </c>
      <c r="G2566" s="32">
        <v>44718.0</v>
      </c>
      <c r="H2566" s="31" t="s">
        <v>453</v>
      </c>
      <c r="I2566" s="31" t="s">
        <v>454</v>
      </c>
      <c r="J2566" s="31" t="s">
        <v>3569</v>
      </c>
      <c r="K2566" s="31" t="s">
        <v>3570</v>
      </c>
      <c r="L2566" s="31" t="s">
        <v>3050</v>
      </c>
      <c r="M2566" s="31" t="s">
        <v>10072</v>
      </c>
      <c r="N2566" s="31" t="s">
        <v>467</v>
      </c>
      <c r="O2566" s="34"/>
      <c r="P2566" s="34"/>
      <c r="Q2566" s="31" t="s">
        <v>307</v>
      </c>
      <c r="R2566" s="32">
        <v>36945.0</v>
      </c>
      <c r="S2566" s="31" t="s">
        <v>560</v>
      </c>
      <c r="T2566" s="31" t="s">
        <v>503</v>
      </c>
      <c r="U2566" s="31" t="s">
        <v>480</v>
      </c>
      <c r="V2566" s="34"/>
      <c r="W2566" s="34"/>
    </row>
    <row r="2567">
      <c r="A2567" s="30">
        <v>2.562</v>
      </c>
      <c r="B2567" s="31" t="s">
        <v>10073</v>
      </c>
      <c r="C2567" s="31" t="s">
        <v>10074</v>
      </c>
      <c r="D2567" s="31" t="s">
        <v>472</v>
      </c>
      <c r="E2567" s="31" t="s">
        <v>10075</v>
      </c>
      <c r="F2567" s="32">
        <v>44657.0</v>
      </c>
      <c r="G2567" s="32">
        <v>44718.0</v>
      </c>
      <c r="H2567" s="31" t="s">
        <v>453</v>
      </c>
      <c r="I2567" s="31" t="s">
        <v>566</v>
      </c>
      <c r="J2567" s="31" t="s">
        <v>567</v>
      </c>
      <c r="K2567" s="31" t="s">
        <v>10076</v>
      </c>
      <c r="L2567" s="31" t="s">
        <v>3203</v>
      </c>
      <c r="M2567" s="31" t="s">
        <v>10077</v>
      </c>
      <c r="N2567" s="31" t="s">
        <v>467</v>
      </c>
      <c r="O2567" s="34"/>
      <c r="P2567" s="34"/>
      <c r="Q2567" s="31" t="s">
        <v>307</v>
      </c>
      <c r="R2567" s="32">
        <v>36471.0</v>
      </c>
      <c r="S2567" s="31" t="s">
        <v>560</v>
      </c>
      <c r="T2567" s="31" t="s">
        <v>3090</v>
      </c>
      <c r="U2567" s="31" t="s">
        <v>480</v>
      </c>
      <c r="V2567" s="31" t="s">
        <v>10075</v>
      </c>
      <c r="W2567" s="34"/>
    </row>
    <row r="2568">
      <c r="A2568" s="30">
        <v>2.563</v>
      </c>
      <c r="B2568" s="31" t="s">
        <v>10078</v>
      </c>
      <c r="C2568" s="31" t="s">
        <v>7784</v>
      </c>
      <c r="D2568" s="31" t="s">
        <v>615</v>
      </c>
      <c r="E2568" s="31" t="s">
        <v>616</v>
      </c>
      <c r="F2568" s="32">
        <v>44291.0</v>
      </c>
      <c r="G2568" s="32">
        <v>44352.0</v>
      </c>
      <c r="H2568" s="31" t="s">
        <v>453</v>
      </c>
      <c r="I2568" s="31" t="s">
        <v>555</v>
      </c>
      <c r="J2568" s="31" t="s">
        <v>556</v>
      </c>
      <c r="K2568" s="31" t="s">
        <v>617</v>
      </c>
      <c r="L2568" s="31" t="s">
        <v>618</v>
      </c>
      <c r="M2568" s="31" t="s">
        <v>10079</v>
      </c>
      <c r="N2568" s="31" t="s">
        <v>267</v>
      </c>
      <c r="O2568" s="34"/>
      <c r="P2568" s="34"/>
      <c r="Q2568" s="31" t="s">
        <v>307</v>
      </c>
      <c r="R2568" s="35">
        <v>34685.0</v>
      </c>
      <c r="S2568" s="31" t="s">
        <v>10080</v>
      </c>
      <c r="T2568" s="31" t="s">
        <v>1522</v>
      </c>
      <c r="U2568" s="31" t="s">
        <v>480</v>
      </c>
      <c r="V2568" s="31" t="s">
        <v>616</v>
      </c>
      <c r="W2568" s="34"/>
    </row>
    <row r="2569">
      <c r="A2569" s="30">
        <v>2.564</v>
      </c>
      <c r="B2569" s="31" t="s">
        <v>10081</v>
      </c>
      <c r="C2569" s="31" t="s">
        <v>10082</v>
      </c>
      <c r="D2569" s="31" t="s">
        <v>553</v>
      </c>
      <c r="E2569" s="31" t="s">
        <v>3377</v>
      </c>
      <c r="F2569" s="32">
        <v>44655.0</v>
      </c>
      <c r="G2569" s="32">
        <v>44716.0</v>
      </c>
      <c r="H2569" s="31" t="s">
        <v>453</v>
      </c>
      <c r="I2569" s="31" t="s">
        <v>454</v>
      </c>
      <c r="J2569" s="31" t="s">
        <v>3378</v>
      </c>
      <c r="K2569" s="31" t="s">
        <v>3379</v>
      </c>
      <c r="L2569" s="31" t="s">
        <v>558</v>
      </c>
      <c r="M2569" s="31" t="s">
        <v>10083</v>
      </c>
      <c r="N2569" s="31" t="s">
        <v>267</v>
      </c>
      <c r="O2569" s="34"/>
      <c r="P2569" s="34"/>
      <c r="Q2569" s="31" t="s">
        <v>307</v>
      </c>
      <c r="R2569" s="32">
        <v>34721.0</v>
      </c>
      <c r="S2569" s="31" t="s">
        <v>531</v>
      </c>
      <c r="T2569" s="31" t="s">
        <v>6035</v>
      </c>
      <c r="U2569" s="31" t="s">
        <v>460</v>
      </c>
      <c r="V2569" s="31" t="s">
        <v>3377</v>
      </c>
      <c r="W2569" s="34"/>
    </row>
    <row r="2570">
      <c r="A2570" s="30">
        <v>2.565</v>
      </c>
      <c r="B2570" s="31" t="s">
        <v>10084</v>
      </c>
      <c r="C2570" s="31" t="s">
        <v>10085</v>
      </c>
      <c r="D2570" s="31" t="s">
        <v>472</v>
      </c>
      <c r="E2570" s="31" t="s">
        <v>2902</v>
      </c>
      <c r="F2570" s="32">
        <v>44231.0</v>
      </c>
      <c r="G2570" s="32">
        <v>44290.0</v>
      </c>
      <c r="H2570" s="31" t="s">
        <v>453</v>
      </c>
      <c r="I2570" s="31" t="s">
        <v>454</v>
      </c>
      <c r="J2570" s="31" t="s">
        <v>2903</v>
      </c>
      <c r="K2570" s="31" t="s">
        <v>2904</v>
      </c>
      <c r="L2570" s="31" t="s">
        <v>476</v>
      </c>
      <c r="M2570" s="31" t="s">
        <v>10086</v>
      </c>
      <c r="N2570" s="31" t="s">
        <v>467</v>
      </c>
      <c r="O2570" s="34"/>
      <c r="P2570" s="34"/>
      <c r="Q2570" s="31" t="s">
        <v>307</v>
      </c>
      <c r="R2570" s="32">
        <v>36282.0</v>
      </c>
      <c r="S2570" s="31" t="s">
        <v>560</v>
      </c>
      <c r="T2570" s="31" t="s">
        <v>503</v>
      </c>
      <c r="U2570" s="31" t="s">
        <v>480</v>
      </c>
      <c r="V2570" s="31" t="s">
        <v>2902</v>
      </c>
      <c r="W2570" s="34"/>
    </row>
    <row r="2571">
      <c r="A2571" s="30">
        <v>2.566</v>
      </c>
      <c r="B2571" s="31" t="s">
        <v>10087</v>
      </c>
      <c r="C2571" s="31" t="s">
        <v>10088</v>
      </c>
      <c r="D2571" s="31" t="s">
        <v>463</v>
      </c>
      <c r="E2571" s="31" t="s">
        <v>5008</v>
      </c>
      <c r="F2571" s="32">
        <v>42494.0</v>
      </c>
      <c r="G2571" s="32">
        <v>42555.0</v>
      </c>
      <c r="H2571" s="31" t="s">
        <v>453</v>
      </c>
      <c r="I2571" s="31" t="s">
        <v>607</v>
      </c>
      <c r="J2571" s="31" t="s">
        <v>5009</v>
      </c>
      <c r="K2571" s="31" t="s">
        <v>5010</v>
      </c>
      <c r="L2571" s="31" t="s">
        <v>465</v>
      </c>
      <c r="M2571" s="31" t="s">
        <v>10089</v>
      </c>
      <c r="N2571" s="31" t="s">
        <v>467</v>
      </c>
      <c r="O2571" s="31">
        <v>2.0</v>
      </c>
      <c r="P2571" s="34"/>
      <c r="Q2571" s="31" t="s">
        <v>307</v>
      </c>
      <c r="R2571" s="32">
        <v>32005.0</v>
      </c>
      <c r="S2571" s="31" t="s">
        <v>560</v>
      </c>
      <c r="T2571" s="31" t="s">
        <v>3174</v>
      </c>
      <c r="U2571" s="31" t="s">
        <v>643</v>
      </c>
      <c r="V2571" s="31" t="s">
        <v>5008</v>
      </c>
      <c r="W2571" s="34"/>
    </row>
    <row r="2572">
      <c r="A2572" s="30">
        <v>2.567</v>
      </c>
      <c r="B2572" s="31" t="s">
        <v>10090</v>
      </c>
      <c r="C2572" s="31" t="s">
        <v>10091</v>
      </c>
      <c r="D2572" s="31" t="s">
        <v>472</v>
      </c>
      <c r="E2572" s="31" t="s">
        <v>3047</v>
      </c>
      <c r="F2572" s="32">
        <v>43178.0</v>
      </c>
      <c r="G2572" s="32">
        <v>43178.0</v>
      </c>
      <c r="H2572" s="31" t="s">
        <v>453</v>
      </c>
      <c r="I2572" s="31" t="s">
        <v>454</v>
      </c>
      <c r="J2572" s="31" t="s">
        <v>3048</v>
      </c>
      <c r="K2572" s="31" t="s">
        <v>3049</v>
      </c>
      <c r="L2572" s="31" t="s">
        <v>3050</v>
      </c>
      <c r="M2572" s="31" t="s">
        <v>10092</v>
      </c>
      <c r="N2572" s="31" t="s">
        <v>467</v>
      </c>
      <c r="O2572" s="34"/>
      <c r="P2572" s="34"/>
      <c r="Q2572" s="31" t="s">
        <v>307</v>
      </c>
      <c r="R2572" s="32">
        <v>34542.0</v>
      </c>
      <c r="S2572" s="31" t="s">
        <v>468</v>
      </c>
      <c r="T2572" s="31" t="s">
        <v>3198</v>
      </c>
      <c r="U2572" s="31" t="s">
        <v>480</v>
      </c>
      <c r="V2572" s="31" t="s">
        <v>3047</v>
      </c>
      <c r="W2572" s="34"/>
    </row>
    <row r="2573">
      <c r="A2573" s="30">
        <v>2.568</v>
      </c>
      <c r="B2573" s="31" t="s">
        <v>10093</v>
      </c>
      <c r="C2573" s="31" t="s">
        <v>10094</v>
      </c>
      <c r="D2573" s="31" t="s">
        <v>472</v>
      </c>
      <c r="E2573" s="31" t="s">
        <v>3047</v>
      </c>
      <c r="F2573" s="32">
        <v>43347.0</v>
      </c>
      <c r="G2573" s="32">
        <v>43408.0</v>
      </c>
      <c r="H2573" s="31" t="s">
        <v>453</v>
      </c>
      <c r="I2573" s="31" t="s">
        <v>454</v>
      </c>
      <c r="J2573" s="31" t="s">
        <v>3048</v>
      </c>
      <c r="K2573" s="31" t="s">
        <v>3049</v>
      </c>
      <c r="L2573" s="31" t="s">
        <v>3203</v>
      </c>
      <c r="M2573" s="31" t="s">
        <v>10095</v>
      </c>
      <c r="N2573" s="31" t="s">
        <v>467</v>
      </c>
      <c r="O2573" s="34"/>
      <c r="P2573" s="34"/>
      <c r="Q2573" s="31" t="s">
        <v>307</v>
      </c>
      <c r="R2573" s="32">
        <v>35403.0</v>
      </c>
      <c r="S2573" s="31" t="s">
        <v>560</v>
      </c>
      <c r="T2573" s="31" t="s">
        <v>503</v>
      </c>
      <c r="U2573" s="31" t="s">
        <v>480</v>
      </c>
      <c r="V2573" s="31" t="s">
        <v>3047</v>
      </c>
      <c r="W2573" s="34"/>
    </row>
    <row r="2574">
      <c r="A2574" s="30">
        <v>2.569</v>
      </c>
      <c r="B2574" s="31" t="s">
        <v>10096</v>
      </c>
      <c r="C2574" s="31" t="s">
        <v>10097</v>
      </c>
      <c r="D2574" s="31" t="s">
        <v>472</v>
      </c>
      <c r="E2574" s="31" t="s">
        <v>4864</v>
      </c>
      <c r="F2574" s="32">
        <v>44799.0</v>
      </c>
      <c r="G2574" s="35">
        <v>44860.0</v>
      </c>
      <c r="H2574" s="31" t="s">
        <v>453</v>
      </c>
      <c r="I2574" s="31" t="s">
        <v>47</v>
      </c>
      <c r="J2574" s="31" t="s">
        <v>4502</v>
      </c>
      <c r="K2574" s="31" t="s">
        <v>4865</v>
      </c>
      <c r="L2574" s="31" t="s">
        <v>476</v>
      </c>
      <c r="M2574" s="31" t="s">
        <v>10098</v>
      </c>
      <c r="N2574" s="31" t="s">
        <v>467</v>
      </c>
      <c r="O2574" s="34"/>
      <c r="P2574" s="34"/>
      <c r="Q2574" s="31" t="s">
        <v>307</v>
      </c>
      <c r="R2574" s="32">
        <v>36861.0</v>
      </c>
      <c r="S2574" s="31" t="s">
        <v>4426</v>
      </c>
      <c r="T2574" s="31" t="s">
        <v>1127</v>
      </c>
      <c r="U2574" s="31" t="s">
        <v>480</v>
      </c>
      <c r="V2574" s="31" t="s">
        <v>4864</v>
      </c>
      <c r="W2574" s="34"/>
    </row>
    <row r="2575">
      <c r="A2575" s="30">
        <v>2.57</v>
      </c>
      <c r="B2575" s="31" t="s">
        <v>10099</v>
      </c>
      <c r="C2575" s="31" t="s">
        <v>573</v>
      </c>
      <c r="D2575" s="31" t="s">
        <v>452</v>
      </c>
      <c r="E2575" s="31" t="s">
        <v>4329</v>
      </c>
      <c r="F2575" s="32">
        <v>44467.0</v>
      </c>
      <c r="G2575" s="35">
        <v>44528.0</v>
      </c>
      <c r="H2575" s="31" t="s">
        <v>453</v>
      </c>
      <c r="I2575" s="31" t="s">
        <v>4330</v>
      </c>
      <c r="J2575" s="31" t="s">
        <v>4331</v>
      </c>
      <c r="K2575" s="31" t="s">
        <v>4332</v>
      </c>
      <c r="L2575" s="31" t="s">
        <v>456</v>
      </c>
      <c r="M2575" s="31" t="s">
        <v>10100</v>
      </c>
      <c r="N2575" s="31" t="s">
        <v>267</v>
      </c>
      <c r="O2575" s="34"/>
      <c r="P2575" s="34"/>
      <c r="Q2575" s="31" t="s">
        <v>307</v>
      </c>
      <c r="R2575" s="32">
        <v>34447.0</v>
      </c>
      <c r="S2575" s="31" t="s">
        <v>531</v>
      </c>
      <c r="T2575" s="31" t="s">
        <v>686</v>
      </c>
      <c r="U2575" s="31" t="s">
        <v>460</v>
      </c>
      <c r="V2575" s="31" t="s">
        <v>4329</v>
      </c>
      <c r="W2575" s="34"/>
    </row>
    <row r="2576">
      <c r="A2576" s="30">
        <v>2.571</v>
      </c>
      <c r="B2576" s="31" t="s">
        <v>10101</v>
      </c>
      <c r="C2576" s="31" t="s">
        <v>10102</v>
      </c>
      <c r="D2576" s="31" t="s">
        <v>472</v>
      </c>
      <c r="E2576" s="31" t="s">
        <v>5106</v>
      </c>
      <c r="F2576" s="35">
        <v>44487.0</v>
      </c>
      <c r="G2576" s="35">
        <v>44548.0</v>
      </c>
      <c r="H2576" s="31" t="s">
        <v>453</v>
      </c>
      <c r="I2576" s="31" t="s">
        <v>454</v>
      </c>
      <c r="J2576" s="31" t="s">
        <v>5107</v>
      </c>
      <c r="K2576" s="31" t="s">
        <v>5108</v>
      </c>
      <c r="L2576" s="31" t="s">
        <v>476</v>
      </c>
      <c r="M2576" s="31" t="s">
        <v>10103</v>
      </c>
      <c r="N2576" s="31" t="s">
        <v>467</v>
      </c>
      <c r="O2576" s="34"/>
      <c r="P2576" s="34"/>
      <c r="Q2576" s="31" t="s">
        <v>307</v>
      </c>
      <c r="R2576" s="32">
        <v>36797.0</v>
      </c>
      <c r="S2576" s="31" t="s">
        <v>6516</v>
      </c>
      <c r="T2576" s="31" t="s">
        <v>496</v>
      </c>
      <c r="U2576" s="31" t="s">
        <v>480</v>
      </c>
      <c r="V2576" s="31" t="s">
        <v>5106</v>
      </c>
      <c r="W2576" s="34"/>
    </row>
    <row r="2577">
      <c r="A2577" s="30">
        <v>2.572</v>
      </c>
      <c r="B2577" s="31" t="s">
        <v>10104</v>
      </c>
      <c r="C2577" s="31" t="s">
        <v>3039</v>
      </c>
      <c r="D2577" s="31" t="s">
        <v>3222</v>
      </c>
      <c r="E2577" s="31" t="s">
        <v>5118</v>
      </c>
      <c r="F2577" s="32">
        <v>43587.0</v>
      </c>
      <c r="G2577" s="32">
        <v>43648.0</v>
      </c>
      <c r="H2577" s="31" t="s">
        <v>453</v>
      </c>
      <c r="I2577" s="31" t="s">
        <v>454</v>
      </c>
      <c r="J2577" s="31" t="s">
        <v>4823</v>
      </c>
      <c r="K2577" s="31" t="s">
        <v>5119</v>
      </c>
      <c r="L2577" s="31" t="s">
        <v>3223</v>
      </c>
      <c r="M2577" s="31" t="s">
        <v>10105</v>
      </c>
      <c r="N2577" s="31" t="s">
        <v>267</v>
      </c>
      <c r="O2577" s="34"/>
      <c r="P2577" s="34"/>
      <c r="Q2577" s="31" t="s">
        <v>307</v>
      </c>
      <c r="R2577" s="32">
        <v>35204.0</v>
      </c>
      <c r="S2577" s="31" t="s">
        <v>543</v>
      </c>
      <c r="T2577" s="31" t="s">
        <v>665</v>
      </c>
      <c r="U2577" s="31" t="s">
        <v>460</v>
      </c>
      <c r="V2577" s="31" t="s">
        <v>5118</v>
      </c>
      <c r="W2577" s="34"/>
    </row>
    <row r="2578">
      <c r="A2578" s="30">
        <v>2.573</v>
      </c>
      <c r="B2578" s="31" t="s">
        <v>10106</v>
      </c>
      <c r="C2578" s="31" t="s">
        <v>10107</v>
      </c>
      <c r="D2578" s="31" t="s">
        <v>3222</v>
      </c>
      <c r="E2578" s="31" t="s">
        <v>4953</v>
      </c>
      <c r="F2578" s="32">
        <v>44090.0</v>
      </c>
      <c r="G2578" s="35">
        <v>44151.0</v>
      </c>
      <c r="H2578" s="31" t="s">
        <v>453</v>
      </c>
      <c r="I2578" s="31" t="s">
        <v>454</v>
      </c>
      <c r="J2578" s="31" t="s">
        <v>2903</v>
      </c>
      <c r="K2578" s="31" t="s">
        <v>4954</v>
      </c>
      <c r="L2578" s="31" t="s">
        <v>3223</v>
      </c>
      <c r="M2578" s="31" t="s">
        <v>10108</v>
      </c>
      <c r="N2578" s="31" t="s">
        <v>267</v>
      </c>
      <c r="O2578" s="34"/>
      <c r="P2578" s="34"/>
      <c r="Q2578" s="31" t="s">
        <v>307</v>
      </c>
      <c r="R2578" s="32">
        <v>36102.0</v>
      </c>
      <c r="S2578" s="31" t="s">
        <v>10109</v>
      </c>
      <c r="T2578" s="31" t="s">
        <v>3116</v>
      </c>
      <c r="U2578" s="31" t="s">
        <v>480</v>
      </c>
      <c r="V2578" s="31" t="s">
        <v>4953</v>
      </c>
      <c r="W2578" s="34"/>
    </row>
    <row r="2579">
      <c r="A2579" s="30">
        <v>2.574</v>
      </c>
      <c r="B2579" s="31" t="s">
        <v>10110</v>
      </c>
      <c r="C2579" s="31" t="s">
        <v>10111</v>
      </c>
      <c r="D2579" s="31" t="s">
        <v>472</v>
      </c>
      <c r="E2579" s="31" t="s">
        <v>2902</v>
      </c>
      <c r="F2579" s="32">
        <v>44768.0</v>
      </c>
      <c r="G2579" s="32">
        <v>44830.0</v>
      </c>
      <c r="H2579" s="31" t="s">
        <v>453</v>
      </c>
      <c r="I2579" s="31" t="s">
        <v>454</v>
      </c>
      <c r="J2579" s="31" t="s">
        <v>2903</v>
      </c>
      <c r="K2579" s="31" t="s">
        <v>2904</v>
      </c>
      <c r="L2579" s="31" t="s">
        <v>476</v>
      </c>
      <c r="M2579" s="31" t="s">
        <v>10112</v>
      </c>
      <c r="N2579" s="31" t="s">
        <v>467</v>
      </c>
      <c r="O2579" s="34"/>
      <c r="P2579" s="34"/>
      <c r="Q2579" s="31" t="s">
        <v>307</v>
      </c>
      <c r="R2579" s="32">
        <v>35813.0</v>
      </c>
      <c r="S2579" s="31" t="s">
        <v>560</v>
      </c>
      <c r="T2579" s="31" t="s">
        <v>2672</v>
      </c>
      <c r="U2579" s="31" t="s">
        <v>480</v>
      </c>
      <c r="V2579" s="31" t="s">
        <v>2902</v>
      </c>
      <c r="W2579" s="34"/>
    </row>
    <row r="2580">
      <c r="A2580" s="30">
        <v>2.575</v>
      </c>
      <c r="B2580" s="31" t="s">
        <v>10113</v>
      </c>
      <c r="C2580" s="31" t="s">
        <v>10114</v>
      </c>
      <c r="D2580" s="31" t="s">
        <v>472</v>
      </c>
      <c r="E2580" s="31" t="s">
        <v>2681</v>
      </c>
      <c r="F2580" s="32">
        <v>44802.0</v>
      </c>
      <c r="G2580" s="35">
        <v>44863.0</v>
      </c>
      <c r="H2580" s="31" t="s">
        <v>453</v>
      </c>
      <c r="I2580" s="31" t="s">
        <v>454</v>
      </c>
      <c r="J2580" s="31" t="s">
        <v>2682</v>
      </c>
      <c r="K2580" s="31" t="s">
        <v>2683</v>
      </c>
      <c r="L2580" s="31" t="s">
        <v>476</v>
      </c>
      <c r="M2580" s="31" t="s">
        <v>10115</v>
      </c>
      <c r="N2580" s="31" t="s">
        <v>467</v>
      </c>
      <c r="O2580" s="34"/>
      <c r="P2580" s="34"/>
      <c r="Q2580" s="31" t="s">
        <v>307</v>
      </c>
      <c r="R2580" s="32">
        <v>36915.0</v>
      </c>
      <c r="S2580" s="31" t="s">
        <v>560</v>
      </c>
      <c r="T2580" s="31" t="s">
        <v>3167</v>
      </c>
      <c r="U2580" s="31" t="s">
        <v>480</v>
      </c>
      <c r="V2580" s="31" t="s">
        <v>2681</v>
      </c>
      <c r="W2580" s="34"/>
    </row>
    <row r="2581">
      <c r="A2581" s="30">
        <v>2.576</v>
      </c>
      <c r="B2581" s="31" t="s">
        <v>10116</v>
      </c>
      <c r="C2581" s="31" t="s">
        <v>10117</v>
      </c>
      <c r="D2581" s="31" t="s">
        <v>472</v>
      </c>
      <c r="E2581" s="31" t="s">
        <v>5747</v>
      </c>
      <c r="F2581" s="32">
        <v>44802.0</v>
      </c>
      <c r="G2581" s="35">
        <v>44863.0</v>
      </c>
      <c r="H2581" s="31" t="s">
        <v>453</v>
      </c>
      <c r="I2581" s="31" t="s">
        <v>454</v>
      </c>
      <c r="J2581" s="31" t="s">
        <v>3041</v>
      </c>
      <c r="K2581" s="31" t="s">
        <v>5748</v>
      </c>
      <c r="L2581" s="31" t="s">
        <v>476</v>
      </c>
      <c r="M2581" s="31" t="s">
        <v>10118</v>
      </c>
      <c r="N2581" s="31" t="s">
        <v>267</v>
      </c>
      <c r="O2581" s="34"/>
      <c r="P2581" s="34"/>
      <c r="Q2581" s="31" t="s">
        <v>307</v>
      </c>
      <c r="R2581" s="32">
        <v>36773.0</v>
      </c>
      <c r="S2581" s="31" t="s">
        <v>560</v>
      </c>
      <c r="T2581" s="31" t="s">
        <v>3147</v>
      </c>
      <c r="U2581" s="31" t="s">
        <v>480</v>
      </c>
      <c r="V2581" s="31" t="s">
        <v>5747</v>
      </c>
      <c r="W2581" s="34"/>
    </row>
    <row r="2582">
      <c r="A2582" s="30">
        <v>2.577</v>
      </c>
      <c r="B2582" s="31" t="s">
        <v>10119</v>
      </c>
      <c r="C2582" s="31" t="s">
        <v>10120</v>
      </c>
      <c r="D2582" s="31" t="s">
        <v>553</v>
      </c>
      <c r="E2582" s="31" t="s">
        <v>2681</v>
      </c>
      <c r="F2582" s="32">
        <v>44802.0</v>
      </c>
      <c r="G2582" s="35">
        <v>44863.0</v>
      </c>
      <c r="H2582" s="31" t="s">
        <v>453</v>
      </c>
      <c r="I2582" s="31" t="s">
        <v>454</v>
      </c>
      <c r="J2582" s="31" t="s">
        <v>2682</v>
      </c>
      <c r="K2582" s="31" t="s">
        <v>2683</v>
      </c>
      <c r="L2582" s="31" t="s">
        <v>558</v>
      </c>
      <c r="M2582" s="31" t="s">
        <v>10121</v>
      </c>
      <c r="N2582" s="31" t="s">
        <v>267</v>
      </c>
      <c r="O2582" s="34"/>
      <c r="P2582" s="34"/>
      <c r="Q2582" s="31" t="s">
        <v>307</v>
      </c>
      <c r="R2582" s="32">
        <v>34825.0</v>
      </c>
      <c r="S2582" s="31" t="s">
        <v>1035</v>
      </c>
      <c r="T2582" s="31" t="s">
        <v>865</v>
      </c>
      <c r="U2582" s="31" t="s">
        <v>480</v>
      </c>
      <c r="V2582" s="31" t="s">
        <v>2681</v>
      </c>
      <c r="W2582" s="34"/>
    </row>
    <row r="2583">
      <c r="A2583" s="30">
        <v>2.578</v>
      </c>
      <c r="B2583" s="31" t="s">
        <v>10122</v>
      </c>
      <c r="C2583" s="31" t="s">
        <v>10123</v>
      </c>
      <c r="D2583" s="31" t="s">
        <v>472</v>
      </c>
      <c r="E2583" s="31" t="s">
        <v>4379</v>
      </c>
      <c r="F2583" s="32">
        <v>44809.0</v>
      </c>
      <c r="G2583" s="32">
        <v>44870.0</v>
      </c>
      <c r="H2583" s="31" t="s">
        <v>453</v>
      </c>
      <c r="I2583" s="31" t="s">
        <v>607</v>
      </c>
      <c r="J2583" s="31" t="s">
        <v>4380</v>
      </c>
      <c r="K2583" s="31" t="s">
        <v>4381</v>
      </c>
      <c r="L2583" s="31" t="s">
        <v>476</v>
      </c>
      <c r="M2583" s="31" t="s">
        <v>10124</v>
      </c>
      <c r="N2583" s="31" t="s">
        <v>467</v>
      </c>
      <c r="O2583" s="34"/>
      <c r="P2583" s="34"/>
      <c r="Q2583" s="31" t="s">
        <v>307</v>
      </c>
      <c r="R2583" s="32">
        <v>36921.0</v>
      </c>
      <c r="S2583" s="31" t="s">
        <v>560</v>
      </c>
      <c r="T2583" s="31" t="s">
        <v>10125</v>
      </c>
      <c r="U2583" s="31" t="s">
        <v>643</v>
      </c>
      <c r="V2583" s="31" t="s">
        <v>4379</v>
      </c>
      <c r="W2583" s="34"/>
    </row>
    <row r="2584">
      <c r="A2584" s="30">
        <v>2.579</v>
      </c>
      <c r="B2584" s="31" t="s">
        <v>10126</v>
      </c>
      <c r="C2584" s="31" t="s">
        <v>10127</v>
      </c>
      <c r="D2584" s="31" t="s">
        <v>472</v>
      </c>
      <c r="E2584" s="31" t="s">
        <v>2893</v>
      </c>
      <c r="F2584" s="32">
        <v>44809.0</v>
      </c>
      <c r="G2584" s="32">
        <v>44870.0</v>
      </c>
      <c r="H2584" s="31" t="s">
        <v>453</v>
      </c>
      <c r="I2584" s="31" t="s">
        <v>566</v>
      </c>
      <c r="J2584" s="31" t="s">
        <v>2888</v>
      </c>
      <c r="K2584" s="31" t="s">
        <v>2894</v>
      </c>
      <c r="L2584" s="31" t="s">
        <v>476</v>
      </c>
      <c r="M2584" s="31" t="s">
        <v>10128</v>
      </c>
      <c r="N2584" s="31" t="s">
        <v>467</v>
      </c>
      <c r="O2584" s="34"/>
      <c r="P2584" s="34"/>
      <c r="Q2584" s="31" t="s">
        <v>307</v>
      </c>
      <c r="R2584" s="32">
        <v>37022.0</v>
      </c>
      <c r="S2584" s="31" t="s">
        <v>490</v>
      </c>
      <c r="T2584" s="31" t="s">
        <v>496</v>
      </c>
      <c r="U2584" s="31" t="s">
        <v>480</v>
      </c>
      <c r="V2584" s="31" t="s">
        <v>2893</v>
      </c>
      <c r="W2584" s="34"/>
    </row>
    <row r="2585">
      <c r="A2585" s="30">
        <v>2.58</v>
      </c>
      <c r="B2585" s="31" t="s">
        <v>10129</v>
      </c>
      <c r="C2585" s="31" t="s">
        <v>10130</v>
      </c>
      <c r="D2585" s="31" t="s">
        <v>472</v>
      </c>
      <c r="E2585" s="31" t="s">
        <v>4414</v>
      </c>
      <c r="F2585" s="32">
        <v>44809.0</v>
      </c>
      <c r="G2585" s="32">
        <v>44870.0</v>
      </c>
      <c r="H2585" s="31" t="s">
        <v>453</v>
      </c>
      <c r="I2585" s="31" t="s">
        <v>607</v>
      </c>
      <c r="J2585" s="31" t="s">
        <v>4415</v>
      </c>
      <c r="K2585" s="31" t="s">
        <v>4416</v>
      </c>
      <c r="L2585" s="31" t="s">
        <v>476</v>
      </c>
      <c r="M2585" s="31" t="s">
        <v>10131</v>
      </c>
      <c r="N2585" s="31" t="s">
        <v>467</v>
      </c>
      <c r="O2585" s="34"/>
      <c r="P2585" s="34"/>
      <c r="Q2585" s="31" t="s">
        <v>307</v>
      </c>
      <c r="R2585" s="35">
        <v>36484.0</v>
      </c>
      <c r="S2585" s="31" t="s">
        <v>1622</v>
      </c>
      <c r="T2585" s="31" t="s">
        <v>596</v>
      </c>
      <c r="U2585" s="31" t="s">
        <v>643</v>
      </c>
      <c r="V2585" s="31" t="s">
        <v>4414</v>
      </c>
      <c r="W2585" s="34"/>
    </row>
    <row r="2586">
      <c r="A2586" s="30">
        <v>2.581</v>
      </c>
      <c r="B2586" s="31" t="s">
        <v>10132</v>
      </c>
      <c r="C2586" s="31" t="s">
        <v>10133</v>
      </c>
      <c r="D2586" s="31" t="s">
        <v>472</v>
      </c>
      <c r="E2586" s="31" t="s">
        <v>4379</v>
      </c>
      <c r="F2586" s="32">
        <v>44809.0</v>
      </c>
      <c r="G2586" s="32">
        <v>44870.0</v>
      </c>
      <c r="H2586" s="31" t="s">
        <v>453</v>
      </c>
      <c r="I2586" s="31" t="s">
        <v>607</v>
      </c>
      <c r="J2586" s="31" t="s">
        <v>4380</v>
      </c>
      <c r="K2586" s="31" t="s">
        <v>4381</v>
      </c>
      <c r="L2586" s="31" t="s">
        <v>476</v>
      </c>
      <c r="M2586" s="31" t="s">
        <v>10134</v>
      </c>
      <c r="N2586" s="31" t="s">
        <v>467</v>
      </c>
      <c r="O2586" s="34"/>
      <c r="P2586" s="34"/>
      <c r="Q2586" s="31" t="s">
        <v>307</v>
      </c>
      <c r="R2586" s="35">
        <v>36812.0</v>
      </c>
      <c r="S2586" s="31" t="s">
        <v>560</v>
      </c>
      <c r="T2586" s="31" t="s">
        <v>469</v>
      </c>
      <c r="U2586" s="31" t="s">
        <v>643</v>
      </c>
      <c r="V2586" s="31" t="s">
        <v>4379</v>
      </c>
      <c r="W2586" s="34"/>
    </row>
    <row r="2587">
      <c r="A2587" s="30">
        <v>2.582</v>
      </c>
      <c r="B2587" s="31" t="s">
        <v>10135</v>
      </c>
      <c r="C2587" s="31" t="s">
        <v>10136</v>
      </c>
      <c r="D2587" s="31" t="s">
        <v>472</v>
      </c>
      <c r="E2587" s="31" t="s">
        <v>5282</v>
      </c>
      <c r="F2587" s="32">
        <v>44809.0</v>
      </c>
      <c r="G2587" s="32">
        <v>44870.0</v>
      </c>
      <c r="H2587" s="31" t="s">
        <v>453</v>
      </c>
      <c r="I2587" s="31" t="s">
        <v>47</v>
      </c>
      <c r="J2587" s="31" t="s">
        <v>4508</v>
      </c>
      <c r="K2587" s="31" t="s">
        <v>5283</v>
      </c>
      <c r="L2587" s="31" t="s">
        <v>476</v>
      </c>
      <c r="M2587" s="31" t="s">
        <v>10137</v>
      </c>
      <c r="N2587" s="31" t="s">
        <v>467</v>
      </c>
      <c r="O2587" s="34"/>
      <c r="P2587" s="34"/>
      <c r="Q2587" s="31" t="s">
        <v>307</v>
      </c>
      <c r="R2587" s="32">
        <v>37113.0</v>
      </c>
      <c r="S2587" s="31" t="s">
        <v>560</v>
      </c>
      <c r="T2587" s="31" t="s">
        <v>2685</v>
      </c>
      <c r="U2587" s="31" t="s">
        <v>480</v>
      </c>
      <c r="V2587" s="31" t="s">
        <v>5282</v>
      </c>
      <c r="W2587" s="34"/>
    </row>
    <row r="2588">
      <c r="A2588" s="30">
        <v>2.583</v>
      </c>
      <c r="B2588" s="31" t="s">
        <v>10138</v>
      </c>
      <c r="C2588" s="31" t="s">
        <v>5348</v>
      </c>
      <c r="D2588" s="31" t="s">
        <v>472</v>
      </c>
      <c r="E2588" s="31" t="s">
        <v>4414</v>
      </c>
      <c r="F2588" s="32">
        <v>44816.0</v>
      </c>
      <c r="G2588" s="35">
        <v>44877.0</v>
      </c>
      <c r="H2588" s="31" t="s">
        <v>453</v>
      </c>
      <c r="I2588" s="31" t="s">
        <v>607</v>
      </c>
      <c r="J2588" s="31" t="s">
        <v>4415</v>
      </c>
      <c r="K2588" s="31" t="s">
        <v>4416</v>
      </c>
      <c r="L2588" s="31" t="s">
        <v>476</v>
      </c>
      <c r="M2588" s="31" t="s">
        <v>10139</v>
      </c>
      <c r="N2588" s="31" t="s">
        <v>467</v>
      </c>
      <c r="O2588" s="34"/>
      <c r="P2588" s="34"/>
      <c r="Q2588" s="31" t="s">
        <v>307</v>
      </c>
      <c r="R2588" s="32">
        <v>37172.0</v>
      </c>
      <c r="S2588" s="31" t="s">
        <v>560</v>
      </c>
      <c r="T2588" s="31" t="s">
        <v>3167</v>
      </c>
      <c r="U2588" s="31" t="s">
        <v>643</v>
      </c>
      <c r="V2588" s="31" t="s">
        <v>4414</v>
      </c>
      <c r="W2588" s="34"/>
    </row>
    <row r="2589">
      <c r="A2589" s="30">
        <v>2.584</v>
      </c>
      <c r="B2589" s="31" t="s">
        <v>10140</v>
      </c>
      <c r="C2589" s="31" t="s">
        <v>10141</v>
      </c>
      <c r="D2589" s="31" t="s">
        <v>553</v>
      </c>
      <c r="E2589" s="31" t="s">
        <v>2893</v>
      </c>
      <c r="F2589" s="32">
        <v>44816.0</v>
      </c>
      <c r="G2589" s="35">
        <v>44877.0</v>
      </c>
      <c r="H2589" s="31" t="s">
        <v>453</v>
      </c>
      <c r="I2589" s="31" t="s">
        <v>566</v>
      </c>
      <c r="J2589" s="31" t="s">
        <v>2888</v>
      </c>
      <c r="K2589" s="31" t="s">
        <v>2894</v>
      </c>
      <c r="L2589" s="31" t="s">
        <v>558</v>
      </c>
      <c r="M2589" s="31" t="s">
        <v>10142</v>
      </c>
      <c r="N2589" s="31" t="s">
        <v>267</v>
      </c>
      <c r="O2589" s="34"/>
      <c r="P2589" s="34"/>
      <c r="Q2589" s="31" t="s">
        <v>307</v>
      </c>
      <c r="R2589" s="32">
        <v>35906.0</v>
      </c>
      <c r="S2589" s="31" t="s">
        <v>560</v>
      </c>
      <c r="T2589" s="31" t="s">
        <v>1156</v>
      </c>
      <c r="U2589" s="31" t="s">
        <v>480</v>
      </c>
      <c r="V2589" s="31" t="s">
        <v>2893</v>
      </c>
      <c r="W2589" s="34"/>
    </row>
    <row r="2590">
      <c r="A2590" s="30">
        <v>2.585</v>
      </c>
      <c r="B2590" s="31" t="s">
        <v>10143</v>
      </c>
      <c r="C2590" s="31" t="s">
        <v>1440</v>
      </c>
      <c r="D2590" s="31" t="s">
        <v>452</v>
      </c>
      <c r="E2590" s="31" t="s">
        <v>3187</v>
      </c>
      <c r="F2590" s="32">
        <v>44819.0</v>
      </c>
      <c r="G2590" s="35">
        <v>44880.0</v>
      </c>
      <c r="H2590" s="31" t="s">
        <v>453</v>
      </c>
      <c r="I2590" s="31" t="s">
        <v>454</v>
      </c>
      <c r="J2590" s="31" t="s">
        <v>3188</v>
      </c>
      <c r="K2590" s="31" t="s">
        <v>3189</v>
      </c>
      <c r="L2590" s="31" t="s">
        <v>456</v>
      </c>
      <c r="M2590" s="31" t="s">
        <v>10144</v>
      </c>
      <c r="N2590" s="31" t="s">
        <v>467</v>
      </c>
      <c r="O2590" s="34"/>
      <c r="P2590" s="34"/>
      <c r="Q2590" s="31" t="s">
        <v>307</v>
      </c>
      <c r="R2590" s="32">
        <v>33576.0</v>
      </c>
      <c r="S2590" s="31" t="s">
        <v>458</v>
      </c>
      <c r="T2590" s="31" t="s">
        <v>1059</v>
      </c>
      <c r="U2590" s="31" t="s">
        <v>460</v>
      </c>
      <c r="V2590" s="31" t="s">
        <v>3187</v>
      </c>
      <c r="W2590" s="34"/>
    </row>
    <row r="2591">
      <c r="A2591" s="30">
        <v>2.586</v>
      </c>
      <c r="B2591" s="31" t="s">
        <v>10145</v>
      </c>
      <c r="C2591" s="31" t="s">
        <v>10146</v>
      </c>
      <c r="D2591" s="31" t="s">
        <v>472</v>
      </c>
      <c r="E2591" s="31" t="s">
        <v>3246</v>
      </c>
      <c r="F2591" s="32">
        <v>44798.0</v>
      </c>
      <c r="G2591" s="35">
        <v>44859.0</v>
      </c>
      <c r="H2591" s="31" t="s">
        <v>453</v>
      </c>
      <c r="I2591" s="31" t="s">
        <v>607</v>
      </c>
      <c r="J2591" s="31" t="s">
        <v>3247</v>
      </c>
      <c r="K2591" s="31" t="s">
        <v>3248</v>
      </c>
      <c r="L2591" s="31" t="s">
        <v>476</v>
      </c>
      <c r="M2591" s="31" t="s">
        <v>10147</v>
      </c>
      <c r="N2591" s="31" t="s">
        <v>467</v>
      </c>
      <c r="O2591" s="34"/>
      <c r="P2591" s="34"/>
      <c r="Q2591" s="31" t="s">
        <v>307</v>
      </c>
      <c r="R2591" s="32">
        <v>35683.0</v>
      </c>
      <c r="S2591" s="31" t="s">
        <v>560</v>
      </c>
      <c r="T2591" s="31" t="s">
        <v>627</v>
      </c>
      <c r="U2591" s="31" t="s">
        <v>480</v>
      </c>
      <c r="V2591" s="31" t="s">
        <v>3246</v>
      </c>
      <c r="W2591" s="34"/>
    </row>
    <row r="2592">
      <c r="A2592" s="30">
        <v>2.587</v>
      </c>
      <c r="B2592" s="31" t="s">
        <v>10148</v>
      </c>
      <c r="C2592" s="31" t="s">
        <v>10149</v>
      </c>
      <c r="D2592" s="31" t="s">
        <v>472</v>
      </c>
      <c r="E2592" s="31" t="s">
        <v>4895</v>
      </c>
      <c r="F2592" s="32">
        <v>44648.0</v>
      </c>
      <c r="G2592" s="32">
        <v>44709.0</v>
      </c>
      <c r="H2592" s="31" t="s">
        <v>453</v>
      </c>
      <c r="I2592" s="31" t="s">
        <v>454</v>
      </c>
      <c r="J2592" s="31" t="s">
        <v>4823</v>
      </c>
      <c r="K2592" s="31" t="s">
        <v>4896</v>
      </c>
      <c r="L2592" s="31" t="s">
        <v>476</v>
      </c>
      <c r="M2592" s="31" t="s">
        <v>10150</v>
      </c>
      <c r="N2592" s="31" t="s">
        <v>467</v>
      </c>
      <c r="O2592" s="34"/>
      <c r="P2592" s="34"/>
      <c r="Q2592" s="31" t="s">
        <v>307</v>
      </c>
      <c r="R2592" s="32">
        <v>36419.0</v>
      </c>
      <c r="S2592" s="31" t="s">
        <v>1622</v>
      </c>
      <c r="T2592" s="31" t="s">
        <v>496</v>
      </c>
      <c r="U2592" s="31" t="s">
        <v>460</v>
      </c>
      <c r="V2592" s="31" t="s">
        <v>4895</v>
      </c>
      <c r="W2592" s="34"/>
    </row>
    <row r="2593">
      <c r="A2593" s="30">
        <v>2.588</v>
      </c>
      <c r="B2593" s="31" t="s">
        <v>10151</v>
      </c>
      <c r="C2593" s="31" t="s">
        <v>10152</v>
      </c>
      <c r="D2593" s="31" t="s">
        <v>472</v>
      </c>
      <c r="E2593" s="31" t="s">
        <v>4991</v>
      </c>
      <c r="F2593" s="32">
        <v>44280.0</v>
      </c>
      <c r="G2593" s="32">
        <v>44341.0</v>
      </c>
      <c r="H2593" s="31" t="s">
        <v>453</v>
      </c>
      <c r="I2593" s="31" t="s">
        <v>454</v>
      </c>
      <c r="J2593" s="31" t="s">
        <v>3217</v>
      </c>
      <c r="K2593" s="31" t="s">
        <v>4992</v>
      </c>
      <c r="L2593" s="31" t="s">
        <v>476</v>
      </c>
      <c r="M2593" s="31" t="s">
        <v>10153</v>
      </c>
      <c r="N2593" s="31" t="s">
        <v>467</v>
      </c>
      <c r="O2593" s="34"/>
      <c r="P2593" s="34"/>
      <c r="Q2593" s="31" t="s">
        <v>307</v>
      </c>
      <c r="R2593" s="32">
        <v>35815.0</v>
      </c>
      <c r="S2593" s="31" t="s">
        <v>560</v>
      </c>
      <c r="T2593" s="31" t="s">
        <v>752</v>
      </c>
      <c r="U2593" s="31" t="s">
        <v>480</v>
      </c>
      <c r="V2593" s="31" t="s">
        <v>4991</v>
      </c>
      <c r="W2593" s="34"/>
    </row>
    <row r="2594">
      <c r="A2594" s="30">
        <v>2.589</v>
      </c>
      <c r="B2594" s="31" t="s">
        <v>10154</v>
      </c>
      <c r="C2594" s="31" t="s">
        <v>10155</v>
      </c>
      <c r="D2594" s="31" t="s">
        <v>472</v>
      </c>
      <c r="E2594" s="31" t="s">
        <v>2681</v>
      </c>
      <c r="F2594" s="32">
        <v>44280.0</v>
      </c>
      <c r="G2594" s="32">
        <v>44341.0</v>
      </c>
      <c r="H2594" s="31" t="s">
        <v>453</v>
      </c>
      <c r="I2594" s="31" t="s">
        <v>454</v>
      </c>
      <c r="J2594" s="31" t="s">
        <v>2682</v>
      </c>
      <c r="K2594" s="31" t="s">
        <v>2683</v>
      </c>
      <c r="L2594" s="31" t="s">
        <v>476</v>
      </c>
      <c r="M2594" s="31" t="s">
        <v>10156</v>
      </c>
      <c r="N2594" s="31" t="s">
        <v>467</v>
      </c>
      <c r="O2594" s="34"/>
      <c r="P2594" s="34"/>
      <c r="Q2594" s="31" t="s">
        <v>307</v>
      </c>
      <c r="R2594" s="32">
        <v>36589.0</v>
      </c>
      <c r="S2594" s="31" t="s">
        <v>560</v>
      </c>
      <c r="T2594" s="31" t="s">
        <v>479</v>
      </c>
      <c r="U2594" s="31" t="s">
        <v>480</v>
      </c>
      <c r="V2594" s="31" t="s">
        <v>2681</v>
      </c>
      <c r="W2594" s="34"/>
    </row>
    <row r="2595">
      <c r="A2595" s="30">
        <v>2.59</v>
      </c>
      <c r="B2595" s="31" t="s">
        <v>10157</v>
      </c>
      <c r="C2595" s="31" t="s">
        <v>10158</v>
      </c>
      <c r="D2595" s="31" t="s">
        <v>472</v>
      </c>
      <c r="E2595" s="31" t="s">
        <v>3603</v>
      </c>
      <c r="F2595" s="32">
        <v>44280.0</v>
      </c>
      <c r="G2595" s="32">
        <v>44341.0</v>
      </c>
      <c r="H2595" s="31" t="s">
        <v>453</v>
      </c>
      <c r="I2595" s="31" t="s">
        <v>454</v>
      </c>
      <c r="J2595" s="31" t="s">
        <v>3604</v>
      </c>
      <c r="K2595" s="31" t="s">
        <v>3605</v>
      </c>
      <c r="L2595" s="31" t="s">
        <v>476</v>
      </c>
      <c r="M2595" s="31" t="s">
        <v>10159</v>
      </c>
      <c r="N2595" s="31" t="s">
        <v>467</v>
      </c>
      <c r="O2595" s="34"/>
      <c r="P2595" s="34"/>
      <c r="Q2595" s="31" t="s">
        <v>307</v>
      </c>
      <c r="R2595" s="32">
        <v>36771.0</v>
      </c>
      <c r="S2595" s="31" t="s">
        <v>1622</v>
      </c>
      <c r="T2595" s="31" t="s">
        <v>503</v>
      </c>
      <c r="U2595" s="31" t="s">
        <v>480</v>
      </c>
      <c r="V2595" s="31" t="s">
        <v>3603</v>
      </c>
      <c r="W2595" s="34"/>
    </row>
    <row r="2596">
      <c r="A2596" s="30">
        <v>2.591</v>
      </c>
      <c r="B2596" s="31" t="s">
        <v>10160</v>
      </c>
      <c r="C2596" s="31" t="s">
        <v>10161</v>
      </c>
      <c r="D2596" s="31" t="s">
        <v>472</v>
      </c>
      <c r="E2596" s="31" t="s">
        <v>2696</v>
      </c>
      <c r="F2596" s="32">
        <v>44280.0</v>
      </c>
      <c r="G2596" s="32">
        <v>44341.0</v>
      </c>
      <c r="H2596" s="31" t="s">
        <v>453</v>
      </c>
      <c r="I2596" s="31" t="s">
        <v>607</v>
      </c>
      <c r="J2596" s="31" t="s">
        <v>2697</v>
      </c>
      <c r="K2596" s="31" t="s">
        <v>2698</v>
      </c>
      <c r="L2596" s="31" t="s">
        <v>476</v>
      </c>
      <c r="M2596" s="31" t="s">
        <v>10162</v>
      </c>
      <c r="N2596" s="31" t="s">
        <v>467</v>
      </c>
      <c r="O2596" s="34"/>
      <c r="P2596" s="34"/>
      <c r="Q2596" s="31" t="s">
        <v>307</v>
      </c>
      <c r="R2596" s="32">
        <v>36359.0</v>
      </c>
      <c r="S2596" s="31" t="s">
        <v>560</v>
      </c>
      <c r="T2596" s="31" t="s">
        <v>479</v>
      </c>
      <c r="U2596" s="31" t="s">
        <v>643</v>
      </c>
      <c r="V2596" s="31" t="s">
        <v>2696</v>
      </c>
      <c r="W2596" s="34"/>
    </row>
    <row r="2597">
      <c r="A2597" s="30">
        <v>2.592</v>
      </c>
      <c r="B2597" s="31" t="s">
        <v>10163</v>
      </c>
      <c r="C2597" s="31" t="s">
        <v>10164</v>
      </c>
      <c r="D2597" s="31" t="s">
        <v>472</v>
      </c>
      <c r="E2597" s="31" t="s">
        <v>4983</v>
      </c>
      <c r="F2597" s="32">
        <v>44277.0</v>
      </c>
      <c r="G2597" s="32">
        <v>44338.0</v>
      </c>
      <c r="H2597" s="31" t="s">
        <v>453</v>
      </c>
      <c r="I2597" s="31" t="s">
        <v>4330</v>
      </c>
      <c r="J2597" s="31" t="s">
        <v>4331</v>
      </c>
      <c r="K2597" s="31" t="s">
        <v>4984</v>
      </c>
      <c r="L2597" s="31" t="s">
        <v>476</v>
      </c>
      <c r="M2597" s="31" t="s">
        <v>10165</v>
      </c>
      <c r="N2597" s="31" t="s">
        <v>467</v>
      </c>
      <c r="O2597" s="34"/>
      <c r="P2597" s="34"/>
      <c r="Q2597" s="31" t="s">
        <v>307</v>
      </c>
      <c r="R2597" s="32">
        <v>36302.0</v>
      </c>
      <c r="S2597" s="31" t="s">
        <v>560</v>
      </c>
      <c r="T2597" s="31" t="s">
        <v>503</v>
      </c>
      <c r="U2597" s="31" t="s">
        <v>460</v>
      </c>
      <c r="V2597" s="31" t="s">
        <v>4983</v>
      </c>
      <c r="W2597" s="34"/>
    </row>
    <row r="2598">
      <c r="A2598" s="30">
        <v>2.593</v>
      </c>
      <c r="B2598" s="31" t="s">
        <v>10166</v>
      </c>
      <c r="C2598" s="31" t="s">
        <v>10167</v>
      </c>
      <c r="D2598" s="31" t="s">
        <v>472</v>
      </c>
      <c r="E2598" s="31" t="s">
        <v>4379</v>
      </c>
      <c r="F2598" s="32">
        <v>43906.0</v>
      </c>
      <c r="G2598" s="32">
        <v>43967.0</v>
      </c>
      <c r="H2598" s="31" t="s">
        <v>453</v>
      </c>
      <c r="I2598" s="31" t="s">
        <v>607</v>
      </c>
      <c r="J2598" s="31" t="s">
        <v>4380</v>
      </c>
      <c r="K2598" s="31" t="s">
        <v>4381</v>
      </c>
      <c r="L2598" s="31" t="s">
        <v>476</v>
      </c>
      <c r="M2598" s="31" t="s">
        <v>10168</v>
      </c>
      <c r="N2598" s="31" t="s">
        <v>467</v>
      </c>
      <c r="O2598" s="34"/>
      <c r="P2598" s="34"/>
      <c r="Q2598" s="31" t="s">
        <v>307</v>
      </c>
      <c r="R2598" s="32">
        <v>36378.0</v>
      </c>
      <c r="S2598" s="31" t="s">
        <v>560</v>
      </c>
      <c r="T2598" s="31" t="s">
        <v>503</v>
      </c>
      <c r="U2598" s="31" t="s">
        <v>643</v>
      </c>
      <c r="V2598" s="31" t="s">
        <v>4379</v>
      </c>
      <c r="W2598" s="34"/>
    </row>
    <row r="2599">
      <c r="A2599" s="30">
        <v>2.594</v>
      </c>
      <c r="B2599" s="31" t="s">
        <v>10169</v>
      </c>
      <c r="C2599" s="31" t="s">
        <v>10170</v>
      </c>
      <c r="D2599" s="31" t="s">
        <v>4828</v>
      </c>
      <c r="E2599" s="31" t="s">
        <v>3603</v>
      </c>
      <c r="F2599" s="32">
        <v>43507.0</v>
      </c>
      <c r="G2599" s="32">
        <v>43566.0</v>
      </c>
      <c r="H2599" s="31" t="s">
        <v>453</v>
      </c>
      <c r="I2599" s="31" t="s">
        <v>454</v>
      </c>
      <c r="J2599" s="31" t="s">
        <v>3604</v>
      </c>
      <c r="K2599" s="31" t="s">
        <v>3605</v>
      </c>
      <c r="L2599" s="31" t="s">
        <v>4829</v>
      </c>
      <c r="M2599" s="31" t="s">
        <v>10171</v>
      </c>
      <c r="N2599" s="31" t="s">
        <v>267</v>
      </c>
      <c r="O2599" s="31">
        <v>1.0</v>
      </c>
      <c r="P2599" s="34"/>
      <c r="Q2599" s="31" t="s">
        <v>307</v>
      </c>
      <c r="R2599" s="32">
        <v>33273.0</v>
      </c>
      <c r="S2599" s="31" t="s">
        <v>560</v>
      </c>
      <c r="T2599" s="31" t="s">
        <v>672</v>
      </c>
      <c r="U2599" s="31" t="s">
        <v>480</v>
      </c>
      <c r="V2599" s="31" t="s">
        <v>3603</v>
      </c>
      <c r="W2599" s="34"/>
    </row>
    <row r="2600">
      <c r="A2600" s="30">
        <v>2.595</v>
      </c>
      <c r="B2600" s="31" t="s">
        <v>10172</v>
      </c>
      <c r="C2600" s="31" t="s">
        <v>10173</v>
      </c>
      <c r="D2600" s="31" t="s">
        <v>472</v>
      </c>
      <c r="E2600" s="31" t="s">
        <v>2902</v>
      </c>
      <c r="F2600" s="32">
        <v>44333.0</v>
      </c>
      <c r="G2600" s="32">
        <v>44394.0</v>
      </c>
      <c r="H2600" s="31" t="s">
        <v>453</v>
      </c>
      <c r="I2600" s="31" t="s">
        <v>454</v>
      </c>
      <c r="J2600" s="31" t="s">
        <v>2903</v>
      </c>
      <c r="K2600" s="31" t="s">
        <v>2904</v>
      </c>
      <c r="L2600" s="31" t="s">
        <v>476</v>
      </c>
      <c r="M2600" s="31" t="s">
        <v>10174</v>
      </c>
      <c r="N2600" s="31" t="s">
        <v>467</v>
      </c>
      <c r="O2600" s="34"/>
      <c r="P2600" s="34"/>
      <c r="Q2600" s="31" t="s">
        <v>307</v>
      </c>
      <c r="R2600" s="32">
        <v>36331.0</v>
      </c>
      <c r="S2600" s="31" t="s">
        <v>591</v>
      </c>
      <c r="T2600" s="31" t="s">
        <v>3090</v>
      </c>
      <c r="U2600" s="31" t="s">
        <v>480</v>
      </c>
      <c r="V2600" s="31" t="s">
        <v>2902</v>
      </c>
      <c r="W2600" s="34"/>
    </row>
    <row r="2601">
      <c r="A2601" s="30">
        <v>2.596</v>
      </c>
      <c r="B2601" s="31" t="s">
        <v>10175</v>
      </c>
      <c r="C2601" s="31" t="s">
        <v>10176</v>
      </c>
      <c r="D2601" s="31" t="s">
        <v>472</v>
      </c>
      <c r="E2601" s="31" t="s">
        <v>3377</v>
      </c>
      <c r="F2601" s="35">
        <v>43815.0</v>
      </c>
      <c r="G2601" s="32">
        <v>43877.0</v>
      </c>
      <c r="H2601" s="31" t="s">
        <v>453</v>
      </c>
      <c r="I2601" s="31" t="s">
        <v>454</v>
      </c>
      <c r="J2601" s="31" t="s">
        <v>3378</v>
      </c>
      <c r="K2601" s="31" t="s">
        <v>3379</v>
      </c>
      <c r="L2601" s="31" t="s">
        <v>476</v>
      </c>
      <c r="M2601" s="31" t="s">
        <v>10177</v>
      </c>
      <c r="N2601" s="31" t="s">
        <v>467</v>
      </c>
      <c r="O2601" s="34"/>
      <c r="P2601" s="34"/>
      <c r="Q2601" s="31" t="s">
        <v>307</v>
      </c>
      <c r="R2601" s="32">
        <v>35845.0</v>
      </c>
      <c r="S2601" s="31" t="s">
        <v>560</v>
      </c>
      <c r="T2601" s="31" t="s">
        <v>503</v>
      </c>
      <c r="U2601" s="31" t="s">
        <v>460</v>
      </c>
      <c r="V2601" s="31" t="s">
        <v>3377</v>
      </c>
      <c r="W2601" s="34"/>
    </row>
    <row r="2602">
      <c r="A2602" s="30">
        <v>2.597</v>
      </c>
      <c r="B2602" s="31" t="s">
        <v>10178</v>
      </c>
      <c r="C2602" s="31" t="s">
        <v>10179</v>
      </c>
      <c r="D2602" s="31" t="s">
        <v>4394</v>
      </c>
      <c r="E2602" s="31" t="s">
        <v>39</v>
      </c>
      <c r="F2602" s="32">
        <v>42226.0</v>
      </c>
      <c r="G2602" s="35">
        <v>42287.0</v>
      </c>
      <c r="H2602" s="31" t="s">
        <v>453</v>
      </c>
      <c r="I2602" s="31" t="s">
        <v>39</v>
      </c>
      <c r="J2602" s="34"/>
      <c r="K2602" s="31" t="s">
        <v>4881</v>
      </c>
      <c r="L2602" s="31" t="s">
        <v>4396</v>
      </c>
      <c r="M2602" s="31" t="s">
        <v>10180</v>
      </c>
      <c r="N2602" s="31" t="s">
        <v>267</v>
      </c>
      <c r="O2602" s="34"/>
      <c r="P2602" s="34"/>
      <c r="Q2602" s="31" t="s">
        <v>307</v>
      </c>
      <c r="R2602" s="32">
        <v>30802.0</v>
      </c>
      <c r="S2602" s="31" t="s">
        <v>560</v>
      </c>
      <c r="T2602" s="31" t="s">
        <v>828</v>
      </c>
      <c r="U2602" s="31" t="s">
        <v>480</v>
      </c>
      <c r="V2602" s="34"/>
      <c r="W2602" s="34"/>
    </row>
    <row r="2603">
      <c r="A2603" s="30">
        <v>2.598</v>
      </c>
      <c r="B2603" s="31" t="s">
        <v>10181</v>
      </c>
      <c r="C2603" s="31" t="s">
        <v>5179</v>
      </c>
      <c r="D2603" s="31" t="s">
        <v>472</v>
      </c>
      <c r="E2603" s="31" t="s">
        <v>3419</v>
      </c>
      <c r="F2603" s="32">
        <v>43605.0</v>
      </c>
      <c r="G2603" s="32">
        <v>43666.0</v>
      </c>
      <c r="H2603" s="31" t="s">
        <v>453</v>
      </c>
      <c r="I2603" s="31" t="s">
        <v>454</v>
      </c>
      <c r="J2603" s="31" t="s">
        <v>3188</v>
      </c>
      <c r="K2603" s="31" t="s">
        <v>3420</v>
      </c>
      <c r="L2603" s="31" t="s">
        <v>476</v>
      </c>
      <c r="M2603" s="31" t="s">
        <v>10182</v>
      </c>
      <c r="N2603" s="31" t="s">
        <v>467</v>
      </c>
      <c r="O2603" s="34"/>
      <c r="P2603" s="34"/>
      <c r="Q2603" s="31" t="s">
        <v>307</v>
      </c>
      <c r="R2603" s="32">
        <v>35466.0</v>
      </c>
      <c r="S2603" s="31" t="s">
        <v>468</v>
      </c>
      <c r="T2603" s="31" t="s">
        <v>4337</v>
      </c>
      <c r="U2603" s="31" t="s">
        <v>460</v>
      </c>
      <c r="V2603" s="31" t="s">
        <v>3419</v>
      </c>
      <c r="W2603" s="34"/>
    </row>
    <row r="2604">
      <c r="A2604" s="30">
        <v>2.599</v>
      </c>
      <c r="B2604" s="31" t="s">
        <v>10183</v>
      </c>
      <c r="C2604" s="31" t="s">
        <v>10184</v>
      </c>
      <c r="D2604" s="31" t="s">
        <v>472</v>
      </c>
      <c r="E2604" s="31" t="s">
        <v>5091</v>
      </c>
      <c r="F2604" s="32">
        <v>44641.0</v>
      </c>
      <c r="G2604" s="32">
        <v>44702.0</v>
      </c>
      <c r="H2604" s="31" t="s">
        <v>453</v>
      </c>
      <c r="I2604" s="31" t="s">
        <v>2835</v>
      </c>
      <c r="J2604" s="31" t="s">
        <v>4612</v>
      </c>
      <c r="K2604" s="31" t="s">
        <v>5092</v>
      </c>
      <c r="L2604" s="31" t="s">
        <v>476</v>
      </c>
      <c r="M2604" s="31" t="s">
        <v>10185</v>
      </c>
      <c r="N2604" s="31" t="s">
        <v>467</v>
      </c>
      <c r="O2604" s="34"/>
      <c r="P2604" s="34"/>
      <c r="Q2604" s="31" t="s">
        <v>307</v>
      </c>
      <c r="R2604" s="32">
        <v>36694.0</v>
      </c>
      <c r="S2604" s="31" t="s">
        <v>560</v>
      </c>
      <c r="T2604" s="31" t="s">
        <v>503</v>
      </c>
      <c r="U2604" s="31" t="s">
        <v>480</v>
      </c>
      <c r="V2604" s="31" t="s">
        <v>5091</v>
      </c>
      <c r="W2604" s="34"/>
    </row>
    <row r="2605">
      <c r="A2605" s="30">
        <v>2.6</v>
      </c>
      <c r="B2605" s="31" t="s">
        <v>10186</v>
      </c>
      <c r="C2605" s="31" t="s">
        <v>10187</v>
      </c>
      <c r="D2605" s="31" t="s">
        <v>553</v>
      </c>
      <c r="E2605" s="31" t="s">
        <v>2696</v>
      </c>
      <c r="F2605" s="32">
        <v>44354.0</v>
      </c>
      <c r="G2605" s="32">
        <v>44415.0</v>
      </c>
      <c r="H2605" s="31" t="s">
        <v>453</v>
      </c>
      <c r="I2605" s="31" t="s">
        <v>607</v>
      </c>
      <c r="J2605" s="31" t="s">
        <v>2697</v>
      </c>
      <c r="K2605" s="31" t="s">
        <v>2698</v>
      </c>
      <c r="L2605" s="31" t="s">
        <v>558</v>
      </c>
      <c r="M2605" s="31" t="s">
        <v>10188</v>
      </c>
      <c r="N2605" s="31" t="s">
        <v>267</v>
      </c>
      <c r="O2605" s="34"/>
      <c r="P2605" s="34"/>
      <c r="Q2605" s="31" t="s">
        <v>307</v>
      </c>
      <c r="R2605" s="35">
        <v>33539.0</v>
      </c>
      <c r="S2605" s="31" t="s">
        <v>700</v>
      </c>
      <c r="T2605" s="31" t="s">
        <v>686</v>
      </c>
      <c r="U2605" s="31" t="s">
        <v>643</v>
      </c>
      <c r="V2605" s="31" t="s">
        <v>2696</v>
      </c>
      <c r="W2605" s="34"/>
    </row>
    <row r="2606">
      <c r="A2606" s="30">
        <v>2.601</v>
      </c>
      <c r="B2606" s="31" t="s">
        <v>10189</v>
      </c>
      <c r="C2606" s="31" t="s">
        <v>10190</v>
      </c>
      <c r="D2606" s="31" t="s">
        <v>10191</v>
      </c>
      <c r="E2606" s="31" t="s">
        <v>41</v>
      </c>
      <c r="F2606" s="32">
        <v>40360.0</v>
      </c>
      <c r="G2606" s="32">
        <v>40422.0</v>
      </c>
      <c r="H2606" s="31" t="s">
        <v>453</v>
      </c>
      <c r="I2606" s="31" t="s">
        <v>41</v>
      </c>
      <c r="J2606" s="34"/>
      <c r="K2606" s="31" t="s">
        <v>623</v>
      </c>
      <c r="L2606" s="31" t="s">
        <v>10192</v>
      </c>
      <c r="M2606" s="31" t="s">
        <v>10193</v>
      </c>
      <c r="N2606" s="31" t="s">
        <v>267</v>
      </c>
      <c r="O2606" s="31">
        <v>2.0</v>
      </c>
      <c r="P2606" s="34"/>
      <c r="Q2606" s="31" t="s">
        <v>307</v>
      </c>
      <c r="R2606" s="32">
        <v>31926.0</v>
      </c>
      <c r="S2606" s="31" t="s">
        <v>626</v>
      </c>
      <c r="T2606" s="31" t="s">
        <v>1093</v>
      </c>
      <c r="U2606" s="31" t="s">
        <v>480</v>
      </c>
      <c r="V2606" s="34"/>
      <c r="W2606" s="34"/>
    </row>
    <row r="2607">
      <c r="A2607" s="30">
        <v>2.602</v>
      </c>
      <c r="B2607" s="31" t="s">
        <v>10194</v>
      </c>
      <c r="C2607" s="31" t="s">
        <v>10195</v>
      </c>
      <c r="D2607" s="31" t="s">
        <v>472</v>
      </c>
      <c r="E2607" s="31" t="s">
        <v>4822</v>
      </c>
      <c r="F2607" s="35">
        <v>44490.0</v>
      </c>
      <c r="G2607" s="35">
        <v>44551.0</v>
      </c>
      <c r="H2607" s="31" t="s">
        <v>453</v>
      </c>
      <c r="I2607" s="31" t="s">
        <v>454</v>
      </c>
      <c r="J2607" s="31" t="s">
        <v>4823</v>
      </c>
      <c r="K2607" s="31" t="s">
        <v>4824</v>
      </c>
      <c r="L2607" s="31" t="s">
        <v>476</v>
      </c>
      <c r="M2607" s="31" t="s">
        <v>10196</v>
      </c>
      <c r="N2607" s="31" t="s">
        <v>267</v>
      </c>
      <c r="O2607" s="34"/>
      <c r="P2607" s="34"/>
      <c r="Q2607" s="31" t="s">
        <v>307</v>
      </c>
      <c r="R2607" s="32">
        <v>36163.0</v>
      </c>
      <c r="S2607" s="31" t="s">
        <v>502</v>
      </c>
      <c r="T2607" s="31" t="s">
        <v>469</v>
      </c>
      <c r="U2607" s="31" t="s">
        <v>460</v>
      </c>
      <c r="V2607" s="31" t="s">
        <v>4822</v>
      </c>
      <c r="W2607" s="34"/>
    </row>
    <row r="2608">
      <c r="A2608" s="30">
        <v>2.603</v>
      </c>
      <c r="B2608" s="31" t="s">
        <v>10197</v>
      </c>
      <c r="C2608" s="31" t="s">
        <v>10198</v>
      </c>
      <c r="D2608" s="31" t="s">
        <v>2422</v>
      </c>
      <c r="E2608" s="31" t="s">
        <v>38</v>
      </c>
      <c r="F2608" s="32">
        <v>39097.0</v>
      </c>
      <c r="G2608" s="32">
        <v>39187.0</v>
      </c>
      <c r="H2608" s="31" t="s">
        <v>453</v>
      </c>
      <c r="I2608" s="31" t="s">
        <v>2717</v>
      </c>
      <c r="J2608" s="31" t="s">
        <v>38</v>
      </c>
      <c r="K2608" s="31" t="s">
        <v>2718</v>
      </c>
      <c r="L2608" s="31" t="s">
        <v>2424</v>
      </c>
      <c r="M2608" s="31" t="s">
        <v>10199</v>
      </c>
      <c r="N2608" s="31" t="s">
        <v>267</v>
      </c>
      <c r="O2608" s="34"/>
      <c r="P2608" s="34"/>
      <c r="Q2608" s="31" t="s">
        <v>307</v>
      </c>
      <c r="R2608" s="32">
        <v>30441.0</v>
      </c>
      <c r="S2608" s="31" t="s">
        <v>320</v>
      </c>
      <c r="T2608" s="31" t="s">
        <v>744</v>
      </c>
      <c r="U2608" s="31" t="s">
        <v>480</v>
      </c>
      <c r="V2608" s="34"/>
      <c r="W2608" s="34"/>
    </row>
    <row r="2609">
      <c r="A2609" s="30">
        <v>2.604</v>
      </c>
      <c r="B2609" s="31" t="s">
        <v>10200</v>
      </c>
      <c r="C2609" s="31" t="s">
        <v>10201</v>
      </c>
      <c r="D2609" s="31" t="s">
        <v>4747</v>
      </c>
      <c r="E2609" s="31" t="s">
        <v>3419</v>
      </c>
      <c r="F2609" s="32">
        <v>39890.0</v>
      </c>
      <c r="G2609" s="32">
        <v>39951.0</v>
      </c>
      <c r="H2609" s="31" t="s">
        <v>453</v>
      </c>
      <c r="I2609" s="31" t="s">
        <v>454</v>
      </c>
      <c r="J2609" s="31" t="s">
        <v>3188</v>
      </c>
      <c r="K2609" s="31" t="s">
        <v>3420</v>
      </c>
      <c r="L2609" s="31" t="s">
        <v>4748</v>
      </c>
      <c r="M2609" s="31" t="s">
        <v>10202</v>
      </c>
      <c r="N2609" s="31" t="s">
        <v>467</v>
      </c>
      <c r="O2609" s="34"/>
      <c r="P2609" s="34"/>
      <c r="Q2609" s="31" t="s">
        <v>307</v>
      </c>
      <c r="R2609" s="32">
        <v>31214.0</v>
      </c>
      <c r="S2609" s="31" t="s">
        <v>560</v>
      </c>
      <c r="T2609" s="31" t="s">
        <v>3295</v>
      </c>
      <c r="U2609" s="31" t="s">
        <v>460</v>
      </c>
      <c r="V2609" s="31" t="s">
        <v>3419</v>
      </c>
      <c r="W2609" s="34"/>
    </row>
    <row r="2610">
      <c r="A2610" s="30">
        <v>2.605</v>
      </c>
      <c r="B2610" s="31" t="s">
        <v>10203</v>
      </c>
      <c r="C2610" s="31" t="s">
        <v>10204</v>
      </c>
      <c r="D2610" s="31" t="s">
        <v>472</v>
      </c>
      <c r="E2610" s="31" t="s">
        <v>2834</v>
      </c>
      <c r="F2610" s="32">
        <v>44774.0</v>
      </c>
      <c r="G2610" s="32">
        <v>44835.0</v>
      </c>
      <c r="H2610" s="31" t="s">
        <v>453</v>
      </c>
      <c r="I2610" s="31" t="s">
        <v>2835</v>
      </c>
      <c r="J2610" s="31" t="s">
        <v>2836</v>
      </c>
      <c r="K2610" s="31" t="s">
        <v>2837</v>
      </c>
      <c r="L2610" s="31" t="s">
        <v>476</v>
      </c>
      <c r="M2610" s="31" t="s">
        <v>10205</v>
      </c>
      <c r="N2610" s="31" t="s">
        <v>467</v>
      </c>
      <c r="O2610" s="34"/>
      <c r="P2610" s="34"/>
      <c r="Q2610" s="31" t="s">
        <v>307</v>
      </c>
      <c r="R2610" s="35">
        <v>35764.0</v>
      </c>
      <c r="S2610" s="31" t="s">
        <v>560</v>
      </c>
      <c r="T2610" s="31" t="s">
        <v>10206</v>
      </c>
      <c r="U2610" s="31" t="s">
        <v>480</v>
      </c>
      <c r="V2610" s="31" t="s">
        <v>2834</v>
      </c>
      <c r="W2610" s="34"/>
    </row>
    <row r="2611">
      <c r="A2611" s="30">
        <v>2.606</v>
      </c>
      <c r="B2611" s="31" t="s">
        <v>10207</v>
      </c>
      <c r="C2611" s="31" t="s">
        <v>10208</v>
      </c>
      <c r="D2611" s="31" t="s">
        <v>3222</v>
      </c>
      <c r="E2611" s="31" t="s">
        <v>5620</v>
      </c>
      <c r="F2611" s="32">
        <v>44777.0</v>
      </c>
      <c r="G2611" s="32">
        <v>44838.0</v>
      </c>
      <c r="H2611" s="31" t="s">
        <v>453</v>
      </c>
      <c r="I2611" s="31" t="s">
        <v>607</v>
      </c>
      <c r="J2611" s="31" t="s">
        <v>4380</v>
      </c>
      <c r="K2611" s="31" t="s">
        <v>5621</v>
      </c>
      <c r="L2611" s="31" t="s">
        <v>3223</v>
      </c>
      <c r="M2611" s="31" t="s">
        <v>10209</v>
      </c>
      <c r="N2611" s="31" t="s">
        <v>267</v>
      </c>
      <c r="O2611" s="34"/>
      <c r="P2611" s="34"/>
      <c r="Q2611" s="31" t="s">
        <v>307</v>
      </c>
      <c r="R2611" s="32">
        <v>34802.0</v>
      </c>
      <c r="S2611" s="31" t="s">
        <v>9333</v>
      </c>
      <c r="T2611" s="31" t="s">
        <v>3116</v>
      </c>
      <c r="U2611" s="31" t="s">
        <v>643</v>
      </c>
      <c r="V2611" s="31" t="s">
        <v>5620</v>
      </c>
      <c r="W2611" s="34"/>
    </row>
    <row r="2612">
      <c r="A2612" s="30">
        <v>2.607</v>
      </c>
      <c r="B2612" s="31" t="s">
        <v>10210</v>
      </c>
      <c r="C2612" s="31" t="s">
        <v>10211</v>
      </c>
      <c r="D2612" s="31" t="s">
        <v>3162</v>
      </c>
      <c r="E2612" s="31" t="s">
        <v>3163</v>
      </c>
      <c r="F2612" s="32">
        <v>44781.0</v>
      </c>
      <c r="G2612" s="32">
        <v>44842.0</v>
      </c>
      <c r="H2612" s="31" t="s">
        <v>453</v>
      </c>
      <c r="I2612" s="31" t="s">
        <v>454</v>
      </c>
      <c r="J2612" s="31" t="s">
        <v>3163</v>
      </c>
      <c r="K2612" s="31" t="s">
        <v>3164</v>
      </c>
      <c r="L2612" s="31" t="s">
        <v>3165</v>
      </c>
      <c r="M2612" s="31" t="s">
        <v>10212</v>
      </c>
      <c r="N2612" s="31" t="s">
        <v>467</v>
      </c>
      <c r="O2612" s="34"/>
      <c r="P2612" s="34"/>
      <c r="Q2612" s="31" t="s">
        <v>307</v>
      </c>
      <c r="R2612" s="32">
        <v>33462.0</v>
      </c>
      <c r="S2612" s="31" t="s">
        <v>3096</v>
      </c>
      <c r="T2612" s="31" t="s">
        <v>2672</v>
      </c>
      <c r="U2612" s="31" t="s">
        <v>460</v>
      </c>
      <c r="V2612" s="34"/>
      <c r="W2612" s="34"/>
    </row>
    <row r="2613">
      <c r="A2613" s="30">
        <v>2.608</v>
      </c>
      <c r="B2613" s="31" t="s">
        <v>10213</v>
      </c>
      <c r="C2613" s="31" t="s">
        <v>913</v>
      </c>
      <c r="D2613" s="31" t="s">
        <v>452</v>
      </c>
      <c r="E2613" s="31" t="s">
        <v>10214</v>
      </c>
      <c r="F2613" s="32">
        <v>44784.0</v>
      </c>
      <c r="G2613" s="35">
        <v>44845.0</v>
      </c>
      <c r="H2613" s="31" t="s">
        <v>453</v>
      </c>
      <c r="I2613" s="31" t="s">
        <v>454</v>
      </c>
      <c r="J2613" s="31" t="s">
        <v>3604</v>
      </c>
      <c r="K2613" s="31" t="s">
        <v>10215</v>
      </c>
      <c r="L2613" s="31" t="s">
        <v>456</v>
      </c>
      <c r="M2613" s="31" t="s">
        <v>10216</v>
      </c>
      <c r="N2613" s="31" t="s">
        <v>267</v>
      </c>
      <c r="O2613" s="34"/>
      <c r="P2613" s="34"/>
      <c r="Q2613" s="31" t="s">
        <v>307</v>
      </c>
      <c r="R2613" s="32">
        <v>36992.0</v>
      </c>
      <c r="S2613" s="31" t="s">
        <v>5607</v>
      </c>
      <c r="T2613" s="31" t="s">
        <v>985</v>
      </c>
      <c r="U2613" s="31" t="s">
        <v>480</v>
      </c>
      <c r="V2613" s="31" t="s">
        <v>10214</v>
      </c>
      <c r="W2613" s="34"/>
    </row>
    <row r="2614">
      <c r="A2614" s="30">
        <v>2.609</v>
      </c>
      <c r="B2614" s="31" t="s">
        <v>10217</v>
      </c>
      <c r="C2614" s="31" t="s">
        <v>6601</v>
      </c>
      <c r="D2614" s="31" t="s">
        <v>472</v>
      </c>
      <c r="E2614" s="31" t="s">
        <v>5008</v>
      </c>
      <c r="F2614" s="32">
        <v>44781.0</v>
      </c>
      <c r="G2614" s="32">
        <v>44842.0</v>
      </c>
      <c r="H2614" s="31" t="s">
        <v>453</v>
      </c>
      <c r="I2614" s="31" t="s">
        <v>607</v>
      </c>
      <c r="J2614" s="31" t="s">
        <v>5009</v>
      </c>
      <c r="K2614" s="31" t="s">
        <v>5010</v>
      </c>
      <c r="L2614" s="31" t="s">
        <v>476</v>
      </c>
      <c r="M2614" s="31" t="s">
        <v>10218</v>
      </c>
      <c r="N2614" s="31" t="s">
        <v>467</v>
      </c>
      <c r="O2614" s="34"/>
      <c r="P2614" s="34"/>
      <c r="Q2614" s="31" t="s">
        <v>307</v>
      </c>
      <c r="R2614" s="32">
        <v>35607.0</v>
      </c>
      <c r="S2614" s="31" t="s">
        <v>10219</v>
      </c>
      <c r="T2614" s="31" t="s">
        <v>627</v>
      </c>
      <c r="U2614" s="31" t="s">
        <v>643</v>
      </c>
      <c r="V2614" s="31" t="s">
        <v>5008</v>
      </c>
      <c r="W2614" s="34"/>
    </row>
    <row r="2615">
      <c r="A2615" s="30">
        <v>2.61</v>
      </c>
      <c r="B2615" s="31" t="s">
        <v>10220</v>
      </c>
      <c r="C2615" s="31" t="s">
        <v>10221</v>
      </c>
      <c r="D2615" s="31" t="s">
        <v>472</v>
      </c>
      <c r="E2615" s="31" t="s">
        <v>2651</v>
      </c>
      <c r="F2615" s="32">
        <v>44774.0</v>
      </c>
      <c r="G2615" s="32">
        <v>44835.0</v>
      </c>
      <c r="H2615" s="31" t="s">
        <v>453</v>
      </c>
      <c r="I2615" s="31" t="s">
        <v>566</v>
      </c>
      <c r="J2615" s="31" t="s">
        <v>567</v>
      </c>
      <c r="K2615" s="31" t="s">
        <v>2652</v>
      </c>
      <c r="L2615" s="31" t="s">
        <v>476</v>
      </c>
      <c r="M2615" s="31" t="s">
        <v>10222</v>
      </c>
      <c r="N2615" s="31" t="s">
        <v>467</v>
      </c>
      <c r="O2615" s="34"/>
      <c r="P2615" s="34"/>
      <c r="Q2615" s="31" t="s">
        <v>307</v>
      </c>
      <c r="R2615" s="32">
        <v>36703.0</v>
      </c>
      <c r="S2615" s="31" t="s">
        <v>560</v>
      </c>
      <c r="T2615" s="31" t="s">
        <v>3748</v>
      </c>
      <c r="U2615" s="31" t="s">
        <v>480</v>
      </c>
      <c r="V2615" s="31" t="s">
        <v>2651</v>
      </c>
      <c r="W2615" s="34"/>
    </row>
    <row r="2616">
      <c r="A2616" s="30">
        <v>2.611</v>
      </c>
      <c r="B2616" s="31" t="s">
        <v>10223</v>
      </c>
      <c r="C2616" s="31" t="s">
        <v>10224</v>
      </c>
      <c r="D2616" s="31" t="s">
        <v>10225</v>
      </c>
      <c r="E2616" s="31" t="s">
        <v>3163</v>
      </c>
      <c r="F2616" s="35">
        <v>43754.0</v>
      </c>
      <c r="G2616" s="35">
        <v>43815.0</v>
      </c>
      <c r="H2616" s="31" t="s">
        <v>453</v>
      </c>
      <c r="I2616" s="31" t="s">
        <v>454</v>
      </c>
      <c r="J2616" s="31" t="s">
        <v>3163</v>
      </c>
      <c r="K2616" s="31" t="s">
        <v>3164</v>
      </c>
      <c r="L2616" s="31" t="s">
        <v>10226</v>
      </c>
      <c r="M2616" s="31" t="s">
        <v>10227</v>
      </c>
      <c r="N2616" s="31" t="s">
        <v>267</v>
      </c>
      <c r="O2616" s="31">
        <v>1.0</v>
      </c>
      <c r="P2616" s="34"/>
      <c r="Q2616" s="31" t="s">
        <v>307</v>
      </c>
      <c r="R2616" s="35">
        <v>35760.0</v>
      </c>
      <c r="S2616" s="31" t="s">
        <v>531</v>
      </c>
      <c r="T2616" s="31" t="s">
        <v>459</v>
      </c>
      <c r="U2616" s="31" t="s">
        <v>460</v>
      </c>
      <c r="V2616" s="34"/>
      <c r="W2616" s="34"/>
    </row>
    <row r="2617">
      <c r="A2617" s="30">
        <v>2.612</v>
      </c>
      <c r="B2617" s="31" t="s">
        <v>10228</v>
      </c>
      <c r="C2617" s="31" t="s">
        <v>10229</v>
      </c>
      <c r="D2617" s="31" t="s">
        <v>463</v>
      </c>
      <c r="E2617" s="31" t="s">
        <v>3563</v>
      </c>
      <c r="F2617" s="32">
        <v>44270.0</v>
      </c>
      <c r="G2617" s="32">
        <v>44331.0</v>
      </c>
      <c r="H2617" s="31" t="s">
        <v>453</v>
      </c>
      <c r="I2617" s="31" t="s">
        <v>2835</v>
      </c>
      <c r="J2617" s="31" t="s">
        <v>3564</v>
      </c>
      <c r="K2617" s="31" t="s">
        <v>3565</v>
      </c>
      <c r="L2617" s="31" t="s">
        <v>465</v>
      </c>
      <c r="M2617" s="31" t="s">
        <v>10230</v>
      </c>
      <c r="N2617" s="31" t="s">
        <v>467</v>
      </c>
      <c r="O2617" s="31">
        <v>2.0</v>
      </c>
      <c r="P2617" s="34"/>
      <c r="Q2617" s="31" t="s">
        <v>307</v>
      </c>
      <c r="R2617" s="35">
        <v>33528.0</v>
      </c>
      <c r="S2617" s="31" t="s">
        <v>5185</v>
      </c>
      <c r="T2617" s="31" t="s">
        <v>672</v>
      </c>
      <c r="U2617" s="31" t="s">
        <v>480</v>
      </c>
      <c r="V2617" s="31" t="s">
        <v>3563</v>
      </c>
      <c r="W2617" s="34"/>
    </row>
    <row r="2618">
      <c r="A2618" s="30">
        <v>2.613</v>
      </c>
      <c r="B2618" s="31" t="s">
        <v>10231</v>
      </c>
      <c r="C2618" s="31" t="s">
        <v>10232</v>
      </c>
      <c r="D2618" s="31" t="s">
        <v>472</v>
      </c>
      <c r="E2618" s="31" t="s">
        <v>606</v>
      </c>
      <c r="F2618" s="32">
        <v>44270.0</v>
      </c>
      <c r="G2618" s="32">
        <v>44331.0</v>
      </c>
      <c r="H2618" s="31" t="s">
        <v>453</v>
      </c>
      <c r="I2618" s="31" t="s">
        <v>607</v>
      </c>
      <c r="J2618" s="31" t="s">
        <v>608</v>
      </c>
      <c r="K2618" s="31" t="s">
        <v>609</v>
      </c>
      <c r="L2618" s="31" t="s">
        <v>476</v>
      </c>
      <c r="M2618" s="31" t="s">
        <v>10233</v>
      </c>
      <c r="N2618" s="31" t="s">
        <v>467</v>
      </c>
      <c r="O2618" s="34"/>
      <c r="P2618" s="34"/>
      <c r="Q2618" s="31" t="s">
        <v>307</v>
      </c>
      <c r="R2618" s="32">
        <v>36277.0</v>
      </c>
      <c r="S2618" s="31" t="s">
        <v>560</v>
      </c>
      <c r="T2618" s="31" t="s">
        <v>503</v>
      </c>
      <c r="U2618" s="31" t="s">
        <v>480</v>
      </c>
      <c r="V2618" s="31" t="s">
        <v>606</v>
      </c>
      <c r="W2618" s="34"/>
    </row>
    <row r="2619">
      <c r="A2619" s="30">
        <v>2.614</v>
      </c>
      <c r="B2619" s="31" t="s">
        <v>10234</v>
      </c>
      <c r="C2619" s="31" t="s">
        <v>10235</v>
      </c>
      <c r="D2619" s="31" t="s">
        <v>472</v>
      </c>
      <c r="E2619" s="31" t="s">
        <v>554</v>
      </c>
      <c r="F2619" s="32">
        <v>44630.0</v>
      </c>
      <c r="G2619" s="32">
        <v>44691.0</v>
      </c>
      <c r="H2619" s="31" t="s">
        <v>453</v>
      </c>
      <c r="I2619" s="31" t="s">
        <v>555</v>
      </c>
      <c r="J2619" s="31" t="s">
        <v>556</v>
      </c>
      <c r="K2619" s="31" t="s">
        <v>557</v>
      </c>
      <c r="L2619" s="31" t="s">
        <v>476</v>
      </c>
      <c r="M2619" s="31" t="s">
        <v>10236</v>
      </c>
      <c r="N2619" s="31" t="s">
        <v>467</v>
      </c>
      <c r="O2619" s="34"/>
      <c r="P2619" s="34"/>
      <c r="Q2619" s="31" t="s">
        <v>307</v>
      </c>
      <c r="R2619" s="32">
        <v>36910.0</v>
      </c>
      <c r="S2619" s="31" t="s">
        <v>1622</v>
      </c>
      <c r="T2619" s="31" t="s">
        <v>503</v>
      </c>
      <c r="U2619" s="31" t="s">
        <v>480</v>
      </c>
      <c r="V2619" s="31" t="s">
        <v>554</v>
      </c>
      <c r="W2619" s="34"/>
    </row>
    <row r="2620">
      <c r="A2620" s="30">
        <v>2.615</v>
      </c>
      <c r="B2620" s="31" t="s">
        <v>10237</v>
      </c>
      <c r="C2620" s="31" t="s">
        <v>10238</v>
      </c>
      <c r="D2620" s="31" t="s">
        <v>553</v>
      </c>
      <c r="E2620" s="31" t="s">
        <v>3419</v>
      </c>
      <c r="F2620" s="32">
        <v>44627.0</v>
      </c>
      <c r="G2620" s="32">
        <v>44688.0</v>
      </c>
      <c r="H2620" s="31" t="s">
        <v>453</v>
      </c>
      <c r="I2620" s="31" t="s">
        <v>454</v>
      </c>
      <c r="J2620" s="31" t="s">
        <v>3188</v>
      </c>
      <c r="K2620" s="31" t="s">
        <v>3420</v>
      </c>
      <c r="L2620" s="31" t="s">
        <v>558</v>
      </c>
      <c r="M2620" s="31" t="s">
        <v>10239</v>
      </c>
      <c r="N2620" s="31" t="s">
        <v>267</v>
      </c>
      <c r="O2620" s="34"/>
      <c r="P2620" s="34"/>
      <c r="Q2620" s="31" t="s">
        <v>307</v>
      </c>
      <c r="R2620" s="32">
        <v>36395.0</v>
      </c>
      <c r="S2620" s="31" t="s">
        <v>10240</v>
      </c>
      <c r="T2620" s="31" t="s">
        <v>778</v>
      </c>
      <c r="U2620" s="31" t="s">
        <v>460</v>
      </c>
      <c r="V2620" s="31" t="s">
        <v>3419</v>
      </c>
      <c r="W2620" s="34"/>
    </row>
    <row r="2621">
      <c r="A2621" s="30">
        <v>2.616</v>
      </c>
      <c r="B2621" s="31" t="s">
        <v>10241</v>
      </c>
      <c r="C2621" s="31" t="s">
        <v>10242</v>
      </c>
      <c r="D2621" s="31" t="s">
        <v>472</v>
      </c>
      <c r="E2621" s="31" t="s">
        <v>3246</v>
      </c>
      <c r="F2621" s="32">
        <v>44627.0</v>
      </c>
      <c r="G2621" s="32">
        <v>44688.0</v>
      </c>
      <c r="H2621" s="31" t="s">
        <v>453</v>
      </c>
      <c r="I2621" s="31" t="s">
        <v>607</v>
      </c>
      <c r="J2621" s="31" t="s">
        <v>3247</v>
      </c>
      <c r="K2621" s="31" t="s">
        <v>3248</v>
      </c>
      <c r="L2621" s="31" t="s">
        <v>476</v>
      </c>
      <c r="M2621" s="31" t="s">
        <v>10243</v>
      </c>
      <c r="N2621" s="31" t="s">
        <v>467</v>
      </c>
      <c r="O2621" s="34"/>
      <c r="P2621" s="34"/>
      <c r="Q2621" s="31" t="s">
        <v>307</v>
      </c>
      <c r="R2621" s="32">
        <v>37144.0</v>
      </c>
      <c r="S2621" s="31" t="s">
        <v>490</v>
      </c>
      <c r="T2621" s="31" t="s">
        <v>503</v>
      </c>
      <c r="U2621" s="31" t="s">
        <v>480</v>
      </c>
      <c r="V2621" s="31" t="s">
        <v>3246</v>
      </c>
      <c r="W2621" s="34"/>
    </row>
    <row r="2622">
      <c r="A2622" s="30">
        <v>2.617</v>
      </c>
      <c r="B2622" s="31" t="s">
        <v>10244</v>
      </c>
      <c r="C2622" s="31" t="s">
        <v>6529</v>
      </c>
      <c r="D2622" s="31" t="s">
        <v>472</v>
      </c>
      <c r="E2622" s="31" t="s">
        <v>3419</v>
      </c>
      <c r="F2622" s="32">
        <v>44259.0</v>
      </c>
      <c r="G2622" s="32">
        <v>44320.0</v>
      </c>
      <c r="H2622" s="31" t="s">
        <v>453</v>
      </c>
      <c r="I2622" s="31" t="s">
        <v>454</v>
      </c>
      <c r="J2622" s="31" t="s">
        <v>3188</v>
      </c>
      <c r="K2622" s="31" t="s">
        <v>3420</v>
      </c>
      <c r="L2622" s="31" t="s">
        <v>476</v>
      </c>
      <c r="M2622" s="31" t="s">
        <v>10245</v>
      </c>
      <c r="N2622" s="31" t="s">
        <v>467</v>
      </c>
      <c r="O2622" s="34"/>
      <c r="P2622" s="34"/>
      <c r="Q2622" s="31" t="s">
        <v>307</v>
      </c>
      <c r="R2622" s="35">
        <v>36509.0</v>
      </c>
      <c r="S2622" s="31" t="s">
        <v>560</v>
      </c>
      <c r="T2622" s="31" t="s">
        <v>479</v>
      </c>
      <c r="U2622" s="31" t="s">
        <v>460</v>
      </c>
      <c r="V2622" s="31" t="s">
        <v>3419</v>
      </c>
      <c r="W2622" s="34"/>
    </row>
    <row r="2623">
      <c r="A2623" s="30">
        <v>2.618</v>
      </c>
      <c r="B2623" s="31" t="s">
        <v>10246</v>
      </c>
      <c r="C2623" s="31" t="s">
        <v>6438</v>
      </c>
      <c r="D2623" s="31" t="s">
        <v>472</v>
      </c>
      <c r="E2623" s="31" t="s">
        <v>2902</v>
      </c>
      <c r="F2623" s="32">
        <v>44259.0</v>
      </c>
      <c r="G2623" s="32">
        <v>44320.0</v>
      </c>
      <c r="H2623" s="31" t="s">
        <v>453</v>
      </c>
      <c r="I2623" s="31" t="s">
        <v>454</v>
      </c>
      <c r="J2623" s="31" t="s">
        <v>2903</v>
      </c>
      <c r="K2623" s="31" t="s">
        <v>2904</v>
      </c>
      <c r="L2623" s="31" t="s">
        <v>476</v>
      </c>
      <c r="M2623" s="31" t="s">
        <v>10247</v>
      </c>
      <c r="N2623" s="31" t="s">
        <v>467</v>
      </c>
      <c r="O2623" s="34"/>
      <c r="P2623" s="34"/>
      <c r="Q2623" s="31" t="s">
        <v>307</v>
      </c>
      <c r="R2623" s="32">
        <v>36495.0</v>
      </c>
      <c r="S2623" s="31" t="s">
        <v>3197</v>
      </c>
      <c r="T2623" s="31" t="s">
        <v>3198</v>
      </c>
      <c r="U2623" s="31" t="s">
        <v>480</v>
      </c>
      <c r="V2623" s="31" t="s">
        <v>2902</v>
      </c>
      <c r="W2623" s="34"/>
    </row>
    <row r="2624">
      <c r="A2624" s="30">
        <v>2.619</v>
      </c>
      <c r="B2624" s="31" t="s">
        <v>10248</v>
      </c>
      <c r="C2624" s="31" t="s">
        <v>3392</v>
      </c>
      <c r="D2624" s="31" t="s">
        <v>4909</v>
      </c>
      <c r="E2624" s="31" t="s">
        <v>5747</v>
      </c>
      <c r="F2624" s="32">
        <v>44259.0</v>
      </c>
      <c r="G2624" s="32">
        <v>44320.0</v>
      </c>
      <c r="H2624" s="31" t="s">
        <v>453</v>
      </c>
      <c r="I2624" s="31" t="s">
        <v>454</v>
      </c>
      <c r="J2624" s="31" t="s">
        <v>3041</v>
      </c>
      <c r="K2624" s="31" t="s">
        <v>5748</v>
      </c>
      <c r="L2624" s="31" t="s">
        <v>4910</v>
      </c>
      <c r="M2624" s="31" t="s">
        <v>10249</v>
      </c>
      <c r="N2624" s="31" t="s">
        <v>467</v>
      </c>
      <c r="O2624" s="34"/>
      <c r="P2624" s="34"/>
      <c r="Q2624" s="31" t="s">
        <v>307</v>
      </c>
      <c r="R2624" s="32">
        <v>35610.0</v>
      </c>
      <c r="S2624" s="31" t="s">
        <v>468</v>
      </c>
      <c r="T2624" s="31" t="s">
        <v>5366</v>
      </c>
      <c r="U2624" s="31" t="s">
        <v>480</v>
      </c>
      <c r="V2624" s="31" t="s">
        <v>5747</v>
      </c>
      <c r="W2624" s="34"/>
    </row>
    <row r="2625">
      <c r="A2625" s="30">
        <v>2.62</v>
      </c>
      <c r="B2625" s="31" t="s">
        <v>10250</v>
      </c>
      <c r="C2625" s="31" t="s">
        <v>10251</v>
      </c>
      <c r="D2625" s="31" t="s">
        <v>472</v>
      </c>
      <c r="E2625" s="31" t="s">
        <v>2696</v>
      </c>
      <c r="F2625" s="32">
        <v>44623.0</v>
      </c>
      <c r="G2625" s="32">
        <v>44684.0</v>
      </c>
      <c r="H2625" s="31" t="s">
        <v>453</v>
      </c>
      <c r="I2625" s="31" t="s">
        <v>607</v>
      </c>
      <c r="J2625" s="31" t="s">
        <v>2697</v>
      </c>
      <c r="K2625" s="31" t="s">
        <v>2698</v>
      </c>
      <c r="L2625" s="31" t="s">
        <v>476</v>
      </c>
      <c r="M2625" s="31" t="s">
        <v>10252</v>
      </c>
      <c r="N2625" s="31" t="s">
        <v>467</v>
      </c>
      <c r="O2625" s="34"/>
      <c r="P2625" s="34"/>
      <c r="Q2625" s="31" t="s">
        <v>307</v>
      </c>
      <c r="R2625" s="32">
        <v>36606.0</v>
      </c>
      <c r="S2625" s="31" t="s">
        <v>502</v>
      </c>
      <c r="T2625" s="31" t="s">
        <v>469</v>
      </c>
      <c r="U2625" s="31" t="s">
        <v>643</v>
      </c>
      <c r="V2625" s="31" t="s">
        <v>2696</v>
      </c>
      <c r="W2625" s="34"/>
    </row>
    <row r="2626">
      <c r="A2626" s="30">
        <v>2.621</v>
      </c>
      <c r="B2626" s="31" t="s">
        <v>10253</v>
      </c>
      <c r="C2626" s="31" t="s">
        <v>10254</v>
      </c>
      <c r="D2626" s="31" t="s">
        <v>4909</v>
      </c>
      <c r="E2626" s="31" t="s">
        <v>3563</v>
      </c>
      <c r="F2626" s="32">
        <v>44256.0</v>
      </c>
      <c r="G2626" s="32">
        <v>44317.0</v>
      </c>
      <c r="H2626" s="31" t="s">
        <v>453</v>
      </c>
      <c r="I2626" s="31" t="s">
        <v>2835</v>
      </c>
      <c r="J2626" s="31" t="s">
        <v>3564</v>
      </c>
      <c r="K2626" s="31" t="s">
        <v>3565</v>
      </c>
      <c r="L2626" s="31" t="s">
        <v>4910</v>
      </c>
      <c r="M2626" s="31" t="s">
        <v>10255</v>
      </c>
      <c r="N2626" s="31" t="s">
        <v>467</v>
      </c>
      <c r="O2626" s="34"/>
      <c r="P2626" s="34"/>
      <c r="Q2626" s="31" t="s">
        <v>307</v>
      </c>
      <c r="R2626" s="32">
        <v>34978.0</v>
      </c>
      <c r="S2626" s="31" t="s">
        <v>1622</v>
      </c>
      <c r="T2626" s="31" t="s">
        <v>503</v>
      </c>
      <c r="U2626" s="31" t="s">
        <v>480</v>
      </c>
      <c r="V2626" s="31" t="s">
        <v>3563</v>
      </c>
      <c r="W2626" s="34"/>
    </row>
    <row r="2627">
      <c r="A2627" s="30">
        <v>2.622</v>
      </c>
      <c r="B2627" s="31" t="s">
        <v>10256</v>
      </c>
      <c r="C2627" s="31" t="s">
        <v>10257</v>
      </c>
      <c r="D2627" s="31" t="s">
        <v>452</v>
      </c>
      <c r="E2627" s="31" t="s">
        <v>4953</v>
      </c>
      <c r="F2627" s="32">
        <v>44256.0</v>
      </c>
      <c r="G2627" s="32">
        <v>44317.0</v>
      </c>
      <c r="H2627" s="31" t="s">
        <v>453</v>
      </c>
      <c r="I2627" s="31" t="s">
        <v>454</v>
      </c>
      <c r="J2627" s="31" t="s">
        <v>2903</v>
      </c>
      <c r="K2627" s="31" t="s">
        <v>4954</v>
      </c>
      <c r="L2627" s="31" t="s">
        <v>456</v>
      </c>
      <c r="M2627" s="31" t="s">
        <v>10258</v>
      </c>
      <c r="N2627" s="31" t="s">
        <v>467</v>
      </c>
      <c r="O2627" s="34"/>
      <c r="P2627" s="34"/>
      <c r="Q2627" s="31" t="s">
        <v>307</v>
      </c>
      <c r="R2627" s="32">
        <v>34646.0</v>
      </c>
      <c r="S2627" s="31" t="s">
        <v>531</v>
      </c>
      <c r="T2627" s="31" t="s">
        <v>778</v>
      </c>
      <c r="U2627" s="31" t="s">
        <v>480</v>
      </c>
      <c r="V2627" s="31" t="s">
        <v>4953</v>
      </c>
      <c r="W2627" s="34"/>
    </row>
    <row r="2628">
      <c r="A2628" s="30">
        <v>2.623</v>
      </c>
      <c r="B2628" s="31" t="s">
        <v>10259</v>
      </c>
      <c r="C2628" s="31" t="s">
        <v>2826</v>
      </c>
      <c r="D2628" s="31" t="s">
        <v>472</v>
      </c>
      <c r="E2628" s="31" t="s">
        <v>5124</v>
      </c>
      <c r="F2628" s="32">
        <v>44621.0</v>
      </c>
      <c r="G2628" s="32">
        <v>44682.0</v>
      </c>
      <c r="H2628" s="31" t="s">
        <v>453</v>
      </c>
      <c r="I2628" s="31" t="s">
        <v>454</v>
      </c>
      <c r="J2628" s="31" t="s">
        <v>4823</v>
      </c>
      <c r="K2628" s="31" t="s">
        <v>5125</v>
      </c>
      <c r="L2628" s="31" t="s">
        <v>5011</v>
      </c>
      <c r="M2628" s="31" t="s">
        <v>10260</v>
      </c>
      <c r="N2628" s="31" t="s">
        <v>467</v>
      </c>
      <c r="O2628" s="34"/>
      <c r="P2628" s="34"/>
      <c r="Q2628" s="31" t="s">
        <v>307</v>
      </c>
      <c r="R2628" s="35">
        <v>33164.0</v>
      </c>
      <c r="S2628" s="31" t="s">
        <v>4498</v>
      </c>
      <c r="T2628" s="31" t="s">
        <v>1865</v>
      </c>
      <c r="U2628" s="31" t="s">
        <v>460</v>
      </c>
      <c r="V2628" s="31" t="s">
        <v>5124</v>
      </c>
      <c r="W2628" s="34"/>
    </row>
    <row r="2629">
      <c r="A2629" s="30">
        <v>2.624</v>
      </c>
      <c r="B2629" s="31" t="s">
        <v>10261</v>
      </c>
      <c r="C2629" s="31" t="s">
        <v>10262</v>
      </c>
      <c r="D2629" s="31" t="s">
        <v>3222</v>
      </c>
      <c r="E2629" s="31" t="s">
        <v>2887</v>
      </c>
      <c r="F2629" s="32">
        <v>44621.0</v>
      </c>
      <c r="G2629" s="32">
        <v>44682.0</v>
      </c>
      <c r="H2629" s="31" t="s">
        <v>453</v>
      </c>
      <c r="I2629" s="31" t="s">
        <v>566</v>
      </c>
      <c r="J2629" s="31" t="s">
        <v>2888</v>
      </c>
      <c r="K2629" s="31" t="s">
        <v>2889</v>
      </c>
      <c r="L2629" s="31" t="s">
        <v>3223</v>
      </c>
      <c r="M2629" s="31" t="s">
        <v>10263</v>
      </c>
      <c r="N2629" s="31" t="s">
        <v>267</v>
      </c>
      <c r="O2629" s="34"/>
      <c r="P2629" s="34"/>
      <c r="Q2629" s="31" t="s">
        <v>307</v>
      </c>
      <c r="R2629" s="32">
        <v>35842.0</v>
      </c>
      <c r="S2629" s="31" t="s">
        <v>653</v>
      </c>
      <c r="T2629" s="31" t="s">
        <v>10264</v>
      </c>
      <c r="U2629" s="31" t="s">
        <v>480</v>
      </c>
      <c r="V2629" s="31" t="s">
        <v>2887</v>
      </c>
      <c r="W2629" s="34"/>
    </row>
    <row r="2630">
      <c r="A2630" s="30">
        <v>2.625</v>
      </c>
      <c r="B2630" s="31" t="s">
        <v>10265</v>
      </c>
      <c r="C2630" s="31" t="s">
        <v>10266</v>
      </c>
      <c r="D2630" s="31" t="s">
        <v>472</v>
      </c>
      <c r="E2630" s="31" t="s">
        <v>4991</v>
      </c>
      <c r="F2630" s="32">
        <v>44228.0</v>
      </c>
      <c r="G2630" s="32">
        <v>44287.0</v>
      </c>
      <c r="H2630" s="31" t="s">
        <v>453</v>
      </c>
      <c r="I2630" s="31" t="s">
        <v>454</v>
      </c>
      <c r="J2630" s="31" t="s">
        <v>3217</v>
      </c>
      <c r="K2630" s="31" t="s">
        <v>4992</v>
      </c>
      <c r="L2630" s="31" t="s">
        <v>476</v>
      </c>
      <c r="M2630" s="31" t="s">
        <v>10267</v>
      </c>
      <c r="N2630" s="31" t="s">
        <v>467</v>
      </c>
      <c r="O2630" s="34"/>
      <c r="P2630" s="34"/>
      <c r="Q2630" s="31" t="s">
        <v>307</v>
      </c>
      <c r="R2630" s="32">
        <v>36470.0</v>
      </c>
      <c r="S2630" s="31" t="s">
        <v>560</v>
      </c>
      <c r="T2630" s="31" t="s">
        <v>503</v>
      </c>
      <c r="U2630" s="31" t="s">
        <v>480</v>
      </c>
      <c r="V2630" s="31" t="s">
        <v>4991</v>
      </c>
      <c r="W2630" s="34"/>
    </row>
    <row r="2631">
      <c r="A2631" s="30">
        <v>2.626</v>
      </c>
      <c r="B2631" s="31" t="s">
        <v>10268</v>
      </c>
      <c r="C2631" s="31" t="s">
        <v>10269</v>
      </c>
      <c r="D2631" s="31" t="s">
        <v>472</v>
      </c>
      <c r="E2631" s="31" t="s">
        <v>4983</v>
      </c>
      <c r="F2631" s="32">
        <v>44774.0</v>
      </c>
      <c r="G2631" s="32">
        <v>44835.0</v>
      </c>
      <c r="H2631" s="31" t="s">
        <v>453</v>
      </c>
      <c r="I2631" s="31" t="s">
        <v>4330</v>
      </c>
      <c r="J2631" s="31" t="s">
        <v>4331</v>
      </c>
      <c r="K2631" s="31" t="s">
        <v>4984</v>
      </c>
      <c r="L2631" s="31" t="s">
        <v>476</v>
      </c>
      <c r="M2631" s="31" t="s">
        <v>10270</v>
      </c>
      <c r="N2631" s="31" t="s">
        <v>467</v>
      </c>
      <c r="O2631" s="34"/>
      <c r="P2631" s="34"/>
      <c r="Q2631" s="31" t="s">
        <v>307</v>
      </c>
      <c r="R2631" s="32">
        <v>36262.0</v>
      </c>
      <c r="S2631" s="31" t="s">
        <v>560</v>
      </c>
      <c r="T2631" s="31" t="s">
        <v>627</v>
      </c>
      <c r="U2631" s="31" t="s">
        <v>460</v>
      </c>
      <c r="V2631" s="31" t="s">
        <v>4983</v>
      </c>
      <c r="W2631" s="34"/>
    </row>
    <row r="2632">
      <c r="A2632" s="30">
        <v>2.627</v>
      </c>
      <c r="B2632" s="31" t="s">
        <v>10271</v>
      </c>
      <c r="C2632" s="31" t="s">
        <v>10272</v>
      </c>
      <c r="D2632" s="31" t="s">
        <v>553</v>
      </c>
      <c r="E2632" s="31" t="s">
        <v>2893</v>
      </c>
      <c r="F2632" s="32">
        <v>44691.0</v>
      </c>
      <c r="G2632" s="32">
        <v>44752.0</v>
      </c>
      <c r="H2632" s="31" t="s">
        <v>453</v>
      </c>
      <c r="I2632" s="31" t="s">
        <v>566</v>
      </c>
      <c r="J2632" s="31" t="s">
        <v>2888</v>
      </c>
      <c r="K2632" s="31" t="s">
        <v>2894</v>
      </c>
      <c r="L2632" s="31" t="s">
        <v>558</v>
      </c>
      <c r="M2632" s="31" t="s">
        <v>10273</v>
      </c>
      <c r="N2632" s="31" t="s">
        <v>267</v>
      </c>
      <c r="O2632" s="34"/>
      <c r="P2632" s="34"/>
      <c r="Q2632" s="31" t="s">
        <v>307</v>
      </c>
      <c r="R2632" s="32">
        <v>33029.0</v>
      </c>
      <c r="S2632" s="31" t="s">
        <v>4498</v>
      </c>
      <c r="T2632" s="31" t="s">
        <v>1865</v>
      </c>
      <c r="U2632" s="31" t="s">
        <v>480</v>
      </c>
      <c r="V2632" s="31" t="s">
        <v>2893</v>
      </c>
      <c r="W2632" s="34"/>
    </row>
    <row r="2633">
      <c r="A2633" s="30">
        <v>2.628</v>
      </c>
      <c r="B2633" s="31" t="s">
        <v>10274</v>
      </c>
      <c r="C2633" s="31" t="s">
        <v>10275</v>
      </c>
      <c r="D2633" s="31" t="s">
        <v>553</v>
      </c>
      <c r="E2633" s="31" t="s">
        <v>4983</v>
      </c>
      <c r="F2633" s="32">
        <v>44706.0</v>
      </c>
      <c r="G2633" s="32">
        <v>44767.0</v>
      </c>
      <c r="H2633" s="31" t="s">
        <v>453</v>
      </c>
      <c r="I2633" s="31" t="s">
        <v>4330</v>
      </c>
      <c r="J2633" s="31" t="s">
        <v>4331</v>
      </c>
      <c r="K2633" s="31" t="s">
        <v>4984</v>
      </c>
      <c r="L2633" s="31" t="s">
        <v>558</v>
      </c>
      <c r="M2633" s="31" t="s">
        <v>10276</v>
      </c>
      <c r="N2633" s="31" t="s">
        <v>267</v>
      </c>
      <c r="O2633" s="34"/>
      <c r="P2633" s="34"/>
      <c r="Q2633" s="31" t="s">
        <v>307</v>
      </c>
      <c r="R2633" s="32">
        <v>34745.0</v>
      </c>
      <c r="S2633" s="31" t="s">
        <v>531</v>
      </c>
      <c r="T2633" s="31" t="s">
        <v>686</v>
      </c>
      <c r="U2633" s="31" t="s">
        <v>460</v>
      </c>
      <c r="V2633" s="31" t="s">
        <v>4983</v>
      </c>
      <c r="W2633" s="34"/>
    </row>
    <row r="2634">
      <c r="A2634" s="30">
        <v>2.629</v>
      </c>
      <c r="B2634" s="31" t="s">
        <v>10277</v>
      </c>
      <c r="C2634" s="31" t="s">
        <v>8385</v>
      </c>
      <c r="D2634" s="31" t="s">
        <v>553</v>
      </c>
      <c r="E2634" s="31" t="s">
        <v>3377</v>
      </c>
      <c r="F2634" s="32">
        <v>44699.0</v>
      </c>
      <c r="G2634" s="32">
        <v>44760.0</v>
      </c>
      <c r="H2634" s="31" t="s">
        <v>453</v>
      </c>
      <c r="I2634" s="31" t="s">
        <v>454</v>
      </c>
      <c r="J2634" s="31" t="s">
        <v>3378</v>
      </c>
      <c r="K2634" s="31" t="s">
        <v>3379</v>
      </c>
      <c r="L2634" s="31" t="s">
        <v>558</v>
      </c>
      <c r="M2634" s="31" t="s">
        <v>10278</v>
      </c>
      <c r="N2634" s="31" t="s">
        <v>267</v>
      </c>
      <c r="O2634" s="34"/>
      <c r="P2634" s="34"/>
      <c r="Q2634" s="31" t="s">
        <v>307</v>
      </c>
      <c r="R2634" s="32">
        <v>33514.0</v>
      </c>
      <c r="S2634" s="31" t="s">
        <v>700</v>
      </c>
      <c r="T2634" s="31" t="s">
        <v>686</v>
      </c>
      <c r="U2634" s="31" t="s">
        <v>460</v>
      </c>
      <c r="V2634" s="31" t="s">
        <v>3377</v>
      </c>
      <c r="W2634" s="34"/>
    </row>
    <row r="2635">
      <c r="A2635" s="30">
        <v>2.63</v>
      </c>
      <c r="B2635" s="31" t="s">
        <v>10279</v>
      </c>
      <c r="C2635" s="31" t="s">
        <v>10280</v>
      </c>
      <c r="D2635" s="31" t="s">
        <v>472</v>
      </c>
      <c r="E2635" s="31" t="s">
        <v>2696</v>
      </c>
      <c r="F2635" s="32">
        <v>44581.0</v>
      </c>
      <c r="G2635" s="32">
        <v>44640.0</v>
      </c>
      <c r="H2635" s="31" t="s">
        <v>453</v>
      </c>
      <c r="I2635" s="31" t="s">
        <v>607</v>
      </c>
      <c r="J2635" s="31" t="s">
        <v>2697</v>
      </c>
      <c r="K2635" s="31" t="s">
        <v>2698</v>
      </c>
      <c r="L2635" s="31" t="s">
        <v>476</v>
      </c>
      <c r="M2635" s="31" t="s">
        <v>10281</v>
      </c>
      <c r="N2635" s="31" t="s">
        <v>467</v>
      </c>
      <c r="O2635" s="34"/>
      <c r="P2635" s="34"/>
      <c r="Q2635" s="31" t="s">
        <v>307</v>
      </c>
      <c r="R2635" s="35">
        <v>36508.0</v>
      </c>
      <c r="S2635" s="31" t="s">
        <v>468</v>
      </c>
      <c r="T2635" s="31" t="s">
        <v>469</v>
      </c>
      <c r="U2635" s="31" t="s">
        <v>643</v>
      </c>
      <c r="V2635" s="31" t="s">
        <v>2696</v>
      </c>
      <c r="W2635" s="34"/>
    </row>
    <row r="2636">
      <c r="A2636" s="30">
        <v>2.631</v>
      </c>
      <c r="B2636" s="31" t="s">
        <v>10282</v>
      </c>
      <c r="C2636" s="31" t="s">
        <v>10283</v>
      </c>
      <c r="D2636" s="31" t="s">
        <v>472</v>
      </c>
      <c r="E2636" s="31" t="s">
        <v>4983</v>
      </c>
      <c r="F2636" s="32">
        <v>44748.0</v>
      </c>
      <c r="G2636" s="32">
        <v>44810.0</v>
      </c>
      <c r="H2636" s="31" t="s">
        <v>453</v>
      </c>
      <c r="I2636" s="31" t="s">
        <v>4330</v>
      </c>
      <c r="J2636" s="31" t="s">
        <v>4331</v>
      </c>
      <c r="K2636" s="31" t="s">
        <v>4984</v>
      </c>
      <c r="L2636" s="31" t="s">
        <v>476</v>
      </c>
      <c r="M2636" s="31" t="s">
        <v>10284</v>
      </c>
      <c r="N2636" s="31" t="s">
        <v>267</v>
      </c>
      <c r="O2636" s="34"/>
      <c r="P2636" s="34"/>
      <c r="Q2636" s="31" t="s">
        <v>307</v>
      </c>
      <c r="R2636" s="32">
        <v>36708.0</v>
      </c>
      <c r="S2636" s="31" t="s">
        <v>502</v>
      </c>
      <c r="T2636" s="31" t="s">
        <v>592</v>
      </c>
      <c r="U2636" s="31" t="s">
        <v>460</v>
      </c>
      <c r="V2636" s="31" t="s">
        <v>4983</v>
      </c>
      <c r="W2636" s="34"/>
    </row>
    <row r="2637">
      <c r="A2637" s="30">
        <v>2.632</v>
      </c>
      <c r="B2637" s="31" t="s">
        <v>10285</v>
      </c>
      <c r="C2637" s="31" t="s">
        <v>10286</v>
      </c>
      <c r="D2637" s="31" t="s">
        <v>472</v>
      </c>
      <c r="E2637" s="31" t="s">
        <v>3047</v>
      </c>
      <c r="F2637" s="32">
        <v>44252.0</v>
      </c>
      <c r="G2637" s="32">
        <v>44311.0</v>
      </c>
      <c r="H2637" s="31" t="s">
        <v>453</v>
      </c>
      <c r="I2637" s="31" t="s">
        <v>454</v>
      </c>
      <c r="J2637" s="31" t="s">
        <v>3048</v>
      </c>
      <c r="K2637" s="31" t="s">
        <v>3049</v>
      </c>
      <c r="L2637" s="31" t="s">
        <v>3050</v>
      </c>
      <c r="M2637" s="31" t="s">
        <v>10287</v>
      </c>
      <c r="N2637" s="31" t="s">
        <v>467</v>
      </c>
      <c r="O2637" s="34"/>
      <c r="P2637" s="34"/>
      <c r="Q2637" s="31" t="s">
        <v>307</v>
      </c>
      <c r="R2637" s="32">
        <v>35886.0</v>
      </c>
      <c r="S2637" s="31" t="s">
        <v>468</v>
      </c>
      <c r="T2637" s="31" t="s">
        <v>4337</v>
      </c>
      <c r="U2637" s="31" t="s">
        <v>480</v>
      </c>
      <c r="V2637" s="31" t="s">
        <v>3047</v>
      </c>
      <c r="W2637" s="34"/>
    </row>
    <row r="2638">
      <c r="A2638" s="30">
        <v>2.633</v>
      </c>
      <c r="B2638" s="31" t="s">
        <v>10288</v>
      </c>
      <c r="C2638" s="31" t="s">
        <v>10289</v>
      </c>
      <c r="D2638" s="31" t="s">
        <v>472</v>
      </c>
      <c r="E2638" s="31" t="s">
        <v>4864</v>
      </c>
      <c r="F2638" s="32">
        <v>44607.0</v>
      </c>
      <c r="G2638" s="32">
        <v>44666.0</v>
      </c>
      <c r="H2638" s="31" t="s">
        <v>453</v>
      </c>
      <c r="I2638" s="31" t="s">
        <v>47</v>
      </c>
      <c r="J2638" s="31" t="s">
        <v>4502</v>
      </c>
      <c r="K2638" s="31" t="s">
        <v>4865</v>
      </c>
      <c r="L2638" s="31" t="s">
        <v>476</v>
      </c>
      <c r="M2638" s="31" t="s">
        <v>10290</v>
      </c>
      <c r="N2638" s="31" t="s">
        <v>467</v>
      </c>
      <c r="O2638" s="34"/>
      <c r="P2638" s="34"/>
      <c r="Q2638" s="31" t="s">
        <v>307</v>
      </c>
      <c r="R2638" s="32">
        <v>33352.0</v>
      </c>
      <c r="S2638" s="31" t="s">
        <v>8053</v>
      </c>
      <c r="T2638" s="31" t="s">
        <v>459</v>
      </c>
      <c r="U2638" s="31" t="s">
        <v>480</v>
      </c>
      <c r="V2638" s="31" t="s">
        <v>4864</v>
      </c>
      <c r="W2638" s="34"/>
    </row>
    <row r="2639">
      <c r="A2639" s="30">
        <v>2.634</v>
      </c>
      <c r="B2639" s="31" t="s">
        <v>10291</v>
      </c>
      <c r="C2639" s="31" t="s">
        <v>10292</v>
      </c>
      <c r="D2639" s="31" t="s">
        <v>472</v>
      </c>
      <c r="E2639" s="31" t="s">
        <v>5124</v>
      </c>
      <c r="F2639" s="32">
        <v>44602.0</v>
      </c>
      <c r="G2639" s="32">
        <v>44661.0</v>
      </c>
      <c r="H2639" s="31" t="s">
        <v>453</v>
      </c>
      <c r="I2639" s="31" t="s">
        <v>454</v>
      </c>
      <c r="J2639" s="31" t="s">
        <v>4823</v>
      </c>
      <c r="K2639" s="31" t="s">
        <v>5125</v>
      </c>
      <c r="L2639" s="31" t="s">
        <v>476</v>
      </c>
      <c r="M2639" s="31" t="s">
        <v>10293</v>
      </c>
      <c r="N2639" s="31" t="s">
        <v>467</v>
      </c>
      <c r="O2639" s="34"/>
      <c r="P2639" s="34"/>
      <c r="Q2639" s="31" t="s">
        <v>307</v>
      </c>
      <c r="R2639" s="32">
        <v>35613.0</v>
      </c>
      <c r="S2639" s="31" t="s">
        <v>560</v>
      </c>
      <c r="T2639" s="31" t="s">
        <v>503</v>
      </c>
      <c r="U2639" s="31" t="s">
        <v>460</v>
      </c>
      <c r="V2639" s="31" t="s">
        <v>5124</v>
      </c>
      <c r="W2639" s="34"/>
    </row>
    <row r="2640">
      <c r="A2640" s="30">
        <v>2.635</v>
      </c>
      <c r="B2640" s="31" t="s">
        <v>10294</v>
      </c>
      <c r="C2640" s="31" t="s">
        <v>598</v>
      </c>
      <c r="D2640" s="31" t="s">
        <v>3222</v>
      </c>
      <c r="E2640" s="31" t="s">
        <v>616</v>
      </c>
      <c r="F2640" s="32">
        <v>44602.0</v>
      </c>
      <c r="G2640" s="32">
        <v>44661.0</v>
      </c>
      <c r="H2640" s="31" t="s">
        <v>453</v>
      </c>
      <c r="I2640" s="31" t="s">
        <v>555</v>
      </c>
      <c r="J2640" s="31" t="s">
        <v>556</v>
      </c>
      <c r="K2640" s="31" t="s">
        <v>617</v>
      </c>
      <c r="L2640" s="31" t="s">
        <v>3223</v>
      </c>
      <c r="M2640" s="31" t="s">
        <v>10295</v>
      </c>
      <c r="N2640" s="31" t="s">
        <v>267</v>
      </c>
      <c r="O2640" s="34"/>
      <c r="P2640" s="34"/>
      <c r="Q2640" s="31" t="s">
        <v>307</v>
      </c>
      <c r="R2640" s="32">
        <v>36233.0</v>
      </c>
      <c r="S2640" s="31" t="s">
        <v>8282</v>
      </c>
      <c r="T2640" s="31" t="s">
        <v>3116</v>
      </c>
      <c r="U2640" s="31" t="s">
        <v>480</v>
      </c>
      <c r="V2640" s="31" t="s">
        <v>616</v>
      </c>
      <c r="W2640" s="34"/>
    </row>
    <row r="2641">
      <c r="A2641" s="30">
        <v>2.636</v>
      </c>
      <c r="B2641" s="31" t="s">
        <v>10296</v>
      </c>
      <c r="C2641" s="31" t="s">
        <v>3376</v>
      </c>
      <c r="D2641" s="31" t="s">
        <v>472</v>
      </c>
      <c r="E2641" s="31" t="s">
        <v>4822</v>
      </c>
      <c r="F2641" s="32">
        <v>44607.0</v>
      </c>
      <c r="G2641" s="32">
        <v>44666.0</v>
      </c>
      <c r="H2641" s="31" t="s">
        <v>453</v>
      </c>
      <c r="I2641" s="31" t="s">
        <v>454</v>
      </c>
      <c r="J2641" s="31" t="s">
        <v>4823</v>
      </c>
      <c r="K2641" s="31" t="s">
        <v>4824</v>
      </c>
      <c r="L2641" s="31" t="s">
        <v>476</v>
      </c>
      <c r="M2641" s="31" t="s">
        <v>10297</v>
      </c>
      <c r="N2641" s="31" t="s">
        <v>467</v>
      </c>
      <c r="O2641" s="34"/>
      <c r="P2641" s="34"/>
      <c r="Q2641" s="31" t="s">
        <v>307</v>
      </c>
      <c r="R2641" s="32">
        <v>36241.0</v>
      </c>
      <c r="S2641" s="31" t="s">
        <v>560</v>
      </c>
      <c r="T2641" s="31" t="s">
        <v>3198</v>
      </c>
      <c r="U2641" s="31" t="s">
        <v>460</v>
      </c>
      <c r="V2641" s="31" t="s">
        <v>4822</v>
      </c>
      <c r="W2641" s="34"/>
    </row>
    <row r="2642">
      <c r="A2642" s="30">
        <v>2.637</v>
      </c>
      <c r="B2642" s="31" t="s">
        <v>10298</v>
      </c>
      <c r="C2642" s="31" t="s">
        <v>5591</v>
      </c>
      <c r="D2642" s="31" t="s">
        <v>472</v>
      </c>
      <c r="E2642" s="31" t="s">
        <v>2834</v>
      </c>
      <c r="F2642" s="32">
        <v>44602.0</v>
      </c>
      <c r="G2642" s="32">
        <v>44661.0</v>
      </c>
      <c r="H2642" s="31" t="s">
        <v>453</v>
      </c>
      <c r="I2642" s="31" t="s">
        <v>2835</v>
      </c>
      <c r="J2642" s="31" t="s">
        <v>2836</v>
      </c>
      <c r="K2642" s="31" t="s">
        <v>2837</v>
      </c>
      <c r="L2642" s="31" t="s">
        <v>476</v>
      </c>
      <c r="M2642" s="31" t="s">
        <v>10299</v>
      </c>
      <c r="N2642" s="31" t="s">
        <v>467</v>
      </c>
      <c r="O2642" s="34"/>
      <c r="P2642" s="34"/>
      <c r="Q2642" s="31" t="s">
        <v>307</v>
      </c>
      <c r="R2642" s="32">
        <v>36534.0</v>
      </c>
      <c r="S2642" s="31" t="s">
        <v>560</v>
      </c>
      <c r="T2642" s="31" t="s">
        <v>1532</v>
      </c>
      <c r="U2642" s="31" t="s">
        <v>480</v>
      </c>
      <c r="V2642" s="31" t="s">
        <v>2834</v>
      </c>
      <c r="W2642" s="34"/>
    </row>
    <row r="2643">
      <c r="A2643" s="30">
        <v>2.638</v>
      </c>
      <c r="B2643" s="31" t="s">
        <v>10300</v>
      </c>
      <c r="C2643" s="31" t="s">
        <v>10301</v>
      </c>
      <c r="D2643" s="31" t="s">
        <v>472</v>
      </c>
      <c r="E2643" s="31" t="s">
        <v>2893</v>
      </c>
      <c r="F2643" s="32">
        <v>44602.0</v>
      </c>
      <c r="G2643" s="32">
        <v>44661.0</v>
      </c>
      <c r="H2643" s="31" t="s">
        <v>453</v>
      </c>
      <c r="I2643" s="31" t="s">
        <v>566</v>
      </c>
      <c r="J2643" s="31" t="s">
        <v>2888</v>
      </c>
      <c r="K2643" s="31" t="s">
        <v>2894</v>
      </c>
      <c r="L2643" s="31" t="s">
        <v>476</v>
      </c>
      <c r="M2643" s="31" t="s">
        <v>10302</v>
      </c>
      <c r="N2643" s="31" t="s">
        <v>467</v>
      </c>
      <c r="O2643" s="34"/>
      <c r="P2643" s="34"/>
      <c r="Q2643" s="31" t="s">
        <v>307</v>
      </c>
      <c r="R2643" s="32">
        <v>36711.0</v>
      </c>
      <c r="S2643" s="31" t="s">
        <v>560</v>
      </c>
      <c r="T2643" s="31" t="s">
        <v>1532</v>
      </c>
      <c r="U2643" s="31" t="s">
        <v>480</v>
      </c>
      <c r="V2643" s="31" t="s">
        <v>2893</v>
      </c>
      <c r="W2643" s="34"/>
    </row>
    <row r="2644">
      <c r="A2644" s="30">
        <v>2.639</v>
      </c>
      <c r="B2644" s="31" t="s">
        <v>10303</v>
      </c>
      <c r="C2644" s="31" t="s">
        <v>10304</v>
      </c>
      <c r="D2644" s="31" t="s">
        <v>553</v>
      </c>
      <c r="E2644" s="31" t="s">
        <v>4822</v>
      </c>
      <c r="F2644" s="32">
        <v>44600.0</v>
      </c>
      <c r="G2644" s="32">
        <v>44659.0</v>
      </c>
      <c r="H2644" s="31" t="s">
        <v>453</v>
      </c>
      <c r="I2644" s="31" t="s">
        <v>454</v>
      </c>
      <c r="J2644" s="31" t="s">
        <v>4823</v>
      </c>
      <c r="K2644" s="31" t="s">
        <v>4824</v>
      </c>
      <c r="L2644" s="31" t="s">
        <v>558</v>
      </c>
      <c r="M2644" s="31" t="s">
        <v>10305</v>
      </c>
      <c r="N2644" s="31" t="s">
        <v>267</v>
      </c>
      <c r="O2644" s="34"/>
      <c r="P2644" s="34"/>
      <c r="Q2644" s="31" t="s">
        <v>307</v>
      </c>
      <c r="R2644" s="35">
        <v>34995.0</v>
      </c>
      <c r="S2644" s="31" t="s">
        <v>531</v>
      </c>
      <c r="T2644" s="31" t="s">
        <v>4544</v>
      </c>
      <c r="U2644" s="31" t="s">
        <v>460</v>
      </c>
      <c r="V2644" s="31" t="s">
        <v>4822</v>
      </c>
      <c r="W2644" s="34"/>
    </row>
    <row r="2645">
      <c r="A2645" s="30">
        <v>2.64</v>
      </c>
      <c r="B2645" s="31" t="s">
        <v>10306</v>
      </c>
      <c r="C2645" s="31" t="s">
        <v>10307</v>
      </c>
      <c r="D2645" s="31" t="s">
        <v>472</v>
      </c>
      <c r="E2645" s="31" t="s">
        <v>3246</v>
      </c>
      <c r="F2645" s="32">
        <v>44260.0</v>
      </c>
      <c r="G2645" s="32">
        <v>44321.0</v>
      </c>
      <c r="H2645" s="31" t="s">
        <v>453</v>
      </c>
      <c r="I2645" s="31" t="s">
        <v>607</v>
      </c>
      <c r="J2645" s="31" t="s">
        <v>3247</v>
      </c>
      <c r="K2645" s="31" t="s">
        <v>3248</v>
      </c>
      <c r="L2645" s="31" t="s">
        <v>476</v>
      </c>
      <c r="M2645" s="31" t="s">
        <v>10308</v>
      </c>
      <c r="N2645" s="31" t="s">
        <v>467</v>
      </c>
      <c r="O2645" s="34"/>
      <c r="P2645" s="34"/>
      <c r="Q2645" s="31" t="s">
        <v>307</v>
      </c>
      <c r="R2645" s="35">
        <v>36819.0</v>
      </c>
      <c r="S2645" s="31" t="s">
        <v>560</v>
      </c>
      <c r="T2645" s="31" t="s">
        <v>479</v>
      </c>
      <c r="U2645" s="31" t="s">
        <v>480</v>
      </c>
      <c r="V2645" s="31" t="s">
        <v>3246</v>
      </c>
      <c r="W2645" s="34"/>
    </row>
    <row r="2646">
      <c r="A2646" s="30">
        <v>2.641</v>
      </c>
      <c r="B2646" s="31" t="s">
        <v>10309</v>
      </c>
      <c r="C2646" s="31" t="s">
        <v>10310</v>
      </c>
      <c r="D2646" s="31" t="s">
        <v>472</v>
      </c>
      <c r="E2646" s="31" t="s">
        <v>2681</v>
      </c>
      <c r="F2646" s="32">
        <v>44228.0</v>
      </c>
      <c r="G2646" s="32">
        <v>44287.0</v>
      </c>
      <c r="H2646" s="31" t="s">
        <v>453</v>
      </c>
      <c r="I2646" s="31" t="s">
        <v>454</v>
      </c>
      <c r="J2646" s="31" t="s">
        <v>2682</v>
      </c>
      <c r="K2646" s="31" t="s">
        <v>2683</v>
      </c>
      <c r="L2646" s="31" t="s">
        <v>476</v>
      </c>
      <c r="M2646" s="31" t="s">
        <v>10311</v>
      </c>
      <c r="N2646" s="31" t="s">
        <v>467</v>
      </c>
      <c r="O2646" s="34"/>
      <c r="P2646" s="34"/>
      <c r="Q2646" s="31" t="s">
        <v>307</v>
      </c>
      <c r="R2646" s="32">
        <v>36255.0</v>
      </c>
      <c r="S2646" s="31" t="s">
        <v>1622</v>
      </c>
      <c r="T2646" s="31" t="s">
        <v>503</v>
      </c>
      <c r="U2646" s="31" t="s">
        <v>480</v>
      </c>
      <c r="V2646" s="31" t="s">
        <v>2681</v>
      </c>
      <c r="W2646" s="34"/>
    </row>
    <row r="2647">
      <c r="A2647" s="30">
        <v>2.642</v>
      </c>
      <c r="B2647" s="31" t="s">
        <v>10312</v>
      </c>
      <c r="C2647" s="31" t="s">
        <v>10313</v>
      </c>
      <c r="D2647" s="31" t="s">
        <v>636</v>
      </c>
      <c r="E2647" s="31" t="s">
        <v>638</v>
      </c>
      <c r="F2647" s="32">
        <v>44228.0</v>
      </c>
      <c r="G2647" s="32">
        <v>44287.0</v>
      </c>
      <c r="H2647" s="31" t="s">
        <v>453</v>
      </c>
      <c r="I2647" s="31" t="s">
        <v>52</v>
      </c>
      <c r="J2647" s="31" t="s">
        <v>638</v>
      </c>
      <c r="K2647" s="31" t="s">
        <v>3267</v>
      </c>
      <c r="L2647" s="31" t="s">
        <v>640</v>
      </c>
      <c r="M2647" s="31" t="s">
        <v>10314</v>
      </c>
      <c r="N2647" s="31" t="s">
        <v>467</v>
      </c>
      <c r="O2647" s="34"/>
      <c r="P2647" s="34"/>
      <c r="Q2647" s="31" t="s">
        <v>307</v>
      </c>
      <c r="R2647" s="32">
        <v>36072.0</v>
      </c>
      <c r="S2647" s="31" t="s">
        <v>591</v>
      </c>
      <c r="T2647" s="31" t="s">
        <v>3090</v>
      </c>
      <c r="U2647" s="31" t="s">
        <v>643</v>
      </c>
      <c r="V2647" s="34"/>
      <c r="W2647" s="34"/>
    </row>
    <row r="2648">
      <c r="A2648" s="30">
        <v>2.643</v>
      </c>
      <c r="B2648" s="31" t="s">
        <v>10315</v>
      </c>
      <c r="C2648" s="31" t="s">
        <v>10316</v>
      </c>
      <c r="D2648" s="31" t="s">
        <v>3106</v>
      </c>
      <c r="E2648" s="31" t="s">
        <v>5207</v>
      </c>
      <c r="F2648" s="32">
        <v>44137.0</v>
      </c>
      <c r="G2648" s="32">
        <v>44198.0</v>
      </c>
      <c r="H2648" s="31" t="s">
        <v>453</v>
      </c>
      <c r="I2648" s="31" t="s">
        <v>607</v>
      </c>
      <c r="J2648" s="31" t="s">
        <v>5207</v>
      </c>
      <c r="K2648" s="31" t="s">
        <v>5208</v>
      </c>
      <c r="L2648" s="31" t="s">
        <v>5040</v>
      </c>
      <c r="M2648" s="31" t="s">
        <v>10317</v>
      </c>
      <c r="N2648" s="31" t="s">
        <v>467</v>
      </c>
      <c r="O2648" s="34"/>
      <c r="P2648" s="34"/>
      <c r="Q2648" s="31" t="s">
        <v>307</v>
      </c>
      <c r="R2648" s="32">
        <v>35862.0</v>
      </c>
      <c r="S2648" s="31" t="s">
        <v>502</v>
      </c>
      <c r="T2648" s="31" t="s">
        <v>479</v>
      </c>
      <c r="U2648" s="31" t="s">
        <v>643</v>
      </c>
      <c r="V2648" s="34"/>
      <c r="W2648" s="34"/>
    </row>
    <row r="2649">
      <c r="A2649" s="30">
        <v>2.644</v>
      </c>
      <c r="B2649" s="31" t="s">
        <v>10318</v>
      </c>
      <c r="C2649" s="31" t="s">
        <v>7028</v>
      </c>
      <c r="D2649" s="31" t="s">
        <v>463</v>
      </c>
      <c r="E2649" s="31" t="s">
        <v>3419</v>
      </c>
      <c r="F2649" s="32">
        <v>43570.0</v>
      </c>
      <c r="G2649" s="32">
        <v>43631.0</v>
      </c>
      <c r="H2649" s="31" t="s">
        <v>453</v>
      </c>
      <c r="I2649" s="31" t="s">
        <v>454</v>
      </c>
      <c r="J2649" s="31" t="s">
        <v>3188</v>
      </c>
      <c r="K2649" s="31" t="s">
        <v>3420</v>
      </c>
      <c r="L2649" s="31" t="s">
        <v>465</v>
      </c>
      <c r="M2649" s="31" t="s">
        <v>10319</v>
      </c>
      <c r="N2649" s="31" t="s">
        <v>267</v>
      </c>
      <c r="O2649" s="31">
        <v>2.0</v>
      </c>
      <c r="P2649" s="34"/>
      <c r="Q2649" s="31" t="s">
        <v>307</v>
      </c>
      <c r="R2649" s="32">
        <v>35891.0</v>
      </c>
      <c r="S2649" s="31" t="s">
        <v>560</v>
      </c>
      <c r="T2649" s="31" t="s">
        <v>496</v>
      </c>
      <c r="U2649" s="31" t="s">
        <v>460</v>
      </c>
      <c r="V2649" s="31" t="s">
        <v>3419</v>
      </c>
      <c r="W2649" s="34"/>
    </row>
    <row r="2650">
      <c r="A2650" s="30">
        <v>2.645</v>
      </c>
      <c r="B2650" s="31" t="s">
        <v>10320</v>
      </c>
      <c r="C2650" s="31" t="s">
        <v>10321</v>
      </c>
      <c r="D2650" s="31" t="s">
        <v>3222</v>
      </c>
      <c r="E2650" s="31" t="s">
        <v>5387</v>
      </c>
      <c r="F2650" s="32">
        <v>42803.0</v>
      </c>
      <c r="G2650" s="32">
        <v>42864.0</v>
      </c>
      <c r="H2650" s="31" t="s">
        <v>453</v>
      </c>
      <c r="I2650" s="31" t="s">
        <v>2835</v>
      </c>
      <c r="J2650" s="31" t="s">
        <v>3564</v>
      </c>
      <c r="K2650" s="31" t="s">
        <v>5388</v>
      </c>
      <c r="L2650" s="31" t="s">
        <v>3223</v>
      </c>
      <c r="M2650" s="31" t="s">
        <v>10322</v>
      </c>
      <c r="N2650" s="31" t="s">
        <v>267</v>
      </c>
      <c r="O2650" s="34"/>
      <c r="P2650" s="34"/>
      <c r="Q2650" s="31" t="s">
        <v>307</v>
      </c>
      <c r="R2650" s="35">
        <v>30605.0</v>
      </c>
      <c r="S2650" s="31" t="s">
        <v>3850</v>
      </c>
      <c r="T2650" s="31" t="s">
        <v>3174</v>
      </c>
      <c r="U2650" s="31" t="s">
        <v>480</v>
      </c>
      <c r="V2650" s="31" t="s">
        <v>5387</v>
      </c>
      <c r="W2650" s="34"/>
    </row>
    <row r="2651">
      <c r="A2651" s="30">
        <v>2.646</v>
      </c>
      <c r="B2651" s="31" t="s">
        <v>10323</v>
      </c>
      <c r="C2651" s="31" t="s">
        <v>10324</v>
      </c>
      <c r="D2651" s="31" t="s">
        <v>553</v>
      </c>
      <c r="E2651" s="31" t="s">
        <v>3419</v>
      </c>
      <c r="F2651" s="32">
        <v>43881.0</v>
      </c>
      <c r="G2651" s="32">
        <v>43941.0</v>
      </c>
      <c r="H2651" s="31" t="s">
        <v>453</v>
      </c>
      <c r="I2651" s="31" t="s">
        <v>454</v>
      </c>
      <c r="J2651" s="31" t="s">
        <v>3188</v>
      </c>
      <c r="K2651" s="31" t="s">
        <v>3420</v>
      </c>
      <c r="L2651" s="31" t="s">
        <v>558</v>
      </c>
      <c r="M2651" s="31" t="s">
        <v>10325</v>
      </c>
      <c r="N2651" s="31" t="s">
        <v>267</v>
      </c>
      <c r="O2651" s="34"/>
      <c r="P2651" s="34"/>
      <c r="Q2651" s="31" t="s">
        <v>307</v>
      </c>
      <c r="R2651" s="32">
        <v>34615.0</v>
      </c>
      <c r="S2651" s="31" t="s">
        <v>458</v>
      </c>
      <c r="T2651" s="31" t="s">
        <v>686</v>
      </c>
      <c r="U2651" s="31" t="s">
        <v>460</v>
      </c>
      <c r="V2651" s="31" t="s">
        <v>3419</v>
      </c>
      <c r="W2651" s="34"/>
    </row>
    <row r="2652">
      <c r="A2652" s="30">
        <v>2.647</v>
      </c>
      <c r="B2652" s="31" t="s">
        <v>10326</v>
      </c>
      <c r="C2652" s="31" t="s">
        <v>10327</v>
      </c>
      <c r="D2652" s="31" t="s">
        <v>452</v>
      </c>
      <c r="E2652" s="31" t="s">
        <v>4446</v>
      </c>
      <c r="F2652" s="32">
        <v>44753.0</v>
      </c>
      <c r="G2652" s="32">
        <v>44815.0</v>
      </c>
      <c r="H2652" s="31" t="s">
        <v>453</v>
      </c>
      <c r="I2652" s="31" t="s">
        <v>607</v>
      </c>
      <c r="J2652" s="31" t="s">
        <v>2697</v>
      </c>
      <c r="K2652" s="31" t="s">
        <v>4447</v>
      </c>
      <c r="L2652" s="31" t="s">
        <v>456</v>
      </c>
      <c r="M2652" s="31" t="s">
        <v>10328</v>
      </c>
      <c r="N2652" s="31" t="s">
        <v>267</v>
      </c>
      <c r="O2652" s="34"/>
      <c r="P2652" s="34"/>
      <c r="Q2652" s="31" t="s">
        <v>307</v>
      </c>
      <c r="R2652" s="32">
        <v>34559.0</v>
      </c>
      <c r="S2652" s="31" t="s">
        <v>531</v>
      </c>
      <c r="T2652" s="31" t="s">
        <v>516</v>
      </c>
      <c r="U2652" s="31" t="s">
        <v>643</v>
      </c>
      <c r="V2652" s="31" t="s">
        <v>4446</v>
      </c>
      <c r="W2652" s="34"/>
    </row>
    <row r="2653">
      <c r="A2653" s="30">
        <v>2.648</v>
      </c>
      <c r="B2653" s="31" t="s">
        <v>10329</v>
      </c>
      <c r="C2653" s="31" t="s">
        <v>10330</v>
      </c>
      <c r="D2653" s="31" t="s">
        <v>622</v>
      </c>
      <c r="E2653" s="31" t="s">
        <v>41</v>
      </c>
      <c r="F2653" s="32">
        <v>44742.0</v>
      </c>
      <c r="G2653" s="32">
        <v>44803.0</v>
      </c>
      <c r="H2653" s="31" t="s">
        <v>453</v>
      </c>
      <c r="I2653" s="31" t="s">
        <v>41</v>
      </c>
      <c r="J2653" s="34"/>
      <c r="K2653" s="31" t="s">
        <v>623</v>
      </c>
      <c r="L2653" s="31" t="s">
        <v>624</v>
      </c>
      <c r="M2653" s="31" t="s">
        <v>10331</v>
      </c>
      <c r="N2653" s="31" t="s">
        <v>267</v>
      </c>
      <c r="O2653" s="34"/>
      <c r="P2653" s="34"/>
      <c r="Q2653" s="31" t="s">
        <v>307</v>
      </c>
      <c r="R2653" s="32">
        <v>36838.0</v>
      </c>
      <c r="S2653" s="31" t="s">
        <v>531</v>
      </c>
      <c r="T2653" s="31" t="s">
        <v>5473</v>
      </c>
      <c r="U2653" s="31" t="s">
        <v>480</v>
      </c>
      <c r="V2653" s="34"/>
      <c r="W2653" s="34"/>
    </row>
    <row r="2654">
      <c r="A2654" s="30">
        <v>2.649</v>
      </c>
      <c r="B2654" s="31" t="s">
        <v>10332</v>
      </c>
      <c r="C2654" s="31" t="s">
        <v>10333</v>
      </c>
      <c r="D2654" s="31" t="s">
        <v>4996</v>
      </c>
      <c r="E2654" s="31" t="s">
        <v>10334</v>
      </c>
      <c r="F2654" s="32">
        <v>41785.0</v>
      </c>
      <c r="G2654" s="32">
        <v>41846.0</v>
      </c>
      <c r="H2654" s="31" t="s">
        <v>453</v>
      </c>
      <c r="I2654" s="31" t="s">
        <v>566</v>
      </c>
      <c r="J2654" s="31" t="s">
        <v>10334</v>
      </c>
      <c r="K2654" s="31" t="s">
        <v>10335</v>
      </c>
      <c r="L2654" s="31" t="s">
        <v>4998</v>
      </c>
      <c r="M2654" s="31" t="s">
        <v>10336</v>
      </c>
      <c r="N2654" s="31" t="s">
        <v>467</v>
      </c>
      <c r="O2654" s="31">
        <v>3.0</v>
      </c>
      <c r="P2654" s="34"/>
      <c r="Q2654" s="31" t="s">
        <v>307</v>
      </c>
      <c r="R2654" s="35">
        <v>33162.0</v>
      </c>
      <c r="S2654" s="31" t="s">
        <v>468</v>
      </c>
      <c r="T2654" s="31" t="s">
        <v>3198</v>
      </c>
      <c r="U2654" s="31" t="s">
        <v>480</v>
      </c>
      <c r="V2654" s="34"/>
      <c r="W2654" s="34"/>
    </row>
    <row r="2655">
      <c r="A2655" s="30">
        <v>2.65</v>
      </c>
      <c r="B2655" s="31" t="s">
        <v>10337</v>
      </c>
      <c r="C2655" s="31" t="s">
        <v>10338</v>
      </c>
      <c r="D2655" s="31" t="s">
        <v>472</v>
      </c>
      <c r="E2655" s="31" t="s">
        <v>4414</v>
      </c>
      <c r="F2655" s="32">
        <v>44740.0</v>
      </c>
      <c r="G2655" s="32">
        <v>44801.0</v>
      </c>
      <c r="H2655" s="31" t="s">
        <v>453</v>
      </c>
      <c r="I2655" s="31" t="s">
        <v>607</v>
      </c>
      <c r="J2655" s="31" t="s">
        <v>4415</v>
      </c>
      <c r="K2655" s="31" t="s">
        <v>4416</v>
      </c>
      <c r="L2655" s="31" t="s">
        <v>476</v>
      </c>
      <c r="M2655" s="31" t="s">
        <v>10339</v>
      </c>
      <c r="N2655" s="31" t="s">
        <v>467</v>
      </c>
      <c r="O2655" s="34"/>
      <c r="P2655" s="34"/>
      <c r="Q2655" s="31" t="s">
        <v>307</v>
      </c>
      <c r="R2655" s="32">
        <v>36715.0</v>
      </c>
      <c r="S2655" s="31" t="s">
        <v>591</v>
      </c>
      <c r="T2655" s="31" t="s">
        <v>5972</v>
      </c>
      <c r="U2655" s="31" t="s">
        <v>643</v>
      </c>
      <c r="V2655" s="31" t="s">
        <v>4414</v>
      </c>
      <c r="W2655" s="34"/>
    </row>
    <row r="2656">
      <c r="A2656" s="30">
        <v>2.651</v>
      </c>
      <c r="B2656" s="31" t="s">
        <v>10340</v>
      </c>
      <c r="C2656" s="31" t="s">
        <v>10341</v>
      </c>
      <c r="D2656" s="31" t="s">
        <v>586</v>
      </c>
      <c r="E2656" s="31" t="s">
        <v>587</v>
      </c>
      <c r="F2656" s="32">
        <v>44735.0</v>
      </c>
      <c r="G2656" s="32">
        <v>44796.0</v>
      </c>
      <c r="H2656" s="31" t="s">
        <v>453</v>
      </c>
      <c r="I2656" s="31" t="s">
        <v>587</v>
      </c>
      <c r="J2656" s="34"/>
      <c r="K2656" s="31" t="s">
        <v>588</v>
      </c>
      <c r="L2656" s="31" t="s">
        <v>589</v>
      </c>
      <c r="M2656" s="31" t="s">
        <v>10342</v>
      </c>
      <c r="N2656" s="31" t="s">
        <v>467</v>
      </c>
      <c r="O2656" s="34"/>
      <c r="P2656" s="34"/>
      <c r="Q2656" s="31" t="s">
        <v>307</v>
      </c>
      <c r="R2656" s="32">
        <v>36386.0</v>
      </c>
      <c r="S2656" s="31" t="s">
        <v>591</v>
      </c>
      <c r="T2656" s="31" t="s">
        <v>10343</v>
      </c>
      <c r="U2656" s="31" t="s">
        <v>480</v>
      </c>
      <c r="V2656" s="34"/>
      <c r="W2656" s="34"/>
    </row>
    <row r="2657">
      <c r="A2657" s="30">
        <v>2.652</v>
      </c>
      <c r="B2657" s="31" t="s">
        <v>10344</v>
      </c>
      <c r="C2657" s="31" t="s">
        <v>10345</v>
      </c>
      <c r="D2657" s="31" t="s">
        <v>452</v>
      </c>
      <c r="E2657" s="31" t="s">
        <v>3396</v>
      </c>
      <c r="F2657" s="32">
        <v>44732.0</v>
      </c>
      <c r="G2657" s="32">
        <v>44793.0</v>
      </c>
      <c r="H2657" s="31" t="s">
        <v>453</v>
      </c>
      <c r="I2657" s="31" t="s">
        <v>47</v>
      </c>
      <c r="J2657" s="31" t="s">
        <v>3397</v>
      </c>
      <c r="K2657" s="31" t="s">
        <v>3398</v>
      </c>
      <c r="L2657" s="31" t="s">
        <v>456</v>
      </c>
      <c r="M2657" s="31" t="s">
        <v>10346</v>
      </c>
      <c r="N2657" s="31" t="s">
        <v>467</v>
      </c>
      <c r="O2657" s="34"/>
      <c r="P2657" s="34"/>
      <c r="Q2657" s="31" t="s">
        <v>307</v>
      </c>
      <c r="R2657" s="32">
        <v>36226.0</v>
      </c>
      <c r="S2657" s="31" t="s">
        <v>2938</v>
      </c>
      <c r="T2657" s="31" t="s">
        <v>686</v>
      </c>
      <c r="U2657" s="31" t="s">
        <v>480</v>
      </c>
      <c r="V2657" s="31" t="s">
        <v>3396</v>
      </c>
      <c r="W2657" s="34"/>
    </row>
    <row r="2658">
      <c r="A2658" s="30">
        <v>2.653</v>
      </c>
      <c r="B2658" s="31" t="s">
        <v>10347</v>
      </c>
      <c r="C2658" s="31" t="s">
        <v>10348</v>
      </c>
      <c r="D2658" s="31" t="s">
        <v>553</v>
      </c>
      <c r="E2658" s="31" t="s">
        <v>2902</v>
      </c>
      <c r="F2658" s="32">
        <v>44732.0</v>
      </c>
      <c r="G2658" s="32">
        <v>44793.0</v>
      </c>
      <c r="H2658" s="31" t="s">
        <v>453</v>
      </c>
      <c r="I2658" s="31" t="s">
        <v>454</v>
      </c>
      <c r="J2658" s="31" t="s">
        <v>2903</v>
      </c>
      <c r="K2658" s="31" t="s">
        <v>2904</v>
      </c>
      <c r="L2658" s="31" t="s">
        <v>558</v>
      </c>
      <c r="M2658" s="31" t="s">
        <v>10349</v>
      </c>
      <c r="N2658" s="31" t="s">
        <v>267</v>
      </c>
      <c r="O2658" s="34"/>
      <c r="P2658" s="34"/>
      <c r="Q2658" s="31" t="s">
        <v>307</v>
      </c>
      <c r="R2658" s="32">
        <v>36077.0</v>
      </c>
      <c r="S2658" s="31" t="s">
        <v>515</v>
      </c>
      <c r="T2658" s="31" t="s">
        <v>1059</v>
      </c>
      <c r="U2658" s="31" t="s">
        <v>480</v>
      </c>
      <c r="V2658" s="31" t="s">
        <v>2902</v>
      </c>
      <c r="W2658" s="34"/>
    </row>
    <row r="2659">
      <c r="A2659" s="30">
        <v>2.654</v>
      </c>
      <c r="B2659" s="31" t="s">
        <v>10350</v>
      </c>
      <c r="C2659" s="31" t="s">
        <v>10351</v>
      </c>
      <c r="D2659" s="31" t="s">
        <v>622</v>
      </c>
      <c r="E2659" s="31" t="s">
        <v>41</v>
      </c>
      <c r="F2659" s="32">
        <v>42219.0</v>
      </c>
      <c r="G2659" s="32">
        <v>42278.0</v>
      </c>
      <c r="H2659" s="31" t="s">
        <v>453</v>
      </c>
      <c r="I2659" s="31" t="s">
        <v>41</v>
      </c>
      <c r="J2659" s="34"/>
      <c r="K2659" s="31" t="s">
        <v>623</v>
      </c>
      <c r="L2659" s="31" t="s">
        <v>624</v>
      </c>
      <c r="M2659" s="31" t="s">
        <v>10352</v>
      </c>
      <c r="N2659" s="31" t="s">
        <v>267</v>
      </c>
      <c r="O2659" s="34"/>
      <c r="P2659" s="34"/>
      <c r="Q2659" s="31" t="s">
        <v>307</v>
      </c>
      <c r="R2659" s="32">
        <v>33820.0</v>
      </c>
      <c r="S2659" s="31" t="s">
        <v>626</v>
      </c>
      <c r="T2659" s="31" t="s">
        <v>1093</v>
      </c>
      <c r="U2659" s="31" t="s">
        <v>480</v>
      </c>
      <c r="V2659" s="34"/>
      <c r="W2659" s="34"/>
    </row>
    <row r="2660">
      <c r="A2660" s="30">
        <v>2.655</v>
      </c>
      <c r="B2660" s="31" t="s">
        <v>10353</v>
      </c>
      <c r="C2660" s="31" t="s">
        <v>10354</v>
      </c>
      <c r="D2660" s="31" t="s">
        <v>10355</v>
      </c>
      <c r="E2660" s="31" t="s">
        <v>587</v>
      </c>
      <c r="F2660" s="32">
        <v>43935.0</v>
      </c>
      <c r="G2660" s="32">
        <v>43996.0</v>
      </c>
      <c r="H2660" s="31" t="s">
        <v>453</v>
      </c>
      <c r="I2660" s="31" t="s">
        <v>587</v>
      </c>
      <c r="J2660" s="34"/>
      <c r="K2660" s="31" t="s">
        <v>588</v>
      </c>
      <c r="L2660" s="31" t="s">
        <v>10356</v>
      </c>
      <c r="M2660" s="31" t="s">
        <v>10357</v>
      </c>
      <c r="N2660" s="31" t="s">
        <v>467</v>
      </c>
      <c r="O2660" s="31">
        <v>2.0</v>
      </c>
      <c r="P2660" s="34"/>
      <c r="Q2660" s="31" t="s">
        <v>307</v>
      </c>
      <c r="R2660" s="32">
        <v>35830.0</v>
      </c>
      <c r="S2660" s="31" t="s">
        <v>591</v>
      </c>
      <c r="T2660" s="31" t="s">
        <v>3090</v>
      </c>
      <c r="U2660" s="31" t="s">
        <v>480</v>
      </c>
      <c r="V2660" s="34"/>
      <c r="W2660" s="34"/>
    </row>
    <row r="2661">
      <c r="A2661" s="30">
        <v>2.656</v>
      </c>
      <c r="B2661" s="31" t="s">
        <v>10358</v>
      </c>
      <c r="C2661" s="31" t="s">
        <v>10359</v>
      </c>
      <c r="D2661" s="31" t="s">
        <v>615</v>
      </c>
      <c r="E2661" s="31" t="s">
        <v>5620</v>
      </c>
      <c r="F2661" s="32">
        <v>44144.0</v>
      </c>
      <c r="G2661" s="32">
        <v>44205.0</v>
      </c>
      <c r="H2661" s="31" t="s">
        <v>453</v>
      </c>
      <c r="I2661" s="31" t="s">
        <v>607</v>
      </c>
      <c r="J2661" s="31" t="s">
        <v>4380</v>
      </c>
      <c r="K2661" s="31" t="s">
        <v>5621</v>
      </c>
      <c r="L2661" s="31" t="s">
        <v>618</v>
      </c>
      <c r="M2661" s="31" t="s">
        <v>10360</v>
      </c>
      <c r="N2661" s="31" t="s">
        <v>267</v>
      </c>
      <c r="O2661" s="34"/>
      <c r="P2661" s="34"/>
      <c r="Q2661" s="31" t="s">
        <v>307</v>
      </c>
      <c r="R2661" s="32">
        <v>36171.0</v>
      </c>
      <c r="S2661" s="31" t="s">
        <v>10361</v>
      </c>
      <c r="T2661" s="31" t="s">
        <v>10362</v>
      </c>
      <c r="U2661" s="31" t="s">
        <v>643</v>
      </c>
      <c r="V2661" s="31" t="s">
        <v>5620</v>
      </c>
      <c r="W2661" s="34"/>
    </row>
    <row r="2662">
      <c r="A2662" s="30">
        <v>2.657</v>
      </c>
      <c r="B2662" s="31" t="s">
        <v>10363</v>
      </c>
      <c r="C2662" s="31" t="s">
        <v>10364</v>
      </c>
      <c r="D2662" s="31" t="s">
        <v>615</v>
      </c>
      <c r="E2662" s="31" t="s">
        <v>6181</v>
      </c>
      <c r="F2662" s="32">
        <v>43152.0</v>
      </c>
      <c r="G2662" s="32">
        <v>43211.0</v>
      </c>
      <c r="H2662" s="31" t="s">
        <v>453</v>
      </c>
      <c r="I2662" s="31" t="s">
        <v>607</v>
      </c>
      <c r="J2662" s="31" t="s">
        <v>4415</v>
      </c>
      <c r="K2662" s="31" t="s">
        <v>6182</v>
      </c>
      <c r="L2662" s="31" t="s">
        <v>618</v>
      </c>
      <c r="M2662" s="31" t="s">
        <v>10365</v>
      </c>
      <c r="N2662" s="31" t="s">
        <v>267</v>
      </c>
      <c r="O2662" s="34"/>
      <c r="P2662" s="34"/>
      <c r="Q2662" s="31" t="s">
        <v>307</v>
      </c>
      <c r="R2662" s="32">
        <v>32007.0</v>
      </c>
      <c r="S2662" s="31" t="s">
        <v>560</v>
      </c>
      <c r="T2662" s="31" t="s">
        <v>479</v>
      </c>
      <c r="U2662" s="31" t="s">
        <v>643</v>
      </c>
      <c r="V2662" s="31" t="s">
        <v>6181</v>
      </c>
      <c r="W2662" s="34"/>
    </row>
    <row r="2663">
      <c r="A2663" s="30">
        <v>2.658</v>
      </c>
      <c r="B2663" s="31" t="s">
        <v>10366</v>
      </c>
      <c r="C2663" s="31" t="s">
        <v>10367</v>
      </c>
      <c r="D2663" s="31" t="s">
        <v>452</v>
      </c>
      <c r="E2663" s="31" t="s">
        <v>4420</v>
      </c>
      <c r="F2663" s="32">
        <v>44223.0</v>
      </c>
      <c r="G2663" s="32">
        <v>44282.0</v>
      </c>
      <c r="H2663" s="31" t="s">
        <v>453</v>
      </c>
      <c r="I2663" s="31" t="s">
        <v>454</v>
      </c>
      <c r="J2663" s="31" t="s">
        <v>3378</v>
      </c>
      <c r="K2663" s="31" t="s">
        <v>4421</v>
      </c>
      <c r="L2663" s="31" t="s">
        <v>456</v>
      </c>
      <c r="M2663" s="31" t="s">
        <v>10368</v>
      </c>
      <c r="N2663" s="31" t="s">
        <v>267</v>
      </c>
      <c r="O2663" s="34"/>
      <c r="P2663" s="34"/>
      <c r="Q2663" s="31" t="s">
        <v>307</v>
      </c>
      <c r="R2663" s="32">
        <v>32779.0</v>
      </c>
      <c r="S2663" s="31" t="s">
        <v>1197</v>
      </c>
      <c r="T2663" s="31" t="s">
        <v>778</v>
      </c>
      <c r="U2663" s="31" t="s">
        <v>460</v>
      </c>
      <c r="V2663" s="31" t="s">
        <v>4420</v>
      </c>
      <c r="W2663" s="34"/>
    </row>
    <row r="2664">
      <c r="A2664" s="30">
        <v>2.659</v>
      </c>
      <c r="B2664" s="31" t="s">
        <v>10369</v>
      </c>
      <c r="C2664" s="31" t="s">
        <v>10370</v>
      </c>
      <c r="D2664" s="31" t="s">
        <v>472</v>
      </c>
      <c r="E2664" s="31" t="s">
        <v>5499</v>
      </c>
      <c r="F2664" s="32">
        <v>44218.0</v>
      </c>
      <c r="G2664" s="32">
        <v>44277.0</v>
      </c>
      <c r="H2664" s="31" t="s">
        <v>453</v>
      </c>
      <c r="I2664" s="31" t="s">
        <v>607</v>
      </c>
      <c r="J2664" s="31" t="s">
        <v>3035</v>
      </c>
      <c r="K2664" s="31" t="s">
        <v>5500</v>
      </c>
      <c r="L2664" s="31" t="s">
        <v>476</v>
      </c>
      <c r="M2664" s="31" t="s">
        <v>10371</v>
      </c>
      <c r="N2664" s="31" t="s">
        <v>467</v>
      </c>
      <c r="O2664" s="34"/>
      <c r="P2664" s="34"/>
      <c r="Q2664" s="31" t="s">
        <v>307</v>
      </c>
      <c r="R2664" s="35">
        <v>36096.0</v>
      </c>
      <c r="S2664" s="31" t="s">
        <v>10372</v>
      </c>
      <c r="T2664" s="31" t="s">
        <v>1865</v>
      </c>
      <c r="U2664" s="31" t="s">
        <v>480</v>
      </c>
      <c r="V2664" s="31" t="s">
        <v>5499</v>
      </c>
      <c r="W2664" s="34"/>
    </row>
    <row r="2665">
      <c r="A2665" s="30">
        <v>2.66</v>
      </c>
      <c r="B2665" s="31" t="s">
        <v>10373</v>
      </c>
      <c r="C2665" s="31" t="s">
        <v>6783</v>
      </c>
      <c r="D2665" s="31" t="s">
        <v>615</v>
      </c>
      <c r="E2665" s="31" t="s">
        <v>616</v>
      </c>
      <c r="F2665" s="32">
        <v>44581.0</v>
      </c>
      <c r="G2665" s="32">
        <v>44640.0</v>
      </c>
      <c r="H2665" s="31" t="s">
        <v>453</v>
      </c>
      <c r="I2665" s="31" t="s">
        <v>555</v>
      </c>
      <c r="J2665" s="31" t="s">
        <v>556</v>
      </c>
      <c r="K2665" s="31" t="s">
        <v>617</v>
      </c>
      <c r="L2665" s="31" t="s">
        <v>618</v>
      </c>
      <c r="M2665" s="31" t="s">
        <v>10374</v>
      </c>
      <c r="N2665" s="31" t="s">
        <v>467</v>
      </c>
      <c r="O2665" s="34"/>
      <c r="P2665" s="34"/>
      <c r="Q2665" s="31" t="s">
        <v>307</v>
      </c>
      <c r="R2665" s="35">
        <v>33932.0</v>
      </c>
      <c r="S2665" s="31" t="s">
        <v>320</v>
      </c>
      <c r="T2665" s="31" t="s">
        <v>3699</v>
      </c>
      <c r="U2665" s="31" t="s">
        <v>480</v>
      </c>
      <c r="V2665" s="31" t="s">
        <v>616</v>
      </c>
      <c r="W2665" s="34"/>
    </row>
    <row r="2666">
      <c r="A2666" s="30">
        <v>2.661</v>
      </c>
      <c r="B2666" s="31" t="s">
        <v>10375</v>
      </c>
      <c r="C2666" s="31" t="s">
        <v>10376</v>
      </c>
      <c r="D2666" s="31" t="s">
        <v>472</v>
      </c>
      <c r="E2666" s="31" t="s">
        <v>4414</v>
      </c>
      <c r="F2666" s="32">
        <v>44203.0</v>
      </c>
      <c r="G2666" s="32">
        <v>44262.0</v>
      </c>
      <c r="H2666" s="31" t="s">
        <v>453</v>
      </c>
      <c r="I2666" s="31" t="s">
        <v>607</v>
      </c>
      <c r="J2666" s="31" t="s">
        <v>4415</v>
      </c>
      <c r="K2666" s="31" t="s">
        <v>4416</v>
      </c>
      <c r="L2666" s="31" t="s">
        <v>476</v>
      </c>
      <c r="M2666" s="31" t="s">
        <v>10377</v>
      </c>
      <c r="N2666" s="31" t="s">
        <v>267</v>
      </c>
      <c r="O2666" s="34"/>
      <c r="P2666" s="34"/>
      <c r="Q2666" s="31" t="s">
        <v>307</v>
      </c>
      <c r="R2666" s="32">
        <v>35822.0</v>
      </c>
      <c r="S2666" s="31" t="s">
        <v>591</v>
      </c>
      <c r="T2666" s="31" t="s">
        <v>961</v>
      </c>
      <c r="U2666" s="31" t="s">
        <v>643</v>
      </c>
      <c r="V2666" s="31" t="s">
        <v>4414</v>
      </c>
      <c r="W2666" s="34"/>
    </row>
    <row r="2667">
      <c r="A2667" s="30">
        <v>2.662</v>
      </c>
      <c r="B2667" s="31" t="s">
        <v>10378</v>
      </c>
      <c r="C2667" s="31" t="s">
        <v>5348</v>
      </c>
      <c r="D2667" s="31" t="s">
        <v>622</v>
      </c>
      <c r="E2667" s="31" t="s">
        <v>41</v>
      </c>
      <c r="F2667" s="32">
        <v>44567.0</v>
      </c>
      <c r="G2667" s="32">
        <v>44626.0</v>
      </c>
      <c r="H2667" s="31" t="s">
        <v>453</v>
      </c>
      <c r="I2667" s="31" t="s">
        <v>41</v>
      </c>
      <c r="J2667" s="34"/>
      <c r="K2667" s="31" t="s">
        <v>623</v>
      </c>
      <c r="L2667" s="31" t="s">
        <v>624</v>
      </c>
      <c r="M2667" s="31" t="s">
        <v>10379</v>
      </c>
      <c r="N2667" s="31" t="s">
        <v>467</v>
      </c>
      <c r="O2667" s="34"/>
      <c r="P2667" s="34"/>
      <c r="Q2667" s="31" t="s">
        <v>307</v>
      </c>
      <c r="R2667" s="35">
        <v>36483.0</v>
      </c>
      <c r="S2667" s="31" t="s">
        <v>458</v>
      </c>
      <c r="T2667" s="31" t="s">
        <v>778</v>
      </c>
      <c r="U2667" s="31" t="s">
        <v>480</v>
      </c>
      <c r="V2667" s="34"/>
      <c r="W2667" s="34"/>
    </row>
    <row r="2668">
      <c r="A2668" s="30">
        <v>2.663</v>
      </c>
      <c r="B2668" s="31" t="s">
        <v>10380</v>
      </c>
      <c r="C2668" s="31" t="s">
        <v>10381</v>
      </c>
      <c r="D2668" s="31" t="s">
        <v>4909</v>
      </c>
      <c r="E2668" s="31" t="s">
        <v>2681</v>
      </c>
      <c r="F2668" s="35">
        <v>44560.0</v>
      </c>
      <c r="G2668" s="32">
        <v>44621.0</v>
      </c>
      <c r="H2668" s="31" t="s">
        <v>453</v>
      </c>
      <c r="I2668" s="31" t="s">
        <v>454</v>
      </c>
      <c r="J2668" s="31" t="s">
        <v>2682</v>
      </c>
      <c r="K2668" s="31" t="s">
        <v>2683</v>
      </c>
      <c r="L2668" s="31" t="s">
        <v>4910</v>
      </c>
      <c r="M2668" s="31" t="s">
        <v>10382</v>
      </c>
      <c r="N2668" s="31" t="s">
        <v>467</v>
      </c>
      <c r="O2668" s="34"/>
      <c r="P2668" s="34"/>
      <c r="Q2668" s="31" t="s">
        <v>307</v>
      </c>
      <c r="R2668" s="35">
        <v>36450.0</v>
      </c>
      <c r="S2668" s="31" t="s">
        <v>502</v>
      </c>
      <c r="T2668" s="31" t="s">
        <v>469</v>
      </c>
      <c r="U2668" s="31" t="s">
        <v>480</v>
      </c>
      <c r="V2668" s="31" t="s">
        <v>2681</v>
      </c>
      <c r="W2668" s="34"/>
    </row>
    <row r="2669">
      <c r="A2669" s="30">
        <v>2.664</v>
      </c>
      <c r="B2669" s="31" t="s">
        <v>10383</v>
      </c>
      <c r="C2669" s="31" t="s">
        <v>10384</v>
      </c>
      <c r="D2669" s="31" t="s">
        <v>472</v>
      </c>
      <c r="E2669" s="31" t="s">
        <v>2696</v>
      </c>
      <c r="F2669" s="35">
        <v>44560.0</v>
      </c>
      <c r="G2669" s="32">
        <v>44621.0</v>
      </c>
      <c r="H2669" s="31" t="s">
        <v>453</v>
      </c>
      <c r="I2669" s="31" t="s">
        <v>607</v>
      </c>
      <c r="J2669" s="31" t="s">
        <v>2697</v>
      </c>
      <c r="K2669" s="31" t="s">
        <v>2698</v>
      </c>
      <c r="L2669" s="31" t="s">
        <v>476</v>
      </c>
      <c r="M2669" s="31" t="s">
        <v>10385</v>
      </c>
      <c r="N2669" s="31" t="s">
        <v>467</v>
      </c>
      <c r="O2669" s="34"/>
      <c r="P2669" s="34"/>
      <c r="Q2669" s="31" t="s">
        <v>307</v>
      </c>
      <c r="R2669" s="32">
        <v>36834.0</v>
      </c>
      <c r="S2669" s="31" t="s">
        <v>502</v>
      </c>
      <c r="T2669" s="31" t="s">
        <v>503</v>
      </c>
      <c r="U2669" s="31" t="s">
        <v>643</v>
      </c>
      <c r="V2669" s="31" t="s">
        <v>2696</v>
      </c>
      <c r="W2669" s="34"/>
    </row>
    <row r="2670">
      <c r="A2670" s="30">
        <v>2.665</v>
      </c>
      <c r="B2670" s="31" t="s">
        <v>10386</v>
      </c>
      <c r="C2670" s="31" t="s">
        <v>10387</v>
      </c>
      <c r="D2670" s="31" t="s">
        <v>499</v>
      </c>
      <c r="E2670" s="31" t="s">
        <v>637</v>
      </c>
      <c r="F2670" s="35">
        <v>44194.0</v>
      </c>
      <c r="G2670" s="32">
        <v>44256.0</v>
      </c>
      <c r="H2670" s="31" t="s">
        <v>453</v>
      </c>
      <c r="I2670" s="31" t="s">
        <v>52</v>
      </c>
      <c r="J2670" s="31" t="s">
        <v>638</v>
      </c>
      <c r="K2670" s="31" t="s">
        <v>639</v>
      </c>
      <c r="L2670" s="31" t="s">
        <v>500</v>
      </c>
      <c r="M2670" s="31" t="s">
        <v>10388</v>
      </c>
      <c r="N2670" s="31" t="s">
        <v>467</v>
      </c>
      <c r="O2670" s="31">
        <v>1.0</v>
      </c>
      <c r="P2670" s="34"/>
      <c r="Q2670" s="31" t="s">
        <v>307</v>
      </c>
      <c r="R2670" s="32">
        <v>35977.0</v>
      </c>
      <c r="S2670" s="31" t="s">
        <v>4675</v>
      </c>
      <c r="T2670" s="31" t="s">
        <v>496</v>
      </c>
      <c r="U2670" s="31" t="s">
        <v>643</v>
      </c>
      <c r="V2670" s="31" t="s">
        <v>637</v>
      </c>
      <c r="W2670" s="34"/>
    </row>
    <row r="2671">
      <c r="A2671" s="30">
        <v>2.666</v>
      </c>
      <c r="B2671" s="31" t="s">
        <v>10389</v>
      </c>
      <c r="C2671" s="31" t="s">
        <v>10390</v>
      </c>
      <c r="D2671" s="31" t="s">
        <v>4909</v>
      </c>
      <c r="E2671" s="31" t="s">
        <v>2651</v>
      </c>
      <c r="F2671" s="35">
        <v>44194.0</v>
      </c>
      <c r="G2671" s="32">
        <v>44256.0</v>
      </c>
      <c r="H2671" s="31" t="s">
        <v>453</v>
      </c>
      <c r="I2671" s="31" t="s">
        <v>566</v>
      </c>
      <c r="J2671" s="31" t="s">
        <v>567</v>
      </c>
      <c r="K2671" s="31" t="s">
        <v>2652</v>
      </c>
      <c r="L2671" s="31" t="s">
        <v>4910</v>
      </c>
      <c r="M2671" s="31" t="s">
        <v>10391</v>
      </c>
      <c r="N2671" s="31" t="s">
        <v>467</v>
      </c>
      <c r="O2671" s="34"/>
      <c r="P2671" s="34"/>
      <c r="Q2671" s="31" t="s">
        <v>307</v>
      </c>
      <c r="R2671" s="32">
        <v>36435.0</v>
      </c>
      <c r="S2671" s="31" t="s">
        <v>490</v>
      </c>
      <c r="T2671" s="31" t="s">
        <v>503</v>
      </c>
      <c r="U2671" s="31" t="s">
        <v>480</v>
      </c>
      <c r="V2671" s="31" t="s">
        <v>2651</v>
      </c>
      <c r="W2671" s="34"/>
    </row>
    <row r="2672">
      <c r="A2672" s="30">
        <v>2.667</v>
      </c>
      <c r="B2672" s="31" t="s">
        <v>10392</v>
      </c>
      <c r="C2672" s="31" t="s">
        <v>10393</v>
      </c>
      <c r="D2672" s="31" t="s">
        <v>452</v>
      </c>
      <c r="E2672" s="31" t="s">
        <v>3187</v>
      </c>
      <c r="F2672" s="32">
        <v>44725.0</v>
      </c>
      <c r="G2672" s="32">
        <v>44786.0</v>
      </c>
      <c r="H2672" s="31" t="s">
        <v>453</v>
      </c>
      <c r="I2672" s="31" t="s">
        <v>454</v>
      </c>
      <c r="J2672" s="31" t="s">
        <v>3188</v>
      </c>
      <c r="K2672" s="31" t="s">
        <v>3189</v>
      </c>
      <c r="L2672" s="31" t="s">
        <v>456</v>
      </c>
      <c r="M2672" s="31" t="s">
        <v>10394</v>
      </c>
      <c r="N2672" s="31" t="s">
        <v>267</v>
      </c>
      <c r="O2672" s="34"/>
      <c r="P2672" s="34"/>
      <c r="Q2672" s="31" t="s">
        <v>307</v>
      </c>
      <c r="R2672" s="32">
        <v>36772.0</v>
      </c>
      <c r="S2672" s="31" t="s">
        <v>626</v>
      </c>
      <c r="T2672" s="31" t="s">
        <v>7769</v>
      </c>
      <c r="U2672" s="31" t="s">
        <v>460</v>
      </c>
      <c r="V2672" s="31" t="s">
        <v>3187</v>
      </c>
      <c r="W2672" s="34"/>
    </row>
    <row r="2673">
      <c r="A2673" s="30">
        <v>2.668</v>
      </c>
      <c r="B2673" s="31" t="s">
        <v>10395</v>
      </c>
      <c r="C2673" s="31" t="s">
        <v>5919</v>
      </c>
      <c r="D2673" s="31" t="s">
        <v>472</v>
      </c>
      <c r="E2673" s="31" t="s">
        <v>4983</v>
      </c>
      <c r="F2673" s="32">
        <v>44685.0</v>
      </c>
      <c r="G2673" s="32">
        <v>44746.0</v>
      </c>
      <c r="H2673" s="31" t="s">
        <v>453</v>
      </c>
      <c r="I2673" s="31" t="s">
        <v>4330</v>
      </c>
      <c r="J2673" s="31" t="s">
        <v>4331</v>
      </c>
      <c r="K2673" s="31" t="s">
        <v>4984</v>
      </c>
      <c r="L2673" s="31" t="s">
        <v>476</v>
      </c>
      <c r="M2673" s="31" t="s">
        <v>10396</v>
      </c>
      <c r="N2673" s="31" t="s">
        <v>467</v>
      </c>
      <c r="O2673" s="34"/>
      <c r="P2673" s="34"/>
      <c r="Q2673" s="31" t="s">
        <v>307</v>
      </c>
      <c r="R2673" s="32">
        <v>36536.0</v>
      </c>
      <c r="S2673" s="31" t="s">
        <v>560</v>
      </c>
      <c r="T2673" s="31" t="s">
        <v>491</v>
      </c>
      <c r="U2673" s="31" t="s">
        <v>460</v>
      </c>
      <c r="V2673" s="31" t="s">
        <v>4983</v>
      </c>
      <c r="W2673" s="34"/>
    </row>
    <row r="2674">
      <c r="A2674" s="30">
        <v>2.669</v>
      </c>
      <c r="B2674" s="31" t="s">
        <v>10397</v>
      </c>
      <c r="C2674" s="31" t="s">
        <v>10398</v>
      </c>
      <c r="D2674" s="31" t="s">
        <v>472</v>
      </c>
      <c r="E2674" s="31" t="s">
        <v>3419</v>
      </c>
      <c r="F2674" s="32">
        <v>44718.0</v>
      </c>
      <c r="G2674" s="32">
        <v>44779.0</v>
      </c>
      <c r="H2674" s="31" t="s">
        <v>453</v>
      </c>
      <c r="I2674" s="31" t="s">
        <v>454</v>
      </c>
      <c r="J2674" s="31" t="s">
        <v>3188</v>
      </c>
      <c r="K2674" s="31" t="s">
        <v>3420</v>
      </c>
      <c r="L2674" s="31" t="s">
        <v>476</v>
      </c>
      <c r="M2674" s="31" t="s">
        <v>10399</v>
      </c>
      <c r="N2674" s="31" t="s">
        <v>467</v>
      </c>
      <c r="O2674" s="34"/>
      <c r="P2674" s="34"/>
      <c r="Q2674" s="31" t="s">
        <v>307</v>
      </c>
      <c r="R2674" s="32">
        <v>37151.0</v>
      </c>
      <c r="S2674" s="31" t="s">
        <v>6516</v>
      </c>
      <c r="T2674" s="31" t="s">
        <v>503</v>
      </c>
      <c r="U2674" s="31" t="s">
        <v>460</v>
      </c>
      <c r="V2674" s="31" t="s">
        <v>3419</v>
      </c>
      <c r="W2674" s="34"/>
    </row>
    <row r="2675">
      <c r="A2675" s="30">
        <v>2.67</v>
      </c>
      <c r="B2675" s="31" t="s">
        <v>10400</v>
      </c>
      <c r="C2675" s="31" t="s">
        <v>10401</v>
      </c>
      <c r="D2675" s="31" t="s">
        <v>472</v>
      </c>
      <c r="E2675" s="31" t="s">
        <v>2696</v>
      </c>
      <c r="F2675" s="32">
        <v>44699.0</v>
      </c>
      <c r="G2675" s="32">
        <v>44760.0</v>
      </c>
      <c r="H2675" s="31" t="s">
        <v>453</v>
      </c>
      <c r="I2675" s="31" t="s">
        <v>607</v>
      </c>
      <c r="J2675" s="31" t="s">
        <v>2697</v>
      </c>
      <c r="K2675" s="31" t="s">
        <v>2698</v>
      </c>
      <c r="L2675" s="31" t="s">
        <v>476</v>
      </c>
      <c r="M2675" s="31" t="s">
        <v>10402</v>
      </c>
      <c r="N2675" s="31" t="s">
        <v>467</v>
      </c>
      <c r="O2675" s="34"/>
      <c r="P2675" s="34"/>
      <c r="Q2675" s="31" t="s">
        <v>307</v>
      </c>
      <c r="R2675" s="32">
        <v>33947.0</v>
      </c>
      <c r="S2675" s="31" t="s">
        <v>560</v>
      </c>
      <c r="T2675" s="31" t="s">
        <v>496</v>
      </c>
      <c r="U2675" s="31" t="s">
        <v>643</v>
      </c>
      <c r="V2675" s="31" t="s">
        <v>2696</v>
      </c>
      <c r="W2675" s="34"/>
    </row>
    <row r="2676">
      <c r="A2676" s="30">
        <v>2.671</v>
      </c>
      <c r="B2676" s="31" t="s">
        <v>10403</v>
      </c>
      <c r="C2676" s="31" t="s">
        <v>10404</v>
      </c>
      <c r="D2676" s="31" t="s">
        <v>472</v>
      </c>
      <c r="E2676" s="31" t="s">
        <v>4991</v>
      </c>
      <c r="F2676" s="35">
        <v>44180.0</v>
      </c>
      <c r="G2676" s="32">
        <v>44242.0</v>
      </c>
      <c r="H2676" s="31" t="s">
        <v>453</v>
      </c>
      <c r="I2676" s="31" t="s">
        <v>454</v>
      </c>
      <c r="J2676" s="31" t="s">
        <v>3217</v>
      </c>
      <c r="K2676" s="31" t="s">
        <v>4992</v>
      </c>
      <c r="L2676" s="31" t="s">
        <v>476</v>
      </c>
      <c r="M2676" s="31" t="s">
        <v>10405</v>
      </c>
      <c r="N2676" s="31" t="s">
        <v>467</v>
      </c>
      <c r="O2676" s="34"/>
      <c r="P2676" s="34"/>
      <c r="Q2676" s="31" t="s">
        <v>307</v>
      </c>
      <c r="R2676" s="32">
        <v>36219.0</v>
      </c>
      <c r="S2676" s="31" t="s">
        <v>1622</v>
      </c>
      <c r="T2676" s="31" t="s">
        <v>503</v>
      </c>
      <c r="U2676" s="31" t="s">
        <v>480</v>
      </c>
      <c r="V2676" s="31" t="s">
        <v>4991</v>
      </c>
      <c r="W2676" s="34"/>
    </row>
    <row r="2677">
      <c r="A2677" s="30">
        <v>2.672</v>
      </c>
      <c r="B2677" s="31" t="s">
        <v>10406</v>
      </c>
      <c r="C2677" s="31" t="s">
        <v>10407</v>
      </c>
      <c r="D2677" s="31" t="s">
        <v>472</v>
      </c>
      <c r="E2677" s="31" t="s">
        <v>2696</v>
      </c>
      <c r="F2677" s="32">
        <v>44167.0</v>
      </c>
      <c r="G2677" s="32">
        <v>44229.0</v>
      </c>
      <c r="H2677" s="31" t="s">
        <v>453</v>
      </c>
      <c r="I2677" s="31" t="s">
        <v>607</v>
      </c>
      <c r="J2677" s="31" t="s">
        <v>2697</v>
      </c>
      <c r="K2677" s="31" t="s">
        <v>2698</v>
      </c>
      <c r="L2677" s="31" t="s">
        <v>476</v>
      </c>
      <c r="M2677" s="31" t="s">
        <v>10408</v>
      </c>
      <c r="N2677" s="31" t="s">
        <v>467</v>
      </c>
      <c r="O2677" s="34"/>
      <c r="P2677" s="34"/>
      <c r="Q2677" s="31" t="s">
        <v>307</v>
      </c>
      <c r="R2677" s="32">
        <v>36469.0</v>
      </c>
      <c r="S2677" s="31" t="s">
        <v>468</v>
      </c>
      <c r="T2677" s="31" t="s">
        <v>479</v>
      </c>
      <c r="U2677" s="31" t="s">
        <v>643</v>
      </c>
      <c r="V2677" s="31" t="s">
        <v>2696</v>
      </c>
      <c r="W2677" s="34"/>
    </row>
    <row r="2678">
      <c r="A2678" s="30">
        <v>2.673</v>
      </c>
      <c r="B2678" s="31" t="s">
        <v>10409</v>
      </c>
      <c r="C2678" s="31" t="s">
        <v>10410</v>
      </c>
      <c r="D2678" s="31" t="s">
        <v>472</v>
      </c>
      <c r="E2678" s="31" t="s">
        <v>3246</v>
      </c>
      <c r="F2678" s="32">
        <v>44167.0</v>
      </c>
      <c r="G2678" s="32">
        <v>44229.0</v>
      </c>
      <c r="H2678" s="31" t="s">
        <v>453</v>
      </c>
      <c r="I2678" s="31" t="s">
        <v>607</v>
      </c>
      <c r="J2678" s="31" t="s">
        <v>3247</v>
      </c>
      <c r="K2678" s="31" t="s">
        <v>3248</v>
      </c>
      <c r="L2678" s="31" t="s">
        <v>476</v>
      </c>
      <c r="M2678" s="31" t="s">
        <v>10411</v>
      </c>
      <c r="N2678" s="31" t="s">
        <v>267</v>
      </c>
      <c r="O2678" s="34"/>
      <c r="P2678" s="34"/>
      <c r="Q2678" s="31" t="s">
        <v>307</v>
      </c>
      <c r="R2678" s="32">
        <v>36467.0</v>
      </c>
      <c r="S2678" s="31" t="s">
        <v>560</v>
      </c>
      <c r="T2678" s="31" t="s">
        <v>479</v>
      </c>
      <c r="U2678" s="31" t="s">
        <v>480</v>
      </c>
      <c r="V2678" s="31" t="s">
        <v>3246</v>
      </c>
      <c r="W2678" s="34"/>
    </row>
    <row r="2679">
      <c r="A2679" s="30">
        <v>2.674</v>
      </c>
      <c r="B2679" s="31" t="s">
        <v>10412</v>
      </c>
      <c r="C2679" s="31" t="s">
        <v>10413</v>
      </c>
      <c r="D2679" s="31" t="s">
        <v>553</v>
      </c>
      <c r="E2679" s="31" t="s">
        <v>4420</v>
      </c>
      <c r="F2679" s="32">
        <v>44531.0</v>
      </c>
      <c r="G2679" s="32">
        <v>44593.0</v>
      </c>
      <c r="H2679" s="31" t="s">
        <v>453</v>
      </c>
      <c r="I2679" s="31" t="s">
        <v>454</v>
      </c>
      <c r="J2679" s="31" t="s">
        <v>3378</v>
      </c>
      <c r="K2679" s="31" t="s">
        <v>4421</v>
      </c>
      <c r="L2679" s="31" t="s">
        <v>558</v>
      </c>
      <c r="M2679" s="31" t="s">
        <v>10414</v>
      </c>
      <c r="N2679" s="31" t="s">
        <v>267</v>
      </c>
      <c r="O2679" s="34"/>
      <c r="P2679" s="34"/>
      <c r="Q2679" s="31" t="s">
        <v>307</v>
      </c>
      <c r="R2679" s="32">
        <v>36009.0</v>
      </c>
      <c r="S2679" s="31" t="s">
        <v>1622</v>
      </c>
      <c r="T2679" s="31" t="s">
        <v>1532</v>
      </c>
      <c r="U2679" s="31" t="s">
        <v>460</v>
      </c>
      <c r="V2679" s="31" t="s">
        <v>4420</v>
      </c>
      <c r="W2679" s="34"/>
    </row>
    <row r="2680">
      <c r="A2680" s="30">
        <v>2.675</v>
      </c>
      <c r="B2680" s="31" t="s">
        <v>10415</v>
      </c>
      <c r="C2680" s="31" t="s">
        <v>10416</v>
      </c>
      <c r="D2680" s="31" t="s">
        <v>472</v>
      </c>
      <c r="E2680" s="31" t="s">
        <v>4822</v>
      </c>
      <c r="F2680" s="32">
        <v>44531.0</v>
      </c>
      <c r="G2680" s="32">
        <v>44593.0</v>
      </c>
      <c r="H2680" s="31" t="s">
        <v>453</v>
      </c>
      <c r="I2680" s="31" t="s">
        <v>454</v>
      </c>
      <c r="J2680" s="31" t="s">
        <v>4823</v>
      </c>
      <c r="K2680" s="31" t="s">
        <v>4824</v>
      </c>
      <c r="L2680" s="31" t="s">
        <v>476</v>
      </c>
      <c r="M2680" s="31" t="s">
        <v>10417</v>
      </c>
      <c r="N2680" s="31" t="s">
        <v>267</v>
      </c>
      <c r="O2680" s="34"/>
      <c r="P2680" s="34"/>
      <c r="Q2680" s="31" t="s">
        <v>307</v>
      </c>
      <c r="R2680" s="32">
        <v>36409.0</v>
      </c>
      <c r="S2680" s="31" t="s">
        <v>502</v>
      </c>
      <c r="T2680" s="31" t="s">
        <v>469</v>
      </c>
      <c r="U2680" s="31" t="s">
        <v>460</v>
      </c>
      <c r="V2680" s="31" t="s">
        <v>4822</v>
      </c>
      <c r="W2680" s="34"/>
    </row>
    <row r="2681">
      <c r="A2681" s="30">
        <v>2.676</v>
      </c>
      <c r="B2681" s="31" t="s">
        <v>10418</v>
      </c>
      <c r="C2681" s="31" t="s">
        <v>10419</v>
      </c>
      <c r="D2681" s="31" t="s">
        <v>4828</v>
      </c>
      <c r="E2681" s="31" t="s">
        <v>5124</v>
      </c>
      <c r="F2681" s="32">
        <v>43276.0</v>
      </c>
      <c r="G2681" s="32">
        <v>43337.0</v>
      </c>
      <c r="H2681" s="31" t="s">
        <v>453</v>
      </c>
      <c r="I2681" s="31" t="s">
        <v>454</v>
      </c>
      <c r="J2681" s="31" t="s">
        <v>4823</v>
      </c>
      <c r="K2681" s="31" t="s">
        <v>5125</v>
      </c>
      <c r="L2681" s="31" t="s">
        <v>4829</v>
      </c>
      <c r="M2681" s="31" t="s">
        <v>10420</v>
      </c>
      <c r="N2681" s="31" t="s">
        <v>267</v>
      </c>
      <c r="O2681" s="31">
        <v>1.0</v>
      </c>
      <c r="P2681" s="34"/>
      <c r="Q2681" s="31" t="s">
        <v>307</v>
      </c>
      <c r="R2681" s="32">
        <v>34864.0</v>
      </c>
      <c r="S2681" s="31" t="s">
        <v>560</v>
      </c>
      <c r="T2681" s="31" t="s">
        <v>3174</v>
      </c>
      <c r="U2681" s="31" t="s">
        <v>460</v>
      </c>
      <c r="V2681" s="31" t="s">
        <v>5124</v>
      </c>
      <c r="W2681" s="34"/>
    </row>
    <row r="2682">
      <c r="A2682" s="30">
        <v>2.677</v>
      </c>
      <c r="B2682" s="31" t="s">
        <v>10421</v>
      </c>
      <c r="C2682" s="31" t="s">
        <v>10422</v>
      </c>
      <c r="D2682" s="31" t="s">
        <v>472</v>
      </c>
      <c r="E2682" s="31" t="s">
        <v>5747</v>
      </c>
      <c r="F2682" s="32">
        <v>43844.0</v>
      </c>
      <c r="G2682" s="32">
        <v>43904.0</v>
      </c>
      <c r="H2682" s="31" t="s">
        <v>453</v>
      </c>
      <c r="I2682" s="31" t="s">
        <v>454</v>
      </c>
      <c r="J2682" s="31" t="s">
        <v>3041</v>
      </c>
      <c r="K2682" s="31" t="s">
        <v>5748</v>
      </c>
      <c r="L2682" s="31" t="s">
        <v>476</v>
      </c>
      <c r="M2682" s="31" t="s">
        <v>10423</v>
      </c>
      <c r="N2682" s="31" t="s">
        <v>467</v>
      </c>
      <c r="O2682" s="34"/>
      <c r="P2682" s="34"/>
      <c r="Q2682" s="31" t="s">
        <v>307</v>
      </c>
      <c r="R2682" s="35">
        <v>36511.0</v>
      </c>
      <c r="S2682" s="31" t="s">
        <v>560</v>
      </c>
      <c r="T2682" s="31" t="s">
        <v>479</v>
      </c>
      <c r="U2682" s="31" t="s">
        <v>480</v>
      </c>
      <c r="V2682" s="31" t="s">
        <v>5747</v>
      </c>
      <c r="W2682" s="34"/>
    </row>
    <row r="2683">
      <c r="A2683" s="30">
        <v>2.678</v>
      </c>
      <c r="B2683" s="31" t="s">
        <v>10424</v>
      </c>
      <c r="C2683" s="31" t="s">
        <v>10425</v>
      </c>
      <c r="D2683" s="31" t="s">
        <v>452</v>
      </c>
      <c r="E2683" s="31" t="s">
        <v>3216</v>
      </c>
      <c r="F2683" s="35">
        <v>44130.0</v>
      </c>
      <c r="G2683" s="35">
        <v>44191.0</v>
      </c>
      <c r="H2683" s="31" t="s">
        <v>453</v>
      </c>
      <c r="I2683" s="31" t="s">
        <v>454</v>
      </c>
      <c r="J2683" s="31" t="s">
        <v>3217</v>
      </c>
      <c r="K2683" s="31" t="s">
        <v>3218</v>
      </c>
      <c r="L2683" s="31" t="s">
        <v>456</v>
      </c>
      <c r="M2683" s="31" t="s">
        <v>10426</v>
      </c>
      <c r="N2683" s="31" t="s">
        <v>267</v>
      </c>
      <c r="O2683" s="34"/>
      <c r="P2683" s="34"/>
      <c r="Q2683" s="31" t="s">
        <v>307</v>
      </c>
      <c r="R2683" s="32">
        <v>35276.0</v>
      </c>
      <c r="S2683" s="31" t="s">
        <v>1194</v>
      </c>
      <c r="T2683" s="31" t="s">
        <v>496</v>
      </c>
      <c r="U2683" s="31" t="s">
        <v>480</v>
      </c>
      <c r="V2683" s="31" t="s">
        <v>3216</v>
      </c>
      <c r="W2683" s="34"/>
    </row>
    <row r="2684">
      <c r="A2684" s="30">
        <v>2.679</v>
      </c>
      <c r="B2684" s="31" t="s">
        <v>10427</v>
      </c>
      <c r="C2684" s="31" t="s">
        <v>10428</v>
      </c>
      <c r="D2684" s="31" t="s">
        <v>4909</v>
      </c>
      <c r="E2684" s="31" t="s">
        <v>4492</v>
      </c>
      <c r="F2684" s="32">
        <v>43966.0</v>
      </c>
      <c r="G2684" s="32">
        <v>44027.0</v>
      </c>
      <c r="H2684" s="31" t="s">
        <v>453</v>
      </c>
      <c r="I2684" s="31" t="s">
        <v>555</v>
      </c>
      <c r="J2684" s="31" t="s">
        <v>556</v>
      </c>
      <c r="K2684" s="31" t="s">
        <v>4493</v>
      </c>
      <c r="L2684" s="31" t="s">
        <v>4910</v>
      </c>
      <c r="M2684" s="31" t="s">
        <v>10429</v>
      </c>
      <c r="N2684" s="31" t="s">
        <v>467</v>
      </c>
      <c r="O2684" s="34"/>
      <c r="P2684" s="34"/>
      <c r="Q2684" s="31" t="s">
        <v>307</v>
      </c>
      <c r="R2684" s="32">
        <v>35134.0</v>
      </c>
      <c r="S2684" s="31" t="s">
        <v>468</v>
      </c>
      <c r="T2684" s="31" t="s">
        <v>672</v>
      </c>
      <c r="U2684" s="31" t="s">
        <v>480</v>
      </c>
      <c r="V2684" s="31" t="s">
        <v>4492</v>
      </c>
      <c r="W2684" s="34"/>
    </row>
    <row r="2685">
      <c r="A2685" s="30">
        <v>2.68</v>
      </c>
      <c r="B2685" s="31" t="s">
        <v>10430</v>
      </c>
      <c r="C2685" s="31" t="s">
        <v>10431</v>
      </c>
      <c r="D2685" s="31" t="s">
        <v>564</v>
      </c>
      <c r="E2685" s="31" t="s">
        <v>3247</v>
      </c>
      <c r="F2685" s="32">
        <v>42506.0</v>
      </c>
      <c r="G2685" s="32">
        <v>42567.0</v>
      </c>
      <c r="H2685" s="31" t="s">
        <v>453</v>
      </c>
      <c r="I2685" s="31" t="s">
        <v>607</v>
      </c>
      <c r="J2685" s="31" t="s">
        <v>3247</v>
      </c>
      <c r="K2685" s="31" t="s">
        <v>10432</v>
      </c>
      <c r="L2685" s="31" t="s">
        <v>569</v>
      </c>
      <c r="M2685" s="31" t="s">
        <v>10433</v>
      </c>
      <c r="N2685" s="31" t="s">
        <v>267</v>
      </c>
      <c r="O2685" s="34"/>
      <c r="P2685" s="34"/>
      <c r="Q2685" s="31" t="s">
        <v>307</v>
      </c>
      <c r="R2685" s="32">
        <v>33339.0</v>
      </c>
      <c r="S2685" s="31" t="s">
        <v>681</v>
      </c>
      <c r="T2685" s="31" t="s">
        <v>10434</v>
      </c>
      <c r="U2685" s="31" t="s">
        <v>480</v>
      </c>
      <c r="V2685" s="34"/>
      <c r="W2685" s="34"/>
    </row>
    <row r="2686">
      <c r="A2686" s="30">
        <v>2.681</v>
      </c>
      <c r="B2686" s="31" t="s">
        <v>10435</v>
      </c>
      <c r="C2686" s="31" t="s">
        <v>10436</v>
      </c>
      <c r="D2686" s="31" t="s">
        <v>499</v>
      </c>
      <c r="E2686" s="31" t="s">
        <v>4991</v>
      </c>
      <c r="F2686" s="32">
        <v>44077.0</v>
      </c>
      <c r="G2686" s="32">
        <v>44138.0</v>
      </c>
      <c r="H2686" s="31" t="s">
        <v>453</v>
      </c>
      <c r="I2686" s="31" t="s">
        <v>454</v>
      </c>
      <c r="J2686" s="31" t="s">
        <v>3217</v>
      </c>
      <c r="K2686" s="31" t="s">
        <v>4992</v>
      </c>
      <c r="L2686" s="31" t="s">
        <v>500</v>
      </c>
      <c r="M2686" s="31" t="s">
        <v>10437</v>
      </c>
      <c r="N2686" s="31" t="s">
        <v>467</v>
      </c>
      <c r="O2686" s="31">
        <v>1.0</v>
      </c>
      <c r="P2686" s="34"/>
      <c r="Q2686" s="31" t="s">
        <v>307</v>
      </c>
      <c r="R2686" s="32">
        <v>36500.0</v>
      </c>
      <c r="S2686" s="31" t="s">
        <v>560</v>
      </c>
      <c r="T2686" s="31" t="s">
        <v>479</v>
      </c>
      <c r="U2686" s="31" t="s">
        <v>480</v>
      </c>
      <c r="V2686" s="31" t="s">
        <v>4991</v>
      </c>
      <c r="W2686" s="34"/>
    </row>
    <row r="2687">
      <c r="A2687" s="30">
        <v>2.682</v>
      </c>
      <c r="B2687" s="31" t="s">
        <v>10438</v>
      </c>
      <c r="C2687" s="31" t="s">
        <v>10439</v>
      </c>
      <c r="D2687" s="31" t="s">
        <v>472</v>
      </c>
      <c r="E2687" s="31" t="s">
        <v>3246</v>
      </c>
      <c r="F2687" s="32">
        <v>44018.0</v>
      </c>
      <c r="G2687" s="32">
        <v>44080.0</v>
      </c>
      <c r="H2687" s="31" t="s">
        <v>453</v>
      </c>
      <c r="I2687" s="31" t="s">
        <v>607</v>
      </c>
      <c r="J2687" s="31" t="s">
        <v>3247</v>
      </c>
      <c r="K2687" s="31" t="s">
        <v>3248</v>
      </c>
      <c r="L2687" s="31" t="s">
        <v>476</v>
      </c>
      <c r="M2687" s="31" t="s">
        <v>10440</v>
      </c>
      <c r="N2687" s="31" t="s">
        <v>467</v>
      </c>
      <c r="O2687" s="34"/>
      <c r="P2687" s="34"/>
      <c r="Q2687" s="31" t="s">
        <v>307</v>
      </c>
      <c r="R2687" s="32">
        <v>36348.0</v>
      </c>
      <c r="S2687" s="31" t="s">
        <v>560</v>
      </c>
      <c r="T2687" s="31" t="s">
        <v>479</v>
      </c>
      <c r="U2687" s="31" t="s">
        <v>480</v>
      </c>
      <c r="V2687" s="31" t="s">
        <v>3246</v>
      </c>
      <c r="W2687" s="34"/>
    </row>
    <row r="2688">
      <c r="A2688" s="30">
        <v>2.683</v>
      </c>
      <c r="B2688" s="31" t="s">
        <v>10441</v>
      </c>
      <c r="C2688" s="31" t="s">
        <v>10442</v>
      </c>
      <c r="D2688" s="31" t="s">
        <v>3132</v>
      </c>
      <c r="E2688" s="31" t="s">
        <v>3187</v>
      </c>
      <c r="F2688" s="32">
        <v>39904.0</v>
      </c>
      <c r="G2688" s="32">
        <v>39965.0</v>
      </c>
      <c r="H2688" s="31" t="s">
        <v>453</v>
      </c>
      <c r="I2688" s="31" t="s">
        <v>454</v>
      </c>
      <c r="J2688" s="31" t="s">
        <v>3188</v>
      </c>
      <c r="K2688" s="31" t="s">
        <v>3189</v>
      </c>
      <c r="L2688" s="31" t="s">
        <v>3380</v>
      </c>
      <c r="M2688" s="31" t="s">
        <v>10443</v>
      </c>
      <c r="N2688" s="31" t="s">
        <v>267</v>
      </c>
      <c r="O2688" s="31">
        <v>2.0</v>
      </c>
      <c r="P2688" s="34"/>
      <c r="Q2688" s="31" t="s">
        <v>307</v>
      </c>
      <c r="R2688" s="32">
        <v>31868.0</v>
      </c>
      <c r="S2688" s="31" t="s">
        <v>531</v>
      </c>
      <c r="T2688" s="31" t="s">
        <v>686</v>
      </c>
      <c r="U2688" s="31" t="s">
        <v>460</v>
      </c>
      <c r="V2688" s="31" t="s">
        <v>3187</v>
      </c>
      <c r="W2688" s="34"/>
    </row>
    <row r="2689">
      <c r="A2689" s="30">
        <v>2.684</v>
      </c>
      <c r="B2689" s="31" t="s">
        <v>10444</v>
      </c>
      <c r="C2689" s="31" t="s">
        <v>3974</v>
      </c>
      <c r="D2689" s="31" t="s">
        <v>472</v>
      </c>
      <c r="E2689" s="31" t="s">
        <v>3563</v>
      </c>
      <c r="F2689" s="35">
        <v>44490.0</v>
      </c>
      <c r="G2689" s="35">
        <v>44551.0</v>
      </c>
      <c r="H2689" s="31" t="s">
        <v>453</v>
      </c>
      <c r="I2689" s="31" t="s">
        <v>2835</v>
      </c>
      <c r="J2689" s="31" t="s">
        <v>3564</v>
      </c>
      <c r="K2689" s="31" t="s">
        <v>3565</v>
      </c>
      <c r="L2689" s="31" t="s">
        <v>476</v>
      </c>
      <c r="M2689" s="31" t="s">
        <v>10445</v>
      </c>
      <c r="N2689" s="31" t="s">
        <v>467</v>
      </c>
      <c r="O2689" s="34"/>
      <c r="P2689" s="34"/>
      <c r="Q2689" s="31" t="s">
        <v>307</v>
      </c>
      <c r="R2689" s="35">
        <v>36153.0</v>
      </c>
      <c r="S2689" s="31" t="s">
        <v>560</v>
      </c>
      <c r="T2689" s="31" t="s">
        <v>10446</v>
      </c>
      <c r="U2689" s="31" t="s">
        <v>480</v>
      </c>
      <c r="V2689" s="31" t="s">
        <v>3563</v>
      </c>
      <c r="W2689" s="34"/>
    </row>
    <row r="2690">
      <c r="A2690" s="30">
        <v>2.685</v>
      </c>
      <c r="B2690" s="31" t="s">
        <v>10447</v>
      </c>
      <c r="C2690" s="31" t="s">
        <v>1923</v>
      </c>
      <c r="D2690" s="31" t="s">
        <v>472</v>
      </c>
      <c r="E2690" s="31" t="s">
        <v>3603</v>
      </c>
      <c r="F2690" s="35">
        <v>44487.0</v>
      </c>
      <c r="G2690" s="35">
        <v>44548.0</v>
      </c>
      <c r="H2690" s="31" t="s">
        <v>453</v>
      </c>
      <c r="I2690" s="31" t="s">
        <v>454</v>
      </c>
      <c r="J2690" s="31" t="s">
        <v>3604</v>
      </c>
      <c r="K2690" s="31" t="s">
        <v>3605</v>
      </c>
      <c r="L2690" s="31" t="s">
        <v>476</v>
      </c>
      <c r="M2690" s="31" t="s">
        <v>10448</v>
      </c>
      <c r="N2690" s="31" t="s">
        <v>467</v>
      </c>
      <c r="O2690" s="34"/>
      <c r="P2690" s="34"/>
      <c r="Q2690" s="31" t="s">
        <v>307</v>
      </c>
      <c r="R2690" s="35">
        <v>36891.0</v>
      </c>
      <c r="S2690" s="31" t="s">
        <v>3205</v>
      </c>
      <c r="T2690" s="31" t="s">
        <v>496</v>
      </c>
      <c r="U2690" s="31" t="s">
        <v>480</v>
      </c>
      <c r="V2690" s="31" t="s">
        <v>3603</v>
      </c>
      <c r="W2690" s="34"/>
    </row>
    <row r="2691">
      <c r="A2691" s="30">
        <v>2.686</v>
      </c>
      <c r="B2691" s="31" t="s">
        <v>10449</v>
      </c>
      <c r="C2691" s="31" t="s">
        <v>10450</v>
      </c>
      <c r="D2691" s="31" t="s">
        <v>472</v>
      </c>
      <c r="E2691" s="31" t="s">
        <v>2696</v>
      </c>
      <c r="F2691" s="35">
        <v>44480.0</v>
      </c>
      <c r="G2691" s="35">
        <v>44541.0</v>
      </c>
      <c r="H2691" s="31" t="s">
        <v>453</v>
      </c>
      <c r="I2691" s="31" t="s">
        <v>607</v>
      </c>
      <c r="J2691" s="31" t="s">
        <v>2697</v>
      </c>
      <c r="K2691" s="31" t="s">
        <v>2698</v>
      </c>
      <c r="L2691" s="31" t="s">
        <v>476</v>
      </c>
      <c r="M2691" s="31" t="s">
        <v>10451</v>
      </c>
      <c r="N2691" s="31" t="s">
        <v>467</v>
      </c>
      <c r="O2691" s="34"/>
      <c r="P2691" s="34"/>
      <c r="Q2691" s="31" t="s">
        <v>307</v>
      </c>
      <c r="R2691" s="32">
        <v>36796.0</v>
      </c>
      <c r="S2691" s="31" t="s">
        <v>468</v>
      </c>
      <c r="T2691" s="31" t="s">
        <v>2672</v>
      </c>
      <c r="U2691" s="31" t="s">
        <v>643</v>
      </c>
      <c r="V2691" s="31" t="s">
        <v>2696</v>
      </c>
      <c r="W2691" s="34"/>
    </row>
    <row r="2692">
      <c r="A2692" s="30">
        <v>2.687</v>
      </c>
      <c r="B2692" s="31" t="s">
        <v>10452</v>
      </c>
      <c r="C2692" s="31" t="s">
        <v>10453</v>
      </c>
      <c r="D2692" s="31" t="s">
        <v>472</v>
      </c>
      <c r="E2692" s="31" t="s">
        <v>2696</v>
      </c>
      <c r="F2692" s="35">
        <v>44480.0</v>
      </c>
      <c r="G2692" s="35">
        <v>44541.0</v>
      </c>
      <c r="H2692" s="31" t="s">
        <v>453</v>
      </c>
      <c r="I2692" s="31" t="s">
        <v>607</v>
      </c>
      <c r="J2692" s="31" t="s">
        <v>2697</v>
      </c>
      <c r="K2692" s="31" t="s">
        <v>2698</v>
      </c>
      <c r="L2692" s="31" t="s">
        <v>476</v>
      </c>
      <c r="M2692" s="31" t="s">
        <v>10454</v>
      </c>
      <c r="N2692" s="31" t="s">
        <v>467</v>
      </c>
      <c r="O2692" s="34"/>
      <c r="P2692" s="34"/>
      <c r="Q2692" s="31" t="s">
        <v>307</v>
      </c>
      <c r="R2692" s="32">
        <v>36731.0</v>
      </c>
      <c r="S2692" s="31" t="s">
        <v>490</v>
      </c>
      <c r="T2692" s="31" t="s">
        <v>2672</v>
      </c>
      <c r="U2692" s="31" t="s">
        <v>643</v>
      </c>
      <c r="V2692" s="31" t="s">
        <v>2696</v>
      </c>
      <c r="W2692" s="34"/>
    </row>
    <row r="2693">
      <c r="A2693" s="30">
        <v>2.688</v>
      </c>
      <c r="B2693" s="31" t="s">
        <v>10455</v>
      </c>
      <c r="C2693" s="31" t="s">
        <v>10456</v>
      </c>
      <c r="D2693" s="31" t="s">
        <v>472</v>
      </c>
      <c r="E2693" s="31" t="s">
        <v>4379</v>
      </c>
      <c r="F2693" s="32">
        <v>44478.0</v>
      </c>
      <c r="G2693" s="32">
        <v>44539.0</v>
      </c>
      <c r="H2693" s="31" t="s">
        <v>453</v>
      </c>
      <c r="I2693" s="31" t="s">
        <v>607</v>
      </c>
      <c r="J2693" s="31" t="s">
        <v>4380</v>
      </c>
      <c r="K2693" s="31" t="s">
        <v>4381</v>
      </c>
      <c r="L2693" s="31" t="s">
        <v>476</v>
      </c>
      <c r="M2693" s="31" t="s">
        <v>10457</v>
      </c>
      <c r="N2693" s="31" t="s">
        <v>467</v>
      </c>
      <c r="O2693" s="34"/>
      <c r="P2693" s="34"/>
      <c r="Q2693" s="31" t="s">
        <v>307</v>
      </c>
      <c r="R2693" s="32">
        <v>36617.0</v>
      </c>
      <c r="S2693" s="31" t="s">
        <v>3665</v>
      </c>
      <c r="T2693" s="31" t="s">
        <v>4435</v>
      </c>
      <c r="U2693" s="31" t="s">
        <v>643</v>
      </c>
      <c r="V2693" s="31" t="s">
        <v>4379</v>
      </c>
      <c r="W2693" s="34"/>
    </row>
    <row r="2694">
      <c r="A2694" s="30">
        <v>2.689</v>
      </c>
      <c r="B2694" s="31" t="s">
        <v>10458</v>
      </c>
      <c r="C2694" s="31" t="s">
        <v>10459</v>
      </c>
      <c r="D2694" s="31" t="s">
        <v>472</v>
      </c>
      <c r="E2694" s="31" t="s">
        <v>4855</v>
      </c>
      <c r="F2694" s="32">
        <v>44477.0</v>
      </c>
      <c r="G2694" s="32">
        <v>44538.0</v>
      </c>
      <c r="H2694" s="31" t="s">
        <v>453</v>
      </c>
      <c r="I2694" s="31" t="s">
        <v>607</v>
      </c>
      <c r="J2694" s="31" t="s">
        <v>4856</v>
      </c>
      <c r="K2694" s="31" t="s">
        <v>4857</v>
      </c>
      <c r="L2694" s="31" t="s">
        <v>476</v>
      </c>
      <c r="M2694" s="31" t="s">
        <v>10460</v>
      </c>
      <c r="N2694" s="31" t="s">
        <v>267</v>
      </c>
      <c r="O2694" s="34"/>
      <c r="P2694" s="34"/>
      <c r="Q2694" s="31" t="s">
        <v>307</v>
      </c>
      <c r="R2694" s="32">
        <v>36800.0</v>
      </c>
      <c r="S2694" s="31" t="s">
        <v>560</v>
      </c>
      <c r="T2694" s="31" t="s">
        <v>5465</v>
      </c>
      <c r="U2694" s="31" t="s">
        <v>480</v>
      </c>
      <c r="V2694" s="31" t="s">
        <v>4855</v>
      </c>
      <c r="W2694" s="34"/>
    </row>
    <row r="2695">
      <c r="A2695" s="30">
        <v>2.69</v>
      </c>
      <c r="B2695" s="31" t="s">
        <v>10461</v>
      </c>
      <c r="C2695" s="31" t="s">
        <v>10462</v>
      </c>
      <c r="D2695" s="31" t="s">
        <v>472</v>
      </c>
      <c r="E2695" s="31" t="s">
        <v>4991</v>
      </c>
      <c r="F2695" s="32">
        <v>44473.0</v>
      </c>
      <c r="G2695" s="32">
        <v>44534.0</v>
      </c>
      <c r="H2695" s="31" t="s">
        <v>453</v>
      </c>
      <c r="I2695" s="31" t="s">
        <v>454</v>
      </c>
      <c r="J2695" s="31" t="s">
        <v>3217</v>
      </c>
      <c r="K2695" s="31" t="s">
        <v>4992</v>
      </c>
      <c r="L2695" s="31" t="s">
        <v>476</v>
      </c>
      <c r="M2695" s="31" t="s">
        <v>10463</v>
      </c>
      <c r="N2695" s="31" t="s">
        <v>467</v>
      </c>
      <c r="O2695" s="34"/>
      <c r="P2695" s="34"/>
      <c r="Q2695" s="31" t="s">
        <v>307</v>
      </c>
      <c r="R2695" s="32">
        <v>36716.0</v>
      </c>
      <c r="S2695" s="31" t="s">
        <v>3205</v>
      </c>
      <c r="T2695" s="31" t="s">
        <v>496</v>
      </c>
      <c r="U2695" s="31" t="s">
        <v>480</v>
      </c>
      <c r="V2695" s="31" t="s">
        <v>4991</v>
      </c>
      <c r="W2695" s="34"/>
    </row>
    <row r="2696">
      <c r="A2696" s="30">
        <v>2.691</v>
      </c>
      <c r="B2696" s="31" t="s">
        <v>10464</v>
      </c>
      <c r="C2696" s="31" t="s">
        <v>10465</v>
      </c>
      <c r="D2696" s="31" t="s">
        <v>472</v>
      </c>
      <c r="E2696" s="31" t="s">
        <v>3603</v>
      </c>
      <c r="F2696" s="32">
        <v>44473.0</v>
      </c>
      <c r="G2696" s="32">
        <v>44534.0</v>
      </c>
      <c r="H2696" s="31" t="s">
        <v>453</v>
      </c>
      <c r="I2696" s="31" t="s">
        <v>454</v>
      </c>
      <c r="J2696" s="31" t="s">
        <v>3604</v>
      </c>
      <c r="K2696" s="31" t="s">
        <v>3605</v>
      </c>
      <c r="L2696" s="31" t="s">
        <v>476</v>
      </c>
      <c r="M2696" s="31" t="s">
        <v>10466</v>
      </c>
      <c r="N2696" s="31" t="s">
        <v>467</v>
      </c>
      <c r="O2696" s="34"/>
      <c r="P2696" s="34"/>
      <c r="Q2696" s="31" t="s">
        <v>307</v>
      </c>
      <c r="R2696" s="32">
        <v>36472.0</v>
      </c>
      <c r="S2696" s="31" t="s">
        <v>591</v>
      </c>
      <c r="T2696" s="31" t="s">
        <v>3125</v>
      </c>
      <c r="U2696" s="31" t="s">
        <v>480</v>
      </c>
      <c r="V2696" s="31" t="s">
        <v>3603</v>
      </c>
      <c r="W2696" s="34"/>
    </row>
    <row r="2697">
      <c r="A2697" s="30">
        <v>2.692</v>
      </c>
      <c r="B2697" s="31" t="s">
        <v>10467</v>
      </c>
      <c r="C2697" s="31" t="s">
        <v>8303</v>
      </c>
      <c r="D2697" s="31" t="s">
        <v>10468</v>
      </c>
      <c r="E2697" s="31" t="s">
        <v>2463</v>
      </c>
      <c r="F2697" s="32">
        <v>38738.0</v>
      </c>
      <c r="G2697" s="32">
        <v>38797.0</v>
      </c>
      <c r="H2697" s="31" t="s">
        <v>453</v>
      </c>
      <c r="I2697" s="31" t="s">
        <v>2717</v>
      </c>
      <c r="J2697" s="31" t="s">
        <v>2463</v>
      </c>
      <c r="K2697" s="31" t="s">
        <v>5165</v>
      </c>
      <c r="L2697" s="31" t="s">
        <v>10469</v>
      </c>
      <c r="M2697" s="31" t="s">
        <v>10470</v>
      </c>
      <c r="N2697" s="31" t="s">
        <v>267</v>
      </c>
      <c r="O2697" s="31">
        <v>2.0</v>
      </c>
      <c r="P2697" s="34"/>
      <c r="Q2697" s="31" t="s">
        <v>307</v>
      </c>
      <c r="R2697" s="32">
        <v>28961.0</v>
      </c>
      <c r="S2697" s="31" t="s">
        <v>10471</v>
      </c>
      <c r="T2697" s="31" t="s">
        <v>10472</v>
      </c>
      <c r="U2697" s="31" t="s">
        <v>643</v>
      </c>
      <c r="V2697" s="34"/>
      <c r="W2697" s="34"/>
    </row>
    <row r="2698">
      <c r="A2698" s="30">
        <v>2.693</v>
      </c>
      <c r="B2698" s="31" t="s">
        <v>10473</v>
      </c>
      <c r="C2698" s="31" t="s">
        <v>10474</v>
      </c>
      <c r="D2698" s="31" t="s">
        <v>4968</v>
      </c>
      <c r="E2698" s="31" t="s">
        <v>40</v>
      </c>
      <c r="F2698" s="32">
        <v>40299.0</v>
      </c>
      <c r="G2698" s="32">
        <v>40360.0</v>
      </c>
      <c r="H2698" s="31" t="s">
        <v>453</v>
      </c>
      <c r="I2698" s="31" t="s">
        <v>40</v>
      </c>
      <c r="J2698" s="34"/>
      <c r="K2698" s="31" t="s">
        <v>4969</v>
      </c>
      <c r="L2698" s="31" t="s">
        <v>4970</v>
      </c>
      <c r="M2698" s="31" t="s">
        <v>10475</v>
      </c>
      <c r="N2698" s="31" t="s">
        <v>467</v>
      </c>
      <c r="O2698" s="34"/>
      <c r="P2698" s="34"/>
      <c r="Q2698" s="31" t="s">
        <v>307</v>
      </c>
      <c r="R2698" s="35">
        <v>31698.0</v>
      </c>
      <c r="S2698" s="31" t="s">
        <v>560</v>
      </c>
      <c r="T2698" s="31" t="s">
        <v>3295</v>
      </c>
      <c r="U2698" s="31" t="s">
        <v>480</v>
      </c>
      <c r="V2698" s="34"/>
      <c r="W2698" s="34"/>
    </row>
    <row r="2699">
      <c r="A2699" s="30">
        <v>2.694</v>
      </c>
      <c r="B2699" s="31" t="s">
        <v>10476</v>
      </c>
      <c r="C2699" s="31" t="s">
        <v>10477</v>
      </c>
      <c r="D2699" s="31" t="s">
        <v>2451</v>
      </c>
      <c r="E2699" s="31" t="s">
        <v>36</v>
      </c>
      <c r="F2699" s="32">
        <v>44351.0</v>
      </c>
      <c r="G2699" s="32">
        <v>44412.0</v>
      </c>
      <c r="H2699" s="31" t="s">
        <v>453</v>
      </c>
      <c r="I2699" s="31" t="s">
        <v>2717</v>
      </c>
      <c r="J2699" s="31" t="s">
        <v>36</v>
      </c>
      <c r="K2699" s="31" t="s">
        <v>6126</v>
      </c>
      <c r="L2699" s="31" t="s">
        <v>2453</v>
      </c>
      <c r="M2699" s="31" t="s">
        <v>10478</v>
      </c>
      <c r="N2699" s="31" t="s">
        <v>267</v>
      </c>
      <c r="O2699" s="34"/>
      <c r="P2699" s="34"/>
      <c r="Q2699" s="31" t="s">
        <v>307</v>
      </c>
      <c r="R2699" s="32">
        <v>36239.0</v>
      </c>
      <c r="S2699" s="31" t="s">
        <v>9333</v>
      </c>
      <c r="T2699" s="31" t="s">
        <v>3116</v>
      </c>
      <c r="U2699" s="31" t="s">
        <v>643</v>
      </c>
      <c r="V2699" s="34"/>
      <c r="W2699" s="34"/>
    </row>
    <row r="2700">
      <c r="A2700" s="30">
        <v>2.695</v>
      </c>
      <c r="B2700" s="31" t="s">
        <v>10479</v>
      </c>
      <c r="C2700" s="31" t="s">
        <v>10480</v>
      </c>
      <c r="D2700" s="31" t="s">
        <v>622</v>
      </c>
      <c r="E2700" s="31" t="s">
        <v>41</v>
      </c>
      <c r="F2700" s="32">
        <v>42738.0</v>
      </c>
      <c r="G2700" s="32">
        <v>42795.0</v>
      </c>
      <c r="H2700" s="31" t="s">
        <v>453</v>
      </c>
      <c r="I2700" s="31" t="s">
        <v>41</v>
      </c>
      <c r="J2700" s="34"/>
      <c r="K2700" s="31" t="s">
        <v>623</v>
      </c>
      <c r="L2700" s="31" t="s">
        <v>624</v>
      </c>
      <c r="M2700" s="31" t="s">
        <v>10481</v>
      </c>
      <c r="N2700" s="31" t="s">
        <v>267</v>
      </c>
      <c r="O2700" s="34"/>
      <c r="P2700" s="34"/>
      <c r="Q2700" s="31" t="s">
        <v>307</v>
      </c>
      <c r="R2700" s="32">
        <v>33940.0</v>
      </c>
      <c r="S2700" s="31" t="s">
        <v>531</v>
      </c>
      <c r="T2700" s="31" t="s">
        <v>5980</v>
      </c>
      <c r="U2700" s="31" t="s">
        <v>480</v>
      </c>
      <c r="V2700" s="34"/>
      <c r="W2700" s="34"/>
    </row>
  </sheetData>
  <hyperlinks>
    <hyperlink r:id="rId1" ref="L1766"/>
    <hyperlink r:id="rId2" ref="L2152"/>
    <hyperlink r:id="rId3" ref="L2492"/>
  </hyperlinks>
  <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FF"/>
    <pageSetUpPr/>
  </sheetPr>
  <sheetViews>
    <sheetView showGridLines="0" workbookViewId="0"/>
  </sheetViews>
  <sheetFormatPr customHeight="1" defaultColWidth="11.22" defaultRowHeight="15.0"/>
  <cols>
    <col customWidth="1" min="1" max="1" width="6.67"/>
    <col customWidth="1" min="2" max="2" width="13.67"/>
    <col customWidth="1" min="3" max="3" width="6.67"/>
    <col customWidth="1" min="4" max="4" width="8.78"/>
    <col customWidth="1" min="5" max="5" width="6.89"/>
    <col customWidth="1" min="6" max="6" width="12.22"/>
    <col customWidth="1" min="7" max="7" width="7.22"/>
    <col customWidth="1" min="8" max="8" width="28.11"/>
    <col customWidth="1" min="9" max="9" width="10.44"/>
    <col customWidth="1" min="10" max="10" width="28.11"/>
    <col customWidth="1" min="11" max="11" width="6.89"/>
    <col customWidth="1" min="12" max="12" width="31.89"/>
    <col customWidth="1" min="13" max="13" width="6.89"/>
    <col customWidth="1" min="14" max="14" width="23.67"/>
    <col customWidth="1" min="15" max="15" width="17.22"/>
    <col customWidth="1" min="16" max="18" width="12.44"/>
    <col customWidth="1" min="19" max="26" width="8.56"/>
  </cols>
  <sheetData>
    <row r="1" ht="15.75" customHeight="1">
      <c r="H1" s="37"/>
      <c r="I1" s="38"/>
      <c r="J1" s="37"/>
      <c r="N1" s="37"/>
    </row>
    <row r="2" ht="15.75" customHeight="1">
      <c r="A2" s="15" t="s">
        <v>10482</v>
      </c>
      <c r="H2" s="37"/>
      <c r="I2" s="38"/>
      <c r="J2" s="37"/>
      <c r="N2" s="37"/>
    </row>
    <row r="3" ht="15.75" customHeight="1">
      <c r="H3" s="37"/>
      <c r="I3" s="38"/>
      <c r="N3" s="37"/>
    </row>
    <row r="4" ht="25.5" customHeight="1">
      <c r="A4" s="39" t="s">
        <v>10483</v>
      </c>
      <c r="B4" s="40"/>
      <c r="C4" s="39" t="s">
        <v>10484</v>
      </c>
      <c r="D4" s="40"/>
      <c r="E4" s="39" t="s">
        <v>10485</v>
      </c>
      <c r="F4" s="41"/>
      <c r="G4" s="39" t="s">
        <v>10486</v>
      </c>
      <c r="H4" s="41"/>
      <c r="I4" s="39" t="s">
        <v>10487</v>
      </c>
      <c r="J4" s="41"/>
      <c r="K4" s="39" t="s">
        <v>10488</v>
      </c>
      <c r="L4" s="40"/>
      <c r="M4" s="39" t="s">
        <v>10489</v>
      </c>
      <c r="N4" s="40"/>
      <c r="O4" s="42" t="s">
        <v>10490</v>
      </c>
      <c r="P4" s="43" t="s">
        <v>10491</v>
      </c>
      <c r="Q4" s="44"/>
      <c r="R4" s="40"/>
    </row>
    <row r="5" ht="15.75" customHeight="1">
      <c r="A5" s="42" t="s">
        <v>8</v>
      </c>
      <c r="B5" s="42" t="s">
        <v>9</v>
      </c>
      <c r="C5" s="42" t="s">
        <v>10</v>
      </c>
      <c r="D5" s="42" t="s">
        <v>11</v>
      </c>
      <c r="E5" s="42" t="s">
        <v>12</v>
      </c>
      <c r="F5" s="42" t="s">
        <v>13</v>
      </c>
      <c r="G5" s="42" t="s">
        <v>14</v>
      </c>
      <c r="H5" s="42" t="s">
        <v>15</v>
      </c>
      <c r="I5" s="42" t="s">
        <v>16</v>
      </c>
      <c r="J5" s="42" t="s">
        <v>17</v>
      </c>
      <c r="K5" s="42" t="s">
        <v>18</v>
      </c>
      <c r="L5" s="42" t="s">
        <v>19</v>
      </c>
      <c r="M5" s="42" t="s">
        <v>20</v>
      </c>
      <c r="N5" s="42" t="s">
        <v>21</v>
      </c>
      <c r="O5" s="42" t="s">
        <v>10492</v>
      </c>
      <c r="P5" s="45" t="s">
        <v>10492</v>
      </c>
      <c r="Q5" s="45" t="s">
        <v>10493</v>
      </c>
      <c r="R5" s="45" t="s">
        <v>10494</v>
      </c>
    </row>
    <row r="6" ht="15.75" customHeight="1">
      <c r="A6" s="46" t="s">
        <v>22</v>
      </c>
      <c r="B6" s="47" t="s">
        <v>23</v>
      </c>
      <c r="C6" s="47"/>
      <c r="D6" s="47"/>
      <c r="E6" s="47"/>
      <c r="F6" s="47"/>
      <c r="G6" s="48"/>
      <c r="H6" s="49"/>
      <c r="I6" s="48"/>
      <c r="J6" s="48"/>
      <c r="K6" s="48"/>
      <c r="L6" s="48"/>
      <c r="M6" s="48"/>
      <c r="N6" s="49"/>
      <c r="O6" s="48"/>
    </row>
    <row r="7" ht="15.75" customHeight="1">
      <c r="A7" s="50" t="s">
        <v>10495</v>
      </c>
      <c r="B7" s="47"/>
      <c r="C7" s="47"/>
      <c r="D7" s="47"/>
      <c r="E7" s="47"/>
      <c r="F7" s="47"/>
      <c r="G7" s="48"/>
      <c r="H7" s="49"/>
      <c r="I7" s="48"/>
      <c r="J7" s="48"/>
      <c r="K7" s="48"/>
      <c r="L7" s="48"/>
      <c r="M7" s="48"/>
      <c r="N7" s="49"/>
      <c r="O7" s="48"/>
    </row>
    <row r="8" ht="15.75" customHeight="1">
      <c r="A8" s="51" t="s">
        <v>25</v>
      </c>
      <c r="B8" s="51" t="s">
        <v>26</v>
      </c>
      <c r="C8" s="52" t="s">
        <v>27</v>
      </c>
      <c r="D8" s="52" t="s">
        <v>4</v>
      </c>
      <c r="E8" s="53" t="s">
        <v>27</v>
      </c>
      <c r="F8" s="52" t="s">
        <v>4</v>
      </c>
      <c r="G8" s="52" t="s">
        <v>29</v>
      </c>
      <c r="H8" s="54" t="s">
        <v>31</v>
      </c>
      <c r="I8" s="52" t="s">
        <v>29</v>
      </c>
      <c r="J8" s="55" t="s">
        <v>32</v>
      </c>
      <c r="K8" s="52" t="s">
        <v>27</v>
      </c>
      <c r="L8" s="56" t="s">
        <v>4</v>
      </c>
      <c r="M8" s="52" t="s">
        <v>46</v>
      </c>
      <c r="N8" s="54" t="s">
        <v>10496</v>
      </c>
      <c r="O8" s="55" t="str">
        <f t="shared" ref="O8:O19" si="1">A8&amp;"."&amp;C8&amp;"."&amp;E8&amp;"."&amp;G8&amp;"."&amp;I8&amp;"."&amp;K8&amp;"."&amp;M8</f>
        <v>L01.00.00.01.01.00.07</v>
      </c>
    </row>
    <row r="9" ht="15.75" customHeight="1">
      <c r="A9" s="51" t="s">
        <v>25</v>
      </c>
      <c r="B9" s="51" t="s">
        <v>26</v>
      </c>
      <c r="C9" s="52" t="s">
        <v>27</v>
      </c>
      <c r="D9" s="52" t="s">
        <v>4</v>
      </c>
      <c r="E9" s="53" t="s">
        <v>27</v>
      </c>
      <c r="F9" s="52" t="s">
        <v>4</v>
      </c>
      <c r="G9" s="52" t="s">
        <v>29</v>
      </c>
      <c r="H9" s="54" t="s">
        <v>31</v>
      </c>
      <c r="I9" s="52" t="s">
        <v>33</v>
      </c>
      <c r="J9" s="55" t="s">
        <v>34</v>
      </c>
      <c r="K9" s="52" t="s">
        <v>27</v>
      </c>
      <c r="L9" s="56" t="s">
        <v>4</v>
      </c>
      <c r="M9" s="52" t="s">
        <v>46</v>
      </c>
      <c r="N9" s="54" t="s">
        <v>10496</v>
      </c>
      <c r="O9" s="55" t="str">
        <f t="shared" si="1"/>
        <v>L01.00.00.01.02.00.07</v>
      </c>
    </row>
    <row r="10" ht="15.75" customHeight="1">
      <c r="A10" s="51" t="s">
        <v>25</v>
      </c>
      <c r="B10" s="51" t="s">
        <v>26</v>
      </c>
      <c r="C10" s="51" t="s">
        <v>27</v>
      </c>
      <c r="D10" s="52" t="s">
        <v>4</v>
      </c>
      <c r="E10" s="53" t="s">
        <v>27</v>
      </c>
      <c r="F10" s="52" t="s">
        <v>4</v>
      </c>
      <c r="G10" s="52" t="s">
        <v>29</v>
      </c>
      <c r="H10" s="54" t="s">
        <v>31</v>
      </c>
      <c r="I10" s="52" t="s">
        <v>35</v>
      </c>
      <c r="J10" s="55" t="s">
        <v>36</v>
      </c>
      <c r="K10" s="52" t="s">
        <v>27</v>
      </c>
      <c r="L10" s="56" t="s">
        <v>4</v>
      </c>
      <c r="M10" s="52" t="s">
        <v>46</v>
      </c>
      <c r="N10" s="54" t="s">
        <v>10496</v>
      </c>
      <c r="O10" s="55" t="str">
        <f t="shared" si="1"/>
        <v>L01.00.00.01.03.00.07</v>
      </c>
    </row>
    <row r="11" ht="15.75" customHeight="1">
      <c r="A11" s="51" t="s">
        <v>25</v>
      </c>
      <c r="B11" s="51" t="s">
        <v>26</v>
      </c>
      <c r="C11" s="51" t="s">
        <v>27</v>
      </c>
      <c r="D11" s="52" t="s">
        <v>4</v>
      </c>
      <c r="E11" s="53" t="s">
        <v>27</v>
      </c>
      <c r="F11" s="52" t="s">
        <v>4</v>
      </c>
      <c r="G11" s="52" t="s">
        <v>29</v>
      </c>
      <c r="H11" s="54" t="s">
        <v>31</v>
      </c>
      <c r="I11" s="52" t="s">
        <v>37</v>
      </c>
      <c r="J11" s="55" t="s">
        <v>38</v>
      </c>
      <c r="K11" s="52" t="s">
        <v>27</v>
      </c>
      <c r="L11" s="56" t="s">
        <v>4</v>
      </c>
      <c r="M11" s="52" t="s">
        <v>46</v>
      </c>
      <c r="N11" s="54" t="s">
        <v>10496</v>
      </c>
      <c r="O11" s="55" t="str">
        <f t="shared" si="1"/>
        <v>L01.00.00.01.04.00.07</v>
      </c>
    </row>
    <row r="12" ht="15.75" customHeight="1">
      <c r="A12" s="51" t="s">
        <v>25</v>
      </c>
      <c r="B12" s="51" t="s">
        <v>26</v>
      </c>
      <c r="C12" s="51" t="s">
        <v>27</v>
      </c>
      <c r="D12" s="52" t="s">
        <v>4</v>
      </c>
      <c r="E12" s="53" t="s">
        <v>27</v>
      </c>
      <c r="F12" s="52" t="s">
        <v>4</v>
      </c>
      <c r="G12" s="52" t="s">
        <v>33</v>
      </c>
      <c r="H12" s="54" t="s">
        <v>39</v>
      </c>
      <c r="I12" s="52" t="s">
        <v>27</v>
      </c>
      <c r="J12" s="52" t="s">
        <v>4</v>
      </c>
      <c r="K12" s="52" t="s">
        <v>27</v>
      </c>
      <c r="L12" s="56" t="s">
        <v>4</v>
      </c>
      <c r="M12" s="52" t="s">
        <v>46</v>
      </c>
      <c r="N12" s="54" t="s">
        <v>10496</v>
      </c>
      <c r="O12" s="55" t="str">
        <f t="shared" si="1"/>
        <v>L01.00.00.02.00.00.07</v>
      </c>
    </row>
    <row r="13" ht="15.75" customHeight="1">
      <c r="A13" s="51" t="s">
        <v>25</v>
      </c>
      <c r="B13" s="51" t="s">
        <v>26</v>
      </c>
      <c r="C13" s="51" t="s">
        <v>27</v>
      </c>
      <c r="D13" s="52" t="s">
        <v>4</v>
      </c>
      <c r="E13" s="53" t="s">
        <v>27</v>
      </c>
      <c r="F13" s="52" t="s">
        <v>4</v>
      </c>
      <c r="G13" s="52" t="s">
        <v>35</v>
      </c>
      <c r="H13" s="54" t="s">
        <v>40</v>
      </c>
      <c r="I13" s="52" t="s">
        <v>27</v>
      </c>
      <c r="J13" s="52" t="s">
        <v>4</v>
      </c>
      <c r="K13" s="52" t="s">
        <v>27</v>
      </c>
      <c r="L13" s="56" t="s">
        <v>4</v>
      </c>
      <c r="M13" s="52" t="s">
        <v>46</v>
      </c>
      <c r="N13" s="54" t="s">
        <v>10496</v>
      </c>
      <c r="O13" s="55" t="str">
        <f t="shared" si="1"/>
        <v>L01.00.00.03.00.00.07</v>
      </c>
    </row>
    <row r="14" ht="15.75" customHeight="1">
      <c r="A14" s="51" t="s">
        <v>25</v>
      </c>
      <c r="B14" s="51" t="s">
        <v>26</v>
      </c>
      <c r="C14" s="51" t="s">
        <v>27</v>
      </c>
      <c r="D14" s="52" t="s">
        <v>4</v>
      </c>
      <c r="E14" s="53" t="s">
        <v>27</v>
      </c>
      <c r="F14" s="52" t="s">
        <v>4</v>
      </c>
      <c r="G14" s="52" t="s">
        <v>37</v>
      </c>
      <c r="H14" s="54" t="s">
        <v>41</v>
      </c>
      <c r="I14" s="52" t="s">
        <v>27</v>
      </c>
      <c r="J14" s="52" t="s">
        <v>4</v>
      </c>
      <c r="K14" s="52" t="s">
        <v>27</v>
      </c>
      <c r="L14" s="56" t="s">
        <v>4</v>
      </c>
      <c r="M14" s="52" t="s">
        <v>46</v>
      </c>
      <c r="N14" s="54" t="s">
        <v>10496</v>
      </c>
      <c r="O14" s="55" t="str">
        <f t="shared" si="1"/>
        <v>L01.00.00.04.00.00.07</v>
      </c>
    </row>
    <row r="15" ht="15.75" customHeight="1">
      <c r="A15" s="51" t="s">
        <v>25</v>
      </c>
      <c r="B15" s="51" t="s">
        <v>26</v>
      </c>
      <c r="C15" s="51" t="s">
        <v>27</v>
      </c>
      <c r="D15" s="52" t="s">
        <v>4</v>
      </c>
      <c r="E15" s="53" t="s">
        <v>27</v>
      </c>
      <c r="F15" s="52" t="s">
        <v>4</v>
      </c>
      <c r="G15" s="52" t="s">
        <v>42</v>
      </c>
      <c r="H15" s="54" t="s">
        <v>43</v>
      </c>
      <c r="I15" s="52" t="s">
        <v>27</v>
      </c>
      <c r="J15" s="52" t="s">
        <v>4</v>
      </c>
      <c r="K15" s="52" t="s">
        <v>27</v>
      </c>
      <c r="L15" s="56" t="s">
        <v>4</v>
      </c>
      <c r="M15" s="52" t="s">
        <v>46</v>
      </c>
      <c r="N15" s="54" t="s">
        <v>10496</v>
      </c>
      <c r="O15" s="55" t="str">
        <f t="shared" si="1"/>
        <v>L01.00.00.05.00.00.07</v>
      </c>
    </row>
    <row r="16" ht="15.75" customHeight="1">
      <c r="A16" s="51" t="s">
        <v>25</v>
      </c>
      <c r="B16" s="51" t="s">
        <v>26</v>
      </c>
      <c r="C16" s="51" t="s">
        <v>27</v>
      </c>
      <c r="D16" s="52" t="s">
        <v>4</v>
      </c>
      <c r="E16" s="53" t="s">
        <v>27</v>
      </c>
      <c r="F16" s="52" t="s">
        <v>4</v>
      </c>
      <c r="G16" s="52" t="s">
        <v>44</v>
      </c>
      <c r="H16" s="54" t="s">
        <v>45</v>
      </c>
      <c r="I16" s="52" t="s">
        <v>27</v>
      </c>
      <c r="J16" s="52" t="s">
        <v>4</v>
      </c>
      <c r="K16" s="52" t="s">
        <v>27</v>
      </c>
      <c r="L16" s="56" t="s">
        <v>4</v>
      </c>
      <c r="M16" s="52" t="s">
        <v>46</v>
      </c>
      <c r="N16" s="54" t="s">
        <v>10496</v>
      </c>
      <c r="O16" s="55" t="str">
        <f t="shared" si="1"/>
        <v>L01.00.00.06.00.00.07</v>
      </c>
    </row>
    <row r="17" ht="15.75" customHeight="1">
      <c r="A17" s="51" t="s">
        <v>25</v>
      </c>
      <c r="B17" s="57" t="s">
        <v>26</v>
      </c>
      <c r="C17" s="51" t="s">
        <v>27</v>
      </c>
      <c r="D17" s="52" t="s">
        <v>4</v>
      </c>
      <c r="E17" s="53" t="s">
        <v>27</v>
      </c>
      <c r="F17" s="52" t="s">
        <v>4</v>
      </c>
      <c r="G17" s="52" t="s">
        <v>46</v>
      </c>
      <c r="H17" s="54" t="s">
        <v>47</v>
      </c>
      <c r="I17" s="52" t="s">
        <v>29</v>
      </c>
      <c r="J17" s="55" t="s">
        <v>48</v>
      </c>
      <c r="K17" s="52" t="s">
        <v>27</v>
      </c>
      <c r="L17" s="56" t="s">
        <v>4</v>
      </c>
      <c r="M17" s="52" t="s">
        <v>46</v>
      </c>
      <c r="N17" s="54" t="s">
        <v>10496</v>
      </c>
      <c r="O17" s="55" t="str">
        <f t="shared" si="1"/>
        <v>L01.00.00.07.01.00.07</v>
      </c>
    </row>
    <row r="18" ht="15.75" customHeight="1">
      <c r="A18" s="51" t="s">
        <v>25</v>
      </c>
      <c r="B18" s="57" t="s">
        <v>26</v>
      </c>
      <c r="C18" s="51" t="s">
        <v>27</v>
      </c>
      <c r="D18" s="52" t="s">
        <v>4</v>
      </c>
      <c r="E18" s="53" t="s">
        <v>27</v>
      </c>
      <c r="F18" s="52" t="s">
        <v>4</v>
      </c>
      <c r="G18" s="52" t="s">
        <v>46</v>
      </c>
      <c r="H18" s="54" t="s">
        <v>47</v>
      </c>
      <c r="I18" s="52" t="s">
        <v>33</v>
      </c>
      <c r="J18" s="58" t="s">
        <v>30</v>
      </c>
      <c r="K18" s="52" t="s">
        <v>27</v>
      </c>
      <c r="L18" s="56" t="s">
        <v>4</v>
      </c>
      <c r="M18" s="52" t="s">
        <v>46</v>
      </c>
      <c r="N18" s="54" t="s">
        <v>10496</v>
      </c>
      <c r="O18" s="55" t="str">
        <f t="shared" si="1"/>
        <v>L01.00.00.07.02.00.07</v>
      </c>
    </row>
    <row r="19" ht="15.75" customHeight="1">
      <c r="A19" s="51" t="s">
        <v>25</v>
      </c>
      <c r="B19" s="57" t="s">
        <v>26</v>
      </c>
      <c r="C19" s="51" t="s">
        <v>27</v>
      </c>
      <c r="D19" s="52" t="s">
        <v>4</v>
      </c>
      <c r="E19" s="53" t="s">
        <v>27</v>
      </c>
      <c r="F19" s="52" t="s">
        <v>4</v>
      </c>
      <c r="G19" s="52" t="s">
        <v>46</v>
      </c>
      <c r="H19" s="54" t="s">
        <v>47</v>
      </c>
      <c r="I19" s="52" t="s">
        <v>33</v>
      </c>
      <c r="J19" s="58" t="s">
        <v>30</v>
      </c>
      <c r="K19" s="52" t="s">
        <v>27</v>
      </c>
      <c r="L19" s="56" t="s">
        <v>4</v>
      </c>
      <c r="M19" s="52" t="s">
        <v>46</v>
      </c>
      <c r="N19" s="54" t="s">
        <v>10496</v>
      </c>
      <c r="O19" s="55" t="str">
        <f t="shared" si="1"/>
        <v>L01.00.00.07.02.00.07</v>
      </c>
    </row>
    <row r="20" ht="15.75" customHeight="1">
      <c r="A20" s="51"/>
      <c r="B20" s="57"/>
      <c r="C20" s="51"/>
      <c r="D20" s="51"/>
      <c r="E20" s="59"/>
      <c r="F20" s="51"/>
      <c r="G20" s="51"/>
      <c r="H20" s="54"/>
      <c r="I20" s="51"/>
      <c r="J20" s="51"/>
      <c r="K20" s="51"/>
      <c r="L20" s="54"/>
      <c r="M20" s="51"/>
      <c r="N20" s="54"/>
      <c r="O20" s="55"/>
    </row>
    <row r="21" ht="15.75" customHeight="1">
      <c r="A21" s="51" t="s">
        <v>25</v>
      </c>
      <c r="B21" s="57" t="s">
        <v>26</v>
      </c>
      <c r="C21" s="51" t="s">
        <v>27</v>
      </c>
      <c r="D21" s="52" t="s">
        <v>4</v>
      </c>
      <c r="E21" s="53" t="s">
        <v>27</v>
      </c>
      <c r="F21" s="52" t="s">
        <v>4</v>
      </c>
      <c r="G21" s="52" t="s">
        <v>49</v>
      </c>
      <c r="H21" s="54" t="s">
        <v>50</v>
      </c>
      <c r="I21" s="52" t="s">
        <v>27</v>
      </c>
      <c r="J21" s="52" t="s">
        <v>4</v>
      </c>
      <c r="K21" s="52" t="s">
        <v>27</v>
      </c>
      <c r="L21" s="56" t="s">
        <v>4</v>
      </c>
      <c r="M21" s="52" t="s">
        <v>46</v>
      </c>
      <c r="N21" s="54" t="s">
        <v>10496</v>
      </c>
      <c r="O21" s="55" t="str">
        <f t="shared" ref="O21:O35" si="2">A21&amp;"."&amp;C21&amp;"."&amp;E21&amp;"."&amp;G21&amp;"."&amp;I21&amp;"."&amp;K21&amp;"."&amp;M21</f>
        <v>L01.00.00.08.00.00.07</v>
      </c>
    </row>
    <row r="22" ht="15.75" customHeight="1">
      <c r="A22" s="51" t="s">
        <v>25</v>
      </c>
      <c r="B22" s="57" t="s">
        <v>26</v>
      </c>
      <c r="C22" s="51" t="s">
        <v>27</v>
      </c>
      <c r="D22" s="52" t="s">
        <v>4</v>
      </c>
      <c r="E22" s="53" t="s">
        <v>27</v>
      </c>
      <c r="F22" s="52" t="s">
        <v>4</v>
      </c>
      <c r="G22" s="52" t="s">
        <v>51</v>
      </c>
      <c r="H22" s="54" t="s">
        <v>52</v>
      </c>
      <c r="I22" s="52" t="s">
        <v>29</v>
      </c>
      <c r="J22" s="55" t="s">
        <v>53</v>
      </c>
      <c r="K22" s="52" t="s">
        <v>27</v>
      </c>
      <c r="L22" s="56" t="s">
        <v>4</v>
      </c>
      <c r="M22" s="52" t="s">
        <v>46</v>
      </c>
      <c r="N22" s="54" t="s">
        <v>10496</v>
      </c>
      <c r="O22" s="55" t="str">
        <f t="shared" si="2"/>
        <v>L01.00.00.09.01.00.07</v>
      </c>
    </row>
    <row r="23" ht="15.75" customHeight="1">
      <c r="A23" s="51" t="s">
        <v>25</v>
      </c>
      <c r="B23" s="57" t="s">
        <v>26</v>
      </c>
      <c r="C23" s="51" t="s">
        <v>27</v>
      </c>
      <c r="D23" s="52" t="s">
        <v>4</v>
      </c>
      <c r="E23" s="53" t="s">
        <v>27</v>
      </c>
      <c r="F23" s="52" t="s">
        <v>4</v>
      </c>
      <c r="G23" s="52" t="s">
        <v>51</v>
      </c>
      <c r="H23" s="54" t="s">
        <v>52</v>
      </c>
      <c r="I23" s="52" t="s">
        <v>33</v>
      </c>
      <c r="J23" s="55" t="s">
        <v>54</v>
      </c>
      <c r="K23" s="52" t="s">
        <v>27</v>
      </c>
      <c r="L23" s="56" t="s">
        <v>4</v>
      </c>
      <c r="M23" s="52" t="s">
        <v>46</v>
      </c>
      <c r="N23" s="54" t="s">
        <v>10496</v>
      </c>
      <c r="O23" s="55" t="str">
        <f t="shared" si="2"/>
        <v>L01.00.00.09.02.00.07</v>
      </c>
    </row>
    <row r="24" ht="15.75" customHeight="1">
      <c r="A24" s="51" t="s">
        <v>25</v>
      </c>
      <c r="B24" s="57" t="s">
        <v>26</v>
      </c>
      <c r="C24" s="51" t="s">
        <v>27</v>
      </c>
      <c r="D24" s="52" t="s">
        <v>4</v>
      </c>
      <c r="E24" s="53" t="s">
        <v>27</v>
      </c>
      <c r="F24" s="52" t="s">
        <v>4</v>
      </c>
      <c r="G24" s="52" t="s">
        <v>51</v>
      </c>
      <c r="H24" s="54" t="s">
        <v>52</v>
      </c>
      <c r="I24" s="52" t="s">
        <v>35</v>
      </c>
      <c r="J24" s="58" t="s">
        <v>30</v>
      </c>
      <c r="K24" s="52" t="s">
        <v>27</v>
      </c>
      <c r="L24" s="56" t="s">
        <v>4</v>
      </c>
      <c r="M24" s="52" t="s">
        <v>46</v>
      </c>
      <c r="N24" s="54" t="s">
        <v>10496</v>
      </c>
      <c r="O24" s="55" t="str">
        <f t="shared" si="2"/>
        <v>L01.00.00.09.03.00.07</v>
      </c>
    </row>
    <row r="25" ht="15.75" customHeight="1">
      <c r="A25" s="51" t="s">
        <v>25</v>
      </c>
      <c r="B25" s="51" t="s">
        <v>26</v>
      </c>
      <c r="C25" s="51" t="s">
        <v>27</v>
      </c>
      <c r="D25" s="52" t="s">
        <v>4</v>
      </c>
      <c r="E25" s="53" t="s">
        <v>27</v>
      </c>
      <c r="F25" s="52" t="s">
        <v>4</v>
      </c>
      <c r="G25" s="52" t="s">
        <v>55</v>
      </c>
      <c r="H25" s="60" t="s">
        <v>56</v>
      </c>
      <c r="I25" s="52" t="s">
        <v>29</v>
      </c>
      <c r="J25" s="61" t="s">
        <v>57</v>
      </c>
      <c r="K25" s="52" t="s">
        <v>27</v>
      </c>
      <c r="L25" s="56" t="s">
        <v>4</v>
      </c>
      <c r="M25" s="52" t="s">
        <v>46</v>
      </c>
      <c r="N25" s="54" t="s">
        <v>10496</v>
      </c>
      <c r="O25" s="55" t="str">
        <f t="shared" si="2"/>
        <v>L01.00.00.10.01.00.07</v>
      </c>
    </row>
    <row r="26" ht="15.75" customHeight="1">
      <c r="A26" s="51" t="s">
        <v>25</v>
      </c>
      <c r="B26" s="51" t="s">
        <v>26</v>
      </c>
      <c r="C26" s="51" t="s">
        <v>27</v>
      </c>
      <c r="D26" s="52" t="s">
        <v>4</v>
      </c>
      <c r="E26" s="53" t="s">
        <v>27</v>
      </c>
      <c r="F26" s="52" t="s">
        <v>4</v>
      </c>
      <c r="G26" s="52" t="s">
        <v>55</v>
      </c>
      <c r="H26" s="60" t="s">
        <v>56</v>
      </c>
      <c r="I26" s="62" t="s">
        <v>33</v>
      </c>
      <c r="J26" s="2" t="s">
        <v>58</v>
      </c>
      <c r="K26" s="52" t="s">
        <v>27</v>
      </c>
      <c r="L26" s="2" t="s">
        <v>60</v>
      </c>
      <c r="M26" s="52" t="s">
        <v>46</v>
      </c>
      <c r="N26" s="54" t="s">
        <v>10496</v>
      </c>
      <c r="O26" s="55" t="str">
        <f t="shared" si="2"/>
        <v>L01.00.00.10.02.00.07</v>
      </c>
    </row>
    <row r="27" ht="15.75" customHeight="1">
      <c r="A27" s="51" t="s">
        <v>25</v>
      </c>
      <c r="B27" s="51" t="s">
        <v>26</v>
      </c>
      <c r="C27" s="51" t="s">
        <v>27</v>
      </c>
      <c r="D27" s="52" t="s">
        <v>4</v>
      </c>
      <c r="E27" s="53" t="s">
        <v>27</v>
      </c>
      <c r="F27" s="52" t="s">
        <v>4</v>
      </c>
      <c r="G27" s="52" t="s">
        <v>55</v>
      </c>
      <c r="H27" s="60" t="s">
        <v>56</v>
      </c>
      <c r="I27" s="62" t="s">
        <v>33</v>
      </c>
      <c r="J27" s="2" t="s">
        <v>58</v>
      </c>
      <c r="K27" s="52" t="s">
        <v>27</v>
      </c>
      <c r="L27" s="2" t="s">
        <v>59</v>
      </c>
      <c r="M27" s="52" t="s">
        <v>46</v>
      </c>
      <c r="N27" s="54" t="s">
        <v>10496</v>
      </c>
      <c r="O27" s="55" t="str">
        <f t="shared" si="2"/>
        <v>L01.00.00.10.02.00.07</v>
      </c>
    </row>
    <row r="28" ht="15.75" customHeight="1">
      <c r="A28" s="51" t="s">
        <v>25</v>
      </c>
      <c r="B28" s="51" t="s">
        <v>26</v>
      </c>
      <c r="C28" s="51" t="s">
        <v>27</v>
      </c>
      <c r="D28" s="52" t="s">
        <v>4</v>
      </c>
      <c r="E28" s="53" t="s">
        <v>27</v>
      </c>
      <c r="F28" s="52" t="s">
        <v>4</v>
      </c>
      <c r="G28" s="52" t="s">
        <v>61</v>
      </c>
      <c r="H28" s="60" t="s">
        <v>62</v>
      </c>
      <c r="I28" s="52" t="s">
        <v>29</v>
      </c>
      <c r="J28" s="61" t="s">
        <v>63</v>
      </c>
      <c r="K28" s="52" t="s">
        <v>27</v>
      </c>
      <c r="L28" s="56" t="s">
        <v>4</v>
      </c>
      <c r="M28" s="52" t="s">
        <v>46</v>
      </c>
      <c r="N28" s="54" t="s">
        <v>10496</v>
      </c>
      <c r="O28" s="55" t="str">
        <f t="shared" si="2"/>
        <v>L01.00.00.11.01.00.07</v>
      </c>
    </row>
    <row r="29" ht="15.75" customHeight="1">
      <c r="A29" s="51" t="s">
        <v>25</v>
      </c>
      <c r="B29" s="51" t="s">
        <v>26</v>
      </c>
      <c r="C29" s="51" t="s">
        <v>27</v>
      </c>
      <c r="D29" s="52" t="s">
        <v>4</v>
      </c>
      <c r="E29" s="53" t="s">
        <v>27</v>
      </c>
      <c r="F29" s="52" t="s">
        <v>4</v>
      </c>
      <c r="G29" s="52" t="s">
        <v>61</v>
      </c>
      <c r="H29" s="60" t="s">
        <v>62</v>
      </c>
      <c r="I29" s="62" t="s">
        <v>33</v>
      </c>
      <c r="J29" s="63" t="s">
        <v>30</v>
      </c>
      <c r="K29" s="52" t="s">
        <v>27</v>
      </c>
      <c r="L29" s="56" t="s">
        <v>4</v>
      </c>
      <c r="M29" s="52" t="s">
        <v>46</v>
      </c>
      <c r="N29" s="54" t="s">
        <v>10496</v>
      </c>
      <c r="O29" s="55" t="str">
        <f t="shared" si="2"/>
        <v>L01.00.00.11.02.00.07</v>
      </c>
    </row>
    <row r="30" ht="15.75" customHeight="1">
      <c r="A30" s="51" t="s">
        <v>25</v>
      </c>
      <c r="B30" s="51" t="s">
        <v>26</v>
      </c>
      <c r="C30" s="51" t="s">
        <v>27</v>
      </c>
      <c r="D30" s="52" t="s">
        <v>4</v>
      </c>
      <c r="E30" s="53" t="s">
        <v>27</v>
      </c>
      <c r="F30" s="52" t="s">
        <v>4</v>
      </c>
      <c r="G30" s="52" t="s">
        <v>64</v>
      </c>
      <c r="H30" s="60" t="s">
        <v>65</v>
      </c>
      <c r="I30" s="52" t="s">
        <v>29</v>
      </c>
      <c r="J30" s="61" t="s">
        <v>66</v>
      </c>
      <c r="K30" s="52" t="s">
        <v>27</v>
      </c>
      <c r="L30" s="56" t="s">
        <v>4</v>
      </c>
      <c r="M30" s="52" t="s">
        <v>46</v>
      </c>
      <c r="N30" s="54" t="s">
        <v>10496</v>
      </c>
      <c r="O30" s="55" t="str">
        <f t="shared" si="2"/>
        <v>L01.00.00.12.01.00.07</v>
      </c>
    </row>
    <row r="31" ht="15.75" customHeight="1">
      <c r="A31" s="51" t="s">
        <v>25</v>
      </c>
      <c r="B31" s="51" t="s">
        <v>26</v>
      </c>
      <c r="C31" s="51" t="s">
        <v>27</v>
      </c>
      <c r="D31" s="52" t="s">
        <v>4</v>
      </c>
      <c r="E31" s="53" t="s">
        <v>27</v>
      </c>
      <c r="F31" s="52" t="s">
        <v>4</v>
      </c>
      <c r="G31" s="52" t="s">
        <v>64</v>
      </c>
      <c r="H31" s="60" t="s">
        <v>65</v>
      </c>
      <c r="I31" s="62" t="s">
        <v>33</v>
      </c>
      <c r="J31" s="63" t="s">
        <v>30</v>
      </c>
      <c r="K31" s="52" t="s">
        <v>27</v>
      </c>
      <c r="L31" s="56" t="s">
        <v>4</v>
      </c>
      <c r="M31" s="52" t="s">
        <v>46</v>
      </c>
      <c r="N31" s="54" t="s">
        <v>10496</v>
      </c>
      <c r="O31" s="55" t="str">
        <f t="shared" si="2"/>
        <v>L01.00.00.12.02.00.07</v>
      </c>
    </row>
    <row r="32" ht="15.75" customHeight="1">
      <c r="A32" s="51" t="s">
        <v>25</v>
      </c>
      <c r="B32" s="57" t="s">
        <v>26</v>
      </c>
      <c r="C32" s="51" t="s">
        <v>27</v>
      </c>
      <c r="D32" s="52" t="s">
        <v>4</v>
      </c>
      <c r="E32" s="53" t="s">
        <v>27</v>
      </c>
      <c r="F32" s="52" t="s">
        <v>4</v>
      </c>
      <c r="G32" s="52" t="s">
        <v>67</v>
      </c>
      <c r="H32" s="60" t="s">
        <v>68</v>
      </c>
      <c r="I32" s="64" t="s">
        <v>29</v>
      </c>
      <c r="J32" s="63" t="s">
        <v>30</v>
      </c>
      <c r="K32" s="52" t="s">
        <v>27</v>
      </c>
      <c r="L32" s="56" t="s">
        <v>4</v>
      </c>
      <c r="M32" s="52" t="s">
        <v>46</v>
      </c>
      <c r="N32" s="54" t="s">
        <v>10496</v>
      </c>
      <c r="O32" s="55" t="str">
        <f t="shared" si="2"/>
        <v>L01.00.00.13.01.00.07</v>
      </c>
    </row>
    <row r="33" ht="15.75" customHeight="1">
      <c r="A33" s="51" t="s">
        <v>25</v>
      </c>
      <c r="B33" s="57" t="s">
        <v>26</v>
      </c>
      <c r="C33" s="51" t="s">
        <v>27</v>
      </c>
      <c r="D33" s="52" t="s">
        <v>4</v>
      </c>
      <c r="E33" s="53" t="s">
        <v>27</v>
      </c>
      <c r="F33" s="52" t="s">
        <v>4</v>
      </c>
      <c r="G33" s="52" t="s">
        <v>69</v>
      </c>
      <c r="H33" s="60" t="s">
        <v>70</v>
      </c>
      <c r="I33" s="64" t="s">
        <v>29</v>
      </c>
      <c r="J33" s="63" t="s">
        <v>30</v>
      </c>
      <c r="K33" s="52" t="s">
        <v>27</v>
      </c>
      <c r="L33" s="56" t="s">
        <v>4</v>
      </c>
      <c r="M33" s="52" t="s">
        <v>46</v>
      </c>
      <c r="N33" s="54" t="s">
        <v>10496</v>
      </c>
      <c r="O33" s="55" t="str">
        <f t="shared" si="2"/>
        <v>L01.00.00.14.01.00.07</v>
      </c>
    </row>
    <row r="34" ht="15.75" customHeight="1">
      <c r="A34" s="51" t="s">
        <v>25</v>
      </c>
      <c r="B34" s="57" t="s">
        <v>26</v>
      </c>
      <c r="C34" s="51" t="s">
        <v>27</v>
      </c>
      <c r="D34" s="52" t="s">
        <v>4</v>
      </c>
      <c r="E34" s="53" t="s">
        <v>27</v>
      </c>
      <c r="F34" s="52" t="s">
        <v>4</v>
      </c>
      <c r="G34" s="52" t="s">
        <v>71</v>
      </c>
      <c r="H34" s="60" t="s">
        <v>72</v>
      </c>
      <c r="I34" s="64" t="s">
        <v>29</v>
      </c>
      <c r="J34" s="63" t="s">
        <v>30</v>
      </c>
      <c r="K34" s="52" t="s">
        <v>27</v>
      </c>
      <c r="L34" s="56" t="s">
        <v>4</v>
      </c>
      <c r="M34" s="52" t="s">
        <v>46</v>
      </c>
      <c r="N34" s="54" t="s">
        <v>10496</v>
      </c>
      <c r="O34" s="55" t="str">
        <f t="shared" si="2"/>
        <v>L01.00.00.15.01.00.07</v>
      </c>
    </row>
    <row r="35" ht="18.75" customHeight="1">
      <c r="A35" s="51" t="s">
        <v>25</v>
      </c>
      <c r="B35" s="57" t="s">
        <v>26</v>
      </c>
      <c r="C35" s="51" t="s">
        <v>27</v>
      </c>
      <c r="D35" s="52" t="s">
        <v>4</v>
      </c>
      <c r="E35" s="53" t="s">
        <v>27</v>
      </c>
      <c r="F35" s="52" t="s">
        <v>4</v>
      </c>
      <c r="G35" s="51">
        <v>16.0</v>
      </c>
      <c r="H35" s="60" t="s">
        <v>28</v>
      </c>
      <c r="I35" s="64" t="s">
        <v>29</v>
      </c>
      <c r="J35" s="63" t="s">
        <v>30</v>
      </c>
      <c r="K35" s="52" t="s">
        <v>27</v>
      </c>
      <c r="L35" s="56" t="s">
        <v>4</v>
      </c>
      <c r="M35" s="52" t="s">
        <v>46</v>
      </c>
      <c r="N35" s="54" t="s">
        <v>10496</v>
      </c>
      <c r="O35" s="55" t="str">
        <f t="shared" si="2"/>
        <v>L01.00.00.16.01.00.07</v>
      </c>
    </row>
    <row r="36" ht="15.75" customHeight="1">
      <c r="A36" s="50" t="s">
        <v>10497</v>
      </c>
      <c r="B36" s="47"/>
      <c r="C36" s="47"/>
      <c r="D36" s="47"/>
      <c r="E36" s="47"/>
      <c r="F36" s="47"/>
      <c r="G36" s="48"/>
      <c r="H36" s="49"/>
      <c r="I36" s="48"/>
      <c r="J36" s="48"/>
      <c r="K36" s="48"/>
      <c r="L36" s="48"/>
      <c r="M36" s="48"/>
      <c r="N36" s="49"/>
      <c r="O36" s="48"/>
    </row>
    <row r="37" ht="15.75" customHeight="1">
      <c r="A37" s="51" t="s">
        <v>76</v>
      </c>
      <c r="B37" s="57" t="s">
        <v>77</v>
      </c>
      <c r="C37" s="52" t="s">
        <v>29</v>
      </c>
      <c r="D37" s="52" t="s">
        <v>78</v>
      </c>
      <c r="E37" s="53" t="s">
        <v>27</v>
      </c>
      <c r="F37" s="52" t="s">
        <v>4</v>
      </c>
      <c r="G37" s="52" t="s">
        <v>29</v>
      </c>
      <c r="H37" s="54" t="s">
        <v>83</v>
      </c>
      <c r="I37" s="52" t="s">
        <v>29</v>
      </c>
      <c r="J37" s="55" t="s">
        <v>85</v>
      </c>
      <c r="K37" s="52" t="s">
        <v>27</v>
      </c>
      <c r="L37" s="56" t="s">
        <v>4</v>
      </c>
      <c r="M37" s="52" t="s">
        <v>29</v>
      </c>
      <c r="N37" s="54" t="s">
        <v>10498</v>
      </c>
      <c r="O37" s="55" t="str">
        <f t="shared" ref="O37:O38" si="3">A37&amp;"."&amp;C37&amp;"."&amp;E37&amp;"."&amp;G37&amp;"."&amp;I37&amp;"."&amp;K37&amp;"."&amp;M37</f>
        <v>L02.01.00.01.01.00.01</v>
      </c>
    </row>
    <row r="38" ht="15.75" customHeight="1">
      <c r="A38" s="51" t="s">
        <v>76</v>
      </c>
      <c r="B38" s="57" t="s">
        <v>77</v>
      </c>
      <c r="C38" s="51" t="s">
        <v>29</v>
      </c>
      <c r="D38" s="52" t="s">
        <v>78</v>
      </c>
      <c r="E38" s="53" t="s">
        <v>27</v>
      </c>
      <c r="F38" s="52" t="s">
        <v>4</v>
      </c>
      <c r="G38" s="52" t="s">
        <v>29</v>
      </c>
      <c r="H38" s="54" t="s">
        <v>83</v>
      </c>
      <c r="I38" s="52" t="s">
        <v>33</v>
      </c>
      <c r="J38" s="55" t="s">
        <v>79</v>
      </c>
      <c r="K38" s="52" t="s">
        <v>27</v>
      </c>
      <c r="L38" s="56" t="s">
        <v>4</v>
      </c>
      <c r="M38" s="52" t="s">
        <v>29</v>
      </c>
      <c r="N38" s="54" t="s">
        <v>10498</v>
      </c>
      <c r="O38" s="55" t="str">
        <f t="shared" si="3"/>
        <v>L02.01.00.01.02.00.01</v>
      </c>
    </row>
    <row r="39" ht="15.75" customHeight="1">
      <c r="A39" s="51"/>
      <c r="B39" s="57"/>
      <c r="C39" s="51"/>
      <c r="D39" s="51"/>
      <c r="E39" s="59"/>
      <c r="F39" s="51"/>
      <c r="G39" s="51"/>
      <c r="H39" s="54"/>
      <c r="I39" s="51"/>
      <c r="J39" s="55"/>
      <c r="K39" s="51"/>
      <c r="L39" s="54"/>
      <c r="M39" s="51"/>
      <c r="N39" s="54"/>
      <c r="O39" s="55"/>
    </row>
    <row r="40" ht="15.75" customHeight="1">
      <c r="A40" s="51"/>
      <c r="B40" s="57"/>
      <c r="C40" s="51"/>
      <c r="D40" s="51"/>
      <c r="E40" s="59"/>
      <c r="F40" s="51"/>
      <c r="G40" s="51"/>
      <c r="H40" s="54"/>
      <c r="I40" s="51"/>
      <c r="J40" s="55"/>
      <c r="K40" s="51"/>
      <c r="L40" s="54"/>
      <c r="M40" s="51"/>
      <c r="N40" s="54"/>
      <c r="O40" s="55"/>
    </row>
    <row r="41" ht="15.75" customHeight="1">
      <c r="A41" s="51" t="s">
        <v>76</v>
      </c>
      <c r="B41" s="57" t="s">
        <v>77</v>
      </c>
      <c r="C41" s="51" t="s">
        <v>29</v>
      </c>
      <c r="D41" s="52" t="s">
        <v>78</v>
      </c>
      <c r="E41" s="53" t="s">
        <v>27</v>
      </c>
      <c r="F41" s="52" t="s">
        <v>4</v>
      </c>
      <c r="G41" s="52" t="s">
        <v>29</v>
      </c>
      <c r="H41" s="54" t="s">
        <v>83</v>
      </c>
      <c r="I41" s="52" t="s">
        <v>35</v>
      </c>
      <c r="J41" s="55" t="s">
        <v>86</v>
      </c>
      <c r="K41" s="52" t="s">
        <v>27</v>
      </c>
      <c r="L41" s="56" t="s">
        <v>4</v>
      </c>
      <c r="M41" s="52" t="s">
        <v>29</v>
      </c>
      <c r="N41" s="54" t="s">
        <v>10498</v>
      </c>
      <c r="O41" s="55" t="str">
        <f t="shared" ref="O41:O57" si="4">A41&amp;"."&amp;C41&amp;"."&amp;E41&amp;"."&amp;G41&amp;"."&amp;I41&amp;"."&amp;K41&amp;"."&amp;M41</f>
        <v>L02.01.00.01.03.00.01</v>
      </c>
    </row>
    <row r="42" ht="15.75" customHeight="1">
      <c r="A42" s="51" t="s">
        <v>76</v>
      </c>
      <c r="B42" s="57" t="s">
        <v>77</v>
      </c>
      <c r="C42" s="51" t="s">
        <v>29</v>
      </c>
      <c r="D42" s="52" t="s">
        <v>78</v>
      </c>
      <c r="E42" s="53" t="s">
        <v>27</v>
      </c>
      <c r="F42" s="52" t="s">
        <v>4</v>
      </c>
      <c r="G42" s="52" t="s">
        <v>29</v>
      </c>
      <c r="H42" s="54" t="s">
        <v>83</v>
      </c>
      <c r="I42" s="52" t="s">
        <v>35</v>
      </c>
      <c r="J42" s="55" t="s">
        <v>86</v>
      </c>
      <c r="K42" s="52" t="s">
        <v>29</v>
      </c>
      <c r="L42" s="56" t="s">
        <v>87</v>
      </c>
      <c r="M42" s="52" t="s">
        <v>29</v>
      </c>
      <c r="N42" s="54" t="s">
        <v>10498</v>
      </c>
      <c r="O42" s="55" t="str">
        <f t="shared" si="4"/>
        <v>L02.01.00.01.03.01.01</v>
      </c>
    </row>
    <row r="43" ht="15.75" customHeight="1">
      <c r="A43" s="51" t="s">
        <v>76</v>
      </c>
      <c r="B43" s="57" t="s">
        <v>77</v>
      </c>
      <c r="C43" s="51" t="s">
        <v>29</v>
      </c>
      <c r="D43" s="52" t="s">
        <v>78</v>
      </c>
      <c r="E43" s="53" t="s">
        <v>27</v>
      </c>
      <c r="F43" s="52" t="s">
        <v>4</v>
      </c>
      <c r="G43" s="52" t="s">
        <v>29</v>
      </c>
      <c r="H43" s="54" t="s">
        <v>83</v>
      </c>
      <c r="I43" s="52" t="s">
        <v>35</v>
      </c>
      <c r="J43" s="55" t="s">
        <v>86</v>
      </c>
      <c r="K43" s="52" t="s">
        <v>33</v>
      </c>
      <c r="L43" s="56" t="s">
        <v>88</v>
      </c>
      <c r="M43" s="52" t="s">
        <v>29</v>
      </c>
      <c r="N43" s="54" t="s">
        <v>10498</v>
      </c>
      <c r="O43" s="55" t="str">
        <f t="shared" si="4"/>
        <v>L02.01.00.01.03.02.01</v>
      </c>
    </row>
    <row r="44" ht="15.75" customHeight="1">
      <c r="A44" s="51" t="s">
        <v>76</v>
      </c>
      <c r="B44" s="57" t="s">
        <v>77</v>
      </c>
      <c r="C44" s="51" t="s">
        <v>29</v>
      </c>
      <c r="D44" s="52" t="s">
        <v>78</v>
      </c>
      <c r="E44" s="53" t="s">
        <v>27</v>
      </c>
      <c r="F44" s="52" t="s">
        <v>4</v>
      </c>
      <c r="G44" s="52" t="s">
        <v>29</v>
      </c>
      <c r="H44" s="54" t="s">
        <v>83</v>
      </c>
      <c r="I44" s="52" t="s">
        <v>29</v>
      </c>
      <c r="J44" s="55" t="s">
        <v>84</v>
      </c>
      <c r="K44" s="52" t="s">
        <v>27</v>
      </c>
      <c r="L44" s="56" t="s">
        <v>4</v>
      </c>
      <c r="M44" s="52" t="s">
        <v>33</v>
      </c>
      <c r="N44" s="54" t="s">
        <v>10499</v>
      </c>
      <c r="O44" s="55" t="str">
        <f t="shared" si="4"/>
        <v>L02.01.00.01.01.00.02</v>
      </c>
    </row>
    <row r="45" ht="15.75" customHeight="1">
      <c r="A45" s="51" t="s">
        <v>76</v>
      </c>
      <c r="B45" s="57" t="s">
        <v>77</v>
      </c>
      <c r="C45" s="51" t="s">
        <v>29</v>
      </c>
      <c r="D45" s="52" t="s">
        <v>78</v>
      </c>
      <c r="E45" s="53" t="s">
        <v>27</v>
      </c>
      <c r="F45" s="52" t="s">
        <v>4</v>
      </c>
      <c r="G45" s="52" t="s">
        <v>29</v>
      </c>
      <c r="H45" s="54" t="s">
        <v>83</v>
      </c>
      <c r="I45" s="52" t="s">
        <v>33</v>
      </c>
      <c r="J45" s="55" t="s">
        <v>79</v>
      </c>
      <c r="K45" s="52" t="s">
        <v>27</v>
      </c>
      <c r="L45" s="56" t="s">
        <v>4</v>
      </c>
      <c r="M45" s="52" t="s">
        <v>33</v>
      </c>
      <c r="N45" s="54" t="s">
        <v>10499</v>
      </c>
      <c r="O45" s="55" t="str">
        <f t="shared" si="4"/>
        <v>L02.01.00.01.02.00.02</v>
      </c>
    </row>
    <row r="46" ht="15.75" customHeight="1">
      <c r="A46" s="51" t="s">
        <v>76</v>
      </c>
      <c r="B46" s="57" t="s">
        <v>77</v>
      </c>
      <c r="C46" s="51" t="s">
        <v>29</v>
      </c>
      <c r="D46" s="52" t="s">
        <v>78</v>
      </c>
      <c r="E46" s="53" t="s">
        <v>27</v>
      </c>
      <c r="F46" s="52" t="s">
        <v>4</v>
      </c>
      <c r="G46" s="52" t="s">
        <v>29</v>
      </c>
      <c r="H46" s="54" t="s">
        <v>83</v>
      </c>
      <c r="I46" s="52" t="s">
        <v>35</v>
      </c>
      <c r="J46" s="55" t="s">
        <v>86</v>
      </c>
      <c r="K46" s="52" t="s">
        <v>27</v>
      </c>
      <c r="L46" s="56" t="s">
        <v>4</v>
      </c>
      <c r="M46" s="52" t="s">
        <v>33</v>
      </c>
      <c r="N46" s="54" t="s">
        <v>10499</v>
      </c>
      <c r="O46" s="55" t="str">
        <f t="shared" si="4"/>
        <v>L02.01.00.01.03.00.02</v>
      </c>
    </row>
    <row r="47" ht="15.75" customHeight="1">
      <c r="A47" s="51" t="s">
        <v>76</v>
      </c>
      <c r="B47" s="57" t="s">
        <v>77</v>
      </c>
      <c r="C47" s="51" t="s">
        <v>29</v>
      </c>
      <c r="D47" s="52" t="s">
        <v>78</v>
      </c>
      <c r="E47" s="53" t="s">
        <v>27</v>
      </c>
      <c r="F47" s="52" t="s">
        <v>4</v>
      </c>
      <c r="G47" s="52" t="s">
        <v>29</v>
      </c>
      <c r="H47" s="54" t="s">
        <v>83</v>
      </c>
      <c r="I47" s="52" t="s">
        <v>35</v>
      </c>
      <c r="J47" s="55" t="s">
        <v>86</v>
      </c>
      <c r="K47" s="52" t="s">
        <v>29</v>
      </c>
      <c r="L47" s="56" t="s">
        <v>87</v>
      </c>
      <c r="M47" s="52" t="s">
        <v>33</v>
      </c>
      <c r="N47" s="54" t="s">
        <v>10499</v>
      </c>
      <c r="O47" s="55" t="str">
        <f t="shared" si="4"/>
        <v>L02.01.00.01.03.01.02</v>
      </c>
    </row>
    <row r="48" ht="15.75" customHeight="1">
      <c r="A48" s="51" t="s">
        <v>76</v>
      </c>
      <c r="B48" s="57" t="s">
        <v>77</v>
      </c>
      <c r="C48" s="51" t="s">
        <v>29</v>
      </c>
      <c r="D48" s="52" t="s">
        <v>78</v>
      </c>
      <c r="E48" s="53" t="s">
        <v>27</v>
      </c>
      <c r="F48" s="52" t="s">
        <v>4</v>
      </c>
      <c r="G48" s="52" t="s">
        <v>29</v>
      </c>
      <c r="H48" s="54" t="s">
        <v>83</v>
      </c>
      <c r="I48" s="52" t="s">
        <v>35</v>
      </c>
      <c r="J48" s="55" t="s">
        <v>86</v>
      </c>
      <c r="K48" s="52" t="s">
        <v>33</v>
      </c>
      <c r="L48" s="56" t="s">
        <v>88</v>
      </c>
      <c r="M48" s="52" t="s">
        <v>33</v>
      </c>
      <c r="N48" s="54" t="s">
        <v>10499</v>
      </c>
      <c r="O48" s="55" t="str">
        <f t="shared" si="4"/>
        <v>L02.01.00.01.03.02.02</v>
      </c>
    </row>
    <row r="49" ht="15.75" customHeight="1">
      <c r="A49" s="51" t="s">
        <v>76</v>
      </c>
      <c r="B49" s="57" t="s">
        <v>77</v>
      </c>
      <c r="C49" s="51" t="s">
        <v>29</v>
      </c>
      <c r="D49" s="52" t="s">
        <v>78</v>
      </c>
      <c r="E49" s="53" t="s">
        <v>27</v>
      </c>
      <c r="F49" s="52" t="s">
        <v>4</v>
      </c>
      <c r="G49" s="52" t="s">
        <v>29</v>
      </c>
      <c r="H49" s="54" t="s">
        <v>79</v>
      </c>
      <c r="I49" s="52" t="s">
        <v>29</v>
      </c>
      <c r="J49" s="58" t="s">
        <v>80</v>
      </c>
      <c r="K49" s="52" t="s">
        <v>27</v>
      </c>
      <c r="L49" s="56" t="s">
        <v>4</v>
      </c>
      <c r="M49" s="52" t="s">
        <v>35</v>
      </c>
      <c r="N49" s="54" t="s">
        <v>10500</v>
      </c>
      <c r="O49" s="55" t="str">
        <f t="shared" si="4"/>
        <v>L02.01.00.01.01.00.03</v>
      </c>
    </row>
    <row r="50" ht="15.75" customHeight="1">
      <c r="A50" s="51" t="s">
        <v>76</v>
      </c>
      <c r="B50" s="57" t="s">
        <v>77</v>
      </c>
      <c r="C50" s="51" t="s">
        <v>29</v>
      </c>
      <c r="D50" s="52" t="s">
        <v>78</v>
      </c>
      <c r="E50" s="53" t="s">
        <v>27</v>
      </c>
      <c r="F50" s="52" t="s">
        <v>4</v>
      </c>
      <c r="G50" s="52" t="s">
        <v>29</v>
      </c>
      <c r="H50" s="54" t="s">
        <v>79</v>
      </c>
      <c r="I50" s="52" t="s">
        <v>33</v>
      </c>
      <c r="J50" s="56" t="s">
        <v>81</v>
      </c>
      <c r="K50" s="52" t="s">
        <v>27</v>
      </c>
      <c r="L50" s="56" t="s">
        <v>4</v>
      </c>
      <c r="M50" s="52" t="s">
        <v>35</v>
      </c>
      <c r="N50" s="54" t="s">
        <v>10500</v>
      </c>
      <c r="O50" s="55" t="str">
        <f t="shared" si="4"/>
        <v>L02.01.00.01.02.00.03</v>
      </c>
    </row>
    <row r="51" ht="15.75" customHeight="1">
      <c r="A51" s="51" t="s">
        <v>76</v>
      </c>
      <c r="B51" s="57" t="s">
        <v>77</v>
      </c>
      <c r="C51" s="51" t="s">
        <v>29</v>
      </c>
      <c r="D51" s="52" t="s">
        <v>78</v>
      </c>
      <c r="E51" s="53" t="s">
        <v>27</v>
      </c>
      <c r="F51" s="52" t="s">
        <v>4</v>
      </c>
      <c r="G51" s="52" t="s">
        <v>29</v>
      </c>
      <c r="H51" s="54" t="s">
        <v>79</v>
      </c>
      <c r="I51" s="52" t="s">
        <v>35</v>
      </c>
      <c r="J51" s="56" t="s">
        <v>82</v>
      </c>
      <c r="K51" s="52" t="s">
        <v>27</v>
      </c>
      <c r="L51" s="56" t="s">
        <v>4</v>
      </c>
      <c r="M51" s="52" t="s">
        <v>35</v>
      </c>
      <c r="N51" s="54" t="s">
        <v>10500</v>
      </c>
      <c r="O51" s="55" t="str">
        <f t="shared" si="4"/>
        <v>L02.01.00.01.03.00.03</v>
      </c>
    </row>
    <row r="52" ht="15.75" customHeight="1">
      <c r="A52" s="51" t="s">
        <v>76</v>
      </c>
      <c r="B52" s="57" t="s">
        <v>77</v>
      </c>
      <c r="C52" s="51" t="s">
        <v>29</v>
      </c>
      <c r="D52" s="52" t="s">
        <v>78</v>
      </c>
      <c r="E52" s="53" t="s">
        <v>27</v>
      </c>
      <c r="F52" s="52" t="s">
        <v>4</v>
      </c>
      <c r="G52" s="52" t="s">
        <v>29</v>
      </c>
      <c r="H52" s="54" t="s">
        <v>79</v>
      </c>
      <c r="I52" s="52" t="s">
        <v>29</v>
      </c>
      <c r="J52" s="58" t="s">
        <v>80</v>
      </c>
      <c r="K52" s="52" t="s">
        <v>27</v>
      </c>
      <c r="L52" s="56" t="s">
        <v>4</v>
      </c>
      <c r="M52" s="52" t="s">
        <v>37</v>
      </c>
      <c r="N52" s="54" t="s">
        <v>10501</v>
      </c>
      <c r="O52" s="55" t="str">
        <f t="shared" si="4"/>
        <v>L02.01.00.01.01.00.04</v>
      </c>
    </row>
    <row r="53" ht="15.75" customHeight="1">
      <c r="A53" s="51" t="s">
        <v>76</v>
      </c>
      <c r="B53" s="57" t="s">
        <v>77</v>
      </c>
      <c r="C53" s="51" t="s">
        <v>29</v>
      </c>
      <c r="D53" s="52" t="s">
        <v>78</v>
      </c>
      <c r="E53" s="53" t="s">
        <v>27</v>
      </c>
      <c r="F53" s="52" t="s">
        <v>4</v>
      </c>
      <c r="G53" s="52" t="s">
        <v>29</v>
      </c>
      <c r="H53" s="54" t="s">
        <v>79</v>
      </c>
      <c r="I53" s="52" t="s">
        <v>33</v>
      </c>
      <c r="J53" s="56" t="s">
        <v>81</v>
      </c>
      <c r="K53" s="52" t="s">
        <v>27</v>
      </c>
      <c r="L53" s="56" t="s">
        <v>4</v>
      </c>
      <c r="M53" s="52" t="s">
        <v>37</v>
      </c>
      <c r="N53" s="54" t="s">
        <v>10501</v>
      </c>
      <c r="O53" s="55" t="str">
        <f t="shared" si="4"/>
        <v>L02.01.00.01.02.00.04</v>
      </c>
    </row>
    <row r="54" ht="15.75" customHeight="1">
      <c r="A54" s="51" t="s">
        <v>76</v>
      </c>
      <c r="B54" s="57" t="s">
        <v>77</v>
      </c>
      <c r="C54" s="51" t="s">
        <v>29</v>
      </c>
      <c r="D54" s="52" t="s">
        <v>78</v>
      </c>
      <c r="E54" s="53" t="s">
        <v>27</v>
      </c>
      <c r="F54" s="52" t="s">
        <v>4</v>
      </c>
      <c r="G54" s="52" t="s">
        <v>29</v>
      </c>
      <c r="H54" s="54" t="s">
        <v>79</v>
      </c>
      <c r="I54" s="52" t="s">
        <v>35</v>
      </c>
      <c r="J54" s="56" t="s">
        <v>82</v>
      </c>
      <c r="K54" s="52" t="s">
        <v>27</v>
      </c>
      <c r="L54" s="56" t="s">
        <v>4</v>
      </c>
      <c r="M54" s="52" t="s">
        <v>37</v>
      </c>
      <c r="N54" s="54" t="s">
        <v>10501</v>
      </c>
      <c r="O54" s="55" t="str">
        <f t="shared" si="4"/>
        <v>L02.01.00.01.03.00.04</v>
      </c>
    </row>
    <row r="55" ht="15.75" customHeight="1">
      <c r="A55" s="51" t="s">
        <v>76</v>
      </c>
      <c r="B55" s="57" t="s">
        <v>77</v>
      </c>
      <c r="C55" s="51" t="s">
        <v>29</v>
      </c>
      <c r="D55" s="52" t="s">
        <v>78</v>
      </c>
      <c r="E55" s="53" t="s">
        <v>27</v>
      </c>
      <c r="F55" s="52" t="s">
        <v>4</v>
      </c>
      <c r="G55" s="52" t="s">
        <v>29</v>
      </c>
      <c r="H55" s="54" t="s">
        <v>79</v>
      </c>
      <c r="I55" s="52" t="s">
        <v>29</v>
      </c>
      <c r="J55" s="58" t="s">
        <v>80</v>
      </c>
      <c r="K55" s="52" t="s">
        <v>27</v>
      </c>
      <c r="L55" s="56" t="s">
        <v>4</v>
      </c>
      <c r="M55" s="52" t="s">
        <v>42</v>
      </c>
      <c r="N55" s="54" t="s">
        <v>10502</v>
      </c>
      <c r="O55" s="55" t="str">
        <f t="shared" si="4"/>
        <v>L02.01.00.01.01.00.05</v>
      </c>
    </row>
    <row r="56" ht="15.75" customHeight="1">
      <c r="A56" s="51" t="s">
        <v>76</v>
      </c>
      <c r="B56" s="57" t="s">
        <v>77</v>
      </c>
      <c r="C56" s="51" t="s">
        <v>29</v>
      </c>
      <c r="D56" s="52" t="s">
        <v>78</v>
      </c>
      <c r="E56" s="53" t="s">
        <v>27</v>
      </c>
      <c r="F56" s="52" t="s">
        <v>4</v>
      </c>
      <c r="G56" s="52" t="s">
        <v>29</v>
      </c>
      <c r="H56" s="54" t="s">
        <v>79</v>
      </c>
      <c r="I56" s="52" t="s">
        <v>33</v>
      </c>
      <c r="J56" s="56" t="s">
        <v>81</v>
      </c>
      <c r="K56" s="52" t="s">
        <v>27</v>
      </c>
      <c r="L56" s="56" t="s">
        <v>4</v>
      </c>
      <c r="M56" s="52" t="s">
        <v>42</v>
      </c>
      <c r="N56" s="54" t="s">
        <v>10502</v>
      </c>
      <c r="O56" s="55" t="str">
        <f t="shared" si="4"/>
        <v>L02.01.00.01.02.00.05</v>
      </c>
    </row>
    <row r="57" ht="15.75" customHeight="1">
      <c r="A57" s="51" t="s">
        <v>76</v>
      </c>
      <c r="B57" s="57" t="s">
        <v>77</v>
      </c>
      <c r="C57" s="51" t="s">
        <v>29</v>
      </c>
      <c r="D57" s="52" t="s">
        <v>78</v>
      </c>
      <c r="E57" s="53" t="s">
        <v>27</v>
      </c>
      <c r="F57" s="52" t="s">
        <v>4</v>
      </c>
      <c r="G57" s="52" t="s">
        <v>29</v>
      </c>
      <c r="H57" s="54" t="s">
        <v>79</v>
      </c>
      <c r="I57" s="52" t="s">
        <v>35</v>
      </c>
      <c r="J57" s="56" t="s">
        <v>82</v>
      </c>
      <c r="K57" s="52" t="s">
        <v>27</v>
      </c>
      <c r="L57" s="56" t="s">
        <v>4</v>
      </c>
      <c r="M57" s="52" t="s">
        <v>42</v>
      </c>
      <c r="N57" s="54" t="s">
        <v>10502</v>
      </c>
      <c r="O57" s="55" t="str">
        <f t="shared" si="4"/>
        <v>L02.01.00.01.03.00.05</v>
      </c>
    </row>
    <row r="58" ht="15.75" customHeight="1">
      <c r="A58" s="50" t="s">
        <v>10503</v>
      </c>
      <c r="B58" s="47"/>
      <c r="C58" s="47"/>
      <c r="D58" s="47"/>
      <c r="E58" s="47"/>
      <c r="F58" s="47"/>
      <c r="G58" s="48"/>
      <c r="H58" s="49"/>
      <c r="I58" s="48"/>
      <c r="J58" s="48"/>
      <c r="K58" s="48"/>
      <c r="L58" s="48"/>
      <c r="M58" s="48"/>
      <c r="N58" s="49"/>
      <c r="O58" s="48"/>
    </row>
    <row r="59" ht="15.75" customHeight="1">
      <c r="A59" s="65" t="s">
        <v>10504</v>
      </c>
      <c r="B59" s="66"/>
      <c r="C59" s="66"/>
      <c r="D59" s="66"/>
      <c r="E59" s="67"/>
      <c r="F59" s="66"/>
      <c r="G59" s="66"/>
      <c r="H59" s="68"/>
      <c r="I59" s="66"/>
      <c r="J59" s="69"/>
      <c r="K59" s="66"/>
      <c r="L59" s="68"/>
      <c r="M59" s="66"/>
      <c r="N59" s="68"/>
      <c r="O59" s="69"/>
    </row>
    <row r="60" ht="15.75" customHeight="1">
      <c r="A60" s="51" t="s">
        <v>76</v>
      </c>
      <c r="B60" s="57" t="s">
        <v>77</v>
      </c>
      <c r="C60" s="52" t="s">
        <v>33</v>
      </c>
      <c r="D60" s="52" t="s">
        <v>89</v>
      </c>
      <c r="E60" s="53" t="s">
        <v>29</v>
      </c>
      <c r="F60" s="52" t="s">
        <v>90</v>
      </c>
      <c r="G60" s="52" t="s">
        <v>29</v>
      </c>
      <c r="H60" s="54" t="s">
        <v>91</v>
      </c>
      <c r="I60" s="52" t="s">
        <v>27</v>
      </c>
      <c r="J60" s="56" t="s">
        <v>4</v>
      </c>
      <c r="K60" s="52" t="s">
        <v>27</v>
      </c>
      <c r="L60" s="56" t="s">
        <v>4</v>
      </c>
      <c r="M60" s="52" t="s">
        <v>29</v>
      </c>
      <c r="N60" s="54" t="s">
        <v>10498</v>
      </c>
      <c r="O60" s="55" t="str">
        <f t="shared" ref="O60:O86" si="5">A60&amp;"."&amp;C60&amp;"."&amp;E60&amp;"."&amp;G60&amp;"."&amp;I60&amp;"."&amp;K60&amp;"."&amp;M60</f>
        <v>L02.02.01.01.00.00.01</v>
      </c>
    </row>
    <row r="61" ht="15.75" customHeight="1">
      <c r="A61" s="51" t="s">
        <v>76</v>
      </c>
      <c r="B61" s="57" t="s">
        <v>77</v>
      </c>
      <c r="C61" s="51" t="s">
        <v>33</v>
      </c>
      <c r="D61" s="52" t="s">
        <v>89</v>
      </c>
      <c r="E61" s="53" t="s">
        <v>29</v>
      </c>
      <c r="F61" s="52" t="s">
        <v>90</v>
      </c>
      <c r="G61" s="52" t="s">
        <v>33</v>
      </c>
      <c r="H61" s="54" t="s">
        <v>93</v>
      </c>
      <c r="I61" s="52" t="s">
        <v>29</v>
      </c>
      <c r="J61" s="55" t="s">
        <v>94</v>
      </c>
      <c r="K61" s="52" t="s">
        <v>27</v>
      </c>
      <c r="L61" s="56" t="s">
        <v>4</v>
      </c>
      <c r="M61" s="52" t="s">
        <v>29</v>
      </c>
      <c r="N61" s="54" t="s">
        <v>10498</v>
      </c>
      <c r="O61" s="55" t="str">
        <f t="shared" si="5"/>
        <v>L02.02.01.02.01.00.01</v>
      </c>
    </row>
    <row r="62" ht="15.75" customHeight="1">
      <c r="A62" s="51" t="s">
        <v>76</v>
      </c>
      <c r="B62" s="57" t="s">
        <v>77</v>
      </c>
      <c r="C62" s="51" t="s">
        <v>33</v>
      </c>
      <c r="D62" s="52" t="s">
        <v>89</v>
      </c>
      <c r="E62" s="53" t="s">
        <v>29</v>
      </c>
      <c r="F62" s="52" t="s">
        <v>90</v>
      </c>
      <c r="G62" s="52" t="s">
        <v>33</v>
      </c>
      <c r="H62" s="54" t="s">
        <v>93</v>
      </c>
      <c r="I62" s="52" t="s">
        <v>33</v>
      </c>
      <c r="J62" s="55" t="s">
        <v>95</v>
      </c>
      <c r="K62" s="52" t="s">
        <v>27</v>
      </c>
      <c r="L62" s="56" t="s">
        <v>4</v>
      </c>
      <c r="M62" s="52" t="s">
        <v>29</v>
      </c>
      <c r="N62" s="54" t="s">
        <v>10498</v>
      </c>
      <c r="O62" s="55" t="str">
        <f t="shared" si="5"/>
        <v>L02.02.01.02.02.00.01</v>
      </c>
    </row>
    <row r="63" ht="15.75" customHeight="1">
      <c r="A63" s="51" t="s">
        <v>76</v>
      </c>
      <c r="B63" s="57" t="s">
        <v>77</v>
      </c>
      <c r="C63" s="51" t="s">
        <v>33</v>
      </c>
      <c r="D63" s="52" t="s">
        <v>89</v>
      </c>
      <c r="E63" s="53" t="s">
        <v>29</v>
      </c>
      <c r="F63" s="52" t="s">
        <v>90</v>
      </c>
      <c r="G63" s="52" t="s">
        <v>33</v>
      </c>
      <c r="H63" s="54" t="s">
        <v>93</v>
      </c>
      <c r="I63" s="52" t="s">
        <v>33</v>
      </c>
      <c r="J63" s="55" t="s">
        <v>95</v>
      </c>
      <c r="K63" s="52" t="s">
        <v>29</v>
      </c>
      <c r="L63" s="55" t="s">
        <v>96</v>
      </c>
      <c r="M63" s="52" t="s">
        <v>29</v>
      </c>
      <c r="N63" s="54" t="s">
        <v>10498</v>
      </c>
      <c r="O63" s="55" t="str">
        <f t="shared" si="5"/>
        <v>L02.02.01.02.02.01.01</v>
      </c>
    </row>
    <row r="64" ht="15.75" customHeight="1">
      <c r="A64" s="51" t="s">
        <v>76</v>
      </c>
      <c r="B64" s="57" t="s">
        <v>77</v>
      </c>
      <c r="C64" s="51" t="s">
        <v>33</v>
      </c>
      <c r="D64" s="52" t="s">
        <v>89</v>
      </c>
      <c r="E64" s="53" t="s">
        <v>29</v>
      </c>
      <c r="F64" s="52" t="s">
        <v>90</v>
      </c>
      <c r="G64" s="52" t="s">
        <v>33</v>
      </c>
      <c r="H64" s="54" t="s">
        <v>93</v>
      </c>
      <c r="I64" s="52" t="s">
        <v>33</v>
      </c>
      <c r="J64" s="55" t="s">
        <v>95</v>
      </c>
      <c r="K64" s="52" t="s">
        <v>33</v>
      </c>
      <c r="L64" s="55" t="s">
        <v>97</v>
      </c>
      <c r="M64" s="52" t="s">
        <v>29</v>
      </c>
      <c r="N64" s="54" t="s">
        <v>10498</v>
      </c>
      <c r="O64" s="55" t="str">
        <f t="shared" si="5"/>
        <v>L02.02.01.02.02.02.01</v>
      </c>
    </row>
    <row r="65" ht="15.75" customHeight="1">
      <c r="A65" s="51" t="s">
        <v>76</v>
      </c>
      <c r="B65" s="57" t="s">
        <v>77</v>
      </c>
      <c r="C65" s="51" t="s">
        <v>33</v>
      </c>
      <c r="D65" s="52" t="s">
        <v>89</v>
      </c>
      <c r="E65" s="53" t="s">
        <v>29</v>
      </c>
      <c r="F65" s="52" t="s">
        <v>90</v>
      </c>
      <c r="G65" s="52" t="s">
        <v>33</v>
      </c>
      <c r="H65" s="54" t="s">
        <v>93</v>
      </c>
      <c r="I65" s="52" t="s">
        <v>35</v>
      </c>
      <c r="J65" s="55" t="s">
        <v>98</v>
      </c>
      <c r="K65" s="52" t="s">
        <v>27</v>
      </c>
      <c r="L65" s="56" t="s">
        <v>4</v>
      </c>
      <c r="M65" s="52" t="s">
        <v>29</v>
      </c>
      <c r="N65" s="54" t="s">
        <v>10498</v>
      </c>
      <c r="O65" s="55" t="str">
        <f t="shared" si="5"/>
        <v>L02.02.01.02.03.00.01</v>
      </c>
    </row>
    <row r="66" ht="15.75" customHeight="1">
      <c r="A66" s="51" t="s">
        <v>76</v>
      </c>
      <c r="B66" s="57" t="s">
        <v>77</v>
      </c>
      <c r="C66" s="51" t="s">
        <v>33</v>
      </c>
      <c r="D66" s="52" t="s">
        <v>89</v>
      </c>
      <c r="E66" s="53" t="s">
        <v>29</v>
      </c>
      <c r="F66" s="52" t="s">
        <v>90</v>
      </c>
      <c r="G66" s="52" t="s">
        <v>33</v>
      </c>
      <c r="H66" s="54" t="s">
        <v>93</v>
      </c>
      <c r="I66" s="52" t="s">
        <v>35</v>
      </c>
      <c r="J66" s="55" t="s">
        <v>98</v>
      </c>
      <c r="K66" s="52" t="s">
        <v>29</v>
      </c>
      <c r="L66" s="55" t="s">
        <v>99</v>
      </c>
      <c r="M66" s="52" t="s">
        <v>29</v>
      </c>
      <c r="N66" s="54" t="s">
        <v>10498</v>
      </c>
      <c r="O66" s="55" t="str">
        <f t="shared" si="5"/>
        <v>L02.02.01.02.03.01.01</v>
      </c>
    </row>
    <row r="67" ht="15.75" customHeight="1">
      <c r="A67" s="51" t="s">
        <v>76</v>
      </c>
      <c r="B67" s="57" t="s">
        <v>77</v>
      </c>
      <c r="C67" s="51" t="s">
        <v>33</v>
      </c>
      <c r="D67" s="52" t="s">
        <v>89</v>
      </c>
      <c r="E67" s="53" t="s">
        <v>29</v>
      </c>
      <c r="F67" s="52" t="s">
        <v>90</v>
      </c>
      <c r="G67" s="52" t="s">
        <v>33</v>
      </c>
      <c r="H67" s="54" t="s">
        <v>93</v>
      </c>
      <c r="I67" s="52" t="s">
        <v>35</v>
      </c>
      <c r="J67" s="55" t="s">
        <v>98</v>
      </c>
      <c r="K67" s="52" t="s">
        <v>33</v>
      </c>
      <c r="L67" s="55" t="s">
        <v>100</v>
      </c>
      <c r="M67" s="52" t="s">
        <v>29</v>
      </c>
      <c r="N67" s="54" t="s">
        <v>10498</v>
      </c>
      <c r="O67" s="55" t="str">
        <f t="shared" si="5"/>
        <v>L02.02.01.02.03.02.01</v>
      </c>
    </row>
    <row r="68" ht="15.75" customHeight="1">
      <c r="A68" s="51" t="s">
        <v>76</v>
      </c>
      <c r="B68" s="57" t="s">
        <v>77</v>
      </c>
      <c r="C68" s="51" t="s">
        <v>33</v>
      </c>
      <c r="D68" s="52" t="s">
        <v>89</v>
      </c>
      <c r="E68" s="53" t="s">
        <v>29</v>
      </c>
      <c r="F68" s="52" t="s">
        <v>90</v>
      </c>
      <c r="G68" s="52" t="s">
        <v>33</v>
      </c>
      <c r="H68" s="54" t="s">
        <v>93</v>
      </c>
      <c r="I68" s="52" t="s">
        <v>37</v>
      </c>
      <c r="J68" s="55" t="s">
        <v>101</v>
      </c>
      <c r="K68" s="52" t="s">
        <v>27</v>
      </c>
      <c r="L68" s="56" t="s">
        <v>4</v>
      </c>
      <c r="M68" s="52" t="s">
        <v>29</v>
      </c>
      <c r="N68" s="54" t="s">
        <v>10498</v>
      </c>
      <c r="O68" s="55" t="str">
        <f t="shared" si="5"/>
        <v>L02.02.01.02.04.00.01</v>
      </c>
    </row>
    <row r="69" ht="15.75" customHeight="1">
      <c r="A69" s="51" t="s">
        <v>76</v>
      </c>
      <c r="B69" s="57" t="s">
        <v>77</v>
      </c>
      <c r="C69" s="51" t="s">
        <v>33</v>
      </c>
      <c r="D69" s="52" t="s">
        <v>89</v>
      </c>
      <c r="E69" s="53" t="s">
        <v>29</v>
      </c>
      <c r="F69" s="52" t="s">
        <v>90</v>
      </c>
      <c r="G69" s="52" t="s">
        <v>33</v>
      </c>
      <c r="H69" s="54" t="s">
        <v>93</v>
      </c>
      <c r="I69" s="52" t="s">
        <v>29</v>
      </c>
      <c r="J69" s="55" t="s">
        <v>94</v>
      </c>
      <c r="K69" s="52" t="s">
        <v>27</v>
      </c>
      <c r="L69" s="56" t="s">
        <v>4</v>
      </c>
      <c r="M69" s="52" t="s">
        <v>33</v>
      </c>
      <c r="N69" s="54" t="s">
        <v>10499</v>
      </c>
      <c r="O69" s="55" t="str">
        <f t="shared" si="5"/>
        <v>L02.02.01.02.01.00.02</v>
      </c>
    </row>
    <row r="70" ht="15.75" customHeight="1">
      <c r="A70" s="51" t="s">
        <v>76</v>
      </c>
      <c r="B70" s="57" t="s">
        <v>77</v>
      </c>
      <c r="C70" s="51" t="s">
        <v>33</v>
      </c>
      <c r="D70" s="52" t="s">
        <v>89</v>
      </c>
      <c r="E70" s="53" t="s">
        <v>29</v>
      </c>
      <c r="F70" s="52" t="s">
        <v>90</v>
      </c>
      <c r="G70" s="52" t="s">
        <v>33</v>
      </c>
      <c r="H70" s="54" t="s">
        <v>93</v>
      </c>
      <c r="I70" s="52" t="s">
        <v>33</v>
      </c>
      <c r="J70" s="55" t="s">
        <v>95</v>
      </c>
      <c r="K70" s="52" t="s">
        <v>27</v>
      </c>
      <c r="L70" s="56" t="s">
        <v>4</v>
      </c>
      <c r="M70" s="52" t="s">
        <v>33</v>
      </c>
      <c r="N70" s="54" t="s">
        <v>10499</v>
      </c>
      <c r="O70" s="55" t="str">
        <f t="shared" si="5"/>
        <v>L02.02.01.02.02.00.02</v>
      </c>
    </row>
    <row r="71" ht="15.75" customHeight="1">
      <c r="A71" s="51" t="s">
        <v>76</v>
      </c>
      <c r="B71" s="57" t="s">
        <v>77</v>
      </c>
      <c r="C71" s="51" t="s">
        <v>33</v>
      </c>
      <c r="D71" s="52" t="s">
        <v>89</v>
      </c>
      <c r="E71" s="53" t="s">
        <v>29</v>
      </c>
      <c r="F71" s="52" t="s">
        <v>90</v>
      </c>
      <c r="G71" s="52" t="s">
        <v>33</v>
      </c>
      <c r="H71" s="54" t="s">
        <v>93</v>
      </c>
      <c r="I71" s="52" t="s">
        <v>33</v>
      </c>
      <c r="J71" s="55" t="s">
        <v>95</v>
      </c>
      <c r="K71" s="52" t="s">
        <v>29</v>
      </c>
      <c r="L71" s="55" t="s">
        <v>96</v>
      </c>
      <c r="M71" s="52" t="s">
        <v>33</v>
      </c>
      <c r="N71" s="54" t="s">
        <v>10499</v>
      </c>
      <c r="O71" s="55" t="str">
        <f t="shared" si="5"/>
        <v>L02.02.01.02.02.01.02</v>
      </c>
    </row>
    <row r="72" ht="15.75" customHeight="1">
      <c r="A72" s="51" t="s">
        <v>76</v>
      </c>
      <c r="B72" s="57" t="s">
        <v>77</v>
      </c>
      <c r="C72" s="51" t="s">
        <v>33</v>
      </c>
      <c r="D72" s="52" t="s">
        <v>89</v>
      </c>
      <c r="E72" s="53" t="s">
        <v>29</v>
      </c>
      <c r="F72" s="52" t="s">
        <v>90</v>
      </c>
      <c r="G72" s="52" t="s">
        <v>33</v>
      </c>
      <c r="H72" s="54" t="s">
        <v>93</v>
      </c>
      <c r="I72" s="52" t="s">
        <v>33</v>
      </c>
      <c r="J72" s="55" t="s">
        <v>95</v>
      </c>
      <c r="K72" s="52" t="s">
        <v>33</v>
      </c>
      <c r="L72" s="55" t="s">
        <v>97</v>
      </c>
      <c r="M72" s="52" t="s">
        <v>33</v>
      </c>
      <c r="N72" s="54" t="s">
        <v>10499</v>
      </c>
      <c r="O72" s="55" t="str">
        <f t="shared" si="5"/>
        <v>L02.02.01.02.02.02.02</v>
      </c>
    </row>
    <row r="73" ht="15.75" customHeight="1">
      <c r="A73" s="51" t="s">
        <v>76</v>
      </c>
      <c r="B73" s="57" t="s">
        <v>77</v>
      </c>
      <c r="C73" s="51" t="s">
        <v>33</v>
      </c>
      <c r="D73" s="52" t="s">
        <v>89</v>
      </c>
      <c r="E73" s="53" t="s">
        <v>29</v>
      </c>
      <c r="F73" s="52" t="s">
        <v>90</v>
      </c>
      <c r="G73" s="52" t="s">
        <v>33</v>
      </c>
      <c r="H73" s="54" t="s">
        <v>93</v>
      </c>
      <c r="I73" s="52" t="s">
        <v>35</v>
      </c>
      <c r="J73" s="55" t="s">
        <v>98</v>
      </c>
      <c r="K73" s="52" t="s">
        <v>27</v>
      </c>
      <c r="L73" s="56" t="s">
        <v>4</v>
      </c>
      <c r="M73" s="52" t="s">
        <v>33</v>
      </c>
      <c r="N73" s="54" t="s">
        <v>10499</v>
      </c>
      <c r="O73" s="55" t="str">
        <f t="shared" si="5"/>
        <v>L02.02.01.02.03.00.02</v>
      </c>
    </row>
    <row r="74" ht="15.75" customHeight="1">
      <c r="A74" s="51" t="s">
        <v>76</v>
      </c>
      <c r="B74" s="57" t="s">
        <v>77</v>
      </c>
      <c r="C74" s="51" t="s">
        <v>33</v>
      </c>
      <c r="D74" s="52" t="s">
        <v>89</v>
      </c>
      <c r="E74" s="53" t="s">
        <v>29</v>
      </c>
      <c r="F74" s="52" t="s">
        <v>90</v>
      </c>
      <c r="G74" s="52" t="s">
        <v>33</v>
      </c>
      <c r="H74" s="54" t="s">
        <v>93</v>
      </c>
      <c r="I74" s="52" t="s">
        <v>35</v>
      </c>
      <c r="J74" s="55" t="s">
        <v>98</v>
      </c>
      <c r="K74" s="52" t="s">
        <v>29</v>
      </c>
      <c r="L74" s="55" t="s">
        <v>99</v>
      </c>
      <c r="M74" s="52" t="s">
        <v>33</v>
      </c>
      <c r="N74" s="54" t="s">
        <v>10499</v>
      </c>
      <c r="O74" s="55" t="str">
        <f t="shared" si="5"/>
        <v>L02.02.01.02.03.01.02</v>
      </c>
    </row>
    <row r="75" ht="15.75" customHeight="1">
      <c r="A75" s="51" t="s">
        <v>76</v>
      </c>
      <c r="B75" s="57" t="s">
        <v>77</v>
      </c>
      <c r="C75" s="51" t="s">
        <v>33</v>
      </c>
      <c r="D75" s="52" t="s">
        <v>89</v>
      </c>
      <c r="E75" s="53" t="s">
        <v>29</v>
      </c>
      <c r="F75" s="52" t="s">
        <v>90</v>
      </c>
      <c r="G75" s="52" t="s">
        <v>33</v>
      </c>
      <c r="H75" s="54" t="s">
        <v>93</v>
      </c>
      <c r="I75" s="52" t="s">
        <v>35</v>
      </c>
      <c r="J75" s="55" t="s">
        <v>98</v>
      </c>
      <c r="K75" s="52" t="s">
        <v>33</v>
      </c>
      <c r="L75" s="55" t="s">
        <v>100</v>
      </c>
      <c r="M75" s="52" t="s">
        <v>33</v>
      </c>
      <c r="N75" s="54" t="s">
        <v>10499</v>
      </c>
      <c r="O75" s="55" t="str">
        <f t="shared" si="5"/>
        <v>L02.02.01.02.03.02.02</v>
      </c>
    </row>
    <row r="76" ht="15.75" customHeight="1">
      <c r="A76" s="51" t="s">
        <v>76</v>
      </c>
      <c r="B76" s="57" t="s">
        <v>77</v>
      </c>
      <c r="C76" s="51" t="s">
        <v>33</v>
      </c>
      <c r="D76" s="52" t="s">
        <v>89</v>
      </c>
      <c r="E76" s="53" t="s">
        <v>29</v>
      </c>
      <c r="F76" s="52" t="s">
        <v>90</v>
      </c>
      <c r="G76" s="52" t="s">
        <v>33</v>
      </c>
      <c r="H76" s="54" t="s">
        <v>93</v>
      </c>
      <c r="I76" s="52" t="s">
        <v>37</v>
      </c>
      <c r="J76" s="55" t="s">
        <v>101</v>
      </c>
      <c r="K76" s="52" t="s">
        <v>27</v>
      </c>
      <c r="L76" s="56" t="s">
        <v>4</v>
      </c>
      <c r="M76" s="52" t="s">
        <v>33</v>
      </c>
      <c r="N76" s="54" t="s">
        <v>10499</v>
      </c>
      <c r="O76" s="55" t="str">
        <f t="shared" si="5"/>
        <v>L02.02.01.02.04.00.02</v>
      </c>
    </row>
    <row r="77" ht="15.75" customHeight="1">
      <c r="A77" s="51" t="s">
        <v>76</v>
      </c>
      <c r="B77" s="57" t="s">
        <v>77</v>
      </c>
      <c r="C77" s="51" t="s">
        <v>33</v>
      </c>
      <c r="D77" s="52" t="s">
        <v>89</v>
      </c>
      <c r="E77" s="53" t="s">
        <v>29</v>
      </c>
      <c r="F77" s="52" t="s">
        <v>90</v>
      </c>
      <c r="G77" s="52" t="s">
        <v>33</v>
      </c>
      <c r="H77" s="54" t="s">
        <v>92</v>
      </c>
      <c r="I77" s="52" t="s">
        <v>27</v>
      </c>
      <c r="J77" s="56" t="s">
        <v>4</v>
      </c>
      <c r="K77" s="52" t="s">
        <v>27</v>
      </c>
      <c r="L77" s="56" t="s">
        <v>4</v>
      </c>
      <c r="M77" s="52" t="s">
        <v>35</v>
      </c>
      <c r="N77" s="54" t="s">
        <v>10500</v>
      </c>
      <c r="O77" s="55" t="str">
        <f t="shared" si="5"/>
        <v>L02.02.01.02.00.00.03</v>
      </c>
    </row>
    <row r="78" ht="15.75" customHeight="1">
      <c r="A78" s="51" t="s">
        <v>76</v>
      </c>
      <c r="B78" s="57" t="s">
        <v>77</v>
      </c>
      <c r="C78" s="51" t="s">
        <v>33</v>
      </c>
      <c r="D78" s="52" t="s">
        <v>89</v>
      </c>
      <c r="E78" s="53" t="s">
        <v>29</v>
      </c>
      <c r="F78" s="52" t="s">
        <v>90</v>
      </c>
      <c r="G78" s="52" t="s">
        <v>33</v>
      </c>
      <c r="H78" s="54" t="s">
        <v>92</v>
      </c>
      <c r="I78" s="52" t="s">
        <v>27</v>
      </c>
      <c r="J78" s="56" t="s">
        <v>4</v>
      </c>
      <c r="K78" s="52" t="s">
        <v>27</v>
      </c>
      <c r="L78" s="56" t="s">
        <v>4</v>
      </c>
      <c r="M78" s="52" t="s">
        <v>37</v>
      </c>
      <c r="N78" s="54" t="s">
        <v>10501</v>
      </c>
      <c r="O78" s="55" t="str">
        <f t="shared" si="5"/>
        <v>L02.02.01.02.00.00.04</v>
      </c>
    </row>
    <row r="79" ht="15.75" customHeight="1">
      <c r="A79" s="51" t="s">
        <v>76</v>
      </c>
      <c r="B79" s="57" t="s">
        <v>77</v>
      </c>
      <c r="C79" s="51" t="s">
        <v>33</v>
      </c>
      <c r="D79" s="52" t="s">
        <v>89</v>
      </c>
      <c r="E79" s="53" t="s">
        <v>29</v>
      </c>
      <c r="F79" s="52" t="s">
        <v>90</v>
      </c>
      <c r="G79" s="52" t="s">
        <v>33</v>
      </c>
      <c r="H79" s="54" t="s">
        <v>92</v>
      </c>
      <c r="I79" s="52" t="s">
        <v>27</v>
      </c>
      <c r="J79" s="56" t="s">
        <v>4</v>
      </c>
      <c r="K79" s="52" t="s">
        <v>27</v>
      </c>
      <c r="L79" s="56" t="s">
        <v>4</v>
      </c>
      <c r="M79" s="52" t="s">
        <v>42</v>
      </c>
      <c r="N79" s="54" t="s">
        <v>10502</v>
      </c>
      <c r="O79" s="55" t="str">
        <f t="shared" si="5"/>
        <v>L02.02.01.02.00.00.05</v>
      </c>
    </row>
    <row r="80" ht="15.75" customHeight="1">
      <c r="A80" s="51" t="s">
        <v>76</v>
      </c>
      <c r="B80" s="57" t="s">
        <v>77</v>
      </c>
      <c r="C80" s="51" t="s">
        <v>33</v>
      </c>
      <c r="D80" s="52" t="s">
        <v>89</v>
      </c>
      <c r="E80" s="53" t="s">
        <v>29</v>
      </c>
      <c r="F80" s="52" t="s">
        <v>90</v>
      </c>
      <c r="G80" s="62" t="s">
        <v>35</v>
      </c>
      <c r="H80" s="54" t="s">
        <v>102</v>
      </c>
      <c r="I80" s="52" t="s">
        <v>27</v>
      </c>
      <c r="J80" s="56" t="s">
        <v>4</v>
      </c>
      <c r="K80" s="52" t="s">
        <v>27</v>
      </c>
      <c r="L80" s="56" t="s">
        <v>4</v>
      </c>
      <c r="M80" s="62" t="s">
        <v>29</v>
      </c>
      <c r="N80" s="54" t="s">
        <v>10498</v>
      </c>
      <c r="O80" s="55" t="str">
        <f t="shared" si="5"/>
        <v>L02.02.01.03.00.00.01</v>
      </c>
    </row>
    <row r="81" ht="15.75" customHeight="1">
      <c r="A81" s="51" t="s">
        <v>76</v>
      </c>
      <c r="B81" s="57" t="s">
        <v>77</v>
      </c>
      <c r="C81" s="51" t="s">
        <v>33</v>
      </c>
      <c r="D81" s="52" t="s">
        <v>89</v>
      </c>
      <c r="E81" s="53" t="s">
        <v>29</v>
      </c>
      <c r="F81" s="52" t="s">
        <v>90</v>
      </c>
      <c r="G81" s="62" t="s">
        <v>35</v>
      </c>
      <c r="H81" s="54" t="s">
        <v>102</v>
      </c>
      <c r="I81" s="52" t="s">
        <v>27</v>
      </c>
      <c r="J81" s="56" t="s">
        <v>4</v>
      </c>
      <c r="K81" s="52" t="s">
        <v>27</v>
      </c>
      <c r="L81" s="56" t="s">
        <v>4</v>
      </c>
      <c r="M81" s="62" t="s">
        <v>33</v>
      </c>
      <c r="N81" s="54" t="s">
        <v>10499</v>
      </c>
      <c r="O81" s="55" t="str">
        <f t="shared" si="5"/>
        <v>L02.02.01.03.00.00.02</v>
      </c>
    </row>
    <row r="82" ht="15.75" customHeight="1">
      <c r="A82" s="51" t="s">
        <v>76</v>
      </c>
      <c r="B82" s="57" t="s">
        <v>77</v>
      </c>
      <c r="C82" s="51" t="s">
        <v>33</v>
      </c>
      <c r="D82" s="52" t="s">
        <v>89</v>
      </c>
      <c r="E82" s="53" t="s">
        <v>29</v>
      </c>
      <c r="F82" s="52" t="s">
        <v>90</v>
      </c>
      <c r="G82" s="62" t="s">
        <v>37</v>
      </c>
      <c r="H82" s="54" t="s">
        <v>103</v>
      </c>
      <c r="I82" s="52" t="s">
        <v>27</v>
      </c>
      <c r="J82" s="56" t="s">
        <v>4</v>
      </c>
      <c r="K82" s="52" t="s">
        <v>27</v>
      </c>
      <c r="L82" s="56" t="s">
        <v>4</v>
      </c>
      <c r="M82" s="62" t="s">
        <v>29</v>
      </c>
      <c r="N82" s="54" t="s">
        <v>10498</v>
      </c>
      <c r="O82" s="55" t="str">
        <f t="shared" si="5"/>
        <v>L02.02.01.04.00.00.01</v>
      </c>
    </row>
    <row r="83" ht="15.75" customHeight="1">
      <c r="A83" s="51" t="s">
        <v>76</v>
      </c>
      <c r="B83" s="57" t="s">
        <v>77</v>
      </c>
      <c r="C83" s="51" t="s">
        <v>33</v>
      </c>
      <c r="D83" s="52" t="s">
        <v>89</v>
      </c>
      <c r="E83" s="53" t="s">
        <v>29</v>
      </c>
      <c r="F83" s="52" t="s">
        <v>90</v>
      </c>
      <c r="G83" s="62" t="s">
        <v>37</v>
      </c>
      <c r="H83" s="54" t="s">
        <v>103</v>
      </c>
      <c r="I83" s="52" t="s">
        <v>27</v>
      </c>
      <c r="J83" s="56" t="s">
        <v>4</v>
      </c>
      <c r="K83" s="52" t="s">
        <v>27</v>
      </c>
      <c r="L83" s="56" t="s">
        <v>4</v>
      </c>
      <c r="M83" s="62" t="s">
        <v>33</v>
      </c>
      <c r="N83" s="54" t="s">
        <v>10499</v>
      </c>
      <c r="O83" s="55" t="str">
        <f t="shared" si="5"/>
        <v>L02.02.01.04.00.00.02</v>
      </c>
    </row>
    <row r="84" ht="15.75" customHeight="1">
      <c r="A84" s="51" t="s">
        <v>76</v>
      </c>
      <c r="B84" s="57" t="s">
        <v>77</v>
      </c>
      <c r="C84" s="51" t="s">
        <v>33</v>
      </c>
      <c r="D84" s="52" t="s">
        <v>89</v>
      </c>
      <c r="E84" s="53" t="s">
        <v>29</v>
      </c>
      <c r="F84" s="52" t="s">
        <v>90</v>
      </c>
      <c r="G84" s="53" t="s">
        <v>42</v>
      </c>
      <c r="H84" s="54" t="s">
        <v>104</v>
      </c>
      <c r="I84" s="52" t="s">
        <v>27</v>
      </c>
      <c r="J84" s="56" t="s">
        <v>4</v>
      </c>
      <c r="K84" s="52" t="s">
        <v>27</v>
      </c>
      <c r="L84" s="56" t="s">
        <v>4</v>
      </c>
      <c r="M84" s="62" t="s">
        <v>44</v>
      </c>
      <c r="N84" s="54" t="s">
        <v>10505</v>
      </c>
      <c r="O84" s="55" t="str">
        <f t="shared" si="5"/>
        <v>L02.02.01.05.00.00.06</v>
      </c>
    </row>
    <row r="85" ht="15.75" customHeight="1">
      <c r="A85" s="51" t="s">
        <v>76</v>
      </c>
      <c r="B85" s="57" t="s">
        <v>77</v>
      </c>
      <c r="C85" s="51" t="s">
        <v>33</v>
      </c>
      <c r="D85" s="52" t="s">
        <v>89</v>
      </c>
      <c r="E85" s="53" t="s">
        <v>29</v>
      </c>
      <c r="F85" s="52" t="s">
        <v>90</v>
      </c>
      <c r="G85" s="53" t="s">
        <v>42</v>
      </c>
      <c r="H85" s="54" t="s">
        <v>104</v>
      </c>
      <c r="I85" s="64" t="s">
        <v>29</v>
      </c>
      <c r="J85" s="70" t="s">
        <v>105</v>
      </c>
      <c r="K85" s="52" t="s">
        <v>27</v>
      </c>
      <c r="L85" s="56" t="s">
        <v>4</v>
      </c>
      <c r="M85" s="62" t="s">
        <v>44</v>
      </c>
      <c r="N85" s="54" t="s">
        <v>10505</v>
      </c>
      <c r="O85" s="55" t="str">
        <f t="shared" si="5"/>
        <v>L02.02.01.05.01.00.06</v>
      </c>
    </row>
    <row r="86" ht="15.75" customHeight="1">
      <c r="A86" s="51" t="s">
        <v>76</v>
      </c>
      <c r="B86" s="57" t="s">
        <v>77</v>
      </c>
      <c r="C86" s="51" t="s">
        <v>33</v>
      </c>
      <c r="D86" s="52" t="s">
        <v>89</v>
      </c>
      <c r="E86" s="53" t="s">
        <v>29</v>
      </c>
      <c r="F86" s="52" t="s">
        <v>90</v>
      </c>
      <c r="G86" s="53" t="s">
        <v>42</v>
      </c>
      <c r="H86" s="54" t="s">
        <v>104</v>
      </c>
      <c r="I86" s="64" t="s">
        <v>33</v>
      </c>
      <c r="J86" s="70" t="s">
        <v>106</v>
      </c>
      <c r="K86" s="52" t="s">
        <v>27</v>
      </c>
      <c r="L86" s="56" t="s">
        <v>4</v>
      </c>
      <c r="M86" s="62" t="s">
        <v>44</v>
      </c>
      <c r="N86" s="54" t="s">
        <v>10505</v>
      </c>
      <c r="O86" s="55" t="str">
        <f t="shared" si="5"/>
        <v>L02.02.01.05.02.00.06</v>
      </c>
    </row>
    <row r="87" ht="15.75" customHeight="1">
      <c r="A87" s="65" t="s">
        <v>10506</v>
      </c>
      <c r="B87" s="66"/>
      <c r="C87" s="66"/>
      <c r="D87" s="66"/>
      <c r="E87" s="67"/>
      <c r="F87" s="66"/>
      <c r="G87" s="66"/>
      <c r="H87" s="68"/>
      <c r="I87" s="66"/>
      <c r="J87" s="69"/>
      <c r="K87" s="66"/>
      <c r="L87" s="68"/>
      <c r="M87" s="66"/>
      <c r="N87" s="68"/>
      <c r="O87" s="69"/>
    </row>
    <row r="88" ht="15.75" customHeight="1">
      <c r="A88" s="51" t="s">
        <v>76</v>
      </c>
      <c r="B88" s="57" t="s">
        <v>77</v>
      </c>
      <c r="C88" s="51" t="s">
        <v>33</v>
      </c>
      <c r="D88" s="52" t="s">
        <v>89</v>
      </c>
      <c r="E88" s="53" t="s">
        <v>33</v>
      </c>
      <c r="F88" s="52" t="s">
        <v>107</v>
      </c>
      <c r="G88" s="62" t="s">
        <v>29</v>
      </c>
      <c r="H88" s="54" t="s">
        <v>108</v>
      </c>
      <c r="I88" s="53" t="s">
        <v>27</v>
      </c>
      <c r="J88" s="52" t="s">
        <v>4</v>
      </c>
      <c r="K88" s="53" t="s">
        <v>27</v>
      </c>
      <c r="L88" s="52" t="s">
        <v>4</v>
      </c>
      <c r="M88" s="62" t="s">
        <v>29</v>
      </c>
      <c r="N88" s="54" t="s">
        <v>10498</v>
      </c>
      <c r="O88" s="55" t="str">
        <f t="shared" ref="O88:O157" si="6">A88&amp;"."&amp;C88&amp;"."&amp;E88&amp;"."&amp;G88&amp;"."&amp;I88&amp;"."&amp;K88&amp;"."&amp;M88</f>
        <v>L02.02.02.01.00.00.01</v>
      </c>
    </row>
    <row r="89" ht="15.75" customHeight="1">
      <c r="A89" s="51" t="s">
        <v>76</v>
      </c>
      <c r="B89" s="57" t="s">
        <v>77</v>
      </c>
      <c r="C89" s="51" t="s">
        <v>33</v>
      </c>
      <c r="D89" s="52" t="s">
        <v>89</v>
      </c>
      <c r="E89" s="53" t="s">
        <v>33</v>
      </c>
      <c r="F89" s="52" t="s">
        <v>107</v>
      </c>
      <c r="G89" s="62" t="s">
        <v>33</v>
      </c>
      <c r="H89" s="54" t="s">
        <v>112</v>
      </c>
      <c r="I89" s="62" t="s">
        <v>29</v>
      </c>
      <c r="J89" s="55" t="s">
        <v>113</v>
      </c>
      <c r="K89" s="53" t="s">
        <v>27</v>
      </c>
      <c r="L89" s="52" t="s">
        <v>4</v>
      </c>
      <c r="M89" s="62" t="s">
        <v>29</v>
      </c>
      <c r="N89" s="54" t="s">
        <v>10498</v>
      </c>
      <c r="O89" s="55" t="str">
        <f t="shared" si="6"/>
        <v>L02.02.02.02.01.00.01</v>
      </c>
    </row>
    <row r="90" ht="15.75" customHeight="1">
      <c r="A90" s="51" t="s">
        <v>76</v>
      </c>
      <c r="B90" s="57" t="s">
        <v>77</v>
      </c>
      <c r="C90" s="51" t="s">
        <v>33</v>
      </c>
      <c r="D90" s="52" t="s">
        <v>89</v>
      </c>
      <c r="E90" s="53" t="s">
        <v>33</v>
      </c>
      <c r="F90" s="52" t="s">
        <v>107</v>
      </c>
      <c r="G90" s="62" t="s">
        <v>33</v>
      </c>
      <c r="H90" s="54" t="s">
        <v>112</v>
      </c>
      <c r="I90" s="62" t="s">
        <v>33</v>
      </c>
      <c r="J90" s="55" t="s">
        <v>114</v>
      </c>
      <c r="K90" s="53" t="s">
        <v>27</v>
      </c>
      <c r="L90" s="52" t="s">
        <v>4</v>
      </c>
      <c r="M90" s="62" t="s">
        <v>29</v>
      </c>
      <c r="N90" s="54" t="s">
        <v>10498</v>
      </c>
      <c r="O90" s="55" t="str">
        <f t="shared" si="6"/>
        <v>L02.02.02.02.02.00.01</v>
      </c>
    </row>
    <row r="91" ht="15.75" customHeight="1">
      <c r="A91" s="51" t="s">
        <v>76</v>
      </c>
      <c r="B91" s="57" t="s">
        <v>77</v>
      </c>
      <c r="C91" s="51" t="s">
        <v>33</v>
      </c>
      <c r="D91" s="52" t="s">
        <v>89</v>
      </c>
      <c r="E91" s="53" t="s">
        <v>33</v>
      </c>
      <c r="F91" s="52" t="s">
        <v>107</v>
      </c>
      <c r="G91" s="62" t="s">
        <v>35</v>
      </c>
      <c r="H91" s="54" t="s">
        <v>121</v>
      </c>
      <c r="I91" s="62" t="s">
        <v>29</v>
      </c>
      <c r="J91" s="55" t="s">
        <v>122</v>
      </c>
      <c r="K91" s="53" t="s">
        <v>27</v>
      </c>
      <c r="L91" s="52" t="s">
        <v>4</v>
      </c>
      <c r="M91" s="62" t="s">
        <v>29</v>
      </c>
      <c r="N91" s="54" t="s">
        <v>10498</v>
      </c>
      <c r="O91" s="55" t="str">
        <f t="shared" si="6"/>
        <v>L02.02.02.03.01.00.01</v>
      </c>
    </row>
    <row r="92" ht="15.75" customHeight="1">
      <c r="A92" s="51" t="s">
        <v>76</v>
      </c>
      <c r="B92" s="57" t="s">
        <v>77</v>
      </c>
      <c r="C92" s="51" t="s">
        <v>33</v>
      </c>
      <c r="D92" s="52" t="s">
        <v>89</v>
      </c>
      <c r="E92" s="53" t="s">
        <v>33</v>
      </c>
      <c r="F92" s="52" t="s">
        <v>107</v>
      </c>
      <c r="G92" s="62" t="s">
        <v>35</v>
      </c>
      <c r="H92" s="54" t="s">
        <v>121</v>
      </c>
      <c r="I92" s="62" t="s">
        <v>33</v>
      </c>
      <c r="J92" s="55" t="s">
        <v>123</v>
      </c>
      <c r="K92" s="53" t="s">
        <v>27</v>
      </c>
      <c r="L92" s="52" t="s">
        <v>4</v>
      </c>
      <c r="M92" s="62" t="s">
        <v>29</v>
      </c>
      <c r="N92" s="54" t="s">
        <v>10498</v>
      </c>
      <c r="O92" s="55" t="str">
        <f t="shared" si="6"/>
        <v>L02.02.02.03.02.00.01</v>
      </c>
    </row>
    <row r="93" ht="15.75" customHeight="1">
      <c r="A93" s="51" t="s">
        <v>76</v>
      </c>
      <c r="B93" s="57" t="s">
        <v>77</v>
      </c>
      <c r="C93" s="51" t="s">
        <v>33</v>
      </c>
      <c r="D93" s="52" t="s">
        <v>89</v>
      </c>
      <c r="E93" s="53" t="s">
        <v>33</v>
      </c>
      <c r="F93" s="52" t="s">
        <v>107</v>
      </c>
      <c r="G93" s="62" t="s">
        <v>35</v>
      </c>
      <c r="H93" s="54" t="s">
        <v>121</v>
      </c>
      <c r="I93" s="62" t="s">
        <v>33</v>
      </c>
      <c r="J93" s="55" t="s">
        <v>123</v>
      </c>
      <c r="K93" s="71" t="s">
        <v>29</v>
      </c>
      <c r="L93" s="58" t="s">
        <v>124</v>
      </c>
      <c r="M93" s="62" t="s">
        <v>29</v>
      </c>
      <c r="N93" s="54" t="s">
        <v>10498</v>
      </c>
      <c r="O93" s="55" t="str">
        <f t="shared" si="6"/>
        <v>L02.02.02.03.02.01.01</v>
      </c>
    </row>
    <row r="94" ht="15.75" customHeight="1">
      <c r="A94" s="51" t="s">
        <v>76</v>
      </c>
      <c r="B94" s="57" t="s">
        <v>77</v>
      </c>
      <c r="C94" s="51" t="s">
        <v>33</v>
      </c>
      <c r="D94" s="52" t="s">
        <v>89</v>
      </c>
      <c r="E94" s="53" t="s">
        <v>33</v>
      </c>
      <c r="F94" s="52" t="s">
        <v>107</v>
      </c>
      <c r="G94" s="62" t="s">
        <v>35</v>
      </c>
      <c r="H94" s="54" t="s">
        <v>121</v>
      </c>
      <c r="I94" s="62" t="s">
        <v>33</v>
      </c>
      <c r="J94" s="55" t="s">
        <v>123</v>
      </c>
      <c r="K94" s="71" t="s">
        <v>33</v>
      </c>
      <c r="L94" s="58" t="s">
        <v>125</v>
      </c>
      <c r="M94" s="62" t="s">
        <v>29</v>
      </c>
      <c r="N94" s="54" t="s">
        <v>10498</v>
      </c>
      <c r="O94" s="55" t="str">
        <f t="shared" si="6"/>
        <v>L02.02.02.03.02.02.01</v>
      </c>
    </row>
    <row r="95" ht="15.75" customHeight="1">
      <c r="A95" s="51" t="s">
        <v>76</v>
      </c>
      <c r="B95" s="57" t="s">
        <v>77</v>
      </c>
      <c r="C95" s="51" t="s">
        <v>33</v>
      </c>
      <c r="D95" s="52" t="s">
        <v>89</v>
      </c>
      <c r="E95" s="53" t="s">
        <v>33</v>
      </c>
      <c r="F95" s="52" t="s">
        <v>107</v>
      </c>
      <c r="G95" s="62" t="s">
        <v>35</v>
      </c>
      <c r="H95" s="54" t="s">
        <v>121</v>
      </c>
      <c r="I95" s="62" t="s">
        <v>35</v>
      </c>
      <c r="J95" s="55" t="s">
        <v>126</v>
      </c>
      <c r="K95" s="53" t="s">
        <v>27</v>
      </c>
      <c r="L95" s="52" t="s">
        <v>4</v>
      </c>
      <c r="M95" s="62" t="s">
        <v>29</v>
      </c>
      <c r="N95" s="54" t="s">
        <v>10498</v>
      </c>
      <c r="O95" s="55" t="str">
        <f t="shared" si="6"/>
        <v>L02.02.02.03.03.00.01</v>
      </c>
    </row>
    <row r="96" ht="15.75" customHeight="1">
      <c r="A96" s="51" t="s">
        <v>76</v>
      </c>
      <c r="B96" s="57" t="s">
        <v>77</v>
      </c>
      <c r="C96" s="51" t="s">
        <v>33</v>
      </c>
      <c r="D96" s="52" t="s">
        <v>89</v>
      </c>
      <c r="E96" s="53" t="s">
        <v>33</v>
      </c>
      <c r="F96" s="52" t="s">
        <v>107</v>
      </c>
      <c r="G96" s="62" t="s">
        <v>35</v>
      </c>
      <c r="H96" s="54" t="s">
        <v>121</v>
      </c>
      <c r="I96" s="62" t="s">
        <v>35</v>
      </c>
      <c r="J96" s="55" t="s">
        <v>126</v>
      </c>
      <c r="K96" s="71" t="s">
        <v>29</v>
      </c>
      <c r="L96" s="58" t="s">
        <v>127</v>
      </c>
      <c r="M96" s="62" t="s">
        <v>29</v>
      </c>
      <c r="N96" s="54" t="s">
        <v>10498</v>
      </c>
      <c r="O96" s="55" t="str">
        <f t="shared" si="6"/>
        <v>L02.02.02.03.03.01.01</v>
      </c>
    </row>
    <row r="97" ht="15.75" customHeight="1">
      <c r="A97" s="51" t="s">
        <v>76</v>
      </c>
      <c r="B97" s="57" t="s">
        <v>77</v>
      </c>
      <c r="C97" s="51" t="s">
        <v>33</v>
      </c>
      <c r="D97" s="52" t="s">
        <v>89</v>
      </c>
      <c r="E97" s="53" t="s">
        <v>33</v>
      </c>
      <c r="F97" s="52" t="s">
        <v>107</v>
      </c>
      <c r="G97" s="62" t="s">
        <v>35</v>
      </c>
      <c r="H97" s="54" t="s">
        <v>121</v>
      </c>
      <c r="I97" s="62" t="s">
        <v>35</v>
      </c>
      <c r="J97" s="55" t="s">
        <v>126</v>
      </c>
      <c r="K97" s="71" t="s">
        <v>33</v>
      </c>
      <c r="L97" s="58" t="s">
        <v>128</v>
      </c>
      <c r="M97" s="62" t="s">
        <v>29</v>
      </c>
      <c r="N97" s="54" t="s">
        <v>10498</v>
      </c>
      <c r="O97" s="55" t="str">
        <f t="shared" si="6"/>
        <v>L02.02.02.03.03.02.01</v>
      </c>
    </row>
    <row r="98" ht="15.75" customHeight="1">
      <c r="A98" s="51" t="s">
        <v>76</v>
      </c>
      <c r="B98" s="57" t="s">
        <v>77</v>
      </c>
      <c r="C98" s="51" t="s">
        <v>33</v>
      </c>
      <c r="D98" s="52" t="s">
        <v>89</v>
      </c>
      <c r="E98" s="53" t="s">
        <v>33</v>
      </c>
      <c r="F98" s="52" t="s">
        <v>107</v>
      </c>
      <c r="G98" s="62" t="s">
        <v>35</v>
      </c>
      <c r="H98" s="54" t="s">
        <v>121</v>
      </c>
      <c r="I98" s="62" t="s">
        <v>37</v>
      </c>
      <c r="J98" s="55" t="s">
        <v>129</v>
      </c>
      <c r="K98" s="53" t="s">
        <v>27</v>
      </c>
      <c r="L98" s="52" t="s">
        <v>4</v>
      </c>
      <c r="M98" s="62" t="s">
        <v>29</v>
      </c>
      <c r="N98" s="54" t="s">
        <v>10498</v>
      </c>
      <c r="O98" s="55" t="str">
        <f t="shared" si="6"/>
        <v>L02.02.02.03.04.00.01</v>
      </c>
    </row>
    <row r="99" ht="15.75" customHeight="1">
      <c r="A99" s="51" t="s">
        <v>76</v>
      </c>
      <c r="B99" s="57" t="s">
        <v>77</v>
      </c>
      <c r="C99" s="51" t="s">
        <v>33</v>
      </c>
      <c r="D99" s="52" t="s">
        <v>89</v>
      </c>
      <c r="E99" s="53" t="s">
        <v>33</v>
      </c>
      <c r="F99" s="52" t="s">
        <v>107</v>
      </c>
      <c r="G99" s="62" t="s">
        <v>35</v>
      </c>
      <c r="H99" s="72" t="s">
        <v>121</v>
      </c>
      <c r="I99" s="62" t="s">
        <v>42</v>
      </c>
      <c r="J99" s="58" t="s">
        <v>130</v>
      </c>
      <c r="K99" s="53" t="s">
        <v>27</v>
      </c>
      <c r="L99" s="52" t="s">
        <v>4</v>
      </c>
      <c r="M99" s="62" t="s">
        <v>29</v>
      </c>
      <c r="N99" s="54" t="s">
        <v>10498</v>
      </c>
      <c r="O99" s="55" t="str">
        <f t="shared" si="6"/>
        <v>L02.02.02.03.05.00.01</v>
      </c>
    </row>
    <row r="100" ht="15.75" customHeight="1">
      <c r="A100" s="51" t="s">
        <v>76</v>
      </c>
      <c r="B100" s="57" t="s">
        <v>77</v>
      </c>
      <c r="C100" s="51" t="s">
        <v>33</v>
      </c>
      <c r="D100" s="52" t="s">
        <v>89</v>
      </c>
      <c r="E100" s="53" t="s">
        <v>33</v>
      </c>
      <c r="F100" s="52" t="s">
        <v>107</v>
      </c>
      <c r="G100" s="62" t="s">
        <v>35</v>
      </c>
      <c r="H100" s="72" t="s">
        <v>121</v>
      </c>
      <c r="I100" s="62" t="s">
        <v>44</v>
      </c>
      <c r="J100" s="55" t="s">
        <v>131</v>
      </c>
      <c r="K100" s="53" t="s">
        <v>27</v>
      </c>
      <c r="L100" s="52" t="s">
        <v>4</v>
      </c>
      <c r="M100" s="62" t="s">
        <v>29</v>
      </c>
      <c r="N100" s="54" t="s">
        <v>10498</v>
      </c>
      <c r="O100" s="55" t="str">
        <f t="shared" si="6"/>
        <v>L02.02.02.03.06.00.01</v>
      </c>
    </row>
    <row r="101" ht="15.75" customHeight="1">
      <c r="A101" s="51" t="s">
        <v>76</v>
      </c>
      <c r="B101" s="57" t="s">
        <v>77</v>
      </c>
      <c r="C101" s="51" t="s">
        <v>33</v>
      </c>
      <c r="D101" s="52" t="s">
        <v>89</v>
      </c>
      <c r="E101" s="53" t="s">
        <v>33</v>
      </c>
      <c r="F101" s="52" t="s">
        <v>107</v>
      </c>
      <c r="G101" s="62" t="s">
        <v>33</v>
      </c>
      <c r="H101" s="54" t="s">
        <v>112</v>
      </c>
      <c r="I101" s="62" t="s">
        <v>29</v>
      </c>
      <c r="J101" s="55" t="s">
        <v>113</v>
      </c>
      <c r="K101" s="53" t="s">
        <v>27</v>
      </c>
      <c r="L101" s="52" t="s">
        <v>4</v>
      </c>
      <c r="M101" s="62" t="s">
        <v>33</v>
      </c>
      <c r="N101" s="54" t="s">
        <v>10499</v>
      </c>
      <c r="O101" s="55" t="str">
        <f t="shared" si="6"/>
        <v>L02.02.02.02.01.00.02</v>
      </c>
    </row>
    <row r="102" ht="15.75" customHeight="1">
      <c r="A102" s="51" t="s">
        <v>76</v>
      </c>
      <c r="B102" s="57" t="s">
        <v>77</v>
      </c>
      <c r="C102" s="51" t="s">
        <v>33</v>
      </c>
      <c r="D102" s="52" t="s">
        <v>89</v>
      </c>
      <c r="E102" s="53" t="s">
        <v>33</v>
      </c>
      <c r="F102" s="52" t="s">
        <v>107</v>
      </c>
      <c r="G102" s="62" t="s">
        <v>33</v>
      </c>
      <c r="H102" s="54" t="s">
        <v>112</v>
      </c>
      <c r="I102" s="62" t="s">
        <v>33</v>
      </c>
      <c r="J102" s="55" t="s">
        <v>114</v>
      </c>
      <c r="K102" s="53" t="s">
        <v>27</v>
      </c>
      <c r="L102" s="52" t="s">
        <v>4</v>
      </c>
      <c r="M102" s="62" t="s">
        <v>33</v>
      </c>
      <c r="N102" s="54" t="s">
        <v>10499</v>
      </c>
      <c r="O102" s="55" t="str">
        <f t="shared" si="6"/>
        <v>L02.02.02.02.02.00.02</v>
      </c>
    </row>
    <row r="103" ht="15.75" customHeight="1">
      <c r="A103" s="51" t="s">
        <v>76</v>
      </c>
      <c r="B103" s="57" t="s">
        <v>77</v>
      </c>
      <c r="C103" s="51" t="s">
        <v>33</v>
      </c>
      <c r="D103" s="52" t="s">
        <v>89</v>
      </c>
      <c r="E103" s="53" t="s">
        <v>33</v>
      </c>
      <c r="F103" s="52" t="s">
        <v>107</v>
      </c>
      <c r="G103" s="62" t="s">
        <v>35</v>
      </c>
      <c r="H103" s="54" t="s">
        <v>121</v>
      </c>
      <c r="I103" s="62" t="s">
        <v>29</v>
      </c>
      <c r="J103" s="55" t="s">
        <v>122</v>
      </c>
      <c r="K103" s="53" t="s">
        <v>27</v>
      </c>
      <c r="L103" s="52" t="s">
        <v>4</v>
      </c>
      <c r="M103" s="62" t="s">
        <v>33</v>
      </c>
      <c r="N103" s="54" t="s">
        <v>10499</v>
      </c>
      <c r="O103" s="55" t="str">
        <f t="shared" si="6"/>
        <v>L02.02.02.03.01.00.02</v>
      </c>
    </row>
    <row r="104" ht="15.75" customHeight="1">
      <c r="A104" s="51" t="s">
        <v>76</v>
      </c>
      <c r="B104" s="57" t="s">
        <v>77</v>
      </c>
      <c r="C104" s="51" t="s">
        <v>33</v>
      </c>
      <c r="D104" s="52" t="s">
        <v>89</v>
      </c>
      <c r="E104" s="53" t="s">
        <v>33</v>
      </c>
      <c r="F104" s="52" t="s">
        <v>107</v>
      </c>
      <c r="G104" s="62" t="s">
        <v>35</v>
      </c>
      <c r="H104" s="54" t="s">
        <v>121</v>
      </c>
      <c r="I104" s="62" t="s">
        <v>33</v>
      </c>
      <c r="J104" s="55" t="s">
        <v>123</v>
      </c>
      <c r="K104" s="53" t="s">
        <v>27</v>
      </c>
      <c r="L104" s="52" t="s">
        <v>4</v>
      </c>
      <c r="M104" s="62" t="s">
        <v>33</v>
      </c>
      <c r="N104" s="54" t="s">
        <v>10499</v>
      </c>
      <c r="O104" s="55" t="str">
        <f t="shared" si="6"/>
        <v>L02.02.02.03.02.00.02</v>
      </c>
    </row>
    <row r="105" ht="15.75" customHeight="1">
      <c r="A105" s="51" t="s">
        <v>76</v>
      </c>
      <c r="B105" s="57" t="s">
        <v>77</v>
      </c>
      <c r="C105" s="51" t="s">
        <v>33</v>
      </c>
      <c r="D105" s="52" t="s">
        <v>89</v>
      </c>
      <c r="E105" s="53" t="s">
        <v>33</v>
      </c>
      <c r="F105" s="52" t="s">
        <v>107</v>
      </c>
      <c r="G105" s="62" t="s">
        <v>35</v>
      </c>
      <c r="H105" s="54" t="s">
        <v>121</v>
      </c>
      <c r="I105" s="62" t="s">
        <v>33</v>
      </c>
      <c r="J105" s="55" t="s">
        <v>123</v>
      </c>
      <c r="K105" s="71" t="s">
        <v>29</v>
      </c>
      <c r="L105" s="58" t="s">
        <v>124</v>
      </c>
      <c r="M105" s="62" t="s">
        <v>33</v>
      </c>
      <c r="N105" s="54" t="s">
        <v>10499</v>
      </c>
      <c r="O105" s="55" t="str">
        <f t="shared" si="6"/>
        <v>L02.02.02.03.02.01.02</v>
      </c>
    </row>
    <row r="106" ht="15.75" customHeight="1">
      <c r="A106" s="51" t="s">
        <v>76</v>
      </c>
      <c r="B106" s="57" t="s">
        <v>77</v>
      </c>
      <c r="C106" s="51" t="s">
        <v>33</v>
      </c>
      <c r="D106" s="52" t="s">
        <v>89</v>
      </c>
      <c r="E106" s="53" t="s">
        <v>33</v>
      </c>
      <c r="F106" s="52" t="s">
        <v>107</v>
      </c>
      <c r="G106" s="62" t="s">
        <v>35</v>
      </c>
      <c r="H106" s="54" t="s">
        <v>121</v>
      </c>
      <c r="I106" s="62" t="s">
        <v>33</v>
      </c>
      <c r="J106" s="55" t="s">
        <v>123</v>
      </c>
      <c r="K106" s="71" t="s">
        <v>33</v>
      </c>
      <c r="L106" s="58" t="s">
        <v>125</v>
      </c>
      <c r="M106" s="62" t="s">
        <v>33</v>
      </c>
      <c r="N106" s="54" t="s">
        <v>10499</v>
      </c>
      <c r="O106" s="55" t="str">
        <f t="shared" si="6"/>
        <v>L02.02.02.03.02.02.02</v>
      </c>
    </row>
    <row r="107" ht="15.75" customHeight="1">
      <c r="A107" s="51" t="s">
        <v>76</v>
      </c>
      <c r="B107" s="57" t="s">
        <v>77</v>
      </c>
      <c r="C107" s="51" t="s">
        <v>33</v>
      </c>
      <c r="D107" s="52" t="s">
        <v>89</v>
      </c>
      <c r="E107" s="53" t="s">
        <v>33</v>
      </c>
      <c r="F107" s="52" t="s">
        <v>107</v>
      </c>
      <c r="G107" s="62" t="s">
        <v>35</v>
      </c>
      <c r="H107" s="73" t="s">
        <v>121</v>
      </c>
      <c r="I107" s="62" t="s">
        <v>35</v>
      </c>
      <c r="J107" s="55" t="s">
        <v>126</v>
      </c>
      <c r="K107" s="53" t="s">
        <v>27</v>
      </c>
      <c r="L107" s="52" t="s">
        <v>4</v>
      </c>
      <c r="M107" s="62" t="s">
        <v>33</v>
      </c>
      <c r="N107" s="54" t="s">
        <v>10499</v>
      </c>
      <c r="O107" s="55" t="str">
        <f t="shared" si="6"/>
        <v>L02.02.02.03.03.00.02</v>
      </c>
    </row>
    <row r="108" ht="15.75" customHeight="1">
      <c r="A108" s="51" t="s">
        <v>76</v>
      </c>
      <c r="B108" s="57" t="s">
        <v>77</v>
      </c>
      <c r="C108" s="51" t="s">
        <v>33</v>
      </c>
      <c r="D108" s="52" t="s">
        <v>89</v>
      </c>
      <c r="E108" s="53" t="s">
        <v>33</v>
      </c>
      <c r="F108" s="52" t="s">
        <v>107</v>
      </c>
      <c r="G108" s="62" t="s">
        <v>35</v>
      </c>
      <c r="H108" s="73" t="s">
        <v>121</v>
      </c>
      <c r="I108" s="62" t="s">
        <v>35</v>
      </c>
      <c r="J108" s="55" t="s">
        <v>126</v>
      </c>
      <c r="K108" s="71" t="s">
        <v>29</v>
      </c>
      <c r="L108" s="58" t="s">
        <v>127</v>
      </c>
      <c r="M108" s="62" t="s">
        <v>33</v>
      </c>
      <c r="N108" s="54" t="s">
        <v>10499</v>
      </c>
      <c r="O108" s="55" t="str">
        <f t="shared" si="6"/>
        <v>L02.02.02.03.03.01.02</v>
      </c>
    </row>
    <row r="109" ht="15.75" customHeight="1">
      <c r="A109" s="51" t="s">
        <v>76</v>
      </c>
      <c r="B109" s="57" t="s">
        <v>77</v>
      </c>
      <c r="C109" s="51" t="s">
        <v>33</v>
      </c>
      <c r="D109" s="52" t="s">
        <v>89</v>
      </c>
      <c r="E109" s="53" t="s">
        <v>33</v>
      </c>
      <c r="F109" s="52" t="s">
        <v>107</v>
      </c>
      <c r="G109" s="62" t="s">
        <v>35</v>
      </c>
      <c r="H109" s="73" t="s">
        <v>121</v>
      </c>
      <c r="I109" s="62" t="s">
        <v>35</v>
      </c>
      <c r="J109" s="55" t="s">
        <v>126</v>
      </c>
      <c r="K109" s="71" t="s">
        <v>33</v>
      </c>
      <c r="L109" s="58" t="s">
        <v>128</v>
      </c>
      <c r="M109" s="62" t="s">
        <v>33</v>
      </c>
      <c r="N109" s="54" t="s">
        <v>10499</v>
      </c>
      <c r="O109" s="55" t="str">
        <f t="shared" si="6"/>
        <v>L02.02.02.03.03.02.02</v>
      </c>
    </row>
    <row r="110" ht="15.75" customHeight="1">
      <c r="A110" s="51" t="s">
        <v>76</v>
      </c>
      <c r="B110" s="57" t="s">
        <v>77</v>
      </c>
      <c r="C110" s="51" t="s">
        <v>33</v>
      </c>
      <c r="D110" s="52" t="s">
        <v>89</v>
      </c>
      <c r="E110" s="53" t="s">
        <v>33</v>
      </c>
      <c r="F110" s="52" t="s">
        <v>107</v>
      </c>
      <c r="G110" s="62" t="s">
        <v>35</v>
      </c>
      <c r="H110" s="73" t="s">
        <v>121</v>
      </c>
      <c r="I110" s="62" t="s">
        <v>37</v>
      </c>
      <c r="J110" s="55" t="s">
        <v>129</v>
      </c>
      <c r="K110" s="53" t="s">
        <v>27</v>
      </c>
      <c r="L110" s="52" t="s">
        <v>4</v>
      </c>
      <c r="M110" s="62" t="s">
        <v>33</v>
      </c>
      <c r="N110" s="54" t="s">
        <v>10499</v>
      </c>
      <c r="O110" s="55" t="str">
        <f t="shared" si="6"/>
        <v>L02.02.02.03.04.00.02</v>
      </c>
    </row>
    <row r="111" ht="15.75" customHeight="1">
      <c r="A111" s="51" t="s">
        <v>76</v>
      </c>
      <c r="B111" s="57" t="s">
        <v>77</v>
      </c>
      <c r="C111" s="51" t="s">
        <v>33</v>
      </c>
      <c r="D111" s="52" t="s">
        <v>89</v>
      </c>
      <c r="E111" s="53" t="s">
        <v>33</v>
      </c>
      <c r="F111" s="52" t="s">
        <v>107</v>
      </c>
      <c r="G111" s="62" t="s">
        <v>35</v>
      </c>
      <c r="H111" s="74" t="s">
        <v>121</v>
      </c>
      <c r="I111" s="62" t="s">
        <v>42</v>
      </c>
      <c r="J111" s="58" t="s">
        <v>130</v>
      </c>
      <c r="K111" s="53" t="s">
        <v>27</v>
      </c>
      <c r="L111" s="52" t="s">
        <v>4</v>
      </c>
      <c r="M111" s="62" t="s">
        <v>33</v>
      </c>
      <c r="N111" s="54" t="s">
        <v>10499</v>
      </c>
      <c r="O111" s="55" t="str">
        <f t="shared" si="6"/>
        <v>L02.02.02.03.05.00.02</v>
      </c>
    </row>
    <row r="112" ht="15.75" customHeight="1">
      <c r="A112" s="51" t="s">
        <v>76</v>
      </c>
      <c r="B112" s="57" t="s">
        <v>77</v>
      </c>
      <c r="C112" s="51" t="s">
        <v>33</v>
      </c>
      <c r="D112" s="52" t="s">
        <v>89</v>
      </c>
      <c r="E112" s="53" t="s">
        <v>33</v>
      </c>
      <c r="F112" s="52" t="s">
        <v>107</v>
      </c>
      <c r="G112" s="62" t="s">
        <v>35</v>
      </c>
      <c r="H112" s="74" t="s">
        <v>121</v>
      </c>
      <c r="I112" s="62" t="s">
        <v>44</v>
      </c>
      <c r="J112" s="55" t="s">
        <v>131</v>
      </c>
      <c r="K112" s="53" t="s">
        <v>27</v>
      </c>
      <c r="L112" s="52" t="s">
        <v>4</v>
      </c>
      <c r="M112" s="62" t="s">
        <v>33</v>
      </c>
      <c r="N112" s="54" t="s">
        <v>10499</v>
      </c>
      <c r="O112" s="55" t="str">
        <f t="shared" si="6"/>
        <v>L02.02.02.03.06.00.02</v>
      </c>
    </row>
    <row r="113" ht="15.75" customHeight="1">
      <c r="A113" s="51" t="s">
        <v>76</v>
      </c>
      <c r="B113" s="57" t="s">
        <v>77</v>
      </c>
      <c r="C113" s="51" t="s">
        <v>33</v>
      </c>
      <c r="D113" s="52" t="s">
        <v>89</v>
      </c>
      <c r="E113" s="53" t="s">
        <v>33</v>
      </c>
      <c r="F113" s="52" t="s">
        <v>107</v>
      </c>
      <c r="G113" s="62" t="s">
        <v>33</v>
      </c>
      <c r="H113" s="54" t="s">
        <v>109</v>
      </c>
      <c r="I113" s="53" t="s">
        <v>27</v>
      </c>
      <c r="J113" s="52" t="s">
        <v>4</v>
      </c>
      <c r="K113" s="53" t="s">
        <v>27</v>
      </c>
      <c r="L113" s="52" t="s">
        <v>4</v>
      </c>
      <c r="M113" s="62" t="s">
        <v>35</v>
      </c>
      <c r="N113" s="54" t="s">
        <v>10500</v>
      </c>
      <c r="O113" s="55" t="str">
        <f t="shared" si="6"/>
        <v>L02.02.02.02.00.00.03</v>
      </c>
    </row>
    <row r="114" ht="15.75" customHeight="1">
      <c r="A114" s="51" t="s">
        <v>76</v>
      </c>
      <c r="B114" s="57" t="s">
        <v>77</v>
      </c>
      <c r="C114" s="51" t="s">
        <v>33</v>
      </c>
      <c r="D114" s="52" t="s">
        <v>89</v>
      </c>
      <c r="E114" s="53" t="s">
        <v>33</v>
      </c>
      <c r="F114" s="52" t="s">
        <v>107</v>
      </c>
      <c r="G114" s="62" t="s">
        <v>33</v>
      </c>
      <c r="H114" s="54" t="s">
        <v>109</v>
      </c>
      <c r="I114" s="71" t="s">
        <v>29</v>
      </c>
      <c r="J114" s="70" t="s">
        <v>110</v>
      </c>
      <c r="K114" s="53" t="s">
        <v>27</v>
      </c>
      <c r="L114" s="52" t="s">
        <v>4</v>
      </c>
      <c r="M114" s="62" t="s">
        <v>35</v>
      </c>
      <c r="N114" s="54" t="s">
        <v>10500</v>
      </c>
      <c r="O114" s="55" t="str">
        <f t="shared" si="6"/>
        <v>L02.02.02.02.01.00.03</v>
      </c>
    </row>
    <row r="115" ht="15.75" customHeight="1">
      <c r="A115" s="51" t="s">
        <v>76</v>
      </c>
      <c r="B115" s="57" t="s">
        <v>77</v>
      </c>
      <c r="C115" s="51" t="s">
        <v>33</v>
      </c>
      <c r="D115" s="52" t="s">
        <v>89</v>
      </c>
      <c r="E115" s="53" t="s">
        <v>33</v>
      </c>
      <c r="F115" s="52" t="s">
        <v>107</v>
      </c>
      <c r="G115" s="62" t="s">
        <v>33</v>
      </c>
      <c r="H115" s="54" t="s">
        <v>109</v>
      </c>
      <c r="I115" s="71" t="s">
        <v>33</v>
      </c>
      <c r="J115" s="70" t="s">
        <v>111</v>
      </c>
      <c r="K115" s="53" t="s">
        <v>27</v>
      </c>
      <c r="L115" s="52" t="s">
        <v>4</v>
      </c>
      <c r="M115" s="62" t="s">
        <v>35</v>
      </c>
      <c r="N115" s="54" t="s">
        <v>10500</v>
      </c>
      <c r="O115" s="55" t="str">
        <f t="shared" si="6"/>
        <v>L02.02.02.02.02.00.03</v>
      </c>
    </row>
    <row r="116" ht="15.75" customHeight="1">
      <c r="A116" s="51" t="s">
        <v>76</v>
      </c>
      <c r="B116" s="57" t="s">
        <v>77</v>
      </c>
      <c r="C116" s="51" t="s">
        <v>33</v>
      </c>
      <c r="D116" s="52" t="s">
        <v>89</v>
      </c>
      <c r="E116" s="53" t="s">
        <v>33</v>
      </c>
      <c r="F116" s="52" t="s">
        <v>107</v>
      </c>
      <c r="G116" s="62" t="s">
        <v>35</v>
      </c>
      <c r="H116" s="54" t="s">
        <v>115</v>
      </c>
      <c r="I116" s="53" t="s">
        <v>29</v>
      </c>
      <c r="J116" s="55" t="s">
        <v>116</v>
      </c>
      <c r="K116" s="53" t="s">
        <v>27</v>
      </c>
      <c r="L116" s="52" t="s">
        <v>4</v>
      </c>
      <c r="M116" s="62" t="s">
        <v>35</v>
      </c>
      <c r="N116" s="54" t="s">
        <v>10500</v>
      </c>
      <c r="O116" s="55" t="str">
        <f t="shared" si="6"/>
        <v>L02.02.02.03.01.00.03</v>
      </c>
    </row>
    <row r="117" ht="15.75" customHeight="1">
      <c r="A117" s="51" t="s">
        <v>76</v>
      </c>
      <c r="B117" s="57" t="s">
        <v>77</v>
      </c>
      <c r="C117" s="51" t="s">
        <v>33</v>
      </c>
      <c r="D117" s="52" t="s">
        <v>89</v>
      </c>
      <c r="E117" s="53" t="s">
        <v>33</v>
      </c>
      <c r="F117" s="52" t="s">
        <v>107</v>
      </c>
      <c r="G117" s="62" t="s">
        <v>35</v>
      </c>
      <c r="H117" s="54" t="s">
        <v>115</v>
      </c>
      <c r="I117" s="62" t="s">
        <v>33</v>
      </c>
      <c r="J117" s="55" t="s">
        <v>117</v>
      </c>
      <c r="K117" s="53" t="s">
        <v>27</v>
      </c>
      <c r="L117" s="52" t="s">
        <v>4</v>
      </c>
      <c r="M117" s="62" t="s">
        <v>35</v>
      </c>
      <c r="N117" s="54" t="s">
        <v>10500</v>
      </c>
      <c r="O117" s="55" t="str">
        <f t="shared" si="6"/>
        <v>L02.02.02.03.02.00.03</v>
      </c>
    </row>
    <row r="118" ht="15.75" customHeight="1">
      <c r="A118" s="51" t="s">
        <v>76</v>
      </c>
      <c r="B118" s="57" t="s">
        <v>77</v>
      </c>
      <c r="C118" s="51" t="s">
        <v>33</v>
      </c>
      <c r="D118" s="52" t="s">
        <v>89</v>
      </c>
      <c r="E118" s="53" t="s">
        <v>33</v>
      </c>
      <c r="F118" s="52" t="s">
        <v>107</v>
      </c>
      <c r="G118" s="62" t="s">
        <v>35</v>
      </c>
      <c r="H118" s="54" t="s">
        <v>115</v>
      </c>
      <c r="I118" s="62" t="s">
        <v>35</v>
      </c>
      <c r="J118" s="55" t="s">
        <v>118</v>
      </c>
      <c r="K118" s="53" t="s">
        <v>27</v>
      </c>
      <c r="L118" s="52" t="s">
        <v>4</v>
      </c>
      <c r="M118" s="62" t="s">
        <v>35</v>
      </c>
      <c r="N118" s="54" t="s">
        <v>10500</v>
      </c>
      <c r="O118" s="55" t="str">
        <f t="shared" si="6"/>
        <v>L02.02.02.03.03.00.03</v>
      </c>
    </row>
    <row r="119" ht="15.75" customHeight="1">
      <c r="A119" s="51" t="s">
        <v>76</v>
      </c>
      <c r="B119" s="57" t="s">
        <v>77</v>
      </c>
      <c r="C119" s="51" t="s">
        <v>33</v>
      </c>
      <c r="D119" s="52" t="s">
        <v>89</v>
      </c>
      <c r="E119" s="53" t="s">
        <v>33</v>
      </c>
      <c r="F119" s="52" t="s">
        <v>107</v>
      </c>
      <c r="G119" s="62" t="s">
        <v>35</v>
      </c>
      <c r="H119" s="54" t="s">
        <v>115</v>
      </c>
      <c r="I119" s="62" t="s">
        <v>37</v>
      </c>
      <c r="J119" s="55" t="s">
        <v>119</v>
      </c>
      <c r="K119" s="53" t="s">
        <v>27</v>
      </c>
      <c r="L119" s="52" t="s">
        <v>4</v>
      </c>
      <c r="M119" s="62" t="s">
        <v>35</v>
      </c>
      <c r="N119" s="54" t="s">
        <v>10500</v>
      </c>
      <c r="O119" s="55" t="str">
        <f t="shared" si="6"/>
        <v>L02.02.02.03.04.00.03</v>
      </c>
    </row>
    <row r="120" ht="15.75" customHeight="1">
      <c r="A120" s="51" t="s">
        <v>76</v>
      </c>
      <c r="B120" s="57" t="s">
        <v>77</v>
      </c>
      <c r="C120" s="51" t="s">
        <v>33</v>
      </c>
      <c r="D120" s="52" t="s">
        <v>89</v>
      </c>
      <c r="E120" s="53" t="s">
        <v>33</v>
      </c>
      <c r="F120" s="52" t="s">
        <v>107</v>
      </c>
      <c r="G120" s="62" t="s">
        <v>35</v>
      </c>
      <c r="H120" s="54" t="s">
        <v>115</v>
      </c>
      <c r="I120" s="62" t="s">
        <v>42</v>
      </c>
      <c r="J120" s="58" t="s">
        <v>120</v>
      </c>
      <c r="K120" s="53" t="s">
        <v>27</v>
      </c>
      <c r="L120" s="52" t="s">
        <v>4</v>
      </c>
      <c r="M120" s="62" t="s">
        <v>35</v>
      </c>
      <c r="N120" s="54" t="s">
        <v>10500</v>
      </c>
      <c r="O120" s="55" t="str">
        <f t="shared" si="6"/>
        <v>L02.02.02.03.05.00.03</v>
      </c>
    </row>
    <row r="121" ht="15.75" customHeight="1">
      <c r="A121" s="51" t="s">
        <v>76</v>
      </c>
      <c r="B121" s="57" t="s">
        <v>77</v>
      </c>
      <c r="C121" s="51" t="s">
        <v>33</v>
      </c>
      <c r="D121" s="52" t="s">
        <v>89</v>
      </c>
      <c r="E121" s="53" t="s">
        <v>33</v>
      </c>
      <c r="F121" s="52" t="s">
        <v>107</v>
      </c>
      <c r="G121" s="62" t="s">
        <v>33</v>
      </c>
      <c r="H121" s="54" t="s">
        <v>109</v>
      </c>
      <c r="I121" s="53" t="s">
        <v>27</v>
      </c>
      <c r="J121" s="52" t="s">
        <v>4</v>
      </c>
      <c r="K121" s="53" t="s">
        <v>27</v>
      </c>
      <c r="L121" s="52" t="s">
        <v>4</v>
      </c>
      <c r="M121" s="62" t="s">
        <v>37</v>
      </c>
      <c r="N121" s="54" t="s">
        <v>10501</v>
      </c>
      <c r="O121" s="55" t="str">
        <f t="shared" si="6"/>
        <v>L02.02.02.02.00.00.04</v>
      </c>
    </row>
    <row r="122" ht="15.75" customHeight="1">
      <c r="A122" s="51" t="s">
        <v>76</v>
      </c>
      <c r="B122" s="57" t="s">
        <v>77</v>
      </c>
      <c r="C122" s="51" t="s">
        <v>33</v>
      </c>
      <c r="D122" s="52" t="s">
        <v>89</v>
      </c>
      <c r="E122" s="53" t="s">
        <v>33</v>
      </c>
      <c r="F122" s="52" t="s">
        <v>107</v>
      </c>
      <c r="G122" s="62" t="s">
        <v>35</v>
      </c>
      <c r="H122" s="54" t="s">
        <v>115</v>
      </c>
      <c r="I122" s="53" t="s">
        <v>29</v>
      </c>
      <c r="J122" s="55" t="s">
        <v>116</v>
      </c>
      <c r="K122" s="53" t="s">
        <v>27</v>
      </c>
      <c r="L122" s="52" t="s">
        <v>4</v>
      </c>
      <c r="M122" s="62" t="s">
        <v>37</v>
      </c>
      <c r="N122" s="54" t="s">
        <v>10501</v>
      </c>
      <c r="O122" s="55" t="str">
        <f t="shared" si="6"/>
        <v>L02.02.02.03.01.00.04</v>
      </c>
    </row>
    <row r="123" ht="15.75" customHeight="1">
      <c r="A123" s="51" t="s">
        <v>76</v>
      </c>
      <c r="B123" s="57" t="s">
        <v>77</v>
      </c>
      <c r="C123" s="51" t="s">
        <v>33</v>
      </c>
      <c r="D123" s="52" t="s">
        <v>89</v>
      </c>
      <c r="E123" s="53" t="s">
        <v>33</v>
      </c>
      <c r="F123" s="52" t="s">
        <v>107</v>
      </c>
      <c r="G123" s="62" t="s">
        <v>35</v>
      </c>
      <c r="H123" s="54" t="s">
        <v>115</v>
      </c>
      <c r="I123" s="62" t="s">
        <v>33</v>
      </c>
      <c r="J123" s="55" t="s">
        <v>117</v>
      </c>
      <c r="K123" s="53" t="s">
        <v>27</v>
      </c>
      <c r="L123" s="52" t="s">
        <v>4</v>
      </c>
      <c r="M123" s="62" t="s">
        <v>37</v>
      </c>
      <c r="N123" s="54" t="s">
        <v>10501</v>
      </c>
      <c r="O123" s="55" t="str">
        <f t="shared" si="6"/>
        <v>L02.02.02.03.02.00.04</v>
      </c>
    </row>
    <row r="124" ht="15.75" customHeight="1">
      <c r="A124" s="51" t="s">
        <v>76</v>
      </c>
      <c r="B124" s="57" t="s">
        <v>77</v>
      </c>
      <c r="C124" s="51" t="s">
        <v>33</v>
      </c>
      <c r="D124" s="52" t="s">
        <v>89</v>
      </c>
      <c r="E124" s="53" t="s">
        <v>33</v>
      </c>
      <c r="F124" s="52" t="s">
        <v>107</v>
      </c>
      <c r="G124" s="62" t="s">
        <v>35</v>
      </c>
      <c r="H124" s="54" t="s">
        <v>115</v>
      </c>
      <c r="I124" s="62" t="s">
        <v>35</v>
      </c>
      <c r="J124" s="55" t="s">
        <v>118</v>
      </c>
      <c r="K124" s="53" t="s">
        <v>27</v>
      </c>
      <c r="L124" s="52" t="s">
        <v>4</v>
      </c>
      <c r="M124" s="62" t="s">
        <v>37</v>
      </c>
      <c r="N124" s="54" t="s">
        <v>10501</v>
      </c>
      <c r="O124" s="55" t="str">
        <f t="shared" si="6"/>
        <v>L02.02.02.03.03.00.04</v>
      </c>
    </row>
    <row r="125" ht="15.75" customHeight="1">
      <c r="A125" s="51" t="s">
        <v>76</v>
      </c>
      <c r="B125" s="57" t="s">
        <v>77</v>
      </c>
      <c r="C125" s="51" t="s">
        <v>33</v>
      </c>
      <c r="D125" s="52" t="s">
        <v>89</v>
      </c>
      <c r="E125" s="53" t="s">
        <v>33</v>
      </c>
      <c r="F125" s="52" t="s">
        <v>107</v>
      </c>
      <c r="G125" s="62" t="s">
        <v>35</v>
      </c>
      <c r="H125" s="54" t="s">
        <v>115</v>
      </c>
      <c r="I125" s="62" t="s">
        <v>37</v>
      </c>
      <c r="J125" s="55" t="s">
        <v>119</v>
      </c>
      <c r="K125" s="53" t="s">
        <v>27</v>
      </c>
      <c r="L125" s="52" t="s">
        <v>4</v>
      </c>
      <c r="M125" s="62" t="s">
        <v>37</v>
      </c>
      <c r="N125" s="54" t="s">
        <v>10501</v>
      </c>
      <c r="O125" s="55" t="str">
        <f t="shared" si="6"/>
        <v>L02.02.02.03.04.00.04</v>
      </c>
    </row>
    <row r="126" ht="15.75" customHeight="1">
      <c r="A126" s="51" t="s">
        <v>76</v>
      </c>
      <c r="B126" s="57" t="s">
        <v>77</v>
      </c>
      <c r="C126" s="51" t="s">
        <v>33</v>
      </c>
      <c r="D126" s="52" t="s">
        <v>89</v>
      </c>
      <c r="E126" s="53" t="s">
        <v>33</v>
      </c>
      <c r="F126" s="52" t="s">
        <v>107</v>
      </c>
      <c r="G126" s="62" t="s">
        <v>35</v>
      </c>
      <c r="H126" s="54" t="s">
        <v>115</v>
      </c>
      <c r="I126" s="62" t="s">
        <v>42</v>
      </c>
      <c r="J126" s="58" t="s">
        <v>120</v>
      </c>
      <c r="K126" s="53" t="s">
        <v>27</v>
      </c>
      <c r="L126" s="52" t="s">
        <v>4</v>
      </c>
      <c r="M126" s="62" t="s">
        <v>37</v>
      </c>
      <c r="N126" s="54" t="s">
        <v>10501</v>
      </c>
      <c r="O126" s="55" t="str">
        <f t="shared" si="6"/>
        <v>L02.02.02.03.05.00.04</v>
      </c>
    </row>
    <row r="127" ht="15.75" customHeight="1">
      <c r="A127" s="51" t="s">
        <v>76</v>
      </c>
      <c r="B127" s="57" t="s">
        <v>77</v>
      </c>
      <c r="C127" s="51" t="s">
        <v>33</v>
      </c>
      <c r="D127" s="52" t="s">
        <v>89</v>
      </c>
      <c r="E127" s="53" t="s">
        <v>33</v>
      </c>
      <c r="F127" s="52" t="s">
        <v>107</v>
      </c>
      <c r="G127" s="62" t="s">
        <v>33</v>
      </c>
      <c r="H127" s="73" t="s">
        <v>109</v>
      </c>
      <c r="I127" s="53" t="s">
        <v>27</v>
      </c>
      <c r="J127" s="52" t="s">
        <v>4</v>
      </c>
      <c r="K127" s="53" t="s">
        <v>27</v>
      </c>
      <c r="L127" s="52" t="s">
        <v>4</v>
      </c>
      <c r="M127" s="62" t="s">
        <v>42</v>
      </c>
      <c r="N127" s="54" t="s">
        <v>10502</v>
      </c>
      <c r="O127" s="55" t="str">
        <f t="shared" si="6"/>
        <v>L02.02.02.02.00.00.05</v>
      </c>
    </row>
    <row r="128" ht="15.75" customHeight="1">
      <c r="A128" s="51" t="s">
        <v>76</v>
      </c>
      <c r="B128" s="57" t="s">
        <v>77</v>
      </c>
      <c r="C128" s="51" t="s">
        <v>33</v>
      </c>
      <c r="D128" s="52" t="s">
        <v>89</v>
      </c>
      <c r="E128" s="53" t="s">
        <v>33</v>
      </c>
      <c r="F128" s="52" t="s">
        <v>107</v>
      </c>
      <c r="G128" s="62" t="s">
        <v>35</v>
      </c>
      <c r="H128" s="73" t="s">
        <v>115</v>
      </c>
      <c r="I128" s="53" t="s">
        <v>29</v>
      </c>
      <c r="J128" s="55" t="s">
        <v>116</v>
      </c>
      <c r="K128" s="53" t="s">
        <v>27</v>
      </c>
      <c r="L128" s="52" t="s">
        <v>4</v>
      </c>
      <c r="M128" s="62" t="s">
        <v>42</v>
      </c>
      <c r="N128" s="54" t="s">
        <v>10502</v>
      </c>
      <c r="O128" s="55" t="str">
        <f t="shared" si="6"/>
        <v>L02.02.02.03.01.00.05</v>
      </c>
    </row>
    <row r="129" ht="15.75" customHeight="1">
      <c r="A129" s="51" t="s">
        <v>76</v>
      </c>
      <c r="B129" s="57" t="s">
        <v>77</v>
      </c>
      <c r="C129" s="51" t="s">
        <v>33</v>
      </c>
      <c r="D129" s="52" t="s">
        <v>89</v>
      </c>
      <c r="E129" s="53" t="s">
        <v>33</v>
      </c>
      <c r="F129" s="52" t="s">
        <v>107</v>
      </c>
      <c r="G129" s="62" t="s">
        <v>35</v>
      </c>
      <c r="H129" s="73" t="s">
        <v>115</v>
      </c>
      <c r="I129" s="62" t="s">
        <v>33</v>
      </c>
      <c r="J129" s="55" t="s">
        <v>117</v>
      </c>
      <c r="K129" s="53" t="s">
        <v>27</v>
      </c>
      <c r="L129" s="52" t="s">
        <v>4</v>
      </c>
      <c r="M129" s="62" t="s">
        <v>42</v>
      </c>
      <c r="N129" s="54" t="s">
        <v>10502</v>
      </c>
      <c r="O129" s="55" t="str">
        <f t="shared" si="6"/>
        <v>L02.02.02.03.02.00.05</v>
      </c>
    </row>
    <row r="130" ht="15.75" customHeight="1">
      <c r="A130" s="51" t="s">
        <v>76</v>
      </c>
      <c r="B130" s="57" t="s">
        <v>77</v>
      </c>
      <c r="C130" s="51" t="s">
        <v>33</v>
      </c>
      <c r="D130" s="52" t="s">
        <v>89</v>
      </c>
      <c r="E130" s="53" t="s">
        <v>33</v>
      </c>
      <c r="F130" s="52" t="s">
        <v>107</v>
      </c>
      <c r="G130" s="62" t="s">
        <v>35</v>
      </c>
      <c r="H130" s="73" t="s">
        <v>115</v>
      </c>
      <c r="I130" s="62" t="s">
        <v>35</v>
      </c>
      <c r="J130" s="55" t="s">
        <v>118</v>
      </c>
      <c r="K130" s="53" t="s">
        <v>27</v>
      </c>
      <c r="L130" s="52" t="s">
        <v>4</v>
      </c>
      <c r="M130" s="62" t="s">
        <v>42</v>
      </c>
      <c r="N130" s="54" t="s">
        <v>10502</v>
      </c>
      <c r="O130" s="55" t="str">
        <f t="shared" si="6"/>
        <v>L02.02.02.03.03.00.05</v>
      </c>
    </row>
    <row r="131" ht="15.75" customHeight="1">
      <c r="A131" s="51" t="s">
        <v>76</v>
      </c>
      <c r="B131" s="57" t="s">
        <v>77</v>
      </c>
      <c r="C131" s="51" t="s">
        <v>33</v>
      </c>
      <c r="D131" s="52" t="s">
        <v>89</v>
      </c>
      <c r="E131" s="53" t="s">
        <v>33</v>
      </c>
      <c r="F131" s="52" t="s">
        <v>107</v>
      </c>
      <c r="G131" s="62" t="s">
        <v>35</v>
      </c>
      <c r="H131" s="54" t="s">
        <v>115</v>
      </c>
      <c r="I131" s="62" t="s">
        <v>37</v>
      </c>
      <c r="J131" s="55" t="s">
        <v>119</v>
      </c>
      <c r="K131" s="53" t="s">
        <v>27</v>
      </c>
      <c r="L131" s="52" t="s">
        <v>4</v>
      </c>
      <c r="M131" s="62" t="s">
        <v>42</v>
      </c>
      <c r="N131" s="54" t="s">
        <v>10502</v>
      </c>
      <c r="O131" s="55" t="str">
        <f t="shared" si="6"/>
        <v>L02.02.02.03.04.00.05</v>
      </c>
    </row>
    <row r="132" ht="15.75" customHeight="1">
      <c r="A132" s="51" t="s">
        <v>76</v>
      </c>
      <c r="B132" s="57" t="s">
        <v>77</v>
      </c>
      <c r="C132" s="51" t="s">
        <v>33</v>
      </c>
      <c r="D132" s="52" t="s">
        <v>89</v>
      </c>
      <c r="E132" s="53" t="s">
        <v>33</v>
      </c>
      <c r="F132" s="52" t="s">
        <v>107</v>
      </c>
      <c r="G132" s="62" t="s">
        <v>35</v>
      </c>
      <c r="H132" s="54" t="s">
        <v>115</v>
      </c>
      <c r="I132" s="62" t="s">
        <v>42</v>
      </c>
      <c r="J132" s="58" t="s">
        <v>120</v>
      </c>
      <c r="K132" s="53" t="s">
        <v>27</v>
      </c>
      <c r="L132" s="52" t="s">
        <v>4</v>
      </c>
      <c r="M132" s="62" t="s">
        <v>42</v>
      </c>
      <c r="N132" s="54" t="s">
        <v>10502</v>
      </c>
      <c r="O132" s="55" t="str">
        <f t="shared" si="6"/>
        <v>L02.02.02.03.05.00.05</v>
      </c>
    </row>
    <row r="133" ht="15.75" customHeight="1">
      <c r="A133" s="51" t="s">
        <v>76</v>
      </c>
      <c r="B133" s="57" t="s">
        <v>77</v>
      </c>
      <c r="C133" s="51" t="s">
        <v>33</v>
      </c>
      <c r="D133" s="52" t="s">
        <v>89</v>
      </c>
      <c r="E133" s="53" t="s">
        <v>33</v>
      </c>
      <c r="F133" s="52" t="s">
        <v>107</v>
      </c>
      <c r="G133" s="62" t="s">
        <v>37</v>
      </c>
      <c r="H133" s="54" t="s">
        <v>132</v>
      </c>
      <c r="I133" s="62" t="s">
        <v>29</v>
      </c>
      <c r="J133" s="55" t="s">
        <v>133</v>
      </c>
      <c r="K133" s="53" t="s">
        <v>27</v>
      </c>
      <c r="L133" s="52" t="s">
        <v>4</v>
      </c>
      <c r="M133" s="62" t="s">
        <v>29</v>
      </c>
      <c r="N133" s="54" t="s">
        <v>10498</v>
      </c>
      <c r="O133" s="55" t="str">
        <f t="shared" si="6"/>
        <v>L02.02.02.04.01.00.01</v>
      </c>
    </row>
    <row r="134" ht="15.75" customHeight="1">
      <c r="A134" s="51" t="s">
        <v>76</v>
      </c>
      <c r="B134" s="57" t="s">
        <v>77</v>
      </c>
      <c r="C134" s="51" t="s">
        <v>33</v>
      </c>
      <c r="D134" s="52" t="s">
        <v>89</v>
      </c>
      <c r="E134" s="53" t="s">
        <v>33</v>
      </c>
      <c r="F134" s="52" t="s">
        <v>107</v>
      </c>
      <c r="G134" s="62" t="s">
        <v>37</v>
      </c>
      <c r="H134" s="54" t="s">
        <v>132</v>
      </c>
      <c r="I134" s="62" t="s">
        <v>33</v>
      </c>
      <c r="J134" s="55" t="s">
        <v>134</v>
      </c>
      <c r="K134" s="53" t="s">
        <v>27</v>
      </c>
      <c r="L134" s="52" t="s">
        <v>4</v>
      </c>
      <c r="M134" s="62" t="s">
        <v>29</v>
      </c>
      <c r="N134" s="54" t="s">
        <v>10498</v>
      </c>
      <c r="O134" s="55" t="str">
        <f t="shared" si="6"/>
        <v>L02.02.02.04.02.00.01</v>
      </c>
    </row>
    <row r="135" ht="15.75" customHeight="1">
      <c r="A135" s="51" t="s">
        <v>76</v>
      </c>
      <c r="B135" s="57" t="s">
        <v>77</v>
      </c>
      <c r="C135" s="51" t="s">
        <v>33</v>
      </c>
      <c r="D135" s="52" t="s">
        <v>89</v>
      </c>
      <c r="E135" s="53" t="s">
        <v>33</v>
      </c>
      <c r="F135" s="52" t="s">
        <v>107</v>
      </c>
      <c r="G135" s="62" t="s">
        <v>37</v>
      </c>
      <c r="H135" s="54" t="s">
        <v>132</v>
      </c>
      <c r="I135" s="62" t="s">
        <v>33</v>
      </c>
      <c r="J135" s="55" t="s">
        <v>134</v>
      </c>
      <c r="K135" s="71" t="s">
        <v>29</v>
      </c>
      <c r="L135" s="58" t="s">
        <v>135</v>
      </c>
      <c r="M135" s="62" t="s">
        <v>29</v>
      </c>
      <c r="N135" s="54" t="s">
        <v>10498</v>
      </c>
      <c r="O135" s="55" t="str">
        <f t="shared" si="6"/>
        <v>L02.02.02.04.02.01.01</v>
      </c>
    </row>
    <row r="136" ht="15.75" customHeight="1">
      <c r="A136" s="51" t="s">
        <v>76</v>
      </c>
      <c r="B136" s="57" t="s">
        <v>77</v>
      </c>
      <c r="C136" s="51" t="s">
        <v>33</v>
      </c>
      <c r="D136" s="52" t="s">
        <v>89</v>
      </c>
      <c r="E136" s="53" t="s">
        <v>33</v>
      </c>
      <c r="F136" s="52" t="s">
        <v>107</v>
      </c>
      <c r="G136" s="62" t="s">
        <v>37</v>
      </c>
      <c r="H136" s="54" t="s">
        <v>132</v>
      </c>
      <c r="I136" s="62" t="s">
        <v>33</v>
      </c>
      <c r="J136" s="55" t="s">
        <v>134</v>
      </c>
      <c r="K136" s="71" t="s">
        <v>33</v>
      </c>
      <c r="L136" s="58" t="s">
        <v>136</v>
      </c>
      <c r="M136" s="62" t="s">
        <v>29</v>
      </c>
      <c r="N136" s="54" t="s">
        <v>10498</v>
      </c>
      <c r="O136" s="55" t="str">
        <f t="shared" si="6"/>
        <v>L02.02.02.04.02.02.01</v>
      </c>
    </row>
    <row r="137" ht="15.75" customHeight="1">
      <c r="A137" s="51" t="s">
        <v>76</v>
      </c>
      <c r="B137" s="57" t="s">
        <v>77</v>
      </c>
      <c r="C137" s="51" t="s">
        <v>33</v>
      </c>
      <c r="D137" s="52" t="s">
        <v>89</v>
      </c>
      <c r="E137" s="53" t="s">
        <v>33</v>
      </c>
      <c r="F137" s="52" t="s">
        <v>107</v>
      </c>
      <c r="G137" s="62" t="s">
        <v>37</v>
      </c>
      <c r="H137" s="54" t="s">
        <v>132</v>
      </c>
      <c r="I137" s="62" t="s">
        <v>35</v>
      </c>
      <c r="J137" s="55" t="s">
        <v>137</v>
      </c>
      <c r="K137" s="53" t="s">
        <v>27</v>
      </c>
      <c r="L137" s="52" t="s">
        <v>4</v>
      </c>
      <c r="M137" s="62" t="s">
        <v>29</v>
      </c>
      <c r="N137" s="54" t="s">
        <v>10498</v>
      </c>
      <c r="O137" s="55" t="str">
        <f t="shared" si="6"/>
        <v>L02.02.02.04.03.00.01</v>
      </c>
    </row>
    <row r="138" ht="15.75" customHeight="1">
      <c r="A138" s="51" t="s">
        <v>76</v>
      </c>
      <c r="B138" s="57" t="s">
        <v>77</v>
      </c>
      <c r="C138" s="51" t="s">
        <v>33</v>
      </c>
      <c r="D138" s="52" t="s">
        <v>89</v>
      </c>
      <c r="E138" s="53" t="s">
        <v>33</v>
      </c>
      <c r="F138" s="52" t="s">
        <v>107</v>
      </c>
      <c r="G138" s="62" t="s">
        <v>37</v>
      </c>
      <c r="H138" s="54" t="s">
        <v>132</v>
      </c>
      <c r="I138" s="62" t="s">
        <v>33</v>
      </c>
      <c r="J138" s="55" t="s">
        <v>134</v>
      </c>
      <c r="K138" s="53" t="s">
        <v>27</v>
      </c>
      <c r="L138" s="52" t="s">
        <v>4</v>
      </c>
      <c r="M138" s="62" t="s">
        <v>33</v>
      </c>
      <c r="N138" s="54" t="s">
        <v>10499</v>
      </c>
      <c r="O138" s="55" t="str">
        <f t="shared" si="6"/>
        <v>L02.02.02.04.02.00.02</v>
      </c>
    </row>
    <row r="139" ht="15.75" customHeight="1">
      <c r="A139" s="51" t="s">
        <v>76</v>
      </c>
      <c r="B139" s="57" t="s">
        <v>77</v>
      </c>
      <c r="C139" s="51" t="s">
        <v>33</v>
      </c>
      <c r="D139" s="52" t="s">
        <v>89</v>
      </c>
      <c r="E139" s="53" t="s">
        <v>33</v>
      </c>
      <c r="F139" s="52" t="s">
        <v>107</v>
      </c>
      <c r="G139" s="62" t="s">
        <v>37</v>
      </c>
      <c r="H139" s="54" t="s">
        <v>132</v>
      </c>
      <c r="I139" s="62" t="s">
        <v>33</v>
      </c>
      <c r="J139" s="55" t="s">
        <v>134</v>
      </c>
      <c r="K139" s="71" t="s">
        <v>29</v>
      </c>
      <c r="L139" s="58" t="s">
        <v>135</v>
      </c>
      <c r="M139" s="62" t="s">
        <v>33</v>
      </c>
      <c r="N139" s="54" t="s">
        <v>10499</v>
      </c>
      <c r="O139" s="55" t="str">
        <f t="shared" si="6"/>
        <v>L02.02.02.04.02.01.02</v>
      </c>
    </row>
    <row r="140" ht="15.75" customHeight="1">
      <c r="A140" s="51" t="s">
        <v>76</v>
      </c>
      <c r="B140" s="57" t="s">
        <v>77</v>
      </c>
      <c r="C140" s="51" t="s">
        <v>33</v>
      </c>
      <c r="D140" s="52" t="s">
        <v>89</v>
      </c>
      <c r="E140" s="53" t="s">
        <v>33</v>
      </c>
      <c r="F140" s="52" t="s">
        <v>107</v>
      </c>
      <c r="G140" s="62" t="s">
        <v>37</v>
      </c>
      <c r="H140" s="54" t="s">
        <v>132</v>
      </c>
      <c r="I140" s="62" t="s">
        <v>33</v>
      </c>
      <c r="J140" s="55" t="s">
        <v>134</v>
      </c>
      <c r="K140" s="71" t="s">
        <v>33</v>
      </c>
      <c r="L140" s="58" t="s">
        <v>136</v>
      </c>
      <c r="M140" s="62" t="s">
        <v>33</v>
      </c>
      <c r="N140" s="54" t="s">
        <v>10499</v>
      </c>
      <c r="O140" s="55" t="str">
        <f t="shared" si="6"/>
        <v>L02.02.02.04.02.02.02</v>
      </c>
    </row>
    <row r="141" ht="15.75" customHeight="1">
      <c r="A141" s="51" t="s">
        <v>76</v>
      </c>
      <c r="B141" s="57" t="s">
        <v>77</v>
      </c>
      <c r="C141" s="51" t="s">
        <v>33</v>
      </c>
      <c r="D141" s="52" t="s">
        <v>89</v>
      </c>
      <c r="E141" s="53" t="s">
        <v>33</v>
      </c>
      <c r="F141" s="52" t="s">
        <v>107</v>
      </c>
      <c r="G141" s="62" t="s">
        <v>37</v>
      </c>
      <c r="H141" s="54" t="s">
        <v>132</v>
      </c>
      <c r="I141" s="62" t="s">
        <v>35</v>
      </c>
      <c r="J141" s="55" t="s">
        <v>137</v>
      </c>
      <c r="K141" s="53" t="s">
        <v>27</v>
      </c>
      <c r="L141" s="52" t="s">
        <v>4</v>
      </c>
      <c r="M141" s="62" t="s">
        <v>33</v>
      </c>
      <c r="N141" s="54" t="s">
        <v>10499</v>
      </c>
      <c r="O141" s="55" t="str">
        <f t="shared" si="6"/>
        <v>L02.02.02.04.03.00.02</v>
      </c>
    </row>
    <row r="142" ht="15.75" customHeight="1">
      <c r="A142" s="51" t="s">
        <v>76</v>
      </c>
      <c r="B142" s="57" t="s">
        <v>77</v>
      </c>
      <c r="C142" s="51" t="s">
        <v>33</v>
      </c>
      <c r="D142" s="52" t="s">
        <v>89</v>
      </c>
      <c r="E142" s="53" t="s">
        <v>33</v>
      </c>
      <c r="F142" s="52" t="s">
        <v>107</v>
      </c>
      <c r="G142" s="62" t="s">
        <v>42</v>
      </c>
      <c r="H142" s="54" t="s">
        <v>138</v>
      </c>
      <c r="I142" s="53" t="s">
        <v>27</v>
      </c>
      <c r="J142" s="52" t="s">
        <v>4</v>
      </c>
      <c r="K142" s="53" t="s">
        <v>27</v>
      </c>
      <c r="L142" s="52" t="s">
        <v>4</v>
      </c>
      <c r="M142" s="62" t="s">
        <v>29</v>
      </c>
      <c r="N142" s="54" t="s">
        <v>10498</v>
      </c>
      <c r="O142" s="55" t="str">
        <f t="shared" si="6"/>
        <v>L02.02.02.05.00.00.01</v>
      </c>
    </row>
    <row r="143" ht="15.75" customHeight="1">
      <c r="A143" s="51" t="s">
        <v>76</v>
      </c>
      <c r="B143" s="57" t="s">
        <v>77</v>
      </c>
      <c r="C143" s="51" t="s">
        <v>33</v>
      </c>
      <c r="D143" s="52" t="s">
        <v>89</v>
      </c>
      <c r="E143" s="53" t="s">
        <v>33</v>
      </c>
      <c r="F143" s="52" t="s">
        <v>107</v>
      </c>
      <c r="G143" s="62" t="s">
        <v>42</v>
      </c>
      <c r="H143" s="54" t="s">
        <v>138</v>
      </c>
      <c r="I143" s="53" t="s">
        <v>27</v>
      </c>
      <c r="J143" s="52" t="s">
        <v>4</v>
      </c>
      <c r="K143" s="53" t="s">
        <v>27</v>
      </c>
      <c r="L143" s="52" t="s">
        <v>4</v>
      </c>
      <c r="M143" s="62" t="s">
        <v>33</v>
      </c>
      <c r="N143" s="54" t="s">
        <v>10499</v>
      </c>
      <c r="O143" s="55" t="str">
        <f t="shared" si="6"/>
        <v>L02.02.02.05.00.00.02</v>
      </c>
    </row>
    <row r="144" ht="15.75" customHeight="1">
      <c r="A144" s="51" t="s">
        <v>76</v>
      </c>
      <c r="B144" s="57" t="s">
        <v>77</v>
      </c>
      <c r="C144" s="51" t="s">
        <v>33</v>
      </c>
      <c r="D144" s="52" t="s">
        <v>89</v>
      </c>
      <c r="E144" s="53" t="s">
        <v>33</v>
      </c>
      <c r="F144" s="52" t="s">
        <v>107</v>
      </c>
      <c r="G144" s="62" t="s">
        <v>42</v>
      </c>
      <c r="H144" s="54" t="s">
        <v>138</v>
      </c>
      <c r="I144" s="53" t="s">
        <v>27</v>
      </c>
      <c r="J144" s="52" t="s">
        <v>4</v>
      </c>
      <c r="K144" s="53" t="s">
        <v>27</v>
      </c>
      <c r="L144" s="52" t="s">
        <v>4</v>
      </c>
      <c r="M144" s="62" t="s">
        <v>35</v>
      </c>
      <c r="N144" s="54" t="s">
        <v>10500</v>
      </c>
      <c r="O144" s="55" t="str">
        <f t="shared" si="6"/>
        <v>L02.02.02.05.00.00.03</v>
      </c>
    </row>
    <row r="145" ht="15.75" customHeight="1">
      <c r="A145" s="51" t="s">
        <v>76</v>
      </c>
      <c r="B145" s="57" t="s">
        <v>77</v>
      </c>
      <c r="C145" s="51" t="s">
        <v>33</v>
      </c>
      <c r="D145" s="52" t="s">
        <v>89</v>
      </c>
      <c r="E145" s="53" t="s">
        <v>33</v>
      </c>
      <c r="F145" s="52" t="s">
        <v>107</v>
      </c>
      <c r="G145" s="62" t="s">
        <v>42</v>
      </c>
      <c r="H145" s="54" t="s">
        <v>138</v>
      </c>
      <c r="I145" s="53" t="s">
        <v>27</v>
      </c>
      <c r="J145" s="52" t="s">
        <v>4</v>
      </c>
      <c r="K145" s="53" t="s">
        <v>27</v>
      </c>
      <c r="L145" s="52" t="s">
        <v>4</v>
      </c>
      <c r="M145" s="62" t="s">
        <v>37</v>
      </c>
      <c r="N145" s="54" t="s">
        <v>10501</v>
      </c>
      <c r="O145" s="55" t="str">
        <f t="shared" si="6"/>
        <v>L02.02.02.05.00.00.04</v>
      </c>
    </row>
    <row r="146" ht="15.75" customHeight="1">
      <c r="A146" s="51" t="s">
        <v>76</v>
      </c>
      <c r="B146" s="57" t="s">
        <v>77</v>
      </c>
      <c r="C146" s="51" t="s">
        <v>33</v>
      </c>
      <c r="D146" s="52" t="s">
        <v>89</v>
      </c>
      <c r="E146" s="53" t="s">
        <v>33</v>
      </c>
      <c r="F146" s="52" t="s">
        <v>107</v>
      </c>
      <c r="G146" s="62" t="s">
        <v>42</v>
      </c>
      <c r="H146" s="54" t="s">
        <v>138</v>
      </c>
      <c r="I146" s="53" t="s">
        <v>27</v>
      </c>
      <c r="J146" s="52" t="s">
        <v>4</v>
      </c>
      <c r="K146" s="53" t="s">
        <v>27</v>
      </c>
      <c r="L146" s="52" t="s">
        <v>4</v>
      </c>
      <c r="M146" s="62" t="s">
        <v>42</v>
      </c>
      <c r="N146" s="54" t="s">
        <v>10502</v>
      </c>
      <c r="O146" s="55" t="str">
        <f t="shared" si="6"/>
        <v>L02.02.02.05.00.00.05</v>
      </c>
    </row>
    <row r="147" ht="15.75" customHeight="1">
      <c r="A147" s="51" t="s">
        <v>76</v>
      </c>
      <c r="B147" s="57" t="s">
        <v>77</v>
      </c>
      <c r="C147" s="51" t="s">
        <v>33</v>
      </c>
      <c r="D147" s="52" t="s">
        <v>89</v>
      </c>
      <c r="E147" s="53" t="s">
        <v>33</v>
      </c>
      <c r="F147" s="52" t="s">
        <v>107</v>
      </c>
      <c r="G147" s="62" t="s">
        <v>44</v>
      </c>
      <c r="H147" s="72" t="s">
        <v>139</v>
      </c>
      <c r="I147" s="62" t="s">
        <v>29</v>
      </c>
      <c r="J147" s="54" t="s">
        <v>140</v>
      </c>
      <c r="K147" s="53" t="s">
        <v>27</v>
      </c>
      <c r="L147" s="52" t="s">
        <v>4</v>
      </c>
      <c r="M147" s="62" t="s">
        <v>29</v>
      </c>
      <c r="N147" s="54" t="s">
        <v>10498</v>
      </c>
      <c r="O147" s="55" t="str">
        <f t="shared" si="6"/>
        <v>L02.02.02.06.01.00.01</v>
      </c>
    </row>
    <row r="148" ht="15.75" customHeight="1">
      <c r="A148" s="51" t="s">
        <v>76</v>
      </c>
      <c r="B148" s="57" t="s">
        <v>77</v>
      </c>
      <c r="C148" s="51" t="s">
        <v>33</v>
      </c>
      <c r="D148" s="52" t="s">
        <v>89</v>
      </c>
      <c r="E148" s="53" t="s">
        <v>33</v>
      </c>
      <c r="F148" s="52" t="s">
        <v>107</v>
      </c>
      <c r="G148" s="62" t="s">
        <v>44</v>
      </c>
      <c r="H148" s="72" t="s">
        <v>139</v>
      </c>
      <c r="I148" s="62" t="s">
        <v>33</v>
      </c>
      <c r="J148" s="54" t="s">
        <v>141</v>
      </c>
      <c r="K148" s="53" t="s">
        <v>27</v>
      </c>
      <c r="L148" s="52" t="s">
        <v>4</v>
      </c>
      <c r="M148" s="62" t="s">
        <v>29</v>
      </c>
      <c r="N148" s="54" t="s">
        <v>10498</v>
      </c>
      <c r="O148" s="55" t="str">
        <f t="shared" si="6"/>
        <v>L02.02.02.06.02.00.01</v>
      </c>
    </row>
    <row r="149" ht="15.75" customHeight="1">
      <c r="A149" s="51" t="s">
        <v>76</v>
      </c>
      <c r="B149" s="57" t="s">
        <v>77</v>
      </c>
      <c r="C149" s="51" t="s">
        <v>33</v>
      </c>
      <c r="D149" s="52" t="s">
        <v>89</v>
      </c>
      <c r="E149" s="53" t="s">
        <v>33</v>
      </c>
      <c r="F149" s="52" t="s">
        <v>107</v>
      </c>
      <c r="G149" s="62" t="s">
        <v>44</v>
      </c>
      <c r="H149" s="72" t="s">
        <v>139</v>
      </c>
      <c r="I149" s="62" t="s">
        <v>33</v>
      </c>
      <c r="J149" s="54" t="s">
        <v>141</v>
      </c>
      <c r="K149" s="62" t="s">
        <v>29</v>
      </c>
      <c r="L149" s="54" t="s">
        <v>142</v>
      </c>
      <c r="M149" s="62" t="s">
        <v>44</v>
      </c>
      <c r="N149" s="54" t="s">
        <v>10505</v>
      </c>
      <c r="O149" s="55" t="str">
        <f t="shared" si="6"/>
        <v>L02.02.02.06.02.01.06</v>
      </c>
    </row>
    <row r="150" ht="15.75" customHeight="1">
      <c r="A150" s="51" t="s">
        <v>76</v>
      </c>
      <c r="B150" s="57" t="s">
        <v>77</v>
      </c>
      <c r="C150" s="51" t="s">
        <v>33</v>
      </c>
      <c r="D150" s="52" t="s">
        <v>89</v>
      </c>
      <c r="E150" s="53" t="s">
        <v>33</v>
      </c>
      <c r="F150" s="52" t="s">
        <v>107</v>
      </c>
      <c r="G150" s="62" t="s">
        <v>44</v>
      </c>
      <c r="H150" s="72" t="s">
        <v>139</v>
      </c>
      <c r="I150" s="62" t="s">
        <v>33</v>
      </c>
      <c r="J150" s="54" t="s">
        <v>141</v>
      </c>
      <c r="K150" s="62" t="s">
        <v>29</v>
      </c>
      <c r="L150" s="54" t="s">
        <v>142</v>
      </c>
      <c r="M150" s="62" t="s">
        <v>33</v>
      </c>
      <c r="N150" s="54" t="s">
        <v>10499</v>
      </c>
      <c r="O150" s="55" t="str">
        <f t="shared" si="6"/>
        <v>L02.02.02.06.02.01.02</v>
      </c>
    </row>
    <row r="151" ht="15.75" customHeight="1">
      <c r="A151" s="51" t="s">
        <v>76</v>
      </c>
      <c r="B151" s="57" t="s">
        <v>77</v>
      </c>
      <c r="C151" s="51" t="s">
        <v>33</v>
      </c>
      <c r="D151" s="52" t="s">
        <v>89</v>
      </c>
      <c r="E151" s="53" t="s">
        <v>33</v>
      </c>
      <c r="F151" s="52" t="s">
        <v>107</v>
      </c>
      <c r="G151" s="62" t="s">
        <v>44</v>
      </c>
      <c r="H151" s="72" t="s">
        <v>139</v>
      </c>
      <c r="I151" s="62" t="s">
        <v>33</v>
      </c>
      <c r="J151" s="54" t="s">
        <v>141</v>
      </c>
      <c r="K151" s="62" t="s">
        <v>33</v>
      </c>
      <c r="L151" s="54" t="s">
        <v>143</v>
      </c>
      <c r="M151" s="62" t="s">
        <v>44</v>
      </c>
      <c r="N151" s="54" t="s">
        <v>10505</v>
      </c>
      <c r="O151" s="55" t="str">
        <f t="shared" si="6"/>
        <v>L02.02.02.06.02.02.06</v>
      </c>
    </row>
    <row r="152" ht="15.75" customHeight="1">
      <c r="A152" s="51" t="s">
        <v>76</v>
      </c>
      <c r="B152" s="57" t="s">
        <v>77</v>
      </c>
      <c r="C152" s="51" t="s">
        <v>33</v>
      </c>
      <c r="D152" s="52" t="s">
        <v>89</v>
      </c>
      <c r="E152" s="53" t="s">
        <v>33</v>
      </c>
      <c r="F152" s="52" t="s">
        <v>107</v>
      </c>
      <c r="G152" s="62" t="s">
        <v>44</v>
      </c>
      <c r="H152" s="72" t="s">
        <v>139</v>
      </c>
      <c r="I152" s="62" t="s">
        <v>35</v>
      </c>
      <c r="J152" s="54" t="s">
        <v>144</v>
      </c>
      <c r="K152" s="53" t="s">
        <v>29</v>
      </c>
      <c r="L152" s="54" t="s">
        <v>145</v>
      </c>
      <c r="M152" s="62" t="s">
        <v>29</v>
      </c>
      <c r="N152" s="54" t="s">
        <v>10498</v>
      </c>
      <c r="O152" s="55" t="str">
        <f t="shared" si="6"/>
        <v>L02.02.02.06.03.01.01</v>
      </c>
    </row>
    <row r="153" ht="15.75" customHeight="1">
      <c r="A153" s="51" t="s">
        <v>76</v>
      </c>
      <c r="B153" s="57" t="s">
        <v>77</v>
      </c>
      <c r="C153" s="51" t="s">
        <v>33</v>
      </c>
      <c r="D153" s="52" t="s">
        <v>89</v>
      </c>
      <c r="E153" s="53" t="s">
        <v>33</v>
      </c>
      <c r="F153" s="52" t="s">
        <v>107</v>
      </c>
      <c r="G153" s="62" t="s">
        <v>44</v>
      </c>
      <c r="H153" s="72" t="s">
        <v>139</v>
      </c>
      <c r="I153" s="62" t="s">
        <v>35</v>
      </c>
      <c r="J153" s="54" t="s">
        <v>144</v>
      </c>
      <c r="K153" s="62" t="s">
        <v>29</v>
      </c>
      <c r="L153" s="54" t="s">
        <v>145</v>
      </c>
      <c r="M153" s="62" t="s">
        <v>33</v>
      </c>
      <c r="N153" s="54" t="s">
        <v>10499</v>
      </c>
      <c r="O153" s="55" t="str">
        <f t="shared" si="6"/>
        <v>L02.02.02.06.03.01.02</v>
      </c>
    </row>
    <row r="154" ht="15.75" customHeight="1">
      <c r="A154" s="51" t="s">
        <v>76</v>
      </c>
      <c r="B154" s="57" t="s">
        <v>77</v>
      </c>
      <c r="C154" s="51" t="s">
        <v>33</v>
      </c>
      <c r="D154" s="52" t="s">
        <v>89</v>
      </c>
      <c r="E154" s="53" t="s">
        <v>33</v>
      </c>
      <c r="F154" s="52" t="s">
        <v>107</v>
      </c>
      <c r="G154" s="62" t="s">
        <v>44</v>
      </c>
      <c r="H154" s="72" t="s">
        <v>139</v>
      </c>
      <c r="I154" s="62" t="s">
        <v>35</v>
      </c>
      <c r="J154" s="54" t="s">
        <v>144</v>
      </c>
      <c r="K154" s="62" t="s">
        <v>33</v>
      </c>
      <c r="L154" s="54" t="s">
        <v>146</v>
      </c>
      <c r="M154" s="62" t="s">
        <v>44</v>
      </c>
      <c r="N154" s="54" t="s">
        <v>10505</v>
      </c>
      <c r="O154" s="55" t="str">
        <f t="shared" si="6"/>
        <v>L02.02.02.06.03.02.06</v>
      </c>
    </row>
    <row r="155" ht="15.75" customHeight="1">
      <c r="A155" s="51" t="s">
        <v>76</v>
      </c>
      <c r="B155" s="57" t="s">
        <v>77</v>
      </c>
      <c r="C155" s="51" t="s">
        <v>33</v>
      </c>
      <c r="D155" s="52" t="s">
        <v>89</v>
      </c>
      <c r="E155" s="53" t="s">
        <v>33</v>
      </c>
      <c r="F155" s="52" t="s">
        <v>107</v>
      </c>
      <c r="G155" s="62" t="s">
        <v>44</v>
      </c>
      <c r="H155" s="72" t="s">
        <v>139</v>
      </c>
      <c r="I155" s="62" t="s">
        <v>42</v>
      </c>
      <c r="J155" s="54" t="s">
        <v>148</v>
      </c>
      <c r="K155" s="53" t="s">
        <v>27</v>
      </c>
      <c r="L155" s="52" t="s">
        <v>4</v>
      </c>
      <c r="M155" s="62" t="s">
        <v>29</v>
      </c>
      <c r="N155" s="54" t="s">
        <v>10498</v>
      </c>
      <c r="O155" s="55" t="str">
        <f t="shared" si="6"/>
        <v>L02.02.02.06.05.00.01</v>
      </c>
    </row>
    <row r="156" ht="15.75" customHeight="1">
      <c r="A156" s="51" t="s">
        <v>76</v>
      </c>
      <c r="B156" s="57" t="s">
        <v>77</v>
      </c>
      <c r="C156" s="51" t="s">
        <v>33</v>
      </c>
      <c r="D156" s="52" t="s">
        <v>89</v>
      </c>
      <c r="E156" s="53" t="s">
        <v>33</v>
      </c>
      <c r="F156" s="52" t="s">
        <v>107</v>
      </c>
      <c r="G156" s="62" t="s">
        <v>44</v>
      </c>
      <c r="H156" s="72" t="s">
        <v>139</v>
      </c>
      <c r="I156" s="62" t="s">
        <v>42</v>
      </c>
      <c r="J156" s="54" t="s">
        <v>148</v>
      </c>
      <c r="K156" s="53" t="s">
        <v>27</v>
      </c>
      <c r="L156" s="52" t="s">
        <v>4</v>
      </c>
      <c r="M156" s="62" t="s">
        <v>33</v>
      </c>
      <c r="N156" s="54" t="s">
        <v>10499</v>
      </c>
      <c r="O156" s="55" t="str">
        <f t="shared" si="6"/>
        <v>L02.02.02.06.05.00.02</v>
      </c>
    </row>
    <row r="157" ht="15.75" customHeight="1">
      <c r="A157" s="51" t="s">
        <v>76</v>
      </c>
      <c r="B157" s="57" t="s">
        <v>77</v>
      </c>
      <c r="C157" s="51" t="s">
        <v>33</v>
      </c>
      <c r="D157" s="52" t="s">
        <v>89</v>
      </c>
      <c r="E157" s="53" t="s">
        <v>33</v>
      </c>
      <c r="F157" s="52" t="s">
        <v>107</v>
      </c>
      <c r="G157" s="62" t="s">
        <v>44</v>
      </c>
      <c r="H157" s="72" t="s">
        <v>139</v>
      </c>
      <c r="I157" s="62" t="s">
        <v>37</v>
      </c>
      <c r="J157" s="54" t="s">
        <v>147</v>
      </c>
      <c r="K157" s="53" t="s">
        <v>27</v>
      </c>
      <c r="L157" s="52" t="s">
        <v>4</v>
      </c>
      <c r="M157" s="62" t="s">
        <v>33</v>
      </c>
      <c r="N157" s="54" t="s">
        <v>10499</v>
      </c>
      <c r="O157" s="55" t="str">
        <f t="shared" si="6"/>
        <v>L02.02.02.06.04.00.02</v>
      </c>
    </row>
    <row r="158" ht="15.75" customHeight="1">
      <c r="A158" s="65" t="s">
        <v>10507</v>
      </c>
      <c r="B158" s="66"/>
      <c r="C158" s="66"/>
      <c r="D158" s="66"/>
      <c r="E158" s="67"/>
      <c r="F158" s="66"/>
      <c r="G158" s="66"/>
      <c r="H158" s="68"/>
      <c r="I158" s="66"/>
      <c r="J158" s="69"/>
      <c r="K158" s="66"/>
      <c r="L158" s="68"/>
      <c r="M158" s="66"/>
      <c r="N158" s="68"/>
      <c r="O158" s="69"/>
    </row>
    <row r="159" ht="15.75" customHeight="1">
      <c r="A159" s="51" t="s">
        <v>76</v>
      </c>
      <c r="B159" s="57" t="s">
        <v>77</v>
      </c>
      <c r="C159" s="51" t="s">
        <v>33</v>
      </c>
      <c r="D159" s="52" t="s">
        <v>89</v>
      </c>
      <c r="E159" s="53" t="s">
        <v>35</v>
      </c>
      <c r="F159" s="52" t="s">
        <v>149</v>
      </c>
      <c r="G159" s="62" t="s">
        <v>29</v>
      </c>
      <c r="H159" s="54" t="s">
        <v>150</v>
      </c>
      <c r="I159" s="53" t="s">
        <v>27</v>
      </c>
      <c r="J159" s="52" t="s">
        <v>4</v>
      </c>
      <c r="K159" s="53" t="s">
        <v>27</v>
      </c>
      <c r="L159" s="52" t="s">
        <v>4</v>
      </c>
      <c r="M159" s="62" t="s">
        <v>29</v>
      </c>
      <c r="N159" s="54" t="s">
        <v>10498</v>
      </c>
      <c r="O159" s="55" t="str">
        <f t="shared" ref="O159:O185" si="7">A159&amp;"."&amp;C159&amp;"."&amp;E159&amp;"."&amp;G159&amp;"."&amp;I159&amp;"."&amp;K159&amp;"."&amp;M159</f>
        <v>L02.02.03.01.00.00.01</v>
      </c>
    </row>
    <row r="160" ht="15.75" customHeight="1">
      <c r="A160" s="51" t="s">
        <v>76</v>
      </c>
      <c r="B160" s="57" t="s">
        <v>77</v>
      </c>
      <c r="C160" s="51" t="s">
        <v>33</v>
      </c>
      <c r="D160" s="52" t="s">
        <v>89</v>
      </c>
      <c r="E160" s="53" t="s">
        <v>35</v>
      </c>
      <c r="F160" s="52" t="s">
        <v>149</v>
      </c>
      <c r="G160" s="62" t="s">
        <v>33</v>
      </c>
      <c r="H160" s="54" t="s">
        <v>154</v>
      </c>
      <c r="I160" s="62" t="s">
        <v>29</v>
      </c>
      <c r="J160" s="55" t="s">
        <v>155</v>
      </c>
      <c r="K160" s="53" t="s">
        <v>27</v>
      </c>
      <c r="L160" s="52" t="s">
        <v>4</v>
      </c>
      <c r="M160" s="62" t="s">
        <v>29</v>
      </c>
      <c r="N160" s="54" t="s">
        <v>10498</v>
      </c>
      <c r="O160" s="55" t="str">
        <f t="shared" si="7"/>
        <v>L02.02.03.02.01.00.01</v>
      </c>
    </row>
    <row r="161" ht="15.75" customHeight="1">
      <c r="A161" s="51" t="s">
        <v>76</v>
      </c>
      <c r="B161" s="57" t="s">
        <v>77</v>
      </c>
      <c r="C161" s="51" t="s">
        <v>33</v>
      </c>
      <c r="D161" s="52" t="s">
        <v>89</v>
      </c>
      <c r="E161" s="53" t="s">
        <v>35</v>
      </c>
      <c r="F161" s="52" t="s">
        <v>149</v>
      </c>
      <c r="G161" s="62" t="s">
        <v>33</v>
      </c>
      <c r="H161" s="54" t="s">
        <v>154</v>
      </c>
      <c r="I161" s="62" t="s">
        <v>33</v>
      </c>
      <c r="J161" s="55" t="s">
        <v>156</v>
      </c>
      <c r="K161" s="53" t="s">
        <v>27</v>
      </c>
      <c r="L161" s="52" t="s">
        <v>4</v>
      </c>
      <c r="M161" s="62" t="s">
        <v>29</v>
      </c>
      <c r="N161" s="54" t="s">
        <v>10498</v>
      </c>
      <c r="O161" s="55" t="str">
        <f t="shared" si="7"/>
        <v>L02.02.03.02.02.00.01</v>
      </c>
    </row>
    <row r="162" ht="15.75" customHeight="1">
      <c r="A162" s="51" t="s">
        <v>76</v>
      </c>
      <c r="B162" s="57" t="s">
        <v>77</v>
      </c>
      <c r="C162" s="51" t="s">
        <v>33</v>
      </c>
      <c r="D162" s="52" t="s">
        <v>89</v>
      </c>
      <c r="E162" s="53" t="s">
        <v>35</v>
      </c>
      <c r="F162" s="52" t="s">
        <v>149</v>
      </c>
      <c r="G162" s="62" t="s">
        <v>33</v>
      </c>
      <c r="H162" s="54" t="s">
        <v>154</v>
      </c>
      <c r="I162" s="62" t="s">
        <v>33</v>
      </c>
      <c r="J162" s="55" t="s">
        <v>156</v>
      </c>
      <c r="K162" s="71" t="s">
        <v>29</v>
      </c>
      <c r="L162" s="58" t="s">
        <v>157</v>
      </c>
      <c r="M162" s="62" t="s">
        <v>29</v>
      </c>
      <c r="N162" s="54" t="s">
        <v>10498</v>
      </c>
      <c r="O162" s="55" t="str">
        <f t="shared" si="7"/>
        <v>L02.02.03.02.02.01.01</v>
      </c>
    </row>
    <row r="163" ht="15.75" customHeight="1">
      <c r="A163" s="51" t="s">
        <v>76</v>
      </c>
      <c r="B163" s="57" t="s">
        <v>77</v>
      </c>
      <c r="C163" s="51" t="s">
        <v>33</v>
      </c>
      <c r="D163" s="52" t="s">
        <v>89</v>
      </c>
      <c r="E163" s="53" t="s">
        <v>35</v>
      </c>
      <c r="F163" s="52" t="s">
        <v>149</v>
      </c>
      <c r="G163" s="62" t="s">
        <v>33</v>
      </c>
      <c r="H163" s="54" t="s">
        <v>154</v>
      </c>
      <c r="I163" s="62" t="s">
        <v>33</v>
      </c>
      <c r="J163" s="55" t="s">
        <v>156</v>
      </c>
      <c r="K163" s="71" t="s">
        <v>33</v>
      </c>
      <c r="L163" s="58" t="s">
        <v>158</v>
      </c>
      <c r="M163" s="62" t="s">
        <v>29</v>
      </c>
      <c r="N163" s="54" t="s">
        <v>10498</v>
      </c>
      <c r="O163" s="55" t="str">
        <f t="shared" si="7"/>
        <v>L02.02.03.02.02.02.01</v>
      </c>
    </row>
    <row r="164" ht="15.75" customHeight="1">
      <c r="A164" s="51" t="s">
        <v>76</v>
      </c>
      <c r="B164" s="57" t="s">
        <v>77</v>
      </c>
      <c r="C164" s="51" t="s">
        <v>33</v>
      </c>
      <c r="D164" s="52" t="s">
        <v>89</v>
      </c>
      <c r="E164" s="53" t="s">
        <v>35</v>
      </c>
      <c r="F164" s="52" t="s">
        <v>149</v>
      </c>
      <c r="G164" s="62" t="s">
        <v>33</v>
      </c>
      <c r="H164" s="54" t="s">
        <v>154</v>
      </c>
      <c r="I164" s="62" t="s">
        <v>35</v>
      </c>
      <c r="J164" s="55" t="s">
        <v>115</v>
      </c>
      <c r="K164" s="53" t="s">
        <v>27</v>
      </c>
      <c r="L164" s="52" t="s">
        <v>4</v>
      </c>
      <c r="M164" s="62" t="s">
        <v>29</v>
      </c>
      <c r="N164" s="54" t="s">
        <v>10498</v>
      </c>
      <c r="O164" s="55" t="str">
        <f t="shared" si="7"/>
        <v>L02.02.03.02.03.00.01</v>
      </c>
    </row>
    <row r="165" ht="15.75" customHeight="1">
      <c r="A165" s="51" t="s">
        <v>76</v>
      </c>
      <c r="B165" s="57" t="s">
        <v>77</v>
      </c>
      <c r="C165" s="51" t="s">
        <v>33</v>
      </c>
      <c r="D165" s="52" t="s">
        <v>89</v>
      </c>
      <c r="E165" s="53" t="s">
        <v>35</v>
      </c>
      <c r="F165" s="52" t="s">
        <v>149</v>
      </c>
      <c r="G165" s="62" t="s">
        <v>33</v>
      </c>
      <c r="H165" s="54" t="s">
        <v>154</v>
      </c>
      <c r="I165" s="62" t="s">
        <v>35</v>
      </c>
      <c r="J165" s="55" t="s">
        <v>115</v>
      </c>
      <c r="K165" s="71" t="s">
        <v>29</v>
      </c>
      <c r="L165" s="58" t="s">
        <v>159</v>
      </c>
      <c r="M165" s="62" t="s">
        <v>29</v>
      </c>
      <c r="N165" s="54" t="s">
        <v>10498</v>
      </c>
      <c r="O165" s="55" t="str">
        <f t="shared" si="7"/>
        <v>L02.02.03.02.03.01.01</v>
      </c>
    </row>
    <row r="166" ht="15.75" customHeight="1">
      <c r="A166" s="51" t="s">
        <v>76</v>
      </c>
      <c r="B166" s="57" t="s">
        <v>77</v>
      </c>
      <c r="C166" s="51" t="s">
        <v>33</v>
      </c>
      <c r="D166" s="52" t="s">
        <v>89</v>
      </c>
      <c r="E166" s="53" t="s">
        <v>35</v>
      </c>
      <c r="F166" s="52" t="s">
        <v>149</v>
      </c>
      <c r="G166" s="62" t="s">
        <v>33</v>
      </c>
      <c r="H166" s="54" t="s">
        <v>154</v>
      </c>
      <c r="I166" s="62" t="s">
        <v>35</v>
      </c>
      <c r="J166" s="55" t="s">
        <v>115</v>
      </c>
      <c r="K166" s="71" t="s">
        <v>33</v>
      </c>
      <c r="L166" s="58" t="s">
        <v>160</v>
      </c>
      <c r="M166" s="62" t="s">
        <v>29</v>
      </c>
      <c r="N166" s="54" t="s">
        <v>10498</v>
      </c>
      <c r="O166" s="55" t="str">
        <f t="shared" si="7"/>
        <v>L02.02.03.02.03.02.01</v>
      </c>
    </row>
    <row r="167" ht="15.75" customHeight="1">
      <c r="A167" s="51" t="s">
        <v>76</v>
      </c>
      <c r="B167" s="57" t="s">
        <v>77</v>
      </c>
      <c r="C167" s="51" t="s">
        <v>33</v>
      </c>
      <c r="D167" s="52" t="s">
        <v>89</v>
      </c>
      <c r="E167" s="53" t="s">
        <v>35</v>
      </c>
      <c r="F167" s="52" t="s">
        <v>149</v>
      </c>
      <c r="G167" s="62" t="s">
        <v>33</v>
      </c>
      <c r="H167" s="54" t="s">
        <v>154</v>
      </c>
      <c r="I167" s="62" t="s">
        <v>37</v>
      </c>
      <c r="J167" s="55" t="s">
        <v>101</v>
      </c>
      <c r="K167" s="53" t="s">
        <v>27</v>
      </c>
      <c r="L167" s="52" t="s">
        <v>4</v>
      </c>
      <c r="M167" s="62" t="s">
        <v>29</v>
      </c>
      <c r="N167" s="54" t="s">
        <v>10498</v>
      </c>
      <c r="O167" s="55" t="str">
        <f t="shared" si="7"/>
        <v>L02.02.03.02.04.00.01</v>
      </c>
    </row>
    <row r="168" ht="15.75" customHeight="1">
      <c r="A168" s="51" t="s">
        <v>76</v>
      </c>
      <c r="B168" s="57" t="s">
        <v>77</v>
      </c>
      <c r="C168" s="51" t="s">
        <v>33</v>
      </c>
      <c r="D168" s="52" t="s">
        <v>89</v>
      </c>
      <c r="E168" s="53" t="s">
        <v>35</v>
      </c>
      <c r="F168" s="52" t="s">
        <v>149</v>
      </c>
      <c r="G168" s="62" t="s">
        <v>33</v>
      </c>
      <c r="H168" s="54" t="s">
        <v>154</v>
      </c>
      <c r="I168" s="62" t="s">
        <v>29</v>
      </c>
      <c r="J168" s="55" t="s">
        <v>155</v>
      </c>
      <c r="K168" s="53" t="s">
        <v>27</v>
      </c>
      <c r="L168" s="52" t="s">
        <v>4</v>
      </c>
      <c r="M168" s="62" t="s">
        <v>33</v>
      </c>
      <c r="N168" s="54" t="s">
        <v>10499</v>
      </c>
      <c r="O168" s="55" t="str">
        <f t="shared" si="7"/>
        <v>L02.02.03.02.01.00.02</v>
      </c>
    </row>
    <row r="169" ht="15.75" customHeight="1">
      <c r="A169" s="51" t="s">
        <v>76</v>
      </c>
      <c r="B169" s="57" t="s">
        <v>77</v>
      </c>
      <c r="C169" s="51" t="s">
        <v>33</v>
      </c>
      <c r="D169" s="52" t="s">
        <v>89</v>
      </c>
      <c r="E169" s="53" t="s">
        <v>35</v>
      </c>
      <c r="F169" s="52" t="s">
        <v>149</v>
      </c>
      <c r="G169" s="62" t="s">
        <v>33</v>
      </c>
      <c r="H169" s="54" t="s">
        <v>154</v>
      </c>
      <c r="I169" s="62" t="s">
        <v>33</v>
      </c>
      <c r="J169" s="55" t="s">
        <v>156</v>
      </c>
      <c r="K169" s="53" t="s">
        <v>27</v>
      </c>
      <c r="L169" s="52" t="s">
        <v>4</v>
      </c>
      <c r="M169" s="62" t="s">
        <v>33</v>
      </c>
      <c r="N169" s="54" t="s">
        <v>10499</v>
      </c>
      <c r="O169" s="55" t="str">
        <f t="shared" si="7"/>
        <v>L02.02.03.02.02.00.02</v>
      </c>
    </row>
    <row r="170" ht="15.75" customHeight="1">
      <c r="A170" s="51" t="s">
        <v>76</v>
      </c>
      <c r="B170" s="57" t="s">
        <v>77</v>
      </c>
      <c r="C170" s="51" t="s">
        <v>33</v>
      </c>
      <c r="D170" s="52" t="s">
        <v>89</v>
      </c>
      <c r="E170" s="53" t="s">
        <v>35</v>
      </c>
      <c r="F170" s="52" t="s">
        <v>149</v>
      </c>
      <c r="G170" s="62" t="s">
        <v>33</v>
      </c>
      <c r="H170" s="54" t="s">
        <v>154</v>
      </c>
      <c r="I170" s="62" t="s">
        <v>33</v>
      </c>
      <c r="J170" s="55" t="s">
        <v>156</v>
      </c>
      <c r="K170" s="71" t="s">
        <v>29</v>
      </c>
      <c r="L170" s="58" t="s">
        <v>157</v>
      </c>
      <c r="M170" s="62" t="s">
        <v>33</v>
      </c>
      <c r="N170" s="54" t="s">
        <v>10499</v>
      </c>
      <c r="O170" s="55" t="str">
        <f t="shared" si="7"/>
        <v>L02.02.03.02.02.01.02</v>
      </c>
    </row>
    <row r="171" ht="15.75" customHeight="1">
      <c r="A171" s="51" t="s">
        <v>76</v>
      </c>
      <c r="B171" s="57" t="s">
        <v>77</v>
      </c>
      <c r="C171" s="51" t="s">
        <v>33</v>
      </c>
      <c r="D171" s="52" t="s">
        <v>89</v>
      </c>
      <c r="E171" s="53" t="s">
        <v>35</v>
      </c>
      <c r="F171" s="52" t="s">
        <v>149</v>
      </c>
      <c r="G171" s="62" t="s">
        <v>33</v>
      </c>
      <c r="H171" s="54" t="s">
        <v>154</v>
      </c>
      <c r="I171" s="62" t="s">
        <v>33</v>
      </c>
      <c r="J171" s="55" t="s">
        <v>156</v>
      </c>
      <c r="K171" s="71" t="s">
        <v>33</v>
      </c>
      <c r="L171" s="58" t="s">
        <v>158</v>
      </c>
      <c r="M171" s="62" t="s">
        <v>33</v>
      </c>
      <c r="N171" s="54" t="s">
        <v>10499</v>
      </c>
      <c r="O171" s="55" t="str">
        <f t="shared" si="7"/>
        <v>L02.02.03.02.02.02.02</v>
      </c>
    </row>
    <row r="172" ht="15.75" customHeight="1">
      <c r="A172" s="51" t="s">
        <v>76</v>
      </c>
      <c r="B172" s="57" t="s">
        <v>77</v>
      </c>
      <c r="C172" s="51" t="s">
        <v>33</v>
      </c>
      <c r="D172" s="52" t="s">
        <v>89</v>
      </c>
      <c r="E172" s="53" t="s">
        <v>35</v>
      </c>
      <c r="F172" s="52" t="s">
        <v>149</v>
      </c>
      <c r="G172" s="62" t="s">
        <v>33</v>
      </c>
      <c r="H172" s="54" t="s">
        <v>154</v>
      </c>
      <c r="I172" s="62" t="s">
        <v>35</v>
      </c>
      <c r="J172" s="55" t="s">
        <v>115</v>
      </c>
      <c r="K172" s="53" t="s">
        <v>27</v>
      </c>
      <c r="L172" s="52" t="s">
        <v>4</v>
      </c>
      <c r="M172" s="62" t="s">
        <v>33</v>
      </c>
      <c r="N172" s="54" t="s">
        <v>10499</v>
      </c>
      <c r="O172" s="55" t="str">
        <f t="shared" si="7"/>
        <v>L02.02.03.02.03.00.02</v>
      </c>
    </row>
    <row r="173" ht="15.75" customHeight="1">
      <c r="A173" s="51" t="s">
        <v>76</v>
      </c>
      <c r="B173" s="57" t="s">
        <v>77</v>
      </c>
      <c r="C173" s="51" t="s">
        <v>33</v>
      </c>
      <c r="D173" s="52" t="s">
        <v>89</v>
      </c>
      <c r="E173" s="53" t="s">
        <v>35</v>
      </c>
      <c r="F173" s="52" t="s">
        <v>149</v>
      </c>
      <c r="G173" s="62" t="s">
        <v>33</v>
      </c>
      <c r="H173" s="54" t="s">
        <v>154</v>
      </c>
      <c r="I173" s="62" t="s">
        <v>35</v>
      </c>
      <c r="J173" s="55" t="s">
        <v>115</v>
      </c>
      <c r="K173" s="71" t="s">
        <v>29</v>
      </c>
      <c r="L173" s="58" t="s">
        <v>159</v>
      </c>
      <c r="M173" s="62" t="s">
        <v>33</v>
      </c>
      <c r="N173" s="54" t="s">
        <v>10499</v>
      </c>
      <c r="O173" s="55" t="str">
        <f t="shared" si="7"/>
        <v>L02.02.03.02.03.01.02</v>
      </c>
    </row>
    <row r="174" ht="15.75" customHeight="1">
      <c r="A174" s="51" t="s">
        <v>76</v>
      </c>
      <c r="B174" s="57" t="s">
        <v>77</v>
      </c>
      <c r="C174" s="51" t="s">
        <v>33</v>
      </c>
      <c r="D174" s="52" t="s">
        <v>89</v>
      </c>
      <c r="E174" s="53" t="s">
        <v>35</v>
      </c>
      <c r="F174" s="52" t="s">
        <v>149</v>
      </c>
      <c r="G174" s="62" t="s">
        <v>33</v>
      </c>
      <c r="H174" s="54" t="s">
        <v>154</v>
      </c>
      <c r="I174" s="62" t="s">
        <v>35</v>
      </c>
      <c r="J174" s="55" t="s">
        <v>115</v>
      </c>
      <c r="K174" s="71" t="s">
        <v>33</v>
      </c>
      <c r="L174" s="58" t="s">
        <v>160</v>
      </c>
      <c r="M174" s="62" t="s">
        <v>33</v>
      </c>
      <c r="N174" s="54" t="s">
        <v>10499</v>
      </c>
      <c r="O174" s="55" t="str">
        <f t="shared" si="7"/>
        <v>L02.02.03.02.03.02.02</v>
      </c>
    </row>
    <row r="175" ht="15.75" customHeight="1">
      <c r="A175" s="51" t="s">
        <v>76</v>
      </c>
      <c r="B175" s="57" t="s">
        <v>77</v>
      </c>
      <c r="C175" s="51" t="s">
        <v>33</v>
      </c>
      <c r="D175" s="52" t="s">
        <v>89</v>
      </c>
      <c r="E175" s="53" t="s">
        <v>35</v>
      </c>
      <c r="F175" s="52" t="s">
        <v>149</v>
      </c>
      <c r="G175" s="62" t="s">
        <v>33</v>
      </c>
      <c r="H175" s="54" t="s">
        <v>154</v>
      </c>
      <c r="I175" s="62" t="s">
        <v>37</v>
      </c>
      <c r="J175" s="55" t="s">
        <v>101</v>
      </c>
      <c r="K175" s="53" t="s">
        <v>27</v>
      </c>
      <c r="L175" s="52" t="s">
        <v>4</v>
      </c>
      <c r="M175" s="62" t="s">
        <v>33</v>
      </c>
      <c r="N175" s="54" t="s">
        <v>10499</v>
      </c>
      <c r="O175" s="55" t="str">
        <f t="shared" si="7"/>
        <v>L02.02.03.02.04.00.02</v>
      </c>
    </row>
    <row r="176" ht="15.75" customHeight="1">
      <c r="A176" s="51" t="s">
        <v>76</v>
      </c>
      <c r="B176" s="57" t="s">
        <v>77</v>
      </c>
      <c r="C176" s="51" t="s">
        <v>33</v>
      </c>
      <c r="D176" s="52" t="s">
        <v>89</v>
      </c>
      <c r="E176" s="53" t="s">
        <v>35</v>
      </c>
      <c r="F176" s="52" t="s">
        <v>149</v>
      </c>
      <c r="G176" s="62" t="s">
        <v>33</v>
      </c>
      <c r="H176" s="54" t="s">
        <v>151</v>
      </c>
      <c r="I176" s="62" t="s">
        <v>29</v>
      </c>
      <c r="J176" s="55" t="s">
        <v>152</v>
      </c>
      <c r="K176" s="53" t="s">
        <v>27</v>
      </c>
      <c r="L176" s="52" t="s">
        <v>4</v>
      </c>
      <c r="M176" s="62" t="s">
        <v>35</v>
      </c>
      <c r="N176" s="54" t="s">
        <v>10500</v>
      </c>
      <c r="O176" s="55" t="str">
        <f t="shared" si="7"/>
        <v>L02.02.03.02.01.00.03</v>
      </c>
    </row>
    <row r="177" ht="15.75" customHeight="1">
      <c r="A177" s="51" t="s">
        <v>76</v>
      </c>
      <c r="B177" s="57" t="s">
        <v>77</v>
      </c>
      <c r="C177" s="51" t="s">
        <v>33</v>
      </c>
      <c r="D177" s="52" t="s">
        <v>89</v>
      </c>
      <c r="E177" s="53" t="s">
        <v>35</v>
      </c>
      <c r="F177" s="52" t="s">
        <v>149</v>
      </c>
      <c r="G177" s="62" t="s">
        <v>33</v>
      </c>
      <c r="H177" s="54" t="s">
        <v>151</v>
      </c>
      <c r="I177" s="62" t="s">
        <v>33</v>
      </c>
      <c r="J177" s="55" t="s">
        <v>153</v>
      </c>
      <c r="K177" s="53" t="s">
        <v>27</v>
      </c>
      <c r="L177" s="52" t="s">
        <v>4</v>
      </c>
      <c r="M177" s="62" t="s">
        <v>35</v>
      </c>
      <c r="N177" s="54" t="s">
        <v>10500</v>
      </c>
      <c r="O177" s="55" t="str">
        <f t="shared" si="7"/>
        <v>L02.02.03.02.02.00.03</v>
      </c>
    </row>
    <row r="178" ht="15.75" customHeight="1">
      <c r="A178" s="51" t="s">
        <v>76</v>
      </c>
      <c r="B178" s="57" t="s">
        <v>77</v>
      </c>
      <c r="C178" s="51" t="s">
        <v>33</v>
      </c>
      <c r="D178" s="52" t="s">
        <v>89</v>
      </c>
      <c r="E178" s="53" t="s">
        <v>35</v>
      </c>
      <c r="F178" s="52" t="s">
        <v>149</v>
      </c>
      <c r="G178" s="62" t="s">
        <v>33</v>
      </c>
      <c r="H178" s="54" t="s">
        <v>151</v>
      </c>
      <c r="I178" s="62" t="s">
        <v>29</v>
      </c>
      <c r="J178" s="55" t="s">
        <v>152</v>
      </c>
      <c r="K178" s="53" t="s">
        <v>27</v>
      </c>
      <c r="L178" s="52" t="s">
        <v>4</v>
      </c>
      <c r="M178" s="62" t="s">
        <v>37</v>
      </c>
      <c r="N178" s="54" t="s">
        <v>10501</v>
      </c>
      <c r="O178" s="55" t="str">
        <f t="shared" si="7"/>
        <v>L02.02.03.02.01.00.04</v>
      </c>
    </row>
    <row r="179" ht="15.75" customHeight="1">
      <c r="A179" s="51" t="s">
        <v>76</v>
      </c>
      <c r="B179" s="57" t="s">
        <v>77</v>
      </c>
      <c r="C179" s="51" t="s">
        <v>33</v>
      </c>
      <c r="D179" s="52" t="s">
        <v>89</v>
      </c>
      <c r="E179" s="53" t="s">
        <v>35</v>
      </c>
      <c r="F179" s="52" t="s">
        <v>149</v>
      </c>
      <c r="G179" s="62" t="s">
        <v>33</v>
      </c>
      <c r="H179" s="54" t="s">
        <v>151</v>
      </c>
      <c r="I179" s="62" t="s">
        <v>33</v>
      </c>
      <c r="J179" s="55" t="s">
        <v>153</v>
      </c>
      <c r="K179" s="53" t="s">
        <v>27</v>
      </c>
      <c r="L179" s="52" t="s">
        <v>4</v>
      </c>
      <c r="M179" s="62" t="s">
        <v>37</v>
      </c>
      <c r="N179" s="54" t="s">
        <v>10501</v>
      </c>
      <c r="O179" s="55" t="str">
        <f t="shared" si="7"/>
        <v>L02.02.03.02.02.00.04</v>
      </c>
    </row>
    <row r="180" ht="15.75" customHeight="1">
      <c r="A180" s="51" t="s">
        <v>76</v>
      </c>
      <c r="B180" s="57" t="s">
        <v>77</v>
      </c>
      <c r="C180" s="51" t="s">
        <v>33</v>
      </c>
      <c r="D180" s="52" t="s">
        <v>89</v>
      </c>
      <c r="E180" s="53" t="s">
        <v>35</v>
      </c>
      <c r="F180" s="52" t="s">
        <v>149</v>
      </c>
      <c r="G180" s="62" t="s">
        <v>33</v>
      </c>
      <c r="H180" s="54" t="s">
        <v>151</v>
      </c>
      <c r="I180" s="62" t="s">
        <v>29</v>
      </c>
      <c r="J180" s="55" t="s">
        <v>152</v>
      </c>
      <c r="K180" s="53" t="s">
        <v>27</v>
      </c>
      <c r="L180" s="52" t="s">
        <v>4</v>
      </c>
      <c r="M180" s="62" t="s">
        <v>42</v>
      </c>
      <c r="N180" s="54" t="s">
        <v>10502</v>
      </c>
      <c r="O180" s="55" t="str">
        <f t="shared" si="7"/>
        <v>L02.02.03.02.01.00.05</v>
      </c>
    </row>
    <row r="181" ht="15.75" customHeight="1">
      <c r="A181" s="51" t="s">
        <v>76</v>
      </c>
      <c r="B181" s="57" t="s">
        <v>77</v>
      </c>
      <c r="C181" s="51" t="s">
        <v>33</v>
      </c>
      <c r="D181" s="52" t="s">
        <v>89</v>
      </c>
      <c r="E181" s="53" t="s">
        <v>35</v>
      </c>
      <c r="F181" s="52" t="s">
        <v>149</v>
      </c>
      <c r="G181" s="62" t="s">
        <v>33</v>
      </c>
      <c r="H181" s="54" t="s">
        <v>151</v>
      </c>
      <c r="I181" s="62" t="s">
        <v>33</v>
      </c>
      <c r="J181" s="55" t="s">
        <v>153</v>
      </c>
      <c r="K181" s="53" t="s">
        <v>27</v>
      </c>
      <c r="L181" s="52" t="s">
        <v>4</v>
      </c>
      <c r="M181" s="62" t="s">
        <v>42</v>
      </c>
      <c r="N181" s="54" t="s">
        <v>10502</v>
      </c>
      <c r="O181" s="55" t="str">
        <f t="shared" si="7"/>
        <v>L02.02.03.02.02.00.05</v>
      </c>
    </row>
    <row r="182" ht="15.75" customHeight="1">
      <c r="A182" s="51" t="s">
        <v>76</v>
      </c>
      <c r="B182" s="57" t="s">
        <v>77</v>
      </c>
      <c r="C182" s="51" t="s">
        <v>33</v>
      </c>
      <c r="D182" s="52" t="s">
        <v>89</v>
      </c>
      <c r="E182" s="53" t="s">
        <v>35</v>
      </c>
      <c r="F182" s="52" t="s">
        <v>149</v>
      </c>
      <c r="G182" s="62" t="s">
        <v>35</v>
      </c>
      <c r="H182" s="72" t="s">
        <v>161</v>
      </c>
      <c r="I182" s="71" t="s">
        <v>29</v>
      </c>
      <c r="J182" s="75" t="s">
        <v>162</v>
      </c>
      <c r="K182" s="53" t="s">
        <v>27</v>
      </c>
      <c r="L182" s="52" t="s">
        <v>4</v>
      </c>
      <c r="M182" s="62" t="s">
        <v>44</v>
      </c>
      <c r="N182" s="54" t="s">
        <v>10505</v>
      </c>
      <c r="O182" s="55" t="str">
        <f t="shared" si="7"/>
        <v>L02.02.03.03.01.00.06</v>
      </c>
    </row>
    <row r="183" ht="15.75" customHeight="1">
      <c r="A183" s="51" t="s">
        <v>76</v>
      </c>
      <c r="B183" s="57" t="s">
        <v>77</v>
      </c>
      <c r="C183" s="51" t="s">
        <v>33</v>
      </c>
      <c r="D183" s="52" t="s">
        <v>89</v>
      </c>
      <c r="E183" s="53" t="s">
        <v>35</v>
      </c>
      <c r="F183" s="52" t="s">
        <v>149</v>
      </c>
      <c r="G183" s="62" t="s">
        <v>35</v>
      </c>
      <c r="H183" s="72" t="s">
        <v>161</v>
      </c>
      <c r="I183" s="71" t="s">
        <v>33</v>
      </c>
      <c r="J183" s="75" t="s">
        <v>163</v>
      </c>
      <c r="K183" s="53" t="s">
        <v>27</v>
      </c>
      <c r="L183" s="52" t="s">
        <v>4</v>
      </c>
      <c r="M183" s="62" t="s">
        <v>44</v>
      </c>
      <c r="N183" s="54" t="s">
        <v>10505</v>
      </c>
      <c r="O183" s="55" t="str">
        <f t="shared" si="7"/>
        <v>L02.02.03.03.02.00.06</v>
      </c>
    </row>
    <row r="184" ht="15.75" customHeight="1">
      <c r="A184" s="51" t="s">
        <v>76</v>
      </c>
      <c r="B184" s="57" t="s">
        <v>77</v>
      </c>
      <c r="C184" s="51" t="s">
        <v>33</v>
      </c>
      <c r="D184" s="52" t="s">
        <v>89</v>
      </c>
      <c r="E184" s="53" t="s">
        <v>35</v>
      </c>
      <c r="F184" s="52" t="s">
        <v>149</v>
      </c>
      <c r="G184" s="62" t="s">
        <v>35</v>
      </c>
      <c r="H184" s="72" t="s">
        <v>161</v>
      </c>
      <c r="I184" s="71" t="s">
        <v>35</v>
      </c>
      <c r="J184" s="75" t="s">
        <v>164</v>
      </c>
      <c r="K184" s="53" t="s">
        <v>27</v>
      </c>
      <c r="L184" s="52" t="s">
        <v>4</v>
      </c>
      <c r="M184" s="62" t="s">
        <v>44</v>
      </c>
      <c r="N184" s="54" t="s">
        <v>10505</v>
      </c>
      <c r="O184" s="55" t="str">
        <f t="shared" si="7"/>
        <v>L02.02.03.03.03.00.06</v>
      </c>
    </row>
    <row r="185" ht="15.75" customHeight="1">
      <c r="A185" s="51" t="s">
        <v>76</v>
      </c>
      <c r="B185" s="57" t="s">
        <v>77</v>
      </c>
      <c r="C185" s="51" t="s">
        <v>33</v>
      </c>
      <c r="D185" s="52" t="s">
        <v>89</v>
      </c>
      <c r="E185" s="53" t="s">
        <v>35</v>
      </c>
      <c r="F185" s="52" t="s">
        <v>149</v>
      </c>
      <c r="G185" s="62" t="s">
        <v>35</v>
      </c>
      <c r="H185" s="72" t="s">
        <v>161</v>
      </c>
      <c r="I185" s="71" t="s">
        <v>37</v>
      </c>
      <c r="J185" s="75" t="s">
        <v>148</v>
      </c>
      <c r="K185" s="53" t="s">
        <v>27</v>
      </c>
      <c r="L185" s="52" t="s">
        <v>4</v>
      </c>
      <c r="M185" s="62" t="s">
        <v>44</v>
      </c>
      <c r="N185" s="54" t="s">
        <v>10505</v>
      </c>
      <c r="O185" s="55" t="str">
        <f t="shared" si="7"/>
        <v>L02.02.03.03.04.00.06</v>
      </c>
    </row>
    <row r="186" ht="15.75" customHeight="1">
      <c r="A186" s="65" t="s">
        <v>10508</v>
      </c>
      <c r="B186" s="66"/>
      <c r="C186" s="66"/>
      <c r="D186" s="66"/>
      <c r="E186" s="67"/>
      <c r="F186" s="66"/>
      <c r="G186" s="66"/>
      <c r="H186" s="68"/>
      <c r="I186" s="66"/>
      <c r="J186" s="69"/>
      <c r="K186" s="66"/>
      <c r="L186" s="68"/>
      <c r="M186" s="66"/>
      <c r="N186" s="68"/>
      <c r="O186" s="69"/>
    </row>
    <row r="187" ht="15.75" customHeight="1">
      <c r="A187" s="51" t="s">
        <v>76</v>
      </c>
      <c r="B187" s="57" t="s">
        <v>77</v>
      </c>
      <c r="C187" s="51" t="s">
        <v>33</v>
      </c>
      <c r="D187" s="52" t="s">
        <v>89</v>
      </c>
      <c r="E187" s="53" t="s">
        <v>37</v>
      </c>
      <c r="F187" s="52" t="s">
        <v>165</v>
      </c>
      <c r="G187" s="62" t="s">
        <v>29</v>
      </c>
      <c r="H187" s="54" t="s">
        <v>166</v>
      </c>
      <c r="I187" s="53" t="s">
        <v>27</v>
      </c>
      <c r="J187" s="52" t="s">
        <v>4</v>
      </c>
      <c r="K187" s="53" t="s">
        <v>27</v>
      </c>
      <c r="L187" s="52" t="s">
        <v>4</v>
      </c>
      <c r="M187" s="62" t="s">
        <v>44</v>
      </c>
      <c r="N187" s="54" t="s">
        <v>10505</v>
      </c>
      <c r="O187" s="55" t="str">
        <f t="shared" ref="O187:O191" si="8">A187&amp;"."&amp;C187&amp;"."&amp;E187&amp;"."&amp;G187&amp;"."&amp;I187&amp;"."&amp;K187&amp;"."&amp;M187</f>
        <v>L02.02.04.01.00.00.06</v>
      </c>
    </row>
    <row r="188" ht="15.75" customHeight="1">
      <c r="A188" s="51" t="s">
        <v>76</v>
      </c>
      <c r="B188" s="57" t="s">
        <v>77</v>
      </c>
      <c r="C188" s="51" t="s">
        <v>33</v>
      </c>
      <c r="D188" s="52" t="s">
        <v>89</v>
      </c>
      <c r="E188" s="53" t="s">
        <v>37</v>
      </c>
      <c r="F188" s="52" t="s">
        <v>165</v>
      </c>
      <c r="G188" s="62" t="s">
        <v>33</v>
      </c>
      <c r="H188" s="54" t="s">
        <v>167</v>
      </c>
      <c r="I188" s="53" t="s">
        <v>27</v>
      </c>
      <c r="J188" s="52" t="s">
        <v>4</v>
      </c>
      <c r="K188" s="53" t="s">
        <v>27</v>
      </c>
      <c r="L188" s="52" t="s">
        <v>4</v>
      </c>
      <c r="M188" s="62" t="s">
        <v>44</v>
      </c>
      <c r="N188" s="54" t="s">
        <v>10505</v>
      </c>
      <c r="O188" s="55" t="str">
        <f t="shared" si="8"/>
        <v>L02.02.04.02.00.00.06</v>
      </c>
    </row>
    <row r="189" ht="15.75" customHeight="1">
      <c r="A189" s="51" t="s">
        <v>76</v>
      </c>
      <c r="B189" s="57" t="s">
        <v>77</v>
      </c>
      <c r="C189" s="51" t="s">
        <v>33</v>
      </c>
      <c r="D189" s="52" t="s">
        <v>89</v>
      </c>
      <c r="E189" s="53" t="s">
        <v>37</v>
      </c>
      <c r="F189" s="52" t="s">
        <v>165</v>
      </c>
      <c r="G189" s="62" t="s">
        <v>33</v>
      </c>
      <c r="H189" s="54" t="s">
        <v>167</v>
      </c>
      <c r="I189" s="53" t="s">
        <v>27</v>
      </c>
      <c r="J189" s="52" t="s">
        <v>4</v>
      </c>
      <c r="K189" s="53" t="s">
        <v>27</v>
      </c>
      <c r="L189" s="52" t="s">
        <v>4</v>
      </c>
      <c r="M189" s="62" t="s">
        <v>33</v>
      </c>
      <c r="N189" s="54" t="s">
        <v>10499</v>
      </c>
      <c r="O189" s="55" t="str">
        <f t="shared" si="8"/>
        <v>L02.02.04.02.00.00.02</v>
      </c>
    </row>
    <row r="190" ht="15.75" customHeight="1">
      <c r="A190" s="51" t="s">
        <v>76</v>
      </c>
      <c r="B190" s="57" t="s">
        <v>77</v>
      </c>
      <c r="C190" s="51" t="s">
        <v>33</v>
      </c>
      <c r="D190" s="52" t="s">
        <v>89</v>
      </c>
      <c r="E190" s="53" t="s">
        <v>37</v>
      </c>
      <c r="F190" s="52" t="s">
        <v>165</v>
      </c>
      <c r="G190" s="62" t="s">
        <v>35</v>
      </c>
      <c r="H190" s="54" t="s">
        <v>168</v>
      </c>
      <c r="I190" s="53" t="s">
        <v>27</v>
      </c>
      <c r="J190" s="52" t="s">
        <v>4</v>
      </c>
      <c r="K190" s="53" t="s">
        <v>27</v>
      </c>
      <c r="L190" s="52" t="s">
        <v>4</v>
      </c>
      <c r="M190" s="62" t="s">
        <v>44</v>
      </c>
      <c r="N190" s="54" t="s">
        <v>10505</v>
      </c>
      <c r="O190" s="55" t="str">
        <f t="shared" si="8"/>
        <v>L02.02.04.03.00.00.06</v>
      </c>
    </row>
    <row r="191" ht="15.75" customHeight="1">
      <c r="A191" s="51" t="s">
        <v>76</v>
      </c>
      <c r="B191" s="57" t="s">
        <v>77</v>
      </c>
      <c r="C191" s="51" t="s">
        <v>33</v>
      </c>
      <c r="D191" s="52" t="s">
        <v>89</v>
      </c>
      <c r="E191" s="53" t="s">
        <v>37</v>
      </c>
      <c r="F191" s="52" t="s">
        <v>165</v>
      </c>
      <c r="G191" s="62" t="s">
        <v>37</v>
      </c>
      <c r="H191" s="54" t="s">
        <v>169</v>
      </c>
      <c r="I191" s="53" t="s">
        <v>27</v>
      </c>
      <c r="J191" s="52" t="s">
        <v>4</v>
      </c>
      <c r="K191" s="53" t="s">
        <v>27</v>
      </c>
      <c r="L191" s="52" t="s">
        <v>4</v>
      </c>
      <c r="M191" s="62" t="s">
        <v>44</v>
      </c>
      <c r="N191" s="54" t="s">
        <v>10505</v>
      </c>
      <c r="O191" s="55" t="str">
        <f t="shared" si="8"/>
        <v>L02.02.04.04.00.00.06</v>
      </c>
    </row>
    <row r="192" ht="15.75" customHeight="1">
      <c r="A192" s="65" t="s">
        <v>10509</v>
      </c>
      <c r="B192" s="66"/>
      <c r="C192" s="66"/>
      <c r="D192" s="66"/>
      <c r="E192" s="67"/>
      <c r="F192" s="66"/>
      <c r="G192" s="66"/>
      <c r="H192" s="68"/>
      <c r="I192" s="66"/>
      <c r="J192" s="69"/>
      <c r="K192" s="66"/>
      <c r="L192" s="68"/>
      <c r="M192" s="66"/>
      <c r="N192" s="68"/>
      <c r="O192" s="69"/>
    </row>
    <row r="193" ht="15.75" customHeight="1">
      <c r="A193" s="51" t="s">
        <v>76</v>
      </c>
      <c r="B193" s="57" t="s">
        <v>77</v>
      </c>
      <c r="C193" s="51" t="s">
        <v>33</v>
      </c>
      <c r="D193" s="52" t="s">
        <v>89</v>
      </c>
      <c r="E193" s="53" t="s">
        <v>42</v>
      </c>
      <c r="F193" s="52" t="s">
        <v>170</v>
      </c>
      <c r="G193" s="62" t="s">
        <v>29</v>
      </c>
      <c r="H193" s="54" t="s">
        <v>171</v>
      </c>
      <c r="I193" s="53" t="s">
        <v>27</v>
      </c>
      <c r="J193" s="52" t="s">
        <v>4</v>
      </c>
      <c r="K193" s="53" t="s">
        <v>27</v>
      </c>
      <c r="L193" s="52" t="s">
        <v>4</v>
      </c>
      <c r="M193" s="62" t="s">
        <v>44</v>
      </c>
      <c r="N193" s="54" t="s">
        <v>10505</v>
      </c>
      <c r="O193" s="55" t="str">
        <f t="shared" ref="O193:O202" si="9">A193&amp;"."&amp;C193&amp;"."&amp;E193&amp;"."&amp;G193&amp;"."&amp;I193&amp;"."&amp;K193&amp;"."&amp;M193</f>
        <v>L02.02.05.01.00.00.06</v>
      </c>
    </row>
    <row r="194" ht="15.75" customHeight="1">
      <c r="A194" s="51" t="s">
        <v>76</v>
      </c>
      <c r="B194" s="57" t="s">
        <v>77</v>
      </c>
      <c r="C194" s="51" t="s">
        <v>33</v>
      </c>
      <c r="D194" s="52" t="s">
        <v>89</v>
      </c>
      <c r="E194" s="53" t="s">
        <v>42</v>
      </c>
      <c r="F194" s="52" t="s">
        <v>170</v>
      </c>
      <c r="G194" s="62" t="s">
        <v>33</v>
      </c>
      <c r="H194" s="54" t="s">
        <v>172</v>
      </c>
      <c r="I194" s="53" t="s">
        <v>27</v>
      </c>
      <c r="J194" s="52" t="s">
        <v>4</v>
      </c>
      <c r="K194" s="53" t="s">
        <v>27</v>
      </c>
      <c r="L194" s="52" t="s">
        <v>4</v>
      </c>
      <c r="M194" s="62" t="s">
        <v>44</v>
      </c>
      <c r="N194" s="54" t="s">
        <v>10505</v>
      </c>
      <c r="O194" s="55" t="str">
        <f t="shared" si="9"/>
        <v>L02.02.05.02.00.00.06</v>
      </c>
    </row>
    <row r="195" ht="15.75" customHeight="1">
      <c r="A195" s="51" t="s">
        <v>76</v>
      </c>
      <c r="B195" s="57" t="s">
        <v>77</v>
      </c>
      <c r="C195" s="51" t="s">
        <v>33</v>
      </c>
      <c r="D195" s="52" t="s">
        <v>89</v>
      </c>
      <c r="E195" s="53" t="s">
        <v>42</v>
      </c>
      <c r="F195" s="52" t="s">
        <v>170</v>
      </c>
      <c r="G195" s="62" t="s">
        <v>33</v>
      </c>
      <c r="H195" s="54" t="s">
        <v>172</v>
      </c>
      <c r="I195" s="53" t="s">
        <v>27</v>
      </c>
      <c r="J195" s="52" t="s">
        <v>4</v>
      </c>
      <c r="K195" s="53" t="s">
        <v>27</v>
      </c>
      <c r="L195" s="52" t="s">
        <v>4</v>
      </c>
      <c r="M195" s="62" t="s">
        <v>33</v>
      </c>
      <c r="N195" s="54" t="s">
        <v>10499</v>
      </c>
      <c r="O195" s="55" t="str">
        <f t="shared" si="9"/>
        <v>L02.02.05.02.00.00.02</v>
      </c>
    </row>
    <row r="196" ht="15.75" customHeight="1">
      <c r="A196" s="51" t="s">
        <v>76</v>
      </c>
      <c r="B196" s="57" t="s">
        <v>77</v>
      </c>
      <c r="C196" s="51" t="s">
        <v>33</v>
      </c>
      <c r="D196" s="52" t="s">
        <v>89</v>
      </c>
      <c r="E196" s="53" t="s">
        <v>42</v>
      </c>
      <c r="F196" s="52" t="s">
        <v>170</v>
      </c>
      <c r="G196" s="62" t="s">
        <v>35</v>
      </c>
      <c r="H196" s="54" t="s">
        <v>173</v>
      </c>
      <c r="I196" s="53" t="s">
        <v>27</v>
      </c>
      <c r="J196" s="52" t="s">
        <v>4</v>
      </c>
      <c r="K196" s="53" t="s">
        <v>27</v>
      </c>
      <c r="L196" s="52" t="s">
        <v>4</v>
      </c>
      <c r="M196" s="62" t="s">
        <v>44</v>
      </c>
      <c r="N196" s="54" t="s">
        <v>10505</v>
      </c>
      <c r="O196" s="55" t="str">
        <f t="shared" si="9"/>
        <v>L02.02.05.03.00.00.06</v>
      </c>
    </row>
    <row r="197" ht="15.75" customHeight="1">
      <c r="A197" s="51" t="s">
        <v>76</v>
      </c>
      <c r="B197" s="57" t="s">
        <v>77</v>
      </c>
      <c r="C197" s="51" t="s">
        <v>33</v>
      </c>
      <c r="D197" s="52" t="s">
        <v>89</v>
      </c>
      <c r="E197" s="53" t="s">
        <v>42</v>
      </c>
      <c r="F197" s="52" t="s">
        <v>170</v>
      </c>
      <c r="G197" s="62" t="s">
        <v>37</v>
      </c>
      <c r="H197" s="54" t="s">
        <v>174</v>
      </c>
      <c r="I197" s="53" t="s">
        <v>27</v>
      </c>
      <c r="J197" s="52" t="s">
        <v>4</v>
      </c>
      <c r="K197" s="53" t="s">
        <v>27</v>
      </c>
      <c r="L197" s="52" t="s">
        <v>4</v>
      </c>
      <c r="M197" s="62" t="s">
        <v>44</v>
      </c>
      <c r="N197" s="54" t="s">
        <v>10505</v>
      </c>
      <c r="O197" s="55" t="str">
        <f t="shared" si="9"/>
        <v>L02.02.05.04.00.00.06</v>
      </c>
    </row>
    <row r="198" ht="15.75" customHeight="1">
      <c r="A198" s="51" t="s">
        <v>76</v>
      </c>
      <c r="B198" s="57" t="s">
        <v>77</v>
      </c>
      <c r="C198" s="51" t="s">
        <v>33</v>
      </c>
      <c r="D198" s="52" t="s">
        <v>89</v>
      </c>
      <c r="E198" s="53" t="s">
        <v>42</v>
      </c>
      <c r="F198" s="52" t="s">
        <v>170</v>
      </c>
      <c r="G198" s="62" t="s">
        <v>37</v>
      </c>
      <c r="H198" s="54" t="s">
        <v>174</v>
      </c>
      <c r="I198" s="53" t="s">
        <v>27</v>
      </c>
      <c r="J198" s="52" t="s">
        <v>4</v>
      </c>
      <c r="K198" s="53" t="s">
        <v>27</v>
      </c>
      <c r="L198" s="52" t="s">
        <v>4</v>
      </c>
      <c r="M198" s="62" t="s">
        <v>33</v>
      </c>
      <c r="N198" s="54" t="s">
        <v>10499</v>
      </c>
      <c r="O198" s="55" t="str">
        <f t="shared" si="9"/>
        <v>L02.02.05.04.00.00.02</v>
      </c>
    </row>
    <row r="199" ht="15.75" customHeight="1">
      <c r="A199" s="51" t="s">
        <v>76</v>
      </c>
      <c r="B199" s="57" t="s">
        <v>77</v>
      </c>
      <c r="C199" s="51" t="s">
        <v>33</v>
      </c>
      <c r="D199" s="52" t="s">
        <v>89</v>
      </c>
      <c r="E199" s="53" t="s">
        <v>42</v>
      </c>
      <c r="F199" s="52" t="s">
        <v>170</v>
      </c>
      <c r="G199" s="62" t="s">
        <v>37</v>
      </c>
      <c r="H199" s="54" t="s">
        <v>174</v>
      </c>
      <c r="I199" s="53" t="s">
        <v>27</v>
      </c>
      <c r="J199" s="52" t="s">
        <v>4</v>
      </c>
      <c r="K199" s="53" t="s">
        <v>27</v>
      </c>
      <c r="L199" s="52" t="s">
        <v>4</v>
      </c>
      <c r="M199" s="64" t="s">
        <v>35</v>
      </c>
      <c r="N199" s="70" t="s">
        <v>10500</v>
      </c>
      <c r="O199" s="55" t="str">
        <f t="shared" si="9"/>
        <v>L02.02.05.04.00.00.03</v>
      </c>
    </row>
    <row r="200" ht="15.75" customHeight="1">
      <c r="A200" s="51" t="s">
        <v>76</v>
      </c>
      <c r="B200" s="57" t="s">
        <v>77</v>
      </c>
      <c r="C200" s="51" t="s">
        <v>33</v>
      </c>
      <c r="D200" s="52" t="s">
        <v>89</v>
      </c>
      <c r="E200" s="53" t="s">
        <v>42</v>
      </c>
      <c r="F200" s="52" t="s">
        <v>170</v>
      </c>
      <c r="G200" s="62" t="s">
        <v>37</v>
      </c>
      <c r="H200" s="54" t="s">
        <v>174</v>
      </c>
      <c r="I200" s="53" t="s">
        <v>27</v>
      </c>
      <c r="J200" s="52" t="s">
        <v>4</v>
      </c>
      <c r="K200" s="53" t="s">
        <v>27</v>
      </c>
      <c r="L200" s="52" t="s">
        <v>4</v>
      </c>
      <c r="M200" s="64" t="s">
        <v>37</v>
      </c>
      <c r="N200" s="70" t="s">
        <v>10501</v>
      </c>
      <c r="O200" s="55" t="str">
        <f t="shared" si="9"/>
        <v>L02.02.05.04.00.00.04</v>
      </c>
    </row>
    <row r="201" ht="15.75" customHeight="1">
      <c r="A201" s="51" t="s">
        <v>76</v>
      </c>
      <c r="B201" s="57" t="s">
        <v>77</v>
      </c>
      <c r="C201" s="51" t="s">
        <v>33</v>
      </c>
      <c r="D201" s="52" t="s">
        <v>89</v>
      </c>
      <c r="E201" s="53" t="s">
        <v>42</v>
      </c>
      <c r="F201" s="52" t="s">
        <v>170</v>
      </c>
      <c r="G201" s="62" t="s">
        <v>42</v>
      </c>
      <c r="H201" s="54" t="s">
        <v>101</v>
      </c>
      <c r="I201" s="53" t="s">
        <v>27</v>
      </c>
      <c r="J201" s="52" t="s">
        <v>4</v>
      </c>
      <c r="K201" s="53" t="s">
        <v>27</v>
      </c>
      <c r="L201" s="52" t="s">
        <v>4</v>
      </c>
      <c r="M201" s="62" t="s">
        <v>44</v>
      </c>
      <c r="N201" s="54" t="s">
        <v>10505</v>
      </c>
      <c r="O201" s="55" t="str">
        <f t="shared" si="9"/>
        <v>L02.02.05.05.00.00.06</v>
      </c>
    </row>
    <row r="202" ht="15.75" customHeight="1">
      <c r="A202" s="51" t="s">
        <v>76</v>
      </c>
      <c r="B202" s="57" t="s">
        <v>77</v>
      </c>
      <c r="C202" s="51" t="s">
        <v>33</v>
      </c>
      <c r="D202" s="52" t="s">
        <v>89</v>
      </c>
      <c r="E202" s="53" t="s">
        <v>42</v>
      </c>
      <c r="F202" s="52" t="s">
        <v>170</v>
      </c>
      <c r="G202" s="62" t="s">
        <v>44</v>
      </c>
      <c r="H202" s="54" t="s">
        <v>175</v>
      </c>
      <c r="I202" s="53" t="s">
        <v>27</v>
      </c>
      <c r="J202" s="52" t="s">
        <v>4</v>
      </c>
      <c r="K202" s="53" t="s">
        <v>27</v>
      </c>
      <c r="L202" s="52" t="s">
        <v>4</v>
      </c>
      <c r="M202" s="62" t="s">
        <v>44</v>
      </c>
      <c r="N202" s="54" t="s">
        <v>10505</v>
      </c>
      <c r="O202" s="55" t="str">
        <f t="shared" si="9"/>
        <v>L02.02.05.06.00.00.06</v>
      </c>
    </row>
    <row r="203" ht="15.75" customHeight="1">
      <c r="A203" s="65" t="s">
        <v>10510</v>
      </c>
      <c r="B203" s="66"/>
      <c r="C203" s="66"/>
      <c r="D203" s="66"/>
      <c r="E203" s="67"/>
      <c r="F203" s="66"/>
      <c r="G203" s="66"/>
      <c r="H203" s="68"/>
      <c r="I203" s="66"/>
      <c r="J203" s="69"/>
      <c r="K203" s="66"/>
      <c r="L203" s="68"/>
      <c r="M203" s="66"/>
      <c r="N203" s="68"/>
      <c r="O203" s="69"/>
    </row>
    <row r="204" ht="15.75" customHeight="1">
      <c r="A204" s="51" t="s">
        <v>76</v>
      </c>
      <c r="B204" s="57" t="s">
        <v>77</v>
      </c>
      <c r="C204" s="51" t="s">
        <v>33</v>
      </c>
      <c r="D204" s="52" t="s">
        <v>89</v>
      </c>
      <c r="E204" s="53" t="s">
        <v>44</v>
      </c>
      <c r="F204" s="52" t="s">
        <v>176</v>
      </c>
      <c r="G204" s="62" t="s">
        <v>29</v>
      </c>
      <c r="H204" s="54" t="s">
        <v>177</v>
      </c>
      <c r="I204" s="53" t="s">
        <v>27</v>
      </c>
      <c r="J204" s="52" t="s">
        <v>4</v>
      </c>
      <c r="K204" s="53" t="s">
        <v>27</v>
      </c>
      <c r="L204" s="52" t="s">
        <v>4</v>
      </c>
      <c r="M204" s="62" t="s">
        <v>46</v>
      </c>
      <c r="N204" s="54" t="s">
        <v>10496</v>
      </c>
      <c r="O204" s="55" t="str">
        <f t="shared" ref="O204:O207" si="10">A204&amp;"."&amp;C204&amp;"."&amp;E204&amp;"."&amp;G204&amp;"."&amp;I204&amp;"."&amp;K204&amp;"."&amp;M204</f>
        <v>L02.02.06.01.00.00.07</v>
      </c>
    </row>
    <row r="205" ht="15.75" customHeight="1">
      <c r="A205" s="51" t="s">
        <v>76</v>
      </c>
      <c r="B205" s="57" t="s">
        <v>77</v>
      </c>
      <c r="C205" s="51" t="s">
        <v>33</v>
      </c>
      <c r="D205" s="52" t="s">
        <v>89</v>
      </c>
      <c r="E205" s="53" t="s">
        <v>44</v>
      </c>
      <c r="F205" s="52" t="s">
        <v>176</v>
      </c>
      <c r="G205" s="62" t="s">
        <v>33</v>
      </c>
      <c r="H205" s="54" t="s">
        <v>178</v>
      </c>
      <c r="I205" s="53" t="s">
        <v>27</v>
      </c>
      <c r="J205" s="52" t="s">
        <v>4</v>
      </c>
      <c r="K205" s="53" t="s">
        <v>27</v>
      </c>
      <c r="L205" s="52" t="s">
        <v>4</v>
      </c>
      <c r="M205" s="62" t="s">
        <v>46</v>
      </c>
      <c r="N205" s="54" t="s">
        <v>10496</v>
      </c>
      <c r="O205" s="55" t="str">
        <f t="shared" si="10"/>
        <v>L02.02.06.02.00.00.07</v>
      </c>
    </row>
    <row r="206" ht="15.75" customHeight="1">
      <c r="A206" s="51" t="s">
        <v>76</v>
      </c>
      <c r="B206" s="57" t="s">
        <v>77</v>
      </c>
      <c r="C206" s="51" t="s">
        <v>33</v>
      </c>
      <c r="D206" s="52" t="s">
        <v>89</v>
      </c>
      <c r="E206" s="53" t="s">
        <v>44</v>
      </c>
      <c r="F206" s="52" t="s">
        <v>176</v>
      </c>
      <c r="G206" s="62" t="s">
        <v>33</v>
      </c>
      <c r="H206" s="54" t="s">
        <v>178</v>
      </c>
      <c r="I206" s="53" t="s">
        <v>27</v>
      </c>
      <c r="J206" s="52" t="s">
        <v>4</v>
      </c>
      <c r="K206" s="53" t="s">
        <v>27</v>
      </c>
      <c r="L206" s="52" t="s">
        <v>4</v>
      </c>
      <c r="M206" s="62" t="s">
        <v>33</v>
      </c>
      <c r="N206" s="54" t="s">
        <v>10499</v>
      </c>
      <c r="O206" s="55" t="str">
        <f t="shared" si="10"/>
        <v>L02.02.06.02.00.00.02</v>
      </c>
    </row>
    <row r="207" ht="15.75" customHeight="1">
      <c r="A207" s="51" t="s">
        <v>76</v>
      </c>
      <c r="B207" s="57" t="s">
        <v>77</v>
      </c>
      <c r="C207" s="51" t="s">
        <v>33</v>
      </c>
      <c r="D207" s="52" t="s">
        <v>89</v>
      </c>
      <c r="E207" s="53" t="s">
        <v>44</v>
      </c>
      <c r="F207" s="52" t="s">
        <v>176</v>
      </c>
      <c r="G207" s="62" t="s">
        <v>35</v>
      </c>
      <c r="H207" s="54" t="s">
        <v>175</v>
      </c>
      <c r="I207" s="53" t="s">
        <v>27</v>
      </c>
      <c r="J207" s="52" t="s">
        <v>4</v>
      </c>
      <c r="K207" s="53" t="s">
        <v>27</v>
      </c>
      <c r="L207" s="52" t="s">
        <v>4</v>
      </c>
      <c r="M207" s="62" t="s">
        <v>46</v>
      </c>
      <c r="N207" s="54" t="s">
        <v>10496</v>
      </c>
      <c r="O207" s="55" t="str">
        <f t="shared" si="10"/>
        <v>L02.02.06.03.00.00.07</v>
      </c>
    </row>
    <row r="208" ht="15.75" customHeight="1">
      <c r="A208" s="50" t="s">
        <v>10511</v>
      </c>
      <c r="B208" s="47"/>
      <c r="C208" s="47"/>
      <c r="D208" s="47"/>
      <c r="E208" s="47"/>
      <c r="F208" s="47"/>
      <c r="G208" s="48"/>
      <c r="H208" s="49"/>
      <c r="I208" s="48"/>
      <c r="J208" s="48"/>
      <c r="K208" s="48"/>
      <c r="L208" s="48"/>
      <c r="M208" s="48"/>
      <c r="N208" s="49"/>
      <c r="O208" s="48"/>
    </row>
    <row r="209" ht="15.75" customHeight="1">
      <c r="A209" s="51" t="s">
        <v>76</v>
      </c>
      <c r="B209" s="57" t="s">
        <v>77</v>
      </c>
      <c r="C209" s="52" t="s">
        <v>35</v>
      </c>
      <c r="D209" s="52" t="s">
        <v>179</v>
      </c>
      <c r="E209" s="53" t="s">
        <v>27</v>
      </c>
      <c r="F209" s="52" t="s">
        <v>4</v>
      </c>
      <c r="G209" s="62" t="s">
        <v>29</v>
      </c>
      <c r="H209" s="54" t="s">
        <v>180</v>
      </c>
      <c r="I209" s="53" t="s">
        <v>27</v>
      </c>
      <c r="J209" s="52" t="s">
        <v>4</v>
      </c>
      <c r="K209" s="53" t="s">
        <v>27</v>
      </c>
      <c r="L209" s="52" t="s">
        <v>4</v>
      </c>
      <c r="M209" s="62" t="s">
        <v>33</v>
      </c>
      <c r="N209" s="54" t="s">
        <v>10499</v>
      </c>
      <c r="O209" s="55" t="str">
        <f t="shared" ref="O209:O212" si="11">A209&amp;"."&amp;C209&amp;"."&amp;E209&amp;"."&amp;G209&amp;"."&amp;I209&amp;"."&amp;K209&amp;"."&amp;M209</f>
        <v>L02.03.00.01.00.00.02</v>
      </c>
    </row>
    <row r="210" ht="15.75" customHeight="1">
      <c r="A210" s="51" t="s">
        <v>76</v>
      </c>
      <c r="B210" s="57" t="s">
        <v>77</v>
      </c>
      <c r="C210" s="52" t="s">
        <v>35</v>
      </c>
      <c r="D210" s="52" t="s">
        <v>179</v>
      </c>
      <c r="E210" s="53" t="s">
        <v>27</v>
      </c>
      <c r="F210" s="52" t="s">
        <v>4</v>
      </c>
      <c r="G210" s="62" t="s">
        <v>33</v>
      </c>
      <c r="H210" s="60" t="s">
        <v>181</v>
      </c>
      <c r="I210" s="53" t="s">
        <v>27</v>
      </c>
      <c r="J210" s="52" t="s">
        <v>4</v>
      </c>
      <c r="K210" s="53" t="s">
        <v>27</v>
      </c>
      <c r="L210" s="52" t="s">
        <v>4</v>
      </c>
      <c r="M210" s="62" t="s">
        <v>33</v>
      </c>
      <c r="N210" s="54" t="s">
        <v>10499</v>
      </c>
      <c r="O210" s="55" t="str">
        <f t="shared" si="11"/>
        <v>L02.03.00.02.00.00.02</v>
      </c>
    </row>
    <row r="211" ht="15.75" customHeight="1">
      <c r="A211" s="51" t="s">
        <v>76</v>
      </c>
      <c r="B211" s="57" t="s">
        <v>77</v>
      </c>
      <c r="C211" s="52" t="s">
        <v>35</v>
      </c>
      <c r="D211" s="52" t="s">
        <v>179</v>
      </c>
      <c r="E211" s="53" t="s">
        <v>27</v>
      </c>
      <c r="F211" s="52" t="s">
        <v>4</v>
      </c>
      <c r="G211" s="62" t="s">
        <v>35</v>
      </c>
      <c r="H211" s="60" t="s">
        <v>182</v>
      </c>
      <c r="I211" s="53" t="s">
        <v>27</v>
      </c>
      <c r="J211" s="52" t="s">
        <v>4</v>
      </c>
      <c r="K211" s="53" t="s">
        <v>27</v>
      </c>
      <c r="L211" s="52" t="s">
        <v>4</v>
      </c>
      <c r="M211" s="62" t="s">
        <v>33</v>
      </c>
      <c r="N211" s="54" t="s">
        <v>10499</v>
      </c>
      <c r="O211" s="55" t="str">
        <f t="shared" si="11"/>
        <v>L02.03.00.03.00.00.02</v>
      </c>
    </row>
    <row r="212" ht="15.75" customHeight="1">
      <c r="A212" s="51" t="s">
        <v>76</v>
      </c>
      <c r="B212" s="57" t="s">
        <v>77</v>
      </c>
      <c r="C212" s="52" t="s">
        <v>35</v>
      </c>
      <c r="D212" s="52" t="s">
        <v>179</v>
      </c>
      <c r="E212" s="53" t="s">
        <v>27</v>
      </c>
      <c r="F212" s="52" t="s">
        <v>4</v>
      </c>
      <c r="G212" s="62" t="s">
        <v>37</v>
      </c>
      <c r="H212" s="60" t="s">
        <v>183</v>
      </c>
      <c r="I212" s="53" t="s">
        <v>27</v>
      </c>
      <c r="J212" s="52" t="s">
        <v>4</v>
      </c>
      <c r="K212" s="53" t="s">
        <v>27</v>
      </c>
      <c r="L212" s="52" t="s">
        <v>4</v>
      </c>
      <c r="M212" s="62" t="s">
        <v>33</v>
      </c>
      <c r="N212" s="54" t="s">
        <v>10499</v>
      </c>
      <c r="O212" s="55" t="str">
        <f t="shared" si="11"/>
        <v>L02.03.00.04.00.00.02</v>
      </c>
    </row>
    <row r="213" ht="15.75" customHeight="1">
      <c r="A213" s="50" t="s">
        <v>10512</v>
      </c>
      <c r="B213" s="47"/>
      <c r="C213" s="47"/>
      <c r="D213" s="47"/>
      <c r="E213" s="47"/>
      <c r="F213" s="47"/>
      <c r="G213" s="48"/>
      <c r="H213" s="49"/>
      <c r="I213" s="48"/>
      <c r="J213" s="48"/>
      <c r="K213" s="48"/>
      <c r="L213" s="48"/>
      <c r="M213" s="48"/>
      <c r="N213" s="49"/>
      <c r="O213" s="48"/>
    </row>
    <row r="214" ht="15.75" customHeight="1">
      <c r="A214" s="51" t="s">
        <v>76</v>
      </c>
      <c r="B214" s="57" t="s">
        <v>77</v>
      </c>
      <c r="C214" s="52" t="s">
        <v>37</v>
      </c>
      <c r="D214" s="52" t="s">
        <v>184</v>
      </c>
      <c r="E214" s="53" t="s">
        <v>27</v>
      </c>
      <c r="F214" s="52" t="s">
        <v>4</v>
      </c>
      <c r="G214" s="62" t="s">
        <v>29</v>
      </c>
      <c r="H214" s="54" t="s">
        <v>185</v>
      </c>
      <c r="I214" s="53" t="s">
        <v>27</v>
      </c>
      <c r="J214" s="52" t="s">
        <v>4</v>
      </c>
      <c r="K214" s="53" t="s">
        <v>27</v>
      </c>
      <c r="L214" s="52" t="s">
        <v>4</v>
      </c>
      <c r="M214" s="62" t="s">
        <v>46</v>
      </c>
      <c r="N214" s="54" t="s">
        <v>10496</v>
      </c>
      <c r="O214" s="55" t="str">
        <f t="shared" ref="O214:O215" si="12">A214&amp;"."&amp;C214&amp;"."&amp;E214&amp;"."&amp;G214&amp;"."&amp;I214&amp;"."&amp;K214&amp;"."&amp;M214</f>
        <v>L02.04.00.01.00.00.07</v>
      </c>
    </row>
    <row r="215" ht="15.75" customHeight="1">
      <c r="A215" s="51" t="s">
        <v>76</v>
      </c>
      <c r="B215" s="57" t="s">
        <v>77</v>
      </c>
      <c r="C215" s="52" t="s">
        <v>37</v>
      </c>
      <c r="D215" s="52" t="s">
        <v>184</v>
      </c>
      <c r="E215" s="53" t="s">
        <v>27</v>
      </c>
      <c r="F215" s="52" t="s">
        <v>4</v>
      </c>
      <c r="G215" s="62" t="s">
        <v>33</v>
      </c>
      <c r="H215" s="60" t="s">
        <v>186</v>
      </c>
      <c r="I215" s="53" t="s">
        <v>27</v>
      </c>
      <c r="J215" s="52" t="s">
        <v>4</v>
      </c>
      <c r="K215" s="53" t="s">
        <v>27</v>
      </c>
      <c r="L215" s="52" t="s">
        <v>4</v>
      </c>
      <c r="M215" s="62" t="s">
        <v>46</v>
      </c>
      <c r="N215" s="54" t="s">
        <v>10496</v>
      </c>
      <c r="O215" s="55" t="str">
        <f t="shared" si="12"/>
        <v>L02.04.00.02.00.00.07</v>
      </c>
    </row>
    <row r="216" ht="15.75" customHeight="1">
      <c r="A216" s="50" t="s">
        <v>10513</v>
      </c>
      <c r="B216" s="47"/>
      <c r="C216" s="47"/>
      <c r="D216" s="47"/>
      <c r="E216" s="47"/>
      <c r="F216" s="47"/>
      <c r="G216" s="48"/>
      <c r="H216" s="49"/>
      <c r="I216" s="48"/>
      <c r="J216" s="48"/>
      <c r="K216" s="48"/>
      <c r="L216" s="48"/>
      <c r="M216" s="48"/>
      <c r="N216" s="49"/>
      <c r="O216" s="48"/>
    </row>
    <row r="217" ht="15.75" customHeight="1">
      <c r="A217" s="51" t="s">
        <v>188</v>
      </c>
      <c r="B217" s="57" t="s">
        <v>189</v>
      </c>
      <c r="C217" s="51" t="s">
        <v>27</v>
      </c>
      <c r="D217" s="52" t="s">
        <v>4</v>
      </c>
      <c r="E217" s="53" t="s">
        <v>27</v>
      </c>
      <c r="F217" s="52" t="s">
        <v>4</v>
      </c>
      <c r="G217" s="62" t="s">
        <v>29</v>
      </c>
      <c r="H217" s="76" t="s">
        <v>190</v>
      </c>
      <c r="I217" s="53" t="s">
        <v>27</v>
      </c>
      <c r="J217" s="52" t="s">
        <v>4</v>
      </c>
      <c r="K217" s="53" t="s">
        <v>27</v>
      </c>
      <c r="L217" s="52" t="s">
        <v>4</v>
      </c>
      <c r="M217" s="62" t="s">
        <v>49</v>
      </c>
      <c r="N217" s="54" t="s">
        <v>10514</v>
      </c>
      <c r="O217" s="55" t="str">
        <f t="shared" ref="O217:O241" si="13">A217&amp;"."&amp;C217&amp;"."&amp;E217&amp;"."&amp;G217&amp;"."&amp;I217&amp;"."&amp;K217&amp;"."&amp;M217</f>
        <v>L03.00.00.01.00.00.08</v>
      </c>
    </row>
    <row r="218" ht="15.75" customHeight="1">
      <c r="A218" s="51" t="s">
        <v>188</v>
      </c>
      <c r="B218" s="57" t="s">
        <v>189</v>
      </c>
      <c r="C218" s="51" t="s">
        <v>27</v>
      </c>
      <c r="D218" s="52" t="s">
        <v>4</v>
      </c>
      <c r="E218" s="53" t="s">
        <v>27</v>
      </c>
      <c r="F218" s="52" t="s">
        <v>4</v>
      </c>
      <c r="G218" s="62" t="s">
        <v>33</v>
      </c>
      <c r="H218" s="76" t="s">
        <v>34</v>
      </c>
      <c r="I218" s="53" t="s">
        <v>27</v>
      </c>
      <c r="J218" s="52" t="s">
        <v>4</v>
      </c>
      <c r="K218" s="53" t="s">
        <v>27</v>
      </c>
      <c r="L218" s="52" t="s">
        <v>4</v>
      </c>
      <c r="M218" s="62" t="s">
        <v>49</v>
      </c>
      <c r="N218" s="54" t="s">
        <v>10514</v>
      </c>
      <c r="O218" s="55" t="str">
        <f t="shared" si="13"/>
        <v>L03.00.00.02.00.00.08</v>
      </c>
    </row>
    <row r="219" ht="15.75" customHeight="1">
      <c r="A219" s="51" t="s">
        <v>188</v>
      </c>
      <c r="B219" s="57" t="s">
        <v>189</v>
      </c>
      <c r="C219" s="51" t="s">
        <v>27</v>
      </c>
      <c r="D219" s="52" t="s">
        <v>4</v>
      </c>
      <c r="E219" s="53" t="s">
        <v>27</v>
      </c>
      <c r="F219" s="52" t="s">
        <v>4</v>
      </c>
      <c r="G219" s="62" t="s">
        <v>33</v>
      </c>
      <c r="H219" s="76" t="s">
        <v>34</v>
      </c>
      <c r="I219" s="53" t="s">
        <v>27</v>
      </c>
      <c r="J219" s="52" t="s">
        <v>4</v>
      </c>
      <c r="K219" s="53" t="s">
        <v>27</v>
      </c>
      <c r="L219" s="52" t="s">
        <v>4</v>
      </c>
      <c r="M219" s="62" t="s">
        <v>51</v>
      </c>
      <c r="N219" s="54" t="s">
        <v>10515</v>
      </c>
      <c r="O219" s="55" t="str">
        <f t="shared" si="13"/>
        <v>L03.00.00.02.00.00.09</v>
      </c>
    </row>
    <row r="220" ht="15.75" customHeight="1">
      <c r="A220" s="51" t="s">
        <v>188</v>
      </c>
      <c r="B220" s="57" t="s">
        <v>189</v>
      </c>
      <c r="C220" s="51" t="s">
        <v>27</v>
      </c>
      <c r="D220" s="52" t="s">
        <v>4</v>
      </c>
      <c r="E220" s="53" t="s">
        <v>27</v>
      </c>
      <c r="F220" s="52" t="s">
        <v>4</v>
      </c>
      <c r="G220" s="62" t="s">
        <v>35</v>
      </c>
      <c r="H220" s="76" t="s">
        <v>191</v>
      </c>
      <c r="I220" s="53" t="s">
        <v>27</v>
      </c>
      <c r="J220" s="52" t="s">
        <v>4</v>
      </c>
      <c r="K220" s="53" t="s">
        <v>27</v>
      </c>
      <c r="L220" s="52" t="s">
        <v>4</v>
      </c>
      <c r="M220" s="62" t="s">
        <v>49</v>
      </c>
      <c r="N220" s="54" t="s">
        <v>10514</v>
      </c>
      <c r="O220" s="55" t="str">
        <f t="shared" si="13"/>
        <v>L03.00.00.03.00.00.08</v>
      </c>
    </row>
    <row r="221" ht="15.75" customHeight="1">
      <c r="A221" s="51" t="s">
        <v>188</v>
      </c>
      <c r="B221" s="57" t="s">
        <v>189</v>
      </c>
      <c r="C221" s="51" t="s">
        <v>27</v>
      </c>
      <c r="D221" s="52" t="s">
        <v>4</v>
      </c>
      <c r="E221" s="53" t="s">
        <v>27</v>
      </c>
      <c r="F221" s="52" t="s">
        <v>4</v>
      </c>
      <c r="G221" s="62" t="s">
        <v>37</v>
      </c>
      <c r="H221" s="76" t="s">
        <v>192</v>
      </c>
      <c r="I221" s="62" t="s">
        <v>29</v>
      </c>
      <c r="J221" s="76" t="s">
        <v>193</v>
      </c>
      <c r="K221" s="53" t="s">
        <v>27</v>
      </c>
      <c r="L221" s="52" t="s">
        <v>4</v>
      </c>
      <c r="M221" s="62" t="s">
        <v>49</v>
      </c>
      <c r="N221" s="54" t="s">
        <v>10514</v>
      </c>
      <c r="O221" s="55" t="str">
        <f t="shared" si="13"/>
        <v>L03.00.00.04.01.00.08</v>
      </c>
    </row>
    <row r="222" ht="15.75" customHeight="1">
      <c r="A222" s="51" t="s">
        <v>188</v>
      </c>
      <c r="B222" s="57" t="s">
        <v>189</v>
      </c>
      <c r="C222" s="51" t="s">
        <v>27</v>
      </c>
      <c r="D222" s="52" t="s">
        <v>4</v>
      </c>
      <c r="E222" s="53" t="s">
        <v>27</v>
      </c>
      <c r="F222" s="52" t="s">
        <v>4</v>
      </c>
      <c r="G222" s="62" t="s">
        <v>37</v>
      </c>
      <c r="H222" s="76" t="s">
        <v>192</v>
      </c>
      <c r="I222" s="62" t="s">
        <v>33</v>
      </c>
      <c r="J222" s="77" t="s">
        <v>194</v>
      </c>
      <c r="K222" s="53" t="s">
        <v>27</v>
      </c>
      <c r="L222" s="52" t="s">
        <v>4</v>
      </c>
      <c r="M222" s="62" t="s">
        <v>49</v>
      </c>
      <c r="N222" s="54" t="s">
        <v>10514</v>
      </c>
      <c r="O222" s="55" t="str">
        <f t="shared" si="13"/>
        <v>L03.00.00.04.02.00.08</v>
      </c>
    </row>
    <row r="223" ht="15.75" customHeight="1">
      <c r="A223" s="51" t="s">
        <v>188</v>
      </c>
      <c r="B223" s="57" t="s">
        <v>189</v>
      </c>
      <c r="C223" s="51" t="s">
        <v>27</v>
      </c>
      <c r="D223" s="52" t="s">
        <v>4</v>
      </c>
      <c r="E223" s="53" t="s">
        <v>27</v>
      </c>
      <c r="F223" s="52" t="s">
        <v>4</v>
      </c>
      <c r="G223" s="62" t="s">
        <v>37</v>
      </c>
      <c r="H223" s="76" t="s">
        <v>192</v>
      </c>
      <c r="I223" s="62" t="s">
        <v>35</v>
      </c>
      <c r="J223" s="77" t="s">
        <v>195</v>
      </c>
      <c r="K223" s="53" t="s">
        <v>27</v>
      </c>
      <c r="L223" s="52" t="s">
        <v>4</v>
      </c>
      <c r="M223" s="62" t="s">
        <v>49</v>
      </c>
      <c r="N223" s="54" t="s">
        <v>10514</v>
      </c>
      <c r="O223" s="55" t="str">
        <f t="shared" si="13"/>
        <v>L03.00.00.04.03.00.08</v>
      </c>
    </row>
    <row r="224" ht="15.75" customHeight="1">
      <c r="A224" s="51" t="s">
        <v>188</v>
      </c>
      <c r="B224" s="57" t="s">
        <v>189</v>
      </c>
      <c r="C224" s="51" t="s">
        <v>27</v>
      </c>
      <c r="D224" s="52" t="s">
        <v>4</v>
      </c>
      <c r="E224" s="53" t="s">
        <v>27</v>
      </c>
      <c r="F224" s="52" t="s">
        <v>4</v>
      </c>
      <c r="G224" s="62" t="s">
        <v>42</v>
      </c>
      <c r="H224" s="76" t="s">
        <v>196</v>
      </c>
      <c r="I224" s="53" t="s">
        <v>27</v>
      </c>
      <c r="J224" s="52" t="s">
        <v>4</v>
      </c>
      <c r="K224" s="53" t="s">
        <v>27</v>
      </c>
      <c r="L224" s="52" t="s">
        <v>4</v>
      </c>
      <c r="M224" s="62" t="s">
        <v>49</v>
      </c>
      <c r="N224" s="54" t="s">
        <v>10514</v>
      </c>
      <c r="O224" s="55" t="str">
        <f t="shared" si="13"/>
        <v>L03.00.00.05.00.00.08</v>
      </c>
    </row>
    <row r="225" ht="15.75" customHeight="1">
      <c r="A225" s="51" t="s">
        <v>188</v>
      </c>
      <c r="B225" s="57" t="s">
        <v>189</v>
      </c>
      <c r="C225" s="51" t="s">
        <v>27</v>
      </c>
      <c r="D225" s="52" t="s">
        <v>4</v>
      </c>
      <c r="E225" s="53" t="s">
        <v>27</v>
      </c>
      <c r="F225" s="52" t="s">
        <v>4</v>
      </c>
      <c r="G225" s="62" t="s">
        <v>44</v>
      </c>
      <c r="H225" s="76" t="s">
        <v>197</v>
      </c>
      <c r="I225" s="62" t="s">
        <v>29</v>
      </c>
      <c r="J225" s="76" t="s">
        <v>198</v>
      </c>
      <c r="K225" s="53" t="s">
        <v>27</v>
      </c>
      <c r="L225" s="52" t="s">
        <v>4</v>
      </c>
      <c r="M225" s="62" t="s">
        <v>49</v>
      </c>
      <c r="N225" s="54" t="s">
        <v>10514</v>
      </c>
      <c r="O225" s="55" t="str">
        <f t="shared" si="13"/>
        <v>L03.00.00.06.01.00.08</v>
      </c>
    </row>
    <row r="226" ht="15.75" customHeight="1">
      <c r="A226" s="51" t="s">
        <v>188</v>
      </c>
      <c r="B226" s="57" t="s">
        <v>189</v>
      </c>
      <c r="C226" s="51" t="s">
        <v>27</v>
      </c>
      <c r="D226" s="52" t="s">
        <v>4</v>
      </c>
      <c r="E226" s="53" t="s">
        <v>27</v>
      </c>
      <c r="F226" s="52" t="s">
        <v>4</v>
      </c>
      <c r="G226" s="62" t="s">
        <v>44</v>
      </c>
      <c r="H226" s="76" t="s">
        <v>197</v>
      </c>
      <c r="I226" s="62" t="s">
        <v>33</v>
      </c>
      <c r="J226" s="76" t="s">
        <v>199</v>
      </c>
      <c r="K226" s="53" t="s">
        <v>27</v>
      </c>
      <c r="L226" s="52" t="s">
        <v>4</v>
      </c>
      <c r="M226" s="62" t="s">
        <v>49</v>
      </c>
      <c r="N226" s="54" t="s">
        <v>10514</v>
      </c>
      <c r="O226" s="55" t="str">
        <f t="shared" si="13"/>
        <v>L03.00.00.06.02.00.08</v>
      </c>
    </row>
    <row r="227" ht="15.75" customHeight="1">
      <c r="A227" s="51" t="s">
        <v>188</v>
      </c>
      <c r="B227" s="57" t="s">
        <v>189</v>
      </c>
      <c r="C227" s="51" t="s">
        <v>27</v>
      </c>
      <c r="D227" s="52" t="s">
        <v>4</v>
      </c>
      <c r="E227" s="53" t="s">
        <v>27</v>
      </c>
      <c r="F227" s="52" t="s">
        <v>4</v>
      </c>
      <c r="G227" s="62" t="s">
        <v>46</v>
      </c>
      <c r="H227" s="76" t="s">
        <v>200</v>
      </c>
      <c r="I227" s="53" t="s">
        <v>27</v>
      </c>
      <c r="J227" s="52" t="s">
        <v>4</v>
      </c>
      <c r="K227" s="53" t="s">
        <v>27</v>
      </c>
      <c r="L227" s="52" t="s">
        <v>4</v>
      </c>
      <c r="M227" s="62" t="s">
        <v>49</v>
      </c>
      <c r="N227" s="54" t="s">
        <v>10514</v>
      </c>
      <c r="O227" s="55" t="str">
        <f t="shared" si="13"/>
        <v>L03.00.00.07.00.00.08</v>
      </c>
    </row>
    <row r="228" ht="15.75" customHeight="1">
      <c r="A228" s="51" t="s">
        <v>188</v>
      </c>
      <c r="B228" s="57" t="s">
        <v>189</v>
      </c>
      <c r="C228" s="51" t="s">
        <v>27</v>
      </c>
      <c r="D228" s="52" t="s">
        <v>4</v>
      </c>
      <c r="E228" s="53" t="s">
        <v>27</v>
      </c>
      <c r="F228" s="52" t="s">
        <v>4</v>
      </c>
      <c r="G228" s="62" t="s">
        <v>49</v>
      </c>
      <c r="H228" s="76" t="s">
        <v>201</v>
      </c>
      <c r="I228" s="62" t="s">
        <v>29</v>
      </c>
      <c r="J228" s="76" t="s">
        <v>202</v>
      </c>
      <c r="K228" s="53" t="s">
        <v>27</v>
      </c>
      <c r="L228" s="52" t="s">
        <v>4</v>
      </c>
      <c r="M228" s="62" t="s">
        <v>49</v>
      </c>
      <c r="N228" s="54" t="s">
        <v>10514</v>
      </c>
      <c r="O228" s="55" t="str">
        <f t="shared" si="13"/>
        <v>L03.00.00.08.01.00.08</v>
      </c>
    </row>
    <row r="229" ht="15.75" customHeight="1">
      <c r="A229" s="51" t="s">
        <v>188</v>
      </c>
      <c r="B229" s="57" t="s">
        <v>189</v>
      </c>
      <c r="C229" s="51" t="s">
        <v>27</v>
      </c>
      <c r="D229" s="52" t="s">
        <v>4</v>
      </c>
      <c r="E229" s="53" t="s">
        <v>27</v>
      </c>
      <c r="F229" s="52" t="s">
        <v>4</v>
      </c>
      <c r="G229" s="62" t="s">
        <v>49</v>
      </c>
      <c r="H229" s="76" t="s">
        <v>201</v>
      </c>
      <c r="I229" s="62" t="s">
        <v>33</v>
      </c>
      <c r="J229" s="76" t="s">
        <v>203</v>
      </c>
      <c r="K229" s="53" t="s">
        <v>27</v>
      </c>
      <c r="L229" s="52" t="s">
        <v>4</v>
      </c>
      <c r="M229" s="62" t="s">
        <v>49</v>
      </c>
      <c r="N229" s="54" t="s">
        <v>10514</v>
      </c>
      <c r="O229" s="55" t="str">
        <f t="shared" si="13"/>
        <v>L03.00.00.08.02.00.08</v>
      </c>
    </row>
    <row r="230" ht="15.75" customHeight="1">
      <c r="A230" s="51" t="s">
        <v>188</v>
      </c>
      <c r="B230" s="57" t="s">
        <v>189</v>
      </c>
      <c r="C230" s="51" t="s">
        <v>27</v>
      </c>
      <c r="D230" s="52" t="s">
        <v>4</v>
      </c>
      <c r="E230" s="53" t="s">
        <v>27</v>
      </c>
      <c r="F230" s="52" t="s">
        <v>4</v>
      </c>
      <c r="G230" s="62" t="s">
        <v>51</v>
      </c>
      <c r="H230" s="76" t="s">
        <v>204</v>
      </c>
      <c r="I230" s="53" t="s">
        <v>27</v>
      </c>
      <c r="J230" s="52" t="s">
        <v>4</v>
      </c>
      <c r="K230" s="53" t="s">
        <v>27</v>
      </c>
      <c r="L230" s="52" t="s">
        <v>4</v>
      </c>
      <c r="M230" s="62" t="s">
        <v>49</v>
      </c>
      <c r="N230" s="54" t="s">
        <v>10514</v>
      </c>
      <c r="O230" s="55" t="str">
        <f t="shared" si="13"/>
        <v>L03.00.00.09.00.00.08</v>
      </c>
    </row>
    <row r="231" ht="15.75" customHeight="1">
      <c r="A231" s="51" t="s">
        <v>188</v>
      </c>
      <c r="B231" s="57" t="s">
        <v>189</v>
      </c>
      <c r="C231" s="51" t="s">
        <v>27</v>
      </c>
      <c r="D231" s="52" t="s">
        <v>4</v>
      </c>
      <c r="E231" s="53" t="s">
        <v>27</v>
      </c>
      <c r="F231" s="52" t="s">
        <v>4</v>
      </c>
      <c r="G231" s="62" t="s">
        <v>35</v>
      </c>
      <c r="H231" s="76" t="s">
        <v>191</v>
      </c>
      <c r="I231" s="53" t="s">
        <v>27</v>
      </c>
      <c r="J231" s="52" t="s">
        <v>4</v>
      </c>
      <c r="K231" s="53" t="s">
        <v>27</v>
      </c>
      <c r="L231" s="52" t="s">
        <v>4</v>
      </c>
      <c r="M231" s="62" t="s">
        <v>51</v>
      </c>
      <c r="N231" s="54" t="s">
        <v>10515</v>
      </c>
      <c r="O231" s="55" t="str">
        <f t="shared" si="13"/>
        <v>L03.00.00.03.00.00.09</v>
      </c>
    </row>
    <row r="232" ht="15.75" customHeight="1">
      <c r="A232" s="51" t="s">
        <v>188</v>
      </c>
      <c r="B232" s="57" t="s">
        <v>189</v>
      </c>
      <c r="C232" s="51" t="s">
        <v>27</v>
      </c>
      <c r="D232" s="52" t="s">
        <v>4</v>
      </c>
      <c r="E232" s="53" t="s">
        <v>27</v>
      </c>
      <c r="F232" s="52" t="s">
        <v>4</v>
      </c>
      <c r="G232" s="62" t="s">
        <v>37</v>
      </c>
      <c r="H232" s="76" t="s">
        <v>192</v>
      </c>
      <c r="I232" s="62" t="s">
        <v>29</v>
      </c>
      <c r="J232" s="76" t="s">
        <v>193</v>
      </c>
      <c r="K232" s="53" t="s">
        <v>27</v>
      </c>
      <c r="L232" s="52" t="s">
        <v>4</v>
      </c>
      <c r="M232" s="62" t="s">
        <v>51</v>
      </c>
      <c r="N232" s="54" t="s">
        <v>10515</v>
      </c>
      <c r="O232" s="55" t="str">
        <f t="shared" si="13"/>
        <v>L03.00.00.04.01.00.09</v>
      </c>
    </row>
    <row r="233" ht="15.75" customHeight="1">
      <c r="A233" s="51" t="s">
        <v>188</v>
      </c>
      <c r="B233" s="57" t="s">
        <v>189</v>
      </c>
      <c r="C233" s="51" t="s">
        <v>27</v>
      </c>
      <c r="D233" s="52" t="s">
        <v>4</v>
      </c>
      <c r="E233" s="53" t="s">
        <v>27</v>
      </c>
      <c r="F233" s="52" t="s">
        <v>4</v>
      </c>
      <c r="G233" s="62" t="s">
        <v>37</v>
      </c>
      <c r="H233" s="76" t="s">
        <v>192</v>
      </c>
      <c r="I233" s="62" t="s">
        <v>33</v>
      </c>
      <c r="J233" s="77" t="s">
        <v>194</v>
      </c>
      <c r="K233" s="53" t="s">
        <v>27</v>
      </c>
      <c r="L233" s="52" t="s">
        <v>4</v>
      </c>
      <c r="M233" s="62" t="s">
        <v>51</v>
      </c>
      <c r="N233" s="54" t="s">
        <v>10515</v>
      </c>
      <c r="O233" s="55" t="str">
        <f t="shared" si="13"/>
        <v>L03.00.00.04.02.00.09</v>
      </c>
    </row>
    <row r="234" ht="15.75" customHeight="1">
      <c r="A234" s="51" t="s">
        <v>188</v>
      </c>
      <c r="B234" s="57" t="s">
        <v>189</v>
      </c>
      <c r="C234" s="51" t="s">
        <v>27</v>
      </c>
      <c r="D234" s="52" t="s">
        <v>4</v>
      </c>
      <c r="E234" s="53" t="s">
        <v>27</v>
      </c>
      <c r="F234" s="52" t="s">
        <v>4</v>
      </c>
      <c r="G234" s="62" t="s">
        <v>37</v>
      </c>
      <c r="H234" s="76" t="s">
        <v>192</v>
      </c>
      <c r="I234" s="62" t="s">
        <v>35</v>
      </c>
      <c r="J234" s="77" t="s">
        <v>195</v>
      </c>
      <c r="K234" s="53" t="s">
        <v>27</v>
      </c>
      <c r="L234" s="52" t="s">
        <v>4</v>
      </c>
      <c r="M234" s="62" t="s">
        <v>51</v>
      </c>
      <c r="N234" s="54" t="s">
        <v>10515</v>
      </c>
      <c r="O234" s="55" t="str">
        <f t="shared" si="13"/>
        <v>L03.00.00.04.03.00.09</v>
      </c>
    </row>
    <row r="235" ht="15.75" customHeight="1">
      <c r="A235" s="51" t="s">
        <v>188</v>
      </c>
      <c r="B235" s="57" t="s">
        <v>189</v>
      </c>
      <c r="C235" s="51" t="s">
        <v>27</v>
      </c>
      <c r="D235" s="52" t="s">
        <v>4</v>
      </c>
      <c r="E235" s="53" t="s">
        <v>27</v>
      </c>
      <c r="F235" s="52" t="s">
        <v>4</v>
      </c>
      <c r="G235" s="62" t="s">
        <v>42</v>
      </c>
      <c r="H235" s="76" t="s">
        <v>196</v>
      </c>
      <c r="I235" s="53" t="s">
        <v>27</v>
      </c>
      <c r="J235" s="52" t="s">
        <v>4</v>
      </c>
      <c r="K235" s="53" t="s">
        <v>27</v>
      </c>
      <c r="L235" s="52" t="s">
        <v>4</v>
      </c>
      <c r="M235" s="62" t="s">
        <v>51</v>
      </c>
      <c r="N235" s="54" t="s">
        <v>10515</v>
      </c>
      <c r="O235" s="55" t="str">
        <f t="shared" si="13"/>
        <v>L03.00.00.05.00.00.09</v>
      </c>
    </row>
    <row r="236" ht="15.75" customHeight="1">
      <c r="A236" s="51" t="s">
        <v>188</v>
      </c>
      <c r="B236" s="57" t="s">
        <v>189</v>
      </c>
      <c r="C236" s="51" t="s">
        <v>27</v>
      </c>
      <c r="D236" s="52" t="s">
        <v>4</v>
      </c>
      <c r="E236" s="53" t="s">
        <v>27</v>
      </c>
      <c r="F236" s="52" t="s">
        <v>4</v>
      </c>
      <c r="G236" s="62" t="s">
        <v>44</v>
      </c>
      <c r="H236" s="76" t="s">
        <v>197</v>
      </c>
      <c r="I236" s="62" t="s">
        <v>29</v>
      </c>
      <c r="J236" s="76" t="s">
        <v>198</v>
      </c>
      <c r="K236" s="53" t="s">
        <v>27</v>
      </c>
      <c r="L236" s="52" t="s">
        <v>4</v>
      </c>
      <c r="M236" s="62" t="s">
        <v>51</v>
      </c>
      <c r="N236" s="54" t="s">
        <v>10515</v>
      </c>
      <c r="O236" s="55" t="str">
        <f t="shared" si="13"/>
        <v>L03.00.00.06.01.00.09</v>
      </c>
    </row>
    <row r="237" ht="15.75" customHeight="1">
      <c r="A237" s="51" t="s">
        <v>188</v>
      </c>
      <c r="B237" s="57" t="s">
        <v>189</v>
      </c>
      <c r="C237" s="51" t="s">
        <v>27</v>
      </c>
      <c r="D237" s="52" t="s">
        <v>4</v>
      </c>
      <c r="E237" s="53" t="s">
        <v>27</v>
      </c>
      <c r="F237" s="52" t="s">
        <v>4</v>
      </c>
      <c r="G237" s="62" t="s">
        <v>44</v>
      </c>
      <c r="H237" s="76" t="s">
        <v>197</v>
      </c>
      <c r="I237" s="62" t="s">
        <v>33</v>
      </c>
      <c r="J237" s="76" t="s">
        <v>199</v>
      </c>
      <c r="K237" s="53" t="s">
        <v>27</v>
      </c>
      <c r="L237" s="52" t="s">
        <v>4</v>
      </c>
      <c r="M237" s="62" t="s">
        <v>51</v>
      </c>
      <c r="N237" s="54" t="s">
        <v>10515</v>
      </c>
      <c r="O237" s="55" t="str">
        <f t="shared" si="13"/>
        <v>L03.00.00.06.02.00.09</v>
      </c>
    </row>
    <row r="238" ht="15.75" customHeight="1">
      <c r="A238" s="51" t="s">
        <v>188</v>
      </c>
      <c r="B238" s="57" t="s">
        <v>189</v>
      </c>
      <c r="C238" s="51" t="s">
        <v>27</v>
      </c>
      <c r="D238" s="52" t="s">
        <v>4</v>
      </c>
      <c r="E238" s="53" t="s">
        <v>27</v>
      </c>
      <c r="F238" s="52" t="s">
        <v>4</v>
      </c>
      <c r="G238" s="62" t="s">
        <v>46</v>
      </c>
      <c r="H238" s="76" t="s">
        <v>200</v>
      </c>
      <c r="I238" s="53" t="s">
        <v>27</v>
      </c>
      <c r="J238" s="52" t="s">
        <v>4</v>
      </c>
      <c r="K238" s="53" t="s">
        <v>27</v>
      </c>
      <c r="L238" s="52" t="s">
        <v>4</v>
      </c>
      <c r="M238" s="62" t="s">
        <v>51</v>
      </c>
      <c r="N238" s="54" t="s">
        <v>10515</v>
      </c>
      <c r="O238" s="55" t="str">
        <f t="shared" si="13"/>
        <v>L03.00.00.07.00.00.09</v>
      </c>
    </row>
    <row r="239" ht="15.75" customHeight="1">
      <c r="A239" s="51" t="s">
        <v>188</v>
      </c>
      <c r="B239" s="57" t="s">
        <v>189</v>
      </c>
      <c r="C239" s="51" t="s">
        <v>27</v>
      </c>
      <c r="D239" s="52" t="s">
        <v>4</v>
      </c>
      <c r="E239" s="53" t="s">
        <v>27</v>
      </c>
      <c r="F239" s="52" t="s">
        <v>4</v>
      </c>
      <c r="G239" s="62" t="s">
        <v>49</v>
      </c>
      <c r="H239" s="76" t="s">
        <v>201</v>
      </c>
      <c r="I239" s="62" t="s">
        <v>29</v>
      </c>
      <c r="J239" s="76" t="s">
        <v>202</v>
      </c>
      <c r="K239" s="53" t="s">
        <v>27</v>
      </c>
      <c r="L239" s="52" t="s">
        <v>4</v>
      </c>
      <c r="M239" s="62" t="s">
        <v>51</v>
      </c>
      <c r="N239" s="54" t="s">
        <v>10515</v>
      </c>
      <c r="O239" s="55" t="str">
        <f t="shared" si="13"/>
        <v>L03.00.00.08.01.00.09</v>
      </c>
    </row>
    <row r="240" ht="15.75" customHeight="1">
      <c r="A240" s="51" t="s">
        <v>188</v>
      </c>
      <c r="B240" s="57" t="s">
        <v>189</v>
      </c>
      <c r="C240" s="51" t="s">
        <v>27</v>
      </c>
      <c r="D240" s="52" t="s">
        <v>4</v>
      </c>
      <c r="E240" s="53" t="s">
        <v>27</v>
      </c>
      <c r="F240" s="52" t="s">
        <v>4</v>
      </c>
      <c r="G240" s="62" t="s">
        <v>49</v>
      </c>
      <c r="H240" s="76" t="s">
        <v>201</v>
      </c>
      <c r="I240" s="62" t="s">
        <v>33</v>
      </c>
      <c r="J240" s="76" t="s">
        <v>203</v>
      </c>
      <c r="K240" s="53" t="s">
        <v>27</v>
      </c>
      <c r="L240" s="52" t="s">
        <v>4</v>
      </c>
      <c r="M240" s="62" t="s">
        <v>51</v>
      </c>
      <c r="N240" s="54" t="s">
        <v>10515</v>
      </c>
      <c r="O240" s="55" t="str">
        <f t="shared" si="13"/>
        <v>L03.00.00.08.02.00.09</v>
      </c>
    </row>
    <row r="241" ht="15.75" customHeight="1">
      <c r="A241" s="51" t="s">
        <v>188</v>
      </c>
      <c r="B241" s="57" t="s">
        <v>189</v>
      </c>
      <c r="C241" s="51" t="s">
        <v>27</v>
      </c>
      <c r="D241" s="52" t="s">
        <v>4</v>
      </c>
      <c r="E241" s="53" t="s">
        <v>27</v>
      </c>
      <c r="F241" s="52" t="s">
        <v>4</v>
      </c>
      <c r="G241" s="62" t="s">
        <v>51</v>
      </c>
      <c r="H241" s="76" t="s">
        <v>204</v>
      </c>
      <c r="I241" s="53" t="s">
        <v>27</v>
      </c>
      <c r="J241" s="52" t="s">
        <v>4</v>
      </c>
      <c r="K241" s="53" t="s">
        <v>27</v>
      </c>
      <c r="L241" s="52" t="s">
        <v>4</v>
      </c>
      <c r="M241" s="62" t="s">
        <v>51</v>
      </c>
      <c r="N241" s="54" t="s">
        <v>10515</v>
      </c>
      <c r="O241" s="55" t="str">
        <f t="shared" si="13"/>
        <v>L03.00.00.09.00.00.09</v>
      </c>
    </row>
    <row r="242" ht="15.75" customHeight="1">
      <c r="A242" s="50" t="s">
        <v>10516</v>
      </c>
      <c r="B242" s="47"/>
      <c r="C242" s="47"/>
      <c r="D242" s="47"/>
      <c r="E242" s="47"/>
      <c r="F242" s="47"/>
      <c r="G242" s="48"/>
      <c r="H242" s="49"/>
      <c r="I242" s="48"/>
      <c r="J242" s="48"/>
      <c r="K242" s="48"/>
      <c r="L242" s="48"/>
      <c r="M242" s="48"/>
      <c r="N242" s="49"/>
      <c r="O242" s="48"/>
    </row>
    <row r="243" ht="15.75" customHeight="1">
      <c r="A243" s="51" t="s">
        <v>205</v>
      </c>
      <c r="B243" s="57" t="s">
        <v>206</v>
      </c>
      <c r="C243" s="51" t="s">
        <v>27</v>
      </c>
      <c r="D243" s="52" t="s">
        <v>4</v>
      </c>
      <c r="E243" s="53" t="s">
        <v>27</v>
      </c>
      <c r="F243" s="52" t="s">
        <v>4</v>
      </c>
      <c r="G243" s="62" t="s">
        <v>29</v>
      </c>
      <c r="H243" s="76" t="s">
        <v>220</v>
      </c>
      <c r="I243" s="53" t="s">
        <v>27</v>
      </c>
      <c r="J243" s="56" t="s">
        <v>4</v>
      </c>
      <c r="K243" s="53" t="s">
        <v>27</v>
      </c>
      <c r="L243" s="52" t="s">
        <v>4</v>
      </c>
      <c r="M243" s="62" t="s">
        <v>44</v>
      </c>
      <c r="N243" s="54" t="s">
        <v>10505</v>
      </c>
      <c r="O243" s="55" t="str">
        <f t="shared" ref="O243:O290" si="14">A243&amp;"."&amp;C243&amp;"."&amp;E243&amp;"."&amp;G243&amp;"."&amp;I243&amp;"."&amp;K243&amp;"."&amp;M243</f>
        <v>L04.00.00.01.00.00.06</v>
      </c>
    </row>
    <row r="244" ht="15.75" customHeight="1">
      <c r="A244" s="51" t="s">
        <v>205</v>
      </c>
      <c r="B244" s="57" t="s">
        <v>206</v>
      </c>
      <c r="C244" s="51" t="s">
        <v>27</v>
      </c>
      <c r="D244" s="52" t="s">
        <v>4</v>
      </c>
      <c r="E244" s="53" t="s">
        <v>27</v>
      </c>
      <c r="F244" s="52" t="s">
        <v>4</v>
      </c>
      <c r="G244" s="62" t="s">
        <v>29</v>
      </c>
      <c r="H244" s="76" t="s">
        <v>220</v>
      </c>
      <c r="I244" s="53" t="s">
        <v>27</v>
      </c>
      <c r="J244" s="56" t="s">
        <v>4</v>
      </c>
      <c r="K244" s="53" t="s">
        <v>27</v>
      </c>
      <c r="L244" s="52" t="s">
        <v>4</v>
      </c>
      <c r="M244" s="62" t="s">
        <v>46</v>
      </c>
      <c r="N244" s="54" t="s">
        <v>10496</v>
      </c>
      <c r="O244" s="55" t="str">
        <f t="shared" si="14"/>
        <v>L04.00.00.01.00.00.07</v>
      </c>
    </row>
    <row r="245" ht="15.75" customHeight="1">
      <c r="A245" s="51" t="s">
        <v>205</v>
      </c>
      <c r="B245" s="57" t="s">
        <v>206</v>
      </c>
      <c r="C245" s="51" t="s">
        <v>27</v>
      </c>
      <c r="D245" s="52" t="s">
        <v>4</v>
      </c>
      <c r="E245" s="53" t="s">
        <v>27</v>
      </c>
      <c r="F245" s="52" t="s">
        <v>4</v>
      </c>
      <c r="G245" s="62" t="s">
        <v>29</v>
      </c>
      <c r="H245" s="76" t="s">
        <v>220</v>
      </c>
      <c r="I245" s="53" t="s">
        <v>27</v>
      </c>
      <c r="J245" s="56" t="s">
        <v>4</v>
      </c>
      <c r="K245" s="53" t="s">
        <v>27</v>
      </c>
      <c r="L245" s="52" t="s">
        <v>4</v>
      </c>
      <c r="M245" s="62" t="s">
        <v>33</v>
      </c>
      <c r="N245" s="54" t="s">
        <v>10499</v>
      </c>
      <c r="O245" s="55" t="str">
        <f t="shared" si="14"/>
        <v>L04.00.00.01.00.00.02</v>
      </c>
    </row>
    <row r="246" ht="15.75" customHeight="1">
      <c r="A246" s="51" t="s">
        <v>205</v>
      </c>
      <c r="B246" s="57" t="s">
        <v>206</v>
      </c>
      <c r="C246" s="51" t="s">
        <v>27</v>
      </c>
      <c r="D246" s="52" t="s">
        <v>4</v>
      </c>
      <c r="E246" s="53" t="s">
        <v>27</v>
      </c>
      <c r="F246" s="52" t="s">
        <v>4</v>
      </c>
      <c r="G246" s="62" t="s">
        <v>33</v>
      </c>
      <c r="H246" s="76" t="s">
        <v>221</v>
      </c>
      <c r="I246" s="53" t="s">
        <v>27</v>
      </c>
      <c r="J246" s="56" t="s">
        <v>4</v>
      </c>
      <c r="K246" s="53" t="s">
        <v>27</v>
      </c>
      <c r="L246" s="52" t="s">
        <v>4</v>
      </c>
      <c r="M246" s="62" t="s">
        <v>44</v>
      </c>
      <c r="N246" s="54" t="s">
        <v>10505</v>
      </c>
      <c r="O246" s="55" t="str">
        <f t="shared" si="14"/>
        <v>L04.00.00.02.00.00.06</v>
      </c>
    </row>
    <row r="247" ht="15.75" customHeight="1">
      <c r="A247" s="51" t="s">
        <v>205</v>
      </c>
      <c r="B247" s="57" t="s">
        <v>206</v>
      </c>
      <c r="C247" s="51" t="s">
        <v>27</v>
      </c>
      <c r="D247" s="52" t="s">
        <v>4</v>
      </c>
      <c r="E247" s="53" t="s">
        <v>27</v>
      </c>
      <c r="F247" s="52" t="s">
        <v>4</v>
      </c>
      <c r="G247" s="62" t="s">
        <v>33</v>
      </c>
      <c r="H247" s="76" t="s">
        <v>221</v>
      </c>
      <c r="I247" s="53" t="s">
        <v>27</v>
      </c>
      <c r="J247" s="56" t="s">
        <v>4</v>
      </c>
      <c r="K247" s="53" t="s">
        <v>27</v>
      </c>
      <c r="L247" s="52" t="s">
        <v>4</v>
      </c>
      <c r="M247" s="62" t="s">
        <v>46</v>
      </c>
      <c r="N247" s="54" t="s">
        <v>10496</v>
      </c>
      <c r="O247" s="55" t="str">
        <f t="shared" si="14"/>
        <v>L04.00.00.02.00.00.07</v>
      </c>
    </row>
    <row r="248" ht="15.75" customHeight="1">
      <c r="A248" s="51" t="s">
        <v>205</v>
      </c>
      <c r="B248" s="57" t="s">
        <v>206</v>
      </c>
      <c r="C248" s="51" t="s">
        <v>27</v>
      </c>
      <c r="D248" s="52" t="s">
        <v>4</v>
      </c>
      <c r="E248" s="53" t="s">
        <v>27</v>
      </c>
      <c r="F248" s="52" t="s">
        <v>4</v>
      </c>
      <c r="G248" s="62" t="s">
        <v>33</v>
      </c>
      <c r="H248" s="76" t="s">
        <v>221</v>
      </c>
      <c r="I248" s="53" t="s">
        <v>27</v>
      </c>
      <c r="J248" s="56" t="s">
        <v>4</v>
      </c>
      <c r="K248" s="53" t="s">
        <v>27</v>
      </c>
      <c r="L248" s="52" t="s">
        <v>4</v>
      </c>
      <c r="M248" s="62" t="s">
        <v>33</v>
      </c>
      <c r="N248" s="54" t="s">
        <v>10499</v>
      </c>
      <c r="O248" s="55" t="str">
        <f t="shared" si="14"/>
        <v>L04.00.00.02.00.00.02</v>
      </c>
    </row>
    <row r="249" ht="15.75" customHeight="1">
      <c r="A249" s="51" t="s">
        <v>205</v>
      </c>
      <c r="B249" s="57" t="s">
        <v>206</v>
      </c>
      <c r="C249" s="51" t="s">
        <v>27</v>
      </c>
      <c r="D249" s="52" t="s">
        <v>4</v>
      </c>
      <c r="E249" s="53" t="s">
        <v>27</v>
      </c>
      <c r="F249" s="52" t="s">
        <v>4</v>
      </c>
      <c r="G249" s="62" t="s">
        <v>35</v>
      </c>
      <c r="H249" s="76" t="s">
        <v>222</v>
      </c>
      <c r="I249" s="53" t="s">
        <v>27</v>
      </c>
      <c r="J249" s="56" t="s">
        <v>4</v>
      </c>
      <c r="K249" s="53" t="s">
        <v>27</v>
      </c>
      <c r="L249" s="52" t="s">
        <v>4</v>
      </c>
      <c r="M249" s="62" t="s">
        <v>29</v>
      </c>
      <c r="N249" s="54" t="s">
        <v>10498</v>
      </c>
      <c r="O249" s="55" t="str">
        <f t="shared" si="14"/>
        <v>L04.00.00.03.00.00.01</v>
      </c>
    </row>
    <row r="250" ht="15.75" customHeight="1">
      <c r="A250" s="51" t="s">
        <v>205</v>
      </c>
      <c r="B250" s="57" t="s">
        <v>206</v>
      </c>
      <c r="C250" s="51" t="s">
        <v>27</v>
      </c>
      <c r="D250" s="52" t="s">
        <v>4</v>
      </c>
      <c r="E250" s="53" t="s">
        <v>27</v>
      </c>
      <c r="F250" s="52" t="s">
        <v>4</v>
      </c>
      <c r="G250" s="62" t="s">
        <v>35</v>
      </c>
      <c r="H250" s="76" t="s">
        <v>222</v>
      </c>
      <c r="I250" s="53" t="s">
        <v>27</v>
      </c>
      <c r="J250" s="56" t="s">
        <v>4</v>
      </c>
      <c r="K250" s="53" t="s">
        <v>27</v>
      </c>
      <c r="L250" s="52" t="s">
        <v>4</v>
      </c>
      <c r="M250" s="62" t="s">
        <v>33</v>
      </c>
      <c r="N250" s="54" t="s">
        <v>10499</v>
      </c>
      <c r="O250" s="55" t="str">
        <f t="shared" si="14"/>
        <v>L04.00.00.03.00.00.02</v>
      </c>
    </row>
    <row r="251" ht="15.75" customHeight="1">
      <c r="A251" s="51" t="s">
        <v>205</v>
      </c>
      <c r="B251" s="57" t="s">
        <v>206</v>
      </c>
      <c r="C251" s="51" t="s">
        <v>27</v>
      </c>
      <c r="D251" s="52" t="s">
        <v>4</v>
      </c>
      <c r="E251" s="53" t="s">
        <v>27</v>
      </c>
      <c r="F251" s="52" t="s">
        <v>4</v>
      </c>
      <c r="G251" s="62" t="s">
        <v>35</v>
      </c>
      <c r="H251" s="76" t="s">
        <v>222</v>
      </c>
      <c r="I251" s="53" t="s">
        <v>27</v>
      </c>
      <c r="J251" s="56" t="s">
        <v>4</v>
      </c>
      <c r="K251" s="53" t="s">
        <v>27</v>
      </c>
      <c r="L251" s="52" t="s">
        <v>4</v>
      </c>
      <c r="M251" s="62" t="s">
        <v>35</v>
      </c>
      <c r="N251" s="54" t="s">
        <v>10500</v>
      </c>
      <c r="O251" s="55" t="str">
        <f t="shared" si="14"/>
        <v>L04.00.00.03.00.00.03</v>
      </c>
    </row>
    <row r="252" ht="15.75" customHeight="1">
      <c r="A252" s="51" t="s">
        <v>205</v>
      </c>
      <c r="B252" s="57" t="s">
        <v>206</v>
      </c>
      <c r="C252" s="51" t="s">
        <v>27</v>
      </c>
      <c r="D252" s="52" t="s">
        <v>4</v>
      </c>
      <c r="E252" s="53" t="s">
        <v>27</v>
      </c>
      <c r="F252" s="52" t="s">
        <v>4</v>
      </c>
      <c r="G252" s="62" t="s">
        <v>35</v>
      </c>
      <c r="H252" s="76" t="s">
        <v>222</v>
      </c>
      <c r="I252" s="53" t="s">
        <v>27</v>
      </c>
      <c r="J252" s="56" t="s">
        <v>4</v>
      </c>
      <c r="K252" s="53" t="s">
        <v>27</v>
      </c>
      <c r="L252" s="52" t="s">
        <v>4</v>
      </c>
      <c r="M252" s="62" t="s">
        <v>37</v>
      </c>
      <c r="N252" s="54" t="s">
        <v>10501</v>
      </c>
      <c r="O252" s="55" t="str">
        <f t="shared" si="14"/>
        <v>L04.00.00.03.00.00.04</v>
      </c>
    </row>
    <row r="253" ht="15.75" customHeight="1">
      <c r="A253" s="51" t="s">
        <v>205</v>
      </c>
      <c r="B253" s="57" t="s">
        <v>206</v>
      </c>
      <c r="C253" s="51" t="s">
        <v>27</v>
      </c>
      <c r="D253" s="52" t="s">
        <v>4</v>
      </c>
      <c r="E253" s="53" t="s">
        <v>27</v>
      </c>
      <c r="F253" s="52" t="s">
        <v>4</v>
      </c>
      <c r="G253" s="62" t="s">
        <v>35</v>
      </c>
      <c r="H253" s="76" t="s">
        <v>222</v>
      </c>
      <c r="I253" s="53" t="s">
        <v>27</v>
      </c>
      <c r="J253" s="56" t="s">
        <v>4</v>
      </c>
      <c r="K253" s="53" t="s">
        <v>27</v>
      </c>
      <c r="L253" s="52" t="s">
        <v>4</v>
      </c>
      <c r="M253" s="62" t="s">
        <v>42</v>
      </c>
      <c r="N253" s="54" t="s">
        <v>10502</v>
      </c>
      <c r="O253" s="55" t="str">
        <f t="shared" si="14"/>
        <v>L04.00.00.03.00.00.05</v>
      </c>
    </row>
    <row r="254" ht="15.75" customHeight="1">
      <c r="A254" s="51" t="s">
        <v>205</v>
      </c>
      <c r="B254" s="57" t="s">
        <v>206</v>
      </c>
      <c r="C254" s="51" t="s">
        <v>27</v>
      </c>
      <c r="D254" s="52" t="s">
        <v>4</v>
      </c>
      <c r="E254" s="53" t="s">
        <v>27</v>
      </c>
      <c r="F254" s="52" t="s">
        <v>4</v>
      </c>
      <c r="G254" s="62" t="s">
        <v>35</v>
      </c>
      <c r="H254" s="76" t="s">
        <v>222</v>
      </c>
      <c r="I254" s="53" t="s">
        <v>27</v>
      </c>
      <c r="J254" s="56" t="s">
        <v>4</v>
      </c>
      <c r="K254" s="53" t="s">
        <v>27</v>
      </c>
      <c r="L254" s="52" t="s">
        <v>4</v>
      </c>
      <c r="M254" s="62" t="s">
        <v>44</v>
      </c>
      <c r="N254" s="54" t="s">
        <v>10505</v>
      </c>
      <c r="O254" s="55" t="str">
        <f t="shared" si="14"/>
        <v>L04.00.00.03.00.00.06</v>
      </c>
    </row>
    <row r="255" ht="15.75" customHeight="1">
      <c r="A255" s="51" t="s">
        <v>205</v>
      </c>
      <c r="B255" s="57" t="s">
        <v>206</v>
      </c>
      <c r="C255" s="51" t="s">
        <v>27</v>
      </c>
      <c r="D255" s="52" t="s">
        <v>4</v>
      </c>
      <c r="E255" s="53" t="s">
        <v>27</v>
      </c>
      <c r="F255" s="52" t="s">
        <v>4</v>
      </c>
      <c r="G255" s="62" t="s">
        <v>37</v>
      </c>
      <c r="H255" s="76" t="s">
        <v>34</v>
      </c>
      <c r="I255" s="53" t="s">
        <v>27</v>
      </c>
      <c r="J255" s="56" t="s">
        <v>4</v>
      </c>
      <c r="K255" s="53" t="s">
        <v>27</v>
      </c>
      <c r="L255" s="52" t="s">
        <v>4</v>
      </c>
      <c r="M255" s="62" t="s">
        <v>29</v>
      </c>
      <c r="N255" s="54" t="s">
        <v>10498</v>
      </c>
      <c r="O255" s="55" t="str">
        <f t="shared" si="14"/>
        <v>L04.00.00.04.00.00.01</v>
      </c>
    </row>
    <row r="256" ht="15.75" customHeight="1">
      <c r="A256" s="51" t="s">
        <v>205</v>
      </c>
      <c r="B256" s="57" t="s">
        <v>206</v>
      </c>
      <c r="C256" s="51" t="s">
        <v>27</v>
      </c>
      <c r="D256" s="52" t="s">
        <v>4</v>
      </c>
      <c r="E256" s="53" t="s">
        <v>27</v>
      </c>
      <c r="F256" s="52" t="s">
        <v>4</v>
      </c>
      <c r="G256" s="62" t="s">
        <v>37</v>
      </c>
      <c r="H256" s="76" t="s">
        <v>34</v>
      </c>
      <c r="I256" s="53" t="s">
        <v>27</v>
      </c>
      <c r="J256" s="56" t="s">
        <v>4</v>
      </c>
      <c r="K256" s="53" t="s">
        <v>27</v>
      </c>
      <c r="L256" s="52" t="s">
        <v>4</v>
      </c>
      <c r="M256" s="62" t="s">
        <v>33</v>
      </c>
      <c r="N256" s="54" t="s">
        <v>10499</v>
      </c>
      <c r="O256" s="55" t="str">
        <f t="shared" si="14"/>
        <v>L04.00.00.04.00.00.02</v>
      </c>
    </row>
    <row r="257" ht="15.75" customHeight="1">
      <c r="A257" s="51" t="s">
        <v>205</v>
      </c>
      <c r="B257" s="57" t="s">
        <v>206</v>
      </c>
      <c r="C257" s="51" t="s">
        <v>27</v>
      </c>
      <c r="D257" s="52" t="s">
        <v>4</v>
      </c>
      <c r="E257" s="53" t="s">
        <v>27</v>
      </c>
      <c r="F257" s="52" t="s">
        <v>4</v>
      </c>
      <c r="G257" s="62" t="s">
        <v>37</v>
      </c>
      <c r="H257" s="76" t="s">
        <v>34</v>
      </c>
      <c r="I257" s="53" t="s">
        <v>27</v>
      </c>
      <c r="J257" s="56" t="s">
        <v>4</v>
      </c>
      <c r="K257" s="53" t="s">
        <v>27</v>
      </c>
      <c r="L257" s="52" t="s">
        <v>4</v>
      </c>
      <c r="M257" s="62" t="s">
        <v>35</v>
      </c>
      <c r="N257" s="54" t="s">
        <v>10500</v>
      </c>
      <c r="O257" s="55" t="str">
        <f t="shared" si="14"/>
        <v>L04.00.00.04.00.00.03</v>
      </c>
    </row>
    <row r="258" ht="15.75" customHeight="1">
      <c r="A258" s="51" t="s">
        <v>205</v>
      </c>
      <c r="B258" s="57" t="s">
        <v>206</v>
      </c>
      <c r="C258" s="51" t="s">
        <v>27</v>
      </c>
      <c r="D258" s="52" t="s">
        <v>4</v>
      </c>
      <c r="E258" s="53" t="s">
        <v>27</v>
      </c>
      <c r="F258" s="52" t="s">
        <v>4</v>
      </c>
      <c r="G258" s="62" t="s">
        <v>37</v>
      </c>
      <c r="H258" s="76" t="s">
        <v>34</v>
      </c>
      <c r="I258" s="53" t="s">
        <v>27</v>
      </c>
      <c r="J258" s="56" t="s">
        <v>4</v>
      </c>
      <c r="K258" s="53" t="s">
        <v>27</v>
      </c>
      <c r="L258" s="52" t="s">
        <v>4</v>
      </c>
      <c r="M258" s="62" t="s">
        <v>37</v>
      </c>
      <c r="N258" s="54" t="s">
        <v>10501</v>
      </c>
      <c r="O258" s="55" t="str">
        <f t="shared" si="14"/>
        <v>L04.00.00.04.00.00.04</v>
      </c>
    </row>
    <row r="259" ht="15.75" customHeight="1">
      <c r="A259" s="51" t="s">
        <v>205</v>
      </c>
      <c r="B259" s="57" t="s">
        <v>206</v>
      </c>
      <c r="C259" s="51" t="s">
        <v>27</v>
      </c>
      <c r="D259" s="52" t="s">
        <v>4</v>
      </c>
      <c r="E259" s="53" t="s">
        <v>27</v>
      </c>
      <c r="F259" s="52" t="s">
        <v>4</v>
      </c>
      <c r="G259" s="62" t="s">
        <v>37</v>
      </c>
      <c r="H259" s="76" t="s">
        <v>34</v>
      </c>
      <c r="I259" s="53" t="s">
        <v>27</v>
      </c>
      <c r="J259" s="56" t="s">
        <v>4</v>
      </c>
      <c r="K259" s="53" t="s">
        <v>27</v>
      </c>
      <c r="L259" s="52" t="s">
        <v>4</v>
      </c>
      <c r="M259" s="62" t="s">
        <v>42</v>
      </c>
      <c r="N259" s="54" t="s">
        <v>10502</v>
      </c>
      <c r="O259" s="55" t="str">
        <f t="shared" si="14"/>
        <v>L04.00.00.04.00.00.05</v>
      </c>
    </row>
    <row r="260" ht="15.75" customHeight="1">
      <c r="A260" s="51" t="s">
        <v>205</v>
      </c>
      <c r="B260" s="57" t="s">
        <v>206</v>
      </c>
      <c r="C260" s="51" t="s">
        <v>27</v>
      </c>
      <c r="D260" s="52" t="s">
        <v>4</v>
      </c>
      <c r="E260" s="53" t="s">
        <v>27</v>
      </c>
      <c r="F260" s="52" t="s">
        <v>4</v>
      </c>
      <c r="G260" s="62" t="s">
        <v>37</v>
      </c>
      <c r="H260" s="76" t="s">
        <v>34</v>
      </c>
      <c r="I260" s="53" t="s">
        <v>27</v>
      </c>
      <c r="J260" s="56" t="s">
        <v>4</v>
      </c>
      <c r="K260" s="53" t="s">
        <v>27</v>
      </c>
      <c r="L260" s="52" t="s">
        <v>4</v>
      </c>
      <c r="M260" s="62" t="s">
        <v>44</v>
      </c>
      <c r="N260" s="54" t="s">
        <v>10505</v>
      </c>
      <c r="O260" s="55" t="str">
        <f t="shared" si="14"/>
        <v>L04.00.00.04.00.00.06</v>
      </c>
    </row>
    <row r="261" ht="15.75" customHeight="1">
      <c r="A261" s="51" t="s">
        <v>205</v>
      </c>
      <c r="B261" s="57" t="s">
        <v>206</v>
      </c>
      <c r="C261" s="51" t="s">
        <v>27</v>
      </c>
      <c r="D261" s="52" t="s">
        <v>4</v>
      </c>
      <c r="E261" s="53" t="s">
        <v>27</v>
      </c>
      <c r="F261" s="52" t="s">
        <v>4</v>
      </c>
      <c r="G261" s="62" t="s">
        <v>42</v>
      </c>
      <c r="H261" s="76" t="s">
        <v>36</v>
      </c>
      <c r="I261" s="53" t="s">
        <v>27</v>
      </c>
      <c r="J261" s="56" t="s">
        <v>4</v>
      </c>
      <c r="K261" s="53" t="s">
        <v>27</v>
      </c>
      <c r="L261" s="52" t="s">
        <v>4</v>
      </c>
      <c r="M261" s="62" t="s">
        <v>29</v>
      </c>
      <c r="N261" s="54" t="s">
        <v>10498</v>
      </c>
      <c r="O261" s="55" t="str">
        <f t="shared" si="14"/>
        <v>L04.00.00.05.00.00.01</v>
      </c>
    </row>
    <row r="262" ht="15.75" customHeight="1">
      <c r="A262" s="51" t="s">
        <v>205</v>
      </c>
      <c r="B262" s="57" t="s">
        <v>206</v>
      </c>
      <c r="C262" s="51" t="s">
        <v>27</v>
      </c>
      <c r="D262" s="52" t="s">
        <v>4</v>
      </c>
      <c r="E262" s="53" t="s">
        <v>27</v>
      </c>
      <c r="F262" s="52" t="s">
        <v>4</v>
      </c>
      <c r="G262" s="62" t="s">
        <v>42</v>
      </c>
      <c r="H262" s="76" t="s">
        <v>36</v>
      </c>
      <c r="I262" s="53" t="s">
        <v>27</v>
      </c>
      <c r="J262" s="56" t="s">
        <v>4</v>
      </c>
      <c r="K262" s="53" t="s">
        <v>27</v>
      </c>
      <c r="L262" s="52" t="s">
        <v>4</v>
      </c>
      <c r="M262" s="62" t="s">
        <v>33</v>
      </c>
      <c r="N262" s="54" t="s">
        <v>10499</v>
      </c>
      <c r="O262" s="55" t="str">
        <f t="shared" si="14"/>
        <v>L04.00.00.05.00.00.02</v>
      </c>
    </row>
    <row r="263" ht="15.75" customHeight="1">
      <c r="A263" s="51" t="s">
        <v>205</v>
      </c>
      <c r="B263" s="57" t="s">
        <v>206</v>
      </c>
      <c r="C263" s="51" t="s">
        <v>27</v>
      </c>
      <c r="D263" s="52" t="s">
        <v>4</v>
      </c>
      <c r="E263" s="53" t="s">
        <v>27</v>
      </c>
      <c r="F263" s="52" t="s">
        <v>4</v>
      </c>
      <c r="G263" s="62" t="s">
        <v>42</v>
      </c>
      <c r="H263" s="76" t="s">
        <v>36</v>
      </c>
      <c r="I263" s="53" t="s">
        <v>29</v>
      </c>
      <c r="J263" s="54" t="s">
        <v>223</v>
      </c>
      <c r="K263" s="53" t="s">
        <v>27</v>
      </c>
      <c r="L263" s="52" t="s">
        <v>4</v>
      </c>
      <c r="M263" s="62" t="s">
        <v>44</v>
      </c>
      <c r="N263" s="54" t="s">
        <v>10505</v>
      </c>
      <c r="O263" s="55" t="str">
        <f t="shared" si="14"/>
        <v>L04.00.00.05.01.00.06</v>
      </c>
    </row>
    <row r="264" ht="15.75" customHeight="1">
      <c r="A264" s="51" t="s">
        <v>205</v>
      </c>
      <c r="B264" s="57" t="s">
        <v>206</v>
      </c>
      <c r="C264" s="51" t="s">
        <v>27</v>
      </c>
      <c r="D264" s="52" t="s">
        <v>4</v>
      </c>
      <c r="E264" s="53" t="s">
        <v>27</v>
      </c>
      <c r="F264" s="52" t="s">
        <v>4</v>
      </c>
      <c r="G264" s="62" t="s">
        <v>42</v>
      </c>
      <c r="H264" s="76" t="s">
        <v>36</v>
      </c>
      <c r="I264" s="53" t="s">
        <v>33</v>
      </c>
      <c r="J264" s="76" t="s">
        <v>224</v>
      </c>
      <c r="K264" s="53" t="s">
        <v>27</v>
      </c>
      <c r="L264" s="52" t="s">
        <v>4</v>
      </c>
      <c r="M264" s="62" t="s">
        <v>44</v>
      </c>
      <c r="N264" s="54" t="s">
        <v>10505</v>
      </c>
      <c r="O264" s="55" t="str">
        <f t="shared" si="14"/>
        <v>L04.00.00.05.02.00.06</v>
      </c>
    </row>
    <row r="265" ht="15.75" customHeight="1">
      <c r="A265" s="51" t="s">
        <v>205</v>
      </c>
      <c r="B265" s="57" t="s">
        <v>206</v>
      </c>
      <c r="C265" s="51" t="s">
        <v>27</v>
      </c>
      <c r="D265" s="52" t="s">
        <v>4</v>
      </c>
      <c r="E265" s="53" t="s">
        <v>27</v>
      </c>
      <c r="F265" s="52" t="s">
        <v>4</v>
      </c>
      <c r="G265" s="62" t="s">
        <v>44</v>
      </c>
      <c r="H265" s="60" t="s">
        <v>225</v>
      </c>
      <c r="I265" s="62" t="s">
        <v>29</v>
      </c>
      <c r="J265" s="60" t="s">
        <v>226</v>
      </c>
      <c r="K265" s="53" t="s">
        <v>27</v>
      </c>
      <c r="L265" s="52" t="s">
        <v>4</v>
      </c>
      <c r="M265" s="62" t="s">
        <v>29</v>
      </c>
      <c r="N265" s="54" t="s">
        <v>10498</v>
      </c>
      <c r="O265" s="55" t="str">
        <f t="shared" si="14"/>
        <v>L04.00.00.06.01.00.01</v>
      </c>
    </row>
    <row r="266" ht="15.75" customHeight="1">
      <c r="A266" s="51" t="s">
        <v>205</v>
      </c>
      <c r="B266" s="57" t="s">
        <v>206</v>
      </c>
      <c r="C266" s="51" t="s">
        <v>27</v>
      </c>
      <c r="D266" s="52" t="s">
        <v>4</v>
      </c>
      <c r="E266" s="53" t="s">
        <v>27</v>
      </c>
      <c r="F266" s="52" t="s">
        <v>4</v>
      </c>
      <c r="G266" s="62" t="s">
        <v>44</v>
      </c>
      <c r="H266" s="60" t="s">
        <v>225</v>
      </c>
      <c r="I266" s="62" t="s">
        <v>29</v>
      </c>
      <c r="J266" s="60" t="s">
        <v>226</v>
      </c>
      <c r="K266" s="53" t="s">
        <v>27</v>
      </c>
      <c r="L266" s="52" t="s">
        <v>4</v>
      </c>
      <c r="M266" s="62" t="s">
        <v>33</v>
      </c>
      <c r="N266" s="54" t="s">
        <v>10499</v>
      </c>
      <c r="O266" s="55" t="str">
        <f t="shared" si="14"/>
        <v>L04.00.00.06.01.00.02</v>
      </c>
    </row>
    <row r="267" ht="15.75" customHeight="1">
      <c r="A267" s="51" t="s">
        <v>205</v>
      </c>
      <c r="B267" s="57" t="s">
        <v>206</v>
      </c>
      <c r="C267" s="51" t="s">
        <v>27</v>
      </c>
      <c r="D267" s="52" t="s">
        <v>4</v>
      </c>
      <c r="E267" s="53" t="s">
        <v>27</v>
      </c>
      <c r="F267" s="52" t="s">
        <v>4</v>
      </c>
      <c r="G267" s="62" t="s">
        <v>44</v>
      </c>
      <c r="H267" s="60" t="s">
        <v>225</v>
      </c>
      <c r="I267" s="62" t="s">
        <v>29</v>
      </c>
      <c r="J267" s="60" t="s">
        <v>226</v>
      </c>
      <c r="K267" s="53" t="s">
        <v>27</v>
      </c>
      <c r="L267" s="52" t="s">
        <v>4</v>
      </c>
      <c r="M267" s="62" t="s">
        <v>35</v>
      </c>
      <c r="N267" s="54" t="s">
        <v>10500</v>
      </c>
      <c r="O267" s="55" t="str">
        <f t="shared" si="14"/>
        <v>L04.00.00.06.01.00.03</v>
      </c>
    </row>
    <row r="268" ht="15.75" customHeight="1">
      <c r="A268" s="51" t="s">
        <v>205</v>
      </c>
      <c r="B268" s="57" t="s">
        <v>206</v>
      </c>
      <c r="C268" s="51" t="s">
        <v>27</v>
      </c>
      <c r="D268" s="52" t="s">
        <v>4</v>
      </c>
      <c r="E268" s="53" t="s">
        <v>27</v>
      </c>
      <c r="F268" s="52" t="s">
        <v>4</v>
      </c>
      <c r="G268" s="62" t="s">
        <v>44</v>
      </c>
      <c r="H268" s="60" t="s">
        <v>225</v>
      </c>
      <c r="I268" s="62" t="s">
        <v>29</v>
      </c>
      <c r="J268" s="60" t="s">
        <v>226</v>
      </c>
      <c r="K268" s="53" t="s">
        <v>27</v>
      </c>
      <c r="L268" s="52" t="s">
        <v>4</v>
      </c>
      <c r="M268" s="62" t="s">
        <v>37</v>
      </c>
      <c r="N268" s="54" t="s">
        <v>10501</v>
      </c>
      <c r="O268" s="55" t="str">
        <f t="shared" si="14"/>
        <v>L04.00.00.06.01.00.04</v>
      </c>
    </row>
    <row r="269" ht="15.75" customHeight="1">
      <c r="A269" s="51" t="s">
        <v>205</v>
      </c>
      <c r="B269" s="57" t="s">
        <v>206</v>
      </c>
      <c r="C269" s="51" t="s">
        <v>27</v>
      </c>
      <c r="D269" s="52" t="s">
        <v>4</v>
      </c>
      <c r="E269" s="53" t="s">
        <v>27</v>
      </c>
      <c r="F269" s="52" t="s">
        <v>4</v>
      </c>
      <c r="G269" s="62" t="s">
        <v>44</v>
      </c>
      <c r="H269" s="60" t="s">
        <v>225</v>
      </c>
      <c r="I269" s="62" t="s">
        <v>29</v>
      </c>
      <c r="J269" s="60" t="s">
        <v>226</v>
      </c>
      <c r="K269" s="53" t="s">
        <v>27</v>
      </c>
      <c r="L269" s="52" t="s">
        <v>4</v>
      </c>
      <c r="M269" s="62" t="s">
        <v>42</v>
      </c>
      <c r="N269" s="54" t="s">
        <v>10502</v>
      </c>
      <c r="O269" s="55" t="str">
        <f t="shared" si="14"/>
        <v>L04.00.00.06.01.00.05</v>
      </c>
    </row>
    <row r="270" ht="15.75" customHeight="1">
      <c r="A270" s="51" t="s">
        <v>205</v>
      </c>
      <c r="B270" s="57" t="s">
        <v>206</v>
      </c>
      <c r="C270" s="51" t="s">
        <v>27</v>
      </c>
      <c r="D270" s="52" t="s">
        <v>4</v>
      </c>
      <c r="E270" s="53" t="s">
        <v>27</v>
      </c>
      <c r="F270" s="52" t="s">
        <v>4</v>
      </c>
      <c r="G270" s="62" t="s">
        <v>44</v>
      </c>
      <c r="H270" s="60" t="s">
        <v>225</v>
      </c>
      <c r="I270" s="62" t="s">
        <v>29</v>
      </c>
      <c r="J270" s="60" t="s">
        <v>226</v>
      </c>
      <c r="K270" s="53" t="s">
        <v>27</v>
      </c>
      <c r="L270" s="52" t="s">
        <v>4</v>
      </c>
      <c r="M270" s="62" t="s">
        <v>44</v>
      </c>
      <c r="N270" s="54" t="s">
        <v>10505</v>
      </c>
      <c r="O270" s="55" t="str">
        <f t="shared" si="14"/>
        <v>L04.00.00.06.01.00.06</v>
      </c>
    </row>
    <row r="271" ht="15.75" customHeight="1">
      <c r="A271" s="51" t="s">
        <v>205</v>
      </c>
      <c r="B271" s="57" t="s">
        <v>206</v>
      </c>
      <c r="C271" s="51" t="s">
        <v>27</v>
      </c>
      <c r="D271" s="52" t="s">
        <v>4</v>
      </c>
      <c r="E271" s="53" t="s">
        <v>27</v>
      </c>
      <c r="F271" s="52" t="s">
        <v>4</v>
      </c>
      <c r="G271" s="62" t="s">
        <v>44</v>
      </c>
      <c r="H271" s="60" t="s">
        <v>225</v>
      </c>
      <c r="I271" s="62" t="s">
        <v>29</v>
      </c>
      <c r="J271" s="60" t="s">
        <v>226</v>
      </c>
      <c r="K271" s="53" t="s">
        <v>27</v>
      </c>
      <c r="L271" s="52" t="s">
        <v>4</v>
      </c>
      <c r="M271" s="62" t="s">
        <v>46</v>
      </c>
      <c r="N271" s="54" t="s">
        <v>10496</v>
      </c>
      <c r="O271" s="55" t="str">
        <f t="shared" si="14"/>
        <v>L04.00.00.06.01.00.07</v>
      </c>
    </row>
    <row r="272" ht="15.75" customHeight="1">
      <c r="A272" s="51" t="s">
        <v>205</v>
      </c>
      <c r="B272" s="57" t="s">
        <v>206</v>
      </c>
      <c r="C272" s="51" t="s">
        <v>27</v>
      </c>
      <c r="D272" s="52" t="s">
        <v>4</v>
      </c>
      <c r="E272" s="53" t="s">
        <v>27</v>
      </c>
      <c r="F272" s="52" t="s">
        <v>4</v>
      </c>
      <c r="G272" s="62" t="s">
        <v>44</v>
      </c>
      <c r="H272" s="60" t="s">
        <v>225</v>
      </c>
      <c r="I272" s="62" t="s">
        <v>33</v>
      </c>
      <c r="J272" s="60" t="s">
        <v>227</v>
      </c>
      <c r="K272" s="53" t="s">
        <v>27</v>
      </c>
      <c r="L272" s="52" t="s">
        <v>4</v>
      </c>
      <c r="M272" s="62" t="s">
        <v>44</v>
      </c>
      <c r="N272" s="54" t="s">
        <v>10505</v>
      </c>
      <c r="O272" s="55" t="str">
        <f t="shared" si="14"/>
        <v>L04.00.00.06.02.00.06</v>
      </c>
    </row>
    <row r="273" ht="15.75" customHeight="1">
      <c r="A273" s="51" t="s">
        <v>205</v>
      </c>
      <c r="B273" s="57" t="s">
        <v>206</v>
      </c>
      <c r="C273" s="51" t="s">
        <v>27</v>
      </c>
      <c r="D273" s="52" t="s">
        <v>4</v>
      </c>
      <c r="E273" s="53" t="s">
        <v>27</v>
      </c>
      <c r="F273" s="52" t="s">
        <v>4</v>
      </c>
      <c r="G273" s="62" t="s">
        <v>46</v>
      </c>
      <c r="H273" s="60" t="s">
        <v>228</v>
      </c>
      <c r="I273" s="53" t="s">
        <v>27</v>
      </c>
      <c r="J273" s="56" t="s">
        <v>4</v>
      </c>
      <c r="K273" s="53" t="s">
        <v>27</v>
      </c>
      <c r="L273" s="52" t="s">
        <v>4</v>
      </c>
      <c r="M273" s="62" t="s">
        <v>44</v>
      </c>
      <c r="N273" s="54" t="s">
        <v>10505</v>
      </c>
      <c r="O273" s="55" t="str">
        <f t="shared" si="14"/>
        <v>L04.00.00.07.00.00.06</v>
      </c>
    </row>
    <row r="274" ht="15.75" customHeight="1">
      <c r="A274" s="51" t="s">
        <v>205</v>
      </c>
      <c r="B274" s="57" t="s">
        <v>206</v>
      </c>
      <c r="C274" s="51" t="s">
        <v>27</v>
      </c>
      <c r="D274" s="52" t="s">
        <v>4</v>
      </c>
      <c r="E274" s="53" t="s">
        <v>27</v>
      </c>
      <c r="F274" s="52" t="s">
        <v>4</v>
      </c>
      <c r="G274" s="62" t="s">
        <v>46</v>
      </c>
      <c r="H274" s="60" t="s">
        <v>228</v>
      </c>
      <c r="I274" s="53" t="s">
        <v>27</v>
      </c>
      <c r="J274" s="56" t="s">
        <v>4</v>
      </c>
      <c r="K274" s="53" t="s">
        <v>27</v>
      </c>
      <c r="L274" s="52" t="s">
        <v>4</v>
      </c>
      <c r="M274" s="64" t="s">
        <v>29</v>
      </c>
      <c r="N274" s="70" t="s">
        <v>10498</v>
      </c>
      <c r="O274" s="55" t="str">
        <f t="shared" si="14"/>
        <v>L04.00.00.07.00.00.01</v>
      </c>
    </row>
    <row r="275" ht="15.75" customHeight="1">
      <c r="A275" s="51" t="s">
        <v>205</v>
      </c>
      <c r="B275" s="57" t="s">
        <v>206</v>
      </c>
      <c r="C275" s="51" t="s">
        <v>27</v>
      </c>
      <c r="D275" s="52" t="s">
        <v>4</v>
      </c>
      <c r="E275" s="53" t="s">
        <v>27</v>
      </c>
      <c r="F275" s="52" t="s">
        <v>4</v>
      </c>
      <c r="G275" s="62" t="s">
        <v>46</v>
      </c>
      <c r="H275" s="60" t="s">
        <v>228</v>
      </c>
      <c r="I275" s="53" t="s">
        <v>27</v>
      </c>
      <c r="J275" s="56" t="s">
        <v>4</v>
      </c>
      <c r="K275" s="53" t="s">
        <v>27</v>
      </c>
      <c r="L275" s="52" t="s">
        <v>4</v>
      </c>
      <c r="M275" s="64" t="s">
        <v>33</v>
      </c>
      <c r="N275" s="70" t="s">
        <v>10499</v>
      </c>
      <c r="O275" s="55" t="str">
        <f t="shared" si="14"/>
        <v>L04.00.00.07.00.00.02</v>
      </c>
    </row>
    <row r="276" ht="15.75" customHeight="1">
      <c r="A276" s="51" t="s">
        <v>205</v>
      </c>
      <c r="B276" s="57" t="s">
        <v>206</v>
      </c>
      <c r="C276" s="51" t="s">
        <v>27</v>
      </c>
      <c r="D276" s="52" t="s">
        <v>4</v>
      </c>
      <c r="E276" s="53" t="s">
        <v>27</v>
      </c>
      <c r="F276" s="52" t="s">
        <v>4</v>
      </c>
      <c r="G276" s="62" t="s">
        <v>46</v>
      </c>
      <c r="H276" s="60" t="s">
        <v>228</v>
      </c>
      <c r="I276" s="53" t="s">
        <v>27</v>
      </c>
      <c r="J276" s="56" t="s">
        <v>4</v>
      </c>
      <c r="K276" s="53" t="s">
        <v>27</v>
      </c>
      <c r="L276" s="52" t="s">
        <v>4</v>
      </c>
      <c r="M276" s="64" t="s">
        <v>49</v>
      </c>
      <c r="N276" s="70" t="s">
        <v>10514</v>
      </c>
      <c r="O276" s="55" t="str">
        <f t="shared" si="14"/>
        <v>L04.00.00.07.00.00.08</v>
      </c>
    </row>
    <row r="277" ht="15.75" customHeight="1">
      <c r="A277" s="51" t="s">
        <v>205</v>
      </c>
      <c r="B277" s="57" t="s">
        <v>206</v>
      </c>
      <c r="C277" s="51" t="s">
        <v>27</v>
      </c>
      <c r="D277" s="52" t="s">
        <v>4</v>
      </c>
      <c r="E277" s="53" t="s">
        <v>27</v>
      </c>
      <c r="F277" s="52" t="s">
        <v>4</v>
      </c>
      <c r="G277" s="62" t="s">
        <v>49</v>
      </c>
      <c r="H277" s="60" t="s">
        <v>229</v>
      </c>
      <c r="I277" s="53" t="s">
        <v>27</v>
      </c>
      <c r="J277" s="56" t="s">
        <v>4</v>
      </c>
      <c r="K277" s="53" t="s">
        <v>27</v>
      </c>
      <c r="L277" s="52" t="s">
        <v>4</v>
      </c>
      <c r="M277" s="62" t="s">
        <v>44</v>
      </c>
      <c r="N277" s="54" t="s">
        <v>10505</v>
      </c>
      <c r="O277" s="55" t="str">
        <f t="shared" si="14"/>
        <v>L04.00.00.08.00.00.06</v>
      </c>
    </row>
    <row r="278" ht="15.75" customHeight="1">
      <c r="A278" s="51" t="s">
        <v>205</v>
      </c>
      <c r="B278" s="57" t="s">
        <v>206</v>
      </c>
      <c r="C278" s="51" t="s">
        <v>27</v>
      </c>
      <c r="D278" s="52" t="s">
        <v>4</v>
      </c>
      <c r="E278" s="53" t="s">
        <v>27</v>
      </c>
      <c r="F278" s="52" t="s">
        <v>4</v>
      </c>
      <c r="G278" s="62" t="s">
        <v>51</v>
      </c>
      <c r="H278" s="60" t="s">
        <v>230</v>
      </c>
      <c r="I278" s="53" t="s">
        <v>27</v>
      </c>
      <c r="J278" s="56" t="s">
        <v>4</v>
      </c>
      <c r="K278" s="53" t="s">
        <v>27</v>
      </c>
      <c r="L278" s="52" t="s">
        <v>4</v>
      </c>
      <c r="M278" s="62" t="s">
        <v>44</v>
      </c>
      <c r="N278" s="54" t="s">
        <v>10505</v>
      </c>
      <c r="O278" s="55" t="str">
        <f t="shared" si="14"/>
        <v>L04.00.00.09.00.00.06</v>
      </c>
    </row>
    <row r="279" ht="15.75" customHeight="1">
      <c r="A279" s="51" t="s">
        <v>205</v>
      </c>
      <c r="B279" s="57" t="s">
        <v>206</v>
      </c>
      <c r="C279" s="51" t="s">
        <v>27</v>
      </c>
      <c r="D279" s="52" t="s">
        <v>4</v>
      </c>
      <c r="E279" s="53" t="s">
        <v>27</v>
      </c>
      <c r="F279" s="52" t="s">
        <v>4</v>
      </c>
      <c r="G279" s="62" t="s">
        <v>55</v>
      </c>
      <c r="H279" s="60" t="s">
        <v>231</v>
      </c>
      <c r="I279" s="53" t="s">
        <v>27</v>
      </c>
      <c r="J279" s="56" t="s">
        <v>4</v>
      </c>
      <c r="K279" s="53" t="s">
        <v>27</v>
      </c>
      <c r="L279" s="52" t="s">
        <v>4</v>
      </c>
      <c r="M279" s="62" t="s">
        <v>44</v>
      </c>
      <c r="N279" s="54" t="s">
        <v>10505</v>
      </c>
      <c r="O279" s="55" t="str">
        <f t="shared" si="14"/>
        <v>L04.00.00.10.00.00.06</v>
      </c>
    </row>
    <row r="280" ht="15.75" customHeight="1">
      <c r="A280" s="51" t="s">
        <v>205</v>
      </c>
      <c r="B280" s="57" t="s">
        <v>206</v>
      </c>
      <c r="C280" s="51" t="s">
        <v>27</v>
      </c>
      <c r="D280" s="52" t="s">
        <v>4</v>
      </c>
      <c r="E280" s="53" t="s">
        <v>27</v>
      </c>
      <c r="F280" s="52" t="s">
        <v>4</v>
      </c>
      <c r="G280" s="57">
        <v>11.0</v>
      </c>
      <c r="H280" s="60" t="s">
        <v>207</v>
      </c>
      <c r="I280" s="62" t="s">
        <v>29</v>
      </c>
      <c r="J280" s="60" t="s">
        <v>208</v>
      </c>
      <c r="K280" s="53" t="s">
        <v>27</v>
      </c>
      <c r="L280" s="52" t="s">
        <v>4</v>
      </c>
      <c r="M280" s="62" t="s">
        <v>44</v>
      </c>
      <c r="N280" s="54" t="s">
        <v>10505</v>
      </c>
      <c r="O280" s="55" t="str">
        <f t="shared" si="14"/>
        <v>L04.00.00.11.01.00.06</v>
      </c>
    </row>
    <row r="281" ht="15.75" customHeight="1">
      <c r="A281" s="51" t="s">
        <v>205</v>
      </c>
      <c r="B281" s="57" t="s">
        <v>206</v>
      </c>
      <c r="C281" s="51" t="s">
        <v>27</v>
      </c>
      <c r="D281" s="52" t="s">
        <v>4</v>
      </c>
      <c r="E281" s="53" t="s">
        <v>27</v>
      </c>
      <c r="F281" s="52" t="s">
        <v>4</v>
      </c>
      <c r="G281" s="57">
        <v>11.0</v>
      </c>
      <c r="H281" s="60" t="s">
        <v>207</v>
      </c>
      <c r="I281" s="62" t="s">
        <v>33</v>
      </c>
      <c r="J281" s="60" t="s">
        <v>209</v>
      </c>
      <c r="K281" s="53" t="s">
        <v>27</v>
      </c>
      <c r="L281" s="52" t="s">
        <v>4</v>
      </c>
      <c r="M281" s="62" t="s">
        <v>44</v>
      </c>
      <c r="N281" s="54" t="s">
        <v>10505</v>
      </c>
      <c r="O281" s="55" t="str">
        <f t="shared" si="14"/>
        <v>L04.00.00.11.02.00.06</v>
      </c>
    </row>
    <row r="282" ht="15.75" customHeight="1">
      <c r="A282" s="51" t="s">
        <v>205</v>
      </c>
      <c r="B282" s="57" t="s">
        <v>206</v>
      </c>
      <c r="C282" s="51" t="s">
        <v>27</v>
      </c>
      <c r="D282" s="52" t="s">
        <v>4</v>
      </c>
      <c r="E282" s="53" t="s">
        <v>27</v>
      </c>
      <c r="F282" s="52" t="s">
        <v>4</v>
      </c>
      <c r="G282" s="57">
        <v>12.0</v>
      </c>
      <c r="H282" s="60" t="s">
        <v>210</v>
      </c>
      <c r="I282" s="53" t="s">
        <v>27</v>
      </c>
      <c r="J282" s="56" t="s">
        <v>4</v>
      </c>
      <c r="K282" s="53" t="s">
        <v>27</v>
      </c>
      <c r="L282" s="52" t="s">
        <v>4</v>
      </c>
      <c r="M282" s="62" t="s">
        <v>44</v>
      </c>
      <c r="N282" s="54" t="s">
        <v>10505</v>
      </c>
      <c r="O282" s="55" t="str">
        <f t="shared" si="14"/>
        <v>L04.00.00.12.00.00.06</v>
      </c>
    </row>
    <row r="283" ht="15.75" customHeight="1">
      <c r="A283" s="51" t="s">
        <v>205</v>
      </c>
      <c r="B283" s="57" t="s">
        <v>206</v>
      </c>
      <c r="C283" s="51" t="s">
        <v>27</v>
      </c>
      <c r="D283" s="52" t="s">
        <v>4</v>
      </c>
      <c r="E283" s="53" t="s">
        <v>27</v>
      </c>
      <c r="F283" s="52" t="s">
        <v>4</v>
      </c>
      <c r="G283" s="57">
        <v>13.0</v>
      </c>
      <c r="H283" s="60" t="s">
        <v>211</v>
      </c>
      <c r="I283" s="62" t="s">
        <v>29</v>
      </c>
      <c r="J283" s="60" t="s">
        <v>212</v>
      </c>
      <c r="K283" s="53" t="s">
        <v>27</v>
      </c>
      <c r="L283" s="52" t="s">
        <v>4</v>
      </c>
      <c r="M283" s="62" t="s">
        <v>44</v>
      </c>
      <c r="N283" s="54" t="s">
        <v>10505</v>
      </c>
      <c r="O283" s="55" t="str">
        <f t="shared" si="14"/>
        <v>L04.00.00.13.01.00.06</v>
      </c>
    </row>
    <row r="284" ht="15.75" customHeight="1">
      <c r="A284" s="51" t="s">
        <v>205</v>
      </c>
      <c r="B284" s="57" t="s">
        <v>206</v>
      </c>
      <c r="C284" s="51" t="s">
        <v>27</v>
      </c>
      <c r="D284" s="52" t="s">
        <v>4</v>
      </c>
      <c r="E284" s="53" t="s">
        <v>27</v>
      </c>
      <c r="F284" s="52" t="s">
        <v>4</v>
      </c>
      <c r="G284" s="57">
        <v>13.0</v>
      </c>
      <c r="H284" s="60" t="s">
        <v>211</v>
      </c>
      <c r="I284" s="62" t="s">
        <v>33</v>
      </c>
      <c r="J284" s="55" t="s">
        <v>213</v>
      </c>
      <c r="K284" s="62" t="s">
        <v>29</v>
      </c>
      <c r="L284" s="78" t="s">
        <v>214</v>
      </c>
      <c r="M284" s="62" t="s">
        <v>44</v>
      </c>
      <c r="N284" s="54" t="s">
        <v>10505</v>
      </c>
      <c r="O284" s="55" t="str">
        <f t="shared" si="14"/>
        <v>L04.00.00.13.02.01.06</v>
      </c>
    </row>
    <row r="285" ht="15.75" customHeight="1">
      <c r="A285" s="51" t="s">
        <v>205</v>
      </c>
      <c r="B285" s="57" t="s">
        <v>206</v>
      </c>
      <c r="C285" s="51" t="s">
        <v>27</v>
      </c>
      <c r="D285" s="52" t="s">
        <v>4</v>
      </c>
      <c r="E285" s="53" t="s">
        <v>27</v>
      </c>
      <c r="F285" s="52" t="s">
        <v>4</v>
      </c>
      <c r="G285" s="57">
        <v>13.0</v>
      </c>
      <c r="H285" s="60" t="s">
        <v>211</v>
      </c>
      <c r="I285" s="62" t="s">
        <v>33</v>
      </c>
      <c r="J285" s="55" t="s">
        <v>213</v>
      </c>
      <c r="K285" s="62" t="s">
        <v>33</v>
      </c>
      <c r="L285" s="78" t="s">
        <v>215</v>
      </c>
      <c r="M285" s="62" t="s">
        <v>44</v>
      </c>
      <c r="N285" s="54" t="s">
        <v>10505</v>
      </c>
      <c r="O285" s="55" t="str">
        <f t="shared" si="14"/>
        <v>L04.00.00.13.02.02.06</v>
      </c>
    </row>
    <row r="286" ht="15.75" customHeight="1">
      <c r="A286" s="51" t="s">
        <v>205</v>
      </c>
      <c r="B286" s="57" t="s">
        <v>206</v>
      </c>
      <c r="C286" s="51" t="s">
        <v>27</v>
      </c>
      <c r="D286" s="52" t="s">
        <v>4</v>
      </c>
      <c r="E286" s="53" t="s">
        <v>27</v>
      </c>
      <c r="F286" s="52" t="s">
        <v>4</v>
      </c>
      <c r="G286" s="57">
        <v>13.0</v>
      </c>
      <c r="H286" s="60" t="s">
        <v>211</v>
      </c>
      <c r="I286" s="62" t="s">
        <v>33</v>
      </c>
      <c r="J286" s="55" t="s">
        <v>213</v>
      </c>
      <c r="K286" s="62" t="s">
        <v>35</v>
      </c>
      <c r="L286" s="78" t="s">
        <v>216</v>
      </c>
      <c r="M286" s="62" t="s">
        <v>44</v>
      </c>
      <c r="N286" s="54" t="s">
        <v>10505</v>
      </c>
      <c r="O286" s="55" t="str">
        <f t="shared" si="14"/>
        <v>L04.00.00.13.02.03.06</v>
      </c>
    </row>
    <row r="287" ht="15.75" customHeight="1">
      <c r="A287" s="51" t="s">
        <v>205</v>
      </c>
      <c r="B287" s="57" t="s">
        <v>206</v>
      </c>
      <c r="C287" s="51" t="s">
        <v>27</v>
      </c>
      <c r="D287" s="52" t="s">
        <v>4</v>
      </c>
      <c r="E287" s="53" t="s">
        <v>27</v>
      </c>
      <c r="F287" s="52" t="s">
        <v>4</v>
      </c>
      <c r="G287" s="57">
        <v>13.0</v>
      </c>
      <c r="H287" s="60" t="s">
        <v>211</v>
      </c>
      <c r="I287" s="62" t="s">
        <v>33</v>
      </c>
      <c r="J287" s="55" t="s">
        <v>213</v>
      </c>
      <c r="K287" s="62" t="s">
        <v>37</v>
      </c>
      <c r="L287" s="78" t="s">
        <v>217</v>
      </c>
      <c r="M287" s="62" t="s">
        <v>44</v>
      </c>
      <c r="N287" s="54" t="s">
        <v>10505</v>
      </c>
      <c r="O287" s="55" t="str">
        <f t="shared" si="14"/>
        <v>L04.00.00.13.02.04.06</v>
      </c>
    </row>
    <row r="288" ht="15.75" customHeight="1">
      <c r="A288" s="51" t="s">
        <v>205</v>
      </c>
      <c r="B288" s="57" t="s">
        <v>206</v>
      </c>
      <c r="C288" s="51" t="s">
        <v>27</v>
      </c>
      <c r="D288" s="52" t="s">
        <v>4</v>
      </c>
      <c r="E288" s="53" t="s">
        <v>27</v>
      </c>
      <c r="F288" s="52" t="s">
        <v>4</v>
      </c>
      <c r="G288" s="57">
        <v>13.0</v>
      </c>
      <c r="H288" s="60" t="s">
        <v>211</v>
      </c>
      <c r="I288" s="62" t="s">
        <v>33</v>
      </c>
      <c r="J288" s="55" t="s">
        <v>213</v>
      </c>
      <c r="K288" s="62" t="s">
        <v>42</v>
      </c>
      <c r="L288" s="78" t="s">
        <v>218</v>
      </c>
      <c r="M288" s="62" t="s">
        <v>44</v>
      </c>
      <c r="N288" s="54" t="s">
        <v>10505</v>
      </c>
      <c r="O288" s="55" t="str">
        <f t="shared" si="14"/>
        <v>L04.00.00.13.02.05.06</v>
      </c>
    </row>
    <row r="289" ht="15.75" customHeight="1">
      <c r="A289" s="51" t="s">
        <v>205</v>
      </c>
      <c r="B289" s="57" t="s">
        <v>206</v>
      </c>
      <c r="C289" s="51" t="s">
        <v>27</v>
      </c>
      <c r="D289" s="52" t="s">
        <v>4</v>
      </c>
      <c r="E289" s="53" t="s">
        <v>27</v>
      </c>
      <c r="F289" s="52" t="s">
        <v>4</v>
      </c>
      <c r="G289" s="57">
        <v>13.0</v>
      </c>
      <c r="H289" s="60" t="s">
        <v>211</v>
      </c>
      <c r="I289" s="62" t="s">
        <v>35</v>
      </c>
      <c r="J289" s="55" t="s">
        <v>219</v>
      </c>
      <c r="K289" s="53" t="s">
        <v>27</v>
      </c>
      <c r="L289" s="52" t="s">
        <v>4</v>
      </c>
      <c r="M289" s="64" t="s">
        <v>29</v>
      </c>
      <c r="N289" s="70" t="s">
        <v>10498</v>
      </c>
      <c r="O289" s="55" t="str">
        <f t="shared" si="14"/>
        <v>L04.00.00.13.03.00.01</v>
      </c>
    </row>
    <row r="290" ht="15.75" customHeight="1">
      <c r="A290" s="51" t="s">
        <v>205</v>
      </c>
      <c r="B290" s="57" t="s">
        <v>206</v>
      </c>
      <c r="C290" s="51" t="s">
        <v>27</v>
      </c>
      <c r="D290" s="52" t="s">
        <v>4</v>
      </c>
      <c r="E290" s="53" t="s">
        <v>27</v>
      </c>
      <c r="F290" s="52" t="s">
        <v>4</v>
      </c>
      <c r="G290" s="57">
        <v>13.0</v>
      </c>
      <c r="H290" s="60" t="s">
        <v>211</v>
      </c>
      <c r="I290" s="62" t="s">
        <v>35</v>
      </c>
      <c r="J290" s="55" t="s">
        <v>219</v>
      </c>
      <c r="K290" s="53" t="s">
        <v>27</v>
      </c>
      <c r="L290" s="52" t="s">
        <v>4</v>
      </c>
      <c r="M290" s="64" t="s">
        <v>33</v>
      </c>
      <c r="N290" s="70" t="s">
        <v>10499</v>
      </c>
      <c r="O290" s="55" t="str">
        <f t="shared" si="14"/>
        <v>L04.00.00.13.03.00.02</v>
      </c>
    </row>
    <row r="291" ht="15.75" customHeight="1">
      <c r="A291" s="50" t="s">
        <v>74</v>
      </c>
      <c r="B291" s="47"/>
      <c r="C291" s="47"/>
      <c r="D291" s="47"/>
      <c r="E291" s="47"/>
      <c r="F291" s="47"/>
      <c r="G291" s="48"/>
      <c r="H291" s="49"/>
      <c r="I291" s="48"/>
      <c r="J291" s="48"/>
      <c r="K291" s="48"/>
      <c r="L291" s="48"/>
      <c r="M291" s="48"/>
      <c r="N291" s="49"/>
      <c r="O291" s="48"/>
    </row>
    <row r="292" ht="15.75" customHeight="1">
      <c r="A292" s="51" t="s">
        <v>205</v>
      </c>
      <c r="B292" s="57" t="s">
        <v>206</v>
      </c>
      <c r="C292" s="52" t="s">
        <v>73</v>
      </c>
      <c r="D292" s="52" t="s">
        <v>74</v>
      </c>
      <c r="E292" s="53" t="s">
        <v>27</v>
      </c>
      <c r="F292" s="52" t="s">
        <v>4</v>
      </c>
      <c r="G292" s="62" t="s">
        <v>29</v>
      </c>
      <c r="H292" s="60" t="s">
        <v>155</v>
      </c>
      <c r="I292" s="53" t="s">
        <v>27</v>
      </c>
      <c r="J292" s="56" t="s">
        <v>4</v>
      </c>
      <c r="K292" s="53" t="s">
        <v>27</v>
      </c>
      <c r="L292" s="52" t="s">
        <v>4</v>
      </c>
      <c r="M292" s="62" t="s">
        <v>46</v>
      </c>
      <c r="N292" s="54" t="s">
        <v>10496</v>
      </c>
      <c r="O292" s="55" t="str">
        <f t="shared" ref="O292:O297" si="15">A292&amp;"."&amp;C292&amp;"."&amp;E292&amp;"."&amp;G292&amp;"."&amp;I292&amp;"."&amp;K292&amp;"."&amp;M292</f>
        <v>L04.99.00.01.00.00.07</v>
      </c>
    </row>
    <row r="293" ht="15.75" customHeight="1">
      <c r="A293" s="51" t="s">
        <v>25</v>
      </c>
      <c r="B293" s="57" t="s">
        <v>26</v>
      </c>
      <c r="C293" s="52" t="s">
        <v>73</v>
      </c>
      <c r="D293" s="52" t="s">
        <v>74</v>
      </c>
      <c r="E293" s="53" t="s">
        <v>27</v>
      </c>
      <c r="F293" s="52" t="s">
        <v>4</v>
      </c>
      <c r="G293" s="62" t="s">
        <v>33</v>
      </c>
      <c r="H293" s="60" t="s">
        <v>75</v>
      </c>
      <c r="I293" s="53" t="s">
        <v>27</v>
      </c>
      <c r="J293" s="56" t="s">
        <v>4</v>
      </c>
      <c r="K293" s="53" t="s">
        <v>27</v>
      </c>
      <c r="L293" s="52" t="s">
        <v>4</v>
      </c>
      <c r="M293" s="62" t="s">
        <v>46</v>
      </c>
      <c r="N293" s="54" t="s">
        <v>10496</v>
      </c>
      <c r="O293" s="55" t="str">
        <f t="shared" si="15"/>
        <v>L01.99.00.02.00.00.07</v>
      </c>
    </row>
    <row r="294" ht="15.75" customHeight="1">
      <c r="A294" s="51" t="s">
        <v>76</v>
      </c>
      <c r="B294" s="57" t="s">
        <v>77</v>
      </c>
      <c r="C294" s="52" t="s">
        <v>73</v>
      </c>
      <c r="D294" s="52" t="s">
        <v>74</v>
      </c>
      <c r="E294" s="53" t="s">
        <v>27</v>
      </c>
      <c r="F294" s="52" t="s">
        <v>4</v>
      </c>
      <c r="G294" s="62" t="s">
        <v>35</v>
      </c>
      <c r="H294" s="60" t="s">
        <v>187</v>
      </c>
      <c r="I294" s="53" t="s">
        <v>27</v>
      </c>
      <c r="J294" s="56" t="s">
        <v>4</v>
      </c>
      <c r="K294" s="53" t="s">
        <v>27</v>
      </c>
      <c r="L294" s="52" t="s">
        <v>4</v>
      </c>
      <c r="M294" s="62" t="s">
        <v>46</v>
      </c>
      <c r="N294" s="54" t="s">
        <v>10496</v>
      </c>
      <c r="O294" s="55" t="str">
        <f t="shared" si="15"/>
        <v>L02.99.00.03.00.00.07</v>
      </c>
    </row>
    <row r="295" ht="15.75" customHeight="1">
      <c r="A295" s="51" t="s">
        <v>76</v>
      </c>
      <c r="B295" s="57" t="s">
        <v>77</v>
      </c>
      <c r="C295" s="52" t="s">
        <v>73</v>
      </c>
      <c r="D295" s="52" t="s">
        <v>74</v>
      </c>
      <c r="E295" s="53" t="s">
        <v>27</v>
      </c>
      <c r="F295" s="52" t="s">
        <v>4</v>
      </c>
      <c r="G295" s="62" t="s">
        <v>35</v>
      </c>
      <c r="H295" s="60" t="s">
        <v>187</v>
      </c>
      <c r="I295" s="53" t="s">
        <v>27</v>
      </c>
      <c r="J295" s="56" t="s">
        <v>4</v>
      </c>
      <c r="K295" s="53" t="s">
        <v>27</v>
      </c>
      <c r="L295" s="52" t="s">
        <v>4</v>
      </c>
      <c r="M295" s="62" t="s">
        <v>33</v>
      </c>
      <c r="N295" s="54" t="s">
        <v>10499</v>
      </c>
      <c r="O295" s="55" t="str">
        <f t="shared" si="15"/>
        <v>L02.99.00.03.00.00.02</v>
      </c>
    </row>
    <row r="296" ht="15.75" customHeight="1">
      <c r="A296" s="51" t="s">
        <v>205</v>
      </c>
      <c r="B296" s="57" t="s">
        <v>206</v>
      </c>
      <c r="C296" s="52" t="s">
        <v>73</v>
      </c>
      <c r="D296" s="52" t="s">
        <v>74</v>
      </c>
      <c r="E296" s="53" t="s">
        <v>27</v>
      </c>
      <c r="F296" s="52" t="s">
        <v>4</v>
      </c>
      <c r="G296" s="62" t="s">
        <v>37</v>
      </c>
      <c r="H296" s="60" t="s">
        <v>34</v>
      </c>
      <c r="I296" s="53" t="s">
        <v>27</v>
      </c>
      <c r="J296" s="56" t="s">
        <v>4</v>
      </c>
      <c r="K296" s="53" t="s">
        <v>27</v>
      </c>
      <c r="L296" s="52" t="s">
        <v>4</v>
      </c>
      <c r="M296" s="62" t="s">
        <v>46</v>
      </c>
      <c r="N296" s="54" t="s">
        <v>10496</v>
      </c>
      <c r="O296" s="55" t="str">
        <f t="shared" si="15"/>
        <v>L04.99.00.04.00.00.07</v>
      </c>
    </row>
    <row r="297" ht="15.75" customHeight="1">
      <c r="A297" s="51" t="s">
        <v>205</v>
      </c>
      <c r="B297" s="57" t="s">
        <v>206</v>
      </c>
      <c r="C297" s="52" t="s">
        <v>73</v>
      </c>
      <c r="D297" s="52" t="s">
        <v>74</v>
      </c>
      <c r="E297" s="53" t="s">
        <v>27</v>
      </c>
      <c r="F297" s="52" t="s">
        <v>4</v>
      </c>
      <c r="G297" s="62" t="s">
        <v>42</v>
      </c>
      <c r="H297" s="60" t="s">
        <v>232</v>
      </c>
      <c r="I297" s="53" t="s">
        <v>27</v>
      </c>
      <c r="J297" s="56" t="s">
        <v>4</v>
      </c>
      <c r="K297" s="53" t="s">
        <v>27</v>
      </c>
      <c r="L297" s="52" t="s">
        <v>4</v>
      </c>
      <c r="M297" s="62" t="s">
        <v>46</v>
      </c>
      <c r="N297" s="54" t="s">
        <v>10496</v>
      </c>
      <c r="O297" s="55" t="str">
        <f t="shared" si="15"/>
        <v>L04.99.00.05.00.00.07</v>
      </c>
    </row>
    <row r="298" ht="15.75" customHeight="1">
      <c r="H298" s="37"/>
      <c r="I298" s="38"/>
      <c r="J298" s="37"/>
      <c r="N298" s="37"/>
    </row>
    <row r="299" ht="15.75" customHeight="1">
      <c r="H299" s="37"/>
      <c r="I299" s="38"/>
      <c r="J299" s="37"/>
      <c r="N299" s="37"/>
    </row>
    <row r="300" ht="15.75" customHeight="1">
      <c r="H300" s="37"/>
      <c r="I300" s="38"/>
      <c r="J300" s="37"/>
      <c r="N300" s="37"/>
    </row>
    <row r="301" ht="15.75" customHeight="1">
      <c r="H301" s="37"/>
      <c r="I301" s="38"/>
      <c r="J301" s="37"/>
      <c r="N301" s="37"/>
    </row>
    <row r="302" ht="15.75" customHeight="1">
      <c r="H302" s="37"/>
      <c r="I302" s="38"/>
      <c r="J302" s="37"/>
      <c r="N302" s="37"/>
    </row>
    <row r="303" ht="15.75" customHeight="1">
      <c r="H303" s="37"/>
      <c r="I303" s="38"/>
      <c r="J303" s="37"/>
      <c r="N303" s="37"/>
    </row>
    <row r="304" ht="15.75" customHeight="1">
      <c r="H304" s="37"/>
      <c r="I304" s="38"/>
      <c r="J304" s="37"/>
      <c r="N304" s="37"/>
    </row>
    <row r="305" ht="15.75" customHeight="1">
      <c r="H305" s="37"/>
      <c r="I305" s="38"/>
      <c r="J305" s="37"/>
      <c r="N305" s="37"/>
    </row>
    <row r="306" ht="15.75" customHeight="1">
      <c r="H306" s="37"/>
      <c r="I306" s="38"/>
      <c r="J306" s="37"/>
      <c r="N306" s="37"/>
    </row>
    <row r="307" ht="15.75" customHeight="1">
      <c r="H307" s="37"/>
      <c r="I307" s="38"/>
      <c r="J307" s="37"/>
      <c r="N307" s="37"/>
    </row>
    <row r="308" ht="15.75" customHeight="1">
      <c r="H308" s="37"/>
      <c r="I308" s="38"/>
      <c r="J308" s="37"/>
      <c r="N308" s="37"/>
    </row>
    <row r="309" ht="15.75" customHeight="1">
      <c r="H309" s="37"/>
      <c r="I309" s="38"/>
      <c r="J309" s="37"/>
      <c r="N309" s="37"/>
    </row>
    <row r="310" ht="15.75" customHeight="1">
      <c r="H310" s="37"/>
      <c r="I310" s="38"/>
      <c r="J310" s="37"/>
      <c r="N310" s="37"/>
    </row>
    <row r="311" ht="15.75" customHeight="1">
      <c r="H311" s="37"/>
      <c r="I311" s="38"/>
      <c r="J311" s="37"/>
      <c r="N311" s="37"/>
    </row>
    <row r="312" ht="15.75" customHeight="1">
      <c r="H312" s="37"/>
      <c r="I312" s="38"/>
      <c r="J312" s="37"/>
      <c r="N312" s="37"/>
    </row>
    <row r="313" ht="15.75" customHeight="1">
      <c r="H313" s="37"/>
      <c r="I313" s="38"/>
      <c r="J313" s="37"/>
      <c r="N313" s="37"/>
    </row>
    <row r="314" ht="15.75" customHeight="1">
      <c r="H314" s="37"/>
      <c r="I314" s="38"/>
      <c r="J314" s="37"/>
      <c r="N314" s="37"/>
    </row>
    <row r="315" ht="15.75" customHeight="1">
      <c r="H315" s="37"/>
      <c r="I315" s="38"/>
      <c r="J315" s="37"/>
      <c r="N315" s="37"/>
    </row>
    <row r="316" ht="15.75" customHeight="1">
      <c r="H316" s="37"/>
      <c r="I316" s="38"/>
      <c r="J316" s="37"/>
      <c r="N316" s="37"/>
    </row>
    <row r="317" ht="15.75" customHeight="1">
      <c r="H317" s="37"/>
      <c r="I317" s="38"/>
      <c r="J317" s="37"/>
      <c r="N317" s="37"/>
    </row>
    <row r="318" ht="15.75" customHeight="1">
      <c r="H318" s="37"/>
      <c r="I318" s="38"/>
      <c r="J318" s="37"/>
      <c r="N318" s="37"/>
    </row>
    <row r="319" ht="15.75" customHeight="1">
      <c r="H319" s="37"/>
      <c r="I319" s="38"/>
      <c r="J319" s="37"/>
      <c r="N319" s="37"/>
    </row>
    <row r="320" ht="15.75" customHeight="1">
      <c r="H320" s="37"/>
      <c r="I320" s="38"/>
      <c r="J320" s="37"/>
      <c r="N320" s="37"/>
    </row>
    <row r="321" ht="15.75" customHeight="1">
      <c r="H321" s="37"/>
      <c r="I321" s="38"/>
      <c r="J321" s="37"/>
      <c r="N321" s="37"/>
    </row>
    <row r="322" ht="15.75" customHeight="1">
      <c r="H322" s="37"/>
      <c r="I322" s="38"/>
      <c r="J322" s="37"/>
      <c r="N322" s="37"/>
    </row>
    <row r="323" ht="15.75" customHeight="1">
      <c r="H323" s="37"/>
      <c r="I323" s="38"/>
      <c r="J323" s="37"/>
      <c r="N323" s="37"/>
    </row>
    <row r="324" ht="15.75" customHeight="1">
      <c r="H324" s="37"/>
      <c r="I324" s="38"/>
      <c r="J324" s="37"/>
      <c r="N324" s="37"/>
    </row>
    <row r="325" ht="15.75" customHeight="1">
      <c r="H325" s="37"/>
      <c r="I325" s="38"/>
      <c r="J325" s="37"/>
      <c r="N325" s="37"/>
    </row>
    <row r="326" ht="15.75" customHeight="1">
      <c r="H326" s="37"/>
      <c r="I326" s="38"/>
      <c r="J326" s="37"/>
      <c r="N326" s="37"/>
    </row>
    <row r="327" ht="15.75" customHeight="1">
      <c r="H327" s="37"/>
      <c r="I327" s="38"/>
      <c r="J327" s="37"/>
      <c r="N327" s="37"/>
    </row>
    <row r="328" ht="15.75" customHeight="1">
      <c r="H328" s="37"/>
      <c r="I328" s="38"/>
      <c r="J328" s="37"/>
      <c r="N328" s="37"/>
    </row>
    <row r="329" ht="15.75" customHeight="1">
      <c r="H329" s="37"/>
      <c r="I329" s="38"/>
      <c r="J329" s="37"/>
      <c r="N329" s="37"/>
    </row>
    <row r="330" ht="15.75" customHeight="1">
      <c r="H330" s="37"/>
      <c r="I330" s="38"/>
      <c r="J330" s="37"/>
      <c r="N330" s="37"/>
    </row>
    <row r="331" ht="15.75" customHeight="1">
      <c r="H331" s="37"/>
      <c r="I331" s="38"/>
      <c r="J331" s="37"/>
      <c r="N331" s="37"/>
    </row>
    <row r="332" ht="15.75" customHeight="1">
      <c r="H332" s="37"/>
      <c r="I332" s="38"/>
      <c r="J332" s="37"/>
      <c r="N332" s="37"/>
    </row>
    <row r="333" ht="15.75" customHeight="1">
      <c r="H333" s="37"/>
      <c r="I333" s="38"/>
      <c r="J333" s="37"/>
      <c r="N333" s="37"/>
    </row>
    <row r="334" ht="15.75" customHeight="1">
      <c r="H334" s="37"/>
      <c r="I334" s="38"/>
      <c r="J334" s="37"/>
      <c r="N334" s="37"/>
    </row>
    <row r="335" ht="15.75" customHeight="1">
      <c r="H335" s="37"/>
      <c r="I335" s="38"/>
      <c r="J335" s="37"/>
      <c r="N335" s="37"/>
    </row>
    <row r="336" ht="15.75" customHeight="1">
      <c r="H336" s="37"/>
      <c r="I336" s="38"/>
      <c r="J336" s="37"/>
      <c r="N336" s="37"/>
    </row>
    <row r="337" ht="15.75" customHeight="1">
      <c r="H337" s="37"/>
      <c r="I337" s="38"/>
      <c r="J337" s="37"/>
      <c r="N337" s="37"/>
    </row>
    <row r="338" ht="15.75" customHeight="1">
      <c r="H338" s="37"/>
      <c r="I338" s="38"/>
      <c r="J338" s="37"/>
      <c r="N338" s="37"/>
    </row>
    <row r="339" ht="15.75" customHeight="1">
      <c r="H339" s="37"/>
      <c r="I339" s="38"/>
      <c r="J339" s="37"/>
      <c r="N339" s="37"/>
    </row>
    <row r="340" ht="15.75" customHeight="1">
      <c r="H340" s="37"/>
      <c r="I340" s="38"/>
      <c r="J340" s="37"/>
      <c r="N340" s="37"/>
    </row>
    <row r="341" ht="15.75" customHeight="1">
      <c r="H341" s="37"/>
      <c r="I341" s="38"/>
      <c r="J341" s="37"/>
      <c r="N341" s="37"/>
    </row>
    <row r="342" ht="15.75" customHeight="1">
      <c r="H342" s="37"/>
      <c r="I342" s="38"/>
      <c r="J342" s="37"/>
      <c r="N342" s="37"/>
    </row>
    <row r="343" ht="15.75" customHeight="1">
      <c r="H343" s="37"/>
      <c r="I343" s="38"/>
      <c r="J343" s="37"/>
      <c r="N343" s="37"/>
    </row>
    <row r="344" ht="15.75" customHeight="1">
      <c r="H344" s="37"/>
      <c r="I344" s="38"/>
      <c r="J344" s="37"/>
      <c r="N344" s="37"/>
    </row>
    <row r="345" ht="15.75" customHeight="1">
      <c r="H345" s="37"/>
      <c r="I345" s="38"/>
      <c r="J345" s="37"/>
      <c r="N345" s="37"/>
    </row>
    <row r="346" ht="15.75" customHeight="1">
      <c r="H346" s="37"/>
      <c r="I346" s="38"/>
      <c r="J346" s="37"/>
      <c r="N346" s="37"/>
    </row>
    <row r="347" ht="15.75" customHeight="1">
      <c r="H347" s="37"/>
      <c r="I347" s="38"/>
      <c r="J347" s="37"/>
      <c r="N347" s="37"/>
    </row>
    <row r="348" ht="15.75" customHeight="1">
      <c r="H348" s="37"/>
      <c r="I348" s="38"/>
      <c r="J348" s="37"/>
      <c r="N348" s="37"/>
    </row>
    <row r="349" ht="15.75" customHeight="1">
      <c r="H349" s="37"/>
      <c r="I349" s="38"/>
      <c r="J349" s="37"/>
      <c r="N349" s="37"/>
    </row>
    <row r="350" ht="15.75" customHeight="1">
      <c r="H350" s="37"/>
      <c r="I350" s="38"/>
      <c r="J350" s="37"/>
      <c r="N350" s="37"/>
    </row>
    <row r="351" ht="15.75" customHeight="1">
      <c r="H351" s="37"/>
      <c r="I351" s="38"/>
      <c r="J351" s="37"/>
      <c r="N351" s="37"/>
    </row>
    <row r="352" ht="15.75" customHeight="1">
      <c r="H352" s="37"/>
      <c r="I352" s="38"/>
      <c r="J352" s="37"/>
      <c r="N352" s="37"/>
    </row>
    <row r="353" ht="15.75" customHeight="1">
      <c r="H353" s="37"/>
      <c r="I353" s="38"/>
      <c r="J353" s="37"/>
      <c r="N353" s="37"/>
    </row>
    <row r="354" ht="15.75" customHeight="1">
      <c r="H354" s="37"/>
      <c r="I354" s="38"/>
      <c r="J354" s="37"/>
      <c r="N354" s="37"/>
    </row>
    <row r="355" ht="15.75" customHeight="1">
      <c r="H355" s="37"/>
      <c r="I355" s="38"/>
      <c r="J355" s="37"/>
      <c r="N355" s="37"/>
    </row>
    <row r="356" ht="15.75" customHeight="1">
      <c r="H356" s="37"/>
      <c r="I356" s="38"/>
      <c r="J356" s="37"/>
      <c r="N356" s="37"/>
    </row>
    <row r="357" ht="15.75" customHeight="1">
      <c r="H357" s="37"/>
      <c r="I357" s="38"/>
      <c r="J357" s="37"/>
      <c r="N357" s="37"/>
    </row>
    <row r="358" ht="15.75" customHeight="1">
      <c r="H358" s="37"/>
      <c r="I358" s="38"/>
      <c r="J358" s="37"/>
      <c r="N358" s="37"/>
    </row>
    <row r="359" ht="15.75" customHeight="1">
      <c r="H359" s="37"/>
      <c r="I359" s="38"/>
      <c r="J359" s="37"/>
      <c r="N359" s="37"/>
    </row>
    <row r="360" ht="15.75" customHeight="1">
      <c r="H360" s="37"/>
      <c r="I360" s="38"/>
      <c r="J360" s="37"/>
      <c r="N360" s="37"/>
    </row>
    <row r="361" ht="15.75" customHeight="1">
      <c r="H361" s="37"/>
      <c r="I361" s="38"/>
      <c r="J361" s="37"/>
      <c r="N361" s="37"/>
    </row>
    <row r="362" ht="15.75" customHeight="1">
      <c r="H362" s="37"/>
      <c r="I362" s="38"/>
      <c r="J362" s="37"/>
      <c r="N362" s="37"/>
    </row>
    <row r="363" ht="15.75" customHeight="1">
      <c r="H363" s="37"/>
      <c r="I363" s="38"/>
      <c r="J363" s="37"/>
      <c r="N363" s="37"/>
    </row>
    <row r="364" ht="15.75" customHeight="1">
      <c r="H364" s="37"/>
      <c r="I364" s="38"/>
      <c r="J364" s="37"/>
      <c r="N364" s="37"/>
    </row>
    <row r="365" ht="15.75" customHeight="1">
      <c r="H365" s="37"/>
      <c r="I365" s="38"/>
      <c r="J365" s="37"/>
      <c r="N365" s="37"/>
    </row>
    <row r="366" ht="15.75" customHeight="1">
      <c r="H366" s="37"/>
      <c r="I366" s="38"/>
      <c r="J366" s="37"/>
      <c r="N366" s="37"/>
    </row>
    <row r="367" ht="15.75" customHeight="1">
      <c r="H367" s="37"/>
      <c r="I367" s="38"/>
      <c r="J367" s="37"/>
      <c r="N367" s="37"/>
    </row>
    <row r="368" ht="15.75" customHeight="1">
      <c r="H368" s="37"/>
      <c r="I368" s="38"/>
      <c r="J368" s="37"/>
      <c r="N368" s="37"/>
    </row>
    <row r="369" ht="15.75" customHeight="1">
      <c r="H369" s="37"/>
      <c r="I369" s="38"/>
      <c r="J369" s="37"/>
      <c r="N369" s="37"/>
    </row>
    <row r="370" ht="15.75" customHeight="1">
      <c r="H370" s="37"/>
      <c r="I370" s="38"/>
      <c r="J370" s="37"/>
      <c r="N370" s="37"/>
    </row>
    <row r="371" ht="15.75" customHeight="1">
      <c r="H371" s="37"/>
      <c r="I371" s="38"/>
      <c r="J371" s="37"/>
      <c r="N371" s="37"/>
    </row>
    <row r="372" ht="15.75" customHeight="1">
      <c r="H372" s="37"/>
      <c r="I372" s="38"/>
      <c r="J372" s="37"/>
      <c r="N372" s="37"/>
    </row>
    <row r="373" ht="15.75" customHeight="1">
      <c r="H373" s="37"/>
      <c r="I373" s="38"/>
      <c r="J373" s="37"/>
      <c r="N373" s="37"/>
    </row>
    <row r="374" ht="15.75" customHeight="1">
      <c r="H374" s="37"/>
      <c r="I374" s="38"/>
      <c r="J374" s="37"/>
      <c r="N374" s="37"/>
    </row>
    <row r="375" ht="15.75" customHeight="1">
      <c r="H375" s="37"/>
      <c r="I375" s="38"/>
      <c r="J375" s="37"/>
      <c r="N375" s="37"/>
    </row>
    <row r="376" ht="15.75" customHeight="1">
      <c r="H376" s="37"/>
      <c r="I376" s="38"/>
      <c r="J376" s="37"/>
      <c r="N376" s="37"/>
    </row>
    <row r="377" ht="15.75" customHeight="1">
      <c r="H377" s="37"/>
      <c r="I377" s="38"/>
      <c r="J377" s="37"/>
      <c r="N377" s="37"/>
    </row>
    <row r="378" ht="15.75" customHeight="1">
      <c r="H378" s="37"/>
      <c r="I378" s="38"/>
      <c r="J378" s="37"/>
      <c r="N378" s="37"/>
    </row>
    <row r="379" ht="15.75" customHeight="1">
      <c r="H379" s="37"/>
      <c r="I379" s="38"/>
      <c r="J379" s="37"/>
      <c r="N379" s="37"/>
    </row>
    <row r="380" ht="15.75" customHeight="1">
      <c r="H380" s="37"/>
      <c r="I380" s="38"/>
      <c r="J380" s="37"/>
      <c r="N380" s="37"/>
    </row>
    <row r="381" ht="15.75" customHeight="1">
      <c r="H381" s="37"/>
      <c r="I381" s="38"/>
      <c r="J381" s="37"/>
      <c r="N381" s="37"/>
    </row>
    <row r="382" ht="15.75" customHeight="1">
      <c r="H382" s="37"/>
      <c r="I382" s="38"/>
      <c r="J382" s="37"/>
      <c r="N382" s="37"/>
    </row>
    <row r="383" ht="15.75" customHeight="1">
      <c r="H383" s="37"/>
      <c r="I383" s="38"/>
      <c r="J383" s="37"/>
      <c r="N383" s="37"/>
    </row>
    <row r="384" ht="15.75" customHeight="1">
      <c r="H384" s="37"/>
      <c r="I384" s="38"/>
      <c r="J384" s="37"/>
      <c r="N384" s="37"/>
    </row>
    <row r="385" ht="15.75" customHeight="1">
      <c r="H385" s="37"/>
      <c r="I385" s="38"/>
      <c r="J385" s="37"/>
      <c r="N385" s="37"/>
    </row>
    <row r="386" ht="15.75" customHeight="1">
      <c r="H386" s="37"/>
      <c r="I386" s="38"/>
      <c r="J386" s="37"/>
      <c r="N386" s="37"/>
    </row>
    <row r="387" ht="15.75" customHeight="1">
      <c r="H387" s="37"/>
      <c r="I387" s="38"/>
      <c r="J387" s="37"/>
      <c r="N387" s="37"/>
    </row>
    <row r="388" ht="15.75" customHeight="1">
      <c r="H388" s="37"/>
      <c r="I388" s="38"/>
      <c r="J388" s="37"/>
      <c r="N388" s="37"/>
    </row>
    <row r="389" ht="15.75" customHeight="1">
      <c r="H389" s="37"/>
      <c r="I389" s="38"/>
      <c r="J389" s="37"/>
      <c r="N389" s="37"/>
    </row>
    <row r="390" ht="15.75" customHeight="1">
      <c r="H390" s="37"/>
      <c r="I390" s="38"/>
      <c r="J390" s="37"/>
      <c r="N390" s="37"/>
    </row>
    <row r="391" ht="15.75" customHeight="1">
      <c r="H391" s="37"/>
      <c r="I391" s="38"/>
      <c r="J391" s="37"/>
      <c r="N391" s="37"/>
    </row>
    <row r="392" ht="15.75" customHeight="1">
      <c r="H392" s="37"/>
      <c r="I392" s="38"/>
      <c r="J392" s="37"/>
      <c r="N392" s="37"/>
    </row>
    <row r="393" ht="15.75" customHeight="1">
      <c r="H393" s="37"/>
      <c r="I393" s="38"/>
      <c r="J393" s="37"/>
      <c r="N393" s="37"/>
    </row>
    <row r="394" ht="15.75" customHeight="1">
      <c r="H394" s="37"/>
      <c r="I394" s="38"/>
      <c r="J394" s="37"/>
      <c r="N394" s="37"/>
    </row>
    <row r="395" ht="15.75" customHeight="1">
      <c r="H395" s="37"/>
      <c r="I395" s="38"/>
      <c r="J395" s="37"/>
      <c r="N395" s="37"/>
    </row>
    <row r="396" ht="15.75" customHeight="1">
      <c r="H396" s="37"/>
      <c r="I396" s="38"/>
      <c r="J396" s="37"/>
      <c r="N396" s="37"/>
    </row>
    <row r="397" ht="15.75" customHeight="1">
      <c r="H397" s="37"/>
      <c r="I397" s="38"/>
      <c r="J397" s="37"/>
      <c r="N397" s="37"/>
    </row>
    <row r="398" ht="15.75" customHeight="1">
      <c r="H398" s="37"/>
      <c r="I398" s="38"/>
      <c r="J398" s="37"/>
      <c r="N398" s="37"/>
    </row>
    <row r="399" ht="15.75" customHeight="1">
      <c r="H399" s="37"/>
      <c r="I399" s="38"/>
      <c r="J399" s="37"/>
      <c r="N399" s="37"/>
    </row>
    <row r="400" ht="15.75" customHeight="1">
      <c r="H400" s="37"/>
      <c r="I400" s="38"/>
      <c r="J400" s="37"/>
      <c r="N400" s="37"/>
    </row>
    <row r="401" ht="15.75" customHeight="1">
      <c r="H401" s="37"/>
      <c r="I401" s="38"/>
      <c r="J401" s="37"/>
      <c r="N401" s="37"/>
    </row>
    <row r="402" ht="15.75" customHeight="1">
      <c r="H402" s="37"/>
      <c r="I402" s="38"/>
      <c r="J402" s="37"/>
      <c r="N402" s="37"/>
    </row>
    <row r="403" ht="15.75" customHeight="1">
      <c r="H403" s="37"/>
      <c r="I403" s="38"/>
      <c r="J403" s="37"/>
      <c r="N403" s="37"/>
    </row>
    <row r="404" ht="15.75" customHeight="1">
      <c r="H404" s="37"/>
      <c r="I404" s="38"/>
      <c r="J404" s="37"/>
      <c r="N404" s="37"/>
    </row>
    <row r="405" ht="15.75" customHeight="1">
      <c r="H405" s="37"/>
      <c r="I405" s="38"/>
      <c r="J405" s="37"/>
      <c r="N405" s="37"/>
    </row>
    <row r="406" ht="15.75" customHeight="1">
      <c r="H406" s="37"/>
      <c r="I406" s="38"/>
      <c r="J406" s="37"/>
      <c r="N406" s="37"/>
    </row>
    <row r="407" ht="15.75" customHeight="1">
      <c r="H407" s="37"/>
      <c r="I407" s="38"/>
      <c r="J407" s="37"/>
      <c r="N407" s="37"/>
    </row>
    <row r="408" ht="15.75" customHeight="1">
      <c r="H408" s="37"/>
      <c r="I408" s="38"/>
      <c r="J408" s="37"/>
      <c r="N408" s="37"/>
    </row>
    <row r="409" ht="15.75" customHeight="1">
      <c r="H409" s="37"/>
      <c r="I409" s="38"/>
      <c r="J409" s="37"/>
      <c r="N409" s="37"/>
    </row>
    <row r="410" ht="15.75" customHeight="1">
      <c r="H410" s="37"/>
      <c r="I410" s="38"/>
      <c r="J410" s="37"/>
      <c r="N410" s="37"/>
    </row>
    <row r="411" ht="15.75" customHeight="1">
      <c r="H411" s="37"/>
      <c r="I411" s="38"/>
      <c r="J411" s="37"/>
      <c r="N411" s="37"/>
    </row>
    <row r="412" ht="15.75" customHeight="1">
      <c r="H412" s="37"/>
      <c r="I412" s="38"/>
      <c r="J412" s="37"/>
      <c r="N412" s="37"/>
    </row>
    <row r="413" ht="15.75" customHeight="1">
      <c r="H413" s="37"/>
      <c r="I413" s="38"/>
      <c r="J413" s="37"/>
      <c r="N413" s="37"/>
    </row>
    <row r="414" ht="15.75" customHeight="1">
      <c r="H414" s="37"/>
      <c r="I414" s="38"/>
      <c r="J414" s="37"/>
      <c r="N414" s="37"/>
    </row>
    <row r="415" ht="15.75" customHeight="1">
      <c r="H415" s="37"/>
      <c r="I415" s="38"/>
      <c r="J415" s="37"/>
      <c r="N415" s="37"/>
    </row>
    <row r="416" ht="15.75" customHeight="1">
      <c r="H416" s="37"/>
      <c r="I416" s="38"/>
      <c r="J416" s="37"/>
      <c r="N416" s="37"/>
    </row>
    <row r="417" ht="15.75" customHeight="1">
      <c r="H417" s="37"/>
      <c r="I417" s="38"/>
      <c r="J417" s="37"/>
      <c r="N417" s="37"/>
    </row>
    <row r="418" ht="15.75" customHeight="1">
      <c r="H418" s="37"/>
      <c r="I418" s="38"/>
      <c r="J418" s="37"/>
      <c r="N418" s="37"/>
    </row>
    <row r="419" ht="15.75" customHeight="1">
      <c r="H419" s="37"/>
      <c r="I419" s="38"/>
      <c r="J419" s="37"/>
      <c r="N419" s="37"/>
    </row>
    <row r="420" ht="15.75" customHeight="1">
      <c r="H420" s="37"/>
      <c r="I420" s="38"/>
      <c r="J420" s="37"/>
      <c r="N420" s="37"/>
    </row>
    <row r="421" ht="15.75" customHeight="1">
      <c r="H421" s="37"/>
      <c r="I421" s="38"/>
      <c r="J421" s="37"/>
      <c r="N421" s="37"/>
    </row>
    <row r="422" ht="15.75" customHeight="1">
      <c r="H422" s="37"/>
      <c r="I422" s="38"/>
      <c r="J422" s="37"/>
      <c r="N422" s="37"/>
    </row>
    <row r="423" ht="15.75" customHeight="1">
      <c r="H423" s="37"/>
      <c r="I423" s="38"/>
      <c r="J423" s="37"/>
      <c r="N423" s="37"/>
    </row>
    <row r="424" ht="15.75" customHeight="1">
      <c r="H424" s="37"/>
      <c r="I424" s="38"/>
      <c r="J424" s="37"/>
      <c r="N424" s="37"/>
    </row>
    <row r="425" ht="15.75" customHeight="1">
      <c r="H425" s="37"/>
      <c r="I425" s="38"/>
      <c r="J425" s="37"/>
      <c r="N425" s="37"/>
    </row>
    <row r="426" ht="15.75" customHeight="1">
      <c r="H426" s="37"/>
      <c r="I426" s="38"/>
      <c r="J426" s="37"/>
      <c r="N426" s="37"/>
    </row>
    <row r="427" ht="15.75" customHeight="1">
      <c r="H427" s="37"/>
      <c r="I427" s="38"/>
      <c r="J427" s="37"/>
      <c r="N427" s="37"/>
    </row>
    <row r="428" ht="15.75" customHeight="1">
      <c r="H428" s="37"/>
      <c r="I428" s="38"/>
      <c r="J428" s="37"/>
      <c r="N428" s="37"/>
    </row>
    <row r="429" ht="15.75" customHeight="1">
      <c r="H429" s="37"/>
      <c r="I429" s="38"/>
      <c r="J429" s="37"/>
      <c r="N429" s="37"/>
    </row>
    <row r="430" ht="15.75" customHeight="1">
      <c r="H430" s="37"/>
      <c r="I430" s="38"/>
      <c r="J430" s="37"/>
      <c r="N430" s="37"/>
    </row>
    <row r="431" ht="15.75" customHeight="1">
      <c r="H431" s="37"/>
      <c r="I431" s="38"/>
      <c r="J431" s="37"/>
      <c r="N431" s="37"/>
    </row>
    <row r="432" ht="15.75" customHeight="1">
      <c r="H432" s="37"/>
      <c r="I432" s="38"/>
      <c r="J432" s="37"/>
      <c r="N432" s="37"/>
    </row>
    <row r="433" ht="15.75" customHeight="1">
      <c r="H433" s="37"/>
      <c r="I433" s="38"/>
      <c r="J433" s="37"/>
      <c r="N433" s="37"/>
    </row>
    <row r="434" ht="15.75" customHeight="1">
      <c r="H434" s="37"/>
      <c r="I434" s="38"/>
      <c r="J434" s="37"/>
      <c r="N434" s="37"/>
    </row>
    <row r="435" ht="15.75" customHeight="1">
      <c r="H435" s="37"/>
      <c r="I435" s="38"/>
      <c r="J435" s="37"/>
      <c r="N435" s="37"/>
    </row>
    <row r="436" ht="15.75" customHeight="1">
      <c r="H436" s="37"/>
      <c r="I436" s="38"/>
      <c r="J436" s="37"/>
      <c r="N436" s="37"/>
    </row>
    <row r="437" ht="15.75" customHeight="1">
      <c r="H437" s="37"/>
      <c r="I437" s="38"/>
      <c r="J437" s="37"/>
      <c r="N437" s="37"/>
    </row>
    <row r="438" ht="15.75" customHeight="1">
      <c r="H438" s="37"/>
      <c r="I438" s="38"/>
      <c r="J438" s="37"/>
      <c r="N438" s="37"/>
    </row>
    <row r="439" ht="15.75" customHeight="1">
      <c r="H439" s="37"/>
      <c r="I439" s="38"/>
      <c r="J439" s="37"/>
      <c r="N439" s="37"/>
    </row>
    <row r="440" ht="15.75" customHeight="1">
      <c r="H440" s="37"/>
      <c r="I440" s="38"/>
      <c r="J440" s="37"/>
      <c r="N440" s="37"/>
    </row>
    <row r="441" ht="15.75" customHeight="1">
      <c r="H441" s="37"/>
      <c r="I441" s="38"/>
      <c r="J441" s="37"/>
      <c r="N441" s="37"/>
    </row>
    <row r="442" ht="15.75" customHeight="1">
      <c r="H442" s="37"/>
      <c r="I442" s="38"/>
      <c r="J442" s="37"/>
      <c r="N442" s="37"/>
    </row>
    <row r="443" ht="15.75" customHeight="1">
      <c r="H443" s="37"/>
      <c r="I443" s="38"/>
      <c r="J443" s="37"/>
      <c r="N443" s="37"/>
    </row>
    <row r="444" ht="15.75" customHeight="1">
      <c r="H444" s="37"/>
      <c r="I444" s="38"/>
      <c r="J444" s="37"/>
      <c r="N444" s="37"/>
    </row>
    <row r="445" ht="15.75" customHeight="1">
      <c r="H445" s="37"/>
      <c r="I445" s="38"/>
      <c r="J445" s="37"/>
      <c r="N445" s="37"/>
    </row>
    <row r="446" ht="15.75" customHeight="1">
      <c r="H446" s="37"/>
      <c r="I446" s="38"/>
      <c r="J446" s="37"/>
      <c r="N446" s="37"/>
    </row>
    <row r="447" ht="15.75" customHeight="1">
      <c r="H447" s="37"/>
      <c r="I447" s="38"/>
      <c r="J447" s="37"/>
      <c r="N447" s="37"/>
    </row>
    <row r="448" ht="15.75" customHeight="1">
      <c r="H448" s="37"/>
      <c r="I448" s="38"/>
      <c r="J448" s="37"/>
      <c r="N448" s="37"/>
    </row>
    <row r="449" ht="15.75" customHeight="1">
      <c r="H449" s="37"/>
      <c r="I449" s="38"/>
      <c r="J449" s="37"/>
      <c r="N449" s="37"/>
    </row>
    <row r="450" ht="15.75" customHeight="1">
      <c r="H450" s="37"/>
      <c r="I450" s="38"/>
      <c r="J450" s="37"/>
      <c r="N450" s="37"/>
    </row>
    <row r="451" ht="15.75" customHeight="1">
      <c r="H451" s="37"/>
      <c r="I451" s="38"/>
      <c r="J451" s="37"/>
      <c r="N451" s="37"/>
    </row>
    <row r="452" ht="15.75" customHeight="1">
      <c r="H452" s="37"/>
      <c r="I452" s="38"/>
      <c r="J452" s="37"/>
      <c r="N452" s="37"/>
    </row>
    <row r="453" ht="15.75" customHeight="1">
      <c r="H453" s="37"/>
      <c r="I453" s="38"/>
      <c r="J453" s="37"/>
      <c r="N453" s="37"/>
    </row>
    <row r="454" ht="15.75" customHeight="1">
      <c r="H454" s="37"/>
      <c r="I454" s="38"/>
      <c r="J454" s="37"/>
      <c r="N454" s="37"/>
    </row>
    <row r="455" ht="15.75" customHeight="1">
      <c r="H455" s="37"/>
      <c r="I455" s="38"/>
      <c r="J455" s="37"/>
      <c r="N455" s="37"/>
    </row>
    <row r="456" ht="15.75" customHeight="1">
      <c r="H456" s="37"/>
      <c r="I456" s="38"/>
      <c r="J456" s="37"/>
      <c r="N456" s="37"/>
    </row>
    <row r="457" ht="15.75" customHeight="1">
      <c r="H457" s="37"/>
      <c r="I457" s="38"/>
      <c r="J457" s="37"/>
      <c r="N457" s="37"/>
    </row>
    <row r="458" ht="15.75" customHeight="1">
      <c r="H458" s="37"/>
      <c r="I458" s="38"/>
      <c r="J458" s="37"/>
      <c r="N458" s="37"/>
    </row>
    <row r="459" ht="15.75" customHeight="1">
      <c r="H459" s="37"/>
      <c r="I459" s="38"/>
      <c r="J459" s="37"/>
      <c r="N459" s="37"/>
    </row>
    <row r="460" ht="15.75" customHeight="1">
      <c r="H460" s="37"/>
      <c r="I460" s="38"/>
      <c r="J460" s="37"/>
      <c r="N460" s="37"/>
    </row>
    <row r="461" ht="15.75" customHeight="1">
      <c r="H461" s="37"/>
      <c r="I461" s="38"/>
      <c r="J461" s="37"/>
      <c r="N461" s="37"/>
    </row>
    <row r="462" ht="15.75" customHeight="1">
      <c r="H462" s="37"/>
      <c r="I462" s="38"/>
      <c r="J462" s="37"/>
      <c r="N462" s="37"/>
    </row>
    <row r="463" ht="15.75" customHeight="1">
      <c r="H463" s="37"/>
      <c r="I463" s="38"/>
      <c r="J463" s="37"/>
      <c r="N463" s="37"/>
    </row>
    <row r="464" ht="15.75" customHeight="1">
      <c r="H464" s="37"/>
      <c r="I464" s="38"/>
      <c r="J464" s="37"/>
      <c r="N464" s="37"/>
    </row>
    <row r="465" ht="15.75" customHeight="1">
      <c r="H465" s="37"/>
      <c r="I465" s="38"/>
      <c r="J465" s="37"/>
      <c r="N465" s="37"/>
    </row>
    <row r="466" ht="15.75" customHeight="1">
      <c r="H466" s="37"/>
      <c r="I466" s="38"/>
      <c r="J466" s="37"/>
      <c r="N466" s="37"/>
    </row>
    <row r="467" ht="15.75" customHeight="1">
      <c r="H467" s="37"/>
      <c r="I467" s="38"/>
      <c r="J467" s="37"/>
      <c r="N467" s="37"/>
    </row>
    <row r="468" ht="15.75" customHeight="1">
      <c r="H468" s="37"/>
      <c r="I468" s="38"/>
      <c r="J468" s="37"/>
      <c r="N468" s="37"/>
    </row>
    <row r="469" ht="15.75" customHeight="1">
      <c r="H469" s="37"/>
      <c r="I469" s="38"/>
      <c r="J469" s="37"/>
      <c r="N469" s="37"/>
    </row>
    <row r="470" ht="15.75" customHeight="1">
      <c r="H470" s="37"/>
      <c r="I470" s="38"/>
      <c r="J470" s="37"/>
      <c r="N470" s="37"/>
    </row>
    <row r="471" ht="15.75" customHeight="1">
      <c r="H471" s="37"/>
      <c r="I471" s="38"/>
      <c r="J471" s="37"/>
      <c r="N471" s="37"/>
    </row>
    <row r="472" ht="15.75" customHeight="1">
      <c r="H472" s="37"/>
      <c r="I472" s="38"/>
      <c r="J472" s="37"/>
      <c r="N472" s="37"/>
    </row>
    <row r="473" ht="15.75" customHeight="1">
      <c r="H473" s="37"/>
      <c r="I473" s="38"/>
      <c r="J473" s="37"/>
      <c r="N473" s="37"/>
    </row>
    <row r="474" ht="15.75" customHeight="1">
      <c r="H474" s="37"/>
      <c r="I474" s="38"/>
      <c r="J474" s="37"/>
      <c r="N474" s="37"/>
    </row>
    <row r="475" ht="15.75" customHeight="1">
      <c r="H475" s="37"/>
      <c r="I475" s="38"/>
      <c r="J475" s="37"/>
      <c r="N475" s="37"/>
    </row>
    <row r="476" ht="15.75" customHeight="1">
      <c r="H476" s="37"/>
      <c r="I476" s="38"/>
      <c r="J476" s="37"/>
      <c r="N476" s="37"/>
    </row>
    <row r="477" ht="15.75" customHeight="1">
      <c r="H477" s="37"/>
      <c r="I477" s="38"/>
      <c r="J477" s="37"/>
      <c r="N477" s="37"/>
    </row>
    <row r="478" ht="15.75" customHeight="1">
      <c r="H478" s="37"/>
      <c r="I478" s="38"/>
      <c r="J478" s="37"/>
      <c r="N478" s="37"/>
    </row>
    <row r="479" ht="15.75" customHeight="1">
      <c r="H479" s="37"/>
      <c r="I479" s="38"/>
      <c r="J479" s="37"/>
      <c r="N479" s="37"/>
    </row>
    <row r="480" ht="15.75" customHeight="1">
      <c r="H480" s="37"/>
      <c r="I480" s="38"/>
      <c r="J480" s="37"/>
      <c r="N480" s="37"/>
    </row>
    <row r="481" ht="15.75" customHeight="1">
      <c r="H481" s="37"/>
      <c r="I481" s="38"/>
      <c r="J481" s="37"/>
      <c r="N481" s="37"/>
    </row>
    <row r="482" ht="15.75" customHeight="1">
      <c r="H482" s="37"/>
      <c r="I482" s="38"/>
      <c r="J482" s="37"/>
      <c r="N482" s="37"/>
    </row>
    <row r="483" ht="15.75" customHeight="1">
      <c r="H483" s="37"/>
      <c r="I483" s="38"/>
      <c r="J483" s="37"/>
      <c r="N483" s="37"/>
    </row>
    <row r="484" ht="15.75" customHeight="1">
      <c r="H484" s="37"/>
      <c r="I484" s="38"/>
      <c r="J484" s="37"/>
      <c r="N484" s="37"/>
    </row>
    <row r="485" ht="15.75" customHeight="1">
      <c r="H485" s="37"/>
      <c r="I485" s="38"/>
      <c r="J485" s="37"/>
      <c r="N485" s="37"/>
    </row>
    <row r="486" ht="15.75" customHeight="1">
      <c r="H486" s="37"/>
      <c r="I486" s="38"/>
      <c r="J486" s="37"/>
      <c r="N486" s="37"/>
    </row>
    <row r="487" ht="15.75" customHeight="1">
      <c r="H487" s="37"/>
      <c r="I487" s="38"/>
      <c r="J487" s="37"/>
      <c r="N487" s="37"/>
    </row>
    <row r="488" ht="15.75" customHeight="1">
      <c r="H488" s="37"/>
      <c r="I488" s="38"/>
      <c r="J488" s="37"/>
      <c r="N488" s="37"/>
    </row>
    <row r="489" ht="15.75" customHeight="1">
      <c r="H489" s="37"/>
      <c r="I489" s="38"/>
      <c r="J489" s="37"/>
      <c r="N489" s="37"/>
    </row>
    <row r="490" ht="15.75" customHeight="1">
      <c r="H490" s="37"/>
      <c r="I490" s="38"/>
      <c r="J490" s="37"/>
      <c r="N490" s="37"/>
    </row>
    <row r="491" ht="15.75" customHeight="1">
      <c r="H491" s="37"/>
      <c r="I491" s="38"/>
      <c r="J491" s="37"/>
      <c r="N491" s="37"/>
    </row>
    <row r="492" ht="15.75" customHeight="1">
      <c r="H492" s="37"/>
      <c r="I492" s="38"/>
      <c r="J492" s="37"/>
      <c r="N492" s="37"/>
    </row>
    <row r="493" ht="15.75" customHeight="1">
      <c r="H493" s="37"/>
      <c r="I493" s="38"/>
      <c r="J493" s="37"/>
      <c r="N493" s="37"/>
    </row>
    <row r="494" ht="15.75" customHeight="1">
      <c r="H494" s="37"/>
      <c r="I494" s="38"/>
      <c r="J494" s="37"/>
      <c r="N494" s="37"/>
    </row>
    <row r="495" ht="15.75" customHeight="1">
      <c r="H495" s="37"/>
      <c r="I495" s="38"/>
      <c r="J495" s="37"/>
      <c r="N495" s="37"/>
    </row>
    <row r="496" ht="15.75" customHeight="1">
      <c r="H496" s="37"/>
      <c r="I496" s="38"/>
      <c r="J496" s="37"/>
      <c r="N496" s="37"/>
    </row>
    <row r="497" ht="15.75" customHeight="1">
      <c r="H497" s="37"/>
      <c r="I497" s="38"/>
      <c r="J497" s="37"/>
      <c r="N497" s="37"/>
    </row>
    <row r="498" ht="15.75" customHeight="1">
      <c r="H498" s="37"/>
      <c r="I498" s="38"/>
      <c r="J498" s="37"/>
      <c r="N498" s="37"/>
    </row>
    <row r="499" ht="15.75" customHeight="1">
      <c r="H499" s="37"/>
      <c r="I499" s="38"/>
      <c r="J499" s="37"/>
      <c r="N499" s="37"/>
    </row>
    <row r="500" ht="15.75" customHeight="1">
      <c r="H500" s="37"/>
      <c r="I500" s="38"/>
      <c r="J500" s="37"/>
      <c r="N500" s="37"/>
    </row>
    <row r="501" ht="15.75" customHeight="1">
      <c r="H501" s="37"/>
      <c r="I501" s="38"/>
      <c r="J501" s="37"/>
      <c r="N501" s="37"/>
    </row>
    <row r="502" ht="15.75" customHeight="1">
      <c r="H502" s="37"/>
      <c r="I502" s="38"/>
      <c r="J502" s="37"/>
      <c r="N502" s="37"/>
    </row>
    <row r="503" ht="15.75" customHeight="1">
      <c r="H503" s="37"/>
      <c r="I503" s="38"/>
      <c r="J503" s="37"/>
      <c r="N503" s="37"/>
    </row>
    <row r="504" ht="15.75" customHeight="1">
      <c r="H504" s="37"/>
      <c r="I504" s="38"/>
      <c r="J504" s="37"/>
      <c r="N504" s="37"/>
    </row>
    <row r="505" ht="15.75" customHeight="1">
      <c r="H505" s="37"/>
      <c r="I505" s="38"/>
      <c r="J505" s="37"/>
      <c r="N505" s="37"/>
    </row>
    <row r="506" ht="15.75" customHeight="1">
      <c r="H506" s="37"/>
      <c r="I506" s="38"/>
      <c r="J506" s="37"/>
      <c r="N506" s="37"/>
    </row>
    <row r="507" ht="15.75" customHeight="1">
      <c r="H507" s="37"/>
      <c r="I507" s="38"/>
      <c r="J507" s="37"/>
      <c r="N507" s="37"/>
    </row>
    <row r="508" ht="15.75" customHeight="1">
      <c r="H508" s="37"/>
      <c r="I508" s="38"/>
      <c r="J508" s="37"/>
      <c r="N508" s="37"/>
    </row>
    <row r="509" ht="15.75" customHeight="1">
      <c r="H509" s="37"/>
      <c r="I509" s="38"/>
      <c r="J509" s="37"/>
      <c r="N509" s="37"/>
    </row>
    <row r="510" ht="15.75" customHeight="1">
      <c r="H510" s="37"/>
      <c r="I510" s="38"/>
      <c r="J510" s="37"/>
      <c r="N510" s="37"/>
    </row>
    <row r="511" ht="15.75" customHeight="1">
      <c r="H511" s="37"/>
      <c r="I511" s="38"/>
      <c r="J511" s="37"/>
      <c r="N511" s="37"/>
    </row>
    <row r="512" ht="15.75" customHeight="1">
      <c r="H512" s="37"/>
      <c r="I512" s="38"/>
      <c r="J512" s="37"/>
      <c r="N512" s="37"/>
    </row>
    <row r="513" ht="15.75" customHeight="1">
      <c r="H513" s="37"/>
      <c r="I513" s="38"/>
      <c r="J513" s="37"/>
      <c r="N513" s="37"/>
    </row>
    <row r="514" ht="15.75" customHeight="1">
      <c r="H514" s="37"/>
      <c r="I514" s="38"/>
      <c r="J514" s="37"/>
      <c r="N514" s="37"/>
    </row>
    <row r="515" ht="15.75" customHeight="1">
      <c r="H515" s="37"/>
      <c r="I515" s="38"/>
      <c r="J515" s="37"/>
      <c r="N515" s="37"/>
    </row>
    <row r="516" ht="15.75" customHeight="1">
      <c r="H516" s="37"/>
      <c r="I516" s="38"/>
      <c r="J516" s="37"/>
      <c r="N516" s="37"/>
    </row>
    <row r="517" ht="15.75" customHeight="1">
      <c r="H517" s="37"/>
      <c r="I517" s="38"/>
      <c r="J517" s="37"/>
      <c r="N517" s="37"/>
    </row>
    <row r="518" ht="15.75" customHeight="1">
      <c r="H518" s="37"/>
      <c r="I518" s="38"/>
      <c r="J518" s="37"/>
      <c r="N518" s="37"/>
    </row>
    <row r="519" ht="15.75" customHeight="1">
      <c r="H519" s="37"/>
      <c r="I519" s="38"/>
      <c r="J519" s="37"/>
      <c r="N519" s="37"/>
    </row>
    <row r="520" ht="15.75" customHeight="1">
      <c r="H520" s="37"/>
      <c r="I520" s="38"/>
      <c r="J520" s="37"/>
      <c r="N520" s="37"/>
    </row>
    <row r="521" ht="15.75" customHeight="1">
      <c r="H521" s="37"/>
      <c r="I521" s="38"/>
      <c r="J521" s="37"/>
      <c r="N521" s="37"/>
    </row>
    <row r="522" ht="15.75" customHeight="1">
      <c r="H522" s="37"/>
      <c r="I522" s="38"/>
      <c r="J522" s="37"/>
      <c r="N522" s="37"/>
    </row>
    <row r="523" ht="15.75" customHeight="1">
      <c r="H523" s="37"/>
      <c r="I523" s="38"/>
      <c r="J523" s="37"/>
      <c r="N523" s="37"/>
    </row>
    <row r="524" ht="15.75" customHeight="1">
      <c r="H524" s="37"/>
      <c r="I524" s="38"/>
      <c r="J524" s="37"/>
      <c r="N524" s="37"/>
    </row>
    <row r="525" ht="15.75" customHeight="1">
      <c r="H525" s="37"/>
      <c r="I525" s="38"/>
      <c r="J525" s="37"/>
      <c r="N525" s="37"/>
    </row>
    <row r="526" ht="15.75" customHeight="1">
      <c r="H526" s="37"/>
      <c r="I526" s="38"/>
      <c r="J526" s="37"/>
      <c r="N526" s="37"/>
    </row>
    <row r="527" ht="15.75" customHeight="1">
      <c r="H527" s="37"/>
      <c r="I527" s="38"/>
      <c r="J527" s="37"/>
      <c r="N527" s="37"/>
    </row>
    <row r="528" ht="15.75" customHeight="1">
      <c r="H528" s="37"/>
      <c r="I528" s="38"/>
      <c r="J528" s="37"/>
      <c r="N528" s="37"/>
    </row>
    <row r="529" ht="15.75" customHeight="1">
      <c r="H529" s="37"/>
      <c r="I529" s="38"/>
      <c r="J529" s="37"/>
      <c r="N529" s="37"/>
    </row>
    <row r="530" ht="15.75" customHeight="1">
      <c r="H530" s="37"/>
      <c r="I530" s="38"/>
      <c r="J530" s="37"/>
      <c r="N530" s="37"/>
    </row>
    <row r="531" ht="15.75" customHeight="1">
      <c r="H531" s="37"/>
      <c r="I531" s="38"/>
      <c r="J531" s="37"/>
      <c r="N531" s="37"/>
    </row>
    <row r="532" ht="15.75" customHeight="1">
      <c r="H532" s="37"/>
      <c r="I532" s="38"/>
      <c r="J532" s="37"/>
      <c r="N532" s="37"/>
    </row>
    <row r="533" ht="15.75" customHeight="1">
      <c r="H533" s="37"/>
      <c r="I533" s="38"/>
      <c r="J533" s="37"/>
      <c r="N533" s="37"/>
    </row>
    <row r="534" ht="15.75" customHeight="1">
      <c r="H534" s="37"/>
      <c r="I534" s="38"/>
      <c r="J534" s="37"/>
      <c r="N534" s="37"/>
    </row>
    <row r="535" ht="15.75" customHeight="1">
      <c r="H535" s="37"/>
      <c r="I535" s="38"/>
      <c r="J535" s="37"/>
      <c r="N535" s="37"/>
    </row>
    <row r="536" ht="15.75" customHeight="1">
      <c r="H536" s="37"/>
      <c r="I536" s="38"/>
      <c r="J536" s="37"/>
      <c r="N536" s="37"/>
    </row>
    <row r="537" ht="15.75" customHeight="1">
      <c r="H537" s="37"/>
      <c r="I537" s="38"/>
      <c r="J537" s="37"/>
      <c r="N537" s="37"/>
    </row>
    <row r="538" ht="15.75" customHeight="1">
      <c r="H538" s="37"/>
      <c r="I538" s="38"/>
      <c r="J538" s="37"/>
      <c r="N538" s="37"/>
    </row>
    <row r="539" ht="15.75" customHeight="1">
      <c r="H539" s="37"/>
      <c r="I539" s="38"/>
      <c r="J539" s="37"/>
      <c r="N539" s="37"/>
    </row>
    <row r="540" ht="15.75" customHeight="1">
      <c r="H540" s="37"/>
      <c r="I540" s="38"/>
      <c r="J540" s="37"/>
      <c r="N540" s="37"/>
    </row>
    <row r="541" ht="15.75" customHeight="1">
      <c r="H541" s="37"/>
      <c r="I541" s="38"/>
      <c r="J541" s="37"/>
      <c r="N541" s="37"/>
    </row>
    <row r="542" ht="15.75" customHeight="1">
      <c r="H542" s="37"/>
      <c r="I542" s="38"/>
      <c r="J542" s="37"/>
      <c r="N542" s="37"/>
    </row>
    <row r="543" ht="15.75" customHeight="1">
      <c r="H543" s="37"/>
      <c r="I543" s="38"/>
      <c r="J543" s="37"/>
      <c r="N543" s="37"/>
    </row>
    <row r="544" ht="15.75" customHeight="1">
      <c r="H544" s="37"/>
      <c r="I544" s="38"/>
      <c r="J544" s="37"/>
      <c r="N544" s="37"/>
    </row>
    <row r="545" ht="15.75" customHeight="1">
      <c r="H545" s="37"/>
      <c r="I545" s="38"/>
      <c r="J545" s="37"/>
      <c r="N545" s="37"/>
    </row>
    <row r="546" ht="15.75" customHeight="1">
      <c r="H546" s="37"/>
      <c r="I546" s="38"/>
      <c r="J546" s="37"/>
      <c r="N546" s="37"/>
    </row>
    <row r="547" ht="15.75" customHeight="1">
      <c r="H547" s="37"/>
      <c r="I547" s="38"/>
      <c r="J547" s="37"/>
      <c r="N547" s="37"/>
    </row>
    <row r="548" ht="15.75" customHeight="1">
      <c r="H548" s="37"/>
      <c r="I548" s="38"/>
      <c r="J548" s="37"/>
      <c r="N548" s="37"/>
    </row>
    <row r="549" ht="15.75" customHeight="1">
      <c r="H549" s="37"/>
      <c r="I549" s="38"/>
      <c r="J549" s="37"/>
      <c r="N549" s="37"/>
    </row>
    <row r="550" ht="15.75" customHeight="1">
      <c r="H550" s="37"/>
      <c r="I550" s="38"/>
      <c r="J550" s="37"/>
      <c r="N550" s="37"/>
    </row>
    <row r="551" ht="15.75" customHeight="1">
      <c r="H551" s="37"/>
      <c r="I551" s="38"/>
      <c r="J551" s="37"/>
      <c r="N551" s="37"/>
    </row>
    <row r="552" ht="15.75" customHeight="1">
      <c r="H552" s="37"/>
      <c r="I552" s="38"/>
      <c r="J552" s="37"/>
      <c r="N552" s="37"/>
    </row>
    <row r="553" ht="15.75" customHeight="1">
      <c r="H553" s="37"/>
      <c r="I553" s="38"/>
      <c r="J553" s="37"/>
      <c r="N553" s="37"/>
    </row>
    <row r="554" ht="15.75" customHeight="1">
      <c r="H554" s="37"/>
      <c r="I554" s="38"/>
      <c r="J554" s="37"/>
      <c r="N554" s="37"/>
    </row>
    <row r="555" ht="15.75" customHeight="1">
      <c r="H555" s="37"/>
      <c r="I555" s="38"/>
      <c r="J555" s="37"/>
      <c r="N555" s="37"/>
    </row>
    <row r="556" ht="15.75" customHeight="1">
      <c r="H556" s="37"/>
      <c r="I556" s="38"/>
      <c r="J556" s="37"/>
      <c r="N556" s="37"/>
    </row>
    <row r="557" ht="15.75" customHeight="1">
      <c r="H557" s="37"/>
      <c r="I557" s="38"/>
      <c r="J557" s="37"/>
      <c r="N557" s="37"/>
    </row>
    <row r="558" ht="15.75" customHeight="1">
      <c r="H558" s="37"/>
      <c r="I558" s="38"/>
      <c r="J558" s="37"/>
      <c r="N558" s="37"/>
    </row>
    <row r="559" ht="15.75" customHeight="1">
      <c r="H559" s="37"/>
      <c r="I559" s="38"/>
      <c r="J559" s="37"/>
      <c r="N559" s="37"/>
    </row>
    <row r="560" ht="15.75" customHeight="1">
      <c r="H560" s="37"/>
      <c r="I560" s="38"/>
      <c r="J560" s="37"/>
      <c r="N560" s="37"/>
    </row>
    <row r="561" ht="15.75" customHeight="1">
      <c r="H561" s="37"/>
      <c r="I561" s="38"/>
      <c r="J561" s="37"/>
      <c r="N561" s="37"/>
    </row>
    <row r="562" ht="15.75" customHeight="1">
      <c r="H562" s="37"/>
      <c r="I562" s="38"/>
      <c r="J562" s="37"/>
      <c r="N562" s="37"/>
    </row>
    <row r="563" ht="15.75" customHeight="1">
      <c r="H563" s="37"/>
      <c r="I563" s="38"/>
      <c r="J563" s="37"/>
      <c r="N563" s="37"/>
    </row>
    <row r="564" ht="15.75" customHeight="1">
      <c r="H564" s="37"/>
      <c r="I564" s="38"/>
      <c r="J564" s="37"/>
      <c r="N564" s="37"/>
    </row>
    <row r="565" ht="15.75" customHeight="1">
      <c r="H565" s="37"/>
      <c r="I565" s="38"/>
      <c r="J565" s="37"/>
      <c r="N565" s="37"/>
    </row>
    <row r="566" ht="15.75" customHeight="1">
      <c r="H566" s="37"/>
      <c r="I566" s="38"/>
      <c r="J566" s="37"/>
      <c r="N566" s="37"/>
    </row>
    <row r="567" ht="15.75" customHeight="1">
      <c r="H567" s="37"/>
      <c r="I567" s="38"/>
      <c r="J567" s="37"/>
      <c r="N567" s="37"/>
    </row>
    <row r="568" ht="15.75" customHeight="1">
      <c r="H568" s="37"/>
      <c r="I568" s="38"/>
      <c r="J568" s="37"/>
      <c r="N568" s="37"/>
    </row>
    <row r="569" ht="15.75" customHeight="1">
      <c r="H569" s="37"/>
      <c r="I569" s="38"/>
      <c r="J569" s="37"/>
      <c r="N569" s="37"/>
    </row>
    <row r="570" ht="15.75" customHeight="1">
      <c r="H570" s="37"/>
      <c r="I570" s="38"/>
      <c r="J570" s="37"/>
      <c r="N570" s="37"/>
    </row>
    <row r="571" ht="15.75" customHeight="1">
      <c r="H571" s="37"/>
      <c r="I571" s="38"/>
      <c r="J571" s="37"/>
      <c r="N571" s="37"/>
    </row>
    <row r="572" ht="15.75" customHeight="1">
      <c r="H572" s="37"/>
      <c r="I572" s="38"/>
      <c r="J572" s="37"/>
      <c r="N572" s="37"/>
    </row>
    <row r="573" ht="15.75" customHeight="1">
      <c r="H573" s="37"/>
      <c r="I573" s="38"/>
      <c r="J573" s="37"/>
      <c r="N573" s="37"/>
    </row>
    <row r="574" ht="15.75" customHeight="1">
      <c r="H574" s="37"/>
      <c r="I574" s="38"/>
      <c r="J574" s="37"/>
      <c r="N574" s="37"/>
    </row>
    <row r="575" ht="15.75" customHeight="1">
      <c r="H575" s="37"/>
      <c r="I575" s="38"/>
      <c r="J575" s="37"/>
      <c r="N575" s="37"/>
    </row>
    <row r="576" ht="15.75" customHeight="1">
      <c r="H576" s="37"/>
      <c r="I576" s="38"/>
      <c r="J576" s="37"/>
      <c r="N576" s="37"/>
    </row>
    <row r="577" ht="15.75" customHeight="1">
      <c r="H577" s="37"/>
      <c r="I577" s="38"/>
      <c r="J577" s="37"/>
      <c r="N577" s="37"/>
    </row>
    <row r="578" ht="15.75" customHeight="1">
      <c r="H578" s="37"/>
      <c r="I578" s="38"/>
      <c r="J578" s="37"/>
      <c r="N578" s="37"/>
    </row>
    <row r="579" ht="15.75" customHeight="1">
      <c r="H579" s="37"/>
      <c r="I579" s="38"/>
      <c r="J579" s="37"/>
      <c r="N579" s="37"/>
    </row>
    <row r="580" ht="15.75" customHeight="1">
      <c r="H580" s="37"/>
      <c r="I580" s="38"/>
      <c r="J580" s="37"/>
      <c r="N580" s="37"/>
    </row>
    <row r="581" ht="15.75" customHeight="1">
      <c r="H581" s="37"/>
      <c r="I581" s="38"/>
      <c r="J581" s="37"/>
      <c r="N581" s="37"/>
    </row>
    <row r="582" ht="15.75" customHeight="1">
      <c r="H582" s="37"/>
      <c r="I582" s="38"/>
      <c r="J582" s="37"/>
      <c r="N582" s="37"/>
    </row>
    <row r="583" ht="15.75" customHeight="1">
      <c r="H583" s="37"/>
      <c r="I583" s="38"/>
      <c r="J583" s="37"/>
      <c r="N583" s="37"/>
    </row>
    <row r="584" ht="15.75" customHeight="1">
      <c r="H584" s="37"/>
      <c r="I584" s="38"/>
      <c r="J584" s="37"/>
      <c r="N584" s="37"/>
    </row>
    <row r="585" ht="15.75" customHeight="1">
      <c r="H585" s="37"/>
      <c r="I585" s="38"/>
      <c r="J585" s="37"/>
      <c r="N585" s="37"/>
    </row>
    <row r="586" ht="15.75" customHeight="1">
      <c r="H586" s="37"/>
      <c r="I586" s="38"/>
      <c r="J586" s="37"/>
      <c r="N586" s="37"/>
    </row>
    <row r="587" ht="15.75" customHeight="1">
      <c r="H587" s="37"/>
      <c r="I587" s="38"/>
      <c r="J587" s="37"/>
      <c r="N587" s="37"/>
    </row>
    <row r="588" ht="15.75" customHeight="1">
      <c r="H588" s="37"/>
      <c r="I588" s="38"/>
      <c r="J588" s="37"/>
      <c r="N588" s="37"/>
    </row>
    <row r="589" ht="15.75" customHeight="1">
      <c r="H589" s="37"/>
      <c r="I589" s="38"/>
      <c r="J589" s="37"/>
      <c r="N589" s="37"/>
    </row>
    <row r="590" ht="15.75" customHeight="1">
      <c r="H590" s="37"/>
      <c r="I590" s="38"/>
      <c r="J590" s="37"/>
      <c r="N590" s="37"/>
    </row>
    <row r="591" ht="15.75" customHeight="1">
      <c r="H591" s="37"/>
      <c r="I591" s="38"/>
      <c r="J591" s="37"/>
      <c r="N591" s="37"/>
    </row>
    <row r="592" ht="15.75" customHeight="1">
      <c r="H592" s="37"/>
      <c r="I592" s="38"/>
      <c r="J592" s="37"/>
      <c r="N592" s="37"/>
    </row>
    <row r="593" ht="15.75" customHeight="1">
      <c r="H593" s="37"/>
      <c r="I593" s="38"/>
      <c r="J593" s="37"/>
      <c r="N593" s="37"/>
    </row>
    <row r="594" ht="15.75" customHeight="1">
      <c r="H594" s="37"/>
      <c r="I594" s="38"/>
      <c r="J594" s="37"/>
      <c r="N594" s="37"/>
    </row>
    <row r="595" ht="15.75" customHeight="1">
      <c r="H595" s="37"/>
      <c r="I595" s="38"/>
      <c r="J595" s="37"/>
      <c r="N595" s="37"/>
    </row>
    <row r="596" ht="15.75" customHeight="1">
      <c r="H596" s="37"/>
      <c r="I596" s="38"/>
      <c r="J596" s="37"/>
      <c r="N596" s="37"/>
    </row>
    <row r="597" ht="15.75" customHeight="1">
      <c r="H597" s="37"/>
      <c r="I597" s="38"/>
      <c r="J597" s="37"/>
      <c r="N597" s="37"/>
    </row>
    <row r="598" ht="15.75" customHeight="1">
      <c r="H598" s="37"/>
      <c r="I598" s="38"/>
      <c r="J598" s="37"/>
      <c r="N598" s="37"/>
    </row>
    <row r="599" ht="15.75" customHeight="1">
      <c r="H599" s="37"/>
      <c r="I599" s="38"/>
      <c r="J599" s="37"/>
      <c r="N599" s="37"/>
    </row>
    <row r="600" ht="15.75" customHeight="1">
      <c r="H600" s="37"/>
      <c r="I600" s="38"/>
      <c r="J600" s="37"/>
      <c r="N600" s="37"/>
    </row>
    <row r="601" ht="15.75" customHeight="1">
      <c r="H601" s="37"/>
      <c r="I601" s="38"/>
      <c r="J601" s="37"/>
      <c r="N601" s="37"/>
    </row>
    <row r="602" ht="15.75" customHeight="1">
      <c r="H602" s="37"/>
      <c r="I602" s="38"/>
      <c r="J602" s="37"/>
      <c r="N602" s="37"/>
    </row>
    <row r="603" ht="15.75" customHeight="1">
      <c r="H603" s="37"/>
      <c r="I603" s="38"/>
      <c r="J603" s="37"/>
      <c r="N603" s="37"/>
    </row>
    <row r="604" ht="15.75" customHeight="1">
      <c r="H604" s="37"/>
      <c r="I604" s="38"/>
      <c r="J604" s="37"/>
      <c r="N604" s="37"/>
    </row>
    <row r="605" ht="15.75" customHeight="1">
      <c r="H605" s="37"/>
      <c r="I605" s="38"/>
      <c r="J605" s="37"/>
      <c r="N605" s="37"/>
    </row>
    <row r="606" ht="15.75" customHeight="1">
      <c r="H606" s="37"/>
      <c r="I606" s="38"/>
      <c r="J606" s="37"/>
      <c r="N606" s="37"/>
    </row>
    <row r="607" ht="15.75" customHeight="1">
      <c r="H607" s="37"/>
      <c r="I607" s="38"/>
      <c r="J607" s="37"/>
      <c r="N607" s="37"/>
    </row>
    <row r="608" ht="15.75" customHeight="1">
      <c r="H608" s="37"/>
      <c r="I608" s="38"/>
      <c r="J608" s="37"/>
      <c r="N608" s="37"/>
    </row>
    <row r="609" ht="15.75" customHeight="1">
      <c r="H609" s="37"/>
      <c r="I609" s="38"/>
      <c r="J609" s="37"/>
      <c r="N609" s="37"/>
    </row>
    <row r="610" ht="15.75" customHeight="1">
      <c r="H610" s="37"/>
      <c r="I610" s="38"/>
      <c r="J610" s="37"/>
      <c r="N610" s="37"/>
    </row>
    <row r="611" ht="15.75" customHeight="1">
      <c r="H611" s="37"/>
      <c r="I611" s="38"/>
      <c r="J611" s="37"/>
      <c r="N611" s="37"/>
    </row>
    <row r="612" ht="15.75" customHeight="1">
      <c r="H612" s="37"/>
      <c r="I612" s="38"/>
      <c r="J612" s="37"/>
      <c r="N612" s="37"/>
    </row>
    <row r="613" ht="15.75" customHeight="1">
      <c r="H613" s="37"/>
      <c r="I613" s="38"/>
      <c r="J613" s="37"/>
      <c r="N613" s="37"/>
    </row>
    <row r="614" ht="15.75" customHeight="1">
      <c r="H614" s="37"/>
      <c r="I614" s="38"/>
      <c r="J614" s="37"/>
      <c r="N614" s="37"/>
    </row>
    <row r="615" ht="15.75" customHeight="1">
      <c r="H615" s="37"/>
      <c r="I615" s="38"/>
      <c r="J615" s="37"/>
      <c r="N615" s="37"/>
    </row>
    <row r="616" ht="15.75" customHeight="1">
      <c r="H616" s="37"/>
      <c r="I616" s="38"/>
      <c r="J616" s="37"/>
      <c r="N616" s="37"/>
    </row>
    <row r="617" ht="15.75" customHeight="1">
      <c r="H617" s="37"/>
      <c r="I617" s="38"/>
      <c r="J617" s="37"/>
      <c r="N617" s="37"/>
    </row>
    <row r="618" ht="15.75" customHeight="1">
      <c r="H618" s="37"/>
      <c r="I618" s="38"/>
      <c r="J618" s="37"/>
      <c r="N618" s="37"/>
    </row>
    <row r="619" ht="15.75" customHeight="1">
      <c r="H619" s="37"/>
      <c r="I619" s="38"/>
      <c r="J619" s="37"/>
      <c r="N619" s="37"/>
    </row>
    <row r="620" ht="15.75" customHeight="1">
      <c r="H620" s="37"/>
      <c r="I620" s="38"/>
      <c r="J620" s="37"/>
      <c r="N620" s="37"/>
    </row>
    <row r="621" ht="15.75" customHeight="1">
      <c r="H621" s="37"/>
      <c r="I621" s="38"/>
      <c r="J621" s="37"/>
      <c r="N621" s="37"/>
    </row>
    <row r="622" ht="15.75" customHeight="1">
      <c r="H622" s="37"/>
      <c r="I622" s="38"/>
      <c r="J622" s="37"/>
      <c r="N622" s="37"/>
    </row>
    <row r="623" ht="15.75" customHeight="1">
      <c r="H623" s="37"/>
      <c r="I623" s="38"/>
      <c r="J623" s="37"/>
      <c r="N623" s="37"/>
    </row>
    <row r="624" ht="15.75" customHeight="1">
      <c r="H624" s="37"/>
      <c r="I624" s="38"/>
      <c r="J624" s="37"/>
      <c r="N624" s="37"/>
    </row>
    <row r="625" ht="15.75" customHeight="1">
      <c r="H625" s="37"/>
      <c r="I625" s="38"/>
      <c r="J625" s="37"/>
      <c r="N625" s="37"/>
    </row>
    <row r="626" ht="15.75" customHeight="1">
      <c r="H626" s="37"/>
      <c r="I626" s="38"/>
      <c r="J626" s="37"/>
      <c r="N626" s="37"/>
    </row>
    <row r="627" ht="15.75" customHeight="1">
      <c r="H627" s="37"/>
      <c r="I627" s="38"/>
      <c r="J627" s="37"/>
      <c r="N627" s="37"/>
    </row>
    <row r="628" ht="15.75" customHeight="1">
      <c r="H628" s="37"/>
      <c r="I628" s="38"/>
      <c r="J628" s="37"/>
      <c r="N628" s="37"/>
    </row>
    <row r="629" ht="15.75" customHeight="1">
      <c r="H629" s="37"/>
      <c r="I629" s="38"/>
      <c r="J629" s="37"/>
      <c r="N629" s="37"/>
    </row>
    <row r="630" ht="15.75" customHeight="1">
      <c r="H630" s="37"/>
      <c r="I630" s="38"/>
      <c r="J630" s="37"/>
      <c r="N630" s="37"/>
    </row>
    <row r="631" ht="15.75" customHeight="1">
      <c r="H631" s="37"/>
      <c r="I631" s="38"/>
      <c r="J631" s="37"/>
      <c r="N631" s="37"/>
    </row>
    <row r="632" ht="15.75" customHeight="1">
      <c r="H632" s="37"/>
      <c r="I632" s="38"/>
      <c r="J632" s="37"/>
      <c r="N632" s="37"/>
    </row>
    <row r="633" ht="15.75" customHeight="1">
      <c r="H633" s="37"/>
      <c r="I633" s="38"/>
      <c r="J633" s="37"/>
      <c r="N633" s="37"/>
    </row>
    <row r="634" ht="15.75" customHeight="1">
      <c r="H634" s="37"/>
      <c r="I634" s="38"/>
      <c r="J634" s="37"/>
      <c r="N634" s="37"/>
    </row>
    <row r="635" ht="15.75" customHeight="1">
      <c r="H635" s="37"/>
      <c r="I635" s="38"/>
      <c r="J635" s="37"/>
      <c r="N635" s="37"/>
    </row>
    <row r="636" ht="15.75" customHeight="1">
      <c r="H636" s="37"/>
      <c r="I636" s="38"/>
      <c r="J636" s="37"/>
      <c r="N636" s="37"/>
    </row>
    <row r="637" ht="15.75" customHeight="1">
      <c r="H637" s="37"/>
      <c r="I637" s="38"/>
      <c r="J637" s="37"/>
      <c r="N637" s="37"/>
    </row>
    <row r="638" ht="15.75" customHeight="1">
      <c r="H638" s="37"/>
      <c r="I638" s="38"/>
      <c r="J638" s="37"/>
      <c r="N638" s="37"/>
    </row>
    <row r="639" ht="15.75" customHeight="1">
      <c r="H639" s="37"/>
      <c r="I639" s="38"/>
      <c r="J639" s="37"/>
      <c r="N639" s="37"/>
    </row>
    <row r="640" ht="15.75" customHeight="1">
      <c r="H640" s="37"/>
      <c r="I640" s="38"/>
      <c r="J640" s="37"/>
      <c r="N640" s="37"/>
    </row>
    <row r="641" ht="15.75" customHeight="1">
      <c r="H641" s="37"/>
      <c r="I641" s="38"/>
      <c r="J641" s="37"/>
      <c r="N641" s="37"/>
    </row>
    <row r="642" ht="15.75" customHeight="1">
      <c r="H642" s="37"/>
      <c r="I642" s="38"/>
      <c r="J642" s="37"/>
      <c r="N642" s="37"/>
    </row>
    <row r="643" ht="15.75" customHeight="1">
      <c r="H643" s="37"/>
      <c r="I643" s="38"/>
      <c r="J643" s="37"/>
      <c r="N643" s="37"/>
    </row>
    <row r="644" ht="15.75" customHeight="1">
      <c r="H644" s="37"/>
      <c r="I644" s="38"/>
      <c r="J644" s="37"/>
      <c r="N644" s="37"/>
    </row>
    <row r="645" ht="15.75" customHeight="1">
      <c r="H645" s="37"/>
      <c r="I645" s="38"/>
      <c r="J645" s="37"/>
      <c r="N645" s="37"/>
    </row>
    <row r="646" ht="15.75" customHeight="1">
      <c r="H646" s="37"/>
      <c r="I646" s="38"/>
      <c r="J646" s="37"/>
      <c r="N646" s="37"/>
    </row>
    <row r="647" ht="15.75" customHeight="1">
      <c r="H647" s="37"/>
      <c r="I647" s="38"/>
      <c r="J647" s="37"/>
      <c r="N647" s="37"/>
    </row>
    <row r="648" ht="15.75" customHeight="1">
      <c r="H648" s="37"/>
      <c r="I648" s="38"/>
      <c r="J648" s="37"/>
      <c r="N648" s="37"/>
    </row>
    <row r="649" ht="15.75" customHeight="1">
      <c r="H649" s="37"/>
      <c r="I649" s="38"/>
      <c r="J649" s="37"/>
      <c r="N649" s="37"/>
    </row>
    <row r="650" ht="15.75" customHeight="1">
      <c r="H650" s="37"/>
      <c r="I650" s="38"/>
      <c r="J650" s="37"/>
      <c r="N650" s="37"/>
    </row>
    <row r="651" ht="15.75" customHeight="1">
      <c r="H651" s="37"/>
      <c r="I651" s="38"/>
      <c r="J651" s="37"/>
      <c r="N651" s="37"/>
    </row>
    <row r="652" ht="15.75" customHeight="1">
      <c r="H652" s="37"/>
      <c r="I652" s="38"/>
      <c r="J652" s="37"/>
      <c r="N652" s="37"/>
    </row>
    <row r="653" ht="15.75" customHeight="1">
      <c r="H653" s="37"/>
      <c r="I653" s="38"/>
      <c r="J653" s="37"/>
      <c r="N653" s="37"/>
    </row>
    <row r="654" ht="15.75" customHeight="1">
      <c r="H654" s="37"/>
      <c r="I654" s="38"/>
      <c r="J654" s="37"/>
      <c r="N654" s="37"/>
    </row>
    <row r="655" ht="15.75" customHeight="1">
      <c r="H655" s="37"/>
      <c r="I655" s="38"/>
      <c r="J655" s="37"/>
      <c r="N655" s="37"/>
    </row>
    <row r="656" ht="15.75" customHeight="1">
      <c r="H656" s="37"/>
      <c r="I656" s="38"/>
      <c r="J656" s="37"/>
      <c r="N656" s="37"/>
    </row>
    <row r="657" ht="15.75" customHeight="1">
      <c r="H657" s="37"/>
      <c r="I657" s="38"/>
      <c r="J657" s="37"/>
      <c r="N657" s="37"/>
    </row>
    <row r="658" ht="15.75" customHeight="1">
      <c r="H658" s="37"/>
      <c r="I658" s="38"/>
      <c r="J658" s="37"/>
      <c r="N658" s="37"/>
    </row>
    <row r="659" ht="15.75" customHeight="1">
      <c r="H659" s="37"/>
      <c r="I659" s="38"/>
      <c r="J659" s="37"/>
      <c r="N659" s="37"/>
    </row>
    <row r="660" ht="15.75" customHeight="1">
      <c r="H660" s="37"/>
      <c r="I660" s="38"/>
      <c r="J660" s="37"/>
      <c r="N660" s="37"/>
    </row>
    <row r="661" ht="15.75" customHeight="1">
      <c r="H661" s="37"/>
      <c r="I661" s="38"/>
      <c r="J661" s="37"/>
      <c r="N661" s="37"/>
    </row>
    <row r="662" ht="15.75" customHeight="1">
      <c r="H662" s="37"/>
      <c r="I662" s="38"/>
      <c r="J662" s="37"/>
      <c r="N662" s="37"/>
    </row>
    <row r="663" ht="15.75" customHeight="1">
      <c r="H663" s="37"/>
      <c r="I663" s="38"/>
      <c r="J663" s="37"/>
      <c r="N663" s="37"/>
    </row>
    <row r="664" ht="15.75" customHeight="1">
      <c r="H664" s="37"/>
      <c r="I664" s="38"/>
      <c r="J664" s="37"/>
      <c r="N664" s="37"/>
    </row>
    <row r="665" ht="15.75" customHeight="1">
      <c r="H665" s="37"/>
      <c r="I665" s="38"/>
      <c r="J665" s="37"/>
      <c r="N665" s="37"/>
    </row>
    <row r="666" ht="15.75" customHeight="1">
      <c r="H666" s="37"/>
      <c r="I666" s="38"/>
      <c r="J666" s="37"/>
      <c r="N666" s="37"/>
    </row>
    <row r="667" ht="15.75" customHeight="1">
      <c r="H667" s="37"/>
      <c r="I667" s="38"/>
      <c r="J667" s="37"/>
      <c r="N667" s="37"/>
    </row>
    <row r="668" ht="15.75" customHeight="1">
      <c r="H668" s="37"/>
      <c r="I668" s="38"/>
      <c r="J668" s="37"/>
      <c r="N668" s="37"/>
    </row>
    <row r="669" ht="15.75" customHeight="1">
      <c r="H669" s="37"/>
      <c r="I669" s="38"/>
      <c r="J669" s="37"/>
      <c r="N669" s="37"/>
    </row>
    <row r="670" ht="15.75" customHeight="1">
      <c r="H670" s="37"/>
      <c r="I670" s="38"/>
      <c r="J670" s="37"/>
      <c r="N670" s="37"/>
    </row>
    <row r="671" ht="15.75" customHeight="1">
      <c r="H671" s="37"/>
      <c r="I671" s="38"/>
      <c r="J671" s="37"/>
      <c r="N671" s="37"/>
    </row>
    <row r="672" ht="15.75" customHeight="1">
      <c r="H672" s="37"/>
      <c r="I672" s="38"/>
      <c r="J672" s="37"/>
      <c r="N672" s="37"/>
    </row>
    <row r="673" ht="15.75" customHeight="1">
      <c r="H673" s="37"/>
      <c r="I673" s="38"/>
      <c r="J673" s="37"/>
      <c r="N673" s="37"/>
    </row>
    <row r="674" ht="15.75" customHeight="1">
      <c r="H674" s="37"/>
      <c r="I674" s="38"/>
      <c r="J674" s="37"/>
      <c r="N674" s="37"/>
    </row>
    <row r="675" ht="15.75" customHeight="1">
      <c r="H675" s="37"/>
      <c r="I675" s="38"/>
      <c r="J675" s="37"/>
      <c r="N675" s="37"/>
    </row>
    <row r="676" ht="15.75" customHeight="1">
      <c r="H676" s="37"/>
      <c r="I676" s="38"/>
      <c r="J676" s="37"/>
      <c r="N676" s="37"/>
    </row>
    <row r="677" ht="15.75" customHeight="1">
      <c r="H677" s="37"/>
      <c r="I677" s="38"/>
      <c r="J677" s="37"/>
      <c r="N677" s="37"/>
    </row>
    <row r="678" ht="15.75" customHeight="1">
      <c r="H678" s="37"/>
      <c r="I678" s="38"/>
      <c r="J678" s="37"/>
      <c r="N678" s="37"/>
    </row>
    <row r="679" ht="15.75" customHeight="1">
      <c r="H679" s="37"/>
      <c r="I679" s="38"/>
      <c r="J679" s="37"/>
      <c r="N679" s="37"/>
    </row>
    <row r="680" ht="15.75" customHeight="1">
      <c r="H680" s="37"/>
      <c r="I680" s="38"/>
      <c r="J680" s="37"/>
      <c r="N680" s="37"/>
    </row>
    <row r="681" ht="15.75" customHeight="1">
      <c r="H681" s="37"/>
      <c r="I681" s="38"/>
      <c r="J681" s="37"/>
      <c r="N681" s="37"/>
    </row>
    <row r="682" ht="15.75" customHeight="1">
      <c r="H682" s="37"/>
      <c r="I682" s="38"/>
      <c r="J682" s="37"/>
      <c r="N682" s="37"/>
    </row>
    <row r="683" ht="15.75" customHeight="1">
      <c r="H683" s="37"/>
      <c r="I683" s="38"/>
      <c r="J683" s="37"/>
      <c r="N683" s="37"/>
    </row>
    <row r="684" ht="15.75" customHeight="1">
      <c r="H684" s="37"/>
      <c r="I684" s="38"/>
      <c r="J684" s="37"/>
      <c r="N684" s="37"/>
    </row>
    <row r="685" ht="15.75" customHeight="1">
      <c r="H685" s="37"/>
      <c r="I685" s="38"/>
      <c r="J685" s="37"/>
      <c r="N685" s="37"/>
    </row>
    <row r="686" ht="15.75" customHeight="1">
      <c r="H686" s="37"/>
      <c r="I686" s="38"/>
      <c r="J686" s="37"/>
      <c r="N686" s="37"/>
    </row>
    <row r="687" ht="15.75" customHeight="1">
      <c r="H687" s="37"/>
      <c r="I687" s="38"/>
      <c r="J687" s="37"/>
      <c r="N687" s="37"/>
    </row>
    <row r="688" ht="15.75" customHeight="1">
      <c r="H688" s="37"/>
      <c r="I688" s="38"/>
      <c r="J688" s="37"/>
      <c r="N688" s="37"/>
    </row>
    <row r="689" ht="15.75" customHeight="1">
      <c r="H689" s="37"/>
      <c r="I689" s="38"/>
      <c r="J689" s="37"/>
      <c r="N689" s="37"/>
    </row>
    <row r="690" ht="15.75" customHeight="1">
      <c r="H690" s="37"/>
      <c r="I690" s="38"/>
      <c r="J690" s="37"/>
      <c r="N690" s="37"/>
    </row>
    <row r="691" ht="15.75" customHeight="1">
      <c r="H691" s="37"/>
      <c r="I691" s="38"/>
      <c r="J691" s="37"/>
      <c r="N691" s="37"/>
    </row>
    <row r="692" ht="15.75" customHeight="1">
      <c r="H692" s="37"/>
      <c r="I692" s="38"/>
      <c r="J692" s="37"/>
      <c r="N692" s="37"/>
    </row>
    <row r="693" ht="15.75" customHeight="1">
      <c r="H693" s="37"/>
      <c r="I693" s="38"/>
      <c r="J693" s="37"/>
      <c r="N693" s="37"/>
    </row>
    <row r="694" ht="15.75" customHeight="1">
      <c r="H694" s="37"/>
      <c r="I694" s="38"/>
      <c r="J694" s="37"/>
      <c r="N694" s="37"/>
    </row>
    <row r="695" ht="15.75" customHeight="1">
      <c r="H695" s="37"/>
      <c r="I695" s="38"/>
      <c r="J695" s="37"/>
      <c r="N695" s="37"/>
    </row>
    <row r="696" ht="15.75" customHeight="1">
      <c r="H696" s="37"/>
      <c r="I696" s="38"/>
      <c r="J696" s="37"/>
      <c r="N696" s="37"/>
    </row>
    <row r="697" ht="15.75" customHeight="1">
      <c r="H697" s="37"/>
      <c r="I697" s="38"/>
      <c r="J697" s="37"/>
      <c r="N697" s="37"/>
    </row>
    <row r="698" ht="15.75" customHeight="1">
      <c r="H698" s="37"/>
      <c r="I698" s="38"/>
      <c r="J698" s="37"/>
      <c r="N698" s="37"/>
    </row>
    <row r="699" ht="15.75" customHeight="1">
      <c r="H699" s="37"/>
      <c r="I699" s="38"/>
      <c r="J699" s="37"/>
      <c r="N699" s="37"/>
    </row>
    <row r="700" ht="15.75" customHeight="1">
      <c r="H700" s="37"/>
      <c r="I700" s="38"/>
      <c r="J700" s="37"/>
      <c r="N700" s="37"/>
    </row>
    <row r="701" ht="15.75" customHeight="1">
      <c r="H701" s="37"/>
      <c r="I701" s="38"/>
      <c r="J701" s="37"/>
      <c r="N701" s="37"/>
    </row>
    <row r="702" ht="15.75" customHeight="1">
      <c r="H702" s="37"/>
      <c r="I702" s="38"/>
      <c r="J702" s="37"/>
      <c r="N702" s="37"/>
    </row>
    <row r="703" ht="15.75" customHeight="1">
      <c r="H703" s="37"/>
      <c r="I703" s="38"/>
      <c r="J703" s="37"/>
      <c r="N703" s="37"/>
    </row>
    <row r="704" ht="15.75" customHeight="1">
      <c r="H704" s="37"/>
      <c r="I704" s="38"/>
      <c r="J704" s="37"/>
      <c r="N704" s="37"/>
    </row>
    <row r="705" ht="15.75" customHeight="1">
      <c r="H705" s="37"/>
      <c r="I705" s="38"/>
      <c r="J705" s="37"/>
      <c r="N705" s="37"/>
    </row>
    <row r="706" ht="15.75" customHeight="1">
      <c r="H706" s="37"/>
      <c r="I706" s="38"/>
      <c r="J706" s="37"/>
      <c r="N706" s="37"/>
    </row>
    <row r="707" ht="15.75" customHeight="1">
      <c r="H707" s="37"/>
      <c r="I707" s="38"/>
      <c r="J707" s="37"/>
      <c r="N707" s="37"/>
    </row>
    <row r="708" ht="15.75" customHeight="1">
      <c r="H708" s="37"/>
      <c r="I708" s="38"/>
      <c r="J708" s="37"/>
      <c r="N708" s="37"/>
    </row>
    <row r="709" ht="15.75" customHeight="1">
      <c r="H709" s="37"/>
      <c r="I709" s="38"/>
      <c r="J709" s="37"/>
      <c r="N709" s="37"/>
    </row>
    <row r="710" ht="15.75" customHeight="1">
      <c r="H710" s="37"/>
      <c r="I710" s="38"/>
      <c r="J710" s="37"/>
      <c r="N710" s="37"/>
    </row>
    <row r="711" ht="15.75" customHeight="1">
      <c r="H711" s="37"/>
      <c r="I711" s="38"/>
      <c r="J711" s="37"/>
      <c r="N711" s="37"/>
    </row>
    <row r="712" ht="15.75" customHeight="1">
      <c r="H712" s="37"/>
      <c r="I712" s="38"/>
      <c r="J712" s="37"/>
      <c r="N712" s="37"/>
    </row>
    <row r="713" ht="15.75" customHeight="1">
      <c r="H713" s="37"/>
      <c r="I713" s="38"/>
      <c r="J713" s="37"/>
      <c r="N713" s="37"/>
    </row>
    <row r="714" ht="15.75" customHeight="1">
      <c r="H714" s="37"/>
      <c r="I714" s="38"/>
      <c r="J714" s="37"/>
      <c r="N714" s="37"/>
    </row>
    <row r="715" ht="15.75" customHeight="1">
      <c r="H715" s="37"/>
      <c r="I715" s="38"/>
      <c r="J715" s="37"/>
      <c r="N715" s="37"/>
    </row>
    <row r="716" ht="15.75" customHeight="1">
      <c r="H716" s="37"/>
      <c r="I716" s="38"/>
      <c r="J716" s="37"/>
      <c r="N716" s="37"/>
    </row>
    <row r="717" ht="15.75" customHeight="1">
      <c r="H717" s="37"/>
      <c r="I717" s="38"/>
      <c r="J717" s="37"/>
      <c r="N717" s="37"/>
    </row>
    <row r="718" ht="15.75" customHeight="1">
      <c r="H718" s="37"/>
      <c r="I718" s="38"/>
      <c r="J718" s="37"/>
      <c r="N718" s="37"/>
    </row>
    <row r="719" ht="15.75" customHeight="1">
      <c r="H719" s="37"/>
      <c r="I719" s="38"/>
      <c r="J719" s="37"/>
      <c r="N719" s="37"/>
    </row>
    <row r="720" ht="15.75" customHeight="1">
      <c r="H720" s="37"/>
      <c r="I720" s="38"/>
      <c r="J720" s="37"/>
      <c r="N720" s="37"/>
    </row>
    <row r="721" ht="15.75" customHeight="1">
      <c r="H721" s="37"/>
      <c r="I721" s="38"/>
      <c r="J721" s="37"/>
      <c r="N721" s="37"/>
    </row>
    <row r="722" ht="15.75" customHeight="1">
      <c r="H722" s="37"/>
      <c r="I722" s="38"/>
      <c r="J722" s="37"/>
      <c r="N722" s="37"/>
    </row>
    <row r="723" ht="15.75" customHeight="1">
      <c r="H723" s="37"/>
      <c r="I723" s="38"/>
      <c r="J723" s="37"/>
      <c r="N723" s="37"/>
    </row>
    <row r="724" ht="15.75" customHeight="1">
      <c r="H724" s="37"/>
      <c r="I724" s="38"/>
      <c r="J724" s="37"/>
      <c r="N724" s="37"/>
    </row>
    <row r="725" ht="15.75" customHeight="1">
      <c r="H725" s="37"/>
      <c r="I725" s="38"/>
      <c r="J725" s="37"/>
      <c r="N725" s="37"/>
    </row>
    <row r="726" ht="15.75" customHeight="1">
      <c r="H726" s="37"/>
      <c r="I726" s="38"/>
      <c r="J726" s="37"/>
      <c r="N726" s="37"/>
    </row>
    <row r="727" ht="15.75" customHeight="1">
      <c r="H727" s="37"/>
      <c r="I727" s="38"/>
      <c r="J727" s="37"/>
      <c r="N727" s="37"/>
    </row>
    <row r="728" ht="15.75" customHeight="1">
      <c r="H728" s="37"/>
      <c r="I728" s="38"/>
      <c r="J728" s="37"/>
      <c r="N728" s="37"/>
    </row>
    <row r="729" ht="15.75" customHeight="1">
      <c r="H729" s="37"/>
      <c r="I729" s="38"/>
      <c r="J729" s="37"/>
      <c r="N729" s="37"/>
    </row>
    <row r="730" ht="15.75" customHeight="1">
      <c r="H730" s="37"/>
      <c r="I730" s="38"/>
      <c r="J730" s="37"/>
      <c r="N730" s="37"/>
    </row>
    <row r="731" ht="15.75" customHeight="1">
      <c r="H731" s="37"/>
      <c r="I731" s="38"/>
      <c r="J731" s="37"/>
      <c r="N731" s="37"/>
    </row>
    <row r="732" ht="15.75" customHeight="1">
      <c r="H732" s="37"/>
      <c r="I732" s="38"/>
      <c r="J732" s="37"/>
      <c r="N732" s="37"/>
    </row>
    <row r="733" ht="15.75" customHeight="1">
      <c r="H733" s="37"/>
      <c r="I733" s="38"/>
      <c r="J733" s="37"/>
      <c r="N733" s="37"/>
    </row>
    <row r="734" ht="15.75" customHeight="1">
      <c r="H734" s="37"/>
      <c r="I734" s="38"/>
      <c r="J734" s="37"/>
      <c r="N734" s="37"/>
    </row>
    <row r="735" ht="15.75" customHeight="1">
      <c r="H735" s="37"/>
      <c r="I735" s="38"/>
      <c r="J735" s="37"/>
      <c r="N735" s="37"/>
    </row>
    <row r="736" ht="15.75" customHeight="1">
      <c r="H736" s="37"/>
      <c r="I736" s="38"/>
      <c r="J736" s="37"/>
      <c r="N736" s="37"/>
    </row>
    <row r="737" ht="15.75" customHeight="1">
      <c r="H737" s="37"/>
      <c r="I737" s="38"/>
      <c r="J737" s="37"/>
      <c r="N737" s="37"/>
    </row>
    <row r="738" ht="15.75" customHeight="1">
      <c r="H738" s="37"/>
      <c r="I738" s="38"/>
      <c r="J738" s="37"/>
      <c r="N738" s="37"/>
    </row>
    <row r="739" ht="15.75" customHeight="1">
      <c r="H739" s="37"/>
      <c r="I739" s="38"/>
      <c r="J739" s="37"/>
      <c r="N739" s="37"/>
    </row>
    <row r="740" ht="15.75" customHeight="1">
      <c r="H740" s="37"/>
      <c r="I740" s="38"/>
      <c r="J740" s="37"/>
      <c r="N740" s="37"/>
    </row>
    <row r="741" ht="15.75" customHeight="1">
      <c r="H741" s="37"/>
      <c r="I741" s="38"/>
      <c r="J741" s="37"/>
      <c r="N741" s="37"/>
    </row>
    <row r="742" ht="15.75" customHeight="1">
      <c r="H742" s="37"/>
      <c r="I742" s="38"/>
      <c r="J742" s="37"/>
      <c r="N742" s="37"/>
    </row>
    <row r="743" ht="15.75" customHeight="1">
      <c r="H743" s="37"/>
      <c r="I743" s="38"/>
      <c r="J743" s="37"/>
      <c r="N743" s="37"/>
    </row>
    <row r="744" ht="15.75" customHeight="1">
      <c r="H744" s="37"/>
      <c r="I744" s="38"/>
      <c r="J744" s="37"/>
      <c r="N744" s="37"/>
    </row>
    <row r="745" ht="15.75" customHeight="1">
      <c r="H745" s="37"/>
      <c r="I745" s="38"/>
      <c r="J745" s="37"/>
      <c r="N745" s="37"/>
    </row>
    <row r="746" ht="15.75" customHeight="1">
      <c r="H746" s="37"/>
      <c r="I746" s="38"/>
      <c r="J746" s="37"/>
      <c r="N746" s="37"/>
    </row>
    <row r="747" ht="15.75" customHeight="1">
      <c r="H747" s="37"/>
      <c r="I747" s="38"/>
      <c r="J747" s="37"/>
      <c r="N747" s="37"/>
    </row>
    <row r="748" ht="15.75" customHeight="1">
      <c r="H748" s="37"/>
      <c r="I748" s="38"/>
      <c r="J748" s="37"/>
      <c r="N748" s="37"/>
    </row>
    <row r="749" ht="15.75" customHeight="1">
      <c r="H749" s="37"/>
      <c r="I749" s="38"/>
      <c r="J749" s="37"/>
      <c r="N749" s="37"/>
    </row>
    <row r="750" ht="15.75" customHeight="1">
      <c r="H750" s="37"/>
      <c r="I750" s="38"/>
      <c r="J750" s="37"/>
      <c r="N750" s="37"/>
    </row>
    <row r="751" ht="15.75" customHeight="1">
      <c r="H751" s="37"/>
      <c r="I751" s="38"/>
      <c r="J751" s="37"/>
      <c r="N751" s="37"/>
    </row>
    <row r="752" ht="15.75" customHeight="1">
      <c r="H752" s="37"/>
      <c r="I752" s="38"/>
      <c r="J752" s="37"/>
      <c r="N752" s="37"/>
    </row>
    <row r="753" ht="15.75" customHeight="1">
      <c r="H753" s="37"/>
      <c r="I753" s="38"/>
      <c r="J753" s="37"/>
      <c r="N753" s="37"/>
    </row>
    <row r="754" ht="15.75" customHeight="1">
      <c r="H754" s="37"/>
      <c r="I754" s="38"/>
      <c r="J754" s="37"/>
      <c r="N754" s="37"/>
    </row>
    <row r="755" ht="15.75" customHeight="1">
      <c r="H755" s="37"/>
      <c r="I755" s="38"/>
      <c r="J755" s="37"/>
      <c r="N755" s="37"/>
    </row>
    <row r="756" ht="15.75" customHeight="1">
      <c r="H756" s="37"/>
      <c r="I756" s="38"/>
      <c r="J756" s="37"/>
      <c r="N756" s="37"/>
    </row>
    <row r="757" ht="15.75" customHeight="1">
      <c r="H757" s="37"/>
      <c r="I757" s="38"/>
      <c r="J757" s="37"/>
      <c r="N757" s="37"/>
    </row>
    <row r="758" ht="15.75" customHeight="1">
      <c r="H758" s="37"/>
      <c r="I758" s="38"/>
      <c r="J758" s="37"/>
      <c r="N758" s="37"/>
    </row>
    <row r="759" ht="15.75" customHeight="1">
      <c r="H759" s="37"/>
      <c r="I759" s="38"/>
      <c r="J759" s="37"/>
      <c r="N759" s="37"/>
    </row>
    <row r="760" ht="15.75" customHeight="1">
      <c r="H760" s="37"/>
      <c r="I760" s="38"/>
      <c r="J760" s="37"/>
      <c r="N760" s="37"/>
    </row>
    <row r="761" ht="15.75" customHeight="1">
      <c r="H761" s="37"/>
      <c r="I761" s="38"/>
      <c r="J761" s="37"/>
      <c r="N761" s="37"/>
    </row>
    <row r="762" ht="15.75" customHeight="1">
      <c r="H762" s="37"/>
      <c r="I762" s="38"/>
      <c r="J762" s="37"/>
      <c r="N762" s="37"/>
    </row>
    <row r="763" ht="15.75" customHeight="1">
      <c r="H763" s="37"/>
      <c r="I763" s="38"/>
      <c r="J763" s="37"/>
      <c r="N763" s="37"/>
    </row>
    <row r="764" ht="15.75" customHeight="1">
      <c r="H764" s="37"/>
      <c r="I764" s="38"/>
      <c r="J764" s="37"/>
      <c r="N764" s="37"/>
    </row>
    <row r="765" ht="15.75" customHeight="1">
      <c r="H765" s="37"/>
      <c r="I765" s="38"/>
      <c r="J765" s="37"/>
      <c r="N765" s="37"/>
    </row>
    <row r="766" ht="15.75" customHeight="1">
      <c r="H766" s="37"/>
      <c r="I766" s="38"/>
      <c r="J766" s="37"/>
      <c r="N766" s="37"/>
    </row>
    <row r="767" ht="15.75" customHeight="1">
      <c r="H767" s="37"/>
      <c r="I767" s="38"/>
      <c r="J767" s="37"/>
      <c r="N767" s="37"/>
    </row>
    <row r="768" ht="15.75" customHeight="1">
      <c r="H768" s="37"/>
      <c r="I768" s="38"/>
      <c r="J768" s="37"/>
      <c r="N768" s="37"/>
    </row>
    <row r="769" ht="15.75" customHeight="1">
      <c r="H769" s="37"/>
      <c r="I769" s="38"/>
      <c r="J769" s="37"/>
      <c r="N769" s="37"/>
    </row>
    <row r="770" ht="15.75" customHeight="1">
      <c r="H770" s="37"/>
      <c r="I770" s="38"/>
      <c r="J770" s="37"/>
      <c r="N770" s="37"/>
    </row>
    <row r="771" ht="15.75" customHeight="1">
      <c r="H771" s="37"/>
      <c r="I771" s="38"/>
      <c r="J771" s="37"/>
      <c r="N771" s="37"/>
    </row>
    <row r="772" ht="15.75" customHeight="1">
      <c r="H772" s="37"/>
      <c r="I772" s="38"/>
      <c r="J772" s="37"/>
      <c r="N772" s="37"/>
    </row>
    <row r="773" ht="15.75" customHeight="1">
      <c r="H773" s="37"/>
      <c r="I773" s="38"/>
      <c r="J773" s="37"/>
      <c r="N773" s="37"/>
    </row>
    <row r="774" ht="15.75" customHeight="1">
      <c r="H774" s="37"/>
      <c r="I774" s="38"/>
      <c r="J774" s="37"/>
      <c r="N774" s="37"/>
    </row>
    <row r="775" ht="15.75" customHeight="1">
      <c r="H775" s="37"/>
      <c r="I775" s="38"/>
      <c r="J775" s="37"/>
      <c r="N775" s="37"/>
    </row>
    <row r="776" ht="15.75" customHeight="1">
      <c r="H776" s="37"/>
      <c r="I776" s="38"/>
      <c r="J776" s="37"/>
      <c r="N776" s="37"/>
    </row>
    <row r="777" ht="15.75" customHeight="1">
      <c r="H777" s="37"/>
      <c r="I777" s="38"/>
      <c r="J777" s="37"/>
      <c r="N777" s="37"/>
    </row>
    <row r="778" ht="15.75" customHeight="1">
      <c r="H778" s="37"/>
      <c r="I778" s="38"/>
      <c r="J778" s="37"/>
      <c r="N778" s="37"/>
    </row>
    <row r="779" ht="15.75" customHeight="1">
      <c r="H779" s="37"/>
      <c r="I779" s="38"/>
      <c r="J779" s="37"/>
      <c r="N779" s="37"/>
    </row>
    <row r="780" ht="15.75" customHeight="1">
      <c r="H780" s="37"/>
      <c r="I780" s="38"/>
      <c r="J780" s="37"/>
      <c r="N780" s="37"/>
    </row>
    <row r="781" ht="15.75" customHeight="1">
      <c r="H781" s="37"/>
      <c r="I781" s="38"/>
      <c r="J781" s="37"/>
      <c r="N781" s="37"/>
    </row>
    <row r="782" ht="15.75" customHeight="1">
      <c r="H782" s="37"/>
      <c r="I782" s="38"/>
      <c r="J782" s="37"/>
      <c r="N782" s="37"/>
    </row>
    <row r="783" ht="15.75" customHeight="1">
      <c r="H783" s="37"/>
      <c r="I783" s="38"/>
      <c r="J783" s="37"/>
      <c r="N783" s="37"/>
    </row>
    <row r="784" ht="15.75" customHeight="1">
      <c r="H784" s="37"/>
      <c r="I784" s="38"/>
      <c r="J784" s="37"/>
      <c r="N784" s="37"/>
    </row>
    <row r="785" ht="15.75" customHeight="1">
      <c r="H785" s="37"/>
      <c r="I785" s="38"/>
      <c r="J785" s="37"/>
      <c r="N785" s="37"/>
    </row>
    <row r="786" ht="15.75" customHeight="1">
      <c r="H786" s="37"/>
      <c r="I786" s="38"/>
      <c r="J786" s="37"/>
      <c r="N786" s="37"/>
    </row>
    <row r="787" ht="15.75" customHeight="1">
      <c r="H787" s="37"/>
      <c r="I787" s="38"/>
      <c r="J787" s="37"/>
      <c r="N787" s="37"/>
    </row>
    <row r="788" ht="15.75" customHeight="1">
      <c r="H788" s="37"/>
      <c r="I788" s="38"/>
      <c r="J788" s="37"/>
      <c r="N788" s="37"/>
    </row>
    <row r="789" ht="15.75" customHeight="1">
      <c r="H789" s="37"/>
      <c r="I789" s="38"/>
      <c r="J789" s="37"/>
      <c r="N789" s="37"/>
    </row>
    <row r="790" ht="15.75" customHeight="1">
      <c r="H790" s="37"/>
      <c r="I790" s="38"/>
      <c r="J790" s="37"/>
      <c r="N790" s="37"/>
    </row>
    <row r="791" ht="15.75" customHeight="1">
      <c r="H791" s="37"/>
      <c r="I791" s="38"/>
      <c r="J791" s="37"/>
      <c r="N791" s="37"/>
    </row>
    <row r="792" ht="15.75" customHeight="1">
      <c r="H792" s="37"/>
      <c r="I792" s="38"/>
      <c r="J792" s="37"/>
      <c r="N792" s="37"/>
    </row>
    <row r="793" ht="15.75" customHeight="1">
      <c r="H793" s="37"/>
      <c r="I793" s="38"/>
      <c r="J793" s="37"/>
      <c r="N793" s="37"/>
    </row>
    <row r="794" ht="15.75" customHeight="1">
      <c r="H794" s="37"/>
      <c r="I794" s="38"/>
      <c r="J794" s="37"/>
      <c r="N794" s="37"/>
    </row>
    <row r="795" ht="15.75" customHeight="1">
      <c r="H795" s="37"/>
      <c r="I795" s="38"/>
      <c r="J795" s="37"/>
      <c r="N795" s="37"/>
    </row>
    <row r="796" ht="15.75" customHeight="1">
      <c r="H796" s="37"/>
      <c r="I796" s="38"/>
      <c r="J796" s="37"/>
      <c r="N796" s="37"/>
    </row>
    <row r="797" ht="15.75" customHeight="1">
      <c r="H797" s="37"/>
      <c r="I797" s="38"/>
      <c r="J797" s="37"/>
      <c r="N797" s="37"/>
    </row>
    <row r="798" ht="15.75" customHeight="1">
      <c r="H798" s="37"/>
      <c r="I798" s="38"/>
      <c r="J798" s="37"/>
      <c r="N798" s="37"/>
    </row>
    <row r="799" ht="15.75" customHeight="1">
      <c r="H799" s="37"/>
      <c r="I799" s="38"/>
      <c r="J799" s="37"/>
      <c r="N799" s="37"/>
    </row>
    <row r="800" ht="15.75" customHeight="1">
      <c r="H800" s="37"/>
      <c r="I800" s="38"/>
      <c r="J800" s="37"/>
      <c r="N800" s="37"/>
    </row>
    <row r="801" ht="15.75" customHeight="1">
      <c r="H801" s="37"/>
      <c r="I801" s="38"/>
      <c r="J801" s="37"/>
      <c r="N801" s="37"/>
    </row>
    <row r="802" ht="15.75" customHeight="1">
      <c r="H802" s="37"/>
      <c r="I802" s="38"/>
      <c r="J802" s="37"/>
      <c r="N802" s="37"/>
    </row>
    <row r="803" ht="15.75" customHeight="1">
      <c r="H803" s="37"/>
      <c r="I803" s="38"/>
      <c r="J803" s="37"/>
      <c r="N803" s="37"/>
    </row>
    <row r="804" ht="15.75" customHeight="1">
      <c r="H804" s="37"/>
      <c r="I804" s="38"/>
      <c r="J804" s="37"/>
      <c r="N804" s="37"/>
    </row>
    <row r="805" ht="15.75" customHeight="1">
      <c r="H805" s="37"/>
      <c r="I805" s="38"/>
      <c r="J805" s="37"/>
      <c r="N805" s="37"/>
    </row>
    <row r="806" ht="15.75" customHeight="1">
      <c r="H806" s="37"/>
      <c r="I806" s="38"/>
      <c r="J806" s="37"/>
      <c r="N806" s="37"/>
    </row>
    <row r="807" ht="15.75" customHeight="1">
      <c r="H807" s="37"/>
      <c r="I807" s="38"/>
      <c r="J807" s="37"/>
      <c r="N807" s="37"/>
    </row>
    <row r="808" ht="15.75" customHeight="1">
      <c r="H808" s="37"/>
      <c r="I808" s="38"/>
      <c r="J808" s="37"/>
      <c r="N808" s="37"/>
    </row>
    <row r="809" ht="15.75" customHeight="1">
      <c r="H809" s="37"/>
      <c r="I809" s="38"/>
      <c r="J809" s="37"/>
      <c r="N809" s="37"/>
    </row>
    <row r="810" ht="15.75" customHeight="1">
      <c r="H810" s="37"/>
      <c r="I810" s="38"/>
      <c r="J810" s="37"/>
      <c r="N810" s="37"/>
    </row>
    <row r="811" ht="15.75" customHeight="1">
      <c r="H811" s="37"/>
      <c r="I811" s="38"/>
      <c r="J811" s="37"/>
      <c r="N811" s="37"/>
    </row>
    <row r="812" ht="15.75" customHeight="1">
      <c r="H812" s="37"/>
      <c r="I812" s="38"/>
      <c r="J812" s="37"/>
      <c r="N812" s="37"/>
    </row>
    <row r="813" ht="15.75" customHeight="1">
      <c r="H813" s="37"/>
      <c r="I813" s="38"/>
      <c r="J813" s="37"/>
      <c r="N813" s="37"/>
    </row>
    <row r="814" ht="15.75" customHeight="1">
      <c r="H814" s="37"/>
      <c r="I814" s="38"/>
      <c r="J814" s="37"/>
      <c r="N814" s="37"/>
    </row>
    <row r="815" ht="15.75" customHeight="1">
      <c r="H815" s="37"/>
      <c r="I815" s="38"/>
      <c r="J815" s="37"/>
      <c r="N815" s="37"/>
    </row>
    <row r="816" ht="15.75" customHeight="1">
      <c r="H816" s="37"/>
      <c r="I816" s="38"/>
      <c r="J816" s="37"/>
      <c r="N816" s="37"/>
    </row>
    <row r="817" ht="15.75" customHeight="1">
      <c r="H817" s="37"/>
      <c r="I817" s="38"/>
      <c r="J817" s="37"/>
      <c r="N817" s="37"/>
    </row>
    <row r="818" ht="15.75" customHeight="1">
      <c r="H818" s="37"/>
      <c r="I818" s="38"/>
      <c r="J818" s="37"/>
      <c r="N818" s="37"/>
    </row>
    <row r="819" ht="15.75" customHeight="1">
      <c r="H819" s="37"/>
      <c r="I819" s="38"/>
      <c r="J819" s="37"/>
      <c r="N819" s="37"/>
    </row>
    <row r="820" ht="15.75" customHeight="1">
      <c r="H820" s="37"/>
      <c r="I820" s="38"/>
      <c r="J820" s="37"/>
      <c r="N820" s="37"/>
    </row>
    <row r="821" ht="15.75" customHeight="1">
      <c r="H821" s="37"/>
      <c r="I821" s="38"/>
      <c r="J821" s="37"/>
      <c r="N821" s="37"/>
    </row>
    <row r="822" ht="15.75" customHeight="1">
      <c r="H822" s="37"/>
      <c r="I822" s="38"/>
      <c r="J822" s="37"/>
      <c r="N822" s="37"/>
    </row>
    <row r="823" ht="15.75" customHeight="1">
      <c r="H823" s="37"/>
      <c r="I823" s="38"/>
      <c r="J823" s="37"/>
      <c r="N823" s="37"/>
    </row>
    <row r="824" ht="15.75" customHeight="1">
      <c r="H824" s="37"/>
      <c r="I824" s="38"/>
      <c r="J824" s="37"/>
      <c r="N824" s="37"/>
    </row>
    <row r="825" ht="15.75" customHeight="1">
      <c r="H825" s="37"/>
      <c r="I825" s="38"/>
      <c r="J825" s="37"/>
      <c r="N825" s="37"/>
    </row>
    <row r="826" ht="15.75" customHeight="1">
      <c r="H826" s="37"/>
      <c r="I826" s="38"/>
      <c r="J826" s="37"/>
      <c r="N826" s="37"/>
    </row>
    <row r="827" ht="15.75" customHeight="1">
      <c r="H827" s="37"/>
      <c r="I827" s="38"/>
      <c r="J827" s="37"/>
      <c r="N827" s="37"/>
    </row>
    <row r="828" ht="15.75" customHeight="1">
      <c r="H828" s="37"/>
      <c r="I828" s="38"/>
      <c r="J828" s="37"/>
      <c r="N828" s="37"/>
    </row>
    <row r="829" ht="15.75" customHeight="1">
      <c r="H829" s="37"/>
      <c r="I829" s="38"/>
      <c r="J829" s="37"/>
      <c r="N829" s="37"/>
    </row>
    <row r="830" ht="15.75" customHeight="1">
      <c r="H830" s="37"/>
      <c r="I830" s="38"/>
      <c r="J830" s="37"/>
      <c r="N830" s="37"/>
    </row>
    <row r="831" ht="15.75" customHeight="1">
      <c r="H831" s="37"/>
      <c r="I831" s="38"/>
      <c r="J831" s="37"/>
      <c r="N831" s="37"/>
    </row>
    <row r="832" ht="15.75" customHeight="1">
      <c r="H832" s="37"/>
      <c r="I832" s="38"/>
      <c r="J832" s="37"/>
      <c r="N832" s="37"/>
    </row>
    <row r="833" ht="15.75" customHeight="1">
      <c r="H833" s="37"/>
      <c r="I833" s="38"/>
      <c r="J833" s="37"/>
      <c r="N833" s="37"/>
    </row>
    <row r="834" ht="15.75" customHeight="1">
      <c r="H834" s="37"/>
      <c r="I834" s="38"/>
      <c r="J834" s="37"/>
      <c r="N834" s="37"/>
    </row>
    <row r="835" ht="15.75" customHeight="1">
      <c r="H835" s="37"/>
      <c r="I835" s="38"/>
      <c r="J835" s="37"/>
      <c r="N835" s="37"/>
    </row>
    <row r="836" ht="15.75" customHeight="1">
      <c r="H836" s="37"/>
      <c r="I836" s="38"/>
      <c r="J836" s="37"/>
      <c r="N836" s="37"/>
    </row>
    <row r="837" ht="15.75" customHeight="1">
      <c r="H837" s="37"/>
      <c r="I837" s="38"/>
      <c r="J837" s="37"/>
      <c r="N837" s="37"/>
    </row>
    <row r="838" ht="15.75" customHeight="1">
      <c r="H838" s="37"/>
      <c r="I838" s="38"/>
      <c r="J838" s="37"/>
      <c r="N838" s="37"/>
    </row>
    <row r="839" ht="15.75" customHeight="1">
      <c r="H839" s="37"/>
      <c r="I839" s="38"/>
      <c r="J839" s="37"/>
      <c r="N839" s="37"/>
    </row>
    <row r="840" ht="15.75" customHeight="1">
      <c r="H840" s="37"/>
      <c r="I840" s="38"/>
      <c r="J840" s="37"/>
      <c r="N840" s="37"/>
    </row>
    <row r="841" ht="15.75" customHeight="1">
      <c r="H841" s="37"/>
      <c r="I841" s="38"/>
      <c r="J841" s="37"/>
      <c r="N841" s="37"/>
    </row>
    <row r="842" ht="15.75" customHeight="1">
      <c r="H842" s="37"/>
      <c r="I842" s="38"/>
      <c r="J842" s="37"/>
      <c r="N842" s="37"/>
    </row>
    <row r="843" ht="15.75" customHeight="1">
      <c r="H843" s="37"/>
      <c r="I843" s="38"/>
      <c r="J843" s="37"/>
      <c r="N843" s="37"/>
    </row>
    <row r="844" ht="15.75" customHeight="1">
      <c r="H844" s="37"/>
      <c r="I844" s="38"/>
      <c r="J844" s="37"/>
      <c r="N844" s="37"/>
    </row>
    <row r="845" ht="15.75" customHeight="1">
      <c r="H845" s="37"/>
      <c r="I845" s="38"/>
      <c r="J845" s="37"/>
      <c r="N845" s="37"/>
    </row>
    <row r="846" ht="15.75" customHeight="1">
      <c r="H846" s="37"/>
      <c r="I846" s="38"/>
      <c r="J846" s="37"/>
      <c r="N846" s="37"/>
    </row>
    <row r="847" ht="15.75" customHeight="1">
      <c r="H847" s="37"/>
      <c r="I847" s="38"/>
      <c r="J847" s="37"/>
      <c r="N847" s="37"/>
    </row>
    <row r="848" ht="15.75" customHeight="1">
      <c r="H848" s="37"/>
      <c r="I848" s="38"/>
      <c r="J848" s="37"/>
      <c r="N848" s="37"/>
    </row>
    <row r="849" ht="15.75" customHeight="1">
      <c r="H849" s="37"/>
      <c r="I849" s="38"/>
      <c r="J849" s="37"/>
      <c r="N849" s="37"/>
    </row>
    <row r="850" ht="15.75" customHeight="1">
      <c r="H850" s="37"/>
      <c r="I850" s="38"/>
      <c r="J850" s="37"/>
      <c r="N850" s="37"/>
    </row>
    <row r="851" ht="15.75" customHeight="1">
      <c r="H851" s="37"/>
      <c r="I851" s="38"/>
      <c r="J851" s="37"/>
      <c r="N851" s="37"/>
    </row>
    <row r="852" ht="15.75" customHeight="1">
      <c r="H852" s="37"/>
      <c r="I852" s="38"/>
      <c r="J852" s="37"/>
      <c r="N852" s="37"/>
    </row>
    <row r="853" ht="15.75" customHeight="1">
      <c r="H853" s="37"/>
      <c r="I853" s="38"/>
      <c r="J853" s="37"/>
      <c r="N853" s="37"/>
    </row>
    <row r="854" ht="15.75" customHeight="1">
      <c r="H854" s="37"/>
      <c r="I854" s="38"/>
      <c r="J854" s="37"/>
      <c r="N854" s="37"/>
    </row>
    <row r="855" ht="15.75" customHeight="1">
      <c r="H855" s="37"/>
      <c r="I855" s="38"/>
      <c r="J855" s="37"/>
      <c r="N855" s="37"/>
    </row>
    <row r="856" ht="15.75" customHeight="1">
      <c r="H856" s="37"/>
      <c r="I856" s="38"/>
      <c r="J856" s="37"/>
      <c r="N856" s="37"/>
    </row>
    <row r="857" ht="15.75" customHeight="1">
      <c r="H857" s="37"/>
      <c r="I857" s="38"/>
      <c r="J857" s="37"/>
      <c r="N857" s="37"/>
    </row>
    <row r="858" ht="15.75" customHeight="1">
      <c r="H858" s="37"/>
      <c r="I858" s="38"/>
      <c r="J858" s="37"/>
      <c r="N858" s="37"/>
    </row>
    <row r="859" ht="15.75" customHeight="1">
      <c r="H859" s="37"/>
      <c r="I859" s="38"/>
      <c r="J859" s="37"/>
      <c r="N859" s="37"/>
    </row>
    <row r="860" ht="15.75" customHeight="1">
      <c r="H860" s="37"/>
      <c r="I860" s="38"/>
      <c r="J860" s="37"/>
      <c r="N860" s="37"/>
    </row>
    <row r="861" ht="15.75" customHeight="1">
      <c r="H861" s="37"/>
      <c r="I861" s="38"/>
      <c r="J861" s="37"/>
      <c r="N861" s="37"/>
    </row>
    <row r="862" ht="15.75" customHeight="1">
      <c r="H862" s="37"/>
      <c r="I862" s="38"/>
      <c r="J862" s="37"/>
      <c r="N862" s="37"/>
    </row>
    <row r="863" ht="15.75" customHeight="1">
      <c r="H863" s="37"/>
      <c r="I863" s="38"/>
      <c r="J863" s="37"/>
      <c r="N863" s="37"/>
    </row>
    <row r="864" ht="15.75" customHeight="1">
      <c r="H864" s="37"/>
      <c r="I864" s="38"/>
      <c r="J864" s="37"/>
      <c r="N864" s="37"/>
    </row>
    <row r="865" ht="15.75" customHeight="1">
      <c r="H865" s="37"/>
      <c r="I865" s="38"/>
      <c r="J865" s="37"/>
      <c r="N865" s="37"/>
    </row>
    <row r="866" ht="15.75" customHeight="1">
      <c r="H866" s="37"/>
      <c r="I866" s="38"/>
      <c r="J866" s="37"/>
      <c r="N866" s="37"/>
    </row>
    <row r="867" ht="15.75" customHeight="1">
      <c r="H867" s="37"/>
      <c r="I867" s="38"/>
      <c r="J867" s="37"/>
      <c r="N867" s="37"/>
    </row>
    <row r="868" ht="15.75" customHeight="1">
      <c r="H868" s="37"/>
      <c r="I868" s="38"/>
      <c r="J868" s="37"/>
      <c r="N868" s="37"/>
    </row>
    <row r="869" ht="15.75" customHeight="1">
      <c r="H869" s="37"/>
      <c r="I869" s="38"/>
      <c r="J869" s="37"/>
      <c r="N869" s="37"/>
    </row>
    <row r="870" ht="15.75" customHeight="1">
      <c r="H870" s="37"/>
      <c r="I870" s="38"/>
      <c r="J870" s="37"/>
      <c r="N870" s="37"/>
    </row>
    <row r="871" ht="15.75" customHeight="1">
      <c r="H871" s="37"/>
      <c r="I871" s="38"/>
      <c r="J871" s="37"/>
      <c r="N871" s="37"/>
    </row>
    <row r="872" ht="15.75" customHeight="1">
      <c r="H872" s="37"/>
      <c r="I872" s="38"/>
      <c r="J872" s="37"/>
      <c r="N872" s="37"/>
    </row>
    <row r="873" ht="15.75" customHeight="1">
      <c r="H873" s="37"/>
      <c r="I873" s="38"/>
      <c r="J873" s="37"/>
      <c r="N873" s="37"/>
    </row>
    <row r="874" ht="15.75" customHeight="1">
      <c r="H874" s="37"/>
      <c r="I874" s="38"/>
      <c r="J874" s="37"/>
      <c r="N874" s="37"/>
    </row>
    <row r="875" ht="15.75" customHeight="1">
      <c r="H875" s="37"/>
      <c r="I875" s="38"/>
      <c r="J875" s="37"/>
      <c r="N875" s="37"/>
    </row>
    <row r="876" ht="15.75" customHeight="1">
      <c r="H876" s="37"/>
      <c r="I876" s="38"/>
      <c r="J876" s="37"/>
      <c r="N876" s="37"/>
    </row>
    <row r="877" ht="15.75" customHeight="1">
      <c r="H877" s="37"/>
      <c r="I877" s="38"/>
      <c r="J877" s="37"/>
      <c r="N877" s="37"/>
    </row>
    <row r="878" ht="15.75" customHeight="1">
      <c r="H878" s="37"/>
      <c r="I878" s="38"/>
      <c r="J878" s="37"/>
      <c r="N878" s="37"/>
    </row>
    <row r="879" ht="15.75" customHeight="1">
      <c r="H879" s="37"/>
      <c r="I879" s="38"/>
      <c r="J879" s="37"/>
      <c r="N879" s="37"/>
    </row>
    <row r="880" ht="15.75" customHeight="1">
      <c r="H880" s="37"/>
      <c r="I880" s="38"/>
      <c r="J880" s="37"/>
      <c r="N880" s="37"/>
    </row>
    <row r="881" ht="15.75" customHeight="1">
      <c r="H881" s="37"/>
      <c r="I881" s="38"/>
      <c r="J881" s="37"/>
      <c r="N881" s="37"/>
    </row>
    <row r="882" ht="15.75" customHeight="1">
      <c r="H882" s="37"/>
      <c r="I882" s="38"/>
      <c r="J882" s="37"/>
      <c r="N882" s="37"/>
    </row>
    <row r="883" ht="15.75" customHeight="1">
      <c r="H883" s="37"/>
      <c r="I883" s="38"/>
      <c r="J883" s="37"/>
      <c r="N883" s="37"/>
    </row>
    <row r="884" ht="15.75" customHeight="1">
      <c r="H884" s="37"/>
      <c r="I884" s="38"/>
      <c r="J884" s="37"/>
      <c r="N884" s="37"/>
    </row>
    <row r="885" ht="15.75" customHeight="1">
      <c r="H885" s="37"/>
      <c r="I885" s="38"/>
      <c r="J885" s="37"/>
      <c r="N885" s="37"/>
    </row>
    <row r="886" ht="15.75" customHeight="1">
      <c r="H886" s="37"/>
      <c r="I886" s="38"/>
      <c r="J886" s="37"/>
      <c r="N886" s="37"/>
    </row>
    <row r="887" ht="15.75" customHeight="1">
      <c r="H887" s="37"/>
      <c r="I887" s="38"/>
      <c r="J887" s="37"/>
      <c r="N887" s="37"/>
    </row>
    <row r="888" ht="15.75" customHeight="1">
      <c r="H888" s="37"/>
      <c r="I888" s="38"/>
      <c r="J888" s="37"/>
      <c r="N888" s="37"/>
    </row>
    <row r="889" ht="15.75" customHeight="1">
      <c r="H889" s="37"/>
      <c r="I889" s="38"/>
      <c r="J889" s="37"/>
      <c r="N889" s="37"/>
    </row>
    <row r="890" ht="15.75" customHeight="1">
      <c r="H890" s="37"/>
      <c r="I890" s="38"/>
      <c r="J890" s="37"/>
      <c r="N890" s="37"/>
    </row>
    <row r="891" ht="15.75" customHeight="1">
      <c r="H891" s="37"/>
      <c r="I891" s="38"/>
      <c r="J891" s="37"/>
      <c r="N891" s="37"/>
    </row>
    <row r="892" ht="15.75" customHeight="1">
      <c r="H892" s="37"/>
      <c r="I892" s="38"/>
      <c r="J892" s="37"/>
      <c r="N892" s="37"/>
    </row>
    <row r="893" ht="15.75" customHeight="1">
      <c r="H893" s="37"/>
      <c r="I893" s="38"/>
      <c r="J893" s="37"/>
      <c r="N893" s="37"/>
    </row>
    <row r="894" ht="15.75" customHeight="1">
      <c r="H894" s="37"/>
      <c r="I894" s="38"/>
      <c r="J894" s="37"/>
      <c r="N894" s="37"/>
    </row>
    <row r="895" ht="15.75" customHeight="1">
      <c r="H895" s="37"/>
      <c r="I895" s="38"/>
      <c r="J895" s="37"/>
      <c r="N895" s="37"/>
    </row>
    <row r="896" ht="15.75" customHeight="1">
      <c r="H896" s="37"/>
      <c r="I896" s="38"/>
      <c r="J896" s="37"/>
      <c r="N896" s="37"/>
    </row>
    <row r="897" ht="15.75" customHeight="1">
      <c r="H897" s="37"/>
      <c r="I897" s="38"/>
      <c r="J897" s="37"/>
      <c r="N897" s="37"/>
    </row>
    <row r="898" ht="15.75" customHeight="1">
      <c r="H898" s="37"/>
      <c r="I898" s="38"/>
      <c r="J898" s="37"/>
      <c r="N898" s="37"/>
    </row>
    <row r="899" ht="15.75" customHeight="1">
      <c r="H899" s="37"/>
      <c r="I899" s="38"/>
      <c r="J899" s="37"/>
      <c r="N899" s="37"/>
    </row>
    <row r="900" ht="15.75" customHeight="1">
      <c r="H900" s="37"/>
      <c r="I900" s="38"/>
      <c r="J900" s="37"/>
      <c r="N900" s="37"/>
    </row>
    <row r="901" ht="15.75" customHeight="1">
      <c r="H901" s="37"/>
      <c r="I901" s="38"/>
      <c r="J901" s="37"/>
      <c r="N901" s="37"/>
    </row>
    <row r="902" ht="15.75" customHeight="1">
      <c r="H902" s="37"/>
      <c r="I902" s="38"/>
      <c r="J902" s="37"/>
      <c r="N902" s="37"/>
    </row>
    <row r="903" ht="15.75" customHeight="1">
      <c r="H903" s="37"/>
      <c r="I903" s="38"/>
      <c r="J903" s="37"/>
      <c r="N903" s="37"/>
    </row>
    <row r="904" ht="15.75" customHeight="1">
      <c r="H904" s="37"/>
      <c r="I904" s="38"/>
      <c r="J904" s="37"/>
      <c r="N904" s="37"/>
    </row>
    <row r="905" ht="15.75" customHeight="1">
      <c r="H905" s="37"/>
      <c r="I905" s="38"/>
      <c r="J905" s="37"/>
      <c r="N905" s="37"/>
    </row>
    <row r="906" ht="15.75" customHeight="1">
      <c r="H906" s="37"/>
      <c r="I906" s="38"/>
      <c r="J906" s="37"/>
      <c r="N906" s="37"/>
    </row>
    <row r="907" ht="15.75" customHeight="1">
      <c r="H907" s="37"/>
      <c r="I907" s="38"/>
      <c r="J907" s="37"/>
      <c r="N907" s="37"/>
    </row>
    <row r="908" ht="15.75" customHeight="1">
      <c r="H908" s="37"/>
      <c r="I908" s="38"/>
      <c r="J908" s="37"/>
      <c r="N908" s="37"/>
    </row>
    <row r="909" ht="15.75" customHeight="1">
      <c r="H909" s="37"/>
      <c r="I909" s="38"/>
      <c r="J909" s="37"/>
      <c r="N909" s="37"/>
    </row>
    <row r="910" ht="15.75" customHeight="1">
      <c r="H910" s="37"/>
      <c r="I910" s="38"/>
      <c r="J910" s="37"/>
      <c r="N910" s="37"/>
    </row>
    <row r="911" ht="15.75" customHeight="1">
      <c r="H911" s="37"/>
      <c r="I911" s="38"/>
      <c r="J911" s="37"/>
      <c r="N911" s="37"/>
    </row>
    <row r="912" ht="15.75" customHeight="1">
      <c r="H912" s="37"/>
      <c r="I912" s="38"/>
      <c r="J912" s="37"/>
      <c r="N912" s="37"/>
    </row>
    <row r="913" ht="15.75" customHeight="1">
      <c r="H913" s="37"/>
      <c r="I913" s="38"/>
      <c r="J913" s="37"/>
      <c r="N913" s="37"/>
    </row>
    <row r="914" ht="15.75" customHeight="1">
      <c r="H914" s="37"/>
      <c r="I914" s="38"/>
      <c r="J914" s="37"/>
      <c r="N914" s="37"/>
    </row>
    <row r="915" ht="15.75" customHeight="1">
      <c r="H915" s="37"/>
      <c r="I915" s="38"/>
      <c r="J915" s="37"/>
      <c r="N915" s="37"/>
    </row>
    <row r="916" ht="15.75" customHeight="1">
      <c r="H916" s="37"/>
      <c r="I916" s="38"/>
      <c r="J916" s="37"/>
      <c r="N916" s="37"/>
    </row>
    <row r="917" ht="15.75" customHeight="1">
      <c r="H917" s="37"/>
      <c r="I917" s="38"/>
      <c r="J917" s="37"/>
      <c r="N917" s="37"/>
    </row>
    <row r="918" ht="15.75" customHeight="1">
      <c r="H918" s="37"/>
      <c r="I918" s="38"/>
      <c r="J918" s="37"/>
      <c r="N918" s="37"/>
    </row>
    <row r="919" ht="15.75" customHeight="1">
      <c r="H919" s="37"/>
      <c r="I919" s="38"/>
      <c r="J919" s="37"/>
      <c r="N919" s="37"/>
    </row>
    <row r="920" ht="15.75" customHeight="1">
      <c r="H920" s="37"/>
      <c r="I920" s="38"/>
      <c r="J920" s="37"/>
      <c r="N920" s="37"/>
    </row>
    <row r="921" ht="15.75" customHeight="1">
      <c r="H921" s="37"/>
      <c r="I921" s="38"/>
      <c r="J921" s="37"/>
      <c r="N921" s="37"/>
    </row>
    <row r="922" ht="15.75" customHeight="1">
      <c r="H922" s="37"/>
      <c r="I922" s="38"/>
      <c r="J922" s="37"/>
      <c r="N922" s="37"/>
    </row>
    <row r="923" ht="15.75" customHeight="1">
      <c r="H923" s="37"/>
      <c r="I923" s="38"/>
      <c r="J923" s="37"/>
      <c r="N923" s="37"/>
    </row>
    <row r="924" ht="15.75" customHeight="1">
      <c r="H924" s="37"/>
      <c r="I924" s="38"/>
      <c r="J924" s="37"/>
      <c r="N924" s="37"/>
    </row>
    <row r="925" ht="15.75" customHeight="1">
      <c r="H925" s="37"/>
      <c r="I925" s="38"/>
      <c r="J925" s="37"/>
      <c r="N925" s="37"/>
    </row>
    <row r="926" ht="15.75" customHeight="1">
      <c r="H926" s="37"/>
      <c r="I926" s="38"/>
      <c r="J926" s="37"/>
      <c r="N926" s="37"/>
    </row>
    <row r="927" ht="15.75" customHeight="1">
      <c r="H927" s="37"/>
      <c r="I927" s="38"/>
      <c r="J927" s="37"/>
      <c r="N927" s="37"/>
    </row>
    <row r="928" ht="15.75" customHeight="1">
      <c r="H928" s="37"/>
      <c r="I928" s="38"/>
      <c r="J928" s="37"/>
      <c r="N928" s="37"/>
    </row>
    <row r="929" ht="15.75" customHeight="1">
      <c r="H929" s="37"/>
      <c r="I929" s="38"/>
      <c r="J929" s="37"/>
      <c r="N929" s="37"/>
    </row>
    <row r="930" ht="15.75" customHeight="1">
      <c r="H930" s="37"/>
      <c r="I930" s="38"/>
      <c r="J930" s="37"/>
      <c r="N930" s="37"/>
    </row>
    <row r="931" ht="15.75" customHeight="1">
      <c r="H931" s="37"/>
      <c r="I931" s="38"/>
      <c r="J931" s="37"/>
      <c r="N931" s="37"/>
    </row>
    <row r="932" ht="15.75" customHeight="1">
      <c r="H932" s="37"/>
      <c r="I932" s="38"/>
      <c r="J932" s="37"/>
      <c r="N932" s="37"/>
    </row>
    <row r="933" ht="15.75" customHeight="1">
      <c r="H933" s="37"/>
      <c r="I933" s="38"/>
      <c r="J933" s="37"/>
      <c r="N933" s="37"/>
    </row>
    <row r="934" ht="15.75" customHeight="1">
      <c r="H934" s="37"/>
      <c r="I934" s="38"/>
      <c r="J934" s="37"/>
      <c r="N934" s="37"/>
    </row>
    <row r="935" ht="15.75" customHeight="1">
      <c r="H935" s="37"/>
      <c r="I935" s="38"/>
      <c r="J935" s="37"/>
      <c r="N935" s="37"/>
    </row>
    <row r="936" ht="15.75" customHeight="1">
      <c r="H936" s="37"/>
      <c r="I936" s="38"/>
      <c r="J936" s="37"/>
      <c r="N936" s="37"/>
    </row>
    <row r="937" ht="15.75" customHeight="1">
      <c r="H937" s="37"/>
      <c r="I937" s="38"/>
      <c r="J937" s="37"/>
      <c r="N937" s="37"/>
    </row>
    <row r="938" ht="15.75" customHeight="1">
      <c r="H938" s="37"/>
      <c r="I938" s="38"/>
      <c r="J938" s="37"/>
      <c r="N938" s="37"/>
    </row>
    <row r="939" ht="15.75" customHeight="1">
      <c r="H939" s="37"/>
      <c r="I939" s="38"/>
      <c r="J939" s="37"/>
      <c r="N939" s="37"/>
    </row>
    <row r="940" ht="15.75" customHeight="1">
      <c r="H940" s="37"/>
      <c r="I940" s="38"/>
      <c r="J940" s="37"/>
      <c r="N940" s="37"/>
    </row>
    <row r="941" ht="15.75" customHeight="1">
      <c r="H941" s="37"/>
      <c r="I941" s="38"/>
      <c r="J941" s="37"/>
      <c r="N941" s="37"/>
    </row>
    <row r="942" ht="15.75" customHeight="1">
      <c r="H942" s="37"/>
      <c r="I942" s="38"/>
      <c r="J942" s="37"/>
      <c r="N942" s="37"/>
    </row>
    <row r="943" ht="15.75" customHeight="1">
      <c r="H943" s="37"/>
      <c r="I943" s="38"/>
      <c r="J943" s="37"/>
      <c r="N943" s="37"/>
    </row>
    <row r="944" ht="15.75" customHeight="1">
      <c r="H944" s="37"/>
      <c r="I944" s="38"/>
      <c r="J944" s="37"/>
      <c r="N944" s="37"/>
    </row>
    <row r="945" ht="15.75" customHeight="1">
      <c r="H945" s="37"/>
      <c r="I945" s="38"/>
      <c r="J945" s="37"/>
      <c r="N945" s="37"/>
    </row>
    <row r="946" ht="15.75" customHeight="1">
      <c r="H946" s="37"/>
      <c r="I946" s="38"/>
      <c r="J946" s="37"/>
      <c r="N946" s="37"/>
    </row>
    <row r="947" ht="15.75" customHeight="1">
      <c r="H947" s="37"/>
      <c r="I947" s="38"/>
      <c r="J947" s="37"/>
      <c r="N947" s="37"/>
    </row>
    <row r="948" ht="15.75" customHeight="1">
      <c r="H948" s="37"/>
      <c r="I948" s="38"/>
      <c r="J948" s="37"/>
      <c r="N948" s="37"/>
    </row>
    <row r="949" ht="15.75" customHeight="1">
      <c r="H949" s="37"/>
      <c r="I949" s="38"/>
      <c r="J949" s="37"/>
      <c r="N949" s="37"/>
    </row>
    <row r="950" ht="15.75" customHeight="1">
      <c r="H950" s="37"/>
      <c r="I950" s="38"/>
      <c r="J950" s="37"/>
      <c r="N950" s="37"/>
    </row>
    <row r="951" ht="15.75" customHeight="1">
      <c r="H951" s="37"/>
      <c r="I951" s="38"/>
      <c r="J951" s="37"/>
      <c r="N951" s="37"/>
    </row>
    <row r="952" ht="15.75" customHeight="1">
      <c r="H952" s="37"/>
      <c r="I952" s="38"/>
      <c r="J952" s="37"/>
      <c r="N952" s="37"/>
    </row>
    <row r="953" ht="15.75" customHeight="1">
      <c r="H953" s="37"/>
      <c r="I953" s="38"/>
      <c r="J953" s="37"/>
      <c r="N953" s="37"/>
    </row>
    <row r="954" ht="15.75" customHeight="1">
      <c r="H954" s="37"/>
      <c r="I954" s="38"/>
      <c r="J954" s="37"/>
      <c r="N954" s="37"/>
    </row>
    <row r="955" ht="15.75" customHeight="1">
      <c r="H955" s="37"/>
      <c r="I955" s="38"/>
      <c r="J955" s="37"/>
      <c r="N955" s="37"/>
    </row>
    <row r="956" ht="15.75" customHeight="1">
      <c r="H956" s="37"/>
      <c r="I956" s="38"/>
      <c r="J956" s="37"/>
      <c r="N956" s="37"/>
    </row>
    <row r="957" ht="15.75" customHeight="1">
      <c r="H957" s="37"/>
      <c r="I957" s="38"/>
      <c r="J957" s="37"/>
      <c r="N957" s="37"/>
    </row>
    <row r="958" ht="15.75" customHeight="1">
      <c r="H958" s="37"/>
      <c r="I958" s="38"/>
      <c r="J958" s="37"/>
      <c r="N958" s="37"/>
    </row>
    <row r="959" ht="15.75" customHeight="1">
      <c r="H959" s="37"/>
      <c r="I959" s="38"/>
      <c r="J959" s="37"/>
      <c r="N959" s="37"/>
    </row>
    <row r="960" ht="15.75" customHeight="1">
      <c r="H960" s="37"/>
      <c r="I960" s="38"/>
      <c r="J960" s="37"/>
      <c r="N960" s="37"/>
    </row>
    <row r="961" ht="15.75" customHeight="1">
      <c r="H961" s="37"/>
      <c r="I961" s="38"/>
      <c r="J961" s="37"/>
      <c r="N961" s="37"/>
    </row>
    <row r="962" ht="15.75" customHeight="1">
      <c r="H962" s="37"/>
      <c r="I962" s="38"/>
      <c r="J962" s="37"/>
      <c r="N962" s="37"/>
    </row>
    <row r="963" ht="15.75" customHeight="1">
      <c r="H963" s="37"/>
      <c r="I963" s="38"/>
      <c r="J963" s="37"/>
      <c r="N963" s="37"/>
    </row>
    <row r="964" ht="15.75" customHeight="1">
      <c r="H964" s="37"/>
      <c r="I964" s="38"/>
      <c r="J964" s="37"/>
      <c r="N964" s="37"/>
    </row>
    <row r="965" ht="15.75" customHeight="1">
      <c r="H965" s="37"/>
      <c r="I965" s="38"/>
      <c r="J965" s="37"/>
      <c r="N965" s="37"/>
    </row>
    <row r="966" ht="15.75" customHeight="1">
      <c r="H966" s="37"/>
      <c r="I966" s="38"/>
      <c r="J966" s="37"/>
      <c r="N966" s="37"/>
    </row>
    <row r="967" ht="15.75" customHeight="1">
      <c r="H967" s="37"/>
      <c r="I967" s="38"/>
      <c r="J967" s="37"/>
      <c r="N967" s="37"/>
    </row>
    <row r="968" ht="15.75" customHeight="1">
      <c r="H968" s="37"/>
      <c r="I968" s="38"/>
      <c r="J968" s="37"/>
      <c r="N968" s="37"/>
    </row>
    <row r="969" ht="15.75" customHeight="1">
      <c r="H969" s="37"/>
      <c r="I969" s="38"/>
      <c r="J969" s="37"/>
      <c r="N969" s="37"/>
    </row>
    <row r="970" ht="15.75" customHeight="1">
      <c r="H970" s="37"/>
      <c r="I970" s="38"/>
      <c r="J970" s="37"/>
      <c r="N970" s="37"/>
    </row>
    <row r="971" ht="15.75" customHeight="1">
      <c r="H971" s="37"/>
      <c r="I971" s="38"/>
      <c r="J971" s="37"/>
      <c r="N971" s="37"/>
    </row>
    <row r="972" ht="15.75" customHeight="1">
      <c r="H972" s="37"/>
      <c r="I972" s="38"/>
      <c r="J972" s="37"/>
      <c r="N972" s="37"/>
    </row>
    <row r="973" ht="15.75" customHeight="1">
      <c r="H973" s="37"/>
      <c r="I973" s="38"/>
      <c r="J973" s="37"/>
      <c r="N973" s="37"/>
    </row>
    <row r="974" ht="15.75" customHeight="1">
      <c r="H974" s="37"/>
      <c r="I974" s="38"/>
      <c r="J974" s="37"/>
      <c r="N974" s="37"/>
    </row>
    <row r="975" ht="15.75" customHeight="1">
      <c r="H975" s="37"/>
      <c r="I975" s="38"/>
      <c r="J975" s="37"/>
      <c r="N975" s="37"/>
    </row>
    <row r="976" ht="15.75" customHeight="1">
      <c r="H976" s="37"/>
      <c r="I976" s="38"/>
      <c r="J976" s="37"/>
      <c r="N976" s="37"/>
    </row>
    <row r="977" ht="15.75" customHeight="1">
      <c r="H977" s="37"/>
      <c r="I977" s="38"/>
      <c r="J977" s="37"/>
      <c r="N977" s="37"/>
    </row>
    <row r="978" ht="15.75" customHeight="1">
      <c r="H978" s="37"/>
      <c r="I978" s="38"/>
      <c r="J978" s="37"/>
      <c r="N978" s="37"/>
    </row>
    <row r="979" ht="15.75" customHeight="1">
      <c r="H979" s="37"/>
      <c r="I979" s="38"/>
      <c r="J979" s="37"/>
      <c r="N979" s="37"/>
    </row>
    <row r="980" ht="15.75" customHeight="1">
      <c r="H980" s="37"/>
      <c r="I980" s="38"/>
      <c r="J980" s="37"/>
      <c r="N980" s="37"/>
    </row>
    <row r="981" ht="15.75" customHeight="1">
      <c r="H981" s="37"/>
      <c r="I981" s="38"/>
      <c r="J981" s="37"/>
      <c r="N981" s="37"/>
    </row>
    <row r="982" ht="15.75" customHeight="1">
      <c r="H982" s="37"/>
      <c r="I982" s="38"/>
      <c r="J982" s="37"/>
      <c r="N982" s="37"/>
    </row>
    <row r="983" ht="15.75" customHeight="1">
      <c r="H983" s="37"/>
      <c r="I983" s="38"/>
      <c r="J983" s="37"/>
      <c r="N983" s="37"/>
    </row>
    <row r="984" ht="15.75" customHeight="1">
      <c r="H984" s="37"/>
      <c r="I984" s="38"/>
      <c r="J984" s="37"/>
      <c r="N984" s="37"/>
    </row>
    <row r="985" ht="15.75" customHeight="1">
      <c r="H985" s="37"/>
      <c r="I985" s="38"/>
      <c r="J985" s="37"/>
      <c r="N985" s="37"/>
    </row>
    <row r="986" ht="15.75" customHeight="1">
      <c r="H986" s="37"/>
      <c r="I986" s="38"/>
      <c r="J986" s="37"/>
      <c r="N986" s="37"/>
    </row>
    <row r="987" ht="15.75" customHeight="1">
      <c r="H987" s="37"/>
      <c r="I987" s="38"/>
      <c r="J987" s="37"/>
      <c r="N987" s="37"/>
    </row>
    <row r="988" ht="15.75" customHeight="1">
      <c r="H988" s="37"/>
      <c r="I988" s="38"/>
      <c r="J988" s="37"/>
      <c r="N988" s="37"/>
    </row>
    <row r="989" ht="15.75" customHeight="1">
      <c r="H989" s="37"/>
      <c r="I989" s="38"/>
      <c r="J989" s="37"/>
      <c r="N989" s="37"/>
    </row>
    <row r="990" ht="15.75" customHeight="1">
      <c r="H990" s="37"/>
      <c r="I990" s="38"/>
      <c r="J990" s="37"/>
      <c r="N990" s="37"/>
    </row>
    <row r="991" ht="15.75" customHeight="1">
      <c r="H991" s="37"/>
      <c r="I991" s="38"/>
      <c r="J991" s="37"/>
      <c r="N991" s="37"/>
    </row>
    <row r="992" ht="15.75" customHeight="1">
      <c r="H992" s="37"/>
      <c r="I992" s="38"/>
      <c r="J992" s="37"/>
      <c r="N992" s="37"/>
    </row>
    <row r="993" ht="15.75" customHeight="1">
      <c r="H993" s="37"/>
      <c r="I993" s="38"/>
      <c r="J993" s="37"/>
      <c r="N993" s="37"/>
    </row>
    <row r="994" ht="15.75" customHeight="1">
      <c r="H994" s="37"/>
      <c r="I994" s="38"/>
      <c r="J994" s="37"/>
      <c r="N994" s="37"/>
    </row>
    <row r="995" ht="15.75" customHeight="1">
      <c r="H995" s="37"/>
      <c r="I995" s="38"/>
      <c r="J995" s="37"/>
      <c r="N995" s="37"/>
    </row>
    <row r="996" ht="15.75" customHeight="1">
      <c r="H996" s="37"/>
      <c r="I996" s="38"/>
      <c r="J996" s="37"/>
      <c r="N996" s="37"/>
    </row>
    <row r="997" ht="15.75" customHeight="1">
      <c r="H997" s="37"/>
      <c r="I997" s="38"/>
      <c r="J997" s="37"/>
      <c r="N997" s="37"/>
    </row>
    <row r="998" ht="15.75" customHeight="1">
      <c r="H998" s="37"/>
      <c r="I998" s="38"/>
      <c r="J998" s="37"/>
      <c r="N998" s="37"/>
    </row>
    <row r="999" ht="15.75" customHeight="1">
      <c r="H999" s="37"/>
      <c r="I999" s="38"/>
      <c r="J999" s="37"/>
      <c r="N999" s="37"/>
    </row>
    <row r="1000" ht="15.75" customHeight="1">
      <c r="H1000" s="37"/>
      <c r="I1000" s="38"/>
      <c r="J1000" s="37"/>
      <c r="N1000" s="37"/>
    </row>
    <row r="1001" ht="15.75" customHeight="1">
      <c r="H1001" s="37"/>
      <c r="I1001" s="38"/>
      <c r="J1001" s="37"/>
      <c r="N1001" s="37"/>
    </row>
    <row r="1002" ht="15.75" customHeight="1">
      <c r="H1002" s="37"/>
      <c r="I1002" s="38"/>
      <c r="J1002" s="37"/>
      <c r="N1002" s="37"/>
    </row>
    <row r="1003" ht="15.75" customHeight="1">
      <c r="H1003" s="37"/>
      <c r="I1003" s="38"/>
      <c r="J1003" s="37"/>
      <c r="N1003" s="37"/>
    </row>
    <row r="1004" ht="15.75" customHeight="1">
      <c r="H1004" s="37"/>
      <c r="I1004" s="38"/>
      <c r="J1004" s="37"/>
      <c r="N1004" s="37"/>
    </row>
    <row r="1005" ht="15.75" customHeight="1">
      <c r="H1005" s="37"/>
      <c r="I1005" s="38"/>
      <c r="J1005" s="37"/>
      <c r="N1005" s="37"/>
    </row>
  </sheetData>
  <autoFilter ref="$A$7:$O$297"/>
  <mergeCells count="8">
    <mergeCell ref="A4:B4"/>
    <mergeCell ref="C4:D4"/>
    <mergeCell ref="E4:F4"/>
    <mergeCell ref="G4:H4"/>
    <mergeCell ref="I4:J4"/>
    <mergeCell ref="K4:L4"/>
    <mergeCell ref="M4:N4"/>
    <mergeCell ref="P4:R4"/>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FF"/>
    <pageSetUpPr/>
  </sheetPr>
  <sheetViews>
    <sheetView showGridLines="0" workbookViewId="0">
      <pane xSplit="16.0" ySplit="5.0" topLeftCell="Q6" activePane="bottomRight" state="frozen"/>
      <selection activeCell="Q1" sqref="Q1" pane="topRight"/>
      <selection activeCell="A6" sqref="A6" pane="bottomLeft"/>
      <selection activeCell="Q6" sqref="Q6" pane="bottomRight"/>
    </sheetView>
  </sheetViews>
  <sheetFormatPr customHeight="1" defaultColWidth="11.22" defaultRowHeight="15.0" outlineLevelRow="1"/>
  <cols>
    <col customWidth="1" min="1" max="1" width="3.78"/>
    <col customWidth="1" min="2" max="2" width="5.11"/>
    <col customWidth="1" min="3" max="3" width="4.11"/>
    <col customWidth="1" min="4" max="4" width="3.11"/>
    <col customWidth="1" min="5" max="5" width="5.0"/>
    <col customWidth="1" min="6" max="6" width="7.33"/>
    <col customWidth="1" min="7" max="7" width="4.0"/>
    <col customWidth="1" min="8" max="8" width="30.22"/>
    <col customWidth="1" min="9" max="9" width="3.78"/>
    <col customWidth="1" min="10" max="10" width="30.67"/>
    <col customWidth="1" min="11" max="11" width="3.56"/>
    <col customWidth="1" min="12" max="12" width="22.89"/>
    <col customWidth="1" min="13" max="13" width="3.56"/>
    <col customWidth="1" min="14" max="14" width="12.89"/>
    <col customWidth="1" hidden="1" min="15" max="15" width="14.22"/>
    <col customWidth="1" min="16" max="16" width="16.0"/>
    <col customWidth="1" min="17" max="17" width="4.78"/>
    <col customWidth="1" min="18" max="18" width="16.22"/>
    <col customWidth="1" min="19" max="19" width="15.22"/>
    <col customWidth="1" min="20" max="20" width="17.22"/>
    <col customWidth="1" min="21" max="21" width="24.56"/>
    <col customWidth="1" min="22" max="22" width="24.78"/>
    <col customWidth="1" min="23" max="23" width="26.11"/>
    <col customWidth="1" min="24" max="24" width="25.22"/>
    <col customWidth="1" min="25" max="25" width="16.22"/>
    <col customWidth="1" min="26" max="26" width="21.33"/>
    <col customWidth="1" min="27" max="27" width="10.78"/>
    <col customWidth="1" min="28" max="28" width="11.11"/>
    <col customWidth="1" min="29" max="30" width="8.56"/>
  </cols>
  <sheetData>
    <row r="1" ht="15.75" customHeight="1">
      <c r="H1" s="37"/>
      <c r="I1" s="38"/>
      <c r="J1" s="37"/>
      <c r="N1" s="37"/>
      <c r="Z1" s="79"/>
    </row>
    <row r="2" ht="15.75" customHeight="1">
      <c r="A2" s="15" t="s">
        <v>10482</v>
      </c>
      <c r="H2" s="37"/>
      <c r="I2" s="38"/>
      <c r="J2" s="37"/>
      <c r="N2" s="37"/>
      <c r="T2" s="80" t="s">
        <v>10517</v>
      </c>
      <c r="Z2" s="79"/>
    </row>
    <row r="3" ht="15.75" customHeight="1">
      <c r="H3" s="37"/>
      <c r="I3" s="38"/>
      <c r="N3" s="37"/>
      <c r="Z3" s="79"/>
    </row>
    <row r="4" ht="25.5" customHeight="1">
      <c r="A4" s="39" t="s">
        <v>10483</v>
      </c>
      <c r="B4" s="40"/>
      <c r="C4" s="39" t="s">
        <v>10484</v>
      </c>
      <c r="D4" s="40"/>
      <c r="E4" s="39" t="s">
        <v>10485</v>
      </c>
      <c r="F4" s="40"/>
      <c r="G4" s="39" t="s">
        <v>10486</v>
      </c>
      <c r="H4" s="40"/>
      <c r="I4" s="39" t="s">
        <v>10487</v>
      </c>
      <c r="J4" s="40"/>
      <c r="K4" s="39" t="s">
        <v>10488</v>
      </c>
      <c r="L4" s="40"/>
      <c r="M4" s="39" t="s">
        <v>10489</v>
      </c>
      <c r="N4" s="40"/>
      <c r="O4" s="81" t="s">
        <v>10518</v>
      </c>
      <c r="P4" s="82" t="s">
        <v>10519</v>
      </c>
      <c r="Q4" s="83" t="s">
        <v>10520</v>
      </c>
      <c r="R4" s="84" t="s">
        <v>10521</v>
      </c>
      <c r="S4" s="84" t="s">
        <v>10522</v>
      </c>
      <c r="T4" s="85" t="s">
        <v>10491</v>
      </c>
      <c r="U4" s="86"/>
      <c r="V4" s="86"/>
      <c r="W4" s="86"/>
      <c r="X4" s="87"/>
      <c r="Y4" s="88" t="s">
        <v>10523</v>
      </c>
      <c r="Z4" s="89" t="s">
        <v>10524</v>
      </c>
      <c r="AA4" s="89" t="s">
        <v>10525</v>
      </c>
      <c r="AB4" s="90" t="s">
        <v>10526</v>
      </c>
      <c r="AC4" s="91"/>
      <c r="AD4" s="91"/>
    </row>
    <row r="5" ht="15.75" customHeight="1">
      <c r="A5" s="42" t="s">
        <v>8</v>
      </c>
      <c r="B5" s="42" t="s">
        <v>9</v>
      </c>
      <c r="C5" s="42" t="s">
        <v>10</v>
      </c>
      <c r="D5" s="42" t="s">
        <v>11</v>
      </c>
      <c r="E5" s="42" t="s">
        <v>12</v>
      </c>
      <c r="F5" s="42" t="s">
        <v>13</v>
      </c>
      <c r="G5" s="42" t="s">
        <v>14</v>
      </c>
      <c r="H5" s="42" t="s">
        <v>15</v>
      </c>
      <c r="I5" s="42" t="s">
        <v>16</v>
      </c>
      <c r="J5" s="42" t="s">
        <v>17</v>
      </c>
      <c r="K5" s="42" t="s">
        <v>18</v>
      </c>
      <c r="L5" s="42" t="s">
        <v>19</v>
      </c>
      <c r="M5" s="42" t="s">
        <v>20</v>
      </c>
      <c r="N5" s="42" t="s">
        <v>21</v>
      </c>
      <c r="O5" s="92" t="s">
        <v>10492</v>
      </c>
      <c r="P5" s="93"/>
      <c r="Q5" s="93"/>
      <c r="R5" s="94"/>
      <c r="S5" s="94"/>
      <c r="T5" s="45" t="s">
        <v>10492</v>
      </c>
      <c r="U5" s="45" t="s">
        <v>242</v>
      </c>
      <c r="V5" s="45" t="s">
        <v>243</v>
      </c>
      <c r="W5" s="45" t="s">
        <v>244</v>
      </c>
      <c r="X5" s="45" t="s">
        <v>256</v>
      </c>
      <c r="Y5" s="93"/>
      <c r="Z5" s="93"/>
      <c r="AA5" s="93"/>
      <c r="AB5" s="93"/>
      <c r="AC5" s="91"/>
      <c r="AD5" s="91"/>
    </row>
    <row r="6" ht="15.75" customHeight="1">
      <c r="A6" s="46"/>
      <c r="B6" s="95"/>
      <c r="C6" s="47"/>
      <c r="D6" s="47"/>
      <c r="E6" s="47"/>
      <c r="F6" s="47"/>
      <c r="G6" s="48"/>
      <c r="H6" s="49"/>
      <c r="I6" s="48"/>
      <c r="J6" s="48"/>
      <c r="K6" s="48"/>
      <c r="L6" s="48"/>
      <c r="M6" s="48"/>
      <c r="N6" s="49"/>
      <c r="O6" s="48"/>
      <c r="P6" s="48"/>
      <c r="Q6" s="96"/>
      <c r="R6" s="96"/>
      <c r="S6" s="96"/>
      <c r="T6" s="97"/>
      <c r="U6" s="97"/>
      <c r="V6" s="96"/>
      <c r="W6" s="96"/>
      <c r="X6" s="96"/>
      <c r="Y6" s="96"/>
      <c r="Z6" s="98"/>
      <c r="AA6" s="99"/>
      <c r="AB6" s="91"/>
      <c r="AC6" s="91"/>
      <c r="AD6" s="91"/>
    </row>
    <row r="7" ht="15.75" customHeight="1">
      <c r="A7" s="46" t="s">
        <v>22</v>
      </c>
      <c r="B7" s="95" t="s">
        <v>10527</v>
      </c>
      <c r="C7" s="47"/>
      <c r="D7" s="47"/>
      <c r="E7" s="47"/>
      <c r="F7" s="47"/>
      <c r="G7" s="48"/>
      <c r="H7" s="49"/>
      <c r="I7" s="48"/>
      <c r="J7" s="48"/>
      <c r="K7" s="48"/>
      <c r="L7" s="48"/>
      <c r="M7" s="48"/>
      <c r="N7" s="49"/>
      <c r="O7" s="48"/>
      <c r="P7" s="48"/>
      <c r="Q7" s="96"/>
      <c r="R7" s="96"/>
      <c r="S7" s="96"/>
      <c r="T7" s="97" t="s">
        <v>10528</v>
      </c>
      <c r="U7" s="97" t="s">
        <v>10527</v>
      </c>
      <c r="V7" s="96"/>
      <c r="W7" s="96"/>
      <c r="X7" s="96"/>
      <c r="Y7" s="96"/>
      <c r="Z7" s="98" t="s">
        <v>10528</v>
      </c>
      <c r="AA7" s="99"/>
      <c r="AB7" s="91"/>
      <c r="AC7" s="91"/>
      <c r="AD7" s="91"/>
    </row>
    <row r="8" ht="15.75" hidden="1" customHeight="1" outlineLevel="1">
      <c r="A8" s="100" t="s">
        <v>10529</v>
      </c>
      <c r="B8" s="101" t="s">
        <v>206</v>
      </c>
      <c r="C8" s="101" t="s">
        <v>27</v>
      </c>
      <c r="D8" s="102" t="s">
        <v>4</v>
      </c>
      <c r="E8" s="103" t="s">
        <v>27</v>
      </c>
      <c r="F8" s="102" t="s">
        <v>4</v>
      </c>
      <c r="G8" s="102" t="s">
        <v>29</v>
      </c>
      <c r="H8" s="104" t="s">
        <v>220</v>
      </c>
      <c r="I8" s="103" t="s">
        <v>27</v>
      </c>
      <c r="J8" s="105" t="s">
        <v>4</v>
      </c>
      <c r="K8" s="103" t="s">
        <v>27</v>
      </c>
      <c r="L8" s="102" t="s">
        <v>4</v>
      </c>
      <c r="M8" s="106" t="s">
        <v>27</v>
      </c>
      <c r="N8" s="104"/>
      <c r="O8" s="107" t="str">
        <f t="shared" ref="O8:O15" si="1">A8&amp;"."&amp;C8&amp;"."&amp;E8&amp;"."&amp;G8&amp;"."&amp;I8&amp;"."&amp;K8</f>
        <v>L4.00.00.01.00.00</v>
      </c>
      <c r="P8" s="107" t="str">
        <f t="shared" ref="P8:P15" si="2">A8&amp;"."&amp;C8&amp;"."&amp;E8&amp;"."&amp;G8&amp;"."&amp;I8&amp;"."&amp;K8&amp;"."&amp;M8</f>
        <v>L4.00.00.01.00.00.00</v>
      </c>
      <c r="Q8" s="108" t="s">
        <v>10530</v>
      </c>
      <c r="R8" s="109" t="str">
        <f t="shared" ref="R8:R15" si="3">if(L8&lt;&gt;"-",L8,if(AND(L8="-",J8&lt;&gt;"-"),J8,if(AND(J8="-",H8&lt;&gt;"-"),H8,"NA")))</f>
        <v>Hội đồng quản trị</v>
      </c>
      <c r="S8" s="110" t="s">
        <v>22</v>
      </c>
      <c r="T8" s="111" t="s">
        <v>7220</v>
      </c>
      <c r="U8" s="111" t="s">
        <v>303</v>
      </c>
      <c r="V8" s="111" t="s">
        <v>7219</v>
      </c>
      <c r="W8" s="111"/>
      <c r="X8" s="111"/>
      <c r="Y8" s="111"/>
      <c r="Z8" s="112" t="s">
        <v>10531</v>
      </c>
      <c r="AA8" s="113" t="s">
        <v>10530</v>
      </c>
      <c r="AB8" s="114"/>
      <c r="AC8" s="114"/>
      <c r="AD8" s="114"/>
    </row>
    <row r="9" ht="15.75" hidden="1" customHeight="1" outlineLevel="1">
      <c r="A9" s="115" t="s">
        <v>10529</v>
      </c>
      <c r="B9" s="116" t="s">
        <v>206</v>
      </c>
      <c r="C9" s="116" t="s">
        <v>27</v>
      </c>
      <c r="D9" s="117" t="s">
        <v>4</v>
      </c>
      <c r="E9" s="118" t="s">
        <v>27</v>
      </c>
      <c r="F9" s="117" t="s">
        <v>4</v>
      </c>
      <c r="G9" s="117" t="s">
        <v>29</v>
      </c>
      <c r="H9" s="119" t="s">
        <v>220</v>
      </c>
      <c r="I9" s="118" t="s">
        <v>27</v>
      </c>
      <c r="J9" s="120" t="s">
        <v>4</v>
      </c>
      <c r="K9" s="121" t="s">
        <v>27</v>
      </c>
      <c r="L9" s="122" t="s">
        <v>4</v>
      </c>
      <c r="M9" s="122" t="s">
        <v>44</v>
      </c>
      <c r="N9" s="123" t="s">
        <v>10505</v>
      </c>
      <c r="O9" s="124" t="str">
        <f t="shared" si="1"/>
        <v>L4.00.00.01.00.00</v>
      </c>
      <c r="P9" s="124" t="str">
        <f t="shared" si="2"/>
        <v>L4.00.00.01.00.00.06</v>
      </c>
      <c r="Q9" s="125"/>
      <c r="R9" s="125" t="str">
        <f t="shared" si="3"/>
        <v>Hội đồng quản trị</v>
      </c>
      <c r="S9" s="126" t="s">
        <v>10532</v>
      </c>
      <c r="T9" s="127"/>
      <c r="U9" s="127"/>
      <c r="V9" s="127"/>
      <c r="W9" s="127"/>
      <c r="X9" s="127"/>
      <c r="Y9" s="127"/>
      <c r="Z9" s="128"/>
      <c r="AA9" s="129"/>
      <c r="AB9" s="130"/>
      <c r="AC9" s="130"/>
      <c r="AD9" s="130"/>
    </row>
    <row r="10" ht="15.75" hidden="1" customHeight="1" outlineLevel="1">
      <c r="A10" s="115" t="s">
        <v>10529</v>
      </c>
      <c r="B10" s="116" t="s">
        <v>206</v>
      </c>
      <c r="C10" s="116" t="s">
        <v>27</v>
      </c>
      <c r="D10" s="117" t="s">
        <v>4</v>
      </c>
      <c r="E10" s="118" t="s">
        <v>27</v>
      </c>
      <c r="F10" s="117" t="s">
        <v>4</v>
      </c>
      <c r="G10" s="117" t="s">
        <v>29</v>
      </c>
      <c r="H10" s="119" t="s">
        <v>220</v>
      </c>
      <c r="I10" s="118" t="s">
        <v>27</v>
      </c>
      <c r="J10" s="120" t="s">
        <v>4</v>
      </c>
      <c r="K10" s="121" t="s">
        <v>27</v>
      </c>
      <c r="L10" s="122" t="s">
        <v>4</v>
      </c>
      <c r="M10" s="122" t="s">
        <v>46</v>
      </c>
      <c r="N10" s="123" t="s">
        <v>10496</v>
      </c>
      <c r="O10" s="124" t="str">
        <f t="shared" si="1"/>
        <v>L4.00.00.01.00.00</v>
      </c>
      <c r="P10" s="124" t="str">
        <f t="shared" si="2"/>
        <v>L4.00.00.01.00.00.07</v>
      </c>
      <c r="Q10" s="125"/>
      <c r="R10" s="125" t="str">
        <f t="shared" si="3"/>
        <v>Hội đồng quản trị</v>
      </c>
      <c r="S10" s="126" t="s">
        <v>10532</v>
      </c>
      <c r="T10" s="127"/>
      <c r="U10" s="127"/>
      <c r="V10" s="127"/>
      <c r="W10" s="127"/>
      <c r="X10" s="127"/>
      <c r="Y10" s="127"/>
      <c r="Z10" s="128"/>
      <c r="AA10" s="129"/>
      <c r="AB10" s="130"/>
      <c r="AC10" s="130"/>
      <c r="AD10" s="130"/>
    </row>
    <row r="11" ht="15.75" hidden="1" customHeight="1" outlineLevel="1">
      <c r="A11" s="115" t="s">
        <v>10529</v>
      </c>
      <c r="B11" s="116" t="s">
        <v>206</v>
      </c>
      <c r="C11" s="116" t="s">
        <v>27</v>
      </c>
      <c r="D11" s="117" t="s">
        <v>4</v>
      </c>
      <c r="E11" s="118" t="s">
        <v>27</v>
      </c>
      <c r="F11" s="117" t="s">
        <v>4</v>
      </c>
      <c r="G11" s="117" t="s">
        <v>29</v>
      </c>
      <c r="H11" s="119" t="s">
        <v>220</v>
      </c>
      <c r="I11" s="118" t="s">
        <v>27</v>
      </c>
      <c r="J11" s="120" t="s">
        <v>4</v>
      </c>
      <c r="K11" s="121" t="s">
        <v>27</v>
      </c>
      <c r="L11" s="122" t="s">
        <v>4</v>
      </c>
      <c r="M11" s="122" t="s">
        <v>33</v>
      </c>
      <c r="N11" s="123" t="s">
        <v>10499</v>
      </c>
      <c r="O11" s="124" t="str">
        <f t="shared" si="1"/>
        <v>L4.00.00.01.00.00</v>
      </c>
      <c r="P11" s="124" t="str">
        <f t="shared" si="2"/>
        <v>L4.00.00.01.00.00.02</v>
      </c>
      <c r="Q11" s="125"/>
      <c r="R11" s="125" t="str">
        <f t="shared" si="3"/>
        <v>Hội đồng quản trị</v>
      </c>
      <c r="S11" s="126" t="s">
        <v>10532</v>
      </c>
      <c r="T11" s="127"/>
      <c r="U11" s="127"/>
      <c r="V11" s="127"/>
      <c r="W11" s="127"/>
      <c r="X11" s="127"/>
      <c r="Y11" s="127"/>
      <c r="Z11" s="128"/>
      <c r="AA11" s="129"/>
      <c r="AB11" s="130"/>
      <c r="AC11" s="130"/>
      <c r="AD11" s="130"/>
    </row>
    <row r="12" ht="15.75" hidden="1" customHeight="1" outlineLevel="1">
      <c r="A12" s="131" t="s">
        <v>10529</v>
      </c>
      <c r="B12" s="132" t="s">
        <v>206</v>
      </c>
      <c r="C12" s="132" t="s">
        <v>27</v>
      </c>
      <c r="D12" s="133" t="s">
        <v>4</v>
      </c>
      <c r="E12" s="134" t="s">
        <v>27</v>
      </c>
      <c r="F12" s="133" t="s">
        <v>4</v>
      </c>
      <c r="G12" s="133" t="s">
        <v>33</v>
      </c>
      <c r="H12" s="135" t="s">
        <v>221</v>
      </c>
      <c r="I12" s="134" t="s">
        <v>27</v>
      </c>
      <c r="J12" s="105" t="s">
        <v>4</v>
      </c>
      <c r="K12" s="103" t="s">
        <v>27</v>
      </c>
      <c r="L12" s="102" t="s">
        <v>4</v>
      </c>
      <c r="M12" s="106" t="s">
        <v>27</v>
      </c>
      <c r="N12" s="104"/>
      <c r="O12" s="136" t="str">
        <f t="shared" si="1"/>
        <v>L4.00.00.02.00.00</v>
      </c>
      <c r="P12" s="136" t="str">
        <f t="shared" si="2"/>
        <v>L4.00.00.02.00.00.00</v>
      </c>
      <c r="Q12" s="108" t="s">
        <v>10530</v>
      </c>
      <c r="R12" s="109" t="str">
        <f t="shared" si="3"/>
        <v>Ban điều hành</v>
      </c>
      <c r="S12" s="110" t="s">
        <v>22</v>
      </c>
      <c r="T12" s="111" t="s">
        <v>9861</v>
      </c>
      <c r="U12" s="111" t="s">
        <v>303</v>
      </c>
      <c r="V12" s="111" t="s">
        <v>221</v>
      </c>
      <c r="W12" s="111"/>
      <c r="X12" s="111"/>
      <c r="Y12" s="111"/>
      <c r="Z12" s="112" t="s">
        <v>10533</v>
      </c>
      <c r="AA12" s="113" t="s">
        <v>10530</v>
      </c>
      <c r="AB12" s="114"/>
      <c r="AC12" s="114"/>
      <c r="AD12" s="114"/>
    </row>
    <row r="13" ht="15.75" hidden="1" customHeight="1" outlineLevel="1">
      <c r="A13" s="137" t="s">
        <v>10529</v>
      </c>
      <c r="B13" s="138" t="s">
        <v>206</v>
      </c>
      <c r="C13" s="139" t="s">
        <v>27</v>
      </c>
      <c r="D13" s="140" t="s">
        <v>4</v>
      </c>
      <c r="E13" s="141" t="s">
        <v>27</v>
      </c>
      <c r="F13" s="140" t="s">
        <v>4</v>
      </c>
      <c r="G13" s="142" t="s">
        <v>33</v>
      </c>
      <c r="H13" s="143" t="s">
        <v>221</v>
      </c>
      <c r="I13" s="141" t="s">
        <v>27</v>
      </c>
      <c r="J13" s="144" t="s">
        <v>4</v>
      </c>
      <c r="K13" s="145" t="s">
        <v>27</v>
      </c>
      <c r="L13" s="146" t="s">
        <v>4</v>
      </c>
      <c r="M13" s="147" t="s">
        <v>44</v>
      </c>
      <c r="N13" s="148" t="s">
        <v>10505</v>
      </c>
      <c r="O13" s="149" t="str">
        <f t="shared" si="1"/>
        <v>L4.00.00.02.00.00</v>
      </c>
      <c r="P13" s="149" t="str">
        <f t="shared" si="2"/>
        <v>L4.00.00.02.00.00.06</v>
      </c>
      <c r="Q13" s="125"/>
      <c r="R13" s="125" t="str">
        <f t="shared" si="3"/>
        <v>Ban điều hành</v>
      </c>
      <c r="S13" s="126" t="s">
        <v>10534</v>
      </c>
      <c r="T13" s="127"/>
      <c r="U13" s="127"/>
      <c r="V13" s="127"/>
      <c r="W13" s="127"/>
      <c r="X13" s="127"/>
      <c r="Y13" s="127"/>
      <c r="Z13" s="128"/>
      <c r="AA13" s="129"/>
      <c r="AB13" s="130"/>
      <c r="AC13" s="130"/>
      <c r="AD13" s="130"/>
    </row>
    <row r="14" ht="15.75" hidden="1" customHeight="1" outlineLevel="1">
      <c r="A14" s="137" t="s">
        <v>10529</v>
      </c>
      <c r="B14" s="138" t="s">
        <v>206</v>
      </c>
      <c r="C14" s="139" t="s">
        <v>27</v>
      </c>
      <c r="D14" s="140" t="s">
        <v>4</v>
      </c>
      <c r="E14" s="141" t="s">
        <v>27</v>
      </c>
      <c r="F14" s="140" t="s">
        <v>4</v>
      </c>
      <c r="G14" s="142" t="s">
        <v>33</v>
      </c>
      <c r="H14" s="143" t="s">
        <v>221</v>
      </c>
      <c r="I14" s="141" t="s">
        <v>27</v>
      </c>
      <c r="J14" s="144" t="s">
        <v>4</v>
      </c>
      <c r="K14" s="145" t="s">
        <v>27</v>
      </c>
      <c r="L14" s="146" t="s">
        <v>4</v>
      </c>
      <c r="M14" s="147" t="s">
        <v>46</v>
      </c>
      <c r="N14" s="148" t="s">
        <v>10496</v>
      </c>
      <c r="O14" s="149" t="str">
        <f t="shared" si="1"/>
        <v>L4.00.00.02.00.00</v>
      </c>
      <c r="P14" s="149" t="str">
        <f t="shared" si="2"/>
        <v>L4.00.00.02.00.00.07</v>
      </c>
      <c r="Q14" s="125"/>
      <c r="R14" s="125" t="str">
        <f t="shared" si="3"/>
        <v>Ban điều hành</v>
      </c>
      <c r="S14" s="126" t="s">
        <v>10534</v>
      </c>
      <c r="T14" s="127"/>
      <c r="U14" s="127"/>
      <c r="V14" s="127"/>
      <c r="W14" s="127"/>
      <c r="X14" s="127"/>
      <c r="Y14" s="127"/>
      <c r="Z14" s="128"/>
      <c r="AA14" s="129"/>
      <c r="AB14" s="130"/>
      <c r="AC14" s="130"/>
      <c r="AD14" s="130"/>
    </row>
    <row r="15" ht="15.75" hidden="1" customHeight="1" outlineLevel="1">
      <c r="A15" s="137" t="s">
        <v>10529</v>
      </c>
      <c r="B15" s="138" t="s">
        <v>206</v>
      </c>
      <c r="C15" s="139" t="s">
        <v>27</v>
      </c>
      <c r="D15" s="140" t="s">
        <v>4</v>
      </c>
      <c r="E15" s="141" t="s">
        <v>27</v>
      </c>
      <c r="F15" s="140" t="s">
        <v>4</v>
      </c>
      <c r="G15" s="142" t="s">
        <v>33</v>
      </c>
      <c r="H15" s="143" t="s">
        <v>221</v>
      </c>
      <c r="I15" s="141" t="s">
        <v>27</v>
      </c>
      <c r="J15" s="144" t="s">
        <v>4</v>
      </c>
      <c r="K15" s="145" t="s">
        <v>27</v>
      </c>
      <c r="L15" s="146" t="s">
        <v>4</v>
      </c>
      <c r="M15" s="147" t="s">
        <v>33</v>
      </c>
      <c r="N15" s="148" t="s">
        <v>10499</v>
      </c>
      <c r="O15" s="149" t="str">
        <f t="shared" si="1"/>
        <v>L4.00.00.02.00.00</v>
      </c>
      <c r="P15" s="150" t="str">
        <f t="shared" si="2"/>
        <v>L4.00.00.02.00.00.02</v>
      </c>
      <c r="Q15" s="125"/>
      <c r="R15" s="125" t="str">
        <f t="shared" si="3"/>
        <v>Ban điều hành</v>
      </c>
      <c r="S15" s="126" t="s">
        <v>10534</v>
      </c>
      <c r="T15" s="127"/>
      <c r="U15" s="127"/>
      <c r="V15" s="127"/>
      <c r="W15" s="127"/>
      <c r="X15" s="127"/>
      <c r="Y15" s="127"/>
      <c r="Z15" s="128"/>
      <c r="AA15" s="129"/>
      <c r="AB15" s="130"/>
      <c r="AC15" s="130"/>
      <c r="AD15" s="130"/>
    </row>
    <row r="16" ht="15.75" customHeight="1" collapsed="1">
      <c r="A16" s="151" t="s">
        <v>453</v>
      </c>
      <c r="B16" s="44"/>
      <c r="C16" s="40"/>
      <c r="D16" s="47"/>
      <c r="E16" s="47"/>
      <c r="F16" s="47"/>
      <c r="G16" s="48"/>
      <c r="H16" s="49"/>
      <c r="I16" s="48"/>
      <c r="J16" s="48"/>
      <c r="K16" s="48"/>
      <c r="L16" s="48"/>
      <c r="M16" s="48"/>
      <c r="N16" s="49"/>
      <c r="O16" s="49"/>
      <c r="P16" s="48"/>
      <c r="Q16" s="96"/>
      <c r="R16" s="96"/>
      <c r="S16" s="96"/>
      <c r="T16" s="96"/>
      <c r="U16" s="96"/>
      <c r="V16" s="96"/>
      <c r="W16" s="96"/>
      <c r="X16" s="96"/>
      <c r="Y16" s="96"/>
      <c r="Z16" s="152"/>
      <c r="AA16" s="153" t="s">
        <v>10530</v>
      </c>
      <c r="AB16" s="91"/>
      <c r="AC16" s="91"/>
      <c r="AD16" s="91"/>
    </row>
    <row r="17" ht="15.75" customHeight="1" outlineLevel="1">
      <c r="A17" s="154" t="s">
        <v>10535</v>
      </c>
      <c r="B17" s="154" t="s">
        <v>26</v>
      </c>
      <c r="C17" s="155" t="s">
        <v>27</v>
      </c>
      <c r="D17" s="156" t="s">
        <v>4</v>
      </c>
      <c r="E17" s="155" t="s">
        <v>27</v>
      </c>
      <c r="F17" s="156" t="s">
        <v>4</v>
      </c>
      <c r="G17" s="155" t="s">
        <v>27</v>
      </c>
      <c r="H17" s="156" t="s">
        <v>4</v>
      </c>
      <c r="I17" s="157" t="s">
        <v>27</v>
      </c>
      <c r="J17" s="156" t="s">
        <v>4</v>
      </c>
      <c r="K17" s="157" t="s">
        <v>27</v>
      </c>
      <c r="L17" s="156" t="s">
        <v>4</v>
      </c>
      <c r="M17" s="155" t="s">
        <v>46</v>
      </c>
      <c r="N17" s="158" t="s">
        <v>10496</v>
      </c>
      <c r="O17" s="55" t="str">
        <f t="shared" ref="O17:O284" si="4">A17&amp;"."&amp;C17&amp;"."&amp;E17&amp;"."&amp;G17&amp;"."&amp;I17&amp;"."&amp;K17</f>
        <v>L1.00.00.00.00.00</v>
      </c>
      <c r="P17" s="159" t="str">
        <f t="shared" ref="P17:P190" si="5">A17&amp;"."&amp;C17&amp;"."&amp;E17&amp;"."&amp;G17&amp;"."&amp;I17&amp;"."&amp;K17&amp;"."&amp;M17</f>
        <v>L1.00.00.00.00.00.07</v>
      </c>
      <c r="Q17" s="160" t="s">
        <v>10530</v>
      </c>
      <c r="R17" s="161" t="s">
        <v>453</v>
      </c>
      <c r="S17" s="162" t="s">
        <v>22</v>
      </c>
      <c r="T17" s="160" t="s">
        <v>25</v>
      </c>
      <c r="U17" s="160" t="s">
        <v>453</v>
      </c>
      <c r="V17" s="162"/>
      <c r="W17" s="163"/>
      <c r="X17" s="163"/>
      <c r="Y17" s="163"/>
      <c r="Z17" s="98" t="s">
        <v>26</v>
      </c>
      <c r="AA17" s="99"/>
      <c r="AB17" s="164"/>
      <c r="AC17" s="164"/>
      <c r="AD17" s="164"/>
    </row>
    <row r="18" ht="15.75" customHeight="1" outlineLevel="1">
      <c r="A18" s="154" t="s">
        <v>10535</v>
      </c>
      <c r="B18" s="165" t="s">
        <v>26</v>
      </c>
      <c r="C18" s="155" t="s">
        <v>27</v>
      </c>
      <c r="D18" s="155" t="s">
        <v>4</v>
      </c>
      <c r="E18" s="166" t="s">
        <v>27</v>
      </c>
      <c r="F18" s="155" t="s">
        <v>4</v>
      </c>
      <c r="G18" s="155" t="s">
        <v>29</v>
      </c>
      <c r="H18" s="167" t="s">
        <v>31</v>
      </c>
      <c r="I18" s="168" t="s">
        <v>27</v>
      </c>
      <c r="J18" s="156" t="s">
        <v>4</v>
      </c>
      <c r="K18" s="157" t="s">
        <v>27</v>
      </c>
      <c r="L18" s="156" t="s">
        <v>4</v>
      </c>
      <c r="M18" s="155" t="s">
        <v>46</v>
      </c>
      <c r="N18" s="158" t="s">
        <v>10496</v>
      </c>
      <c r="O18" s="55" t="str">
        <f t="shared" si="4"/>
        <v>L1.00.00.01.00.00</v>
      </c>
      <c r="P18" s="159" t="str">
        <f t="shared" si="5"/>
        <v>L1.00.00.01.00.00.07</v>
      </c>
      <c r="Q18" s="160" t="s">
        <v>10530</v>
      </c>
      <c r="R18" s="169" t="str">
        <f t="shared" ref="R18:R191" si="6">if(L18&lt;&gt;"-",L18,if(AND(L18="-",J18&lt;&gt;"-"),J18,if(AND(J18="-",H18&lt;&gt;"-"),H18,"NA")))</f>
        <v>Văn phòng sản xuất</v>
      </c>
      <c r="S18" s="162" t="s">
        <v>10536</v>
      </c>
      <c r="T18" s="160" t="s">
        <v>10537</v>
      </c>
      <c r="U18" s="162" t="s">
        <v>2717</v>
      </c>
      <c r="V18" s="162" t="s">
        <v>10538</v>
      </c>
      <c r="W18" s="163"/>
      <c r="X18" s="163"/>
      <c r="Y18" s="163"/>
      <c r="Z18" s="98" t="s">
        <v>10539</v>
      </c>
      <c r="AA18" s="153" t="s">
        <v>10530</v>
      </c>
      <c r="AB18" s="164"/>
      <c r="AC18" s="164"/>
      <c r="AD18" s="164"/>
    </row>
    <row r="19" ht="15.75" customHeight="1" outlineLevel="1">
      <c r="A19" s="170" t="s">
        <v>10535</v>
      </c>
      <c r="B19" s="51" t="s">
        <v>26</v>
      </c>
      <c r="C19" s="52" t="s">
        <v>27</v>
      </c>
      <c r="D19" s="52" t="s">
        <v>4</v>
      </c>
      <c r="E19" s="53" t="s">
        <v>27</v>
      </c>
      <c r="F19" s="52" t="s">
        <v>4</v>
      </c>
      <c r="G19" s="52" t="s">
        <v>29</v>
      </c>
      <c r="H19" s="171" t="s">
        <v>31</v>
      </c>
      <c r="I19" s="172" t="s">
        <v>29</v>
      </c>
      <c r="J19" s="173" t="s">
        <v>32</v>
      </c>
      <c r="K19" s="172" t="s">
        <v>27</v>
      </c>
      <c r="L19" s="174" t="s">
        <v>4</v>
      </c>
      <c r="M19" s="52" t="s">
        <v>46</v>
      </c>
      <c r="N19" s="54" t="s">
        <v>10496</v>
      </c>
      <c r="O19" s="55" t="str">
        <f t="shared" si="4"/>
        <v>L1.00.00.01.01.00</v>
      </c>
      <c r="P19" s="55" t="str">
        <f t="shared" si="5"/>
        <v>L1.00.00.01.01.00.07</v>
      </c>
      <c r="Q19" s="160" t="s">
        <v>10530</v>
      </c>
      <c r="R19" s="169" t="str">
        <f t="shared" si="6"/>
        <v>Ban Giám đốc Văn phòng</v>
      </c>
      <c r="S19" s="161" t="str">
        <f t="shared" ref="S19:S22" si="7">if(L19&lt;&gt;"-",xlookup(J19,R:R,P:P,0),if(and(L19="-",J19&lt;&gt;"-"),xlookup(H19,R:R,P:P,0),"NA"))</f>
        <v>L1.00.00.01.00.00.07</v>
      </c>
      <c r="T19" s="169" t="s">
        <v>6789</v>
      </c>
      <c r="U19" s="169" t="s">
        <v>2717</v>
      </c>
      <c r="V19" s="169" t="s">
        <v>10538</v>
      </c>
      <c r="W19" s="96"/>
      <c r="X19" s="96"/>
      <c r="Y19" s="96"/>
      <c r="Z19" s="98" t="s">
        <v>10540</v>
      </c>
      <c r="AA19" s="153" t="s">
        <v>10530</v>
      </c>
      <c r="AB19" s="91"/>
      <c r="AC19" s="91"/>
      <c r="AD19" s="91"/>
    </row>
    <row r="20" ht="15.75" customHeight="1" outlineLevel="1">
      <c r="A20" s="170" t="s">
        <v>10535</v>
      </c>
      <c r="B20" s="51" t="s">
        <v>26</v>
      </c>
      <c r="C20" s="52" t="s">
        <v>27</v>
      </c>
      <c r="D20" s="52" t="s">
        <v>4</v>
      </c>
      <c r="E20" s="53" t="s">
        <v>27</v>
      </c>
      <c r="F20" s="52" t="s">
        <v>4</v>
      </c>
      <c r="G20" s="52" t="s">
        <v>29</v>
      </c>
      <c r="H20" s="171" t="s">
        <v>31</v>
      </c>
      <c r="I20" s="172" t="s">
        <v>33</v>
      </c>
      <c r="J20" s="173" t="s">
        <v>34</v>
      </c>
      <c r="K20" s="172" t="s">
        <v>27</v>
      </c>
      <c r="L20" s="174" t="s">
        <v>4</v>
      </c>
      <c r="M20" s="52" t="s">
        <v>46</v>
      </c>
      <c r="N20" s="54" t="s">
        <v>10496</v>
      </c>
      <c r="O20" s="55" t="str">
        <f t="shared" si="4"/>
        <v>L1.00.00.01.02.00</v>
      </c>
      <c r="P20" s="55" t="str">
        <f t="shared" si="5"/>
        <v>L1.00.00.01.02.00.07</v>
      </c>
      <c r="Q20" s="160" t="s">
        <v>10530</v>
      </c>
      <c r="R20" s="169" t="str">
        <f t="shared" si="6"/>
        <v>Phòng HCTH</v>
      </c>
      <c r="S20" s="161" t="str">
        <f t="shared" si="7"/>
        <v>L1.00.00.01.00.00.07</v>
      </c>
      <c r="T20" s="169" t="s">
        <v>5165</v>
      </c>
      <c r="U20" s="169" t="s">
        <v>2717</v>
      </c>
      <c r="V20" s="169" t="s">
        <v>10541</v>
      </c>
      <c r="W20" s="96"/>
      <c r="X20" s="96"/>
      <c r="Y20" s="96"/>
      <c r="Z20" s="98" t="s">
        <v>10542</v>
      </c>
      <c r="AA20" s="153" t="s">
        <v>10530</v>
      </c>
      <c r="AB20" s="91"/>
      <c r="AC20" s="91"/>
      <c r="AD20" s="91"/>
    </row>
    <row r="21" ht="15.75" customHeight="1" outlineLevel="1">
      <c r="A21" s="170" t="s">
        <v>10535</v>
      </c>
      <c r="B21" s="51" t="s">
        <v>26</v>
      </c>
      <c r="C21" s="51" t="s">
        <v>27</v>
      </c>
      <c r="D21" s="52" t="s">
        <v>4</v>
      </c>
      <c r="E21" s="53" t="s">
        <v>27</v>
      </c>
      <c r="F21" s="52" t="s">
        <v>4</v>
      </c>
      <c r="G21" s="52" t="s">
        <v>29</v>
      </c>
      <c r="H21" s="171" t="s">
        <v>31</v>
      </c>
      <c r="I21" s="172" t="s">
        <v>35</v>
      </c>
      <c r="J21" s="173" t="s">
        <v>36</v>
      </c>
      <c r="K21" s="172" t="s">
        <v>27</v>
      </c>
      <c r="L21" s="174" t="s">
        <v>4</v>
      </c>
      <c r="M21" s="52" t="s">
        <v>46</v>
      </c>
      <c r="N21" s="54" t="s">
        <v>10496</v>
      </c>
      <c r="O21" s="55" t="str">
        <f t="shared" si="4"/>
        <v>L1.00.00.01.03.00</v>
      </c>
      <c r="P21" s="55" t="str">
        <f t="shared" si="5"/>
        <v>L1.00.00.01.03.00.07</v>
      </c>
      <c r="Q21" s="160" t="s">
        <v>10530</v>
      </c>
      <c r="R21" s="169" t="str">
        <f t="shared" si="6"/>
        <v>Phòng Quan hệ cộng đồng</v>
      </c>
      <c r="S21" s="161" t="str">
        <f t="shared" si="7"/>
        <v>L1.00.00.01.00.00.07</v>
      </c>
      <c r="T21" s="169" t="s">
        <v>6126</v>
      </c>
      <c r="U21" s="169" t="s">
        <v>2717</v>
      </c>
      <c r="V21" s="169" t="s">
        <v>10543</v>
      </c>
      <c r="W21" s="96"/>
      <c r="X21" s="96"/>
      <c r="Y21" s="96"/>
      <c r="Z21" s="98" t="s">
        <v>10544</v>
      </c>
      <c r="AA21" s="153" t="s">
        <v>10530</v>
      </c>
      <c r="AB21" s="91"/>
      <c r="AC21" s="91"/>
      <c r="AD21" s="91"/>
    </row>
    <row r="22" ht="15.75" customHeight="1" outlineLevel="1">
      <c r="A22" s="170" t="s">
        <v>10535</v>
      </c>
      <c r="B22" s="51" t="s">
        <v>26</v>
      </c>
      <c r="C22" s="51" t="s">
        <v>27</v>
      </c>
      <c r="D22" s="52" t="s">
        <v>4</v>
      </c>
      <c r="E22" s="53" t="s">
        <v>27</v>
      </c>
      <c r="F22" s="52" t="s">
        <v>4</v>
      </c>
      <c r="G22" s="52" t="s">
        <v>29</v>
      </c>
      <c r="H22" s="171" t="s">
        <v>31</v>
      </c>
      <c r="I22" s="172" t="s">
        <v>37</v>
      </c>
      <c r="J22" s="173" t="s">
        <v>38</v>
      </c>
      <c r="K22" s="172" t="s">
        <v>27</v>
      </c>
      <c r="L22" s="174" t="s">
        <v>4</v>
      </c>
      <c r="M22" s="52" t="s">
        <v>46</v>
      </c>
      <c r="N22" s="54" t="s">
        <v>10496</v>
      </c>
      <c r="O22" s="55" t="str">
        <f t="shared" si="4"/>
        <v>L1.00.00.01.04.00</v>
      </c>
      <c r="P22" s="55" t="str">
        <f t="shared" si="5"/>
        <v>L1.00.00.01.04.00.07</v>
      </c>
      <c r="Q22" s="160" t="s">
        <v>10530</v>
      </c>
      <c r="R22" s="169" t="str">
        <f t="shared" si="6"/>
        <v>Phòng Quản trị nguồn nhân lực</v>
      </c>
      <c r="S22" s="161" t="str">
        <f t="shared" si="7"/>
        <v>L1.00.00.01.00.00.07</v>
      </c>
      <c r="T22" s="169" t="s">
        <v>2718</v>
      </c>
      <c r="U22" s="169" t="s">
        <v>2717</v>
      </c>
      <c r="V22" s="169" t="s">
        <v>10545</v>
      </c>
      <c r="W22" s="96"/>
      <c r="X22" s="96"/>
      <c r="Y22" s="96"/>
      <c r="Z22" s="98" t="s">
        <v>10546</v>
      </c>
      <c r="AA22" s="153" t="s">
        <v>10530</v>
      </c>
      <c r="AB22" s="91"/>
      <c r="AC22" s="91"/>
      <c r="AD22" s="91"/>
    </row>
    <row r="23" ht="15.75" customHeight="1" outlineLevel="1">
      <c r="A23" s="170" t="s">
        <v>10535</v>
      </c>
      <c r="B23" s="51" t="s">
        <v>26</v>
      </c>
      <c r="C23" s="51" t="s">
        <v>27</v>
      </c>
      <c r="D23" s="52" t="s">
        <v>4</v>
      </c>
      <c r="E23" s="53" t="s">
        <v>27</v>
      </c>
      <c r="F23" s="52" t="s">
        <v>4</v>
      </c>
      <c r="G23" s="52" t="s">
        <v>33</v>
      </c>
      <c r="H23" s="171" t="s">
        <v>39</v>
      </c>
      <c r="I23" s="172" t="s">
        <v>27</v>
      </c>
      <c r="J23" s="172" t="s">
        <v>4</v>
      </c>
      <c r="K23" s="172" t="s">
        <v>27</v>
      </c>
      <c r="L23" s="174" t="s">
        <v>4</v>
      </c>
      <c r="M23" s="52" t="s">
        <v>46</v>
      </c>
      <c r="N23" s="54" t="s">
        <v>10496</v>
      </c>
      <c r="O23" s="55" t="str">
        <f t="shared" si="4"/>
        <v>L1.00.00.02.00.00</v>
      </c>
      <c r="P23" s="55" t="str">
        <f t="shared" si="5"/>
        <v>L1.00.00.02.00.00.07</v>
      </c>
      <c r="Q23" s="160" t="s">
        <v>10530</v>
      </c>
      <c r="R23" s="169" t="str">
        <f t="shared" si="6"/>
        <v>Phòng Đảm bảo chất lượng</v>
      </c>
      <c r="S23" s="161" t="str">
        <f>$P$17</f>
        <v>L1.00.00.00.00.00.07</v>
      </c>
      <c r="T23" s="96" t="s">
        <v>4881</v>
      </c>
      <c r="U23" s="96" t="s">
        <v>453</v>
      </c>
      <c r="V23" s="96" t="s">
        <v>39</v>
      </c>
      <c r="W23" s="96"/>
      <c r="X23" s="96"/>
      <c r="Y23" s="96"/>
      <c r="Z23" s="98" t="s">
        <v>10547</v>
      </c>
      <c r="AA23" s="153" t="s">
        <v>10530</v>
      </c>
      <c r="AB23" s="91"/>
      <c r="AC23" s="91"/>
      <c r="AD23" s="91"/>
    </row>
    <row r="24" ht="15.75" customHeight="1" outlineLevel="1">
      <c r="A24" s="170" t="s">
        <v>10535</v>
      </c>
      <c r="B24" s="51" t="s">
        <v>26</v>
      </c>
      <c r="C24" s="51" t="s">
        <v>27</v>
      </c>
      <c r="D24" s="52" t="s">
        <v>4</v>
      </c>
      <c r="E24" s="53" t="s">
        <v>27</v>
      </c>
      <c r="F24" s="52" t="s">
        <v>4</v>
      </c>
      <c r="G24" s="52" t="s">
        <v>35</v>
      </c>
      <c r="H24" s="171" t="s">
        <v>40</v>
      </c>
      <c r="I24" s="172" t="s">
        <v>27</v>
      </c>
      <c r="J24" s="172" t="s">
        <v>4</v>
      </c>
      <c r="K24" s="172" t="s">
        <v>27</v>
      </c>
      <c r="L24" s="174" t="s">
        <v>4</v>
      </c>
      <c r="M24" s="52" t="s">
        <v>46</v>
      </c>
      <c r="N24" s="54" t="s">
        <v>10496</v>
      </c>
      <c r="O24" s="55" t="str">
        <f t="shared" si="4"/>
        <v>L1.00.00.03.00.00</v>
      </c>
      <c r="P24" s="55" t="str">
        <f t="shared" si="5"/>
        <v>L1.00.00.03.00.00.07</v>
      </c>
      <c r="Q24" s="160" t="s">
        <v>10530</v>
      </c>
      <c r="R24" s="169" t="str">
        <f t="shared" si="6"/>
        <v>Phòng Quản trị hệ thống</v>
      </c>
      <c r="S24" s="97" t="s">
        <v>10536</v>
      </c>
      <c r="T24" s="96" t="s">
        <v>4969</v>
      </c>
      <c r="U24" s="96" t="s">
        <v>453</v>
      </c>
      <c r="V24" s="96" t="s">
        <v>40</v>
      </c>
      <c r="W24" s="96"/>
      <c r="X24" s="96"/>
      <c r="Y24" s="96"/>
      <c r="Z24" s="98" t="s">
        <v>10548</v>
      </c>
      <c r="AA24" s="153" t="s">
        <v>10530</v>
      </c>
      <c r="AB24" s="91"/>
      <c r="AC24" s="91"/>
      <c r="AD24" s="91"/>
    </row>
    <row r="25" ht="15.75" customHeight="1" outlineLevel="1">
      <c r="A25" s="170" t="s">
        <v>10535</v>
      </c>
      <c r="B25" s="51" t="s">
        <v>26</v>
      </c>
      <c r="C25" s="51" t="s">
        <v>27</v>
      </c>
      <c r="D25" s="52" t="s">
        <v>4</v>
      </c>
      <c r="E25" s="53" t="s">
        <v>27</v>
      </c>
      <c r="F25" s="52" t="s">
        <v>4</v>
      </c>
      <c r="G25" s="52" t="s">
        <v>37</v>
      </c>
      <c r="H25" s="171" t="s">
        <v>41</v>
      </c>
      <c r="I25" s="172" t="s">
        <v>27</v>
      </c>
      <c r="J25" s="172" t="s">
        <v>4</v>
      </c>
      <c r="K25" s="172" t="s">
        <v>27</v>
      </c>
      <c r="L25" s="174" t="s">
        <v>4</v>
      </c>
      <c r="M25" s="52" t="s">
        <v>46</v>
      </c>
      <c r="N25" s="54" t="s">
        <v>10496</v>
      </c>
      <c r="O25" s="55" t="str">
        <f t="shared" si="4"/>
        <v>L1.00.00.04.00.00</v>
      </c>
      <c r="P25" s="55" t="str">
        <f t="shared" si="5"/>
        <v>L1.00.00.04.00.00.07</v>
      </c>
      <c r="Q25" s="160" t="s">
        <v>10530</v>
      </c>
      <c r="R25" s="169" t="str">
        <f t="shared" si="6"/>
        <v>Phòng Hỗ trợ kỹ thuật</v>
      </c>
      <c r="S25" s="161" t="s">
        <v>10536</v>
      </c>
      <c r="T25" s="169" t="s">
        <v>623</v>
      </c>
      <c r="U25" s="169" t="s">
        <v>453</v>
      </c>
      <c r="V25" s="169" t="s">
        <v>10549</v>
      </c>
      <c r="W25" s="96"/>
      <c r="X25" s="96"/>
      <c r="Y25" s="96"/>
      <c r="Z25" s="98" t="s">
        <v>10550</v>
      </c>
      <c r="AA25" s="153" t="s">
        <v>10530</v>
      </c>
      <c r="AB25" s="91"/>
      <c r="AC25" s="91"/>
      <c r="AD25" s="91"/>
    </row>
    <row r="26" ht="15.75" customHeight="1" outlineLevel="1">
      <c r="A26" s="170" t="s">
        <v>10535</v>
      </c>
      <c r="B26" s="51" t="s">
        <v>26</v>
      </c>
      <c r="C26" s="51" t="s">
        <v>27</v>
      </c>
      <c r="D26" s="52" t="s">
        <v>4</v>
      </c>
      <c r="E26" s="53" t="s">
        <v>27</v>
      </c>
      <c r="F26" s="52" t="s">
        <v>4</v>
      </c>
      <c r="G26" s="52" t="s">
        <v>42</v>
      </c>
      <c r="H26" s="171" t="s">
        <v>43</v>
      </c>
      <c r="I26" s="172" t="s">
        <v>27</v>
      </c>
      <c r="J26" s="172" t="s">
        <v>4</v>
      </c>
      <c r="K26" s="172" t="s">
        <v>27</v>
      </c>
      <c r="L26" s="174" t="s">
        <v>4</v>
      </c>
      <c r="M26" s="52" t="s">
        <v>46</v>
      </c>
      <c r="N26" s="54" t="s">
        <v>10496</v>
      </c>
      <c r="O26" s="55" t="str">
        <f t="shared" si="4"/>
        <v>L1.00.00.05.00.00</v>
      </c>
      <c r="P26" s="55" t="str">
        <f t="shared" si="5"/>
        <v>L1.00.00.05.00.00.07</v>
      </c>
      <c r="Q26" s="160" t="s">
        <v>10530</v>
      </c>
      <c r="R26" s="169" t="str">
        <f t="shared" si="6"/>
        <v>Ban Phát triển đối tác</v>
      </c>
      <c r="S26" s="161" t="s">
        <v>10536</v>
      </c>
      <c r="T26" s="169" t="s">
        <v>6164</v>
      </c>
      <c r="U26" s="169" t="s">
        <v>453</v>
      </c>
      <c r="V26" s="169" t="s">
        <v>10551</v>
      </c>
      <c r="W26" s="96"/>
      <c r="X26" s="96"/>
      <c r="Y26" s="96"/>
      <c r="Z26" s="98" t="s">
        <v>10552</v>
      </c>
      <c r="AA26" s="153" t="s">
        <v>10530</v>
      </c>
      <c r="AB26" s="91"/>
      <c r="AC26" s="91"/>
      <c r="AD26" s="91"/>
    </row>
    <row r="27" ht="15.75" customHeight="1" outlineLevel="1">
      <c r="A27" s="170" t="s">
        <v>10535</v>
      </c>
      <c r="B27" s="51" t="s">
        <v>26</v>
      </c>
      <c r="C27" s="51" t="s">
        <v>27</v>
      </c>
      <c r="D27" s="52" t="s">
        <v>4</v>
      </c>
      <c r="E27" s="53" t="s">
        <v>27</v>
      </c>
      <c r="F27" s="52" t="s">
        <v>4</v>
      </c>
      <c r="G27" s="52" t="s">
        <v>44</v>
      </c>
      <c r="H27" s="171" t="s">
        <v>45</v>
      </c>
      <c r="I27" s="172" t="s">
        <v>27</v>
      </c>
      <c r="J27" s="172" t="s">
        <v>4</v>
      </c>
      <c r="K27" s="172" t="s">
        <v>27</v>
      </c>
      <c r="L27" s="174" t="s">
        <v>4</v>
      </c>
      <c r="M27" s="52" t="s">
        <v>46</v>
      </c>
      <c r="N27" s="54" t="s">
        <v>10496</v>
      </c>
      <c r="O27" s="55" t="str">
        <f t="shared" si="4"/>
        <v>L1.00.00.06.00.00</v>
      </c>
      <c r="P27" s="55" t="str">
        <f t="shared" si="5"/>
        <v>L1.00.00.06.00.00.07</v>
      </c>
      <c r="Q27" s="160" t="s">
        <v>10530</v>
      </c>
      <c r="R27" s="169" t="str">
        <f t="shared" si="6"/>
        <v>Ban Nghiên cứu Thị trường &amp; Sản phẩm</v>
      </c>
      <c r="S27" s="97" t="s">
        <v>10536</v>
      </c>
      <c r="T27" s="96" t="s">
        <v>2842</v>
      </c>
      <c r="U27" s="96" t="s">
        <v>453</v>
      </c>
      <c r="V27" s="96" t="s">
        <v>2841</v>
      </c>
      <c r="W27" s="96"/>
      <c r="X27" s="96"/>
      <c r="Y27" s="96"/>
      <c r="Z27" s="98" t="s">
        <v>10553</v>
      </c>
      <c r="AA27" s="153" t="s">
        <v>10530</v>
      </c>
      <c r="AB27" s="91"/>
      <c r="AC27" s="91"/>
      <c r="AD27" s="91"/>
    </row>
    <row r="28" ht="15.75" customHeight="1" outlineLevel="1">
      <c r="A28" s="170" t="s">
        <v>10535</v>
      </c>
      <c r="B28" s="57" t="s">
        <v>26</v>
      </c>
      <c r="C28" s="51" t="s">
        <v>27</v>
      </c>
      <c r="D28" s="52" t="s">
        <v>4</v>
      </c>
      <c r="E28" s="53" t="s">
        <v>27</v>
      </c>
      <c r="F28" s="52" t="s">
        <v>4</v>
      </c>
      <c r="G28" s="52" t="s">
        <v>46</v>
      </c>
      <c r="H28" s="171" t="s">
        <v>47</v>
      </c>
      <c r="I28" s="175" t="s">
        <v>27</v>
      </c>
      <c r="J28" s="172" t="s">
        <v>4</v>
      </c>
      <c r="K28" s="172" t="s">
        <v>27</v>
      </c>
      <c r="L28" s="174" t="s">
        <v>4</v>
      </c>
      <c r="M28" s="52" t="s">
        <v>46</v>
      </c>
      <c r="N28" s="54" t="s">
        <v>10496</v>
      </c>
      <c r="O28" s="55" t="str">
        <f t="shared" si="4"/>
        <v>L1.00.00.07.00.00</v>
      </c>
      <c r="P28" s="55" t="str">
        <f t="shared" si="5"/>
        <v>L1.00.00.07.00.00.07</v>
      </c>
      <c r="Q28" s="160" t="s">
        <v>10530</v>
      </c>
      <c r="R28" s="169" t="str">
        <f t="shared" si="6"/>
        <v>Ban Công nghệ thông tin</v>
      </c>
      <c r="S28" s="97" t="s">
        <v>10536</v>
      </c>
      <c r="T28" s="97" t="s">
        <v>10554</v>
      </c>
      <c r="U28" s="96" t="s">
        <v>453</v>
      </c>
      <c r="V28" s="96" t="s">
        <v>47</v>
      </c>
      <c r="W28" s="96"/>
      <c r="X28" s="96"/>
      <c r="Y28" s="96"/>
      <c r="Z28" s="98" t="s">
        <v>10555</v>
      </c>
      <c r="AA28" s="153" t="s">
        <v>10530</v>
      </c>
      <c r="AB28" s="91"/>
      <c r="AC28" s="91"/>
      <c r="AD28" s="91"/>
    </row>
    <row r="29" ht="15.75" customHeight="1" outlineLevel="1">
      <c r="A29" s="170" t="s">
        <v>10535</v>
      </c>
      <c r="B29" s="57" t="s">
        <v>26</v>
      </c>
      <c r="C29" s="51" t="s">
        <v>27</v>
      </c>
      <c r="D29" s="52" t="s">
        <v>4</v>
      </c>
      <c r="E29" s="53" t="s">
        <v>27</v>
      </c>
      <c r="F29" s="52" t="s">
        <v>4</v>
      </c>
      <c r="G29" s="52" t="s">
        <v>46</v>
      </c>
      <c r="H29" s="171" t="s">
        <v>47</v>
      </c>
      <c r="I29" s="172" t="s">
        <v>29</v>
      </c>
      <c r="J29" s="173" t="s">
        <v>48</v>
      </c>
      <c r="K29" s="172" t="s">
        <v>27</v>
      </c>
      <c r="L29" s="174" t="s">
        <v>4</v>
      </c>
      <c r="M29" s="52" t="s">
        <v>46</v>
      </c>
      <c r="N29" s="54" t="s">
        <v>10496</v>
      </c>
      <c r="O29" s="55" t="str">
        <f t="shared" si="4"/>
        <v>L1.00.00.07.01.00</v>
      </c>
      <c r="P29" s="55" t="str">
        <f t="shared" si="5"/>
        <v>L1.00.00.07.01.00.07</v>
      </c>
      <c r="Q29" s="160" t="s">
        <v>10530</v>
      </c>
      <c r="R29" s="169" t="str">
        <f t="shared" si="6"/>
        <v>Ban giám đốc - Ban CNTT</v>
      </c>
      <c r="S29" s="97" t="s">
        <v>10556</v>
      </c>
      <c r="T29" s="96" t="s">
        <v>6309</v>
      </c>
      <c r="U29" s="96" t="s">
        <v>453</v>
      </c>
      <c r="V29" s="96" t="s">
        <v>47</v>
      </c>
      <c r="W29" s="96" t="s">
        <v>6308</v>
      </c>
      <c r="X29" s="96"/>
      <c r="Y29" s="96"/>
      <c r="Z29" s="98" t="s">
        <v>10557</v>
      </c>
      <c r="AA29" s="153" t="s">
        <v>10530</v>
      </c>
      <c r="AB29" s="91"/>
      <c r="AC29" s="91"/>
      <c r="AD29" s="91"/>
    </row>
    <row r="30" ht="15.75" customHeight="1" outlineLevel="1">
      <c r="A30" s="170" t="s">
        <v>10535</v>
      </c>
      <c r="B30" s="57" t="s">
        <v>26</v>
      </c>
      <c r="C30" s="51" t="s">
        <v>27</v>
      </c>
      <c r="D30" s="52" t="s">
        <v>4</v>
      </c>
      <c r="E30" s="53" t="s">
        <v>27</v>
      </c>
      <c r="F30" s="52" t="s">
        <v>4</v>
      </c>
      <c r="G30" s="52" t="s">
        <v>46</v>
      </c>
      <c r="H30" s="171" t="s">
        <v>47</v>
      </c>
      <c r="I30" s="172" t="s">
        <v>33</v>
      </c>
      <c r="J30" s="176" t="s">
        <v>3397</v>
      </c>
      <c r="K30" s="175" t="s">
        <v>27</v>
      </c>
      <c r="L30" s="174" t="s">
        <v>4</v>
      </c>
      <c r="M30" s="52" t="s">
        <v>46</v>
      </c>
      <c r="N30" s="54" t="s">
        <v>10496</v>
      </c>
      <c r="O30" s="55" t="str">
        <f t="shared" si="4"/>
        <v>L1.00.00.07.02.00</v>
      </c>
      <c r="P30" s="55" t="str">
        <f t="shared" si="5"/>
        <v>L1.00.00.07.02.00.07</v>
      </c>
      <c r="Q30" s="160" t="s">
        <v>10530</v>
      </c>
      <c r="R30" s="169" t="str">
        <f t="shared" si="6"/>
        <v>Sản phẩm Automation Support</v>
      </c>
      <c r="S30" s="97" t="s">
        <v>10556</v>
      </c>
      <c r="T30" s="97" t="s">
        <v>10558</v>
      </c>
      <c r="U30" s="96" t="s">
        <v>453</v>
      </c>
      <c r="V30" s="96" t="s">
        <v>47</v>
      </c>
      <c r="W30" s="96" t="s">
        <v>3397</v>
      </c>
      <c r="X30" s="96"/>
      <c r="Y30" s="96"/>
      <c r="Z30" s="98" t="s">
        <v>10559</v>
      </c>
      <c r="AA30" s="153" t="s">
        <v>10530</v>
      </c>
      <c r="AB30" s="91"/>
      <c r="AC30" s="91"/>
      <c r="AD30" s="91"/>
    </row>
    <row r="31" ht="15.75" customHeight="1" outlineLevel="1">
      <c r="A31" s="170" t="s">
        <v>10535</v>
      </c>
      <c r="B31" s="57" t="s">
        <v>26</v>
      </c>
      <c r="C31" s="51" t="s">
        <v>27</v>
      </c>
      <c r="D31" s="52" t="s">
        <v>4</v>
      </c>
      <c r="E31" s="53" t="s">
        <v>27</v>
      </c>
      <c r="F31" s="52" t="s">
        <v>4</v>
      </c>
      <c r="G31" s="52" t="s">
        <v>46</v>
      </c>
      <c r="H31" s="171" t="s">
        <v>47</v>
      </c>
      <c r="I31" s="172" t="s">
        <v>33</v>
      </c>
      <c r="J31" s="176" t="s">
        <v>3397</v>
      </c>
      <c r="K31" s="175" t="s">
        <v>29</v>
      </c>
      <c r="L31" s="176" t="s">
        <v>5136</v>
      </c>
      <c r="M31" s="52" t="s">
        <v>46</v>
      </c>
      <c r="N31" s="54" t="s">
        <v>10496</v>
      </c>
      <c r="O31" s="55" t="str">
        <f t="shared" si="4"/>
        <v>L1.00.00.07.02.01</v>
      </c>
      <c r="P31" s="55" t="str">
        <f t="shared" si="5"/>
        <v>L1.00.00.07.02.01.07</v>
      </c>
      <c r="Q31" s="160" t="s">
        <v>10530</v>
      </c>
      <c r="R31" s="169" t="str">
        <f t="shared" si="6"/>
        <v>Dự án MISA Order</v>
      </c>
      <c r="S31" s="97" t="s">
        <v>10560</v>
      </c>
      <c r="T31" s="96" t="s">
        <v>5137</v>
      </c>
      <c r="U31" s="96" t="s">
        <v>453</v>
      </c>
      <c r="V31" s="96" t="s">
        <v>47</v>
      </c>
      <c r="W31" s="96" t="s">
        <v>3397</v>
      </c>
      <c r="X31" s="96" t="s">
        <v>5136</v>
      </c>
      <c r="Y31" s="96"/>
      <c r="Z31" s="98" t="s">
        <v>10561</v>
      </c>
      <c r="AA31" s="153" t="s">
        <v>10530</v>
      </c>
      <c r="AB31" s="91"/>
      <c r="AC31" s="91"/>
      <c r="AD31" s="91"/>
    </row>
    <row r="32" ht="15.75" customHeight="1" outlineLevel="1">
      <c r="A32" s="170" t="s">
        <v>10535</v>
      </c>
      <c r="B32" s="57" t="s">
        <v>26</v>
      </c>
      <c r="C32" s="51" t="s">
        <v>27</v>
      </c>
      <c r="D32" s="52" t="s">
        <v>4</v>
      </c>
      <c r="E32" s="53" t="s">
        <v>27</v>
      </c>
      <c r="F32" s="52" t="s">
        <v>4</v>
      </c>
      <c r="G32" s="52" t="s">
        <v>46</v>
      </c>
      <c r="H32" s="171" t="s">
        <v>47</v>
      </c>
      <c r="I32" s="172" t="s">
        <v>33</v>
      </c>
      <c r="J32" s="176" t="s">
        <v>3397</v>
      </c>
      <c r="K32" s="177" t="s">
        <v>33</v>
      </c>
      <c r="L32" s="176" t="s">
        <v>4869</v>
      </c>
      <c r="M32" s="52" t="s">
        <v>46</v>
      </c>
      <c r="N32" s="54" t="s">
        <v>10496</v>
      </c>
      <c r="O32" s="55" t="str">
        <f t="shared" si="4"/>
        <v>L1.00.00.07.02.02</v>
      </c>
      <c r="P32" s="55" t="str">
        <f t="shared" si="5"/>
        <v>L1.00.00.07.02.02.07</v>
      </c>
      <c r="Q32" s="160" t="s">
        <v>10530</v>
      </c>
      <c r="R32" s="169" t="str">
        <f t="shared" si="6"/>
        <v>Dự án MISA SUMAN</v>
      </c>
      <c r="S32" s="97" t="s">
        <v>10560</v>
      </c>
      <c r="T32" s="96" t="s">
        <v>4870</v>
      </c>
      <c r="U32" s="96" t="s">
        <v>453</v>
      </c>
      <c r="V32" s="96" t="s">
        <v>47</v>
      </c>
      <c r="W32" s="96" t="s">
        <v>3397</v>
      </c>
      <c r="X32" s="96" t="s">
        <v>4869</v>
      </c>
      <c r="Y32" s="96"/>
      <c r="Z32" s="98" t="s">
        <v>10562</v>
      </c>
      <c r="AA32" s="153" t="s">
        <v>10530</v>
      </c>
      <c r="AB32" s="91"/>
      <c r="AC32" s="91"/>
      <c r="AD32" s="91"/>
    </row>
    <row r="33" ht="15.75" customHeight="1" outlineLevel="1">
      <c r="A33" s="170" t="s">
        <v>10535</v>
      </c>
      <c r="B33" s="57" t="s">
        <v>26</v>
      </c>
      <c r="C33" s="51" t="s">
        <v>27</v>
      </c>
      <c r="D33" s="52" t="s">
        <v>4</v>
      </c>
      <c r="E33" s="53" t="s">
        <v>27</v>
      </c>
      <c r="F33" s="52" t="s">
        <v>4</v>
      </c>
      <c r="G33" s="52" t="s">
        <v>46</v>
      </c>
      <c r="H33" s="171" t="s">
        <v>47</v>
      </c>
      <c r="I33" s="172" t="s">
        <v>33</v>
      </c>
      <c r="J33" s="176" t="s">
        <v>3397</v>
      </c>
      <c r="K33" s="177" t="s">
        <v>35</v>
      </c>
      <c r="L33" s="176" t="s">
        <v>3396</v>
      </c>
      <c r="M33" s="52" t="s">
        <v>46</v>
      </c>
      <c r="N33" s="54" t="s">
        <v>10496</v>
      </c>
      <c r="O33" s="55" t="str">
        <f t="shared" si="4"/>
        <v>L1.00.00.07.02.03</v>
      </c>
      <c r="P33" s="55" t="str">
        <f t="shared" si="5"/>
        <v>L1.00.00.07.02.03.07</v>
      </c>
      <c r="Q33" s="160" t="s">
        <v>10530</v>
      </c>
      <c r="R33" s="169" t="str">
        <f t="shared" si="6"/>
        <v>[Automation Support] Nhóm Phân tích và Thiết kế</v>
      </c>
      <c r="S33" s="97" t="s">
        <v>10560</v>
      </c>
      <c r="T33" s="96" t="s">
        <v>3398</v>
      </c>
      <c r="U33" s="96" t="s">
        <v>453</v>
      </c>
      <c r="V33" s="96" t="s">
        <v>47</v>
      </c>
      <c r="W33" s="96" t="s">
        <v>3397</v>
      </c>
      <c r="X33" s="96" t="s">
        <v>3396</v>
      </c>
      <c r="Y33" s="96"/>
      <c r="Z33" s="98" t="s">
        <v>10563</v>
      </c>
      <c r="AA33" s="153" t="s">
        <v>10530</v>
      </c>
      <c r="AB33" s="91"/>
      <c r="AC33" s="91"/>
      <c r="AD33" s="91"/>
    </row>
    <row r="34" ht="15.75" customHeight="1" outlineLevel="1">
      <c r="A34" s="170" t="s">
        <v>10535</v>
      </c>
      <c r="B34" s="57" t="s">
        <v>26</v>
      </c>
      <c r="C34" s="51" t="s">
        <v>27</v>
      </c>
      <c r="D34" s="52" t="s">
        <v>4</v>
      </c>
      <c r="E34" s="53" t="s">
        <v>27</v>
      </c>
      <c r="F34" s="52" t="s">
        <v>4</v>
      </c>
      <c r="G34" s="52" t="s">
        <v>46</v>
      </c>
      <c r="H34" s="171" t="s">
        <v>47</v>
      </c>
      <c r="I34" s="172" t="s">
        <v>33</v>
      </c>
      <c r="J34" s="176" t="s">
        <v>3397</v>
      </c>
      <c r="K34" s="177" t="s">
        <v>37</v>
      </c>
      <c r="L34" s="176" t="s">
        <v>3619</v>
      </c>
      <c r="M34" s="52" t="s">
        <v>46</v>
      </c>
      <c r="N34" s="54" t="s">
        <v>10496</v>
      </c>
      <c r="O34" s="55" t="str">
        <f t="shared" si="4"/>
        <v>L1.00.00.07.02.04</v>
      </c>
      <c r="P34" s="55" t="str">
        <f t="shared" si="5"/>
        <v>L1.00.00.07.02.04.07</v>
      </c>
      <c r="Q34" s="160" t="s">
        <v>10530</v>
      </c>
      <c r="R34" s="169" t="str">
        <f t="shared" si="6"/>
        <v>Dự án MISA Automation Support</v>
      </c>
      <c r="S34" s="97" t="s">
        <v>10560</v>
      </c>
      <c r="T34" s="96" t="s">
        <v>3620</v>
      </c>
      <c r="U34" s="96" t="s">
        <v>453</v>
      </c>
      <c r="V34" s="96" t="s">
        <v>47</v>
      </c>
      <c r="W34" s="96" t="s">
        <v>3397</v>
      </c>
      <c r="X34" s="96" t="s">
        <v>3619</v>
      </c>
      <c r="Y34" s="96"/>
      <c r="Z34" s="98" t="s">
        <v>10564</v>
      </c>
      <c r="AA34" s="153" t="s">
        <v>10530</v>
      </c>
      <c r="AB34" s="91"/>
      <c r="AC34" s="91"/>
      <c r="AD34" s="91"/>
    </row>
    <row r="35" ht="15.75" customHeight="1" outlineLevel="1">
      <c r="A35" s="170" t="s">
        <v>10535</v>
      </c>
      <c r="B35" s="57" t="s">
        <v>26</v>
      </c>
      <c r="C35" s="51" t="s">
        <v>27</v>
      </c>
      <c r="D35" s="52" t="s">
        <v>4</v>
      </c>
      <c r="E35" s="53" t="s">
        <v>27</v>
      </c>
      <c r="F35" s="52" t="s">
        <v>4</v>
      </c>
      <c r="G35" s="52" t="s">
        <v>46</v>
      </c>
      <c r="H35" s="171" t="s">
        <v>47</v>
      </c>
      <c r="I35" s="175" t="s">
        <v>35</v>
      </c>
      <c r="J35" s="176" t="s">
        <v>4508</v>
      </c>
      <c r="K35" s="172" t="s">
        <v>27</v>
      </c>
      <c r="L35" s="174" t="s">
        <v>4</v>
      </c>
      <c r="M35" s="52" t="s">
        <v>46</v>
      </c>
      <c r="N35" s="54" t="s">
        <v>10496</v>
      </c>
      <c r="O35" s="55" t="str">
        <f t="shared" si="4"/>
        <v>L1.00.00.07.03.00</v>
      </c>
      <c r="P35" s="55" t="str">
        <f t="shared" si="5"/>
        <v>L1.00.00.07.03.00.07</v>
      </c>
      <c r="Q35" s="160" t="s">
        <v>10530</v>
      </c>
      <c r="R35" s="169" t="str">
        <f t="shared" si="6"/>
        <v>Sản phẩm Automation Marketing</v>
      </c>
      <c r="S35" s="97" t="s">
        <v>10556</v>
      </c>
      <c r="T35" s="96" t="s">
        <v>4509</v>
      </c>
      <c r="U35" s="96" t="s">
        <v>453</v>
      </c>
      <c r="V35" s="96" t="s">
        <v>47</v>
      </c>
      <c r="W35" s="96" t="s">
        <v>4508</v>
      </c>
      <c r="X35" s="96"/>
      <c r="Y35" s="96"/>
      <c r="Z35" s="98" t="s">
        <v>10565</v>
      </c>
      <c r="AA35" s="153" t="s">
        <v>10530</v>
      </c>
      <c r="AB35" s="91"/>
      <c r="AC35" s="91"/>
      <c r="AD35" s="91"/>
    </row>
    <row r="36" ht="15.75" customHeight="1" outlineLevel="1">
      <c r="A36" s="170" t="s">
        <v>10535</v>
      </c>
      <c r="B36" s="57" t="s">
        <v>26</v>
      </c>
      <c r="C36" s="51" t="s">
        <v>27</v>
      </c>
      <c r="D36" s="52" t="s">
        <v>4</v>
      </c>
      <c r="E36" s="53" t="s">
        <v>27</v>
      </c>
      <c r="F36" s="52" t="s">
        <v>4</v>
      </c>
      <c r="G36" s="52" t="s">
        <v>46</v>
      </c>
      <c r="H36" s="171" t="s">
        <v>47</v>
      </c>
      <c r="I36" s="175" t="s">
        <v>35</v>
      </c>
      <c r="J36" s="176" t="s">
        <v>4508</v>
      </c>
      <c r="K36" s="175" t="s">
        <v>29</v>
      </c>
      <c r="L36" s="176" t="s">
        <v>5282</v>
      </c>
      <c r="M36" s="52" t="s">
        <v>46</v>
      </c>
      <c r="N36" s="54" t="s">
        <v>10496</v>
      </c>
      <c r="O36" s="55" t="str">
        <f t="shared" si="4"/>
        <v>L1.00.00.07.03.01</v>
      </c>
      <c r="P36" s="55" t="str">
        <f t="shared" si="5"/>
        <v>L1.00.00.07.03.01.07</v>
      </c>
      <c r="Q36" s="160" t="s">
        <v>10530</v>
      </c>
      <c r="R36" s="169" t="str">
        <f t="shared" si="6"/>
        <v>Dự án Websites</v>
      </c>
      <c r="S36" s="97" t="s">
        <v>10566</v>
      </c>
      <c r="T36" s="96" t="s">
        <v>5283</v>
      </c>
      <c r="U36" s="96" t="s">
        <v>453</v>
      </c>
      <c r="V36" s="96" t="s">
        <v>47</v>
      </c>
      <c r="W36" s="96" t="s">
        <v>4508</v>
      </c>
      <c r="X36" s="96" t="s">
        <v>5282</v>
      </c>
      <c r="Y36" s="96"/>
      <c r="Z36" s="98" t="s">
        <v>10567</v>
      </c>
      <c r="AA36" s="153" t="s">
        <v>10530</v>
      </c>
      <c r="AB36" s="91"/>
      <c r="AC36" s="91"/>
      <c r="AD36" s="91"/>
    </row>
    <row r="37" ht="15.75" customHeight="1" outlineLevel="1">
      <c r="A37" s="178" t="s">
        <v>10535</v>
      </c>
      <c r="B37" s="179" t="s">
        <v>26</v>
      </c>
      <c r="C37" s="180" t="s">
        <v>27</v>
      </c>
      <c r="D37" s="64" t="s">
        <v>4</v>
      </c>
      <c r="E37" s="71" t="s">
        <v>27</v>
      </c>
      <c r="F37" s="64" t="s">
        <v>4</v>
      </c>
      <c r="G37" s="64" t="s">
        <v>46</v>
      </c>
      <c r="H37" s="181" t="s">
        <v>47</v>
      </c>
      <c r="I37" s="182" t="s">
        <v>35</v>
      </c>
      <c r="J37" s="183" t="s">
        <v>4508</v>
      </c>
      <c r="K37" s="182" t="s">
        <v>33</v>
      </c>
      <c r="L37" s="184" t="s">
        <v>10568</v>
      </c>
      <c r="M37" s="64" t="s">
        <v>46</v>
      </c>
      <c r="N37" s="70" t="s">
        <v>10496</v>
      </c>
      <c r="O37" s="58" t="str">
        <f t="shared" si="4"/>
        <v>L1.00.00.07.03.02</v>
      </c>
      <c r="P37" s="58" t="str">
        <f t="shared" si="5"/>
        <v>L1.00.00.07.03.02.07</v>
      </c>
      <c r="Q37" s="185" t="s">
        <v>10530</v>
      </c>
      <c r="R37" s="186" t="str">
        <f t="shared" si="6"/>
        <v>[Automation Marketing] Nhóm Phân tích và Thiết kế</v>
      </c>
      <c r="S37" s="187" t="s">
        <v>10566</v>
      </c>
      <c r="T37" s="188" t="s">
        <v>10569</v>
      </c>
      <c r="U37" s="189" t="s">
        <v>453</v>
      </c>
      <c r="V37" s="189" t="s">
        <v>47</v>
      </c>
      <c r="W37" s="189" t="s">
        <v>4508</v>
      </c>
      <c r="X37" s="190" t="s">
        <v>10568</v>
      </c>
      <c r="Y37" s="189"/>
      <c r="Z37" s="191" t="s">
        <v>10567</v>
      </c>
      <c r="AA37" s="192" t="s">
        <v>10530</v>
      </c>
      <c r="AB37" s="193"/>
      <c r="AC37" s="193"/>
      <c r="AD37" s="193"/>
    </row>
    <row r="38" ht="15.75" customHeight="1" outlineLevel="1">
      <c r="A38" s="170" t="s">
        <v>10535</v>
      </c>
      <c r="B38" s="57" t="s">
        <v>26</v>
      </c>
      <c r="C38" s="51" t="s">
        <v>27</v>
      </c>
      <c r="D38" s="52" t="s">
        <v>4</v>
      </c>
      <c r="E38" s="53" t="s">
        <v>27</v>
      </c>
      <c r="F38" s="52" t="s">
        <v>4</v>
      </c>
      <c r="G38" s="52" t="s">
        <v>46</v>
      </c>
      <c r="H38" s="171" t="s">
        <v>47</v>
      </c>
      <c r="I38" s="175" t="s">
        <v>37</v>
      </c>
      <c r="J38" s="176" t="s">
        <v>4765</v>
      </c>
      <c r="K38" s="175" t="s">
        <v>27</v>
      </c>
      <c r="L38" s="174" t="s">
        <v>4</v>
      </c>
      <c r="M38" s="52" t="s">
        <v>46</v>
      </c>
      <c r="N38" s="54" t="s">
        <v>10496</v>
      </c>
      <c r="O38" s="55" t="str">
        <f t="shared" si="4"/>
        <v>L1.00.00.07.04.00</v>
      </c>
      <c r="P38" s="55" t="str">
        <f t="shared" si="5"/>
        <v>L1.00.00.07.04.00.07</v>
      </c>
      <c r="Q38" s="160" t="s">
        <v>10530</v>
      </c>
      <c r="R38" s="169" t="str">
        <f t="shared" si="6"/>
        <v>Sản phẩm Automation Sales</v>
      </c>
      <c r="S38" s="97" t="s">
        <v>10556</v>
      </c>
      <c r="T38" s="97" t="s">
        <v>10570</v>
      </c>
      <c r="U38" s="96" t="s">
        <v>453</v>
      </c>
      <c r="V38" s="96" t="s">
        <v>47</v>
      </c>
      <c r="W38" s="96" t="s">
        <v>4765</v>
      </c>
      <c r="X38" s="96"/>
      <c r="Y38" s="96"/>
      <c r="Z38" s="98" t="s">
        <v>10571</v>
      </c>
      <c r="AA38" s="153" t="s">
        <v>10530</v>
      </c>
      <c r="AB38" s="91"/>
      <c r="AC38" s="91"/>
      <c r="AD38" s="91"/>
    </row>
    <row r="39" ht="15.75" customHeight="1" outlineLevel="1">
      <c r="A39" s="170" t="s">
        <v>10535</v>
      </c>
      <c r="B39" s="57" t="s">
        <v>26</v>
      </c>
      <c r="C39" s="51" t="s">
        <v>27</v>
      </c>
      <c r="D39" s="52" t="s">
        <v>4</v>
      </c>
      <c r="E39" s="53" t="s">
        <v>27</v>
      </c>
      <c r="F39" s="52" t="s">
        <v>4</v>
      </c>
      <c r="G39" s="52" t="s">
        <v>46</v>
      </c>
      <c r="H39" s="171" t="s">
        <v>47</v>
      </c>
      <c r="I39" s="175" t="s">
        <v>37</v>
      </c>
      <c r="J39" s="176" t="s">
        <v>4765</v>
      </c>
      <c r="K39" s="175" t="s">
        <v>29</v>
      </c>
      <c r="L39" s="176" t="s">
        <v>4836</v>
      </c>
      <c r="M39" s="52" t="s">
        <v>46</v>
      </c>
      <c r="N39" s="54" t="s">
        <v>10496</v>
      </c>
      <c r="O39" s="55" t="str">
        <f t="shared" si="4"/>
        <v>L1.00.00.07.04.01</v>
      </c>
      <c r="P39" s="55" t="str">
        <f t="shared" si="5"/>
        <v>L1.00.00.07.04.01.07</v>
      </c>
      <c r="Q39" s="160" t="s">
        <v>10530</v>
      </c>
      <c r="R39" s="169" t="str">
        <f t="shared" si="6"/>
        <v>Dự án MISA Automation Sales</v>
      </c>
      <c r="S39" s="97" t="s">
        <v>10572</v>
      </c>
      <c r="T39" s="96" t="s">
        <v>4837</v>
      </c>
      <c r="U39" s="96" t="s">
        <v>453</v>
      </c>
      <c r="V39" s="96" t="s">
        <v>47</v>
      </c>
      <c r="W39" s="96" t="s">
        <v>4765</v>
      </c>
      <c r="X39" s="96" t="s">
        <v>4836</v>
      </c>
      <c r="Y39" s="96"/>
      <c r="Z39" s="98" t="s">
        <v>10573</v>
      </c>
      <c r="AA39" s="153" t="s">
        <v>10530</v>
      </c>
      <c r="AB39" s="91"/>
      <c r="AC39" s="91"/>
      <c r="AD39" s="91"/>
    </row>
    <row r="40" ht="15.75" customHeight="1" outlineLevel="1">
      <c r="A40" s="170" t="s">
        <v>10535</v>
      </c>
      <c r="B40" s="57" t="s">
        <v>26</v>
      </c>
      <c r="C40" s="51" t="s">
        <v>27</v>
      </c>
      <c r="D40" s="52" t="s">
        <v>4</v>
      </c>
      <c r="E40" s="53" t="s">
        <v>27</v>
      </c>
      <c r="F40" s="52" t="s">
        <v>4</v>
      </c>
      <c r="G40" s="52" t="s">
        <v>46</v>
      </c>
      <c r="H40" s="171" t="s">
        <v>47</v>
      </c>
      <c r="I40" s="175" t="s">
        <v>37</v>
      </c>
      <c r="J40" s="176" t="s">
        <v>4765</v>
      </c>
      <c r="K40" s="177" t="s">
        <v>33</v>
      </c>
      <c r="L40" s="176" t="s">
        <v>4764</v>
      </c>
      <c r="M40" s="52" t="s">
        <v>46</v>
      </c>
      <c r="N40" s="54" t="s">
        <v>10496</v>
      </c>
      <c r="O40" s="55" t="str">
        <f t="shared" si="4"/>
        <v>L1.00.00.07.04.02</v>
      </c>
      <c r="P40" s="55" t="str">
        <f t="shared" si="5"/>
        <v>L1.00.00.07.04.02.07</v>
      </c>
      <c r="Q40" s="160" t="s">
        <v>10530</v>
      </c>
      <c r="R40" s="169" t="str">
        <f t="shared" si="6"/>
        <v>[Automation Sales] Nhóm Phân tích và Thiết kế</v>
      </c>
      <c r="S40" s="97" t="s">
        <v>10572</v>
      </c>
      <c r="T40" s="96" t="s">
        <v>4766</v>
      </c>
      <c r="U40" s="96" t="s">
        <v>453</v>
      </c>
      <c r="V40" s="96" t="s">
        <v>47</v>
      </c>
      <c r="W40" s="96" t="s">
        <v>4765</v>
      </c>
      <c r="X40" s="96" t="s">
        <v>4764</v>
      </c>
      <c r="Y40" s="96"/>
      <c r="Z40" s="98" t="s">
        <v>10574</v>
      </c>
      <c r="AA40" s="153" t="s">
        <v>10530</v>
      </c>
      <c r="AB40" s="91"/>
      <c r="AC40" s="91"/>
      <c r="AD40" s="91"/>
    </row>
    <row r="41" ht="15.75" customHeight="1" outlineLevel="1">
      <c r="A41" s="170" t="s">
        <v>10535</v>
      </c>
      <c r="B41" s="57" t="s">
        <v>26</v>
      </c>
      <c r="C41" s="51" t="s">
        <v>27</v>
      </c>
      <c r="D41" s="52" t="s">
        <v>4</v>
      </c>
      <c r="E41" s="53" t="s">
        <v>27</v>
      </c>
      <c r="F41" s="52" t="s">
        <v>4</v>
      </c>
      <c r="G41" s="52" t="s">
        <v>46</v>
      </c>
      <c r="H41" s="171" t="s">
        <v>47</v>
      </c>
      <c r="I41" s="175" t="s">
        <v>42</v>
      </c>
      <c r="J41" s="176" t="s">
        <v>4502</v>
      </c>
      <c r="K41" s="175" t="s">
        <v>27</v>
      </c>
      <c r="L41" s="194" t="s">
        <v>4</v>
      </c>
      <c r="M41" s="52" t="s">
        <v>46</v>
      </c>
      <c r="N41" s="54" t="s">
        <v>10496</v>
      </c>
      <c r="O41" s="55" t="str">
        <f t="shared" si="4"/>
        <v>L1.00.00.07.05.00</v>
      </c>
      <c r="P41" s="55" t="str">
        <f t="shared" si="5"/>
        <v>L1.00.00.07.05.00.07</v>
      </c>
      <c r="Q41" s="160" t="s">
        <v>10530</v>
      </c>
      <c r="R41" s="169" t="str">
        <f t="shared" si="6"/>
        <v>Sản phẩm Data Analytics</v>
      </c>
      <c r="S41" s="97" t="s">
        <v>10556</v>
      </c>
      <c r="T41" s="97" t="s">
        <v>10575</v>
      </c>
      <c r="U41" s="96" t="s">
        <v>453</v>
      </c>
      <c r="V41" s="96" t="s">
        <v>47</v>
      </c>
      <c r="W41" s="96" t="s">
        <v>4502</v>
      </c>
      <c r="X41" s="96"/>
      <c r="Y41" s="96"/>
      <c r="Z41" s="98" t="s">
        <v>10576</v>
      </c>
      <c r="AA41" s="153" t="s">
        <v>10530</v>
      </c>
      <c r="AB41" s="91"/>
      <c r="AC41" s="91"/>
      <c r="AD41" s="91"/>
    </row>
    <row r="42" ht="15.75" customHeight="1" outlineLevel="1">
      <c r="A42" s="170" t="s">
        <v>10535</v>
      </c>
      <c r="B42" s="57" t="s">
        <v>26</v>
      </c>
      <c r="C42" s="51" t="s">
        <v>27</v>
      </c>
      <c r="D42" s="52" t="s">
        <v>4</v>
      </c>
      <c r="E42" s="53" t="s">
        <v>27</v>
      </c>
      <c r="F42" s="52" t="s">
        <v>4</v>
      </c>
      <c r="G42" s="52" t="s">
        <v>46</v>
      </c>
      <c r="H42" s="171" t="s">
        <v>47</v>
      </c>
      <c r="I42" s="175" t="s">
        <v>42</v>
      </c>
      <c r="J42" s="176" t="s">
        <v>4502</v>
      </c>
      <c r="K42" s="175" t="s">
        <v>29</v>
      </c>
      <c r="L42" s="176" t="s">
        <v>4864</v>
      </c>
      <c r="M42" s="52" t="s">
        <v>46</v>
      </c>
      <c r="N42" s="54" t="s">
        <v>10496</v>
      </c>
      <c r="O42" s="55" t="str">
        <f t="shared" si="4"/>
        <v>L1.00.00.07.05.01</v>
      </c>
      <c r="P42" s="55" t="str">
        <f t="shared" si="5"/>
        <v>L1.00.00.07.05.01.07</v>
      </c>
      <c r="Q42" s="160" t="s">
        <v>10530</v>
      </c>
      <c r="R42" s="169" t="str">
        <f t="shared" si="6"/>
        <v>Dự án MISA Customer Profile</v>
      </c>
      <c r="S42" s="97" t="s">
        <v>10577</v>
      </c>
      <c r="T42" s="96" t="s">
        <v>4865</v>
      </c>
      <c r="U42" s="96" t="s">
        <v>453</v>
      </c>
      <c r="V42" s="96" t="s">
        <v>47</v>
      </c>
      <c r="W42" s="96" t="s">
        <v>4502</v>
      </c>
      <c r="X42" s="96" t="s">
        <v>4864</v>
      </c>
      <c r="Y42" s="96"/>
      <c r="Z42" s="98" t="s">
        <v>10578</v>
      </c>
      <c r="AA42" s="153" t="s">
        <v>10530</v>
      </c>
      <c r="AB42" s="91"/>
      <c r="AC42" s="91"/>
      <c r="AD42" s="91"/>
    </row>
    <row r="43" ht="15.75" customHeight="1" outlineLevel="1">
      <c r="A43" s="170" t="s">
        <v>10535</v>
      </c>
      <c r="B43" s="57" t="s">
        <v>26</v>
      </c>
      <c r="C43" s="51" t="s">
        <v>27</v>
      </c>
      <c r="D43" s="52" t="s">
        <v>4</v>
      </c>
      <c r="E43" s="53" t="s">
        <v>27</v>
      </c>
      <c r="F43" s="52" t="s">
        <v>4</v>
      </c>
      <c r="G43" s="52" t="s">
        <v>46</v>
      </c>
      <c r="H43" s="171" t="s">
        <v>47</v>
      </c>
      <c r="I43" s="175" t="s">
        <v>42</v>
      </c>
      <c r="J43" s="176" t="s">
        <v>4502</v>
      </c>
      <c r="K43" s="177" t="s">
        <v>33</v>
      </c>
      <c r="L43" s="176" t="s">
        <v>4501</v>
      </c>
      <c r="M43" s="52" t="s">
        <v>46</v>
      </c>
      <c r="N43" s="54" t="s">
        <v>10496</v>
      </c>
      <c r="O43" s="55" t="str">
        <f t="shared" si="4"/>
        <v>L1.00.00.07.05.02</v>
      </c>
      <c r="P43" s="55" t="str">
        <f t="shared" si="5"/>
        <v>L1.00.00.07.05.02.07</v>
      </c>
      <c r="Q43" s="160" t="s">
        <v>10530</v>
      </c>
      <c r="R43" s="169" t="str">
        <f t="shared" si="6"/>
        <v>[Data Analytics] Nhóm Phân tích và Thiết kế</v>
      </c>
      <c r="S43" s="97" t="s">
        <v>10577</v>
      </c>
      <c r="T43" s="96" t="s">
        <v>4503</v>
      </c>
      <c r="U43" s="96" t="s">
        <v>453</v>
      </c>
      <c r="V43" s="96" t="s">
        <v>47</v>
      </c>
      <c r="W43" s="96" t="s">
        <v>4502</v>
      </c>
      <c r="X43" s="96" t="s">
        <v>4501</v>
      </c>
      <c r="Y43" s="96"/>
      <c r="Z43" s="98" t="s">
        <v>10579</v>
      </c>
      <c r="AA43" s="153" t="s">
        <v>10530</v>
      </c>
      <c r="AB43" s="91"/>
      <c r="AC43" s="91"/>
      <c r="AD43" s="91"/>
    </row>
    <row r="44" ht="15.75" customHeight="1" outlineLevel="1">
      <c r="A44" s="170" t="s">
        <v>10535</v>
      </c>
      <c r="B44" s="57" t="s">
        <v>26</v>
      </c>
      <c r="C44" s="51" t="s">
        <v>27</v>
      </c>
      <c r="D44" s="52" t="s">
        <v>4</v>
      </c>
      <c r="E44" s="53" t="s">
        <v>27</v>
      </c>
      <c r="F44" s="52" t="s">
        <v>4</v>
      </c>
      <c r="G44" s="52" t="s">
        <v>46</v>
      </c>
      <c r="H44" s="171" t="s">
        <v>47</v>
      </c>
      <c r="I44" s="175" t="s">
        <v>44</v>
      </c>
      <c r="J44" s="176" t="s">
        <v>5038</v>
      </c>
      <c r="K44" s="172" t="s">
        <v>27</v>
      </c>
      <c r="L44" s="174" t="s">
        <v>4</v>
      </c>
      <c r="M44" s="52" t="s">
        <v>46</v>
      </c>
      <c r="N44" s="54" t="s">
        <v>10496</v>
      </c>
      <c r="O44" s="55" t="str">
        <f t="shared" si="4"/>
        <v>L1.00.00.07.06.00</v>
      </c>
      <c r="P44" s="55" t="str">
        <f t="shared" si="5"/>
        <v>L1.00.00.07.06.00.07</v>
      </c>
      <c r="Q44" s="160" t="s">
        <v>10530</v>
      </c>
      <c r="R44" s="169" t="str">
        <f t="shared" si="6"/>
        <v>Nhóm chuyên gia Ban CNTT</v>
      </c>
      <c r="S44" s="97" t="s">
        <v>10556</v>
      </c>
      <c r="T44" s="96" t="s">
        <v>5039</v>
      </c>
      <c r="U44" s="96" t="s">
        <v>453</v>
      </c>
      <c r="V44" s="96" t="s">
        <v>47</v>
      </c>
      <c r="W44" s="96" t="s">
        <v>5038</v>
      </c>
      <c r="X44" s="96"/>
      <c r="Y44" s="96"/>
      <c r="Z44" s="98" t="s">
        <v>10580</v>
      </c>
      <c r="AA44" s="153" t="s">
        <v>10530</v>
      </c>
      <c r="AB44" s="91"/>
      <c r="AC44" s="91"/>
      <c r="AD44" s="91"/>
    </row>
    <row r="45" ht="15.75" customHeight="1" outlineLevel="1">
      <c r="A45" s="170" t="s">
        <v>10535</v>
      </c>
      <c r="B45" s="57" t="s">
        <v>26</v>
      </c>
      <c r="C45" s="51" t="s">
        <v>27</v>
      </c>
      <c r="D45" s="52" t="s">
        <v>4</v>
      </c>
      <c r="E45" s="53" t="s">
        <v>27</v>
      </c>
      <c r="F45" s="52" t="s">
        <v>4</v>
      </c>
      <c r="G45" s="52" t="s">
        <v>49</v>
      </c>
      <c r="H45" s="171" t="s">
        <v>50</v>
      </c>
      <c r="I45" s="172" t="s">
        <v>27</v>
      </c>
      <c r="J45" s="172" t="s">
        <v>4</v>
      </c>
      <c r="K45" s="172" t="s">
        <v>27</v>
      </c>
      <c r="L45" s="174" t="s">
        <v>4</v>
      </c>
      <c r="M45" s="52" t="s">
        <v>46</v>
      </c>
      <c r="N45" s="54" t="s">
        <v>10496</v>
      </c>
      <c r="O45" s="55" t="str">
        <f t="shared" si="4"/>
        <v>L1.00.00.08.00.00</v>
      </c>
      <c r="P45" s="55" t="str">
        <f t="shared" si="5"/>
        <v>L1.00.00.08.00.00.07</v>
      </c>
      <c r="Q45" s="160" t="s">
        <v>10530</v>
      </c>
      <c r="R45" s="169" t="str">
        <f t="shared" si="6"/>
        <v>Ban An Ninh thông tin</v>
      </c>
      <c r="S45" s="169" t="s">
        <v>10536</v>
      </c>
      <c r="T45" s="169" t="s">
        <v>588</v>
      </c>
      <c r="U45" s="169" t="s">
        <v>453</v>
      </c>
      <c r="V45" s="169" t="s">
        <v>10581</v>
      </c>
      <c r="W45" s="96"/>
      <c r="X45" s="96"/>
      <c r="Y45" s="96"/>
      <c r="Z45" s="98" t="s">
        <v>10582</v>
      </c>
      <c r="AA45" s="153" t="s">
        <v>10530</v>
      </c>
      <c r="AB45" s="91"/>
      <c r="AC45" s="91"/>
      <c r="AD45" s="91"/>
    </row>
    <row r="46" ht="15.75" customHeight="1" outlineLevel="1">
      <c r="A46" s="170" t="s">
        <v>10535</v>
      </c>
      <c r="B46" s="57" t="s">
        <v>26</v>
      </c>
      <c r="C46" s="51" t="s">
        <v>27</v>
      </c>
      <c r="D46" s="52" t="s">
        <v>4</v>
      </c>
      <c r="E46" s="53" t="s">
        <v>27</v>
      </c>
      <c r="F46" s="52" t="s">
        <v>4</v>
      </c>
      <c r="G46" s="52" t="s">
        <v>51</v>
      </c>
      <c r="H46" s="171" t="s">
        <v>52</v>
      </c>
      <c r="I46" s="175" t="s">
        <v>27</v>
      </c>
      <c r="J46" s="195" t="s">
        <v>4</v>
      </c>
      <c r="K46" s="172" t="s">
        <v>27</v>
      </c>
      <c r="L46" s="174" t="s">
        <v>4</v>
      </c>
      <c r="M46" s="52" t="s">
        <v>46</v>
      </c>
      <c r="N46" s="54" t="s">
        <v>10496</v>
      </c>
      <c r="O46" s="55" t="str">
        <f t="shared" si="4"/>
        <v>L1.00.00.09.00.00</v>
      </c>
      <c r="P46" s="55" t="str">
        <f t="shared" si="5"/>
        <v>L1.00.00.09.00.00.07</v>
      </c>
      <c r="Q46" s="160" t="s">
        <v>10530</v>
      </c>
      <c r="R46" s="169" t="str">
        <f t="shared" si="6"/>
        <v>Viện Công nghệ</v>
      </c>
      <c r="S46" s="97" t="s">
        <v>10536</v>
      </c>
      <c r="T46" s="97" t="s">
        <v>10583</v>
      </c>
      <c r="U46" s="96" t="s">
        <v>453</v>
      </c>
      <c r="V46" s="96" t="s">
        <v>52</v>
      </c>
      <c r="W46" s="96"/>
      <c r="X46" s="96"/>
      <c r="Y46" s="96"/>
      <c r="Z46" s="98" t="s">
        <v>10584</v>
      </c>
      <c r="AA46" s="153" t="s">
        <v>10530</v>
      </c>
      <c r="AB46" s="91"/>
      <c r="AC46" s="91"/>
      <c r="AD46" s="91"/>
    </row>
    <row r="47" ht="15.75" customHeight="1" outlineLevel="1">
      <c r="A47" s="170" t="s">
        <v>10535</v>
      </c>
      <c r="B47" s="57" t="s">
        <v>26</v>
      </c>
      <c r="C47" s="51" t="s">
        <v>27</v>
      </c>
      <c r="D47" s="52" t="s">
        <v>4</v>
      </c>
      <c r="E47" s="53" t="s">
        <v>27</v>
      </c>
      <c r="F47" s="52" t="s">
        <v>4</v>
      </c>
      <c r="G47" s="52" t="s">
        <v>51</v>
      </c>
      <c r="H47" s="171" t="s">
        <v>52</v>
      </c>
      <c r="I47" s="172" t="s">
        <v>29</v>
      </c>
      <c r="J47" s="173" t="s">
        <v>53</v>
      </c>
      <c r="K47" s="172" t="s">
        <v>27</v>
      </c>
      <c r="L47" s="174" t="s">
        <v>4</v>
      </c>
      <c r="M47" s="52" t="s">
        <v>46</v>
      </c>
      <c r="N47" s="54" t="s">
        <v>10496</v>
      </c>
      <c r="O47" s="55" t="str">
        <f t="shared" si="4"/>
        <v>L1.00.00.09.01.00</v>
      </c>
      <c r="P47" s="55" t="str">
        <f t="shared" si="5"/>
        <v>L1.00.00.09.01.00.07</v>
      </c>
      <c r="Q47" s="160" t="s">
        <v>10530</v>
      </c>
      <c r="R47" s="169" t="str">
        <f t="shared" si="6"/>
        <v>Ban Giám đốc Viện</v>
      </c>
      <c r="S47" s="97" t="s">
        <v>10585</v>
      </c>
      <c r="T47" s="96" t="s">
        <v>6947</v>
      </c>
      <c r="U47" s="96" t="s">
        <v>453</v>
      </c>
      <c r="V47" s="96" t="s">
        <v>52</v>
      </c>
      <c r="W47" s="96" t="s">
        <v>6946</v>
      </c>
      <c r="X47" s="96"/>
      <c r="Y47" s="96"/>
      <c r="Z47" s="98" t="s">
        <v>10586</v>
      </c>
      <c r="AA47" s="153" t="s">
        <v>10530</v>
      </c>
      <c r="AB47" s="91"/>
      <c r="AC47" s="91"/>
      <c r="AD47" s="91"/>
    </row>
    <row r="48" ht="15.75" customHeight="1" outlineLevel="1">
      <c r="A48" s="170" t="s">
        <v>10535</v>
      </c>
      <c r="B48" s="57" t="s">
        <v>26</v>
      </c>
      <c r="C48" s="51" t="s">
        <v>27</v>
      </c>
      <c r="D48" s="52" t="s">
        <v>4</v>
      </c>
      <c r="E48" s="53" t="s">
        <v>27</v>
      </c>
      <c r="F48" s="52" t="s">
        <v>4</v>
      </c>
      <c r="G48" s="52" t="s">
        <v>51</v>
      </c>
      <c r="H48" s="171" t="s">
        <v>52</v>
      </c>
      <c r="I48" s="172" t="s">
        <v>33</v>
      </c>
      <c r="J48" s="173" t="s">
        <v>54</v>
      </c>
      <c r="K48" s="172" t="s">
        <v>27</v>
      </c>
      <c r="L48" s="194" t="s">
        <v>4</v>
      </c>
      <c r="M48" s="52" t="s">
        <v>46</v>
      </c>
      <c r="N48" s="54" t="s">
        <v>10496</v>
      </c>
      <c r="O48" s="55" t="str">
        <f t="shared" si="4"/>
        <v>L1.00.00.09.02.00</v>
      </c>
      <c r="P48" s="55" t="str">
        <f t="shared" si="5"/>
        <v>L1.00.00.09.02.00.07</v>
      </c>
      <c r="Q48" s="160" t="s">
        <v>10530</v>
      </c>
      <c r="R48" s="169" t="str">
        <f t="shared" si="6"/>
        <v>Phòng Nghiên cứu công nghệ</v>
      </c>
      <c r="S48" s="97" t="s">
        <v>10585</v>
      </c>
      <c r="T48" s="96" t="s">
        <v>3267</v>
      </c>
      <c r="U48" s="96" t="s">
        <v>453</v>
      </c>
      <c r="V48" s="96" t="s">
        <v>52</v>
      </c>
      <c r="W48" s="96" t="s">
        <v>638</v>
      </c>
      <c r="X48" s="96"/>
      <c r="Y48" s="96"/>
      <c r="Z48" s="98" t="s">
        <v>10587</v>
      </c>
      <c r="AA48" s="153" t="s">
        <v>10530</v>
      </c>
      <c r="AB48" s="91"/>
      <c r="AC48" s="91"/>
      <c r="AD48" s="91"/>
    </row>
    <row r="49" ht="15.75" customHeight="1" outlineLevel="1">
      <c r="A49" s="196" t="s">
        <v>10535</v>
      </c>
      <c r="B49" s="197" t="s">
        <v>26</v>
      </c>
      <c r="C49" s="197" t="s">
        <v>27</v>
      </c>
      <c r="D49" s="198" t="s">
        <v>4</v>
      </c>
      <c r="E49" s="199" t="s">
        <v>27</v>
      </c>
      <c r="F49" s="198" t="s">
        <v>4</v>
      </c>
      <c r="G49" s="198" t="s">
        <v>51</v>
      </c>
      <c r="H49" s="200" t="s">
        <v>52</v>
      </c>
      <c r="I49" s="198" t="s">
        <v>33</v>
      </c>
      <c r="J49" s="201" t="s">
        <v>54</v>
      </c>
      <c r="K49" s="197" t="s">
        <v>29</v>
      </c>
      <c r="L49" s="202" t="s">
        <v>10588</v>
      </c>
      <c r="M49" s="198" t="s">
        <v>46</v>
      </c>
      <c r="N49" s="200" t="s">
        <v>10496</v>
      </c>
      <c r="O49" s="201" t="str">
        <f t="shared" si="4"/>
        <v>L1.00.00.09.02.01</v>
      </c>
      <c r="P49" s="201" t="str">
        <f t="shared" si="5"/>
        <v>L1.00.00.09.02.01.07</v>
      </c>
      <c r="Q49" s="203" t="s">
        <v>10530</v>
      </c>
      <c r="R49" s="204" t="str">
        <f t="shared" si="6"/>
        <v>Dự án AI (bỏ)</v>
      </c>
      <c r="S49" s="202" t="s">
        <v>10589</v>
      </c>
      <c r="T49" s="205" t="s">
        <v>639</v>
      </c>
      <c r="U49" s="205" t="s">
        <v>453</v>
      </c>
      <c r="V49" s="205" t="s">
        <v>52</v>
      </c>
      <c r="W49" s="205" t="s">
        <v>638</v>
      </c>
      <c r="X49" s="205" t="s">
        <v>637</v>
      </c>
      <c r="Y49" s="205"/>
      <c r="Z49" s="206" t="s">
        <v>10590</v>
      </c>
      <c r="AA49" s="207" t="s">
        <v>10530</v>
      </c>
      <c r="AB49" s="208"/>
      <c r="AC49" s="208"/>
      <c r="AD49" s="208"/>
    </row>
    <row r="50" ht="15.75" customHeight="1" outlineLevel="1">
      <c r="A50" s="196" t="s">
        <v>10535</v>
      </c>
      <c r="B50" s="197" t="s">
        <v>26</v>
      </c>
      <c r="C50" s="197" t="s">
        <v>27</v>
      </c>
      <c r="D50" s="198" t="s">
        <v>4</v>
      </c>
      <c r="E50" s="199" t="s">
        <v>27</v>
      </c>
      <c r="F50" s="198" t="s">
        <v>4</v>
      </c>
      <c r="G50" s="198" t="s">
        <v>51</v>
      </c>
      <c r="H50" s="200" t="s">
        <v>52</v>
      </c>
      <c r="I50" s="198" t="s">
        <v>33</v>
      </c>
      <c r="J50" s="201" t="s">
        <v>54</v>
      </c>
      <c r="K50" s="197" t="s">
        <v>33</v>
      </c>
      <c r="L50" s="202" t="s">
        <v>10591</v>
      </c>
      <c r="M50" s="198" t="s">
        <v>46</v>
      </c>
      <c r="N50" s="200" t="s">
        <v>10496</v>
      </c>
      <c r="O50" s="201" t="str">
        <f t="shared" si="4"/>
        <v>L1.00.00.09.02.02</v>
      </c>
      <c r="P50" s="201" t="str">
        <f t="shared" si="5"/>
        <v>L1.00.00.09.02.02.07</v>
      </c>
      <c r="Q50" s="203" t="s">
        <v>10530</v>
      </c>
      <c r="R50" s="204" t="str">
        <f t="shared" si="6"/>
        <v>[AI] Nhóm Phân tích và Thiết kế (bỏ)</v>
      </c>
      <c r="S50" s="202" t="s">
        <v>10589</v>
      </c>
      <c r="T50" s="205" t="s">
        <v>9468</v>
      </c>
      <c r="U50" s="205" t="s">
        <v>453</v>
      </c>
      <c r="V50" s="205" t="s">
        <v>52</v>
      </c>
      <c r="W50" s="205" t="s">
        <v>638</v>
      </c>
      <c r="X50" s="205" t="s">
        <v>9467</v>
      </c>
      <c r="Y50" s="205"/>
      <c r="Z50" s="206" t="s">
        <v>10592</v>
      </c>
      <c r="AA50" s="207" t="s">
        <v>10530</v>
      </c>
      <c r="AB50" s="208"/>
      <c r="AC50" s="208"/>
      <c r="AD50" s="208"/>
    </row>
    <row r="51" ht="15.75" customHeight="1" outlineLevel="1">
      <c r="A51" s="170" t="s">
        <v>10535</v>
      </c>
      <c r="B51" s="57" t="s">
        <v>26</v>
      </c>
      <c r="C51" s="51" t="s">
        <v>27</v>
      </c>
      <c r="D51" s="52" t="s">
        <v>4</v>
      </c>
      <c r="E51" s="53" t="s">
        <v>27</v>
      </c>
      <c r="F51" s="52" t="s">
        <v>4</v>
      </c>
      <c r="G51" s="52" t="s">
        <v>51</v>
      </c>
      <c r="H51" s="171" t="s">
        <v>52</v>
      </c>
      <c r="I51" s="172" t="s">
        <v>35</v>
      </c>
      <c r="J51" s="176" t="s">
        <v>2874</v>
      </c>
      <c r="K51" s="172" t="s">
        <v>27</v>
      </c>
      <c r="L51" s="174" t="s">
        <v>4</v>
      </c>
      <c r="M51" s="52" t="s">
        <v>46</v>
      </c>
      <c r="N51" s="54" t="s">
        <v>10496</v>
      </c>
      <c r="O51" s="55" t="str">
        <f t="shared" si="4"/>
        <v>L1.00.00.09.03.00</v>
      </c>
      <c r="P51" s="55" t="str">
        <f t="shared" si="5"/>
        <v>L1.00.00.09.03.00.07</v>
      </c>
      <c r="Q51" s="160" t="s">
        <v>10530</v>
      </c>
      <c r="R51" s="169" t="str">
        <f t="shared" si="6"/>
        <v>Dự án MISA Core Project</v>
      </c>
      <c r="S51" s="97" t="s">
        <v>10585</v>
      </c>
      <c r="T51" s="96" t="s">
        <v>2875</v>
      </c>
      <c r="U51" s="96" t="s">
        <v>453</v>
      </c>
      <c r="V51" s="96" t="s">
        <v>52</v>
      </c>
      <c r="W51" s="96" t="s">
        <v>2874</v>
      </c>
      <c r="X51" s="96"/>
      <c r="Y51" s="96"/>
      <c r="Z51" s="98" t="s">
        <v>10593</v>
      </c>
      <c r="AA51" s="153" t="s">
        <v>10530</v>
      </c>
      <c r="AB51" s="91"/>
      <c r="AC51" s="91"/>
      <c r="AD51" s="91"/>
    </row>
    <row r="52" ht="15.75" customHeight="1" outlineLevel="1">
      <c r="A52" s="170" t="s">
        <v>10535</v>
      </c>
      <c r="B52" s="57" t="s">
        <v>26</v>
      </c>
      <c r="C52" s="51" t="s">
        <v>27</v>
      </c>
      <c r="D52" s="52" t="s">
        <v>4</v>
      </c>
      <c r="E52" s="53" t="s">
        <v>27</v>
      </c>
      <c r="F52" s="52" t="s">
        <v>4</v>
      </c>
      <c r="G52" s="52" t="s">
        <v>51</v>
      </c>
      <c r="H52" s="171" t="s">
        <v>52</v>
      </c>
      <c r="I52" s="175" t="s">
        <v>37</v>
      </c>
      <c r="J52" s="176" t="s">
        <v>3549</v>
      </c>
      <c r="K52" s="172" t="s">
        <v>27</v>
      </c>
      <c r="L52" s="174" t="s">
        <v>4</v>
      </c>
      <c r="M52" s="52" t="s">
        <v>46</v>
      </c>
      <c r="N52" s="54" t="s">
        <v>10496</v>
      </c>
      <c r="O52" s="55" t="str">
        <f t="shared" si="4"/>
        <v>L1.00.00.09.04.00</v>
      </c>
      <c r="P52" s="55" t="str">
        <f t="shared" si="5"/>
        <v>L1.00.00.09.04.00.07</v>
      </c>
      <c r="Q52" s="160" t="s">
        <v>10530</v>
      </c>
      <c r="R52" s="169" t="str">
        <f t="shared" si="6"/>
        <v>Dự án giám sát</v>
      </c>
      <c r="S52" s="97" t="s">
        <v>10585</v>
      </c>
      <c r="T52" s="96" t="s">
        <v>3550</v>
      </c>
      <c r="U52" s="96" t="s">
        <v>453</v>
      </c>
      <c r="V52" s="96" t="s">
        <v>52</v>
      </c>
      <c r="W52" s="96" t="s">
        <v>3549</v>
      </c>
      <c r="X52" s="96"/>
      <c r="Y52" s="96"/>
      <c r="Z52" s="98" t="s">
        <v>10594</v>
      </c>
      <c r="AA52" s="153" t="s">
        <v>10530</v>
      </c>
      <c r="AB52" s="91"/>
      <c r="AC52" s="91"/>
      <c r="AD52" s="91"/>
    </row>
    <row r="53" ht="15.75" customHeight="1" outlineLevel="1">
      <c r="A53" s="178" t="s">
        <v>10535</v>
      </c>
      <c r="B53" s="179" t="s">
        <v>26</v>
      </c>
      <c r="C53" s="180" t="s">
        <v>27</v>
      </c>
      <c r="D53" s="64" t="s">
        <v>4</v>
      </c>
      <c r="E53" s="71" t="s">
        <v>27</v>
      </c>
      <c r="F53" s="64" t="s">
        <v>4</v>
      </c>
      <c r="G53" s="64" t="s">
        <v>51</v>
      </c>
      <c r="H53" s="181" t="s">
        <v>52</v>
      </c>
      <c r="I53" s="182" t="s">
        <v>42</v>
      </c>
      <c r="J53" s="184" t="s">
        <v>10595</v>
      </c>
      <c r="K53" s="209" t="s">
        <v>27</v>
      </c>
      <c r="L53" s="210" t="s">
        <v>4</v>
      </c>
      <c r="M53" s="64" t="s">
        <v>46</v>
      </c>
      <c r="N53" s="70" t="s">
        <v>10496</v>
      </c>
      <c r="O53" s="58" t="str">
        <f t="shared" si="4"/>
        <v>L1.00.00.09.05.00</v>
      </c>
      <c r="P53" s="58" t="str">
        <f t="shared" si="5"/>
        <v>L1.00.00.09.05.00.07</v>
      </c>
      <c r="Q53" s="185" t="s">
        <v>10530</v>
      </c>
      <c r="R53" s="186" t="str">
        <f t="shared" si="6"/>
        <v> Sản phẩm AI</v>
      </c>
      <c r="S53" s="187" t="str">
        <f>P46</f>
        <v>L1.00.00.09.00.00.07</v>
      </c>
      <c r="T53" s="211" t="s">
        <v>10596</v>
      </c>
      <c r="U53" s="189" t="s">
        <v>453</v>
      </c>
      <c r="V53" s="189" t="s">
        <v>52</v>
      </c>
      <c r="W53" s="211" t="s">
        <v>10597</v>
      </c>
      <c r="X53" s="189"/>
      <c r="Y53" s="189"/>
      <c r="Z53" s="191" t="s">
        <v>10598</v>
      </c>
      <c r="AA53" s="192" t="s">
        <v>10530</v>
      </c>
      <c r="AB53" s="193"/>
      <c r="AC53" s="193"/>
      <c r="AD53" s="193"/>
    </row>
    <row r="54" ht="15.75" customHeight="1" outlineLevel="1">
      <c r="A54" s="178" t="s">
        <v>10535</v>
      </c>
      <c r="B54" s="179" t="s">
        <v>26</v>
      </c>
      <c r="C54" s="180" t="s">
        <v>27</v>
      </c>
      <c r="D54" s="64" t="s">
        <v>4</v>
      </c>
      <c r="E54" s="71" t="s">
        <v>27</v>
      </c>
      <c r="F54" s="64" t="s">
        <v>4</v>
      </c>
      <c r="G54" s="64" t="s">
        <v>51</v>
      </c>
      <c r="H54" s="181" t="s">
        <v>52</v>
      </c>
      <c r="I54" s="182" t="s">
        <v>42</v>
      </c>
      <c r="J54" s="184" t="s">
        <v>10595</v>
      </c>
      <c r="K54" s="182" t="s">
        <v>29</v>
      </c>
      <c r="L54" s="212" t="s">
        <v>10599</v>
      </c>
      <c r="M54" s="64" t="s">
        <v>46</v>
      </c>
      <c r="N54" s="70" t="s">
        <v>10496</v>
      </c>
      <c r="O54" s="58" t="str">
        <f t="shared" si="4"/>
        <v>L1.00.00.09.05.01</v>
      </c>
      <c r="P54" s="58" t="str">
        <f t="shared" si="5"/>
        <v>L1.00.00.09.05.01.07</v>
      </c>
      <c r="Q54" s="185" t="s">
        <v>10530</v>
      </c>
      <c r="R54" s="186" t="str">
        <f t="shared" si="6"/>
        <v>Dự án AI (NLP)</v>
      </c>
      <c r="S54" s="187" t="str">
        <f>P53</f>
        <v>L1.00.00.09.05.00.07</v>
      </c>
      <c r="T54" s="213" t="s">
        <v>10600</v>
      </c>
      <c r="U54" s="189" t="s">
        <v>453</v>
      </c>
      <c r="V54" s="189" t="s">
        <v>52</v>
      </c>
      <c r="W54" s="213" t="s">
        <v>10599</v>
      </c>
      <c r="X54" s="189"/>
      <c r="Y54" s="189"/>
      <c r="Z54" s="191" t="s">
        <v>10601</v>
      </c>
      <c r="AA54" s="192" t="s">
        <v>10530</v>
      </c>
      <c r="AB54" s="193"/>
      <c r="AC54" s="193"/>
      <c r="AD54" s="193"/>
    </row>
    <row r="55" ht="15.75" customHeight="1" outlineLevel="1">
      <c r="A55" s="178" t="s">
        <v>10535</v>
      </c>
      <c r="B55" s="179" t="s">
        <v>26</v>
      </c>
      <c r="C55" s="180" t="s">
        <v>27</v>
      </c>
      <c r="D55" s="64" t="s">
        <v>4</v>
      </c>
      <c r="E55" s="71" t="s">
        <v>27</v>
      </c>
      <c r="F55" s="64" t="s">
        <v>4</v>
      </c>
      <c r="G55" s="64" t="s">
        <v>51</v>
      </c>
      <c r="H55" s="181" t="s">
        <v>52</v>
      </c>
      <c r="I55" s="182" t="s">
        <v>42</v>
      </c>
      <c r="J55" s="184" t="s">
        <v>10595</v>
      </c>
      <c r="K55" s="182" t="s">
        <v>33</v>
      </c>
      <c r="L55" s="212" t="s">
        <v>10602</v>
      </c>
      <c r="M55" s="64" t="s">
        <v>46</v>
      </c>
      <c r="N55" s="70" t="s">
        <v>10496</v>
      </c>
      <c r="O55" s="58" t="str">
        <f t="shared" si="4"/>
        <v>L1.00.00.09.05.02</v>
      </c>
      <c r="P55" s="58" t="str">
        <f t="shared" si="5"/>
        <v>L1.00.00.09.05.02.07</v>
      </c>
      <c r="Q55" s="185" t="s">
        <v>10530</v>
      </c>
      <c r="R55" s="186" t="str">
        <f t="shared" si="6"/>
        <v>Dự án AI (Computer vision)</v>
      </c>
      <c r="S55" s="187" t="str">
        <f>P53</f>
        <v>L1.00.00.09.05.00.07</v>
      </c>
      <c r="T55" s="213" t="s">
        <v>10603</v>
      </c>
      <c r="U55" s="189" t="s">
        <v>453</v>
      </c>
      <c r="V55" s="189" t="s">
        <v>52</v>
      </c>
      <c r="W55" s="213" t="s">
        <v>10602</v>
      </c>
      <c r="X55" s="189"/>
      <c r="Y55" s="189"/>
      <c r="Z55" s="191" t="s">
        <v>10604</v>
      </c>
      <c r="AA55" s="192" t="s">
        <v>10530</v>
      </c>
      <c r="AB55" s="193"/>
      <c r="AC55" s="193"/>
      <c r="AD55" s="193"/>
    </row>
    <row r="56" ht="15.75" customHeight="1" outlineLevel="1">
      <c r="A56" s="178" t="s">
        <v>10535</v>
      </c>
      <c r="B56" s="179" t="s">
        <v>26</v>
      </c>
      <c r="C56" s="180" t="s">
        <v>27</v>
      </c>
      <c r="D56" s="64" t="s">
        <v>4</v>
      </c>
      <c r="E56" s="71" t="s">
        <v>27</v>
      </c>
      <c r="F56" s="64" t="s">
        <v>4</v>
      </c>
      <c r="G56" s="64" t="s">
        <v>51</v>
      </c>
      <c r="H56" s="181" t="s">
        <v>52</v>
      </c>
      <c r="I56" s="182" t="s">
        <v>42</v>
      </c>
      <c r="J56" s="184" t="s">
        <v>10595</v>
      </c>
      <c r="K56" s="182" t="s">
        <v>35</v>
      </c>
      <c r="L56" s="212" t="s">
        <v>10605</v>
      </c>
      <c r="M56" s="64" t="s">
        <v>46</v>
      </c>
      <c r="N56" s="70" t="s">
        <v>10496</v>
      </c>
      <c r="O56" s="58" t="str">
        <f t="shared" si="4"/>
        <v>L1.00.00.09.05.03</v>
      </c>
      <c r="P56" s="58" t="str">
        <f t="shared" si="5"/>
        <v>L1.00.00.09.05.03.07</v>
      </c>
      <c r="Q56" s="185" t="s">
        <v>10530</v>
      </c>
      <c r="R56" s="186" t="str">
        <f t="shared" si="6"/>
        <v>[AI] Nhóm Phân tích &amp; Thiết kế</v>
      </c>
      <c r="S56" s="187" t="str">
        <f>P53</f>
        <v>L1.00.00.09.05.00.07</v>
      </c>
      <c r="T56" s="213" t="s">
        <v>10606</v>
      </c>
      <c r="U56" s="189" t="s">
        <v>453</v>
      </c>
      <c r="V56" s="189" t="s">
        <v>52</v>
      </c>
      <c r="W56" s="213" t="s">
        <v>10605</v>
      </c>
      <c r="X56" s="189"/>
      <c r="Y56" s="189"/>
      <c r="Z56" s="191" t="s">
        <v>10607</v>
      </c>
      <c r="AA56" s="192" t="s">
        <v>10530</v>
      </c>
      <c r="AB56" s="193"/>
      <c r="AC56" s="193"/>
      <c r="AD56" s="193"/>
    </row>
    <row r="57" ht="15.75" customHeight="1" outlineLevel="1">
      <c r="A57" s="170" t="s">
        <v>10535</v>
      </c>
      <c r="B57" s="51" t="s">
        <v>26</v>
      </c>
      <c r="C57" s="51" t="s">
        <v>27</v>
      </c>
      <c r="D57" s="52" t="s">
        <v>4</v>
      </c>
      <c r="E57" s="53" t="s">
        <v>27</v>
      </c>
      <c r="F57" s="52" t="s">
        <v>4</v>
      </c>
      <c r="G57" s="52" t="s">
        <v>55</v>
      </c>
      <c r="H57" s="176" t="s">
        <v>454</v>
      </c>
      <c r="I57" s="175" t="s">
        <v>27</v>
      </c>
      <c r="J57" s="195" t="s">
        <v>4</v>
      </c>
      <c r="K57" s="172" t="s">
        <v>27</v>
      </c>
      <c r="L57" s="174" t="s">
        <v>4</v>
      </c>
      <c r="M57" s="52" t="s">
        <v>46</v>
      </c>
      <c r="N57" s="54" t="s">
        <v>10496</v>
      </c>
      <c r="O57" s="55" t="str">
        <f t="shared" si="4"/>
        <v>L1.00.00.10.00.00</v>
      </c>
      <c r="P57" s="55" t="str">
        <f t="shared" si="5"/>
        <v>L1.00.00.10.00.00.07</v>
      </c>
      <c r="Q57" s="160" t="s">
        <v>10530</v>
      </c>
      <c r="R57" s="169" t="str">
        <f t="shared" si="6"/>
        <v>Khối sản phẩm Doanh nghiệp</v>
      </c>
      <c r="S57" s="97" t="s">
        <v>10536</v>
      </c>
      <c r="T57" s="97" t="s">
        <v>10608</v>
      </c>
      <c r="U57" s="96" t="s">
        <v>453</v>
      </c>
      <c r="V57" s="96" t="s">
        <v>454</v>
      </c>
      <c r="W57" s="96"/>
      <c r="X57" s="96"/>
      <c r="Y57" s="96"/>
      <c r="Z57" s="98" t="s">
        <v>10609</v>
      </c>
      <c r="AA57" s="153" t="s">
        <v>10530</v>
      </c>
      <c r="AB57" s="91"/>
      <c r="AC57" s="91"/>
      <c r="AD57" s="91"/>
    </row>
    <row r="58" ht="15.75" customHeight="1" outlineLevel="1">
      <c r="A58" s="170" t="s">
        <v>10535</v>
      </c>
      <c r="B58" s="51" t="s">
        <v>26</v>
      </c>
      <c r="C58" s="51" t="s">
        <v>27</v>
      </c>
      <c r="D58" s="52" t="s">
        <v>4</v>
      </c>
      <c r="E58" s="53" t="s">
        <v>27</v>
      </c>
      <c r="F58" s="52" t="s">
        <v>4</v>
      </c>
      <c r="G58" s="52" t="s">
        <v>55</v>
      </c>
      <c r="H58" s="176" t="s">
        <v>454</v>
      </c>
      <c r="I58" s="172" t="s">
        <v>29</v>
      </c>
      <c r="J58" s="214" t="s">
        <v>4671</v>
      </c>
      <c r="K58" s="172" t="s">
        <v>27</v>
      </c>
      <c r="L58" s="174" t="s">
        <v>4</v>
      </c>
      <c r="M58" s="52" t="s">
        <v>46</v>
      </c>
      <c r="N58" s="54" t="s">
        <v>10496</v>
      </c>
      <c r="O58" s="55" t="str">
        <f t="shared" si="4"/>
        <v>L1.00.00.10.01.00</v>
      </c>
      <c r="P58" s="55" t="str">
        <f t="shared" si="5"/>
        <v>L1.00.00.10.01.00.07</v>
      </c>
      <c r="Q58" s="160" t="s">
        <v>10530</v>
      </c>
      <c r="R58" s="169" t="str">
        <f t="shared" si="6"/>
        <v>Ban Giám đốc Khối SP Doanh nghiệp</v>
      </c>
      <c r="S58" s="97" t="s">
        <v>10610</v>
      </c>
      <c r="T58" s="96" t="s">
        <v>4672</v>
      </c>
      <c r="U58" s="96" t="s">
        <v>453</v>
      </c>
      <c r="V58" s="96" t="s">
        <v>454</v>
      </c>
      <c r="W58" s="96" t="s">
        <v>4671</v>
      </c>
      <c r="X58" s="96"/>
      <c r="Y58" s="96"/>
      <c r="Z58" s="98" t="s">
        <v>10611</v>
      </c>
      <c r="AA58" s="153" t="s">
        <v>10530</v>
      </c>
      <c r="AB58" s="91"/>
      <c r="AC58" s="91"/>
      <c r="AD58" s="91"/>
    </row>
    <row r="59" ht="15.75" customHeight="1" outlineLevel="1">
      <c r="A59" s="170" t="s">
        <v>10535</v>
      </c>
      <c r="B59" s="51" t="s">
        <v>26</v>
      </c>
      <c r="C59" s="51" t="s">
        <v>27</v>
      </c>
      <c r="D59" s="52" t="s">
        <v>4</v>
      </c>
      <c r="E59" s="53" t="s">
        <v>27</v>
      </c>
      <c r="F59" s="52" t="s">
        <v>4</v>
      </c>
      <c r="G59" s="52" t="s">
        <v>55</v>
      </c>
      <c r="H59" s="176" t="s">
        <v>454</v>
      </c>
      <c r="I59" s="172" t="s">
        <v>33</v>
      </c>
      <c r="J59" s="176" t="s">
        <v>3163</v>
      </c>
      <c r="K59" s="172" t="s">
        <v>27</v>
      </c>
      <c r="L59" s="174" t="s">
        <v>4</v>
      </c>
      <c r="M59" s="52" t="s">
        <v>46</v>
      </c>
      <c r="N59" s="54" t="s">
        <v>10496</v>
      </c>
      <c r="O59" s="55" t="str">
        <f t="shared" si="4"/>
        <v>L1.00.00.10.02.00</v>
      </c>
      <c r="P59" s="55" t="str">
        <f t="shared" si="5"/>
        <v>L1.00.00.10.02.00.07</v>
      </c>
      <c r="Q59" s="160" t="s">
        <v>10530</v>
      </c>
      <c r="R59" s="169" t="str">
        <f t="shared" si="6"/>
        <v>Dự án Automation Test</v>
      </c>
      <c r="S59" s="97" t="s">
        <v>10610</v>
      </c>
      <c r="T59" s="96" t="s">
        <v>3164</v>
      </c>
      <c r="U59" s="96" t="s">
        <v>453</v>
      </c>
      <c r="V59" s="96" t="s">
        <v>454</v>
      </c>
      <c r="W59" s="96" t="s">
        <v>3163</v>
      </c>
      <c r="X59" s="96"/>
      <c r="Y59" s="96"/>
      <c r="Z59" s="98" t="s">
        <v>10612</v>
      </c>
      <c r="AA59" s="153" t="s">
        <v>10530</v>
      </c>
      <c r="AB59" s="91"/>
      <c r="AC59" s="91"/>
      <c r="AD59" s="91"/>
    </row>
    <row r="60" ht="15.75" customHeight="1" outlineLevel="1">
      <c r="A60" s="170" t="s">
        <v>10535</v>
      </c>
      <c r="B60" s="51" t="s">
        <v>26</v>
      </c>
      <c r="C60" s="51" t="s">
        <v>27</v>
      </c>
      <c r="D60" s="52" t="s">
        <v>4</v>
      </c>
      <c r="E60" s="53" t="s">
        <v>27</v>
      </c>
      <c r="F60" s="52" t="s">
        <v>4</v>
      </c>
      <c r="G60" s="52" t="s">
        <v>55</v>
      </c>
      <c r="H60" s="176" t="s">
        <v>454</v>
      </c>
      <c r="I60" s="175" t="s">
        <v>35</v>
      </c>
      <c r="J60" s="176" t="s">
        <v>4917</v>
      </c>
      <c r="K60" s="172" t="s">
        <v>27</v>
      </c>
      <c r="L60" s="174" t="s">
        <v>4</v>
      </c>
      <c r="M60" s="52" t="s">
        <v>46</v>
      </c>
      <c r="N60" s="54" t="s">
        <v>10496</v>
      </c>
      <c r="O60" s="55" t="str">
        <f t="shared" si="4"/>
        <v>L1.00.00.10.03.00</v>
      </c>
      <c r="P60" s="55" t="str">
        <f t="shared" si="5"/>
        <v>L1.00.00.10.03.00.07</v>
      </c>
      <c r="Q60" s="160" t="s">
        <v>10530</v>
      </c>
      <c r="R60" s="169" t="str">
        <f t="shared" si="6"/>
        <v>Nhóm chuyên gia Khối SP Doanh nghiệp</v>
      </c>
      <c r="S60" s="97" t="s">
        <v>10610</v>
      </c>
      <c r="T60" s="96" t="s">
        <v>4918</v>
      </c>
      <c r="U60" s="96" t="s">
        <v>453</v>
      </c>
      <c r="V60" s="96" t="s">
        <v>454</v>
      </c>
      <c r="W60" s="96" t="s">
        <v>4917</v>
      </c>
      <c r="X60" s="96"/>
      <c r="Y60" s="96"/>
      <c r="Z60" s="98" t="s">
        <v>10613</v>
      </c>
      <c r="AA60" s="153" t="s">
        <v>10530</v>
      </c>
      <c r="AB60" s="91"/>
      <c r="AC60" s="91"/>
      <c r="AD60" s="91"/>
    </row>
    <row r="61" ht="15.75" customHeight="1" outlineLevel="1">
      <c r="A61" s="170" t="s">
        <v>10535</v>
      </c>
      <c r="B61" s="51" t="s">
        <v>26</v>
      </c>
      <c r="C61" s="51" t="s">
        <v>27</v>
      </c>
      <c r="D61" s="52" t="s">
        <v>4</v>
      </c>
      <c r="E61" s="53" t="s">
        <v>27</v>
      </c>
      <c r="F61" s="52" t="s">
        <v>4</v>
      </c>
      <c r="G61" s="52" t="s">
        <v>55</v>
      </c>
      <c r="H61" s="176" t="s">
        <v>454</v>
      </c>
      <c r="I61" s="175" t="s">
        <v>37</v>
      </c>
      <c r="J61" s="176" t="s">
        <v>58</v>
      </c>
      <c r="K61" s="175" t="s">
        <v>27</v>
      </c>
      <c r="L61" s="194" t="s">
        <v>4</v>
      </c>
      <c r="M61" s="52" t="s">
        <v>46</v>
      </c>
      <c r="N61" s="54" t="s">
        <v>10496</v>
      </c>
      <c r="O61" s="55" t="str">
        <f t="shared" si="4"/>
        <v>L1.00.00.10.04.00</v>
      </c>
      <c r="P61" s="55" t="str">
        <f t="shared" si="5"/>
        <v>L1.00.00.10.04.00.07</v>
      </c>
      <c r="Q61" s="160" t="s">
        <v>10530</v>
      </c>
      <c r="R61" s="169" t="str">
        <f t="shared" si="6"/>
        <v>Sản phẩm MISA meInvoice - Xăng dầu</v>
      </c>
      <c r="S61" s="97" t="s">
        <v>10610</v>
      </c>
      <c r="T61" s="97" t="s">
        <v>10614</v>
      </c>
      <c r="U61" s="96" t="s">
        <v>453</v>
      </c>
      <c r="V61" s="96" t="s">
        <v>454</v>
      </c>
      <c r="W61" s="96" t="s">
        <v>58</v>
      </c>
      <c r="X61" s="96"/>
      <c r="Y61" s="96"/>
      <c r="Z61" s="98" t="s">
        <v>10615</v>
      </c>
      <c r="AA61" s="153" t="s">
        <v>10530</v>
      </c>
      <c r="AB61" s="91"/>
      <c r="AC61" s="91"/>
      <c r="AD61" s="91"/>
    </row>
    <row r="62" ht="15.75" customHeight="1" outlineLevel="1">
      <c r="A62" s="170" t="s">
        <v>10535</v>
      </c>
      <c r="B62" s="51" t="s">
        <v>26</v>
      </c>
      <c r="C62" s="51" t="s">
        <v>27</v>
      </c>
      <c r="D62" s="52" t="s">
        <v>4</v>
      </c>
      <c r="E62" s="53" t="s">
        <v>27</v>
      </c>
      <c r="F62" s="52" t="s">
        <v>4</v>
      </c>
      <c r="G62" s="52" t="s">
        <v>55</v>
      </c>
      <c r="H62" s="176" t="s">
        <v>454</v>
      </c>
      <c r="I62" s="175" t="s">
        <v>37</v>
      </c>
      <c r="J62" s="176" t="s">
        <v>58</v>
      </c>
      <c r="K62" s="175" t="s">
        <v>29</v>
      </c>
      <c r="L62" s="176" t="s">
        <v>60</v>
      </c>
      <c r="M62" s="52" t="s">
        <v>46</v>
      </c>
      <c r="N62" s="54" t="s">
        <v>10496</v>
      </c>
      <c r="O62" s="55" t="str">
        <f t="shared" si="4"/>
        <v>L1.00.00.10.04.01</v>
      </c>
      <c r="P62" s="55" t="str">
        <f t="shared" si="5"/>
        <v>L1.00.00.10.04.01.07</v>
      </c>
      <c r="Q62" s="160" t="s">
        <v>10530</v>
      </c>
      <c r="R62" s="169" t="str">
        <f t="shared" si="6"/>
        <v>Dự án MISA meInvoice - Xăng dầu</v>
      </c>
      <c r="S62" s="97" t="s">
        <v>10616</v>
      </c>
      <c r="T62" s="96" t="s">
        <v>464</v>
      </c>
      <c r="U62" s="96" t="s">
        <v>453</v>
      </c>
      <c r="V62" s="96" t="s">
        <v>454</v>
      </c>
      <c r="W62" s="96" t="s">
        <v>58</v>
      </c>
      <c r="X62" s="96" t="s">
        <v>60</v>
      </c>
      <c r="Y62" s="96"/>
      <c r="Z62" s="98" t="s">
        <v>10617</v>
      </c>
      <c r="AA62" s="153" t="s">
        <v>10530</v>
      </c>
      <c r="AB62" s="91"/>
      <c r="AC62" s="91"/>
      <c r="AD62" s="91"/>
    </row>
    <row r="63" ht="15.75" customHeight="1" outlineLevel="1">
      <c r="A63" s="170" t="s">
        <v>10535</v>
      </c>
      <c r="B63" s="51" t="s">
        <v>26</v>
      </c>
      <c r="C63" s="51" t="s">
        <v>27</v>
      </c>
      <c r="D63" s="52" t="s">
        <v>4</v>
      </c>
      <c r="E63" s="53" t="s">
        <v>27</v>
      </c>
      <c r="F63" s="52" t="s">
        <v>4</v>
      </c>
      <c r="G63" s="52" t="s">
        <v>55</v>
      </c>
      <c r="H63" s="176" t="s">
        <v>454</v>
      </c>
      <c r="I63" s="175" t="s">
        <v>37</v>
      </c>
      <c r="J63" s="176" t="s">
        <v>58</v>
      </c>
      <c r="K63" s="177" t="s">
        <v>33</v>
      </c>
      <c r="L63" s="176" t="s">
        <v>59</v>
      </c>
      <c r="M63" s="52" t="s">
        <v>46</v>
      </c>
      <c r="N63" s="54" t="s">
        <v>10496</v>
      </c>
      <c r="O63" s="55" t="str">
        <f t="shared" si="4"/>
        <v>L1.00.00.10.04.02</v>
      </c>
      <c r="P63" s="55" t="str">
        <f t="shared" si="5"/>
        <v>L1.00.00.10.04.02.07</v>
      </c>
      <c r="Q63" s="160" t="s">
        <v>10530</v>
      </c>
      <c r="R63" s="169" t="str">
        <f t="shared" si="6"/>
        <v>[meInvoice - Xăng dầu] Nhóm Phân tích &amp; Thiết kế</v>
      </c>
      <c r="S63" s="97" t="s">
        <v>10616</v>
      </c>
      <c r="T63" s="96" t="s">
        <v>455</v>
      </c>
      <c r="U63" s="96" t="s">
        <v>453</v>
      </c>
      <c r="V63" s="96" t="s">
        <v>454</v>
      </c>
      <c r="W63" s="96" t="s">
        <v>58</v>
      </c>
      <c r="X63" s="96" t="s">
        <v>59</v>
      </c>
      <c r="Y63" s="96"/>
      <c r="Z63" s="98" t="s">
        <v>10618</v>
      </c>
      <c r="AA63" s="153" t="s">
        <v>10530</v>
      </c>
      <c r="AB63" s="91"/>
      <c r="AC63" s="91"/>
      <c r="AD63" s="91"/>
    </row>
    <row r="64" ht="15.75" customHeight="1" outlineLevel="1">
      <c r="A64" s="170" t="s">
        <v>10535</v>
      </c>
      <c r="B64" s="51" t="s">
        <v>26</v>
      </c>
      <c r="C64" s="51" t="s">
        <v>27</v>
      </c>
      <c r="D64" s="52" t="s">
        <v>4</v>
      </c>
      <c r="E64" s="53" t="s">
        <v>27</v>
      </c>
      <c r="F64" s="52" t="s">
        <v>4</v>
      </c>
      <c r="G64" s="52" t="s">
        <v>55</v>
      </c>
      <c r="H64" s="176" t="s">
        <v>454</v>
      </c>
      <c r="I64" s="175" t="s">
        <v>42</v>
      </c>
      <c r="J64" s="176" t="s">
        <v>3217</v>
      </c>
      <c r="K64" s="175" t="s">
        <v>27</v>
      </c>
      <c r="L64" s="194" t="s">
        <v>4</v>
      </c>
      <c r="M64" s="52" t="s">
        <v>46</v>
      </c>
      <c r="N64" s="54" t="s">
        <v>10496</v>
      </c>
      <c r="O64" s="55" t="str">
        <f t="shared" si="4"/>
        <v>L1.00.00.10.05.00</v>
      </c>
      <c r="P64" s="55" t="str">
        <f t="shared" si="5"/>
        <v>L1.00.00.10.05.00.07</v>
      </c>
      <c r="Q64" s="160" t="s">
        <v>10530</v>
      </c>
      <c r="R64" s="169" t="str">
        <f t="shared" si="6"/>
        <v>Sản phẩm AMIS C&amp;B</v>
      </c>
      <c r="S64" s="97" t="s">
        <v>10610</v>
      </c>
      <c r="T64" s="97" t="s">
        <v>10619</v>
      </c>
      <c r="U64" s="96" t="s">
        <v>453</v>
      </c>
      <c r="V64" s="96" t="s">
        <v>454</v>
      </c>
      <c r="W64" s="96" t="s">
        <v>3217</v>
      </c>
      <c r="X64" s="96" t="s">
        <v>4991</v>
      </c>
      <c r="Y64" s="96"/>
      <c r="Z64" s="98" t="s">
        <v>10620</v>
      </c>
      <c r="AA64" s="153" t="s">
        <v>10530</v>
      </c>
      <c r="AB64" s="91"/>
      <c r="AC64" s="91"/>
      <c r="AD64" s="91"/>
    </row>
    <row r="65" ht="15.75" customHeight="1" outlineLevel="1">
      <c r="A65" s="170" t="s">
        <v>10535</v>
      </c>
      <c r="B65" s="51" t="s">
        <v>26</v>
      </c>
      <c r="C65" s="51" t="s">
        <v>27</v>
      </c>
      <c r="D65" s="52" t="s">
        <v>4</v>
      </c>
      <c r="E65" s="53" t="s">
        <v>27</v>
      </c>
      <c r="F65" s="52" t="s">
        <v>4</v>
      </c>
      <c r="G65" s="52" t="s">
        <v>55</v>
      </c>
      <c r="H65" s="176" t="s">
        <v>454</v>
      </c>
      <c r="I65" s="175" t="s">
        <v>42</v>
      </c>
      <c r="J65" s="176" t="s">
        <v>3217</v>
      </c>
      <c r="K65" s="175" t="s">
        <v>29</v>
      </c>
      <c r="L65" s="176" t="s">
        <v>4991</v>
      </c>
      <c r="M65" s="52" t="s">
        <v>46</v>
      </c>
      <c r="N65" s="54" t="s">
        <v>10496</v>
      </c>
      <c r="O65" s="55" t="str">
        <f t="shared" si="4"/>
        <v>L1.00.00.10.05.01</v>
      </c>
      <c r="P65" s="55" t="str">
        <f t="shared" si="5"/>
        <v>L1.00.00.10.05.01.07</v>
      </c>
      <c r="Q65" s="160" t="s">
        <v>10530</v>
      </c>
      <c r="R65" s="169" t="str">
        <f t="shared" si="6"/>
        <v>Dự án AMIS C&amp;B</v>
      </c>
      <c r="S65" s="97" t="s">
        <v>10621</v>
      </c>
      <c r="T65" s="96" t="s">
        <v>4992</v>
      </c>
      <c r="U65" s="96" t="s">
        <v>453</v>
      </c>
      <c r="V65" s="96" t="s">
        <v>454</v>
      </c>
      <c r="W65" s="96" t="s">
        <v>3217</v>
      </c>
      <c r="X65" s="96" t="s">
        <v>4991</v>
      </c>
      <c r="Y65" s="96"/>
      <c r="Z65" s="98" t="s">
        <v>10622</v>
      </c>
      <c r="AA65" s="153" t="s">
        <v>10530</v>
      </c>
      <c r="AB65" s="91"/>
      <c r="AC65" s="91"/>
      <c r="AD65" s="91"/>
    </row>
    <row r="66" ht="15.75" customHeight="1" outlineLevel="1">
      <c r="A66" s="170" t="s">
        <v>10535</v>
      </c>
      <c r="B66" s="51" t="s">
        <v>26</v>
      </c>
      <c r="C66" s="51" t="s">
        <v>27</v>
      </c>
      <c r="D66" s="52" t="s">
        <v>4</v>
      </c>
      <c r="E66" s="53" t="s">
        <v>27</v>
      </c>
      <c r="F66" s="52" t="s">
        <v>4</v>
      </c>
      <c r="G66" s="52" t="s">
        <v>55</v>
      </c>
      <c r="H66" s="176" t="s">
        <v>454</v>
      </c>
      <c r="I66" s="175" t="s">
        <v>42</v>
      </c>
      <c r="J66" s="176" t="s">
        <v>3217</v>
      </c>
      <c r="K66" s="177" t="s">
        <v>33</v>
      </c>
      <c r="L66" s="176" t="s">
        <v>3216</v>
      </c>
      <c r="M66" s="52" t="s">
        <v>46</v>
      </c>
      <c r="N66" s="54" t="s">
        <v>10496</v>
      </c>
      <c r="O66" s="55" t="str">
        <f t="shared" si="4"/>
        <v>L1.00.00.10.05.02</v>
      </c>
      <c r="P66" s="55" t="str">
        <f t="shared" si="5"/>
        <v>L1.00.00.10.05.02.07</v>
      </c>
      <c r="Q66" s="160" t="s">
        <v>10530</v>
      </c>
      <c r="R66" s="169" t="str">
        <f t="shared" si="6"/>
        <v>[C&amp;B] Nhóm Phân tích &amp; Thiết kế</v>
      </c>
      <c r="S66" s="97" t="s">
        <v>10621</v>
      </c>
      <c r="T66" s="96" t="s">
        <v>3218</v>
      </c>
      <c r="U66" s="96" t="s">
        <v>453</v>
      </c>
      <c r="V66" s="96" t="s">
        <v>454</v>
      </c>
      <c r="W66" s="96" t="s">
        <v>3217</v>
      </c>
      <c r="X66" s="96" t="s">
        <v>3216</v>
      </c>
      <c r="Y66" s="96"/>
      <c r="Z66" s="98" t="s">
        <v>10623</v>
      </c>
      <c r="AA66" s="153" t="s">
        <v>10530</v>
      </c>
      <c r="AB66" s="91"/>
      <c r="AC66" s="91"/>
      <c r="AD66" s="91"/>
    </row>
    <row r="67" ht="15.75" customHeight="1" outlineLevel="1">
      <c r="A67" s="170" t="s">
        <v>10535</v>
      </c>
      <c r="B67" s="51" t="s">
        <v>26</v>
      </c>
      <c r="C67" s="51" t="s">
        <v>27</v>
      </c>
      <c r="D67" s="52" t="s">
        <v>4</v>
      </c>
      <c r="E67" s="53" t="s">
        <v>27</v>
      </c>
      <c r="F67" s="52" t="s">
        <v>4</v>
      </c>
      <c r="G67" s="52" t="s">
        <v>55</v>
      </c>
      <c r="H67" s="176" t="s">
        <v>454</v>
      </c>
      <c r="I67" s="175" t="s">
        <v>44</v>
      </c>
      <c r="J67" s="176" t="s">
        <v>3604</v>
      </c>
      <c r="K67" s="175" t="s">
        <v>27</v>
      </c>
      <c r="L67" s="194" t="s">
        <v>4</v>
      </c>
      <c r="M67" s="52" t="s">
        <v>46</v>
      </c>
      <c r="N67" s="54" t="s">
        <v>10496</v>
      </c>
      <c r="O67" s="55" t="str">
        <f t="shared" si="4"/>
        <v>L1.00.00.10.06.00</v>
      </c>
      <c r="P67" s="55" t="str">
        <f t="shared" si="5"/>
        <v>L1.00.00.10.06.00.07</v>
      </c>
      <c r="Q67" s="160" t="s">
        <v>10530</v>
      </c>
      <c r="R67" s="169" t="str">
        <f t="shared" si="6"/>
        <v>Sản phẩm AMIS Đánh giá</v>
      </c>
      <c r="S67" s="97" t="s">
        <v>10610</v>
      </c>
      <c r="T67" s="97" t="s">
        <v>10624</v>
      </c>
      <c r="U67" s="96" t="s">
        <v>453</v>
      </c>
      <c r="V67" s="96" t="s">
        <v>454</v>
      </c>
      <c r="W67" s="96" t="s">
        <v>3604</v>
      </c>
      <c r="X67" s="96"/>
      <c r="Y67" s="96"/>
      <c r="Z67" s="98" t="s">
        <v>10625</v>
      </c>
      <c r="AA67" s="153" t="s">
        <v>10530</v>
      </c>
      <c r="AB67" s="91"/>
      <c r="AC67" s="91"/>
      <c r="AD67" s="91"/>
    </row>
    <row r="68" ht="15.75" customHeight="1" outlineLevel="1">
      <c r="A68" s="170" t="s">
        <v>10535</v>
      </c>
      <c r="B68" s="51" t="s">
        <v>26</v>
      </c>
      <c r="C68" s="51" t="s">
        <v>27</v>
      </c>
      <c r="D68" s="52" t="s">
        <v>4</v>
      </c>
      <c r="E68" s="53" t="s">
        <v>27</v>
      </c>
      <c r="F68" s="52" t="s">
        <v>4</v>
      </c>
      <c r="G68" s="52" t="s">
        <v>55</v>
      </c>
      <c r="H68" s="176" t="s">
        <v>454</v>
      </c>
      <c r="I68" s="175" t="s">
        <v>44</v>
      </c>
      <c r="J68" s="176" t="s">
        <v>3604</v>
      </c>
      <c r="K68" s="175" t="s">
        <v>29</v>
      </c>
      <c r="L68" s="176" t="s">
        <v>3603</v>
      </c>
      <c r="M68" s="52" t="s">
        <v>46</v>
      </c>
      <c r="N68" s="54" t="s">
        <v>10496</v>
      </c>
      <c r="O68" s="55" t="str">
        <f t="shared" si="4"/>
        <v>L1.00.00.10.06.01</v>
      </c>
      <c r="P68" s="55" t="str">
        <f t="shared" si="5"/>
        <v>L1.00.00.10.06.01.07</v>
      </c>
      <c r="Q68" s="160" t="s">
        <v>10530</v>
      </c>
      <c r="R68" s="169" t="str">
        <f t="shared" si="6"/>
        <v>Dự án AMIS Đánh giá</v>
      </c>
      <c r="S68" s="97" t="s">
        <v>10626</v>
      </c>
      <c r="T68" s="96" t="s">
        <v>3605</v>
      </c>
      <c r="U68" s="96" t="s">
        <v>453</v>
      </c>
      <c r="V68" s="96" t="s">
        <v>454</v>
      </c>
      <c r="W68" s="96" t="s">
        <v>3604</v>
      </c>
      <c r="X68" s="96" t="s">
        <v>3603</v>
      </c>
      <c r="Y68" s="96"/>
      <c r="Z68" s="98" t="s">
        <v>10627</v>
      </c>
      <c r="AA68" s="153" t="s">
        <v>10530</v>
      </c>
      <c r="AB68" s="91"/>
      <c r="AC68" s="91"/>
      <c r="AD68" s="91"/>
    </row>
    <row r="69" ht="15.75" customHeight="1" outlineLevel="1">
      <c r="A69" s="170" t="s">
        <v>10535</v>
      </c>
      <c r="B69" s="51" t="s">
        <v>26</v>
      </c>
      <c r="C69" s="51" t="s">
        <v>27</v>
      </c>
      <c r="D69" s="52" t="s">
        <v>4</v>
      </c>
      <c r="E69" s="53" t="s">
        <v>27</v>
      </c>
      <c r="F69" s="52" t="s">
        <v>4</v>
      </c>
      <c r="G69" s="52" t="s">
        <v>55</v>
      </c>
      <c r="H69" s="176" t="s">
        <v>454</v>
      </c>
      <c r="I69" s="175" t="s">
        <v>44</v>
      </c>
      <c r="J69" s="176" t="s">
        <v>3604</v>
      </c>
      <c r="K69" s="177" t="s">
        <v>33</v>
      </c>
      <c r="L69" s="176" t="s">
        <v>10214</v>
      </c>
      <c r="M69" s="52" t="s">
        <v>46</v>
      </c>
      <c r="N69" s="54" t="s">
        <v>10496</v>
      </c>
      <c r="O69" s="55" t="str">
        <f t="shared" si="4"/>
        <v>L1.00.00.10.06.02</v>
      </c>
      <c r="P69" s="55" t="str">
        <f t="shared" si="5"/>
        <v>L1.00.00.10.06.02.07</v>
      </c>
      <c r="Q69" s="160" t="s">
        <v>10530</v>
      </c>
      <c r="R69" s="169" t="str">
        <f t="shared" si="6"/>
        <v>[AMIS Đánh giá] Nhóm Phân tích &amp; Thiết kế</v>
      </c>
      <c r="S69" s="97" t="s">
        <v>10626</v>
      </c>
      <c r="T69" s="96" t="s">
        <v>10215</v>
      </c>
      <c r="U69" s="96" t="s">
        <v>453</v>
      </c>
      <c r="V69" s="96" t="s">
        <v>454</v>
      </c>
      <c r="W69" s="96" t="s">
        <v>3604</v>
      </c>
      <c r="X69" s="96" t="s">
        <v>10214</v>
      </c>
      <c r="Y69" s="96"/>
      <c r="Z69" s="98" t="s">
        <v>10628</v>
      </c>
      <c r="AA69" s="153" t="s">
        <v>10530</v>
      </c>
      <c r="AB69" s="91"/>
      <c r="AC69" s="91"/>
      <c r="AD69" s="91"/>
    </row>
    <row r="70" ht="15.75" customHeight="1" outlineLevel="1">
      <c r="A70" s="170" t="s">
        <v>10535</v>
      </c>
      <c r="B70" s="51" t="s">
        <v>26</v>
      </c>
      <c r="C70" s="51" t="s">
        <v>27</v>
      </c>
      <c r="D70" s="52" t="s">
        <v>4</v>
      </c>
      <c r="E70" s="53" t="s">
        <v>27</v>
      </c>
      <c r="F70" s="52" t="s">
        <v>4</v>
      </c>
      <c r="G70" s="52" t="s">
        <v>55</v>
      </c>
      <c r="H70" s="176" t="s">
        <v>454</v>
      </c>
      <c r="I70" s="175" t="s">
        <v>46</v>
      </c>
      <c r="J70" s="176" t="s">
        <v>3041</v>
      </c>
      <c r="K70" s="175" t="s">
        <v>27</v>
      </c>
      <c r="L70" s="194" t="s">
        <v>4</v>
      </c>
      <c r="M70" s="52" t="s">
        <v>46</v>
      </c>
      <c r="N70" s="54" t="s">
        <v>10496</v>
      </c>
      <c r="O70" s="55" t="str">
        <f t="shared" si="4"/>
        <v>L1.00.00.10.07.00</v>
      </c>
      <c r="P70" s="55" t="str">
        <f t="shared" si="5"/>
        <v>L1.00.00.10.07.00.07</v>
      </c>
      <c r="Q70" s="160" t="s">
        <v>10530</v>
      </c>
      <c r="R70" s="169" t="str">
        <f t="shared" si="6"/>
        <v>Sản phẩm AMIS HRM MISA</v>
      </c>
      <c r="S70" s="97" t="s">
        <v>10610</v>
      </c>
      <c r="T70" s="97" t="s">
        <v>10629</v>
      </c>
      <c r="U70" s="96" t="s">
        <v>453</v>
      </c>
      <c r="V70" s="96" t="s">
        <v>454</v>
      </c>
      <c r="W70" s="96" t="s">
        <v>3041</v>
      </c>
      <c r="X70" s="96"/>
      <c r="Y70" s="96"/>
      <c r="Z70" s="98" t="s">
        <v>10630</v>
      </c>
      <c r="AA70" s="153" t="s">
        <v>10530</v>
      </c>
      <c r="AB70" s="91"/>
      <c r="AC70" s="91"/>
      <c r="AD70" s="91"/>
    </row>
    <row r="71" ht="15.75" customHeight="1" outlineLevel="1">
      <c r="A71" s="170" t="s">
        <v>10535</v>
      </c>
      <c r="B71" s="51" t="s">
        <v>26</v>
      </c>
      <c r="C71" s="51" t="s">
        <v>27</v>
      </c>
      <c r="D71" s="52" t="s">
        <v>4</v>
      </c>
      <c r="E71" s="53" t="s">
        <v>27</v>
      </c>
      <c r="F71" s="52" t="s">
        <v>4</v>
      </c>
      <c r="G71" s="52" t="s">
        <v>55</v>
      </c>
      <c r="H71" s="176" t="s">
        <v>454</v>
      </c>
      <c r="I71" s="175" t="s">
        <v>46</v>
      </c>
      <c r="J71" s="176" t="s">
        <v>3041</v>
      </c>
      <c r="K71" s="175" t="s">
        <v>29</v>
      </c>
      <c r="L71" s="176" t="s">
        <v>5747</v>
      </c>
      <c r="M71" s="52" t="s">
        <v>46</v>
      </c>
      <c r="N71" s="54" t="s">
        <v>10496</v>
      </c>
      <c r="O71" s="55" t="str">
        <f t="shared" si="4"/>
        <v>L1.00.00.10.07.01</v>
      </c>
      <c r="P71" s="55" t="str">
        <f t="shared" si="5"/>
        <v>L1.00.00.10.07.01.07</v>
      </c>
      <c r="Q71" s="160" t="s">
        <v>10530</v>
      </c>
      <c r="R71" s="169" t="str">
        <f t="shared" si="6"/>
        <v>Dự án AMIS HRM MISA</v>
      </c>
      <c r="S71" s="97" t="s">
        <v>10631</v>
      </c>
      <c r="T71" s="96" t="s">
        <v>5748</v>
      </c>
      <c r="U71" s="96" t="s">
        <v>453</v>
      </c>
      <c r="V71" s="96" t="s">
        <v>454</v>
      </c>
      <c r="W71" s="96" t="s">
        <v>3041</v>
      </c>
      <c r="X71" s="96" t="s">
        <v>5747</v>
      </c>
      <c r="Y71" s="96"/>
      <c r="Z71" s="98" t="s">
        <v>10632</v>
      </c>
      <c r="AA71" s="153" t="s">
        <v>10530</v>
      </c>
      <c r="AB71" s="91"/>
      <c r="AC71" s="91"/>
      <c r="AD71" s="91"/>
    </row>
    <row r="72" ht="15.75" customHeight="1" outlineLevel="1">
      <c r="A72" s="170" t="s">
        <v>10535</v>
      </c>
      <c r="B72" s="51" t="s">
        <v>26</v>
      </c>
      <c r="C72" s="51" t="s">
        <v>27</v>
      </c>
      <c r="D72" s="52" t="s">
        <v>4</v>
      </c>
      <c r="E72" s="53" t="s">
        <v>27</v>
      </c>
      <c r="F72" s="52" t="s">
        <v>4</v>
      </c>
      <c r="G72" s="52" t="s">
        <v>55</v>
      </c>
      <c r="H72" s="176" t="s">
        <v>454</v>
      </c>
      <c r="I72" s="175" t="s">
        <v>46</v>
      </c>
      <c r="J72" s="176" t="s">
        <v>3041</v>
      </c>
      <c r="K72" s="177" t="s">
        <v>33</v>
      </c>
      <c r="L72" s="176" t="s">
        <v>3040</v>
      </c>
      <c r="M72" s="52" t="s">
        <v>46</v>
      </c>
      <c r="N72" s="54" t="s">
        <v>10496</v>
      </c>
      <c r="O72" s="55" t="str">
        <f t="shared" si="4"/>
        <v>L1.00.00.10.07.02</v>
      </c>
      <c r="P72" s="55" t="str">
        <f t="shared" si="5"/>
        <v>L1.00.00.10.07.02.07</v>
      </c>
      <c r="Q72" s="160" t="s">
        <v>10530</v>
      </c>
      <c r="R72" s="169" t="str">
        <f t="shared" si="6"/>
        <v>[AMIS HRM MISA] Nhóm Phân tích &amp; Thiết kế</v>
      </c>
      <c r="S72" s="97" t="s">
        <v>10631</v>
      </c>
      <c r="T72" s="96" t="s">
        <v>3042</v>
      </c>
      <c r="U72" s="96" t="s">
        <v>453</v>
      </c>
      <c r="V72" s="96" t="s">
        <v>454</v>
      </c>
      <c r="W72" s="96" t="s">
        <v>3041</v>
      </c>
      <c r="X72" s="96" t="s">
        <v>3040</v>
      </c>
      <c r="Y72" s="96"/>
      <c r="Z72" s="98" t="s">
        <v>10633</v>
      </c>
      <c r="AA72" s="153" t="s">
        <v>10530</v>
      </c>
      <c r="AB72" s="91"/>
      <c r="AC72" s="91"/>
      <c r="AD72" s="91"/>
    </row>
    <row r="73" ht="15.75" customHeight="1" outlineLevel="1">
      <c r="A73" s="170" t="s">
        <v>10535</v>
      </c>
      <c r="B73" s="51" t="s">
        <v>26</v>
      </c>
      <c r="C73" s="51" t="s">
        <v>27</v>
      </c>
      <c r="D73" s="52" t="s">
        <v>4</v>
      </c>
      <c r="E73" s="53" t="s">
        <v>27</v>
      </c>
      <c r="F73" s="52" t="s">
        <v>4</v>
      </c>
      <c r="G73" s="52" t="s">
        <v>55</v>
      </c>
      <c r="H73" s="176" t="s">
        <v>454</v>
      </c>
      <c r="I73" s="175" t="s">
        <v>49</v>
      </c>
      <c r="J73" s="176" t="s">
        <v>2676</v>
      </c>
      <c r="K73" s="215" t="s">
        <v>29</v>
      </c>
      <c r="L73" s="194" t="s">
        <v>4</v>
      </c>
      <c r="M73" s="52" t="s">
        <v>46</v>
      </c>
      <c r="N73" s="54" t="s">
        <v>10496</v>
      </c>
      <c r="O73" s="55" t="str">
        <f t="shared" si="4"/>
        <v>L1.00.00.10.08.01</v>
      </c>
      <c r="P73" s="55" t="str">
        <f t="shared" si="5"/>
        <v>L1.00.00.10.08.01.07</v>
      </c>
      <c r="Q73" s="160" t="s">
        <v>10530</v>
      </c>
      <c r="R73" s="169" t="str">
        <f t="shared" si="6"/>
        <v>Sản phẩm AMIS Operation</v>
      </c>
      <c r="S73" s="97" t="s">
        <v>10610</v>
      </c>
      <c r="T73" s="96" t="s">
        <v>5297</v>
      </c>
      <c r="U73" s="96" t="s">
        <v>453</v>
      </c>
      <c r="V73" s="96" t="s">
        <v>454</v>
      </c>
      <c r="W73" s="96" t="s">
        <v>2676</v>
      </c>
      <c r="X73" s="96"/>
      <c r="Y73" s="96"/>
      <c r="Z73" s="98" t="s">
        <v>10634</v>
      </c>
      <c r="AA73" s="153" t="s">
        <v>10530</v>
      </c>
      <c r="AB73" s="91"/>
      <c r="AC73" s="91"/>
      <c r="AD73" s="91"/>
    </row>
    <row r="74" ht="15.75" customHeight="1" outlineLevel="1">
      <c r="A74" s="170" t="s">
        <v>10535</v>
      </c>
      <c r="B74" s="51" t="s">
        <v>26</v>
      </c>
      <c r="C74" s="51" t="s">
        <v>27</v>
      </c>
      <c r="D74" s="52" t="s">
        <v>4</v>
      </c>
      <c r="E74" s="53" t="s">
        <v>27</v>
      </c>
      <c r="F74" s="52" t="s">
        <v>4</v>
      </c>
      <c r="G74" s="52" t="s">
        <v>55</v>
      </c>
      <c r="H74" s="176" t="s">
        <v>454</v>
      </c>
      <c r="I74" s="175" t="s">
        <v>49</v>
      </c>
      <c r="J74" s="176" t="s">
        <v>2676</v>
      </c>
      <c r="K74" s="216" t="s">
        <v>33</v>
      </c>
      <c r="L74" s="217" t="s">
        <v>2675</v>
      </c>
      <c r="M74" s="52" t="s">
        <v>46</v>
      </c>
      <c r="N74" s="54" t="s">
        <v>10496</v>
      </c>
      <c r="O74" s="55" t="str">
        <f t="shared" si="4"/>
        <v>L1.00.00.10.08.02</v>
      </c>
      <c r="P74" s="55" t="str">
        <f t="shared" si="5"/>
        <v>L1.00.00.10.08.02.07</v>
      </c>
      <c r="Q74" s="160" t="s">
        <v>10530</v>
      </c>
      <c r="R74" s="169" t="str">
        <f t="shared" si="6"/>
        <v>Dự án AMIS Operation</v>
      </c>
      <c r="S74" s="97" t="s">
        <v>10635</v>
      </c>
      <c r="T74" s="96" t="s">
        <v>2677</v>
      </c>
      <c r="U74" s="96" t="s">
        <v>453</v>
      </c>
      <c r="V74" s="96" t="s">
        <v>454</v>
      </c>
      <c r="W74" s="96" t="s">
        <v>2676</v>
      </c>
      <c r="X74" s="96" t="s">
        <v>2675</v>
      </c>
      <c r="Y74" s="96"/>
      <c r="Z74" s="98" t="s">
        <v>10636</v>
      </c>
      <c r="AA74" s="153" t="s">
        <v>10530</v>
      </c>
      <c r="AB74" s="91"/>
      <c r="AC74" s="91"/>
      <c r="AD74" s="91"/>
    </row>
    <row r="75" ht="15.75" customHeight="1" outlineLevel="1">
      <c r="A75" s="170" t="s">
        <v>10535</v>
      </c>
      <c r="B75" s="51" t="s">
        <v>26</v>
      </c>
      <c r="C75" s="51" t="s">
        <v>27</v>
      </c>
      <c r="D75" s="52" t="s">
        <v>4</v>
      </c>
      <c r="E75" s="53" t="s">
        <v>27</v>
      </c>
      <c r="F75" s="52" t="s">
        <v>4</v>
      </c>
      <c r="G75" s="52" t="s">
        <v>55</v>
      </c>
      <c r="H75" s="176" t="s">
        <v>454</v>
      </c>
      <c r="I75" s="175" t="s">
        <v>49</v>
      </c>
      <c r="J75" s="176" t="s">
        <v>2676</v>
      </c>
      <c r="K75" s="216" t="s">
        <v>35</v>
      </c>
      <c r="L75" s="217" t="s">
        <v>5173</v>
      </c>
      <c r="M75" s="52" t="s">
        <v>46</v>
      </c>
      <c r="N75" s="54" t="s">
        <v>10496</v>
      </c>
      <c r="O75" s="55" t="str">
        <f t="shared" si="4"/>
        <v>L1.00.00.10.08.03</v>
      </c>
      <c r="P75" s="55" t="str">
        <f t="shared" si="5"/>
        <v>L1.00.00.10.08.03.07</v>
      </c>
      <c r="Q75" s="160" t="s">
        <v>10530</v>
      </c>
      <c r="R75" s="169" t="str">
        <f t="shared" si="6"/>
        <v>[AMIS Operation] Nhóm Phân tích &amp; Thiết kế</v>
      </c>
      <c r="S75" s="97" t="s">
        <v>10635</v>
      </c>
      <c r="T75" s="96" t="s">
        <v>5174</v>
      </c>
      <c r="U75" s="96" t="s">
        <v>453</v>
      </c>
      <c r="V75" s="96" t="s">
        <v>454</v>
      </c>
      <c r="W75" s="96" t="s">
        <v>2676</v>
      </c>
      <c r="X75" s="96" t="s">
        <v>5173</v>
      </c>
      <c r="Y75" s="96"/>
      <c r="Z75" s="98" t="s">
        <v>10637</v>
      </c>
      <c r="AA75" s="153" t="s">
        <v>10530</v>
      </c>
      <c r="AB75" s="91"/>
      <c r="AC75" s="91"/>
      <c r="AD75" s="91"/>
    </row>
    <row r="76" ht="15.75" customHeight="1" outlineLevel="1">
      <c r="A76" s="170" t="s">
        <v>10535</v>
      </c>
      <c r="B76" s="51" t="s">
        <v>26</v>
      </c>
      <c r="C76" s="51" t="s">
        <v>27</v>
      </c>
      <c r="D76" s="52" t="s">
        <v>4</v>
      </c>
      <c r="E76" s="53" t="s">
        <v>27</v>
      </c>
      <c r="F76" s="52" t="s">
        <v>4</v>
      </c>
      <c r="G76" s="52" t="s">
        <v>55</v>
      </c>
      <c r="H76" s="176" t="s">
        <v>454</v>
      </c>
      <c r="I76" s="175" t="s">
        <v>51</v>
      </c>
      <c r="J76" s="176" t="s">
        <v>5107</v>
      </c>
      <c r="K76" s="175" t="s">
        <v>27</v>
      </c>
      <c r="L76" s="218" t="s">
        <v>4</v>
      </c>
      <c r="M76" s="52" t="s">
        <v>46</v>
      </c>
      <c r="N76" s="54" t="s">
        <v>10496</v>
      </c>
      <c r="O76" s="55" t="str">
        <f t="shared" si="4"/>
        <v>L1.00.00.10.09.00</v>
      </c>
      <c r="P76" s="55" t="str">
        <f t="shared" si="5"/>
        <v>L1.00.00.10.09.00.07</v>
      </c>
      <c r="Q76" s="160" t="s">
        <v>10530</v>
      </c>
      <c r="R76" s="169" t="str">
        <f t="shared" si="6"/>
        <v>Sản phẩm AMIS TMS</v>
      </c>
      <c r="S76" s="97" t="s">
        <v>10610</v>
      </c>
      <c r="T76" s="97" t="s">
        <v>10638</v>
      </c>
      <c r="U76" s="96" t="s">
        <v>453</v>
      </c>
      <c r="V76" s="96" t="s">
        <v>454</v>
      </c>
      <c r="W76" s="96" t="s">
        <v>5107</v>
      </c>
      <c r="X76" s="96"/>
      <c r="Y76" s="96"/>
      <c r="Z76" s="98" t="s">
        <v>10639</v>
      </c>
      <c r="AA76" s="153" t="s">
        <v>10530</v>
      </c>
      <c r="AB76" s="91"/>
      <c r="AC76" s="91"/>
      <c r="AD76" s="91"/>
    </row>
    <row r="77" ht="15.75" customHeight="1" outlineLevel="1">
      <c r="A77" s="170" t="s">
        <v>10535</v>
      </c>
      <c r="B77" s="51" t="s">
        <v>26</v>
      </c>
      <c r="C77" s="51" t="s">
        <v>27</v>
      </c>
      <c r="D77" s="52" t="s">
        <v>4</v>
      </c>
      <c r="E77" s="53" t="s">
        <v>27</v>
      </c>
      <c r="F77" s="52" t="s">
        <v>4</v>
      </c>
      <c r="G77" s="52" t="s">
        <v>55</v>
      </c>
      <c r="H77" s="176" t="s">
        <v>454</v>
      </c>
      <c r="I77" s="175" t="s">
        <v>51</v>
      </c>
      <c r="J77" s="176" t="s">
        <v>5107</v>
      </c>
      <c r="K77" s="175" t="s">
        <v>29</v>
      </c>
      <c r="L77" s="176" t="s">
        <v>5106</v>
      </c>
      <c r="M77" s="52" t="s">
        <v>46</v>
      </c>
      <c r="N77" s="54" t="s">
        <v>10496</v>
      </c>
      <c r="O77" s="55" t="str">
        <f t="shared" si="4"/>
        <v>L1.00.00.10.09.01</v>
      </c>
      <c r="P77" s="55" t="str">
        <f t="shared" si="5"/>
        <v>L1.00.00.10.09.01.07</v>
      </c>
      <c r="Q77" s="160" t="s">
        <v>10530</v>
      </c>
      <c r="R77" s="169" t="str">
        <f t="shared" si="6"/>
        <v>Dự án AMIS TMS</v>
      </c>
      <c r="S77" s="97" t="s">
        <v>10640</v>
      </c>
      <c r="T77" s="96" t="s">
        <v>5108</v>
      </c>
      <c r="U77" s="96" t="s">
        <v>453</v>
      </c>
      <c r="V77" s="96" t="s">
        <v>454</v>
      </c>
      <c r="W77" s="96" t="s">
        <v>5107</v>
      </c>
      <c r="X77" s="96" t="s">
        <v>5106</v>
      </c>
      <c r="Y77" s="96"/>
      <c r="Z77" s="98" t="s">
        <v>10641</v>
      </c>
      <c r="AA77" s="153" t="s">
        <v>10530</v>
      </c>
      <c r="AB77" s="91"/>
      <c r="AC77" s="91"/>
      <c r="AD77" s="91"/>
    </row>
    <row r="78" ht="15.75" customHeight="1" outlineLevel="1">
      <c r="A78" s="170" t="s">
        <v>10535</v>
      </c>
      <c r="B78" s="51" t="s">
        <v>26</v>
      </c>
      <c r="C78" s="51" t="s">
        <v>27</v>
      </c>
      <c r="D78" s="52" t="s">
        <v>4</v>
      </c>
      <c r="E78" s="53" t="s">
        <v>27</v>
      </c>
      <c r="F78" s="52" t="s">
        <v>4</v>
      </c>
      <c r="G78" s="52" t="s">
        <v>55</v>
      </c>
      <c r="H78" s="176" t="s">
        <v>454</v>
      </c>
      <c r="I78" s="175" t="s">
        <v>51</v>
      </c>
      <c r="J78" s="176" t="s">
        <v>5107</v>
      </c>
      <c r="K78" s="177" t="s">
        <v>33</v>
      </c>
      <c r="L78" s="176" t="s">
        <v>5604</v>
      </c>
      <c r="M78" s="52" t="s">
        <v>46</v>
      </c>
      <c r="N78" s="54" t="s">
        <v>10496</v>
      </c>
      <c r="O78" s="55" t="str">
        <f t="shared" si="4"/>
        <v>L1.00.00.10.09.02</v>
      </c>
      <c r="P78" s="55" t="str">
        <f t="shared" si="5"/>
        <v>L1.00.00.10.09.02.07</v>
      </c>
      <c r="Q78" s="160" t="s">
        <v>10530</v>
      </c>
      <c r="R78" s="169" t="str">
        <f t="shared" si="6"/>
        <v>[AMIS TMS] Nhóm Phân tích &amp; Thiết kế</v>
      </c>
      <c r="S78" s="97" t="s">
        <v>10640</v>
      </c>
      <c r="T78" s="96" t="s">
        <v>5605</v>
      </c>
      <c r="U78" s="96" t="s">
        <v>453</v>
      </c>
      <c r="V78" s="96" t="s">
        <v>454</v>
      </c>
      <c r="W78" s="96" t="s">
        <v>5107</v>
      </c>
      <c r="X78" s="96" t="s">
        <v>5604</v>
      </c>
      <c r="Y78" s="96"/>
      <c r="Z78" s="98" t="s">
        <v>10642</v>
      </c>
      <c r="AA78" s="153" t="s">
        <v>10530</v>
      </c>
      <c r="AB78" s="91"/>
      <c r="AC78" s="91"/>
      <c r="AD78" s="91"/>
    </row>
    <row r="79" ht="15.75" customHeight="1" outlineLevel="1">
      <c r="A79" s="170" t="s">
        <v>10535</v>
      </c>
      <c r="B79" s="51" t="s">
        <v>26</v>
      </c>
      <c r="C79" s="51" t="s">
        <v>27</v>
      </c>
      <c r="D79" s="52" t="s">
        <v>4</v>
      </c>
      <c r="E79" s="53" t="s">
        <v>27</v>
      </c>
      <c r="F79" s="52" t="s">
        <v>4</v>
      </c>
      <c r="G79" s="52" t="s">
        <v>55</v>
      </c>
      <c r="H79" s="176" t="s">
        <v>454</v>
      </c>
      <c r="I79" s="175" t="s">
        <v>55</v>
      </c>
      <c r="J79" s="217" t="s">
        <v>3048</v>
      </c>
      <c r="K79" s="175" t="s">
        <v>27</v>
      </c>
      <c r="L79" s="218" t="s">
        <v>4</v>
      </c>
      <c r="M79" s="52" t="s">
        <v>46</v>
      </c>
      <c r="N79" s="54" t="s">
        <v>10496</v>
      </c>
      <c r="O79" s="55" t="str">
        <f t="shared" si="4"/>
        <v>L1.00.00.10.10.00</v>
      </c>
      <c r="P79" s="55" t="str">
        <f t="shared" si="5"/>
        <v>L1.00.00.10.10.00.07</v>
      </c>
      <c r="Q79" s="160" t="s">
        <v>10530</v>
      </c>
      <c r="R79" s="169" t="str">
        <f t="shared" si="6"/>
        <v>Sản phẩm AMIS.VN Mobile</v>
      </c>
      <c r="S79" s="97" t="s">
        <v>10610</v>
      </c>
      <c r="T79" s="97" t="s">
        <v>10643</v>
      </c>
      <c r="U79" s="96" t="s">
        <v>453</v>
      </c>
      <c r="V79" s="96" t="s">
        <v>454</v>
      </c>
      <c r="W79" s="96" t="s">
        <v>3048</v>
      </c>
      <c r="X79" s="96"/>
      <c r="Y79" s="96"/>
      <c r="Z79" s="98" t="s">
        <v>10644</v>
      </c>
      <c r="AA79" s="153" t="s">
        <v>10530</v>
      </c>
      <c r="AB79" s="91"/>
      <c r="AC79" s="91"/>
      <c r="AD79" s="91"/>
    </row>
    <row r="80" ht="15.75" customHeight="1" outlineLevel="1">
      <c r="A80" s="170" t="s">
        <v>10535</v>
      </c>
      <c r="B80" s="51" t="s">
        <v>26</v>
      </c>
      <c r="C80" s="51" t="s">
        <v>27</v>
      </c>
      <c r="D80" s="52" t="s">
        <v>4</v>
      </c>
      <c r="E80" s="53" t="s">
        <v>27</v>
      </c>
      <c r="F80" s="52" t="s">
        <v>4</v>
      </c>
      <c r="G80" s="52" t="s">
        <v>55</v>
      </c>
      <c r="H80" s="176" t="s">
        <v>454</v>
      </c>
      <c r="I80" s="175" t="s">
        <v>55</v>
      </c>
      <c r="J80" s="217" t="s">
        <v>3048</v>
      </c>
      <c r="K80" s="175" t="s">
        <v>29</v>
      </c>
      <c r="L80" s="176" t="s">
        <v>3047</v>
      </c>
      <c r="M80" s="52" t="s">
        <v>46</v>
      </c>
      <c r="N80" s="54" t="s">
        <v>10496</v>
      </c>
      <c r="O80" s="55" t="str">
        <f t="shared" si="4"/>
        <v>L1.00.00.10.10.01</v>
      </c>
      <c r="P80" s="55" t="str">
        <f t="shared" si="5"/>
        <v>L1.00.00.10.10.01.07</v>
      </c>
      <c r="Q80" s="160" t="s">
        <v>10530</v>
      </c>
      <c r="R80" s="169" t="str">
        <f t="shared" si="6"/>
        <v>Dự án AMIS.VN Mobile</v>
      </c>
      <c r="S80" s="97" t="s">
        <v>10645</v>
      </c>
      <c r="T80" s="96" t="s">
        <v>3049</v>
      </c>
      <c r="U80" s="96" t="s">
        <v>453</v>
      </c>
      <c r="V80" s="96" t="s">
        <v>454</v>
      </c>
      <c r="W80" s="96" t="s">
        <v>3048</v>
      </c>
      <c r="X80" s="96" t="s">
        <v>3047</v>
      </c>
      <c r="Y80" s="96"/>
      <c r="Z80" s="98" t="s">
        <v>10646</v>
      </c>
      <c r="AA80" s="153" t="s">
        <v>10530</v>
      </c>
      <c r="AB80" s="91"/>
      <c r="AC80" s="91"/>
      <c r="AD80" s="91"/>
    </row>
    <row r="81" ht="15.75" customHeight="1" outlineLevel="1">
      <c r="A81" s="170" t="s">
        <v>10535</v>
      </c>
      <c r="B81" s="51" t="s">
        <v>26</v>
      </c>
      <c r="C81" s="51" t="s">
        <v>27</v>
      </c>
      <c r="D81" s="52" t="s">
        <v>4</v>
      </c>
      <c r="E81" s="53" t="s">
        <v>27</v>
      </c>
      <c r="F81" s="52" t="s">
        <v>4</v>
      </c>
      <c r="G81" s="52" t="s">
        <v>55</v>
      </c>
      <c r="H81" s="176" t="s">
        <v>454</v>
      </c>
      <c r="I81" s="175" t="s">
        <v>61</v>
      </c>
      <c r="J81" s="176" t="s">
        <v>2682</v>
      </c>
      <c r="K81" s="172" t="s">
        <v>27</v>
      </c>
      <c r="L81" s="218" t="s">
        <v>4</v>
      </c>
      <c r="M81" s="52" t="s">
        <v>46</v>
      </c>
      <c r="N81" s="54" t="s">
        <v>10496</v>
      </c>
      <c r="O81" s="55" t="str">
        <f t="shared" si="4"/>
        <v>L1.00.00.10.11.00</v>
      </c>
      <c r="P81" s="55" t="str">
        <f t="shared" si="5"/>
        <v>L1.00.00.10.11.00.07</v>
      </c>
      <c r="Q81" s="160" t="s">
        <v>10530</v>
      </c>
      <c r="R81" s="169" t="str">
        <f t="shared" si="6"/>
        <v>Sản phẩm iVAN</v>
      </c>
      <c r="S81" s="97" t="s">
        <v>10610</v>
      </c>
      <c r="T81" s="96" t="s">
        <v>5025</v>
      </c>
      <c r="U81" s="96" t="s">
        <v>453</v>
      </c>
      <c r="V81" s="96" t="s">
        <v>454</v>
      </c>
      <c r="W81" s="96" t="s">
        <v>2682</v>
      </c>
      <c r="X81" s="96"/>
      <c r="Y81" s="96"/>
      <c r="Z81" s="98" t="s">
        <v>10647</v>
      </c>
      <c r="AA81" s="153" t="s">
        <v>10530</v>
      </c>
      <c r="AB81" s="91"/>
      <c r="AC81" s="91"/>
      <c r="AD81" s="91"/>
    </row>
    <row r="82" ht="15.75" customHeight="1" outlineLevel="1">
      <c r="A82" s="170" t="s">
        <v>10535</v>
      </c>
      <c r="B82" s="51" t="s">
        <v>26</v>
      </c>
      <c r="C82" s="51" t="s">
        <v>27</v>
      </c>
      <c r="D82" s="52" t="s">
        <v>4</v>
      </c>
      <c r="E82" s="53" t="s">
        <v>27</v>
      </c>
      <c r="F82" s="52" t="s">
        <v>4</v>
      </c>
      <c r="G82" s="52" t="s">
        <v>55</v>
      </c>
      <c r="H82" s="176" t="s">
        <v>454</v>
      </c>
      <c r="I82" s="175" t="s">
        <v>61</v>
      </c>
      <c r="J82" s="176" t="s">
        <v>2682</v>
      </c>
      <c r="K82" s="175" t="s">
        <v>29</v>
      </c>
      <c r="L82" s="176" t="s">
        <v>2681</v>
      </c>
      <c r="M82" s="52" t="s">
        <v>46</v>
      </c>
      <c r="N82" s="54" t="s">
        <v>10496</v>
      </c>
      <c r="O82" s="55" t="str">
        <f t="shared" si="4"/>
        <v>L1.00.00.10.11.01</v>
      </c>
      <c r="P82" s="55" t="str">
        <f t="shared" si="5"/>
        <v>L1.00.00.10.11.01.07</v>
      </c>
      <c r="Q82" s="160" t="s">
        <v>10530</v>
      </c>
      <c r="R82" s="169" t="str">
        <f t="shared" si="6"/>
        <v>Dự án iVAN</v>
      </c>
      <c r="S82" s="97" t="s">
        <v>10648</v>
      </c>
      <c r="T82" s="96" t="s">
        <v>2683</v>
      </c>
      <c r="U82" s="96" t="s">
        <v>453</v>
      </c>
      <c r="V82" s="96" t="s">
        <v>454</v>
      </c>
      <c r="W82" s="96" t="s">
        <v>2682</v>
      </c>
      <c r="X82" s="96" t="s">
        <v>2681</v>
      </c>
      <c r="Y82" s="96"/>
      <c r="Z82" s="98" t="s">
        <v>10649</v>
      </c>
      <c r="AA82" s="153" t="s">
        <v>10530</v>
      </c>
      <c r="AB82" s="91"/>
      <c r="AC82" s="91"/>
      <c r="AD82" s="91"/>
    </row>
    <row r="83" ht="15.75" customHeight="1" outlineLevel="1">
      <c r="A83" s="170" t="s">
        <v>10535</v>
      </c>
      <c r="B83" s="51" t="s">
        <v>26</v>
      </c>
      <c r="C83" s="51" t="s">
        <v>27</v>
      </c>
      <c r="D83" s="52" t="s">
        <v>4</v>
      </c>
      <c r="E83" s="53" t="s">
        <v>27</v>
      </c>
      <c r="F83" s="52" t="s">
        <v>4</v>
      </c>
      <c r="G83" s="52" t="s">
        <v>55</v>
      </c>
      <c r="H83" s="176" t="s">
        <v>454</v>
      </c>
      <c r="I83" s="175" t="s">
        <v>61</v>
      </c>
      <c r="J83" s="176" t="s">
        <v>2682</v>
      </c>
      <c r="K83" s="177" t="s">
        <v>33</v>
      </c>
      <c r="L83" s="176" t="s">
        <v>5492</v>
      </c>
      <c r="M83" s="52" t="s">
        <v>46</v>
      </c>
      <c r="N83" s="54" t="s">
        <v>10496</v>
      </c>
      <c r="O83" s="55" t="str">
        <f t="shared" si="4"/>
        <v>L1.00.00.10.11.02</v>
      </c>
      <c r="P83" s="55" t="str">
        <f t="shared" si="5"/>
        <v>L1.00.00.10.11.02.07</v>
      </c>
      <c r="Q83" s="160" t="s">
        <v>10530</v>
      </c>
      <c r="R83" s="169" t="str">
        <f t="shared" si="6"/>
        <v>[iVAN] Nhóm Phân tích &amp; Thiết kế</v>
      </c>
      <c r="S83" s="97" t="s">
        <v>10648</v>
      </c>
      <c r="T83" s="96" t="s">
        <v>5493</v>
      </c>
      <c r="U83" s="96" t="s">
        <v>453</v>
      </c>
      <c r="V83" s="96" t="s">
        <v>454</v>
      </c>
      <c r="W83" s="96" t="s">
        <v>2682</v>
      </c>
      <c r="X83" s="96" t="s">
        <v>5492</v>
      </c>
      <c r="Y83" s="96"/>
      <c r="Z83" s="98" t="s">
        <v>10650</v>
      </c>
      <c r="AA83" s="153" t="s">
        <v>10530</v>
      </c>
      <c r="AB83" s="91"/>
      <c r="AC83" s="91"/>
      <c r="AD83" s="91"/>
    </row>
    <row r="84" ht="15.75" customHeight="1" outlineLevel="1">
      <c r="A84" s="170" t="s">
        <v>10535</v>
      </c>
      <c r="B84" s="51" t="s">
        <v>26</v>
      </c>
      <c r="C84" s="51" t="s">
        <v>27</v>
      </c>
      <c r="D84" s="52" t="s">
        <v>4</v>
      </c>
      <c r="E84" s="53" t="s">
        <v>27</v>
      </c>
      <c r="F84" s="52" t="s">
        <v>4</v>
      </c>
      <c r="G84" s="52" t="s">
        <v>55</v>
      </c>
      <c r="H84" s="176" t="s">
        <v>454</v>
      </c>
      <c r="I84" s="175" t="s">
        <v>64</v>
      </c>
      <c r="J84" s="176" t="s">
        <v>3188</v>
      </c>
      <c r="K84" s="175" t="s">
        <v>27</v>
      </c>
      <c r="L84" s="218" t="s">
        <v>4</v>
      </c>
      <c r="M84" s="52" t="s">
        <v>46</v>
      </c>
      <c r="N84" s="54" t="s">
        <v>10496</v>
      </c>
      <c r="O84" s="55" t="str">
        <f t="shared" si="4"/>
        <v>L1.00.00.10.12.00</v>
      </c>
      <c r="P84" s="55" t="str">
        <f t="shared" si="5"/>
        <v>L1.00.00.10.12.00.07</v>
      </c>
      <c r="Q84" s="160" t="s">
        <v>10530</v>
      </c>
      <c r="R84" s="169" t="str">
        <f t="shared" si="6"/>
        <v>Sản phẩm AMIS Kế toán</v>
      </c>
      <c r="S84" s="97" t="s">
        <v>10610</v>
      </c>
      <c r="T84" s="97" t="s">
        <v>10651</v>
      </c>
      <c r="U84" s="96" t="s">
        <v>453</v>
      </c>
      <c r="V84" s="96" t="s">
        <v>454</v>
      </c>
      <c r="W84" s="96" t="s">
        <v>3188</v>
      </c>
      <c r="X84" s="96" t="s">
        <v>3419</v>
      </c>
      <c r="Y84" s="96"/>
      <c r="Z84" s="98" t="s">
        <v>10652</v>
      </c>
      <c r="AA84" s="153" t="s">
        <v>10530</v>
      </c>
      <c r="AB84" s="91"/>
      <c r="AC84" s="91"/>
      <c r="AD84" s="91"/>
    </row>
    <row r="85" ht="15.75" customHeight="1" outlineLevel="1">
      <c r="A85" s="170" t="s">
        <v>10535</v>
      </c>
      <c r="B85" s="51" t="s">
        <v>26</v>
      </c>
      <c r="C85" s="51" t="s">
        <v>27</v>
      </c>
      <c r="D85" s="52" t="s">
        <v>4</v>
      </c>
      <c r="E85" s="53" t="s">
        <v>27</v>
      </c>
      <c r="F85" s="52" t="s">
        <v>4</v>
      </c>
      <c r="G85" s="52" t="s">
        <v>55</v>
      </c>
      <c r="H85" s="176" t="s">
        <v>454</v>
      </c>
      <c r="I85" s="175" t="s">
        <v>64</v>
      </c>
      <c r="J85" s="176" t="s">
        <v>3188</v>
      </c>
      <c r="K85" s="175" t="s">
        <v>29</v>
      </c>
      <c r="L85" s="176" t="s">
        <v>3419</v>
      </c>
      <c r="M85" s="52" t="s">
        <v>46</v>
      </c>
      <c r="N85" s="54" t="s">
        <v>10496</v>
      </c>
      <c r="O85" s="55" t="str">
        <f t="shared" si="4"/>
        <v>L1.00.00.10.12.01</v>
      </c>
      <c r="P85" s="55" t="str">
        <f t="shared" si="5"/>
        <v>L1.00.00.10.12.01.07</v>
      </c>
      <c r="Q85" s="160" t="s">
        <v>10530</v>
      </c>
      <c r="R85" s="169" t="str">
        <f t="shared" si="6"/>
        <v>Dự án AMIS Kế toán</v>
      </c>
      <c r="S85" s="97" t="s">
        <v>10653</v>
      </c>
      <c r="T85" s="96" t="s">
        <v>3420</v>
      </c>
      <c r="U85" s="96" t="s">
        <v>453</v>
      </c>
      <c r="V85" s="96" t="s">
        <v>454</v>
      </c>
      <c r="W85" s="96" t="s">
        <v>3188</v>
      </c>
      <c r="X85" s="96" t="s">
        <v>3419</v>
      </c>
      <c r="Y85" s="96"/>
      <c r="Z85" s="98" t="s">
        <v>10654</v>
      </c>
      <c r="AA85" s="153" t="s">
        <v>10530</v>
      </c>
      <c r="AB85" s="91"/>
      <c r="AC85" s="91"/>
      <c r="AD85" s="91"/>
    </row>
    <row r="86" ht="15.75" customHeight="1" outlineLevel="1">
      <c r="A86" s="170" t="s">
        <v>10535</v>
      </c>
      <c r="B86" s="51" t="s">
        <v>26</v>
      </c>
      <c r="C86" s="51" t="s">
        <v>27</v>
      </c>
      <c r="D86" s="52" t="s">
        <v>4</v>
      </c>
      <c r="E86" s="53" t="s">
        <v>27</v>
      </c>
      <c r="F86" s="52" t="s">
        <v>4</v>
      </c>
      <c r="G86" s="52" t="s">
        <v>55</v>
      </c>
      <c r="H86" s="176" t="s">
        <v>454</v>
      </c>
      <c r="I86" s="175" t="s">
        <v>64</v>
      </c>
      <c r="J86" s="176" t="s">
        <v>3188</v>
      </c>
      <c r="K86" s="177" t="s">
        <v>33</v>
      </c>
      <c r="L86" s="176" t="s">
        <v>3187</v>
      </c>
      <c r="M86" s="52" t="s">
        <v>46</v>
      </c>
      <c r="N86" s="54" t="s">
        <v>10496</v>
      </c>
      <c r="O86" s="55" t="str">
        <f t="shared" si="4"/>
        <v>L1.00.00.10.12.02</v>
      </c>
      <c r="P86" s="55" t="str">
        <f t="shared" si="5"/>
        <v>L1.00.00.10.12.02.07</v>
      </c>
      <c r="Q86" s="160" t="s">
        <v>10530</v>
      </c>
      <c r="R86" s="169" t="str">
        <f t="shared" si="6"/>
        <v>[AMIS Kế toán] Nhóm Phân tích &amp; Thiết kế</v>
      </c>
      <c r="S86" s="97" t="s">
        <v>10653</v>
      </c>
      <c r="T86" s="96" t="s">
        <v>3189</v>
      </c>
      <c r="U86" s="96" t="s">
        <v>453</v>
      </c>
      <c r="V86" s="96" t="s">
        <v>454</v>
      </c>
      <c r="W86" s="96" t="s">
        <v>3188</v>
      </c>
      <c r="X86" s="96" t="s">
        <v>3187</v>
      </c>
      <c r="Y86" s="96"/>
      <c r="Z86" s="98" t="s">
        <v>10655</v>
      </c>
      <c r="AA86" s="153" t="s">
        <v>10530</v>
      </c>
      <c r="AB86" s="91"/>
      <c r="AC86" s="91"/>
      <c r="AD86" s="91"/>
    </row>
    <row r="87" ht="15.75" customHeight="1" outlineLevel="1">
      <c r="A87" s="170" t="s">
        <v>10535</v>
      </c>
      <c r="B87" s="51" t="s">
        <v>26</v>
      </c>
      <c r="C87" s="51" t="s">
        <v>27</v>
      </c>
      <c r="D87" s="52" t="s">
        <v>4</v>
      </c>
      <c r="E87" s="53" t="s">
        <v>27</v>
      </c>
      <c r="F87" s="52" t="s">
        <v>4</v>
      </c>
      <c r="G87" s="52" t="s">
        <v>55</v>
      </c>
      <c r="H87" s="176" t="s">
        <v>454</v>
      </c>
      <c r="I87" s="175" t="s">
        <v>67</v>
      </c>
      <c r="J87" s="176" t="s">
        <v>5599</v>
      </c>
      <c r="K87" s="175" t="s">
        <v>27</v>
      </c>
      <c r="L87" s="218" t="s">
        <v>4</v>
      </c>
      <c r="M87" s="52" t="s">
        <v>46</v>
      </c>
      <c r="N87" s="54" t="s">
        <v>10496</v>
      </c>
      <c r="O87" s="55" t="str">
        <f t="shared" si="4"/>
        <v>L1.00.00.10.13.00</v>
      </c>
      <c r="P87" s="55" t="str">
        <f t="shared" si="5"/>
        <v>L1.00.00.10.13.00.07</v>
      </c>
      <c r="Q87" s="160" t="s">
        <v>10530</v>
      </c>
      <c r="R87" s="169" t="str">
        <f t="shared" si="6"/>
        <v>Sản phẩm AMIS Mua hàng</v>
      </c>
      <c r="S87" s="97" t="s">
        <v>10610</v>
      </c>
      <c r="T87" s="97" t="s">
        <v>10656</v>
      </c>
      <c r="U87" s="96" t="s">
        <v>453</v>
      </c>
      <c r="V87" s="96" t="s">
        <v>454</v>
      </c>
      <c r="W87" s="96" t="s">
        <v>5599</v>
      </c>
      <c r="X87" s="96" t="s">
        <v>5598</v>
      </c>
      <c r="Y87" s="96"/>
      <c r="Z87" s="98" t="s">
        <v>10657</v>
      </c>
      <c r="AA87" s="153" t="s">
        <v>10530</v>
      </c>
      <c r="AB87" s="91"/>
      <c r="AC87" s="91"/>
      <c r="AD87" s="91"/>
    </row>
    <row r="88" ht="15.75" customHeight="1" outlineLevel="1">
      <c r="A88" s="170" t="s">
        <v>10535</v>
      </c>
      <c r="B88" s="51" t="s">
        <v>26</v>
      </c>
      <c r="C88" s="51" t="s">
        <v>27</v>
      </c>
      <c r="D88" s="52" t="s">
        <v>4</v>
      </c>
      <c r="E88" s="53" t="s">
        <v>27</v>
      </c>
      <c r="F88" s="52" t="s">
        <v>4</v>
      </c>
      <c r="G88" s="52" t="s">
        <v>55</v>
      </c>
      <c r="H88" s="176" t="s">
        <v>454</v>
      </c>
      <c r="I88" s="175" t="s">
        <v>67</v>
      </c>
      <c r="J88" s="176" t="s">
        <v>5599</v>
      </c>
      <c r="K88" s="175" t="s">
        <v>29</v>
      </c>
      <c r="L88" s="176" t="s">
        <v>5598</v>
      </c>
      <c r="M88" s="52" t="s">
        <v>46</v>
      </c>
      <c r="N88" s="54" t="s">
        <v>10496</v>
      </c>
      <c r="O88" s="55" t="str">
        <f t="shared" si="4"/>
        <v>L1.00.00.10.13.01</v>
      </c>
      <c r="P88" s="55" t="str">
        <f t="shared" si="5"/>
        <v>L1.00.00.10.13.01.07</v>
      </c>
      <c r="Q88" s="160" t="s">
        <v>10530</v>
      </c>
      <c r="R88" s="169" t="str">
        <f t="shared" si="6"/>
        <v>[AMIS Mua hàng] Nhóm Phân tích &amp; Thiết kế</v>
      </c>
      <c r="S88" s="97" t="s">
        <v>10658</v>
      </c>
      <c r="T88" s="96" t="s">
        <v>5600</v>
      </c>
      <c r="U88" s="96" t="s">
        <v>453</v>
      </c>
      <c r="V88" s="96" t="s">
        <v>454</v>
      </c>
      <c r="W88" s="96" t="s">
        <v>5599</v>
      </c>
      <c r="X88" s="96" t="s">
        <v>5598</v>
      </c>
      <c r="Y88" s="96"/>
      <c r="Z88" s="98" t="s">
        <v>10659</v>
      </c>
      <c r="AA88" s="153" t="s">
        <v>10530</v>
      </c>
      <c r="AB88" s="91"/>
      <c r="AC88" s="91"/>
      <c r="AD88" s="91"/>
    </row>
    <row r="89" ht="15.75" customHeight="1" outlineLevel="1">
      <c r="A89" s="170" t="s">
        <v>10535</v>
      </c>
      <c r="B89" s="51" t="s">
        <v>26</v>
      </c>
      <c r="C89" s="51" t="s">
        <v>27</v>
      </c>
      <c r="D89" s="52" t="s">
        <v>4</v>
      </c>
      <c r="E89" s="53" t="s">
        <v>27</v>
      </c>
      <c r="F89" s="52" t="s">
        <v>4</v>
      </c>
      <c r="G89" s="52" t="s">
        <v>55</v>
      </c>
      <c r="H89" s="176" t="s">
        <v>454</v>
      </c>
      <c r="I89" s="175" t="s">
        <v>69</v>
      </c>
      <c r="J89" s="176" t="s">
        <v>4823</v>
      </c>
      <c r="K89" s="172" t="s">
        <v>27</v>
      </c>
      <c r="L89" s="218" t="s">
        <v>4</v>
      </c>
      <c r="M89" s="52" t="s">
        <v>46</v>
      </c>
      <c r="N89" s="54" t="s">
        <v>10496</v>
      </c>
      <c r="O89" s="55" t="str">
        <f t="shared" si="4"/>
        <v>L1.00.00.10.14.00</v>
      </c>
      <c r="P89" s="55" t="str">
        <f t="shared" si="5"/>
        <v>L1.00.00.10.14.00.07</v>
      </c>
      <c r="Q89" s="160" t="s">
        <v>10530</v>
      </c>
      <c r="R89" s="169" t="str">
        <f t="shared" si="6"/>
        <v>Sản phẩm MISA meInvoice</v>
      </c>
      <c r="S89" s="97" t="s">
        <v>10610</v>
      </c>
      <c r="T89" s="96" t="s">
        <v>5410</v>
      </c>
      <c r="U89" s="96" t="s">
        <v>453</v>
      </c>
      <c r="V89" s="96" t="s">
        <v>454</v>
      </c>
      <c r="W89" s="96" t="s">
        <v>4823</v>
      </c>
      <c r="X89" s="96"/>
      <c r="Y89" s="96"/>
      <c r="Z89" s="98" t="s">
        <v>10660</v>
      </c>
      <c r="AA89" s="153" t="s">
        <v>10530</v>
      </c>
      <c r="AB89" s="91"/>
      <c r="AC89" s="91"/>
      <c r="AD89" s="91"/>
    </row>
    <row r="90" ht="15.75" customHeight="1" outlineLevel="1">
      <c r="A90" s="170" t="s">
        <v>10535</v>
      </c>
      <c r="B90" s="51" t="s">
        <v>26</v>
      </c>
      <c r="C90" s="51" t="s">
        <v>27</v>
      </c>
      <c r="D90" s="52" t="s">
        <v>4</v>
      </c>
      <c r="E90" s="53" t="s">
        <v>27</v>
      </c>
      <c r="F90" s="52" t="s">
        <v>4</v>
      </c>
      <c r="G90" s="52" t="s">
        <v>55</v>
      </c>
      <c r="H90" s="176" t="s">
        <v>454</v>
      </c>
      <c r="I90" s="175" t="s">
        <v>69</v>
      </c>
      <c r="J90" s="176" t="s">
        <v>4823</v>
      </c>
      <c r="K90" s="175" t="s">
        <v>29</v>
      </c>
      <c r="L90" s="176" t="s">
        <v>5124</v>
      </c>
      <c r="M90" s="52" t="s">
        <v>46</v>
      </c>
      <c r="N90" s="54" t="s">
        <v>10496</v>
      </c>
      <c r="O90" s="55" t="str">
        <f t="shared" si="4"/>
        <v>L1.00.00.10.14.01</v>
      </c>
      <c r="P90" s="55" t="str">
        <f t="shared" si="5"/>
        <v>L1.00.00.10.14.01.07</v>
      </c>
      <c r="Q90" s="160" t="s">
        <v>10530</v>
      </c>
      <c r="R90" s="169" t="str">
        <f t="shared" si="6"/>
        <v>Dự án MISA meInvoice Desktop</v>
      </c>
      <c r="S90" s="97" t="s">
        <v>10661</v>
      </c>
      <c r="T90" s="96" t="s">
        <v>5125</v>
      </c>
      <c r="U90" s="96" t="s">
        <v>453</v>
      </c>
      <c r="V90" s="96" t="s">
        <v>454</v>
      </c>
      <c r="W90" s="96" t="s">
        <v>4823</v>
      </c>
      <c r="X90" s="96" t="s">
        <v>5124</v>
      </c>
      <c r="Y90" s="96"/>
      <c r="Z90" s="98" t="s">
        <v>10662</v>
      </c>
      <c r="AA90" s="153" t="s">
        <v>10530</v>
      </c>
      <c r="AB90" s="91"/>
      <c r="AC90" s="91"/>
      <c r="AD90" s="91"/>
    </row>
    <row r="91" ht="15.75" customHeight="1" outlineLevel="1">
      <c r="A91" s="170" t="s">
        <v>10535</v>
      </c>
      <c r="B91" s="51" t="s">
        <v>26</v>
      </c>
      <c r="C91" s="51" t="s">
        <v>27</v>
      </c>
      <c r="D91" s="52" t="s">
        <v>4</v>
      </c>
      <c r="E91" s="53" t="s">
        <v>27</v>
      </c>
      <c r="F91" s="52" t="s">
        <v>4</v>
      </c>
      <c r="G91" s="52" t="s">
        <v>55</v>
      </c>
      <c r="H91" s="176" t="s">
        <v>454</v>
      </c>
      <c r="I91" s="175" t="s">
        <v>69</v>
      </c>
      <c r="J91" s="176" t="s">
        <v>4823</v>
      </c>
      <c r="K91" s="177" t="s">
        <v>33</v>
      </c>
      <c r="L91" s="176" t="s">
        <v>4895</v>
      </c>
      <c r="M91" s="52" t="s">
        <v>46</v>
      </c>
      <c r="N91" s="54" t="s">
        <v>10496</v>
      </c>
      <c r="O91" s="55" t="str">
        <f t="shared" si="4"/>
        <v>L1.00.00.10.14.02</v>
      </c>
      <c r="P91" s="55" t="str">
        <f t="shared" si="5"/>
        <v>L1.00.00.10.14.02.07</v>
      </c>
      <c r="Q91" s="160" t="s">
        <v>10530</v>
      </c>
      <c r="R91" s="169" t="str">
        <f t="shared" si="6"/>
        <v>Dự án MISA invoiceBot</v>
      </c>
      <c r="S91" s="97" t="s">
        <v>10661</v>
      </c>
      <c r="T91" s="96" t="s">
        <v>4896</v>
      </c>
      <c r="U91" s="96" t="s">
        <v>453</v>
      </c>
      <c r="V91" s="96" t="s">
        <v>454</v>
      </c>
      <c r="W91" s="96" t="s">
        <v>4823</v>
      </c>
      <c r="X91" s="96" t="s">
        <v>4895</v>
      </c>
      <c r="Y91" s="96"/>
      <c r="Z91" s="98" t="s">
        <v>10663</v>
      </c>
      <c r="AA91" s="153" t="s">
        <v>10530</v>
      </c>
      <c r="AB91" s="91"/>
      <c r="AC91" s="91"/>
      <c r="AD91" s="91"/>
    </row>
    <row r="92" ht="15.75" customHeight="1" outlineLevel="1">
      <c r="A92" s="170" t="s">
        <v>10535</v>
      </c>
      <c r="B92" s="51" t="s">
        <v>26</v>
      </c>
      <c r="C92" s="51" t="s">
        <v>27</v>
      </c>
      <c r="D92" s="52" t="s">
        <v>4</v>
      </c>
      <c r="E92" s="53" t="s">
        <v>27</v>
      </c>
      <c r="F92" s="52" t="s">
        <v>4</v>
      </c>
      <c r="G92" s="52" t="s">
        <v>55</v>
      </c>
      <c r="H92" s="176" t="s">
        <v>454</v>
      </c>
      <c r="I92" s="175" t="s">
        <v>69</v>
      </c>
      <c r="J92" s="176" t="s">
        <v>4823</v>
      </c>
      <c r="K92" s="177" t="s">
        <v>35</v>
      </c>
      <c r="L92" s="176" t="s">
        <v>5118</v>
      </c>
      <c r="M92" s="52" t="s">
        <v>46</v>
      </c>
      <c r="N92" s="54" t="s">
        <v>10496</v>
      </c>
      <c r="O92" s="55" t="str">
        <f t="shared" si="4"/>
        <v>L1.00.00.10.14.03</v>
      </c>
      <c r="P92" s="55" t="str">
        <f t="shared" si="5"/>
        <v>L1.00.00.10.14.03.07</v>
      </c>
      <c r="Q92" s="160" t="s">
        <v>10530</v>
      </c>
      <c r="R92" s="169" t="str">
        <f t="shared" si="6"/>
        <v>[MISA meInvoice] Nhóm Phân tích &amp; Thiết kế</v>
      </c>
      <c r="S92" s="97" t="s">
        <v>10661</v>
      </c>
      <c r="T92" s="96" t="s">
        <v>5119</v>
      </c>
      <c r="U92" s="96" t="s">
        <v>453</v>
      </c>
      <c r="V92" s="96" t="s">
        <v>454</v>
      </c>
      <c r="W92" s="96" t="s">
        <v>4823</v>
      </c>
      <c r="X92" s="96" t="s">
        <v>5118</v>
      </c>
      <c r="Y92" s="96"/>
      <c r="Z92" s="98" t="s">
        <v>10664</v>
      </c>
      <c r="AA92" s="153" t="s">
        <v>10530</v>
      </c>
      <c r="AB92" s="91"/>
      <c r="AC92" s="91"/>
      <c r="AD92" s="91"/>
    </row>
    <row r="93" ht="15.75" customHeight="1" outlineLevel="1">
      <c r="A93" s="170" t="s">
        <v>10535</v>
      </c>
      <c r="B93" s="51" t="s">
        <v>26</v>
      </c>
      <c r="C93" s="51" t="s">
        <v>27</v>
      </c>
      <c r="D93" s="52" t="s">
        <v>4</v>
      </c>
      <c r="E93" s="53" t="s">
        <v>27</v>
      </c>
      <c r="F93" s="52" t="s">
        <v>4</v>
      </c>
      <c r="G93" s="52" t="s">
        <v>55</v>
      </c>
      <c r="H93" s="176" t="s">
        <v>454</v>
      </c>
      <c r="I93" s="175" t="s">
        <v>69</v>
      </c>
      <c r="J93" s="176" t="s">
        <v>4823</v>
      </c>
      <c r="K93" s="177" t="s">
        <v>37</v>
      </c>
      <c r="L93" s="176" t="s">
        <v>4822</v>
      </c>
      <c r="M93" s="52" t="s">
        <v>46</v>
      </c>
      <c r="N93" s="54" t="s">
        <v>10496</v>
      </c>
      <c r="O93" s="55" t="str">
        <f t="shared" si="4"/>
        <v>L1.00.00.10.14.04</v>
      </c>
      <c r="P93" s="55" t="str">
        <f t="shared" si="5"/>
        <v>L1.00.00.10.14.04.07</v>
      </c>
      <c r="Q93" s="160" t="s">
        <v>10530</v>
      </c>
      <c r="R93" s="169" t="str">
        <f t="shared" si="6"/>
        <v>Dự án MISA meInvoice</v>
      </c>
      <c r="S93" s="97" t="s">
        <v>10661</v>
      </c>
      <c r="T93" s="96" t="s">
        <v>4824</v>
      </c>
      <c r="U93" s="96" t="s">
        <v>453</v>
      </c>
      <c r="V93" s="96" t="s">
        <v>454</v>
      </c>
      <c r="W93" s="96" t="s">
        <v>4823</v>
      </c>
      <c r="X93" s="96" t="s">
        <v>4822</v>
      </c>
      <c r="Y93" s="96"/>
      <c r="Z93" s="98" t="s">
        <v>10665</v>
      </c>
      <c r="AA93" s="153" t="s">
        <v>10530</v>
      </c>
      <c r="AB93" s="91"/>
      <c r="AC93" s="91"/>
      <c r="AD93" s="91"/>
    </row>
    <row r="94" ht="15.75" customHeight="1" outlineLevel="1">
      <c r="A94" s="170" t="s">
        <v>10535</v>
      </c>
      <c r="B94" s="51" t="s">
        <v>26</v>
      </c>
      <c r="C94" s="51" t="s">
        <v>27</v>
      </c>
      <c r="D94" s="52" t="s">
        <v>4</v>
      </c>
      <c r="E94" s="53" t="s">
        <v>27</v>
      </c>
      <c r="F94" s="52" t="s">
        <v>4</v>
      </c>
      <c r="G94" s="52" t="s">
        <v>55</v>
      </c>
      <c r="H94" s="176" t="s">
        <v>454</v>
      </c>
      <c r="I94" s="175" t="s">
        <v>71</v>
      </c>
      <c r="J94" s="176" t="s">
        <v>2903</v>
      </c>
      <c r="K94" s="175" t="s">
        <v>27</v>
      </c>
      <c r="L94" s="218" t="s">
        <v>4</v>
      </c>
      <c r="M94" s="52" t="s">
        <v>46</v>
      </c>
      <c r="N94" s="54" t="s">
        <v>10496</v>
      </c>
      <c r="O94" s="55" t="str">
        <f t="shared" si="4"/>
        <v>L1.00.00.10.15.00</v>
      </c>
      <c r="P94" s="55" t="str">
        <f t="shared" si="5"/>
        <v>L1.00.00.10.15.00.07</v>
      </c>
      <c r="Q94" s="160" t="s">
        <v>10530</v>
      </c>
      <c r="R94" s="169" t="str">
        <f t="shared" si="6"/>
        <v>Sản phẩm AMIS CRM (KH)</v>
      </c>
      <c r="S94" s="97" t="s">
        <v>10610</v>
      </c>
      <c r="T94" s="97" t="s">
        <v>10666</v>
      </c>
      <c r="U94" s="96" t="s">
        <v>453</v>
      </c>
      <c r="V94" s="96" t="s">
        <v>454</v>
      </c>
      <c r="W94" s="96" t="s">
        <v>2903</v>
      </c>
      <c r="X94" s="96"/>
      <c r="Y94" s="96"/>
      <c r="Z94" s="98" t="s">
        <v>10667</v>
      </c>
      <c r="AA94" s="153" t="s">
        <v>10530</v>
      </c>
      <c r="AB94" s="91"/>
      <c r="AC94" s="91"/>
      <c r="AD94" s="91"/>
    </row>
    <row r="95" ht="15.75" customHeight="1" outlineLevel="1">
      <c r="A95" s="170" t="s">
        <v>10535</v>
      </c>
      <c r="B95" s="51" t="s">
        <v>26</v>
      </c>
      <c r="C95" s="51" t="s">
        <v>27</v>
      </c>
      <c r="D95" s="52" t="s">
        <v>4</v>
      </c>
      <c r="E95" s="53" t="s">
        <v>27</v>
      </c>
      <c r="F95" s="52" t="s">
        <v>4</v>
      </c>
      <c r="G95" s="52" t="s">
        <v>55</v>
      </c>
      <c r="H95" s="176" t="s">
        <v>454</v>
      </c>
      <c r="I95" s="175" t="s">
        <v>71</v>
      </c>
      <c r="J95" s="176" t="s">
        <v>2903</v>
      </c>
      <c r="K95" s="175" t="s">
        <v>29</v>
      </c>
      <c r="L95" s="176" t="s">
        <v>2902</v>
      </c>
      <c r="M95" s="52" t="s">
        <v>46</v>
      </c>
      <c r="N95" s="54" t="s">
        <v>10496</v>
      </c>
      <c r="O95" s="55" t="str">
        <f t="shared" si="4"/>
        <v>L1.00.00.10.15.01</v>
      </c>
      <c r="P95" s="55" t="str">
        <f t="shared" si="5"/>
        <v>L1.00.00.10.15.01.07</v>
      </c>
      <c r="Q95" s="160" t="s">
        <v>10530</v>
      </c>
      <c r="R95" s="169" t="str">
        <f t="shared" si="6"/>
        <v>Dự án AMIS CRM (KH)</v>
      </c>
      <c r="S95" s="97" t="s">
        <v>10668</v>
      </c>
      <c r="T95" s="96" t="s">
        <v>2904</v>
      </c>
      <c r="U95" s="96" t="s">
        <v>453</v>
      </c>
      <c r="V95" s="96" t="s">
        <v>454</v>
      </c>
      <c r="W95" s="96" t="s">
        <v>2903</v>
      </c>
      <c r="X95" s="96" t="s">
        <v>2902</v>
      </c>
      <c r="Y95" s="96"/>
      <c r="Z95" s="98" t="s">
        <v>10669</v>
      </c>
      <c r="AA95" s="153" t="s">
        <v>10530</v>
      </c>
      <c r="AB95" s="91"/>
      <c r="AC95" s="91"/>
      <c r="AD95" s="91"/>
    </row>
    <row r="96" ht="15.75" customHeight="1" outlineLevel="1">
      <c r="A96" s="170" t="s">
        <v>10535</v>
      </c>
      <c r="B96" s="51" t="s">
        <v>26</v>
      </c>
      <c r="C96" s="51" t="s">
        <v>27</v>
      </c>
      <c r="D96" s="52" t="s">
        <v>4</v>
      </c>
      <c r="E96" s="53" t="s">
        <v>27</v>
      </c>
      <c r="F96" s="52" t="s">
        <v>4</v>
      </c>
      <c r="G96" s="52" t="s">
        <v>55</v>
      </c>
      <c r="H96" s="176" t="s">
        <v>454</v>
      </c>
      <c r="I96" s="175" t="s">
        <v>71</v>
      </c>
      <c r="J96" s="176" t="s">
        <v>2903</v>
      </c>
      <c r="K96" s="177" t="s">
        <v>33</v>
      </c>
      <c r="L96" s="176" t="s">
        <v>4953</v>
      </c>
      <c r="M96" s="52" t="s">
        <v>46</v>
      </c>
      <c r="N96" s="54" t="s">
        <v>10496</v>
      </c>
      <c r="O96" s="55" t="str">
        <f t="shared" si="4"/>
        <v>L1.00.00.10.15.02</v>
      </c>
      <c r="P96" s="55" t="str">
        <f t="shared" si="5"/>
        <v>L1.00.00.10.15.02.07</v>
      </c>
      <c r="Q96" s="160" t="s">
        <v>10530</v>
      </c>
      <c r="R96" s="169" t="str">
        <f t="shared" si="6"/>
        <v>[AMIS CRM KH] Nhóm Phân tích &amp; Thiết kế</v>
      </c>
      <c r="S96" s="97" t="s">
        <v>10668</v>
      </c>
      <c r="T96" s="96" t="s">
        <v>4954</v>
      </c>
      <c r="U96" s="96" t="s">
        <v>453</v>
      </c>
      <c r="V96" s="96" t="s">
        <v>454</v>
      </c>
      <c r="W96" s="96" t="s">
        <v>2903</v>
      </c>
      <c r="X96" s="96" t="s">
        <v>4953</v>
      </c>
      <c r="Y96" s="96"/>
      <c r="Z96" s="98" t="s">
        <v>10670</v>
      </c>
      <c r="AA96" s="153" t="s">
        <v>10530</v>
      </c>
      <c r="AB96" s="91"/>
      <c r="AC96" s="91"/>
      <c r="AD96" s="91"/>
    </row>
    <row r="97" ht="15.75" customHeight="1" outlineLevel="1">
      <c r="A97" s="170" t="s">
        <v>10535</v>
      </c>
      <c r="B97" s="51" t="s">
        <v>26</v>
      </c>
      <c r="C97" s="51" t="s">
        <v>27</v>
      </c>
      <c r="D97" s="52" t="s">
        <v>4</v>
      </c>
      <c r="E97" s="53" t="s">
        <v>27</v>
      </c>
      <c r="F97" s="52" t="s">
        <v>4</v>
      </c>
      <c r="G97" s="52" t="s">
        <v>55</v>
      </c>
      <c r="H97" s="176" t="s">
        <v>454</v>
      </c>
      <c r="I97" s="175" t="s">
        <v>10671</v>
      </c>
      <c r="J97" s="176" t="s">
        <v>4777</v>
      </c>
      <c r="K97" s="172" t="s">
        <v>27</v>
      </c>
      <c r="L97" s="218" t="s">
        <v>4</v>
      </c>
      <c r="M97" s="52" t="s">
        <v>46</v>
      </c>
      <c r="N97" s="54" t="s">
        <v>10496</v>
      </c>
      <c r="O97" s="55" t="str">
        <f t="shared" si="4"/>
        <v>L1.00.00.10.16.00</v>
      </c>
      <c r="P97" s="55" t="str">
        <f t="shared" si="5"/>
        <v>L1.00.00.10.16.00.07</v>
      </c>
      <c r="Q97" s="160" t="s">
        <v>10530</v>
      </c>
      <c r="R97" s="169" t="str">
        <f t="shared" si="6"/>
        <v>Sản phẩm MISA eSign</v>
      </c>
      <c r="S97" s="97" t="s">
        <v>10610</v>
      </c>
      <c r="T97" s="96" t="s">
        <v>4778</v>
      </c>
      <c r="U97" s="96" t="s">
        <v>453</v>
      </c>
      <c r="V97" s="96" t="s">
        <v>454</v>
      </c>
      <c r="W97" s="96" t="s">
        <v>4777</v>
      </c>
      <c r="X97" s="96"/>
      <c r="Y97" s="96"/>
      <c r="Z97" s="98" t="s">
        <v>10672</v>
      </c>
      <c r="AA97" s="153" t="s">
        <v>10530</v>
      </c>
      <c r="AB97" s="91"/>
      <c r="AC97" s="91"/>
      <c r="AD97" s="91"/>
    </row>
    <row r="98" ht="15.75" customHeight="1" outlineLevel="1">
      <c r="A98" s="170" t="s">
        <v>10535</v>
      </c>
      <c r="B98" s="51" t="s">
        <v>26</v>
      </c>
      <c r="C98" s="51" t="s">
        <v>27</v>
      </c>
      <c r="D98" s="52" t="s">
        <v>4</v>
      </c>
      <c r="E98" s="53" t="s">
        <v>27</v>
      </c>
      <c r="F98" s="52" t="s">
        <v>4</v>
      </c>
      <c r="G98" s="52" t="s">
        <v>55</v>
      </c>
      <c r="H98" s="176" t="s">
        <v>454</v>
      </c>
      <c r="I98" s="175" t="s">
        <v>10671</v>
      </c>
      <c r="J98" s="176" t="s">
        <v>4777</v>
      </c>
      <c r="K98" s="175" t="s">
        <v>29</v>
      </c>
      <c r="L98" s="176" t="s">
        <v>5506</v>
      </c>
      <c r="M98" s="52" t="s">
        <v>46</v>
      </c>
      <c r="N98" s="54" t="s">
        <v>10496</v>
      </c>
      <c r="O98" s="55" t="str">
        <f t="shared" si="4"/>
        <v>L1.00.00.10.16.01</v>
      </c>
      <c r="P98" s="55" t="str">
        <f t="shared" si="5"/>
        <v>L1.00.00.10.16.01.07</v>
      </c>
      <c r="Q98" s="160" t="s">
        <v>10530</v>
      </c>
      <c r="R98" s="169" t="str">
        <f t="shared" si="6"/>
        <v>Dự án MISA eSign</v>
      </c>
      <c r="S98" s="97" t="s">
        <v>10673</v>
      </c>
      <c r="T98" s="96" t="s">
        <v>5507</v>
      </c>
      <c r="U98" s="96" t="s">
        <v>453</v>
      </c>
      <c r="V98" s="96" t="s">
        <v>454</v>
      </c>
      <c r="W98" s="96" t="s">
        <v>4777</v>
      </c>
      <c r="X98" s="96" t="s">
        <v>5506</v>
      </c>
      <c r="Y98" s="96"/>
      <c r="Z98" s="98" t="s">
        <v>10674</v>
      </c>
      <c r="AA98" s="153" t="s">
        <v>10530</v>
      </c>
      <c r="AB98" s="91"/>
      <c r="AC98" s="91"/>
      <c r="AD98" s="91"/>
    </row>
    <row r="99" ht="15.75" customHeight="1" outlineLevel="1">
      <c r="A99" s="170" t="s">
        <v>10535</v>
      </c>
      <c r="B99" s="51" t="s">
        <v>26</v>
      </c>
      <c r="C99" s="51" t="s">
        <v>27</v>
      </c>
      <c r="D99" s="52" t="s">
        <v>4</v>
      </c>
      <c r="E99" s="53" t="s">
        <v>27</v>
      </c>
      <c r="F99" s="52" t="s">
        <v>4</v>
      </c>
      <c r="G99" s="52" t="s">
        <v>55</v>
      </c>
      <c r="H99" s="176" t="s">
        <v>454</v>
      </c>
      <c r="I99" s="175" t="s">
        <v>10671</v>
      </c>
      <c r="J99" s="176" t="s">
        <v>4777</v>
      </c>
      <c r="K99" s="177" t="s">
        <v>33</v>
      </c>
      <c r="L99" s="176" t="s">
        <v>5734</v>
      </c>
      <c r="M99" s="52" t="s">
        <v>46</v>
      </c>
      <c r="N99" s="54" t="s">
        <v>10496</v>
      </c>
      <c r="O99" s="55" t="str">
        <f t="shared" si="4"/>
        <v>L1.00.00.10.16.02</v>
      </c>
      <c r="P99" s="55" t="str">
        <f t="shared" si="5"/>
        <v>L1.00.00.10.16.02.07</v>
      </c>
      <c r="Q99" s="160" t="s">
        <v>10530</v>
      </c>
      <c r="R99" s="169" t="str">
        <f t="shared" si="6"/>
        <v>Dự án MISA eSign Mobile</v>
      </c>
      <c r="S99" s="97" t="s">
        <v>10673</v>
      </c>
      <c r="T99" s="96" t="s">
        <v>5735</v>
      </c>
      <c r="U99" s="96" t="s">
        <v>453</v>
      </c>
      <c r="V99" s="96" t="s">
        <v>454</v>
      </c>
      <c r="W99" s="96" t="s">
        <v>4777</v>
      </c>
      <c r="X99" s="96" t="s">
        <v>5734</v>
      </c>
      <c r="Y99" s="96"/>
      <c r="Z99" s="98" t="s">
        <v>10675</v>
      </c>
      <c r="AA99" s="153" t="s">
        <v>10530</v>
      </c>
      <c r="AB99" s="91"/>
      <c r="AC99" s="91"/>
      <c r="AD99" s="91"/>
    </row>
    <row r="100" ht="15.75" customHeight="1" outlineLevel="1">
      <c r="A100" s="170" t="s">
        <v>10535</v>
      </c>
      <c r="B100" s="51" t="s">
        <v>26</v>
      </c>
      <c r="C100" s="51" t="s">
        <v>27</v>
      </c>
      <c r="D100" s="52" t="s">
        <v>4</v>
      </c>
      <c r="E100" s="53" t="s">
        <v>27</v>
      </c>
      <c r="F100" s="52" t="s">
        <v>4</v>
      </c>
      <c r="G100" s="52" t="s">
        <v>55</v>
      </c>
      <c r="H100" s="176" t="s">
        <v>454</v>
      </c>
      <c r="I100" s="175" t="s">
        <v>10671</v>
      </c>
      <c r="J100" s="176" t="s">
        <v>4777</v>
      </c>
      <c r="K100" s="177" t="s">
        <v>35</v>
      </c>
      <c r="L100" s="176" t="s">
        <v>5705</v>
      </c>
      <c r="M100" s="52" t="s">
        <v>46</v>
      </c>
      <c r="N100" s="54" t="s">
        <v>10496</v>
      </c>
      <c r="O100" s="55" t="str">
        <f t="shared" si="4"/>
        <v>L1.00.00.10.16.03</v>
      </c>
      <c r="P100" s="55" t="str">
        <f t="shared" si="5"/>
        <v>L1.00.00.10.16.03.07</v>
      </c>
      <c r="Q100" s="160" t="s">
        <v>10530</v>
      </c>
      <c r="R100" s="169" t="str">
        <f t="shared" si="6"/>
        <v>[MISA eSign] Nhóm Phân tích và Thiết kế</v>
      </c>
      <c r="S100" s="97" t="s">
        <v>10673</v>
      </c>
      <c r="T100" s="96" t="s">
        <v>5706</v>
      </c>
      <c r="U100" s="96" t="s">
        <v>453</v>
      </c>
      <c r="V100" s="96" t="s">
        <v>454</v>
      </c>
      <c r="W100" s="96" t="s">
        <v>4777</v>
      </c>
      <c r="X100" s="96" t="s">
        <v>5705</v>
      </c>
      <c r="Y100" s="96"/>
      <c r="Z100" s="98" t="s">
        <v>10676</v>
      </c>
      <c r="AA100" s="153" t="s">
        <v>10530</v>
      </c>
      <c r="AB100" s="91"/>
      <c r="AC100" s="91"/>
      <c r="AD100" s="91"/>
    </row>
    <row r="101" ht="15.75" customHeight="1" outlineLevel="1">
      <c r="A101" s="170" t="s">
        <v>10535</v>
      </c>
      <c r="B101" s="51" t="s">
        <v>26</v>
      </c>
      <c r="C101" s="51" t="s">
        <v>27</v>
      </c>
      <c r="D101" s="52" t="s">
        <v>4</v>
      </c>
      <c r="E101" s="53" t="s">
        <v>27</v>
      </c>
      <c r="F101" s="52" t="s">
        <v>4</v>
      </c>
      <c r="G101" s="52" t="s">
        <v>55</v>
      </c>
      <c r="H101" s="176" t="s">
        <v>454</v>
      </c>
      <c r="I101" s="175" t="s">
        <v>10677</v>
      </c>
      <c r="J101" s="176" t="s">
        <v>2669</v>
      </c>
      <c r="K101" s="172" t="s">
        <v>27</v>
      </c>
      <c r="L101" s="218" t="s">
        <v>4</v>
      </c>
      <c r="M101" s="52" t="s">
        <v>46</v>
      </c>
      <c r="N101" s="54" t="s">
        <v>10496</v>
      </c>
      <c r="O101" s="55" t="str">
        <f t="shared" si="4"/>
        <v>L1.00.00.10.17.00</v>
      </c>
      <c r="P101" s="55" t="str">
        <f t="shared" si="5"/>
        <v>L1.00.00.10.17.00.07</v>
      </c>
      <c r="Q101" s="160" t="s">
        <v>10530</v>
      </c>
      <c r="R101" s="169" t="str">
        <f t="shared" si="6"/>
        <v>Sản phẩm AMIS weSign</v>
      </c>
      <c r="S101" s="97" t="s">
        <v>10610</v>
      </c>
      <c r="T101" s="97" t="s">
        <v>10678</v>
      </c>
      <c r="U101" s="96" t="s">
        <v>453</v>
      </c>
      <c r="V101" s="96" t="s">
        <v>454</v>
      </c>
      <c r="W101" s="96" t="s">
        <v>2669</v>
      </c>
      <c r="X101" s="96"/>
      <c r="Y101" s="96"/>
      <c r="Z101" s="98" t="s">
        <v>10679</v>
      </c>
      <c r="AA101" s="153" t="s">
        <v>10530</v>
      </c>
      <c r="AB101" s="91"/>
      <c r="AC101" s="91"/>
      <c r="AD101" s="91"/>
    </row>
    <row r="102" ht="15.75" customHeight="1" outlineLevel="1">
      <c r="A102" s="170" t="s">
        <v>10535</v>
      </c>
      <c r="B102" s="51" t="s">
        <v>26</v>
      </c>
      <c r="C102" s="51" t="s">
        <v>27</v>
      </c>
      <c r="D102" s="52" t="s">
        <v>4</v>
      </c>
      <c r="E102" s="53" t="s">
        <v>27</v>
      </c>
      <c r="F102" s="52" t="s">
        <v>4</v>
      </c>
      <c r="G102" s="52" t="s">
        <v>55</v>
      </c>
      <c r="H102" s="176" t="s">
        <v>454</v>
      </c>
      <c r="I102" s="175" t="s">
        <v>10677</v>
      </c>
      <c r="J102" s="176" t="s">
        <v>2669</v>
      </c>
      <c r="K102" s="175" t="s">
        <v>29</v>
      </c>
      <c r="L102" s="176" t="s">
        <v>2668</v>
      </c>
      <c r="M102" s="52" t="s">
        <v>46</v>
      </c>
      <c r="N102" s="54" t="s">
        <v>10496</v>
      </c>
      <c r="O102" s="55" t="str">
        <f t="shared" si="4"/>
        <v>L1.00.00.10.17.01</v>
      </c>
      <c r="P102" s="55" t="str">
        <f t="shared" si="5"/>
        <v>L1.00.00.10.17.01.07</v>
      </c>
      <c r="Q102" s="160" t="s">
        <v>10530</v>
      </c>
      <c r="R102" s="169" t="str">
        <f t="shared" si="6"/>
        <v>Dự án AMIS weSign</v>
      </c>
      <c r="S102" s="97" t="s">
        <v>10680</v>
      </c>
      <c r="T102" s="96" t="s">
        <v>2670</v>
      </c>
      <c r="U102" s="96" t="s">
        <v>453</v>
      </c>
      <c r="V102" s="96" t="s">
        <v>454</v>
      </c>
      <c r="W102" s="96" t="s">
        <v>2669</v>
      </c>
      <c r="X102" s="96" t="s">
        <v>2668</v>
      </c>
      <c r="Y102" s="96"/>
      <c r="Z102" s="98" t="s">
        <v>10681</v>
      </c>
      <c r="AA102" s="153" t="s">
        <v>10530</v>
      </c>
      <c r="AB102" s="91"/>
      <c r="AC102" s="91"/>
      <c r="AD102" s="91"/>
    </row>
    <row r="103" ht="15.75" customHeight="1" outlineLevel="1">
      <c r="A103" s="170" t="s">
        <v>10535</v>
      </c>
      <c r="B103" s="51" t="s">
        <v>26</v>
      </c>
      <c r="C103" s="51" t="s">
        <v>27</v>
      </c>
      <c r="D103" s="52" t="s">
        <v>4</v>
      </c>
      <c r="E103" s="53" t="s">
        <v>27</v>
      </c>
      <c r="F103" s="52" t="s">
        <v>4</v>
      </c>
      <c r="G103" s="52" t="s">
        <v>55</v>
      </c>
      <c r="H103" s="176" t="s">
        <v>454</v>
      </c>
      <c r="I103" s="175" t="s">
        <v>10677</v>
      </c>
      <c r="J103" s="176" t="s">
        <v>2669</v>
      </c>
      <c r="K103" s="177" t="s">
        <v>33</v>
      </c>
      <c r="L103" s="176" t="s">
        <v>6002</v>
      </c>
      <c r="M103" s="52" t="s">
        <v>46</v>
      </c>
      <c r="N103" s="54" t="s">
        <v>10496</v>
      </c>
      <c r="O103" s="55" t="str">
        <f t="shared" si="4"/>
        <v>L1.00.00.10.17.02</v>
      </c>
      <c r="P103" s="55" t="str">
        <f t="shared" si="5"/>
        <v>L1.00.00.10.17.02.07</v>
      </c>
      <c r="Q103" s="160" t="s">
        <v>10530</v>
      </c>
      <c r="R103" s="169" t="str">
        <f t="shared" si="6"/>
        <v>[AMIS weSign] Nhóm Phân tích và Thiết kế</v>
      </c>
      <c r="S103" s="97" t="s">
        <v>10680</v>
      </c>
      <c r="T103" s="96" t="s">
        <v>6003</v>
      </c>
      <c r="U103" s="96" t="s">
        <v>453</v>
      </c>
      <c r="V103" s="96" t="s">
        <v>454</v>
      </c>
      <c r="W103" s="96" t="s">
        <v>2669</v>
      </c>
      <c r="X103" s="96" t="s">
        <v>6002</v>
      </c>
      <c r="Y103" s="96"/>
      <c r="Z103" s="98" t="s">
        <v>10682</v>
      </c>
      <c r="AA103" s="153" t="s">
        <v>10530</v>
      </c>
      <c r="AB103" s="91"/>
      <c r="AC103" s="91"/>
      <c r="AD103" s="91"/>
    </row>
    <row r="104" ht="15.75" customHeight="1" outlineLevel="1">
      <c r="A104" s="170" t="s">
        <v>10535</v>
      </c>
      <c r="B104" s="51" t="s">
        <v>26</v>
      </c>
      <c r="C104" s="51" t="s">
        <v>27</v>
      </c>
      <c r="D104" s="52" t="s">
        <v>4</v>
      </c>
      <c r="E104" s="53" t="s">
        <v>27</v>
      </c>
      <c r="F104" s="52" t="s">
        <v>4</v>
      </c>
      <c r="G104" s="52" t="s">
        <v>55</v>
      </c>
      <c r="H104" s="176" t="s">
        <v>454</v>
      </c>
      <c r="I104" s="175" t="s">
        <v>10683</v>
      </c>
      <c r="J104" s="176" t="s">
        <v>3569</v>
      </c>
      <c r="K104" s="172" t="s">
        <v>27</v>
      </c>
      <c r="L104" s="174" t="s">
        <v>4</v>
      </c>
      <c r="M104" s="52" t="s">
        <v>46</v>
      </c>
      <c r="N104" s="54" t="s">
        <v>10496</v>
      </c>
      <c r="O104" s="55" t="str">
        <f t="shared" si="4"/>
        <v>L1.00.00.10.18.00</v>
      </c>
      <c r="P104" s="55" t="str">
        <f t="shared" si="5"/>
        <v>L1.00.00.10.18.00.07</v>
      </c>
      <c r="Q104" s="160" t="s">
        <v>10530</v>
      </c>
      <c r="R104" s="169" t="str">
        <f t="shared" si="6"/>
        <v>Sản phẩm QTKD Mobile</v>
      </c>
      <c r="S104" s="97" t="s">
        <v>10610</v>
      </c>
      <c r="T104" s="96" t="s">
        <v>3570</v>
      </c>
      <c r="U104" s="96" t="s">
        <v>453</v>
      </c>
      <c r="V104" s="96" t="s">
        <v>454</v>
      </c>
      <c r="W104" s="96" t="s">
        <v>3569</v>
      </c>
      <c r="X104" s="96"/>
      <c r="Y104" s="96"/>
      <c r="Z104" s="98" t="s">
        <v>10684</v>
      </c>
      <c r="AA104" s="153" t="s">
        <v>10530</v>
      </c>
      <c r="AB104" s="91"/>
      <c r="AC104" s="91"/>
      <c r="AD104" s="91"/>
    </row>
    <row r="105" ht="15.75" customHeight="1" outlineLevel="1">
      <c r="A105" s="170" t="s">
        <v>10535</v>
      </c>
      <c r="B105" s="51" t="s">
        <v>26</v>
      </c>
      <c r="C105" s="51" t="s">
        <v>27</v>
      </c>
      <c r="D105" s="52" t="s">
        <v>4</v>
      </c>
      <c r="E105" s="53" t="s">
        <v>27</v>
      </c>
      <c r="F105" s="52" t="s">
        <v>4</v>
      </c>
      <c r="G105" s="52" t="s">
        <v>55</v>
      </c>
      <c r="H105" s="176" t="s">
        <v>454</v>
      </c>
      <c r="I105" s="175" t="s">
        <v>10685</v>
      </c>
      <c r="J105" s="176" t="s">
        <v>3378</v>
      </c>
      <c r="K105" s="172" t="s">
        <v>27</v>
      </c>
      <c r="L105" s="194" t="s">
        <v>4</v>
      </c>
      <c r="M105" s="52" t="s">
        <v>46</v>
      </c>
      <c r="N105" s="54" t="s">
        <v>10496</v>
      </c>
      <c r="O105" s="55" t="str">
        <f t="shared" si="4"/>
        <v>L1.00.00.10.19.00</v>
      </c>
      <c r="P105" s="55" t="str">
        <f t="shared" si="5"/>
        <v>L1.00.00.10.19.00.07</v>
      </c>
      <c r="Q105" s="160" t="s">
        <v>10530</v>
      </c>
      <c r="R105" s="169" t="str">
        <f t="shared" si="6"/>
        <v>Sản phẩm Customize</v>
      </c>
      <c r="S105" s="97" t="s">
        <v>10610</v>
      </c>
      <c r="T105" s="97" t="s">
        <v>10686</v>
      </c>
      <c r="U105" s="96" t="s">
        <v>453</v>
      </c>
      <c r="V105" s="96" t="s">
        <v>454</v>
      </c>
      <c r="W105" s="96" t="s">
        <v>3378</v>
      </c>
      <c r="X105" s="96" t="s">
        <v>3377</v>
      </c>
      <c r="Y105" s="96"/>
      <c r="Z105" s="98" t="s">
        <v>10687</v>
      </c>
      <c r="AA105" s="153" t="s">
        <v>10530</v>
      </c>
      <c r="AB105" s="91"/>
      <c r="AC105" s="91"/>
      <c r="AD105" s="91"/>
    </row>
    <row r="106" ht="15.75" customHeight="1" outlineLevel="1">
      <c r="A106" s="170" t="s">
        <v>10535</v>
      </c>
      <c r="B106" s="51" t="s">
        <v>26</v>
      </c>
      <c r="C106" s="51" t="s">
        <v>27</v>
      </c>
      <c r="D106" s="52" t="s">
        <v>4</v>
      </c>
      <c r="E106" s="53" t="s">
        <v>27</v>
      </c>
      <c r="F106" s="52" t="s">
        <v>4</v>
      </c>
      <c r="G106" s="52" t="s">
        <v>55</v>
      </c>
      <c r="H106" s="176" t="s">
        <v>454</v>
      </c>
      <c r="I106" s="175" t="s">
        <v>10685</v>
      </c>
      <c r="J106" s="176" t="s">
        <v>3378</v>
      </c>
      <c r="K106" s="175" t="s">
        <v>29</v>
      </c>
      <c r="L106" s="176" t="s">
        <v>3377</v>
      </c>
      <c r="M106" s="52" t="s">
        <v>46</v>
      </c>
      <c r="N106" s="54" t="s">
        <v>10496</v>
      </c>
      <c r="O106" s="55" t="str">
        <f t="shared" si="4"/>
        <v>L1.00.00.10.19.01</v>
      </c>
      <c r="P106" s="55" t="str">
        <f t="shared" si="5"/>
        <v>L1.00.00.10.19.01.07</v>
      </c>
      <c r="Q106" s="160" t="s">
        <v>10530</v>
      </c>
      <c r="R106" s="169" t="str">
        <f t="shared" si="6"/>
        <v>Dự án chuyển đổi kế toán MISA</v>
      </c>
      <c r="S106" s="97" t="s">
        <v>10688</v>
      </c>
      <c r="T106" s="96" t="s">
        <v>3379</v>
      </c>
      <c r="U106" s="96" t="s">
        <v>453</v>
      </c>
      <c r="V106" s="96" t="s">
        <v>454</v>
      </c>
      <c r="W106" s="96" t="s">
        <v>3378</v>
      </c>
      <c r="X106" s="96" t="s">
        <v>3377</v>
      </c>
      <c r="Y106" s="96"/>
      <c r="Z106" s="98" t="s">
        <v>10689</v>
      </c>
      <c r="AA106" s="153" t="s">
        <v>10530</v>
      </c>
      <c r="AB106" s="91"/>
      <c r="AC106" s="91"/>
      <c r="AD106" s="91"/>
    </row>
    <row r="107" ht="15.75" customHeight="1" outlineLevel="1">
      <c r="A107" s="170" t="s">
        <v>10535</v>
      </c>
      <c r="B107" s="51" t="s">
        <v>26</v>
      </c>
      <c r="C107" s="51" t="s">
        <v>27</v>
      </c>
      <c r="D107" s="52" t="s">
        <v>4</v>
      </c>
      <c r="E107" s="53" t="s">
        <v>27</v>
      </c>
      <c r="F107" s="52" t="s">
        <v>4</v>
      </c>
      <c r="G107" s="52" t="s">
        <v>55</v>
      </c>
      <c r="H107" s="176" t="s">
        <v>454</v>
      </c>
      <c r="I107" s="175" t="s">
        <v>10685</v>
      </c>
      <c r="J107" s="176" t="s">
        <v>3378</v>
      </c>
      <c r="K107" s="177" t="s">
        <v>33</v>
      </c>
      <c r="L107" s="176" t="s">
        <v>4420</v>
      </c>
      <c r="M107" s="52" t="s">
        <v>46</v>
      </c>
      <c r="N107" s="54" t="s">
        <v>10496</v>
      </c>
      <c r="O107" s="55" t="str">
        <f t="shared" si="4"/>
        <v>L1.00.00.10.19.02</v>
      </c>
      <c r="P107" s="55" t="str">
        <f t="shared" si="5"/>
        <v>L1.00.00.10.19.02.07</v>
      </c>
      <c r="Q107" s="160" t="s">
        <v>10530</v>
      </c>
      <c r="R107" s="169" t="str">
        <f t="shared" si="6"/>
        <v>Dự án Customize KH DN lớn</v>
      </c>
      <c r="S107" s="97" t="s">
        <v>10688</v>
      </c>
      <c r="T107" s="96" t="s">
        <v>4421</v>
      </c>
      <c r="U107" s="96" t="s">
        <v>453</v>
      </c>
      <c r="V107" s="96" t="s">
        <v>454</v>
      </c>
      <c r="W107" s="96" t="s">
        <v>3378</v>
      </c>
      <c r="X107" s="96" t="s">
        <v>4420</v>
      </c>
      <c r="Y107" s="96"/>
      <c r="Z107" s="98" t="s">
        <v>10690</v>
      </c>
      <c r="AA107" s="153" t="s">
        <v>10530</v>
      </c>
      <c r="AB107" s="91"/>
      <c r="AC107" s="91"/>
      <c r="AD107" s="91"/>
    </row>
    <row r="108" ht="15.75" customHeight="1" outlineLevel="1">
      <c r="A108" s="170" t="s">
        <v>10535</v>
      </c>
      <c r="B108" s="51" t="s">
        <v>26</v>
      </c>
      <c r="C108" s="51" t="s">
        <v>27</v>
      </c>
      <c r="D108" s="52" t="s">
        <v>4</v>
      </c>
      <c r="E108" s="53" t="s">
        <v>27</v>
      </c>
      <c r="F108" s="52" t="s">
        <v>4</v>
      </c>
      <c r="G108" s="52" t="s">
        <v>55</v>
      </c>
      <c r="H108" s="176" t="s">
        <v>454</v>
      </c>
      <c r="I108" s="175" t="s">
        <v>10691</v>
      </c>
      <c r="J108" s="176" t="s">
        <v>4597</v>
      </c>
      <c r="K108" s="175" t="s">
        <v>27</v>
      </c>
      <c r="L108" s="194" t="s">
        <v>4</v>
      </c>
      <c r="M108" s="52" t="s">
        <v>46</v>
      </c>
      <c r="N108" s="54" t="s">
        <v>10496</v>
      </c>
      <c r="O108" s="55" t="str">
        <f t="shared" si="4"/>
        <v>L1.00.00.10.20.00</v>
      </c>
      <c r="P108" s="55" t="str">
        <f t="shared" si="5"/>
        <v>L1.00.00.10.20.00.07</v>
      </c>
      <c r="Q108" s="160" t="s">
        <v>10530</v>
      </c>
      <c r="R108" s="169" t="str">
        <f t="shared" si="6"/>
        <v>Sản phẩm AMIS CRM (MISA)</v>
      </c>
      <c r="S108" s="97" t="s">
        <v>10610</v>
      </c>
      <c r="T108" s="97" t="s">
        <v>10692</v>
      </c>
      <c r="U108" s="96" t="s">
        <v>453</v>
      </c>
      <c r="V108" s="96" t="s">
        <v>454</v>
      </c>
      <c r="W108" s="96" t="s">
        <v>4597</v>
      </c>
      <c r="X108" s="96" t="s">
        <v>4596</v>
      </c>
      <c r="Y108" s="96"/>
      <c r="Z108" s="98" t="s">
        <v>10693</v>
      </c>
      <c r="AA108" s="153" t="s">
        <v>10530</v>
      </c>
      <c r="AB108" s="91"/>
      <c r="AC108" s="91"/>
      <c r="AD108" s="91"/>
    </row>
    <row r="109" ht="15.75" customHeight="1" outlineLevel="1">
      <c r="A109" s="170" t="s">
        <v>10535</v>
      </c>
      <c r="B109" s="51" t="s">
        <v>26</v>
      </c>
      <c r="C109" s="51" t="s">
        <v>27</v>
      </c>
      <c r="D109" s="52" t="s">
        <v>4</v>
      </c>
      <c r="E109" s="53" t="s">
        <v>27</v>
      </c>
      <c r="F109" s="52" t="s">
        <v>4</v>
      </c>
      <c r="G109" s="52" t="s">
        <v>55</v>
      </c>
      <c r="H109" s="176" t="s">
        <v>454</v>
      </c>
      <c r="I109" s="175" t="s">
        <v>10691</v>
      </c>
      <c r="J109" s="176" t="s">
        <v>4597</v>
      </c>
      <c r="K109" s="175" t="s">
        <v>29</v>
      </c>
      <c r="L109" s="176" t="s">
        <v>4596</v>
      </c>
      <c r="M109" s="52" t="s">
        <v>46</v>
      </c>
      <c r="N109" s="54" t="s">
        <v>10496</v>
      </c>
      <c r="O109" s="55" t="str">
        <f t="shared" si="4"/>
        <v>L1.00.00.10.20.01</v>
      </c>
      <c r="P109" s="55" t="str">
        <f t="shared" si="5"/>
        <v>L1.00.00.10.20.01.07</v>
      </c>
      <c r="Q109" s="160" t="s">
        <v>10530</v>
      </c>
      <c r="R109" s="169" t="str">
        <f t="shared" si="6"/>
        <v>Dự án AMIS CRM (MISA)</v>
      </c>
      <c r="S109" s="97" t="s">
        <v>10694</v>
      </c>
      <c r="T109" s="96" t="s">
        <v>4598</v>
      </c>
      <c r="U109" s="96" t="s">
        <v>453</v>
      </c>
      <c r="V109" s="96" t="s">
        <v>454</v>
      </c>
      <c r="W109" s="96" t="s">
        <v>4597</v>
      </c>
      <c r="X109" s="96" t="s">
        <v>4596</v>
      </c>
      <c r="Y109" s="96"/>
      <c r="Z109" s="98" t="s">
        <v>10695</v>
      </c>
      <c r="AA109" s="153" t="s">
        <v>10530</v>
      </c>
      <c r="AB109" s="91"/>
      <c r="AC109" s="91"/>
      <c r="AD109" s="91"/>
    </row>
    <row r="110" ht="15.75" customHeight="1" outlineLevel="1">
      <c r="A110" s="170" t="s">
        <v>10535</v>
      </c>
      <c r="B110" s="51" t="s">
        <v>26</v>
      </c>
      <c r="C110" s="51" t="s">
        <v>27</v>
      </c>
      <c r="D110" s="52" t="s">
        <v>4</v>
      </c>
      <c r="E110" s="53" t="s">
        <v>27</v>
      </c>
      <c r="F110" s="52" t="s">
        <v>4</v>
      </c>
      <c r="G110" s="52" t="s">
        <v>55</v>
      </c>
      <c r="H110" s="176" t="s">
        <v>454</v>
      </c>
      <c r="I110" s="175" t="s">
        <v>10691</v>
      </c>
      <c r="J110" s="176" t="s">
        <v>4597</v>
      </c>
      <c r="K110" s="177" t="s">
        <v>33</v>
      </c>
      <c r="L110" s="176" t="s">
        <v>6639</v>
      </c>
      <c r="M110" s="52" t="s">
        <v>46</v>
      </c>
      <c r="N110" s="54" t="s">
        <v>10496</v>
      </c>
      <c r="O110" s="55" t="str">
        <f t="shared" si="4"/>
        <v>L1.00.00.10.20.02</v>
      </c>
      <c r="P110" s="55" t="str">
        <f t="shared" si="5"/>
        <v>L1.00.00.10.20.02.07</v>
      </c>
      <c r="Q110" s="160" t="s">
        <v>10530</v>
      </c>
      <c r="R110" s="169" t="str">
        <f t="shared" si="6"/>
        <v>[AMIS CRM MISA] Nhóm Phân tích &amp; Thiết kế</v>
      </c>
      <c r="S110" s="97" t="s">
        <v>10694</v>
      </c>
      <c r="T110" s="96" t="s">
        <v>6640</v>
      </c>
      <c r="U110" s="96" t="s">
        <v>453</v>
      </c>
      <c r="V110" s="96" t="s">
        <v>454</v>
      </c>
      <c r="W110" s="96" t="s">
        <v>4597</v>
      </c>
      <c r="X110" s="96" t="s">
        <v>6639</v>
      </c>
      <c r="Y110" s="96"/>
      <c r="Z110" s="98" t="s">
        <v>10696</v>
      </c>
      <c r="AA110" s="153" t="s">
        <v>10530</v>
      </c>
      <c r="AB110" s="91"/>
      <c r="AC110" s="91"/>
      <c r="AD110" s="91"/>
    </row>
    <row r="111" ht="15.75" customHeight="1" outlineLevel="1">
      <c r="A111" s="170" t="s">
        <v>10535</v>
      </c>
      <c r="B111" s="51" t="s">
        <v>26</v>
      </c>
      <c r="C111" s="51" t="s">
        <v>27</v>
      </c>
      <c r="D111" s="52" t="s">
        <v>4</v>
      </c>
      <c r="E111" s="53" t="s">
        <v>27</v>
      </c>
      <c r="F111" s="52" t="s">
        <v>4</v>
      </c>
      <c r="G111" s="52" t="s">
        <v>55</v>
      </c>
      <c r="H111" s="176" t="s">
        <v>454</v>
      </c>
      <c r="I111" s="175" t="s">
        <v>10697</v>
      </c>
      <c r="J111" s="176" t="s">
        <v>5228</v>
      </c>
      <c r="K111" s="175" t="s">
        <v>27</v>
      </c>
      <c r="L111" s="194" t="s">
        <v>4</v>
      </c>
      <c r="M111" s="52" t="s">
        <v>46</v>
      </c>
      <c r="N111" s="54" t="s">
        <v>10496</v>
      </c>
      <c r="O111" s="55" t="str">
        <f t="shared" si="4"/>
        <v>L1.00.00.10.21.00</v>
      </c>
      <c r="P111" s="55" t="str">
        <f t="shared" si="5"/>
        <v>L1.00.00.10.21.00.07</v>
      </c>
      <c r="Q111" s="160" t="s">
        <v>10530</v>
      </c>
      <c r="R111" s="169" t="str">
        <f t="shared" si="6"/>
        <v>Sản phẩm AMIS Quản lý Tài sản</v>
      </c>
      <c r="S111" s="97" t="s">
        <v>10610</v>
      </c>
      <c r="T111" s="97" t="s">
        <v>10698</v>
      </c>
      <c r="U111" s="96" t="s">
        <v>453</v>
      </c>
      <c r="V111" s="96" t="s">
        <v>454</v>
      </c>
      <c r="W111" s="96" t="s">
        <v>5228</v>
      </c>
      <c r="X111" s="96" t="s">
        <v>6809</v>
      </c>
      <c r="Y111" s="96"/>
      <c r="Z111" s="98" t="s">
        <v>10699</v>
      </c>
      <c r="AA111" s="153" t="s">
        <v>10530</v>
      </c>
      <c r="AB111" s="91"/>
      <c r="AC111" s="91"/>
      <c r="AD111" s="91"/>
    </row>
    <row r="112" ht="15.75" customHeight="1" outlineLevel="1">
      <c r="A112" s="170" t="s">
        <v>10535</v>
      </c>
      <c r="B112" s="51" t="s">
        <v>26</v>
      </c>
      <c r="C112" s="51" t="s">
        <v>27</v>
      </c>
      <c r="D112" s="52" t="s">
        <v>4</v>
      </c>
      <c r="E112" s="53" t="s">
        <v>27</v>
      </c>
      <c r="F112" s="52" t="s">
        <v>4</v>
      </c>
      <c r="G112" s="52" t="s">
        <v>55</v>
      </c>
      <c r="H112" s="176" t="s">
        <v>454</v>
      </c>
      <c r="I112" s="175" t="s">
        <v>10697</v>
      </c>
      <c r="J112" s="176" t="s">
        <v>5228</v>
      </c>
      <c r="K112" s="175" t="s">
        <v>29</v>
      </c>
      <c r="L112" s="176" t="s">
        <v>6809</v>
      </c>
      <c r="M112" s="52" t="s">
        <v>46</v>
      </c>
      <c r="N112" s="54" t="s">
        <v>10496</v>
      </c>
      <c r="O112" s="55" t="str">
        <f t="shared" si="4"/>
        <v>L1.00.00.10.21.01</v>
      </c>
      <c r="P112" s="55" t="str">
        <f t="shared" si="5"/>
        <v>L1.00.00.10.21.01.07</v>
      </c>
      <c r="Q112" s="160" t="s">
        <v>10530</v>
      </c>
      <c r="R112" s="169" t="str">
        <f t="shared" si="6"/>
        <v>Dự án AMIS Quản lý Tài sản</v>
      </c>
      <c r="S112" s="97" t="s">
        <v>10700</v>
      </c>
      <c r="T112" s="96" t="s">
        <v>6810</v>
      </c>
      <c r="U112" s="96" t="s">
        <v>453</v>
      </c>
      <c r="V112" s="96" t="s">
        <v>454</v>
      </c>
      <c r="W112" s="96" t="s">
        <v>5228</v>
      </c>
      <c r="X112" s="96" t="s">
        <v>6809</v>
      </c>
      <c r="Y112" s="96"/>
      <c r="Z112" s="98" t="s">
        <v>10701</v>
      </c>
      <c r="AA112" s="153" t="s">
        <v>10530</v>
      </c>
      <c r="AB112" s="91"/>
      <c r="AC112" s="91"/>
      <c r="AD112" s="91"/>
    </row>
    <row r="113" ht="15.75" customHeight="1" outlineLevel="1">
      <c r="A113" s="170" t="s">
        <v>10535</v>
      </c>
      <c r="B113" s="51" t="s">
        <v>26</v>
      </c>
      <c r="C113" s="51" t="s">
        <v>27</v>
      </c>
      <c r="D113" s="52" t="s">
        <v>4</v>
      </c>
      <c r="E113" s="53" t="s">
        <v>27</v>
      </c>
      <c r="F113" s="52" t="s">
        <v>4</v>
      </c>
      <c r="G113" s="52" t="s">
        <v>55</v>
      </c>
      <c r="H113" s="176" t="s">
        <v>454</v>
      </c>
      <c r="I113" s="175" t="s">
        <v>10697</v>
      </c>
      <c r="J113" s="176" t="s">
        <v>5228</v>
      </c>
      <c r="K113" s="177" t="s">
        <v>33</v>
      </c>
      <c r="L113" s="176" t="s">
        <v>5227</v>
      </c>
      <c r="M113" s="52" t="s">
        <v>46</v>
      </c>
      <c r="N113" s="54" t="s">
        <v>10496</v>
      </c>
      <c r="O113" s="55" t="str">
        <f t="shared" si="4"/>
        <v>L1.00.00.10.21.02</v>
      </c>
      <c r="P113" s="55" t="str">
        <f t="shared" si="5"/>
        <v>L1.00.00.10.21.02.07</v>
      </c>
      <c r="Q113" s="160" t="s">
        <v>10530</v>
      </c>
      <c r="R113" s="169" t="str">
        <f t="shared" si="6"/>
        <v>[AMIS QLTS] Nhóm Phân tích &amp; Thiết kế</v>
      </c>
      <c r="S113" s="97" t="s">
        <v>10700</v>
      </c>
      <c r="T113" s="96" t="s">
        <v>5229</v>
      </c>
      <c r="U113" s="96" t="s">
        <v>453</v>
      </c>
      <c r="V113" s="96" t="s">
        <v>454</v>
      </c>
      <c r="W113" s="96" t="s">
        <v>5228</v>
      </c>
      <c r="X113" s="96" t="s">
        <v>5227</v>
      </c>
      <c r="Y113" s="96"/>
      <c r="Z113" s="98" t="s">
        <v>10702</v>
      </c>
      <c r="AA113" s="153" t="s">
        <v>10530</v>
      </c>
      <c r="AB113" s="91"/>
      <c r="AC113" s="91"/>
      <c r="AD113" s="91"/>
    </row>
    <row r="114" ht="15.75" customHeight="1" outlineLevel="1">
      <c r="A114" s="170" t="s">
        <v>10535</v>
      </c>
      <c r="B114" s="51" t="s">
        <v>26</v>
      </c>
      <c r="C114" s="51" t="s">
        <v>27</v>
      </c>
      <c r="D114" s="52" t="s">
        <v>4</v>
      </c>
      <c r="E114" s="53" t="s">
        <v>27</v>
      </c>
      <c r="F114" s="52" t="s">
        <v>4</v>
      </c>
      <c r="G114" s="52" t="s">
        <v>55</v>
      </c>
      <c r="H114" s="176" t="s">
        <v>454</v>
      </c>
      <c r="I114" s="175" t="s">
        <v>10703</v>
      </c>
      <c r="J114" s="176" t="s">
        <v>474</v>
      </c>
      <c r="K114" s="175" t="s">
        <v>27</v>
      </c>
      <c r="L114" s="218" t="s">
        <v>4</v>
      </c>
      <c r="M114" s="52" t="s">
        <v>46</v>
      </c>
      <c r="N114" s="54" t="s">
        <v>10496</v>
      </c>
      <c r="O114" s="55" t="str">
        <f t="shared" si="4"/>
        <v>L1.00.00.10.22.00</v>
      </c>
      <c r="P114" s="55" t="str">
        <f t="shared" si="5"/>
        <v>L1.00.00.10.22.00.07</v>
      </c>
      <c r="Q114" s="160" t="s">
        <v>10530</v>
      </c>
      <c r="R114" s="169" t="str">
        <f t="shared" si="6"/>
        <v>Sản phẩm AMIS Platform Core</v>
      </c>
      <c r="S114" s="97" t="s">
        <v>10610</v>
      </c>
      <c r="T114" s="97" t="s">
        <v>10704</v>
      </c>
      <c r="U114" s="96" t="s">
        <v>453</v>
      </c>
      <c r="V114" s="96" t="s">
        <v>454</v>
      </c>
      <c r="W114" s="96" t="s">
        <v>474</v>
      </c>
      <c r="X114" s="96"/>
      <c r="Y114" s="97"/>
      <c r="Z114" s="98" t="s">
        <v>10705</v>
      </c>
      <c r="AA114" s="153" t="s">
        <v>10530</v>
      </c>
      <c r="AB114" s="91"/>
      <c r="AC114" s="91"/>
      <c r="AD114" s="91"/>
    </row>
    <row r="115" ht="15.75" customHeight="1" outlineLevel="1">
      <c r="A115" s="170" t="s">
        <v>10535</v>
      </c>
      <c r="B115" s="51" t="s">
        <v>26</v>
      </c>
      <c r="C115" s="51" t="s">
        <v>27</v>
      </c>
      <c r="D115" s="52" t="s">
        <v>4</v>
      </c>
      <c r="E115" s="53" t="s">
        <v>27</v>
      </c>
      <c r="F115" s="52" t="s">
        <v>4</v>
      </c>
      <c r="G115" s="52" t="s">
        <v>55</v>
      </c>
      <c r="H115" s="176" t="s">
        <v>454</v>
      </c>
      <c r="I115" s="175" t="s">
        <v>10703</v>
      </c>
      <c r="J115" s="176" t="s">
        <v>474</v>
      </c>
      <c r="K115" s="175" t="s">
        <v>29</v>
      </c>
      <c r="L115" s="176" t="s">
        <v>473</v>
      </c>
      <c r="M115" s="52" t="s">
        <v>46</v>
      </c>
      <c r="N115" s="54" t="s">
        <v>10496</v>
      </c>
      <c r="O115" s="55" t="str">
        <f t="shared" si="4"/>
        <v>L1.00.00.10.22.01</v>
      </c>
      <c r="P115" s="55" t="str">
        <f t="shared" si="5"/>
        <v>L1.00.00.10.22.01.07</v>
      </c>
      <c r="Q115" s="160" t="s">
        <v>10530</v>
      </c>
      <c r="R115" s="169" t="str">
        <f t="shared" si="6"/>
        <v>Dự án AMIS Platform Core</v>
      </c>
      <c r="S115" s="97" t="s">
        <v>10706</v>
      </c>
      <c r="T115" s="96" t="s">
        <v>475</v>
      </c>
      <c r="U115" s="96" t="s">
        <v>453</v>
      </c>
      <c r="V115" s="96" t="s">
        <v>454</v>
      </c>
      <c r="W115" s="96" t="s">
        <v>474</v>
      </c>
      <c r="X115" s="96" t="s">
        <v>473</v>
      </c>
      <c r="Y115" s="96"/>
      <c r="Z115" s="98" t="s">
        <v>10707</v>
      </c>
      <c r="AA115" s="153" t="s">
        <v>10530</v>
      </c>
      <c r="AB115" s="91"/>
      <c r="AC115" s="91"/>
      <c r="AD115" s="91"/>
    </row>
    <row r="116" ht="15.75" customHeight="1" outlineLevel="1">
      <c r="A116" s="170" t="s">
        <v>10535</v>
      </c>
      <c r="B116" s="51" t="s">
        <v>26</v>
      </c>
      <c r="C116" s="51" t="s">
        <v>27</v>
      </c>
      <c r="D116" s="52" t="s">
        <v>4</v>
      </c>
      <c r="E116" s="53" t="s">
        <v>27</v>
      </c>
      <c r="F116" s="52" t="s">
        <v>4</v>
      </c>
      <c r="G116" s="52" t="s">
        <v>55</v>
      </c>
      <c r="H116" s="176" t="s">
        <v>454</v>
      </c>
      <c r="I116" s="175" t="s">
        <v>10703</v>
      </c>
      <c r="J116" s="176" t="s">
        <v>474</v>
      </c>
      <c r="K116" s="177" t="s">
        <v>33</v>
      </c>
      <c r="L116" s="176" t="s">
        <v>483</v>
      </c>
      <c r="M116" s="52" t="s">
        <v>46</v>
      </c>
      <c r="N116" s="54" t="s">
        <v>10496</v>
      </c>
      <c r="O116" s="55" t="str">
        <f t="shared" si="4"/>
        <v>L1.00.00.10.22.02</v>
      </c>
      <c r="P116" s="55" t="str">
        <f t="shared" si="5"/>
        <v>L1.00.00.10.22.02.07</v>
      </c>
      <c r="Q116" s="160" t="s">
        <v>10530</v>
      </c>
      <c r="R116" s="169" t="str">
        <f t="shared" si="6"/>
        <v>[AMIS Platform Core] Nhóm Phân tích &amp; Thiết kế</v>
      </c>
      <c r="S116" s="97" t="s">
        <v>10706</v>
      </c>
      <c r="T116" s="96" t="s">
        <v>484</v>
      </c>
      <c r="U116" s="96" t="s">
        <v>453</v>
      </c>
      <c r="V116" s="96" t="s">
        <v>454</v>
      </c>
      <c r="W116" s="96" t="s">
        <v>474</v>
      </c>
      <c r="X116" s="96" t="s">
        <v>483</v>
      </c>
      <c r="Y116" s="96"/>
      <c r="Z116" s="98" t="s">
        <v>10708</v>
      </c>
      <c r="AA116" s="153" t="s">
        <v>10530</v>
      </c>
      <c r="AB116" s="91"/>
      <c r="AC116" s="91"/>
      <c r="AD116" s="91"/>
    </row>
    <row r="117" ht="15.75" customHeight="1" outlineLevel="1">
      <c r="A117" s="170" t="s">
        <v>10535</v>
      </c>
      <c r="B117" s="51" t="s">
        <v>26</v>
      </c>
      <c r="C117" s="51" t="s">
        <v>27</v>
      </c>
      <c r="D117" s="52" t="s">
        <v>4</v>
      </c>
      <c r="E117" s="53" t="s">
        <v>27</v>
      </c>
      <c r="F117" s="52" t="s">
        <v>4</v>
      </c>
      <c r="G117" s="52" t="s">
        <v>61</v>
      </c>
      <c r="H117" s="176" t="s">
        <v>607</v>
      </c>
      <c r="I117" s="175" t="s">
        <v>27</v>
      </c>
      <c r="J117" s="219" t="s">
        <v>4</v>
      </c>
      <c r="K117" s="172" t="s">
        <v>27</v>
      </c>
      <c r="L117" s="174" t="s">
        <v>4</v>
      </c>
      <c r="M117" s="52" t="s">
        <v>46</v>
      </c>
      <c r="N117" s="54" t="s">
        <v>10496</v>
      </c>
      <c r="O117" s="55" t="str">
        <f t="shared" si="4"/>
        <v>L1.00.00.11.00.00</v>
      </c>
      <c r="P117" s="55" t="str">
        <f t="shared" si="5"/>
        <v>L1.00.00.11.00.00.07</v>
      </c>
      <c r="Q117" s="160" t="s">
        <v>10530</v>
      </c>
      <c r="R117" s="169" t="str">
        <f t="shared" si="6"/>
        <v>Khối sản phẩm Hành chính sự nghiệp</v>
      </c>
      <c r="S117" s="97" t="s">
        <v>10536</v>
      </c>
      <c r="T117" s="97" t="s">
        <v>10709</v>
      </c>
      <c r="U117" s="96" t="s">
        <v>453</v>
      </c>
      <c r="V117" s="96" t="s">
        <v>607</v>
      </c>
      <c r="W117" s="96" t="s">
        <v>63</v>
      </c>
      <c r="X117" s="96"/>
      <c r="Y117" s="96"/>
      <c r="Z117" s="98" t="s">
        <v>10710</v>
      </c>
      <c r="AA117" s="153" t="s">
        <v>10530</v>
      </c>
      <c r="AB117" s="91"/>
      <c r="AC117" s="91"/>
      <c r="AD117" s="91"/>
    </row>
    <row r="118" ht="15.75" customHeight="1" outlineLevel="1">
      <c r="A118" s="170" t="s">
        <v>10535</v>
      </c>
      <c r="B118" s="51" t="s">
        <v>26</v>
      </c>
      <c r="C118" s="51" t="s">
        <v>27</v>
      </c>
      <c r="D118" s="52" t="s">
        <v>4</v>
      </c>
      <c r="E118" s="53" t="s">
        <v>27</v>
      </c>
      <c r="F118" s="52" t="s">
        <v>4</v>
      </c>
      <c r="G118" s="52" t="s">
        <v>61</v>
      </c>
      <c r="H118" s="176" t="s">
        <v>607</v>
      </c>
      <c r="I118" s="172" t="s">
        <v>29</v>
      </c>
      <c r="J118" s="173" t="s">
        <v>63</v>
      </c>
      <c r="K118" s="172" t="s">
        <v>27</v>
      </c>
      <c r="L118" s="174" t="s">
        <v>4</v>
      </c>
      <c r="M118" s="52" t="s">
        <v>46</v>
      </c>
      <c r="N118" s="54" t="s">
        <v>10496</v>
      </c>
      <c r="O118" s="55" t="str">
        <f t="shared" si="4"/>
        <v>L1.00.00.11.01.00</v>
      </c>
      <c r="P118" s="55" t="str">
        <f t="shared" si="5"/>
        <v>L1.00.00.11.01.00.07</v>
      </c>
      <c r="Q118" s="160" t="s">
        <v>10530</v>
      </c>
      <c r="R118" s="169" t="str">
        <f t="shared" si="6"/>
        <v>Ban Giám đốc Khối SP HCSN</v>
      </c>
      <c r="S118" s="97" t="s">
        <v>10517</v>
      </c>
      <c r="T118" s="96" t="s">
        <v>4997</v>
      </c>
      <c r="U118" s="96" t="s">
        <v>453</v>
      </c>
      <c r="V118" s="96" t="s">
        <v>607</v>
      </c>
      <c r="W118" s="96" t="s">
        <v>63</v>
      </c>
      <c r="X118" s="96"/>
      <c r="Y118" s="96"/>
      <c r="Z118" s="98" t="s">
        <v>10711</v>
      </c>
      <c r="AA118" s="153" t="s">
        <v>10530</v>
      </c>
      <c r="AB118" s="91"/>
      <c r="AC118" s="91"/>
      <c r="AD118" s="91"/>
    </row>
    <row r="119" ht="15.75" customHeight="1" outlineLevel="1">
      <c r="A119" s="170" t="s">
        <v>10535</v>
      </c>
      <c r="B119" s="51" t="s">
        <v>26</v>
      </c>
      <c r="C119" s="51" t="s">
        <v>27</v>
      </c>
      <c r="D119" s="52" t="s">
        <v>4</v>
      </c>
      <c r="E119" s="53" t="s">
        <v>27</v>
      </c>
      <c r="F119" s="52" t="s">
        <v>4</v>
      </c>
      <c r="G119" s="52" t="s">
        <v>61</v>
      </c>
      <c r="H119" s="176" t="s">
        <v>607</v>
      </c>
      <c r="I119" s="172" t="s">
        <v>33</v>
      </c>
      <c r="J119" s="176" t="s">
        <v>4415</v>
      </c>
      <c r="K119" s="175" t="s">
        <v>27</v>
      </c>
      <c r="L119" s="194" t="s">
        <v>4</v>
      </c>
      <c r="M119" s="52" t="s">
        <v>46</v>
      </c>
      <c r="N119" s="54" t="s">
        <v>10496</v>
      </c>
      <c r="O119" s="55" t="str">
        <f t="shared" si="4"/>
        <v>L1.00.00.11.02.00</v>
      </c>
      <c r="P119" s="55" t="str">
        <f t="shared" si="5"/>
        <v>L1.00.00.11.02.00.07</v>
      </c>
      <c r="Q119" s="160" t="s">
        <v>10530</v>
      </c>
      <c r="R119" s="169" t="str">
        <f t="shared" si="6"/>
        <v>Sản phẩm MISA MIMOSA Online</v>
      </c>
      <c r="S119" s="97" t="s">
        <v>10517</v>
      </c>
      <c r="T119" s="97" t="s">
        <v>10712</v>
      </c>
      <c r="U119" s="96" t="s">
        <v>453</v>
      </c>
      <c r="V119" s="96" t="s">
        <v>607</v>
      </c>
      <c r="W119" s="96" t="s">
        <v>4415</v>
      </c>
      <c r="X119" s="96" t="s">
        <v>4414</v>
      </c>
      <c r="Y119" s="96"/>
      <c r="Z119" s="98" t="s">
        <v>10713</v>
      </c>
      <c r="AA119" s="153" t="s">
        <v>10530</v>
      </c>
      <c r="AB119" s="91"/>
      <c r="AC119" s="91"/>
      <c r="AD119" s="91"/>
    </row>
    <row r="120" ht="15.75" customHeight="1" outlineLevel="1">
      <c r="A120" s="170" t="s">
        <v>10535</v>
      </c>
      <c r="B120" s="51" t="s">
        <v>26</v>
      </c>
      <c r="C120" s="51" t="s">
        <v>27</v>
      </c>
      <c r="D120" s="52" t="s">
        <v>4</v>
      </c>
      <c r="E120" s="53" t="s">
        <v>27</v>
      </c>
      <c r="F120" s="52" t="s">
        <v>4</v>
      </c>
      <c r="G120" s="52" t="s">
        <v>61</v>
      </c>
      <c r="H120" s="176" t="s">
        <v>607</v>
      </c>
      <c r="I120" s="172" t="s">
        <v>33</v>
      </c>
      <c r="J120" s="176" t="s">
        <v>4415</v>
      </c>
      <c r="K120" s="175" t="s">
        <v>29</v>
      </c>
      <c r="L120" s="176" t="s">
        <v>4414</v>
      </c>
      <c r="M120" s="52" t="s">
        <v>46</v>
      </c>
      <c r="N120" s="54" t="s">
        <v>10496</v>
      </c>
      <c r="O120" s="55" t="str">
        <f t="shared" si="4"/>
        <v>L1.00.00.11.02.01</v>
      </c>
      <c r="P120" s="55" t="str">
        <f t="shared" si="5"/>
        <v>L1.00.00.11.02.01.07</v>
      </c>
      <c r="Q120" s="160" t="s">
        <v>10530</v>
      </c>
      <c r="R120" s="169" t="str">
        <f t="shared" si="6"/>
        <v>Dự án MISA MIMOSA Online</v>
      </c>
      <c r="S120" s="97" t="s">
        <v>10714</v>
      </c>
      <c r="T120" s="96" t="s">
        <v>4416</v>
      </c>
      <c r="U120" s="96" t="s">
        <v>453</v>
      </c>
      <c r="V120" s="96" t="s">
        <v>607</v>
      </c>
      <c r="W120" s="96" t="s">
        <v>4415</v>
      </c>
      <c r="X120" s="96" t="s">
        <v>4414</v>
      </c>
      <c r="Y120" s="96"/>
      <c r="Z120" s="98" t="s">
        <v>10715</v>
      </c>
      <c r="AA120" s="153" t="s">
        <v>10530</v>
      </c>
      <c r="AB120" s="91"/>
      <c r="AC120" s="91"/>
      <c r="AD120" s="91"/>
    </row>
    <row r="121" ht="15.75" customHeight="1" outlineLevel="1">
      <c r="A121" s="170" t="s">
        <v>10535</v>
      </c>
      <c r="B121" s="51" t="s">
        <v>26</v>
      </c>
      <c r="C121" s="51" t="s">
        <v>27</v>
      </c>
      <c r="D121" s="52" t="s">
        <v>4</v>
      </c>
      <c r="E121" s="53" t="s">
        <v>27</v>
      </c>
      <c r="F121" s="52" t="s">
        <v>4</v>
      </c>
      <c r="G121" s="52" t="s">
        <v>61</v>
      </c>
      <c r="H121" s="176" t="s">
        <v>607</v>
      </c>
      <c r="I121" s="172" t="s">
        <v>33</v>
      </c>
      <c r="J121" s="176" t="s">
        <v>4415</v>
      </c>
      <c r="K121" s="177" t="s">
        <v>33</v>
      </c>
      <c r="L121" s="176" t="s">
        <v>6181</v>
      </c>
      <c r="M121" s="52" t="s">
        <v>46</v>
      </c>
      <c r="N121" s="54" t="s">
        <v>10496</v>
      </c>
      <c r="O121" s="55" t="str">
        <f t="shared" si="4"/>
        <v>L1.00.00.11.02.02</v>
      </c>
      <c r="P121" s="55" t="str">
        <f t="shared" si="5"/>
        <v>L1.00.00.11.02.02.07</v>
      </c>
      <c r="Q121" s="160" t="s">
        <v>10530</v>
      </c>
      <c r="R121" s="169" t="str">
        <f t="shared" si="6"/>
        <v>[MIMOSA Online] Nhóm Phân tích và Thiết kế</v>
      </c>
      <c r="S121" s="97" t="s">
        <v>10714</v>
      </c>
      <c r="T121" s="96" t="s">
        <v>6182</v>
      </c>
      <c r="U121" s="96" t="s">
        <v>453</v>
      </c>
      <c r="V121" s="96" t="s">
        <v>607</v>
      </c>
      <c r="W121" s="96" t="s">
        <v>4415</v>
      </c>
      <c r="X121" s="96" t="s">
        <v>6181</v>
      </c>
      <c r="Y121" s="96"/>
      <c r="Z121" s="98" t="s">
        <v>10716</v>
      </c>
      <c r="AA121" s="153" t="s">
        <v>10530</v>
      </c>
      <c r="AB121" s="91"/>
      <c r="AC121" s="91"/>
      <c r="AD121" s="91"/>
    </row>
    <row r="122" ht="15.75" customHeight="1" outlineLevel="1">
      <c r="A122" s="170" t="s">
        <v>10535</v>
      </c>
      <c r="B122" s="51" t="s">
        <v>26</v>
      </c>
      <c r="C122" s="51" t="s">
        <v>27</v>
      </c>
      <c r="D122" s="52" t="s">
        <v>4</v>
      </c>
      <c r="E122" s="53" t="s">
        <v>27</v>
      </c>
      <c r="F122" s="52" t="s">
        <v>4</v>
      </c>
      <c r="G122" s="52" t="s">
        <v>61</v>
      </c>
      <c r="H122" s="176" t="s">
        <v>607</v>
      </c>
      <c r="I122" s="175" t="s">
        <v>35</v>
      </c>
      <c r="J122" s="176" t="s">
        <v>5009</v>
      </c>
      <c r="K122" s="175" t="s">
        <v>27</v>
      </c>
      <c r="L122" s="194" t="s">
        <v>4</v>
      </c>
      <c r="M122" s="52" t="s">
        <v>46</v>
      </c>
      <c r="N122" s="54" t="s">
        <v>10496</v>
      </c>
      <c r="O122" s="55" t="str">
        <f t="shared" si="4"/>
        <v>L1.00.00.11.03.00</v>
      </c>
      <c r="P122" s="55" t="str">
        <f t="shared" si="5"/>
        <v>L1.00.00.11.03.00.07</v>
      </c>
      <c r="Q122" s="160" t="s">
        <v>10530</v>
      </c>
      <c r="R122" s="169" t="str">
        <f t="shared" si="6"/>
        <v>Sản phẩm Mimosa.NET</v>
      </c>
      <c r="S122" s="97" t="s">
        <v>10517</v>
      </c>
      <c r="T122" s="97" t="s">
        <v>10717</v>
      </c>
      <c r="U122" s="96" t="s">
        <v>453</v>
      </c>
      <c r="V122" s="96" t="s">
        <v>607</v>
      </c>
      <c r="W122" s="96" t="s">
        <v>5009</v>
      </c>
      <c r="X122" s="96" t="s">
        <v>5008</v>
      </c>
      <c r="Y122" s="96"/>
      <c r="Z122" s="220" t="s">
        <v>10718</v>
      </c>
      <c r="AA122" s="153" t="s">
        <v>10530</v>
      </c>
      <c r="AB122" s="91"/>
      <c r="AC122" s="91"/>
      <c r="AD122" s="91"/>
    </row>
    <row r="123" ht="15.75" customHeight="1" outlineLevel="1">
      <c r="A123" s="170" t="s">
        <v>10535</v>
      </c>
      <c r="B123" s="51" t="s">
        <v>26</v>
      </c>
      <c r="C123" s="51" t="s">
        <v>27</v>
      </c>
      <c r="D123" s="52" t="s">
        <v>4</v>
      </c>
      <c r="E123" s="53" t="s">
        <v>27</v>
      </c>
      <c r="F123" s="52" t="s">
        <v>4</v>
      </c>
      <c r="G123" s="52" t="s">
        <v>61</v>
      </c>
      <c r="H123" s="176" t="s">
        <v>607</v>
      </c>
      <c r="I123" s="175" t="s">
        <v>35</v>
      </c>
      <c r="J123" s="176" t="s">
        <v>5009</v>
      </c>
      <c r="K123" s="175" t="s">
        <v>29</v>
      </c>
      <c r="L123" s="176" t="s">
        <v>5008</v>
      </c>
      <c r="M123" s="52" t="s">
        <v>46</v>
      </c>
      <c r="N123" s="54" t="s">
        <v>10496</v>
      </c>
      <c r="O123" s="55" t="str">
        <f t="shared" si="4"/>
        <v>L1.00.00.11.03.01</v>
      </c>
      <c r="P123" s="55" t="str">
        <f t="shared" si="5"/>
        <v>L1.00.00.11.03.01.07</v>
      </c>
      <c r="Q123" s="160" t="s">
        <v>10530</v>
      </c>
      <c r="R123" s="169" t="str">
        <f t="shared" si="6"/>
        <v>Dự án Mimosa.NET</v>
      </c>
      <c r="S123" s="97" t="s">
        <v>10719</v>
      </c>
      <c r="T123" s="96" t="s">
        <v>5010</v>
      </c>
      <c r="U123" s="96" t="s">
        <v>453</v>
      </c>
      <c r="V123" s="96" t="s">
        <v>607</v>
      </c>
      <c r="W123" s="96" t="s">
        <v>5009</v>
      </c>
      <c r="X123" s="96" t="s">
        <v>5008</v>
      </c>
      <c r="Y123" s="96"/>
      <c r="Z123" s="98" t="s">
        <v>10720</v>
      </c>
      <c r="AA123" s="153" t="s">
        <v>10530</v>
      </c>
      <c r="AB123" s="91"/>
      <c r="AC123" s="91"/>
      <c r="AD123" s="91"/>
    </row>
    <row r="124" ht="15.75" customHeight="1" outlineLevel="1">
      <c r="A124" s="170" t="s">
        <v>10535</v>
      </c>
      <c r="B124" s="51" t="s">
        <v>26</v>
      </c>
      <c r="C124" s="51" t="s">
        <v>27</v>
      </c>
      <c r="D124" s="52" t="s">
        <v>4</v>
      </c>
      <c r="E124" s="53" t="s">
        <v>27</v>
      </c>
      <c r="F124" s="52" t="s">
        <v>4</v>
      </c>
      <c r="G124" s="52" t="s">
        <v>61</v>
      </c>
      <c r="H124" s="176" t="s">
        <v>607</v>
      </c>
      <c r="I124" s="175" t="s">
        <v>35</v>
      </c>
      <c r="J124" s="176" t="s">
        <v>5009</v>
      </c>
      <c r="K124" s="177" t="s">
        <v>33</v>
      </c>
      <c r="L124" s="176" t="s">
        <v>10047</v>
      </c>
      <c r="M124" s="52" t="s">
        <v>46</v>
      </c>
      <c r="N124" s="54" t="s">
        <v>10496</v>
      </c>
      <c r="O124" s="55" t="str">
        <f t="shared" si="4"/>
        <v>L1.00.00.11.03.02</v>
      </c>
      <c r="P124" s="55" t="str">
        <f t="shared" si="5"/>
        <v>L1.00.00.11.03.02.07</v>
      </c>
      <c r="Q124" s="160" t="s">
        <v>10530</v>
      </c>
      <c r="R124" s="169" t="str">
        <f t="shared" si="6"/>
        <v>[MIMOSA] Nhóm Phân tích &amp; Thiết kế</v>
      </c>
      <c r="S124" s="97" t="s">
        <v>10719</v>
      </c>
      <c r="T124" s="96" t="s">
        <v>10048</v>
      </c>
      <c r="U124" s="96" t="s">
        <v>453</v>
      </c>
      <c r="V124" s="96" t="s">
        <v>607</v>
      </c>
      <c r="W124" s="96" t="s">
        <v>5009</v>
      </c>
      <c r="X124" s="96" t="s">
        <v>10047</v>
      </c>
      <c r="Y124" s="96"/>
      <c r="Z124" s="98" t="s">
        <v>10721</v>
      </c>
      <c r="AA124" s="153" t="s">
        <v>10530</v>
      </c>
      <c r="AB124" s="91"/>
      <c r="AC124" s="91"/>
      <c r="AD124" s="91"/>
    </row>
    <row r="125" ht="15.75" customHeight="1" outlineLevel="1">
      <c r="A125" s="170" t="s">
        <v>10535</v>
      </c>
      <c r="B125" s="51" t="s">
        <v>26</v>
      </c>
      <c r="C125" s="51" t="s">
        <v>27</v>
      </c>
      <c r="D125" s="52" t="s">
        <v>4</v>
      </c>
      <c r="E125" s="53" t="s">
        <v>27</v>
      </c>
      <c r="F125" s="52" t="s">
        <v>4</v>
      </c>
      <c r="G125" s="52" t="s">
        <v>61</v>
      </c>
      <c r="H125" s="176" t="s">
        <v>607</v>
      </c>
      <c r="I125" s="175" t="s">
        <v>37</v>
      </c>
      <c r="J125" s="176" t="s">
        <v>4380</v>
      </c>
      <c r="K125" s="175" t="s">
        <v>27</v>
      </c>
      <c r="L125" s="194" t="s">
        <v>4</v>
      </c>
      <c r="M125" s="52" t="s">
        <v>46</v>
      </c>
      <c r="N125" s="54" t="s">
        <v>10496</v>
      </c>
      <c r="O125" s="55" t="str">
        <f t="shared" si="4"/>
        <v>L1.00.00.11.04.00</v>
      </c>
      <c r="P125" s="55" t="str">
        <f t="shared" si="5"/>
        <v>L1.00.00.11.04.00.07</v>
      </c>
      <c r="Q125" s="160" t="s">
        <v>10530</v>
      </c>
      <c r="R125" s="169" t="str">
        <f t="shared" si="6"/>
        <v>Sản phẩm MISA Bamboo Online</v>
      </c>
      <c r="S125" s="97" t="s">
        <v>10517</v>
      </c>
      <c r="T125" s="96" t="s">
        <v>5429</v>
      </c>
      <c r="U125" s="96" t="s">
        <v>453</v>
      </c>
      <c r="V125" s="96" t="s">
        <v>607</v>
      </c>
      <c r="W125" s="96" t="s">
        <v>4380</v>
      </c>
      <c r="X125" s="96"/>
      <c r="Y125" s="96"/>
      <c r="Z125" s="98" t="s">
        <v>10722</v>
      </c>
      <c r="AA125" s="153" t="s">
        <v>10530</v>
      </c>
      <c r="AB125" s="91"/>
      <c r="AC125" s="91"/>
      <c r="AD125" s="91"/>
    </row>
    <row r="126" ht="15.75" customHeight="1" outlineLevel="1">
      <c r="A126" s="170" t="s">
        <v>10535</v>
      </c>
      <c r="B126" s="51" t="s">
        <v>26</v>
      </c>
      <c r="C126" s="51" t="s">
        <v>27</v>
      </c>
      <c r="D126" s="52" t="s">
        <v>4</v>
      </c>
      <c r="E126" s="53" t="s">
        <v>27</v>
      </c>
      <c r="F126" s="52" t="s">
        <v>4</v>
      </c>
      <c r="G126" s="52" t="s">
        <v>61</v>
      </c>
      <c r="H126" s="176" t="s">
        <v>607</v>
      </c>
      <c r="I126" s="175" t="s">
        <v>37</v>
      </c>
      <c r="J126" s="176" t="s">
        <v>4380</v>
      </c>
      <c r="K126" s="177" t="s">
        <v>29</v>
      </c>
      <c r="L126" s="176" t="s">
        <v>4379</v>
      </c>
      <c r="M126" s="52" t="s">
        <v>46</v>
      </c>
      <c r="N126" s="54" t="s">
        <v>10496</v>
      </c>
      <c r="O126" s="55" t="str">
        <f t="shared" si="4"/>
        <v>L1.00.00.11.04.01</v>
      </c>
      <c r="P126" s="55" t="str">
        <f t="shared" si="5"/>
        <v>L1.00.00.11.04.01.07</v>
      </c>
      <c r="Q126" s="160" t="s">
        <v>10530</v>
      </c>
      <c r="R126" s="169" t="str">
        <f t="shared" si="6"/>
        <v>Dự án MISA Bamboo Online</v>
      </c>
      <c r="S126" s="97" t="s">
        <v>10723</v>
      </c>
      <c r="T126" s="96" t="s">
        <v>4381</v>
      </c>
      <c r="U126" s="96" t="s">
        <v>453</v>
      </c>
      <c r="V126" s="96" t="s">
        <v>607</v>
      </c>
      <c r="W126" s="96" t="s">
        <v>4380</v>
      </c>
      <c r="X126" s="96" t="s">
        <v>4379</v>
      </c>
      <c r="Y126" s="96"/>
      <c r="Z126" s="98" t="s">
        <v>10724</v>
      </c>
      <c r="AA126" s="153" t="s">
        <v>10530</v>
      </c>
      <c r="AB126" s="91"/>
      <c r="AC126" s="91"/>
      <c r="AD126" s="91"/>
    </row>
    <row r="127" ht="15.75" customHeight="1" outlineLevel="1">
      <c r="A127" s="170" t="s">
        <v>10535</v>
      </c>
      <c r="B127" s="51" t="s">
        <v>26</v>
      </c>
      <c r="C127" s="51" t="s">
        <v>27</v>
      </c>
      <c r="D127" s="52" t="s">
        <v>4</v>
      </c>
      <c r="E127" s="53" t="s">
        <v>27</v>
      </c>
      <c r="F127" s="52" t="s">
        <v>4</v>
      </c>
      <c r="G127" s="52" t="s">
        <v>61</v>
      </c>
      <c r="H127" s="176" t="s">
        <v>607</v>
      </c>
      <c r="I127" s="175" t="s">
        <v>37</v>
      </c>
      <c r="J127" s="176" t="s">
        <v>4380</v>
      </c>
      <c r="K127" s="177" t="s">
        <v>33</v>
      </c>
      <c r="L127" s="176" t="s">
        <v>5620</v>
      </c>
      <c r="M127" s="52" t="s">
        <v>46</v>
      </c>
      <c r="N127" s="54" t="s">
        <v>10496</v>
      </c>
      <c r="O127" s="55" t="str">
        <f t="shared" si="4"/>
        <v>L1.00.00.11.04.02</v>
      </c>
      <c r="P127" s="55" t="str">
        <f t="shared" si="5"/>
        <v>L1.00.00.11.04.02.07</v>
      </c>
      <c r="Q127" s="160" t="s">
        <v>10530</v>
      </c>
      <c r="R127" s="169" t="str">
        <f t="shared" si="6"/>
        <v>[Bamboo Online] Nhóm Phân tích &amp; Thiết kế</v>
      </c>
      <c r="S127" s="97" t="s">
        <v>10723</v>
      </c>
      <c r="T127" s="96" t="s">
        <v>5621</v>
      </c>
      <c r="U127" s="96" t="s">
        <v>453</v>
      </c>
      <c r="V127" s="96" t="s">
        <v>607</v>
      </c>
      <c r="W127" s="96" t="s">
        <v>4380</v>
      </c>
      <c r="X127" s="96" t="s">
        <v>5620</v>
      </c>
      <c r="Y127" s="96"/>
      <c r="Z127" s="98" t="s">
        <v>10725</v>
      </c>
      <c r="AA127" s="153" t="s">
        <v>10530</v>
      </c>
      <c r="AB127" s="91"/>
      <c r="AC127" s="91"/>
      <c r="AD127" s="91"/>
    </row>
    <row r="128" ht="15.75" customHeight="1" outlineLevel="1">
      <c r="A128" s="170" t="s">
        <v>10535</v>
      </c>
      <c r="B128" s="51" t="s">
        <v>26</v>
      </c>
      <c r="C128" s="51" t="s">
        <v>27</v>
      </c>
      <c r="D128" s="52" t="s">
        <v>4</v>
      </c>
      <c r="E128" s="53" t="s">
        <v>27</v>
      </c>
      <c r="F128" s="52" t="s">
        <v>4</v>
      </c>
      <c r="G128" s="52" t="s">
        <v>61</v>
      </c>
      <c r="H128" s="176" t="s">
        <v>607</v>
      </c>
      <c r="I128" s="175" t="s">
        <v>42</v>
      </c>
      <c r="J128" s="176" t="s">
        <v>2697</v>
      </c>
      <c r="K128" s="175" t="s">
        <v>27</v>
      </c>
      <c r="L128" s="218" t="s">
        <v>4</v>
      </c>
      <c r="M128" s="52" t="s">
        <v>46</v>
      </c>
      <c r="N128" s="54" t="s">
        <v>10496</v>
      </c>
      <c r="O128" s="55" t="str">
        <f t="shared" si="4"/>
        <v>L1.00.00.11.05.00</v>
      </c>
      <c r="P128" s="55" t="str">
        <f t="shared" si="5"/>
        <v>L1.00.00.11.05.00.07</v>
      </c>
      <c r="Q128" s="160" t="s">
        <v>10530</v>
      </c>
      <c r="R128" s="169" t="str">
        <f t="shared" si="6"/>
        <v>Sản phẩm Quản lý ngân sách (BUMAS)</v>
      </c>
      <c r="S128" s="97" t="s">
        <v>10517</v>
      </c>
      <c r="T128" s="97" t="s">
        <v>10726</v>
      </c>
      <c r="U128" s="96" t="s">
        <v>453</v>
      </c>
      <c r="V128" s="96" t="s">
        <v>607</v>
      </c>
      <c r="W128" s="96" t="s">
        <v>2697</v>
      </c>
      <c r="X128" s="96" t="s">
        <v>2696</v>
      </c>
      <c r="Y128" s="96"/>
      <c r="Z128" s="98" t="s">
        <v>10727</v>
      </c>
      <c r="AA128" s="153" t="s">
        <v>10530</v>
      </c>
      <c r="AB128" s="91"/>
      <c r="AC128" s="91"/>
      <c r="AD128" s="91"/>
    </row>
    <row r="129" ht="15.75" customHeight="1" outlineLevel="1">
      <c r="A129" s="170" t="s">
        <v>10535</v>
      </c>
      <c r="B129" s="51" t="s">
        <v>26</v>
      </c>
      <c r="C129" s="51" t="s">
        <v>27</v>
      </c>
      <c r="D129" s="52" t="s">
        <v>4</v>
      </c>
      <c r="E129" s="53" t="s">
        <v>27</v>
      </c>
      <c r="F129" s="52" t="s">
        <v>4</v>
      </c>
      <c r="G129" s="52" t="s">
        <v>61</v>
      </c>
      <c r="H129" s="176" t="s">
        <v>607</v>
      </c>
      <c r="I129" s="175" t="s">
        <v>42</v>
      </c>
      <c r="J129" s="176" t="s">
        <v>2697</v>
      </c>
      <c r="K129" s="177" t="s">
        <v>29</v>
      </c>
      <c r="L129" s="176" t="s">
        <v>2696</v>
      </c>
      <c r="M129" s="52" t="s">
        <v>46</v>
      </c>
      <c r="N129" s="54" t="s">
        <v>10496</v>
      </c>
      <c r="O129" s="55" t="str">
        <f t="shared" si="4"/>
        <v>L1.00.00.11.05.01</v>
      </c>
      <c r="P129" s="55" t="str">
        <f t="shared" si="5"/>
        <v>L1.00.00.11.05.01.07</v>
      </c>
      <c r="Q129" s="160" t="s">
        <v>10530</v>
      </c>
      <c r="R129" s="169" t="str">
        <f t="shared" si="6"/>
        <v>Dự án Quản lý ngân sách nhà nước BUMAS Địa phương</v>
      </c>
      <c r="S129" s="97" t="s">
        <v>10728</v>
      </c>
      <c r="T129" s="96" t="s">
        <v>2698</v>
      </c>
      <c r="U129" s="96" t="s">
        <v>453</v>
      </c>
      <c r="V129" s="96" t="s">
        <v>607</v>
      </c>
      <c r="W129" s="96" t="s">
        <v>2697</v>
      </c>
      <c r="X129" s="96" t="s">
        <v>2696</v>
      </c>
      <c r="Y129" s="96"/>
      <c r="Z129" s="98" t="s">
        <v>10729</v>
      </c>
      <c r="AA129" s="153" t="s">
        <v>10530</v>
      </c>
      <c r="AB129" s="91"/>
      <c r="AC129" s="91"/>
      <c r="AD129" s="91"/>
    </row>
    <row r="130" ht="15.75" customHeight="1" outlineLevel="1">
      <c r="A130" s="170" t="s">
        <v>10535</v>
      </c>
      <c r="B130" s="51" t="s">
        <v>26</v>
      </c>
      <c r="C130" s="51" t="s">
        <v>27</v>
      </c>
      <c r="D130" s="52" t="s">
        <v>4</v>
      </c>
      <c r="E130" s="53" t="s">
        <v>27</v>
      </c>
      <c r="F130" s="52" t="s">
        <v>4</v>
      </c>
      <c r="G130" s="52" t="s">
        <v>61</v>
      </c>
      <c r="H130" s="176" t="s">
        <v>607</v>
      </c>
      <c r="I130" s="175" t="s">
        <v>42</v>
      </c>
      <c r="J130" s="176" t="s">
        <v>2697</v>
      </c>
      <c r="K130" s="177" t="s">
        <v>33</v>
      </c>
      <c r="L130" s="176" t="s">
        <v>4446</v>
      </c>
      <c r="M130" s="52" t="s">
        <v>46</v>
      </c>
      <c r="N130" s="54" t="s">
        <v>10496</v>
      </c>
      <c r="O130" s="55" t="str">
        <f t="shared" si="4"/>
        <v>L1.00.00.11.05.02</v>
      </c>
      <c r="P130" s="55" t="str">
        <f t="shared" si="5"/>
        <v>L1.00.00.11.05.02.07</v>
      </c>
      <c r="Q130" s="160" t="s">
        <v>10530</v>
      </c>
      <c r="R130" s="169" t="str">
        <f t="shared" si="6"/>
        <v>[BUMAS Địa phương] Nhóm Phân tích &amp; Thiết kế</v>
      </c>
      <c r="S130" s="97" t="s">
        <v>10728</v>
      </c>
      <c r="T130" s="96" t="s">
        <v>4447</v>
      </c>
      <c r="U130" s="96" t="s">
        <v>453</v>
      </c>
      <c r="V130" s="96" t="s">
        <v>607</v>
      </c>
      <c r="W130" s="96" t="s">
        <v>2697</v>
      </c>
      <c r="X130" s="96" t="s">
        <v>4446</v>
      </c>
      <c r="Y130" s="96"/>
      <c r="Z130" s="98" t="s">
        <v>10730</v>
      </c>
      <c r="AA130" s="153" t="s">
        <v>10530</v>
      </c>
      <c r="AB130" s="91"/>
      <c r="AC130" s="91"/>
      <c r="AD130" s="91"/>
    </row>
    <row r="131" ht="15.75" customHeight="1" outlineLevel="1">
      <c r="A131" s="170" t="s">
        <v>10535</v>
      </c>
      <c r="B131" s="51" t="s">
        <v>26</v>
      </c>
      <c r="C131" s="51" t="s">
        <v>27</v>
      </c>
      <c r="D131" s="52" t="s">
        <v>4</v>
      </c>
      <c r="E131" s="53" t="s">
        <v>27</v>
      </c>
      <c r="F131" s="52" t="s">
        <v>4</v>
      </c>
      <c r="G131" s="52" t="s">
        <v>61</v>
      </c>
      <c r="H131" s="176" t="s">
        <v>607</v>
      </c>
      <c r="I131" s="175" t="s">
        <v>44</v>
      </c>
      <c r="J131" s="176" t="s">
        <v>4927</v>
      </c>
      <c r="K131" s="175" t="s">
        <v>27</v>
      </c>
      <c r="L131" s="218" t="s">
        <v>4</v>
      </c>
      <c r="M131" s="52" t="s">
        <v>46</v>
      </c>
      <c r="N131" s="54" t="s">
        <v>10496</v>
      </c>
      <c r="O131" s="55" t="str">
        <f t="shared" si="4"/>
        <v>L1.00.00.11.06.00</v>
      </c>
      <c r="P131" s="55" t="str">
        <f t="shared" si="5"/>
        <v>L1.00.00.11.06.00.07</v>
      </c>
      <c r="Q131" s="160" t="s">
        <v>10530</v>
      </c>
      <c r="R131" s="186" t="str">
        <f t="shared" si="6"/>
        <v>Sản phẩm Tổng hợp báo cáo tài chính HCSN (LEKIMA)</v>
      </c>
      <c r="S131" s="97" t="s">
        <v>10517</v>
      </c>
      <c r="T131" s="97" t="s">
        <v>10731</v>
      </c>
      <c r="U131" s="96" t="s">
        <v>453</v>
      </c>
      <c r="V131" s="96" t="s">
        <v>607</v>
      </c>
      <c r="W131" s="96" t="s">
        <v>4927</v>
      </c>
      <c r="X131" s="96" t="s">
        <v>4926</v>
      </c>
      <c r="Y131" s="96"/>
      <c r="Z131" s="98" t="s">
        <v>10732</v>
      </c>
      <c r="AA131" s="153" t="s">
        <v>10530</v>
      </c>
      <c r="AB131" s="91"/>
      <c r="AC131" s="91"/>
      <c r="AD131" s="91"/>
    </row>
    <row r="132" ht="15.75" customHeight="1" outlineLevel="1">
      <c r="A132" s="170" t="s">
        <v>10535</v>
      </c>
      <c r="B132" s="51" t="s">
        <v>26</v>
      </c>
      <c r="C132" s="51" t="s">
        <v>27</v>
      </c>
      <c r="D132" s="52" t="s">
        <v>4</v>
      </c>
      <c r="E132" s="53" t="s">
        <v>27</v>
      </c>
      <c r="F132" s="52" t="s">
        <v>4</v>
      </c>
      <c r="G132" s="52" t="s">
        <v>61</v>
      </c>
      <c r="H132" s="176" t="s">
        <v>607</v>
      </c>
      <c r="I132" s="175" t="s">
        <v>44</v>
      </c>
      <c r="J132" s="176" t="s">
        <v>4927</v>
      </c>
      <c r="K132" s="177" t="s">
        <v>29</v>
      </c>
      <c r="L132" s="176" t="s">
        <v>4926</v>
      </c>
      <c r="M132" s="52" t="s">
        <v>46</v>
      </c>
      <c r="N132" s="54" t="s">
        <v>10496</v>
      </c>
      <c r="O132" s="55" t="str">
        <f t="shared" si="4"/>
        <v>L1.00.00.11.06.01</v>
      </c>
      <c r="P132" s="55" t="str">
        <f t="shared" si="5"/>
        <v>L1.00.00.11.06.01.07</v>
      </c>
      <c r="Q132" s="160" t="s">
        <v>10530</v>
      </c>
      <c r="R132" s="169" t="str">
        <f t="shared" si="6"/>
        <v>Dự án Tổng hợp báo cáo tài chính HCSN (LEKIMA)</v>
      </c>
      <c r="S132" s="97" t="s">
        <v>10733</v>
      </c>
      <c r="T132" s="96" t="s">
        <v>4928</v>
      </c>
      <c r="U132" s="96" t="s">
        <v>453</v>
      </c>
      <c r="V132" s="96" t="s">
        <v>607</v>
      </c>
      <c r="W132" s="96" t="s">
        <v>4927</v>
      </c>
      <c r="X132" s="96" t="s">
        <v>4926</v>
      </c>
      <c r="Y132" s="96"/>
      <c r="Z132" s="98" t="s">
        <v>10734</v>
      </c>
      <c r="AA132" s="153" t="s">
        <v>10530</v>
      </c>
      <c r="AB132" s="91"/>
      <c r="AC132" s="91"/>
      <c r="AD132" s="91"/>
    </row>
    <row r="133" ht="15.75" customHeight="1" outlineLevel="1">
      <c r="A133" s="170" t="s">
        <v>10535</v>
      </c>
      <c r="B133" s="51" t="s">
        <v>26</v>
      </c>
      <c r="C133" s="51" t="s">
        <v>27</v>
      </c>
      <c r="D133" s="52" t="s">
        <v>4</v>
      </c>
      <c r="E133" s="53" t="s">
        <v>27</v>
      </c>
      <c r="F133" s="52" t="s">
        <v>4</v>
      </c>
      <c r="G133" s="52" t="s">
        <v>61</v>
      </c>
      <c r="H133" s="176" t="s">
        <v>607</v>
      </c>
      <c r="I133" s="175" t="s">
        <v>46</v>
      </c>
      <c r="J133" s="176" t="s">
        <v>3035</v>
      </c>
      <c r="K133" s="175" t="s">
        <v>27</v>
      </c>
      <c r="L133" s="218" t="s">
        <v>4</v>
      </c>
      <c r="M133" s="52" t="s">
        <v>46</v>
      </c>
      <c r="N133" s="54" t="s">
        <v>10496</v>
      </c>
      <c r="O133" s="55" t="str">
        <f t="shared" si="4"/>
        <v>L1.00.00.11.07.00</v>
      </c>
      <c r="P133" s="55" t="str">
        <f t="shared" si="5"/>
        <v>L1.00.00.11.07.00.07</v>
      </c>
      <c r="Q133" s="160" t="s">
        <v>10530</v>
      </c>
      <c r="R133" s="169" t="str">
        <f t="shared" si="6"/>
        <v>Sản phẩm MISA QLCB</v>
      </c>
      <c r="S133" s="97" t="s">
        <v>10517</v>
      </c>
      <c r="T133" s="96" t="s">
        <v>4698</v>
      </c>
      <c r="U133" s="96" t="s">
        <v>453</v>
      </c>
      <c r="V133" s="96" t="s">
        <v>607</v>
      </c>
      <c r="W133" s="96" t="s">
        <v>3035</v>
      </c>
      <c r="X133" s="96"/>
      <c r="Y133" s="96"/>
      <c r="Z133" s="98" t="s">
        <v>10735</v>
      </c>
      <c r="AA133" s="153" t="s">
        <v>10530</v>
      </c>
      <c r="AB133" s="91"/>
      <c r="AC133" s="91"/>
      <c r="AD133" s="91"/>
    </row>
    <row r="134" ht="15.75" customHeight="1" outlineLevel="1">
      <c r="A134" s="170" t="s">
        <v>10535</v>
      </c>
      <c r="B134" s="51" t="s">
        <v>26</v>
      </c>
      <c r="C134" s="51" t="s">
        <v>27</v>
      </c>
      <c r="D134" s="52" t="s">
        <v>4</v>
      </c>
      <c r="E134" s="53" t="s">
        <v>27</v>
      </c>
      <c r="F134" s="52" t="s">
        <v>4</v>
      </c>
      <c r="G134" s="52" t="s">
        <v>61</v>
      </c>
      <c r="H134" s="176" t="s">
        <v>607</v>
      </c>
      <c r="I134" s="175" t="s">
        <v>46</v>
      </c>
      <c r="J134" s="176" t="s">
        <v>3035</v>
      </c>
      <c r="K134" s="177" t="s">
        <v>29</v>
      </c>
      <c r="L134" s="176" t="s">
        <v>5499</v>
      </c>
      <c r="M134" s="52" t="s">
        <v>46</v>
      </c>
      <c r="N134" s="54" t="s">
        <v>10496</v>
      </c>
      <c r="O134" s="55" t="str">
        <f t="shared" si="4"/>
        <v>L1.00.00.11.07.01</v>
      </c>
      <c r="P134" s="55" t="str">
        <f t="shared" si="5"/>
        <v>L1.00.00.11.07.01.07</v>
      </c>
      <c r="Q134" s="160" t="s">
        <v>10530</v>
      </c>
      <c r="R134" s="169" t="str">
        <f t="shared" si="6"/>
        <v>Dự án MISA QLCB</v>
      </c>
      <c r="S134" s="97" t="s">
        <v>10736</v>
      </c>
      <c r="T134" s="96" t="s">
        <v>5500</v>
      </c>
      <c r="U134" s="96" t="s">
        <v>453</v>
      </c>
      <c r="V134" s="96" t="s">
        <v>607</v>
      </c>
      <c r="W134" s="96" t="s">
        <v>3035</v>
      </c>
      <c r="X134" s="96" t="s">
        <v>5499</v>
      </c>
      <c r="Y134" s="96"/>
      <c r="Z134" s="98" t="s">
        <v>10737</v>
      </c>
      <c r="AA134" s="153" t="s">
        <v>10530</v>
      </c>
      <c r="AB134" s="91"/>
      <c r="AC134" s="91"/>
      <c r="AD134" s="91"/>
    </row>
    <row r="135" ht="15.75" customHeight="1" outlineLevel="1">
      <c r="A135" s="170" t="s">
        <v>10535</v>
      </c>
      <c r="B135" s="51" t="s">
        <v>26</v>
      </c>
      <c r="C135" s="51" t="s">
        <v>27</v>
      </c>
      <c r="D135" s="52" t="s">
        <v>4</v>
      </c>
      <c r="E135" s="53" t="s">
        <v>27</v>
      </c>
      <c r="F135" s="52" t="s">
        <v>4</v>
      </c>
      <c r="G135" s="52" t="s">
        <v>61</v>
      </c>
      <c r="H135" s="176" t="s">
        <v>607</v>
      </c>
      <c r="I135" s="175" t="s">
        <v>46</v>
      </c>
      <c r="J135" s="176" t="s">
        <v>3035</v>
      </c>
      <c r="K135" s="177" t="s">
        <v>33</v>
      </c>
      <c r="L135" s="176" t="s">
        <v>3034</v>
      </c>
      <c r="M135" s="52" t="s">
        <v>46</v>
      </c>
      <c r="N135" s="54" t="s">
        <v>10496</v>
      </c>
      <c r="O135" s="55" t="str">
        <f t="shared" si="4"/>
        <v>L1.00.00.11.07.02</v>
      </c>
      <c r="P135" s="55" t="str">
        <f t="shared" si="5"/>
        <v>L1.00.00.11.07.02.07</v>
      </c>
      <c r="Q135" s="160" t="s">
        <v>10530</v>
      </c>
      <c r="R135" s="169" t="str">
        <f t="shared" si="6"/>
        <v>[MISA QLCB] Nhóm Phân tích &amp; Thiết kế</v>
      </c>
      <c r="S135" s="97" t="s">
        <v>10736</v>
      </c>
      <c r="T135" s="96" t="s">
        <v>3036</v>
      </c>
      <c r="U135" s="96" t="s">
        <v>453</v>
      </c>
      <c r="V135" s="96" t="s">
        <v>607</v>
      </c>
      <c r="W135" s="96" t="s">
        <v>3035</v>
      </c>
      <c r="X135" s="96" t="s">
        <v>3034</v>
      </c>
      <c r="Y135" s="96"/>
      <c r="Z135" s="98" t="s">
        <v>10738</v>
      </c>
      <c r="AA135" s="153" t="s">
        <v>10530</v>
      </c>
      <c r="AB135" s="91"/>
      <c r="AC135" s="91"/>
      <c r="AD135" s="91"/>
    </row>
    <row r="136" ht="15.75" customHeight="1" outlineLevel="1">
      <c r="A136" s="170" t="s">
        <v>10535</v>
      </c>
      <c r="B136" s="51" t="s">
        <v>26</v>
      </c>
      <c r="C136" s="51" t="s">
        <v>27</v>
      </c>
      <c r="D136" s="52" t="s">
        <v>4</v>
      </c>
      <c r="E136" s="53" t="s">
        <v>27</v>
      </c>
      <c r="F136" s="52" t="s">
        <v>4</v>
      </c>
      <c r="G136" s="52" t="s">
        <v>61</v>
      </c>
      <c r="H136" s="176" t="s">
        <v>607</v>
      </c>
      <c r="I136" s="175" t="s">
        <v>49</v>
      </c>
      <c r="J136" s="176" t="s">
        <v>5626</v>
      </c>
      <c r="K136" s="175" t="s">
        <v>27</v>
      </c>
      <c r="L136" s="218" t="s">
        <v>4</v>
      </c>
      <c r="M136" s="52" t="s">
        <v>46</v>
      </c>
      <c r="N136" s="54" t="s">
        <v>10496</v>
      </c>
      <c r="O136" s="55" t="str">
        <f t="shared" si="4"/>
        <v>L1.00.00.11.08.00</v>
      </c>
      <c r="P136" s="55" t="str">
        <f t="shared" si="5"/>
        <v>L1.00.00.11.08.00.07</v>
      </c>
      <c r="Q136" s="160" t="s">
        <v>10530</v>
      </c>
      <c r="R136" s="169" t="str">
        <f t="shared" si="6"/>
        <v>Sản phẩm MISA TaskGo</v>
      </c>
      <c r="S136" s="97" t="s">
        <v>10517</v>
      </c>
      <c r="T136" s="97" t="s">
        <v>10739</v>
      </c>
      <c r="U136" s="96" t="s">
        <v>453</v>
      </c>
      <c r="V136" s="96" t="s">
        <v>607</v>
      </c>
      <c r="W136" s="96" t="s">
        <v>5626</v>
      </c>
      <c r="X136" s="96" t="s">
        <v>5625</v>
      </c>
      <c r="Y136" s="96"/>
      <c r="Z136" s="98" t="s">
        <v>10740</v>
      </c>
      <c r="AA136" s="153" t="s">
        <v>10530</v>
      </c>
      <c r="AB136" s="91"/>
      <c r="AC136" s="91"/>
      <c r="AD136" s="91"/>
    </row>
    <row r="137" ht="15.75" customHeight="1" outlineLevel="1">
      <c r="A137" s="170" t="s">
        <v>10535</v>
      </c>
      <c r="B137" s="51" t="s">
        <v>26</v>
      </c>
      <c r="C137" s="51" t="s">
        <v>27</v>
      </c>
      <c r="D137" s="52" t="s">
        <v>4</v>
      </c>
      <c r="E137" s="53" t="s">
        <v>27</v>
      </c>
      <c r="F137" s="52" t="s">
        <v>4</v>
      </c>
      <c r="G137" s="52" t="s">
        <v>61</v>
      </c>
      <c r="H137" s="176" t="s">
        <v>607</v>
      </c>
      <c r="I137" s="175" t="s">
        <v>49</v>
      </c>
      <c r="J137" s="176" t="s">
        <v>5626</v>
      </c>
      <c r="K137" s="177" t="s">
        <v>29</v>
      </c>
      <c r="L137" s="176" t="s">
        <v>5625</v>
      </c>
      <c r="M137" s="52" t="s">
        <v>46</v>
      </c>
      <c r="N137" s="54" t="s">
        <v>10496</v>
      </c>
      <c r="O137" s="55" t="str">
        <f t="shared" si="4"/>
        <v>L1.00.00.11.08.01</v>
      </c>
      <c r="P137" s="55" t="str">
        <f t="shared" si="5"/>
        <v>L1.00.00.11.08.01.07</v>
      </c>
      <c r="Q137" s="160" t="s">
        <v>10530</v>
      </c>
      <c r="R137" s="169" t="str">
        <f t="shared" si="6"/>
        <v>Dự án MISA TaskGo</v>
      </c>
      <c r="S137" s="97" t="s">
        <v>10741</v>
      </c>
      <c r="T137" s="96" t="s">
        <v>5627</v>
      </c>
      <c r="U137" s="96" t="s">
        <v>453</v>
      </c>
      <c r="V137" s="96" t="s">
        <v>607</v>
      </c>
      <c r="W137" s="96" t="s">
        <v>5626</v>
      </c>
      <c r="X137" s="96" t="s">
        <v>5625</v>
      </c>
      <c r="Y137" s="96"/>
      <c r="Z137" s="98" t="s">
        <v>10742</v>
      </c>
      <c r="AA137" s="153" t="s">
        <v>10530</v>
      </c>
      <c r="AB137" s="91"/>
      <c r="AC137" s="91"/>
      <c r="AD137" s="91"/>
    </row>
    <row r="138" ht="15.75" customHeight="1" outlineLevel="1">
      <c r="A138" s="170" t="s">
        <v>10535</v>
      </c>
      <c r="B138" s="51" t="s">
        <v>26</v>
      </c>
      <c r="C138" s="51" t="s">
        <v>27</v>
      </c>
      <c r="D138" s="52" t="s">
        <v>4</v>
      </c>
      <c r="E138" s="53" t="s">
        <v>27</v>
      </c>
      <c r="F138" s="52" t="s">
        <v>4</v>
      </c>
      <c r="G138" s="52" t="s">
        <v>61</v>
      </c>
      <c r="H138" s="176" t="s">
        <v>607</v>
      </c>
      <c r="I138" s="175" t="s">
        <v>49</v>
      </c>
      <c r="J138" s="176" t="s">
        <v>5626</v>
      </c>
      <c r="K138" s="177" t="s">
        <v>33</v>
      </c>
      <c r="L138" s="176" t="s">
        <v>6093</v>
      </c>
      <c r="M138" s="52" t="s">
        <v>46</v>
      </c>
      <c r="N138" s="54" t="s">
        <v>10496</v>
      </c>
      <c r="O138" s="55" t="str">
        <f t="shared" si="4"/>
        <v>L1.00.00.11.08.02</v>
      </c>
      <c r="P138" s="55" t="str">
        <f t="shared" si="5"/>
        <v>L1.00.00.11.08.02.07</v>
      </c>
      <c r="Q138" s="160" t="s">
        <v>10530</v>
      </c>
      <c r="R138" s="169" t="str">
        <f t="shared" si="6"/>
        <v>Dự án MISA TaskGo 2</v>
      </c>
      <c r="S138" s="97" t="s">
        <v>10741</v>
      </c>
      <c r="T138" s="96" t="s">
        <v>6094</v>
      </c>
      <c r="U138" s="96" t="s">
        <v>453</v>
      </c>
      <c r="V138" s="96" t="s">
        <v>607</v>
      </c>
      <c r="W138" s="96" t="s">
        <v>5626</v>
      </c>
      <c r="X138" s="96" t="s">
        <v>6093</v>
      </c>
      <c r="Y138" s="96"/>
      <c r="Z138" s="98" t="s">
        <v>10743</v>
      </c>
      <c r="AA138" s="153" t="s">
        <v>10530</v>
      </c>
      <c r="AB138" s="91"/>
      <c r="AC138" s="91"/>
      <c r="AD138" s="91"/>
    </row>
    <row r="139" ht="15.75" customHeight="1" outlineLevel="1">
      <c r="A139" s="170" t="s">
        <v>10535</v>
      </c>
      <c r="B139" s="51" t="s">
        <v>26</v>
      </c>
      <c r="C139" s="51" t="s">
        <v>27</v>
      </c>
      <c r="D139" s="52" t="s">
        <v>4</v>
      </c>
      <c r="E139" s="53" t="s">
        <v>27</v>
      </c>
      <c r="F139" s="52" t="s">
        <v>4</v>
      </c>
      <c r="G139" s="52" t="s">
        <v>61</v>
      </c>
      <c r="H139" s="176" t="s">
        <v>607</v>
      </c>
      <c r="I139" s="175" t="s">
        <v>51</v>
      </c>
      <c r="J139" s="176" t="s">
        <v>4856</v>
      </c>
      <c r="K139" s="175" t="s">
        <v>27</v>
      </c>
      <c r="L139" s="218" t="s">
        <v>4</v>
      </c>
      <c r="M139" s="52" t="s">
        <v>46</v>
      </c>
      <c r="N139" s="54" t="s">
        <v>10496</v>
      </c>
      <c r="O139" s="55" t="str">
        <f t="shared" si="4"/>
        <v>L1.00.00.11.09.00</v>
      </c>
      <c r="P139" s="55" t="str">
        <f t="shared" si="5"/>
        <v>L1.00.00.11.09.00.07</v>
      </c>
      <c r="Q139" s="160" t="s">
        <v>10530</v>
      </c>
      <c r="R139" s="169" t="str">
        <f t="shared" si="6"/>
        <v>Sản phẩm MISA CeGov</v>
      </c>
      <c r="S139" s="97" t="s">
        <v>10517</v>
      </c>
      <c r="T139" s="97" t="s">
        <v>10744</v>
      </c>
      <c r="U139" s="96" t="s">
        <v>453</v>
      </c>
      <c r="V139" s="96" t="s">
        <v>607</v>
      </c>
      <c r="W139" s="96" t="s">
        <v>4856</v>
      </c>
      <c r="X139" s="96"/>
      <c r="Y139" s="96"/>
      <c r="Z139" s="98" t="s">
        <v>10745</v>
      </c>
      <c r="AA139" s="153" t="s">
        <v>10530</v>
      </c>
      <c r="AB139" s="91"/>
      <c r="AC139" s="91"/>
      <c r="AD139" s="91"/>
    </row>
    <row r="140" ht="15.75" customHeight="1" outlineLevel="1">
      <c r="A140" s="170" t="s">
        <v>10535</v>
      </c>
      <c r="B140" s="51" t="s">
        <v>26</v>
      </c>
      <c r="C140" s="51" t="s">
        <v>27</v>
      </c>
      <c r="D140" s="52" t="s">
        <v>4</v>
      </c>
      <c r="E140" s="53" t="s">
        <v>27</v>
      </c>
      <c r="F140" s="52" t="s">
        <v>4</v>
      </c>
      <c r="G140" s="52" t="s">
        <v>61</v>
      </c>
      <c r="H140" s="176" t="s">
        <v>607</v>
      </c>
      <c r="I140" s="175" t="s">
        <v>51</v>
      </c>
      <c r="J140" s="176" t="s">
        <v>4856</v>
      </c>
      <c r="K140" s="175" t="s">
        <v>29</v>
      </c>
      <c r="L140" s="176" t="s">
        <v>4855</v>
      </c>
      <c r="M140" s="52" t="s">
        <v>46</v>
      </c>
      <c r="N140" s="54" t="s">
        <v>10496</v>
      </c>
      <c r="O140" s="55" t="str">
        <f t="shared" si="4"/>
        <v>L1.00.00.11.09.01</v>
      </c>
      <c r="P140" s="55" t="str">
        <f t="shared" si="5"/>
        <v>L1.00.00.11.09.01.07</v>
      </c>
      <c r="Q140" s="160" t="s">
        <v>10530</v>
      </c>
      <c r="R140" s="169" t="str">
        <f t="shared" si="6"/>
        <v>Dự án MISA CeGov</v>
      </c>
      <c r="S140" s="97" t="s">
        <v>10746</v>
      </c>
      <c r="T140" s="96" t="s">
        <v>4857</v>
      </c>
      <c r="U140" s="96" t="s">
        <v>453</v>
      </c>
      <c r="V140" s="96" t="s">
        <v>607</v>
      </c>
      <c r="W140" s="96" t="s">
        <v>4856</v>
      </c>
      <c r="X140" s="96" t="s">
        <v>4855</v>
      </c>
      <c r="Y140" s="96"/>
      <c r="Z140" s="98" t="s">
        <v>10747</v>
      </c>
      <c r="AA140" s="153" t="s">
        <v>10530</v>
      </c>
      <c r="AB140" s="91"/>
      <c r="AC140" s="91"/>
      <c r="AD140" s="91"/>
    </row>
    <row r="141" ht="15.75" customHeight="1" outlineLevel="1">
      <c r="A141" s="170" t="s">
        <v>10535</v>
      </c>
      <c r="B141" s="51" t="s">
        <v>26</v>
      </c>
      <c r="C141" s="51" t="s">
        <v>27</v>
      </c>
      <c r="D141" s="52" t="s">
        <v>4</v>
      </c>
      <c r="E141" s="53" t="s">
        <v>27</v>
      </c>
      <c r="F141" s="52" t="s">
        <v>4</v>
      </c>
      <c r="G141" s="52" t="s">
        <v>61</v>
      </c>
      <c r="H141" s="176" t="s">
        <v>607</v>
      </c>
      <c r="I141" s="175" t="s">
        <v>55</v>
      </c>
      <c r="J141" s="176" t="s">
        <v>3247</v>
      </c>
      <c r="K141" s="172" t="s">
        <v>27</v>
      </c>
      <c r="L141" s="218" t="s">
        <v>4</v>
      </c>
      <c r="M141" s="52" t="s">
        <v>46</v>
      </c>
      <c r="N141" s="54" t="s">
        <v>10496</v>
      </c>
      <c r="O141" s="55" t="str">
        <f t="shared" si="4"/>
        <v>L1.00.00.11.10.00</v>
      </c>
      <c r="P141" s="55" t="str">
        <f t="shared" si="5"/>
        <v>L1.00.00.11.10.00.07</v>
      </c>
      <c r="Q141" s="160" t="s">
        <v>10530</v>
      </c>
      <c r="R141" s="169" t="str">
        <f t="shared" si="6"/>
        <v>Sản phẩm QLTS.VN</v>
      </c>
      <c r="S141" s="97" t="s">
        <v>10517</v>
      </c>
      <c r="T141" s="96" t="s">
        <v>10432</v>
      </c>
      <c r="U141" s="96" t="s">
        <v>453</v>
      </c>
      <c r="V141" s="96" t="s">
        <v>607</v>
      </c>
      <c r="W141" s="96" t="s">
        <v>3247</v>
      </c>
      <c r="X141" s="96"/>
      <c r="Y141" s="96"/>
      <c r="Z141" s="220" t="s">
        <v>10748</v>
      </c>
      <c r="AA141" s="153" t="s">
        <v>10530</v>
      </c>
      <c r="AB141" s="91"/>
      <c r="AC141" s="91"/>
      <c r="AD141" s="91"/>
    </row>
    <row r="142" ht="15.75" customHeight="1" outlineLevel="1">
      <c r="A142" s="170" t="s">
        <v>10535</v>
      </c>
      <c r="B142" s="51" t="s">
        <v>26</v>
      </c>
      <c r="C142" s="51" t="s">
        <v>27</v>
      </c>
      <c r="D142" s="52" t="s">
        <v>4</v>
      </c>
      <c r="E142" s="53" t="s">
        <v>27</v>
      </c>
      <c r="F142" s="52" t="s">
        <v>4</v>
      </c>
      <c r="G142" s="52" t="s">
        <v>61</v>
      </c>
      <c r="H142" s="176" t="s">
        <v>607</v>
      </c>
      <c r="I142" s="175" t="s">
        <v>55</v>
      </c>
      <c r="J142" s="176" t="s">
        <v>3247</v>
      </c>
      <c r="K142" s="221" t="s">
        <v>29</v>
      </c>
      <c r="L142" s="176" t="s">
        <v>3246</v>
      </c>
      <c r="M142" s="52" t="s">
        <v>46</v>
      </c>
      <c r="N142" s="54" t="s">
        <v>10496</v>
      </c>
      <c r="O142" s="55" t="str">
        <f t="shared" si="4"/>
        <v>L1.00.00.11.10.01</v>
      </c>
      <c r="P142" s="55" t="str">
        <f t="shared" si="5"/>
        <v>L1.00.00.11.10.01.07</v>
      </c>
      <c r="Q142" s="160" t="s">
        <v>10530</v>
      </c>
      <c r="R142" s="169" t="str">
        <f t="shared" si="6"/>
        <v>Dự án QLTS.VN</v>
      </c>
      <c r="S142" s="97" t="s">
        <v>10749</v>
      </c>
      <c r="T142" s="96" t="s">
        <v>3248</v>
      </c>
      <c r="U142" s="96" t="s">
        <v>453</v>
      </c>
      <c r="V142" s="96" t="s">
        <v>607</v>
      </c>
      <c r="W142" s="96" t="s">
        <v>3247</v>
      </c>
      <c r="X142" s="96" t="s">
        <v>3246</v>
      </c>
      <c r="Y142" s="96"/>
      <c r="Z142" s="98" t="s">
        <v>10750</v>
      </c>
      <c r="AA142" s="153" t="s">
        <v>10530</v>
      </c>
      <c r="AB142" s="91"/>
      <c r="AC142" s="91"/>
      <c r="AD142" s="91"/>
    </row>
    <row r="143" ht="15.75" customHeight="1" outlineLevel="1">
      <c r="A143" s="170" t="s">
        <v>10535</v>
      </c>
      <c r="B143" s="51" t="s">
        <v>26</v>
      </c>
      <c r="C143" s="51" t="s">
        <v>27</v>
      </c>
      <c r="D143" s="52" t="s">
        <v>4</v>
      </c>
      <c r="E143" s="53" t="s">
        <v>27</v>
      </c>
      <c r="F143" s="52" t="s">
        <v>4</v>
      </c>
      <c r="G143" s="52" t="s">
        <v>61</v>
      </c>
      <c r="H143" s="176" t="s">
        <v>607</v>
      </c>
      <c r="I143" s="175" t="s">
        <v>55</v>
      </c>
      <c r="J143" s="176" t="s">
        <v>3247</v>
      </c>
      <c r="K143" s="221" t="s">
        <v>33</v>
      </c>
      <c r="L143" s="176" t="s">
        <v>3388</v>
      </c>
      <c r="M143" s="52" t="s">
        <v>46</v>
      </c>
      <c r="N143" s="54" t="s">
        <v>10496</v>
      </c>
      <c r="O143" s="55" t="str">
        <f t="shared" si="4"/>
        <v>L1.00.00.11.10.02</v>
      </c>
      <c r="P143" s="55" t="str">
        <f t="shared" si="5"/>
        <v>L1.00.00.11.10.02.07</v>
      </c>
      <c r="Q143" s="160" t="s">
        <v>10530</v>
      </c>
      <c r="R143" s="169" t="str">
        <f t="shared" si="6"/>
        <v>[QLTS] Nhóm Phân tích &amp; Thiết kế</v>
      </c>
      <c r="S143" s="97" t="s">
        <v>10749</v>
      </c>
      <c r="T143" s="96" t="s">
        <v>3389</v>
      </c>
      <c r="U143" s="96" t="s">
        <v>453</v>
      </c>
      <c r="V143" s="96" t="s">
        <v>607</v>
      </c>
      <c r="W143" s="96" t="s">
        <v>3247</v>
      </c>
      <c r="X143" s="96" t="s">
        <v>3388</v>
      </c>
      <c r="Y143" s="96"/>
      <c r="Z143" s="98" t="s">
        <v>10751</v>
      </c>
      <c r="AA143" s="153" t="s">
        <v>10530</v>
      </c>
      <c r="AB143" s="91"/>
      <c r="AC143" s="91"/>
      <c r="AD143" s="91"/>
    </row>
    <row r="144" ht="15.75" customHeight="1" outlineLevel="1">
      <c r="A144" s="170" t="s">
        <v>10535</v>
      </c>
      <c r="B144" s="51" t="s">
        <v>26</v>
      </c>
      <c r="C144" s="51" t="s">
        <v>27</v>
      </c>
      <c r="D144" s="52" t="s">
        <v>4</v>
      </c>
      <c r="E144" s="53" t="s">
        <v>27</v>
      </c>
      <c r="F144" s="52" t="s">
        <v>4</v>
      </c>
      <c r="G144" s="52" t="s">
        <v>61</v>
      </c>
      <c r="H144" s="176" t="s">
        <v>607</v>
      </c>
      <c r="I144" s="177" t="s">
        <v>61</v>
      </c>
      <c r="J144" s="176" t="s">
        <v>608</v>
      </c>
      <c r="K144" s="172" t="s">
        <v>27</v>
      </c>
      <c r="L144" s="218" t="s">
        <v>4</v>
      </c>
      <c r="M144" s="52" t="s">
        <v>46</v>
      </c>
      <c r="N144" s="54" t="s">
        <v>10496</v>
      </c>
      <c r="O144" s="55" t="str">
        <f t="shared" si="4"/>
        <v>L1.00.00.11.11.00</v>
      </c>
      <c r="P144" s="55" t="str">
        <f t="shared" si="5"/>
        <v>L1.00.00.11.11.00.07</v>
      </c>
      <c r="Q144" s="160" t="s">
        <v>10530</v>
      </c>
      <c r="R144" s="169" t="str">
        <f t="shared" si="6"/>
        <v>Sản phẩm MISA SalaGov</v>
      </c>
      <c r="S144" s="97" t="s">
        <v>10517</v>
      </c>
      <c r="T144" s="97" t="s">
        <v>10752</v>
      </c>
      <c r="U144" s="96" t="s">
        <v>453</v>
      </c>
      <c r="V144" s="96" t="s">
        <v>607</v>
      </c>
      <c r="W144" s="96" t="s">
        <v>608</v>
      </c>
      <c r="X144" s="96" t="s">
        <v>606</v>
      </c>
      <c r="Y144" s="96"/>
      <c r="Z144" s="98" t="s">
        <v>10753</v>
      </c>
      <c r="AA144" s="153" t="s">
        <v>10530</v>
      </c>
      <c r="AB144" s="91"/>
      <c r="AC144" s="91"/>
      <c r="AD144" s="91"/>
    </row>
    <row r="145" ht="15.75" customHeight="1" outlineLevel="1">
      <c r="A145" s="170" t="s">
        <v>10535</v>
      </c>
      <c r="B145" s="51" t="s">
        <v>26</v>
      </c>
      <c r="C145" s="51" t="s">
        <v>27</v>
      </c>
      <c r="D145" s="52" t="s">
        <v>4</v>
      </c>
      <c r="E145" s="53" t="s">
        <v>27</v>
      </c>
      <c r="F145" s="52" t="s">
        <v>4</v>
      </c>
      <c r="G145" s="52" t="s">
        <v>61</v>
      </c>
      <c r="H145" s="176" t="s">
        <v>607</v>
      </c>
      <c r="I145" s="177" t="s">
        <v>61</v>
      </c>
      <c r="J145" s="176" t="s">
        <v>608</v>
      </c>
      <c r="K145" s="221" t="s">
        <v>29</v>
      </c>
      <c r="L145" s="176" t="s">
        <v>606</v>
      </c>
      <c r="M145" s="52" t="s">
        <v>46</v>
      </c>
      <c r="N145" s="54" t="s">
        <v>10496</v>
      </c>
      <c r="O145" s="55" t="str">
        <f t="shared" si="4"/>
        <v>L1.00.00.11.11.01</v>
      </c>
      <c r="P145" s="55" t="str">
        <f t="shared" si="5"/>
        <v>L1.00.00.11.11.01.07</v>
      </c>
      <c r="Q145" s="160" t="s">
        <v>10530</v>
      </c>
      <c r="R145" s="169" t="str">
        <f t="shared" si="6"/>
        <v>Dự án MISA SalaGov</v>
      </c>
      <c r="S145" s="97" t="s">
        <v>10754</v>
      </c>
      <c r="T145" s="96" t="s">
        <v>609</v>
      </c>
      <c r="U145" s="96" t="s">
        <v>453</v>
      </c>
      <c r="V145" s="96" t="s">
        <v>607</v>
      </c>
      <c r="W145" s="96" t="s">
        <v>608</v>
      </c>
      <c r="X145" s="96" t="s">
        <v>606</v>
      </c>
      <c r="Y145" s="96"/>
      <c r="Z145" s="98" t="s">
        <v>10755</v>
      </c>
      <c r="AA145" s="153" t="s">
        <v>10530</v>
      </c>
      <c r="AB145" s="91"/>
      <c r="AC145" s="91"/>
      <c r="AD145" s="91"/>
    </row>
    <row r="146" ht="15.75" customHeight="1" outlineLevel="1">
      <c r="A146" s="177" t="s">
        <v>10535</v>
      </c>
      <c r="B146" s="221" t="s">
        <v>26</v>
      </c>
      <c r="C146" s="221" t="s">
        <v>27</v>
      </c>
      <c r="D146" s="172" t="s">
        <v>4</v>
      </c>
      <c r="E146" s="222" t="s">
        <v>27</v>
      </c>
      <c r="F146" s="172" t="s">
        <v>4</v>
      </c>
      <c r="G146" s="172" t="s">
        <v>61</v>
      </c>
      <c r="H146" s="176" t="s">
        <v>607</v>
      </c>
      <c r="I146" s="177" t="s">
        <v>61</v>
      </c>
      <c r="J146" s="176" t="s">
        <v>608</v>
      </c>
      <c r="K146" s="221" t="s">
        <v>33</v>
      </c>
      <c r="L146" s="176" t="s">
        <v>3425</v>
      </c>
      <c r="M146" s="172" t="s">
        <v>46</v>
      </c>
      <c r="N146" s="171" t="s">
        <v>10496</v>
      </c>
      <c r="O146" s="55" t="str">
        <f t="shared" si="4"/>
        <v>L1.00.00.11.11.02</v>
      </c>
      <c r="P146" s="173" t="str">
        <f t="shared" si="5"/>
        <v>L1.00.00.11.11.02.07</v>
      </c>
      <c r="Q146" s="160" t="s">
        <v>10530</v>
      </c>
      <c r="R146" s="223" t="str">
        <f t="shared" si="6"/>
        <v>[SalaGov] Nhóm Phân tích &amp; Thiết kế</v>
      </c>
      <c r="S146" s="224" t="s">
        <v>10754</v>
      </c>
      <c r="T146" s="176" t="s">
        <v>3426</v>
      </c>
      <c r="U146" s="176" t="s">
        <v>453</v>
      </c>
      <c r="V146" s="176" t="s">
        <v>607</v>
      </c>
      <c r="W146" s="176" t="s">
        <v>608</v>
      </c>
      <c r="X146" s="176" t="s">
        <v>3425</v>
      </c>
      <c r="Y146" s="176"/>
      <c r="Z146" s="225" t="s">
        <v>10756</v>
      </c>
      <c r="AA146" s="153" t="s">
        <v>10530</v>
      </c>
      <c r="AB146" s="226"/>
      <c r="AC146" s="226"/>
      <c r="AD146" s="226"/>
    </row>
    <row r="147" ht="15.75" customHeight="1" outlineLevel="1">
      <c r="A147" s="170" t="s">
        <v>10535</v>
      </c>
      <c r="B147" s="51" t="s">
        <v>26</v>
      </c>
      <c r="C147" s="51" t="s">
        <v>27</v>
      </c>
      <c r="D147" s="52" t="s">
        <v>4</v>
      </c>
      <c r="E147" s="53" t="s">
        <v>27</v>
      </c>
      <c r="F147" s="52" t="s">
        <v>4</v>
      </c>
      <c r="G147" s="52" t="s">
        <v>61</v>
      </c>
      <c r="H147" s="176" t="s">
        <v>607</v>
      </c>
      <c r="I147" s="177" t="s">
        <v>64</v>
      </c>
      <c r="J147" s="176" t="s">
        <v>5207</v>
      </c>
      <c r="K147" s="172" t="s">
        <v>27</v>
      </c>
      <c r="L147" s="174" t="s">
        <v>4</v>
      </c>
      <c r="M147" s="52" t="s">
        <v>46</v>
      </c>
      <c r="N147" s="54" t="s">
        <v>10496</v>
      </c>
      <c r="O147" s="55" t="str">
        <f t="shared" si="4"/>
        <v>L1.00.00.11.12.00</v>
      </c>
      <c r="P147" s="55" t="str">
        <f t="shared" si="5"/>
        <v>L1.00.00.11.12.00.07</v>
      </c>
      <c r="Q147" s="160" t="s">
        <v>10530</v>
      </c>
      <c r="R147" s="169" t="str">
        <f t="shared" si="6"/>
        <v>Nhóm chuyên gia Khối SP HCSN</v>
      </c>
      <c r="S147" s="97" t="s">
        <v>10517</v>
      </c>
      <c r="T147" s="96" t="s">
        <v>5208</v>
      </c>
      <c r="U147" s="96" t="s">
        <v>453</v>
      </c>
      <c r="V147" s="96" t="s">
        <v>607</v>
      </c>
      <c r="W147" s="96" t="s">
        <v>5207</v>
      </c>
      <c r="X147" s="96"/>
      <c r="Y147" s="96"/>
      <c r="Z147" s="98" t="s">
        <v>10757</v>
      </c>
      <c r="AA147" s="153" t="s">
        <v>10530</v>
      </c>
      <c r="AB147" s="91"/>
      <c r="AC147" s="91"/>
      <c r="AD147" s="91"/>
    </row>
    <row r="148" ht="15.75" customHeight="1" outlineLevel="1">
      <c r="A148" s="170" t="s">
        <v>10535</v>
      </c>
      <c r="B148" s="51" t="s">
        <v>26</v>
      </c>
      <c r="C148" s="51" t="s">
        <v>27</v>
      </c>
      <c r="D148" s="52" t="s">
        <v>4</v>
      </c>
      <c r="E148" s="53" t="s">
        <v>27</v>
      </c>
      <c r="F148" s="52" t="s">
        <v>4</v>
      </c>
      <c r="G148" s="52" t="s">
        <v>61</v>
      </c>
      <c r="H148" s="176" t="s">
        <v>607</v>
      </c>
      <c r="I148" s="177" t="s">
        <v>67</v>
      </c>
      <c r="J148" s="176" t="s">
        <v>6890</v>
      </c>
      <c r="K148" s="172" t="s">
        <v>27</v>
      </c>
      <c r="L148" s="194" t="s">
        <v>4</v>
      </c>
      <c r="M148" s="52" t="s">
        <v>46</v>
      </c>
      <c r="N148" s="54" t="s">
        <v>10496</v>
      </c>
      <c r="O148" s="55" t="str">
        <f t="shared" si="4"/>
        <v>L1.00.00.11.13.00</v>
      </c>
      <c r="P148" s="55" t="str">
        <f t="shared" si="5"/>
        <v>L1.00.00.11.13.00.07</v>
      </c>
      <c r="Q148" s="160" t="s">
        <v>10530</v>
      </c>
      <c r="R148" s="169" t="str">
        <f t="shared" si="6"/>
        <v>Sản phẩm MISA Panda Online</v>
      </c>
      <c r="S148" s="97" t="s">
        <v>10517</v>
      </c>
      <c r="T148" s="97" t="s">
        <v>10758</v>
      </c>
      <c r="U148" s="96" t="s">
        <v>453</v>
      </c>
      <c r="V148" s="96" t="s">
        <v>607</v>
      </c>
      <c r="W148" s="96" t="s">
        <v>6890</v>
      </c>
      <c r="X148" s="96" t="s">
        <v>6889</v>
      </c>
      <c r="Y148" s="96"/>
      <c r="Z148" s="98" t="s">
        <v>10759</v>
      </c>
      <c r="AA148" s="153" t="s">
        <v>10530</v>
      </c>
      <c r="AB148" s="91"/>
      <c r="AC148" s="91"/>
      <c r="AD148" s="91"/>
    </row>
    <row r="149" ht="15.75" customHeight="1" outlineLevel="1">
      <c r="A149" s="170" t="s">
        <v>10535</v>
      </c>
      <c r="B149" s="51" t="s">
        <v>26</v>
      </c>
      <c r="C149" s="51" t="s">
        <v>27</v>
      </c>
      <c r="D149" s="52" t="s">
        <v>4</v>
      </c>
      <c r="E149" s="53" t="s">
        <v>27</v>
      </c>
      <c r="F149" s="52" t="s">
        <v>4</v>
      </c>
      <c r="G149" s="52" t="s">
        <v>61</v>
      </c>
      <c r="H149" s="176" t="s">
        <v>607</v>
      </c>
      <c r="I149" s="177" t="s">
        <v>67</v>
      </c>
      <c r="J149" s="176" t="s">
        <v>6890</v>
      </c>
      <c r="K149" s="221" t="s">
        <v>29</v>
      </c>
      <c r="L149" s="176" t="s">
        <v>6889</v>
      </c>
      <c r="M149" s="52" t="s">
        <v>46</v>
      </c>
      <c r="N149" s="54" t="s">
        <v>10496</v>
      </c>
      <c r="O149" s="55" t="str">
        <f t="shared" si="4"/>
        <v>L1.00.00.11.13.01</v>
      </c>
      <c r="P149" s="55" t="str">
        <f t="shared" si="5"/>
        <v>L1.00.00.11.13.01.07</v>
      </c>
      <c r="Q149" s="160" t="s">
        <v>10530</v>
      </c>
      <c r="R149" s="169" t="str">
        <f t="shared" si="6"/>
        <v>[MISA Panda Online] Nhóm Phân tích &amp; Thiết kế</v>
      </c>
      <c r="S149" s="227" t="s">
        <v>10760</v>
      </c>
      <c r="T149" s="96" t="s">
        <v>6891</v>
      </c>
      <c r="U149" s="96" t="s">
        <v>453</v>
      </c>
      <c r="V149" s="96" t="s">
        <v>607</v>
      </c>
      <c r="W149" s="96" t="s">
        <v>6890</v>
      </c>
      <c r="X149" s="96" t="s">
        <v>6889</v>
      </c>
      <c r="Y149" s="96"/>
      <c r="Z149" s="98" t="s">
        <v>10761</v>
      </c>
      <c r="AA149" s="153" t="s">
        <v>10530</v>
      </c>
      <c r="AB149" s="91"/>
      <c r="AC149" s="91"/>
      <c r="AD149" s="91"/>
    </row>
    <row r="150" ht="15.75" customHeight="1" outlineLevel="1">
      <c r="A150" s="178" t="s">
        <v>10535</v>
      </c>
      <c r="B150" s="180" t="s">
        <v>26</v>
      </c>
      <c r="C150" s="180" t="s">
        <v>27</v>
      </c>
      <c r="D150" s="64" t="s">
        <v>4</v>
      </c>
      <c r="E150" s="71" t="s">
        <v>27</v>
      </c>
      <c r="F150" s="64" t="s">
        <v>4</v>
      </c>
      <c r="G150" s="64" t="s">
        <v>61</v>
      </c>
      <c r="H150" s="183" t="s">
        <v>607</v>
      </c>
      <c r="I150" s="228">
        <v>14.0</v>
      </c>
      <c r="J150" s="184" t="s">
        <v>10762</v>
      </c>
      <c r="K150" s="182" t="s">
        <v>27</v>
      </c>
      <c r="L150" s="184" t="s">
        <v>4</v>
      </c>
      <c r="M150" s="64" t="s">
        <v>46</v>
      </c>
      <c r="N150" s="70" t="s">
        <v>10496</v>
      </c>
      <c r="O150" s="58" t="str">
        <f t="shared" si="4"/>
        <v>L1.00.00.11.14.00</v>
      </c>
      <c r="P150" s="58" t="str">
        <f t="shared" si="5"/>
        <v>L1.00.00.11.14.00.07</v>
      </c>
      <c r="Q150" s="185" t="s">
        <v>10530</v>
      </c>
      <c r="R150" s="186" t="str">
        <f t="shared" si="6"/>
        <v>Sản phẩm HCSN Mobile</v>
      </c>
      <c r="S150" s="229" t="s">
        <v>10517</v>
      </c>
      <c r="T150" s="187" t="s">
        <v>10763</v>
      </c>
      <c r="U150" s="189" t="s">
        <v>453</v>
      </c>
      <c r="V150" s="189" t="s">
        <v>607</v>
      </c>
      <c r="W150" s="184" t="s">
        <v>10762</v>
      </c>
      <c r="X150" s="189"/>
      <c r="Y150" s="189"/>
      <c r="Z150" s="191" t="s">
        <v>10764</v>
      </c>
      <c r="AA150" s="192" t="s">
        <v>10530</v>
      </c>
      <c r="AB150" s="193"/>
      <c r="AC150" s="193"/>
      <c r="AD150" s="193"/>
    </row>
    <row r="151" ht="15.75" customHeight="1" outlineLevel="1">
      <c r="A151" s="170" t="s">
        <v>10535</v>
      </c>
      <c r="B151" s="51" t="s">
        <v>26</v>
      </c>
      <c r="C151" s="51" t="s">
        <v>27</v>
      </c>
      <c r="D151" s="52" t="s">
        <v>4</v>
      </c>
      <c r="E151" s="53" t="s">
        <v>27</v>
      </c>
      <c r="F151" s="52" t="s">
        <v>4</v>
      </c>
      <c r="G151" s="52" t="s">
        <v>64</v>
      </c>
      <c r="H151" s="230" t="s">
        <v>10765</v>
      </c>
      <c r="I151" s="175" t="s">
        <v>27</v>
      </c>
      <c r="J151" s="195" t="s">
        <v>4</v>
      </c>
      <c r="K151" s="172" t="s">
        <v>27</v>
      </c>
      <c r="L151" s="174" t="s">
        <v>4</v>
      </c>
      <c r="M151" s="52" t="s">
        <v>46</v>
      </c>
      <c r="N151" s="54" t="s">
        <v>10496</v>
      </c>
      <c r="O151" s="55" t="str">
        <f t="shared" si="4"/>
        <v>L1.00.00.12.00.00</v>
      </c>
      <c r="P151" s="55" t="str">
        <f t="shared" si="5"/>
        <v>L1.00.00.12.00.00.07</v>
      </c>
      <c r="Q151" s="160" t="s">
        <v>10530</v>
      </c>
      <c r="R151" s="169" t="str">
        <f t="shared" si="6"/>
        <v>Khối sản phẩm Bán lẻ</v>
      </c>
      <c r="S151" s="97" t="s">
        <v>10536</v>
      </c>
      <c r="T151" s="97" t="s">
        <v>10766</v>
      </c>
      <c r="U151" s="96" t="s">
        <v>453</v>
      </c>
      <c r="V151" s="96" t="s">
        <v>566</v>
      </c>
      <c r="W151" s="96"/>
      <c r="X151" s="96"/>
      <c r="Y151" s="96"/>
      <c r="Z151" s="98" t="s">
        <v>10767</v>
      </c>
      <c r="AA151" s="153" t="s">
        <v>10530</v>
      </c>
      <c r="AB151" s="91"/>
      <c r="AC151" s="91"/>
      <c r="AD151" s="91"/>
    </row>
    <row r="152" ht="15.75" customHeight="1" outlineLevel="1">
      <c r="A152" s="170" t="s">
        <v>10535</v>
      </c>
      <c r="B152" s="51" t="s">
        <v>26</v>
      </c>
      <c r="C152" s="51" t="s">
        <v>27</v>
      </c>
      <c r="D152" s="52" t="s">
        <v>4</v>
      </c>
      <c r="E152" s="53" t="s">
        <v>27</v>
      </c>
      <c r="F152" s="52" t="s">
        <v>4</v>
      </c>
      <c r="G152" s="52" t="s">
        <v>64</v>
      </c>
      <c r="H152" s="230" t="s">
        <v>10765</v>
      </c>
      <c r="I152" s="172" t="s">
        <v>29</v>
      </c>
      <c r="J152" s="173" t="s">
        <v>66</v>
      </c>
      <c r="K152" s="172" t="s">
        <v>27</v>
      </c>
      <c r="L152" s="174" t="s">
        <v>4</v>
      </c>
      <c r="M152" s="52" t="s">
        <v>46</v>
      </c>
      <c r="N152" s="54" t="s">
        <v>10496</v>
      </c>
      <c r="O152" s="55" t="str">
        <f t="shared" si="4"/>
        <v>L1.00.00.12.01.00</v>
      </c>
      <c r="P152" s="55" t="str">
        <f t="shared" si="5"/>
        <v>L1.00.00.12.01.00.07</v>
      </c>
      <c r="Q152" s="160" t="s">
        <v>10530</v>
      </c>
      <c r="R152" s="169" t="str">
        <f t="shared" si="6"/>
        <v>Ban giám đốc Khối SP Bán lẻ</v>
      </c>
      <c r="S152" s="227" t="s">
        <v>10768</v>
      </c>
      <c r="T152" s="96" t="s">
        <v>10335</v>
      </c>
      <c r="U152" s="96" t="s">
        <v>453</v>
      </c>
      <c r="V152" s="96" t="s">
        <v>566</v>
      </c>
      <c r="W152" s="96" t="s">
        <v>10334</v>
      </c>
      <c r="X152" s="96"/>
      <c r="Y152" s="96"/>
      <c r="Z152" s="98" t="s">
        <v>10769</v>
      </c>
      <c r="AA152" s="153" t="s">
        <v>10530</v>
      </c>
      <c r="AB152" s="91"/>
      <c r="AC152" s="91"/>
      <c r="AD152" s="91"/>
    </row>
    <row r="153" ht="15.75" customHeight="1" outlineLevel="1">
      <c r="A153" s="170" t="s">
        <v>10535</v>
      </c>
      <c r="B153" s="51" t="s">
        <v>26</v>
      </c>
      <c r="C153" s="51" t="s">
        <v>27</v>
      </c>
      <c r="D153" s="52" t="s">
        <v>4</v>
      </c>
      <c r="E153" s="53" t="s">
        <v>27</v>
      </c>
      <c r="F153" s="52" t="s">
        <v>4</v>
      </c>
      <c r="G153" s="52" t="s">
        <v>64</v>
      </c>
      <c r="H153" s="230" t="s">
        <v>10765</v>
      </c>
      <c r="I153" s="172" t="s">
        <v>33</v>
      </c>
      <c r="J153" s="176" t="s">
        <v>2888</v>
      </c>
      <c r="K153" s="172" t="s">
        <v>27</v>
      </c>
      <c r="L153" s="194" t="s">
        <v>4</v>
      </c>
      <c r="M153" s="52" t="s">
        <v>46</v>
      </c>
      <c r="N153" s="54" t="s">
        <v>10496</v>
      </c>
      <c r="O153" s="55" t="str">
        <f t="shared" si="4"/>
        <v>L1.00.00.12.02.00</v>
      </c>
      <c r="P153" s="55" t="str">
        <f t="shared" si="5"/>
        <v>L1.00.00.12.02.00.07</v>
      </c>
      <c r="Q153" s="160" t="s">
        <v>10530</v>
      </c>
      <c r="R153" s="169" t="str">
        <f t="shared" si="6"/>
        <v>Sản phẩm CukCuk (TTVN)</v>
      </c>
      <c r="S153" s="227" t="s">
        <v>10768</v>
      </c>
      <c r="T153" s="97" t="s">
        <v>10770</v>
      </c>
      <c r="U153" s="96" t="s">
        <v>453</v>
      </c>
      <c r="V153" s="96" t="s">
        <v>566</v>
      </c>
      <c r="W153" s="96" t="s">
        <v>2888</v>
      </c>
      <c r="X153" s="96"/>
      <c r="Y153" s="96"/>
      <c r="Z153" s="98" t="s">
        <v>10771</v>
      </c>
      <c r="AA153" s="153" t="s">
        <v>10530</v>
      </c>
      <c r="AB153" s="91"/>
      <c r="AC153" s="91"/>
      <c r="AD153" s="91"/>
    </row>
    <row r="154" ht="15.75" customHeight="1" outlineLevel="1">
      <c r="A154" s="170" t="s">
        <v>10535</v>
      </c>
      <c r="B154" s="51" t="s">
        <v>26</v>
      </c>
      <c r="C154" s="51" t="s">
        <v>27</v>
      </c>
      <c r="D154" s="52" t="s">
        <v>4</v>
      </c>
      <c r="E154" s="53" t="s">
        <v>27</v>
      </c>
      <c r="F154" s="52" t="s">
        <v>4</v>
      </c>
      <c r="G154" s="52" t="s">
        <v>64</v>
      </c>
      <c r="H154" s="230" t="s">
        <v>10765</v>
      </c>
      <c r="I154" s="172" t="s">
        <v>33</v>
      </c>
      <c r="J154" s="176" t="s">
        <v>2888</v>
      </c>
      <c r="K154" s="221" t="s">
        <v>29</v>
      </c>
      <c r="L154" s="176" t="s">
        <v>2893</v>
      </c>
      <c r="M154" s="52" t="s">
        <v>46</v>
      </c>
      <c r="N154" s="54" t="s">
        <v>10496</v>
      </c>
      <c r="O154" s="55" t="str">
        <f t="shared" si="4"/>
        <v>L1.00.00.12.02.01</v>
      </c>
      <c r="P154" s="55" t="str">
        <f t="shared" si="5"/>
        <v>L1.00.00.12.02.01.07</v>
      </c>
      <c r="Q154" s="160" t="s">
        <v>10530</v>
      </c>
      <c r="R154" s="169" t="str">
        <f t="shared" si="6"/>
        <v>Dự án Cukcuk W&amp;D (TTVN)</v>
      </c>
      <c r="S154" s="227" t="s">
        <v>10772</v>
      </c>
      <c r="T154" s="96" t="s">
        <v>2894</v>
      </c>
      <c r="U154" s="96" t="s">
        <v>453</v>
      </c>
      <c r="V154" s="96" t="s">
        <v>566</v>
      </c>
      <c r="W154" s="96" t="s">
        <v>2888</v>
      </c>
      <c r="X154" s="96" t="s">
        <v>2893</v>
      </c>
      <c r="Y154" s="96"/>
      <c r="Z154" s="98" t="s">
        <v>10773</v>
      </c>
      <c r="AA154" s="153" t="s">
        <v>10530</v>
      </c>
      <c r="AB154" s="91"/>
      <c r="AC154" s="91"/>
      <c r="AD154" s="91"/>
    </row>
    <row r="155" ht="15.75" customHeight="1" outlineLevel="1">
      <c r="A155" s="170" t="s">
        <v>10535</v>
      </c>
      <c r="B155" s="51" t="s">
        <v>26</v>
      </c>
      <c r="C155" s="51" t="s">
        <v>27</v>
      </c>
      <c r="D155" s="52" t="s">
        <v>4</v>
      </c>
      <c r="E155" s="53" t="s">
        <v>27</v>
      </c>
      <c r="F155" s="52" t="s">
        <v>4</v>
      </c>
      <c r="G155" s="52" t="s">
        <v>64</v>
      </c>
      <c r="H155" s="230" t="s">
        <v>10765</v>
      </c>
      <c r="I155" s="172" t="s">
        <v>33</v>
      </c>
      <c r="J155" s="176" t="s">
        <v>2888</v>
      </c>
      <c r="K155" s="221" t="s">
        <v>33</v>
      </c>
      <c r="L155" s="176" t="s">
        <v>4466</v>
      </c>
      <c r="M155" s="52" t="s">
        <v>46</v>
      </c>
      <c r="N155" s="54" t="s">
        <v>10496</v>
      </c>
      <c r="O155" s="55" t="str">
        <f t="shared" si="4"/>
        <v>L1.00.00.12.02.02</v>
      </c>
      <c r="P155" s="55" t="str">
        <f t="shared" si="5"/>
        <v>L1.00.00.12.02.02.07</v>
      </c>
      <c r="Q155" s="160" t="s">
        <v>10530</v>
      </c>
      <c r="R155" s="169" t="str">
        <f t="shared" si="6"/>
        <v>Dự án CukCuk Mobile TTVN</v>
      </c>
      <c r="S155" s="227" t="s">
        <v>10772</v>
      </c>
      <c r="T155" s="96" t="s">
        <v>4467</v>
      </c>
      <c r="U155" s="96" t="s">
        <v>453</v>
      </c>
      <c r="V155" s="96" t="s">
        <v>566</v>
      </c>
      <c r="W155" s="96" t="s">
        <v>2888</v>
      </c>
      <c r="X155" s="96" t="s">
        <v>4466</v>
      </c>
      <c r="Y155" s="96"/>
      <c r="Z155" s="98" t="s">
        <v>10774</v>
      </c>
      <c r="AA155" s="153" t="s">
        <v>10530</v>
      </c>
      <c r="AB155" s="91"/>
      <c r="AC155" s="91"/>
      <c r="AD155" s="91"/>
    </row>
    <row r="156" ht="15.75" customHeight="1" outlineLevel="1">
      <c r="A156" s="170" t="s">
        <v>10535</v>
      </c>
      <c r="B156" s="51" t="s">
        <v>26</v>
      </c>
      <c r="C156" s="51" t="s">
        <v>27</v>
      </c>
      <c r="D156" s="52" t="s">
        <v>4</v>
      </c>
      <c r="E156" s="53" t="s">
        <v>27</v>
      </c>
      <c r="F156" s="52" t="s">
        <v>4</v>
      </c>
      <c r="G156" s="52" t="s">
        <v>64</v>
      </c>
      <c r="H156" s="230" t="s">
        <v>10765</v>
      </c>
      <c r="I156" s="172" t="s">
        <v>33</v>
      </c>
      <c r="J156" s="176" t="s">
        <v>2888</v>
      </c>
      <c r="K156" s="221" t="s">
        <v>35</v>
      </c>
      <c r="L156" s="176" t="s">
        <v>2887</v>
      </c>
      <c r="M156" s="52" t="s">
        <v>46</v>
      </c>
      <c r="N156" s="54" t="s">
        <v>10496</v>
      </c>
      <c r="O156" s="55" t="str">
        <f t="shared" si="4"/>
        <v>L1.00.00.12.02.03</v>
      </c>
      <c r="P156" s="55" t="str">
        <f t="shared" si="5"/>
        <v>L1.00.00.12.02.03.07</v>
      </c>
      <c r="Q156" s="160" t="s">
        <v>10530</v>
      </c>
      <c r="R156" s="169" t="str">
        <f t="shared" si="6"/>
        <v>[Cukcuk TTVN] Nhóm Phân tích &amp; Thiết kế</v>
      </c>
      <c r="S156" s="227" t="s">
        <v>10772</v>
      </c>
      <c r="T156" s="96" t="s">
        <v>2889</v>
      </c>
      <c r="U156" s="96" t="s">
        <v>453</v>
      </c>
      <c r="V156" s="96" t="s">
        <v>566</v>
      </c>
      <c r="W156" s="96" t="s">
        <v>2888</v>
      </c>
      <c r="X156" s="96" t="s">
        <v>2887</v>
      </c>
      <c r="Y156" s="96"/>
      <c r="Z156" s="98" t="s">
        <v>10775</v>
      </c>
      <c r="AA156" s="153" t="s">
        <v>10530</v>
      </c>
      <c r="AB156" s="91"/>
      <c r="AC156" s="91"/>
      <c r="AD156" s="91"/>
    </row>
    <row r="157" ht="15.75" customHeight="1" outlineLevel="1">
      <c r="A157" s="170" t="s">
        <v>10535</v>
      </c>
      <c r="B157" s="51" t="s">
        <v>26</v>
      </c>
      <c r="C157" s="51" t="s">
        <v>27</v>
      </c>
      <c r="D157" s="52" t="s">
        <v>4</v>
      </c>
      <c r="E157" s="53" t="s">
        <v>27</v>
      </c>
      <c r="F157" s="52" t="s">
        <v>4</v>
      </c>
      <c r="G157" s="52" t="s">
        <v>64</v>
      </c>
      <c r="H157" s="230" t="s">
        <v>10765</v>
      </c>
      <c r="I157" s="221" t="s">
        <v>35</v>
      </c>
      <c r="J157" s="176" t="s">
        <v>567</v>
      </c>
      <c r="K157" s="172" t="s">
        <v>27</v>
      </c>
      <c r="L157" s="194" t="s">
        <v>4</v>
      </c>
      <c r="M157" s="52" t="s">
        <v>46</v>
      </c>
      <c r="N157" s="54" t="s">
        <v>10496</v>
      </c>
      <c r="O157" s="55" t="str">
        <f t="shared" si="4"/>
        <v>L1.00.00.12.03.00</v>
      </c>
      <c r="P157" s="55" t="str">
        <f t="shared" si="5"/>
        <v>L1.00.00.12.03.00.07</v>
      </c>
      <c r="Q157" s="160" t="s">
        <v>10530</v>
      </c>
      <c r="R157" s="169" t="str">
        <f t="shared" si="6"/>
        <v>Sản phẩm eShop (TTVN)</v>
      </c>
      <c r="S157" s="227" t="s">
        <v>10768</v>
      </c>
      <c r="T157" s="97" t="s">
        <v>10776</v>
      </c>
      <c r="U157" s="96" t="s">
        <v>453</v>
      </c>
      <c r="V157" s="96" t="s">
        <v>566</v>
      </c>
      <c r="W157" s="96" t="s">
        <v>567</v>
      </c>
      <c r="X157" s="96"/>
      <c r="Y157" s="96"/>
      <c r="Z157" s="98" t="s">
        <v>10771</v>
      </c>
      <c r="AA157" s="153" t="s">
        <v>10530</v>
      </c>
      <c r="AB157" s="91"/>
      <c r="AC157" s="91"/>
      <c r="AD157" s="91"/>
    </row>
    <row r="158" ht="15.75" customHeight="1" outlineLevel="1">
      <c r="A158" s="170" t="s">
        <v>10535</v>
      </c>
      <c r="B158" s="51" t="s">
        <v>26</v>
      </c>
      <c r="C158" s="51" t="s">
        <v>27</v>
      </c>
      <c r="D158" s="52" t="s">
        <v>4</v>
      </c>
      <c r="E158" s="53" t="s">
        <v>27</v>
      </c>
      <c r="F158" s="52" t="s">
        <v>4</v>
      </c>
      <c r="G158" s="52" t="s">
        <v>64</v>
      </c>
      <c r="H158" s="230" t="s">
        <v>10765</v>
      </c>
      <c r="I158" s="221" t="s">
        <v>35</v>
      </c>
      <c r="J158" s="176" t="s">
        <v>567</v>
      </c>
      <c r="K158" s="221" t="s">
        <v>29</v>
      </c>
      <c r="L158" s="176" t="s">
        <v>2651</v>
      </c>
      <c r="M158" s="52" t="s">
        <v>46</v>
      </c>
      <c r="N158" s="54" t="s">
        <v>10496</v>
      </c>
      <c r="O158" s="55" t="str">
        <f t="shared" si="4"/>
        <v>L1.00.00.12.03.01</v>
      </c>
      <c r="P158" s="55" t="str">
        <f t="shared" si="5"/>
        <v>L1.00.00.12.03.01.07</v>
      </c>
      <c r="Q158" s="160" t="s">
        <v>10530</v>
      </c>
      <c r="R158" s="169" t="str">
        <f t="shared" si="6"/>
        <v>Dự án Quản lý cửa hàng thời trang (TTVN)</v>
      </c>
      <c r="S158" s="227" t="s">
        <v>10777</v>
      </c>
      <c r="T158" s="96" t="s">
        <v>2652</v>
      </c>
      <c r="U158" s="96" t="s">
        <v>453</v>
      </c>
      <c r="V158" s="96" t="s">
        <v>566</v>
      </c>
      <c r="W158" s="96" t="s">
        <v>567</v>
      </c>
      <c r="X158" s="96" t="s">
        <v>2651</v>
      </c>
      <c r="Y158" s="96"/>
      <c r="Z158" s="98" t="s">
        <v>10778</v>
      </c>
      <c r="AA158" s="153" t="s">
        <v>10530</v>
      </c>
      <c r="AB158" s="91"/>
      <c r="AC158" s="91"/>
      <c r="AD158" s="91"/>
    </row>
    <row r="159" ht="15.75" customHeight="1" outlineLevel="1">
      <c r="A159" s="170" t="s">
        <v>10535</v>
      </c>
      <c r="B159" s="51" t="s">
        <v>26</v>
      </c>
      <c r="C159" s="51" t="s">
        <v>27</v>
      </c>
      <c r="D159" s="52" t="s">
        <v>4</v>
      </c>
      <c r="E159" s="53" t="s">
        <v>27</v>
      </c>
      <c r="F159" s="52" t="s">
        <v>4</v>
      </c>
      <c r="G159" s="52" t="s">
        <v>64</v>
      </c>
      <c r="H159" s="230" t="s">
        <v>10765</v>
      </c>
      <c r="I159" s="221" t="s">
        <v>35</v>
      </c>
      <c r="J159" s="176" t="s">
        <v>567</v>
      </c>
      <c r="K159" s="221" t="s">
        <v>33</v>
      </c>
      <c r="L159" s="176" t="s">
        <v>10075</v>
      </c>
      <c r="M159" s="52" t="s">
        <v>46</v>
      </c>
      <c r="N159" s="54" t="s">
        <v>10496</v>
      </c>
      <c r="O159" s="55" t="str">
        <f t="shared" si="4"/>
        <v>L1.00.00.12.03.02</v>
      </c>
      <c r="P159" s="55" t="str">
        <f t="shared" si="5"/>
        <v>L1.00.00.12.03.02.07</v>
      </c>
      <c r="Q159" s="160" t="s">
        <v>10530</v>
      </c>
      <c r="R159" s="169" t="str">
        <f t="shared" si="6"/>
        <v>Dự án Quản lý cửa hàng Mobile (TTVN)</v>
      </c>
      <c r="S159" s="227" t="s">
        <v>10777</v>
      </c>
      <c r="T159" s="96" t="s">
        <v>10076</v>
      </c>
      <c r="U159" s="96" t="s">
        <v>453</v>
      </c>
      <c r="V159" s="96" t="s">
        <v>566</v>
      </c>
      <c r="W159" s="96" t="s">
        <v>567</v>
      </c>
      <c r="X159" s="96" t="s">
        <v>10075</v>
      </c>
      <c r="Y159" s="96"/>
      <c r="Z159" s="98" t="s">
        <v>10779</v>
      </c>
      <c r="AA159" s="153" t="s">
        <v>10530</v>
      </c>
      <c r="AB159" s="91"/>
      <c r="AC159" s="91"/>
      <c r="AD159" s="91"/>
    </row>
    <row r="160" ht="15.75" customHeight="1" outlineLevel="1">
      <c r="A160" s="170" t="s">
        <v>10535</v>
      </c>
      <c r="B160" s="51" t="s">
        <v>26</v>
      </c>
      <c r="C160" s="51" t="s">
        <v>27</v>
      </c>
      <c r="D160" s="52" t="s">
        <v>4</v>
      </c>
      <c r="E160" s="53" t="s">
        <v>27</v>
      </c>
      <c r="F160" s="52" t="s">
        <v>4</v>
      </c>
      <c r="G160" s="52" t="s">
        <v>64</v>
      </c>
      <c r="H160" s="230" t="s">
        <v>10765</v>
      </c>
      <c r="I160" s="221" t="s">
        <v>35</v>
      </c>
      <c r="J160" s="176" t="s">
        <v>567</v>
      </c>
      <c r="K160" s="221" t="s">
        <v>35</v>
      </c>
      <c r="L160" s="176" t="s">
        <v>565</v>
      </c>
      <c r="M160" s="52" t="s">
        <v>46</v>
      </c>
      <c r="N160" s="54" t="s">
        <v>10496</v>
      </c>
      <c r="O160" s="55" t="str">
        <f t="shared" si="4"/>
        <v>L1.00.00.12.03.03</v>
      </c>
      <c r="P160" s="55" t="str">
        <f t="shared" si="5"/>
        <v>L1.00.00.12.03.03.07</v>
      </c>
      <c r="Q160" s="160" t="s">
        <v>10530</v>
      </c>
      <c r="R160" s="169" t="str">
        <f t="shared" si="6"/>
        <v>[eShop TTVN] Nhóm Phân tích &amp; Thiết kế</v>
      </c>
      <c r="S160" s="227" t="s">
        <v>10777</v>
      </c>
      <c r="T160" s="96" t="s">
        <v>568</v>
      </c>
      <c r="U160" s="96" t="s">
        <v>453</v>
      </c>
      <c r="V160" s="96" t="s">
        <v>566</v>
      </c>
      <c r="W160" s="96" t="s">
        <v>567</v>
      </c>
      <c r="X160" s="96" t="s">
        <v>565</v>
      </c>
      <c r="Y160" s="96"/>
      <c r="Z160" s="98" t="s">
        <v>10780</v>
      </c>
      <c r="AA160" s="153" t="s">
        <v>10530</v>
      </c>
      <c r="AB160" s="91"/>
      <c r="AC160" s="91"/>
      <c r="AD160" s="91"/>
    </row>
    <row r="161" ht="15.75" customHeight="1" outlineLevel="1">
      <c r="A161" s="170" t="s">
        <v>10535</v>
      </c>
      <c r="B161" s="51" t="s">
        <v>26</v>
      </c>
      <c r="C161" s="51" t="s">
        <v>27</v>
      </c>
      <c r="D161" s="52" t="s">
        <v>4</v>
      </c>
      <c r="E161" s="53" t="s">
        <v>27</v>
      </c>
      <c r="F161" s="52" t="s">
        <v>4</v>
      </c>
      <c r="G161" s="52" t="s">
        <v>64</v>
      </c>
      <c r="H161" s="230" t="s">
        <v>10765</v>
      </c>
      <c r="I161" s="221" t="s">
        <v>37</v>
      </c>
      <c r="J161" s="176" t="s">
        <v>6383</v>
      </c>
      <c r="K161" s="172" t="s">
        <v>27</v>
      </c>
      <c r="L161" s="218" t="s">
        <v>4</v>
      </c>
      <c r="M161" s="52" t="s">
        <v>46</v>
      </c>
      <c r="N161" s="54" t="s">
        <v>10496</v>
      </c>
      <c r="O161" s="55" t="str">
        <f t="shared" si="4"/>
        <v>L1.00.00.12.04.00</v>
      </c>
      <c r="P161" s="55" t="str">
        <f t="shared" si="5"/>
        <v>L1.00.00.12.04.00.07</v>
      </c>
      <c r="Q161" s="160" t="s">
        <v>10530</v>
      </c>
      <c r="R161" s="169" t="str">
        <f t="shared" si="6"/>
        <v>Sản phẩm AMIS Kế toán (HKD)</v>
      </c>
      <c r="S161" s="227" t="s">
        <v>10768</v>
      </c>
      <c r="T161" s="96" t="s">
        <v>6522</v>
      </c>
      <c r="U161" s="96" t="s">
        <v>453</v>
      </c>
      <c r="V161" s="96" t="s">
        <v>566</v>
      </c>
      <c r="W161" s="96" t="s">
        <v>6383</v>
      </c>
      <c r="X161" s="96"/>
      <c r="Y161" s="96"/>
      <c r="Z161" s="98" t="s">
        <v>10781</v>
      </c>
      <c r="AA161" s="153" t="s">
        <v>10530</v>
      </c>
      <c r="AB161" s="91"/>
      <c r="AC161" s="91"/>
      <c r="AD161" s="91"/>
    </row>
    <row r="162" ht="15.75" customHeight="1" outlineLevel="1">
      <c r="A162" s="170" t="s">
        <v>10535</v>
      </c>
      <c r="B162" s="51" t="s">
        <v>26</v>
      </c>
      <c r="C162" s="51" t="s">
        <v>27</v>
      </c>
      <c r="D162" s="52" t="s">
        <v>4</v>
      </c>
      <c r="E162" s="53" t="s">
        <v>27</v>
      </c>
      <c r="F162" s="52" t="s">
        <v>4</v>
      </c>
      <c r="G162" s="52" t="s">
        <v>64</v>
      </c>
      <c r="H162" s="230" t="s">
        <v>10765</v>
      </c>
      <c r="I162" s="221" t="s">
        <v>37</v>
      </c>
      <c r="J162" s="176" t="s">
        <v>6383</v>
      </c>
      <c r="K162" s="221" t="s">
        <v>29</v>
      </c>
      <c r="L162" s="176" t="s">
        <v>6382</v>
      </c>
      <c r="M162" s="52" t="s">
        <v>46</v>
      </c>
      <c r="N162" s="54" t="s">
        <v>10496</v>
      </c>
      <c r="O162" s="55" t="str">
        <f t="shared" si="4"/>
        <v>L1.00.00.12.04.01</v>
      </c>
      <c r="P162" s="55" t="str">
        <f t="shared" si="5"/>
        <v>L1.00.00.12.04.01.07</v>
      </c>
      <c r="Q162" s="160" t="s">
        <v>10530</v>
      </c>
      <c r="R162" s="169" t="str">
        <f t="shared" si="6"/>
        <v>Dự án AMIS Kế toán (HKD)</v>
      </c>
      <c r="S162" s="227" t="s">
        <v>10782</v>
      </c>
      <c r="T162" s="96" t="s">
        <v>6384</v>
      </c>
      <c r="U162" s="96" t="s">
        <v>453</v>
      </c>
      <c r="V162" s="96" t="s">
        <v>566</v>
      </c>
      <c r="W162" s="96" t="s">
        <v>6383</v>
      </c>
      <c r="X162" s="96" t="s">
        <v>6382</v>
      </c>
      <c r="Y162" s="96"/>
      <c r="Z162" s="98" t="s">
        <v>10783</v>
      </c>
      <c r="AA162" s="153" t="s">
        <v>10530</v>
      </c>
      <c r="AB162" s="91"/>
      <c r="AC162" s="91"/>
      <c r="AD162" s="91"/>
    </row>
    <row r="163" ht="15.75" customHeight="1" outlineLevel="1">
      <c r="A163" s="170" t="s">
        <v>10535</v>
      </c>
      <c r="B163" s="51" t="s">
        <v>26</v>
      </c>
      <c r="C163" s="51" t="s">
        <v>27</v>
      </c>
      <c r="D163" s="52" t="s">
        <v>4</v>
      </c>
      <c r="E163" s="53" t="s">
        <v>27</v>
      </c>
      <c r="F163" s="52" t="s">
        <v>4</v>
      </c>
      <c r="G163" s="52" t="s">
        <v>64</v>
      </c>
      <c r="H163" s="230" t="s">
        <v>10765</v>
      </c>
      <c r="I163" s="221" t="s">
        <v>37</v>
      </c>
      <c r="J163" s="176" t="s">
        <v>6383</v>
      </c>
      <c r="K163" s="221" t="s">
        <v>33</v>
      </c>
      <c r="L163" s="176" t="s">
        <v>6484</v>
      </c>
      <c r="M163" s="52" t="s">
        <v>46</v>
      </c>
      <c r="N163" s="54" t="s">
        <v>10496</v>
      </c>
      <c r="O163" s="55" t="str">
        <f t="shared" si="4"/>
        <v>L1.00.00.12.04.02</v>
      </c>
      <c r="P163" s="55" t="str">
        <f t="shared" si="5"/>
        <v>L1.00.00.12.04.02.07</v>
      </c>
      <c r="Q163" s="160" t="s">
        <v>10530</v>
      </c>
      <c r="R163" s="169" t="str">
        <f t="shared" si="6"/>
        <v>[AMIS Kế toán HKD] Nhóm Phân tích &amp; Thiết kế</v>
      </c>
      <c r="S163" s="227" t="s">
        <v>10782</v>
      </c>
      <c r="T163" s="96" t="s">
        <v>6485</v>
      </c>
      <c r="U163" s="96" t="s">
        <v>453</v>
      </c>
      <c r="V163" s="96" t="s">
        <v>566</v>
      </c>
      <c r="W163" s="96" t="s">
        <v>6383</v>
      </c>
      <c r="X163" s="96" t="s">
        <v>6484</v>
      </c>
      <c r="Y163" s="96"/>
      <c r="Z163" s="98" t="s">
        <v>10784</v>
      </c>
      <c r="AA163" s="153" t="s">
        <v>10530</v>
      </c>
      <c r="AB163" s="91"/>
      <c r="AC163" s="91"/>
      <c r="AD163" s="91"/>
    </row>
    <row r="164" ht="15.75" customHeight="1" outlineLevel="1">
      <c r="A164" s="170" t="s">
        <v>10535</v>
      </c>
      <c r="B164" s="51" t="s">
        <v>26</v>
      </c>
      <c r="C164" s="51" t="s">
        <v>27</v>
      </c>
      <c r="D164" s="52" t="s">
        <v>4</v>
      </c>
      <c r="E164" s="53" t="s">
        <v>27</v>
      </c>
      <c r="F164" s="52" t="s">
        <v>4</v>
      </c>
      <c r="G164" s="52" t="s">
        <v>64</v>
      </c>
      <c r="H164" s="230" t="s">
        <v>10765</v>
      </c>
      <c r="I164" s="221" t="s">
        <v>42</v>
      </c>
      <c r="J164" s="176" t="s">
        <v>6545</v>
      </c>
      <c r="K164" s="172" t="s">
        <v>27</v>
      </c>
      <c r="L164" s="174" t="s">
        <v>4</v>
      </c>
      <c r="M164" s="52" t="s">
        <v>46</v>
      </c>
      <c r="N164" s="54" t="s">
        <v>10496</v>
      </c>
      <c r="O164" s="55" t="str">
        <f t="shared" si="4"/>
        <v>L1.00.00.12.05.00</v>
      </c>
      <c r="P164" s="55" t="str">
        <f t="shared" si="5"/>
        <v>L1.00.00.12.05.00.07</v>
      </c>
      <c r="Q164" s="160" t="s">
        <v>10530</v>
      </c>
      <c r="R164" s="169" t="str">
        <f t="shared" si="6"/>
        <v>Nhóm chuyên gia Khối SP Hộ cá thể</v>
      </c>
      <c r="S164" s="227" t="s">
        <v>10768</v>
      </c>
      <c r="T164" s="96" t="s">
        <v>6546</v>
      </c>
      <c r="U164" s="96" t="s">
        <v>453</v>
      </c>
      <c r="V164" s="96" t="s">
        <v>566</v>
      </c>
      <c r="W164" s="96" t="s">
        <v>6545</v>
      </c>
      <c r="X164" s="96"/>
      <c r="Y164" s="96"/>
      <c r="Z164" s="98" t="s">
        <v>10785</v>
      </c>
      <c r="AA164" s="153" t="s">
        <v>10530</v>
      </c>
      <c r="AB164" s="91"/>
      <c r="AC164" s="91"/>
      <c r="AD164" s="91"/>
    </row>
    <row r="165" ht="15.75" customHeight="1" outlineLevel="1">
      <c r="A165" s="170" t="s">
        <v>10535</v>
      </c>
      <c r="B165" s="57" t="s">
        <v>26</v>
      </c>
      <c r="C165" s="51" t="s">
        <v>27</v>
      </c>
      <c r="D165" s="52" t="s">
        <v>4</v>
      </c>
      <c r="E165" s="53" t="s">
        <v>27</v>
      </c>
      <c r="F165" s="52" t="s">
        <v>4</v>
      </c>
      <c r="G165" s="52" t="s">
        <v>67</v>
      </c>
      <c r="H165" s="230" t="s">
        <v>10786</v>
      </c>
      <c r="I165" s="168" t="s">
        <v>27</v>
      </c>
      <c r="J165" s="218" t="s">
        <v>4</v>
      </c>
      <c r="K165" s="172" t="s">
        <v>27</v>
      </c>
      <c r="L165" s="194" t="s">
        <v>4</v>
      </c>
      <c r="M165" s="52" t="s">
        <v>46</v>
      </c>
      <c r="N165" s="54" t="s">
        <v>10496</v>
      </c>
      <c r="O165" s="55" t="str">
        <f t="shared" si="4"/>
        <v>L1.00.00.13.00.00</v>
      </c>
      <c r="P165" s="55" t="str">
        <f t="shared" si="5"/>
        <v>L1.00.00.13.00.00.07</v>
      </c>
      <c r="Q165" s="160" t="s">
        <v>10530</v>
      </c>
      <c r="R165" s="169" t="str">
        <f t="shared" si="6"/>
        <v>Khối nền tảng Giáo dục</v>
      </c>
      <c r="S165" s="97" t="s">
        <v>10536</v>
      </c>
      <c r="T165" s="97" t="s">
        <v>10787</v>
      </c>
      <c r="U165" s="96" t="s">
        <v>453</v>
      </c>
      <c r="V165" s="96" t="s">
        <v>555</v>
      </c>
      <c r="W165" s="96"/>
      <c r="X165" s="96"/>
      <c r="Y165" s="96"/>
      <c r="Z165" s="98" t="s">
        <v>10788</v>
      </c>
      <c r="AA165" s="153" t="s">
        <v>10530</v>
      </c>
      <c r="AB165" s="91"/>
      <c r="AC165" s="91"/>
      <c r="AD165" s="91"/>
    </row>
    <row r="166" ht="15.75" customHeight="1" outlineLevel="1">
      <c r="A166" s="170" t="s">
        <v>10535</v>
      </c>
      <c r="B166" s="57" t="s">
        <v>26</v>
      </c>
      <c r="C166" s="51" t="s">
        <v>27</v>
      </c>
      <c r="D166" s="52" t="s">
        <v>4</v>
      </c>
      <c r="E166" s="53" t="s">
        <v>27</v>
      </c>
      <c r="F166" s="52" t="s">
        <v>4</v>
      </c>
      <c r="G166" s="52" t="s">
        <v>67</v>
      </c>
      <c r="H166" s="230" t="s">
        <v>10786</v>
      </c>
      <c r="I166" s="157" t="s">
        <v>29</v>
      </c>
      <c r="J166" s="176" t="s">
        <v>556</v>
      </c>
      <c r="K166" s="172" t="s">
        <v>27</v>
      </c>
      <c r="L166" s="194" t="s">
        <v>4</v>
      </c>
      <c r="M166" s="52" t="s">
        <v>46</v>
      </c>
      <c r="N166" s="54" t="s">
        <v>10496</v>
      </c>
      <c r="O166" s="55" t="str">
        <f t="shared" si="4"/>
        <v>L1.00.00.13.01.00</v>
      </c>
      <c r="P166" s="55" t="str">
        <f t="shared" si="5"/>
        <v>L1.00.00.13.01.00.07</v>
      </c>
      <c r="Q166" s="160" t="s">
        <v>10530</v>
      </c>
      <c r="R166" s="169" t="str">
        <f t="shared" si="6"/>
        <v>Sản phẩm MISA EMIS</v>
      </c>
      <c r="S166" s="227" t="s">
        <v>10789</v>
      </c>
      <c r="T166" s="96" t="s">
        <v>5189</v>
      </c>
      <c r="U166" s="96" t="s">
        <v>453</v>
      </c>
      <c r="V166" s="96" t="s">
        <v>555</v>
      </c>
      <c r="W166" s="96" t="s">
        <v>556</v>
      </c>
      <c r="X166" s="96"/>
      <c r="Y166" s="96"/>
      <c r="Z166" s="98" t="s">
        <v>10790</v>
      </c>
      <c r="AA166" s="153" t="s">
        <v>10530</v>
      </c>
      <c r="AB166" s="91"/>
      <c r="AC166" s="91"/>
      <c r="AD166" s="91"/>
    </row>
    <row r="167" ht="15.75" customHeight="1" outlineLevel="1">
      <c r="A167" s="170" t="s">
        <v>10535</v>
      </c>
      <c r="B167" s="57" t="s">
        <v>26</v>
      </c>
      <c r="C167" s="51" t="s">
        <v>27</v>
      </c>
      <c r="D167" s="52" t="s">
        <v>4</v>
      </c>
      <c r="E167" s="53" t="s">
        <v>27</v>
      </c>
      <c r="F167" s="52" t="s">
        <v>4</v>
      </c>
      <c r="G167" s="52" t="s">
        <v>67</v>
      </c>
      <c r="H167" s="230" t="s">
        <v>10786</v>
      </c>
      <c r="I167" s="157" t="s">
        <v>29</v>
      </c>
      <c r="J167" s="176" t="s">
        <v>556</v>
      </c>
      <c r="K167" s="221" t="s">
        <v>29</v>
      </c>
      <c r="L167" s="176" t="s">
        <v>3055</v>
      </c>
      <c r="M167" s="52" t="s">
        <v>46</v>
      </c>
      <c r="N167" s="54" t="s">
        <v>10496</v>
      </c>
      <c r="O167" s="55" t="str">
        <f t="shared" si="4"/>
        <v>L1.00.00.13.01.01</v>
      </c>
      <c r="P167" s="55" t="str">
        <f t="shared" si="5"/>
        <v>L1.00.00.13.01.01.07</v>
      </c>
      <c r="Q167" s="160" t="s">
        <v>10530</v>
      </c>
      <c r="R167" s="169" t="str">
        <f t="shared" si="6"/>
        <v>Dự án EMIS Công lập</v>
      </c>
      <c r="S167" s="227" t="s">
        <v>10791</v>
      </c>
      <c r="T167" s="96" t="s">
        <v>3056</v>
      </c>
      <c r="U167" s="96" t="s">
        <v>453</v>
      </c>
      <c r="V167" s="96" t="s">
        <v>555</v>
      </c>
      <c r="W167" s="96" t="s">
        <v>556</v>
      </c>
      <c r="X167" s="96" t="s">
        <v>3055</v>
      </c>
      <c r="Y167" s="96"/>
      <c r="Z167" s="98" t="s">
        <v>10792</v>
      </c>
      <c r="AA167" s="153" t="s">
        <v>10530</v>
      </c>
      <c r="AB167" s="91"/>
      <c r="AC167" s="91"/>
      <c r="AD167" s="91"/>
    </row>
    <row r="168" ht="15.75" customHeight="1" outlineLevel="1">
      <c r="A168" s="170" t="s">
        <v>10535</v>
      </c>
      <c r="B168" s="57" t="s">
        <v>26</v>
      </c>
      <c r="C168" s="51" t="s">
        <v>27</v>
      </c>
      <c r="D168" s="52" t="s">
        <v>4</v>
      </c>
      <c r="E168" s="53" t="s">
        <v>27</v>
      </c>
      <c r="F168" s="52" t="s">
        <v>4</v>
      </c>
      <c r="G168" s="52" t="s">
        <v>67</v>
      </c>
      <c r="H168" s="230" t="s">
        <v>10786</v>
      </c>
      <c r="I168" s="157" t="s">
        <v>29</v>
      </c>
      <c r="J168" s="176" t="s">
        <v>556</v>
      </c>
      <c r="K168" s="221" t="s">
        <v>33</v>
      </c>
      <c r="L168" s="176" t="s">
        <v>4492</v>
      </c>
      <c r="M168" s="52" t="s">
        <v>46</v>
      </c>
      <c r="N168" s="54" t="s">
        <v>10496</v>
      </c>
      <c r="O168" s="55" t="str">
        <f t="shared" si="4"/>
        <v>L1.00.00.13.01.02</v>
      </c>
      <c r="P168" s="55" t="str">
        <f t="shared" si="5"/>
        <v>L1.00.00.13.01.02.07</v>
      </c>
      <c r="Q168" s="160" t="s">
        <v>10530</v>
      </c>
      <c r="R168" s="169" t="str">
        <f t="shared" si="6"/>
        <v>Dự án EMIS Core Platform</v>
      </c>
      <c r="S168" s="227" t="s">
        <v>10791</v>
      </c>
      <c r="T168" s="96" t="s">
        <v>4493</v>
      </c>
      <c r="U168" s="96" t="s">
        <v>453</v>
      </c>
      <c r="V168" s="96" t="s">
        <v>555</v>
      </c>
      <c r="W168" s="96" t="s">
        <v>556</v>
      </c>
      <c r="X168" s="96" t="s">
        <v>4492</v>
      </c>
      <c r="Y168" s="96"/>
      <c r="Z168" s="98" t="s">
        <v>10793</v>
      </c>
      <c r="AA168" s="153" t="s">
        <v>10530</v>
      </c>
      <c r="AB168" s="91"/>
      <c r="AC168" s="91"/>
      <c r="AD168" s="91"/>
    </row>
    <row r="169" ht="15.75" customHeight="1" outlineLevel="1">
      <c r="A169" s="170" t="s">
        <v>10535</v>
      </c>
      <c r="B169" s="57" t="s">
        <v>26</v>
      </c>
      <c r="C169" s="51" t="s">
        <v>27</v>
      </c>
      <c r="D169" s="52" t="s">
        <v>4</v>
      </c>
      <c r="E169" s="53" t="s">
        <v>27</v>
      </c>
      <c r="F169" s="52" t="s">
        <v>4</v>
      </c>
      <c r="G169" s="52" t="s">
        <v>67</v>
      </c>
      <c r="H169" s="230" t="s">
        <v>10786</v>
      </c>
      <c r="I169" s="157" t="s">
        <v>29</v>
      </c>
      <c r="J169" s="176" t="s">
        <v>556</v>
      </c>
      <c r="K169" s="221" t="s">
        <v>35</v>
      </c>
      <c r="L169" s="176" t="s">
        <v>554</v>
      </c>
      <c r="M169" s="52" t="s">
        <v>46</v>
      </c>
      <c r="N169" s="54" t="s">
        <v>10496</v>
      </c>
      <c r="O169" s="55" t="str">
        <f t="shared" si="4"/>
        <v>L1.00.00.13.01.03</v>
      </c>
      <c r="P169" s="55" t="str">
        <f t="shared" si="5"/>
        <v>L1.00.00.13.01.03.07</v>
      </c>
      <c r="Q169" s="160" t="s">
        <v>10530</v>
      </c>
      <c r="R169" s="169" t="str">
        <f t="shared" si="6"/>
        <v>Dự án EMIS Mầm non</v>
      </c>
      <c r="S169" s="227" t="s">
        <v>10791</v>
      </c>
      <c r="T169" s="96" t="s">
        <v>557</v>
      </c>
      <c r="U169" s="96" t="s">
        <v>453</v>
      </c>
      <c r="V169" s="96" t="s">
        <v>555</v>
      </c>
      <c r="W169" s="96" t="s">
        <v>556</v>
      </c>
      <c r="X169" s="96" t="s">
        <v>554</v>
      </c>
      <c r="Y169" s="96"/>
      <c r="Z169" s="98" t="s">
        <v>10794</v>
      </c>
      <c r="AA169" s="153" t="s">
        <v>10530</v>
      </c>
      <c r="AB169" s="91"/>
      <c r="AC169" s="91"/>
      <c r="AD169" s="91"/>
    </row>
    <row r="170" ht="15.75" customHeight="1" outlineLevel="1">
      <c r="A170" s="170" t="s">
        <v>10535</v>
      </c>
      <c r="B170" s="57" t="s">
        <v>26</v>
      </c>
      <c r="C170" s="51" t="s">
        <v>27</v>
      </c>
      <c r="D170" s="52" t="s">
        <v>4</v>
      </c>
      <c r="E170" s="53" t="s">
        <v>27</v>
      </c>
      <c r="F170" s="52" t="s">
        <v>4</v>
      </c>
      <c r="G170" s="52" t="s">
        <v>67</v>
      </c>
      <c r="H170" s="230" t="s">
        <v>10786</v>
      </c>
      <c r="I170" s="157" t="s">
        <v>29</v>
      </c>
      <c r="J170" s="176" t="s">
        <v>556</v>
      </c>
      <c r="K170" s="221" t="s">
        <v>37</v>
      </c>
      <c r="L170" s="176" t="s">
        <v>3292</v>
      </c>
      <c r="M170" s="52" t="s">
        <v>46</v>
      </c>
      <c r="N170" s="54" t="s">
        <v>10496</v>
      </c>
      <c r="O170" s="55" t="str">
        <f t="shared" si="4"/>
        <v>L1.00.00.13.01.04</v>
      </c>
      <c r="P170" s="55" t="str">
        <f t="shared" si="5"/>
        <v>L1.00.00.13.01.04.07</v>
      </c>
      <c r="Q170" s="160" t="s">
        <v>10530</v>
      </c>
      <c r="R170" s="169" t="str">
        <f t="shared" si="6"/>
        <v>Dự án EMIS Mobile</v>
      </c>
      <c r="S170" s="227" t="s">
        <v>10791</v>
      </c>
      <c r="T170" s="96" t="s">
        <v>3293</v>
      </c>
      <c r="U170" s="96" t="s">
        <v>453</v>
      </c>
      <c r="V170" s="96" t="s">
        <v>555</v>
      </c>
      <c r="W170" s="96" t="s">
        <v>556</v>
      </c>
      <c r="X170" s="96" t="s">
        <v>3292</v>
      </c>
      <c r="Y170" s="96"/>
      <c r="Z170" s="98" t="s">
        <v>10795</v>
      </c>
      <c r="AA170" s="153" t="s">
        <v>10530</v>
      </c>
      <c r="AB170" s="91"/>
      <c r="AC170" s="91"/>
      <c r="AD170" s="91"/>
    </row>
    <row r="171" ht="15.75" customHeight="1" outlineLevel="1">
      <c r="A171" s="170" t="s">
        <v>10535</v>
      </c>
      <c r="B171" s="57" t="s">
        <v>26</v>
      </c>
      <c r="C171" s="51" t="s">
        <v>27</v>
      </c>
      <c r="D171" s="52" t="s">
        <v>4</v>
      </c>
      <c r="E171" s="53" t="s">
        <v>27</v>
      </c>
      <c r="F171" s="52" t="s">
        <v>4</v>
      </c>
      <c r="G171" s="52" t="s">
        <v>67</v>
      </c>
      <c r="H171" s="230" t="s">
        <v>10786</v>
      </c>
      <c r="I171" s="157" t="s">
        <v>29</v>
      </c>
      <c r="J171" s="176" t="s">
        <v>556</v>
      </c>
      <c r="K171" s="221" t="s">
        <v>42</v>
      </c>
      <c r="L171" s="176" t="s">
        <v>616</v>
      </c>
      <c r="M171" s="52" t="s">
        <v>46</v>
      </c>
      <c r="N171" s="54" t="s">
        <v>10496</v>
      </c>
      <c r="O171" s="55" t="str">
        <f t="shared" si="4"/>
        <v>L1.00.00.13.01.05</v>
      </c>
      <c r="P171" s="55" t="str">
        <f t="shared" si="5"/>
        <v>L1.00.00.13.01.05.07</v>
      </c>
      <c r="Q171" s="160" t="s">
        <v>10530</v>
      </c>
      <c r="R171" s="169" t="str">
        <f t="shared" si="6"/>
        <v>[EMIS Ngoài công lập] Nhóm Phân tích và Thiết kế</v>
      </c>
      <c r="S171" s="227" t="s">
        <v>10791</v>
      </c>
      <c r="T171" s="96" t="s">
        <v>617</v>
      </c>
      <c r="U171" s="96" t="s">
        <v>453</v>
      </c>
      <c r="V171" s="96" t="s">
        <v>555</v>
      </c>
      <c r="W171" s="96" t="s">
        <v>556</v>
      </c>
      <c r="X171" s="96" t="s">
        <v>616</v>
      </c>
      <c r="Y171" s="96"/>
      <c r="Z171" s="98" t="s">
        <v>10796</v>
      </c>
      <c r="AA171" s="153" t="s">
        <v>10530</v>
      </c>
      <c r="AB171" s="91"/>
      <c r="AC171" s="91"/>
      <c r="AD171" s="91"/>
    </row>
    <row r="172" ht="15.75" customHeight="1" outlineLevel="1">
      <c r="A172" s="170" t="s">
        <v>10535</v>
      </c>
      <c r="B172" s="57" t="s">
        <v>26</v>
      </c>
      <c r="C172" s="51" t="s">
        <v>27</v>
      </c>
      <c r="D172" s="52" t="s">
        <v>4</v>
      </c>
      <c r="E172" s="53" t="s">
        <v>27</v>
      </c>
      <c r="F172" s="52" t="s">
        <v>4</v>
      </c>
      <c r="G172" s="52" t="s">
        <v>67</v>
      </c>
      <c r="H172" s="230" t="s">
        <v>10786</v>
      </c>
      <c r="I172" s="157" t="s">
        <v>29</v>
      </c>
      <c r="J172" s="176" t="s">
        <v>556</v>
      </c>
      <c r="K172" s="221" t="s">
        <v>44</v>
      </c>
      <c r="L172" s="176" t="s">
        <v>2995</v>
      </c>
      <c r="M172" s="52" t="s">
        <v>46</v>
      </c>
      <c r="N172" s="54" t="s">
        <v>10496</v>
      </c>
      <c r="O172" s="55" t="str">
        <f t="shared" si="4"/>
        <v>L1.00.00.13.01.06</v>
      </c>
      <c r="P172" s="55" t="str">
        <f t="shared" si="5"/>
        <v>L1.00.00.13.01.06.07</v>
      </c>
      <c r="Q172" s="160" t="s">
        <v>10530</v>
      </c>
      <c r="R172" s="169" t="str">
        <f t="shared" si="6"/>
        <v>[EMIS Công lập] Nhóm Phân tích và Thiết kế</v>
      </c>
      <c r="S172" s="227" t="s">
        <v>10791</v>
      </c>
      <c r="T172" s="96" t="s">
        <v>2996</v>
      </c>
      <c r="U172" s="96" t="s">
        <v>453</v>
      </c>
      <c r="V172" s="96" t="s">
        <v>555</v>
      </c>
      <c r="W172" s="96" t="s">
        <v>556</v>
      </c>
      <c r="X172" s="96" t="s">
        <v>2995</v>
      </c>
      <c r="Y172" s="96"/>
      <c r="Z172" s="98" t="s">
        <v>10797</v>
      </c>
      <c r="AA172" s="153" t="s">
        <v>10530</v>
      </c>
      <c r="AB172" s="91"/>
      <c r="AC172" s="91"/>
      <c r="AD172" s="91"/>
    </row>
    <row r="173" ht="15.75" customHeight="1" outlineLevel="1">
      <c r="A173" s="170" t="s">
        <v>10535</v>
      </c>
      <c r="B173" s="57" t="s">
        <v>26</v>
      </c>
      <c r="C173" s="51" t="s">
        <v>27</v>
      </c>
      <c r="D173" s="52" t="s">
        <v>4</v>
      </c>
      <c r="E173" s="53" t="s">
        <v>27</v>
      </c>
      <c r="F173" s="52" t="s">
        <v>4</v>
      </c>
      <c r="G173" s="52" t="s">
        <v>67</v>
      </c>
      <c r="H173" s="230" t="s">
        <v>10786</v>
      </c>
      <c r="I173" s="231" t="s">
        <v>33</v>
      </c>
      <c r="J173" s="176" t="s">
        <v>5194</v>
      </c>
      <c r="K173" s="172" t="s">
        <v>27</v>
      </c>
      <c r="L173" s="174" t="s">
        <v>4</v>
      </c>
      <c r="M173" s="52" t="s">
        <v>46</v>
      </c>
      <c r="N173" s="54" t="s">
        <v>10496</v>
      </c>
      <c r="O173" s="55" t="str">
        <f t="shared" si="4"/>
        <v>L1.00.00.13.02.00</v>
      </c>
      <c r="P173" s="55" t="str">
        <f t="shared" si="5"/>
        <v>L1.00.00.13.02.00.07</v>
      </c>
      <c r="Q173" s="160" t="s">
        <v>10530</v>
      </c>
      <c r="R173" s="169" t="str">
        <f t="shared" si="6"/>
        <v>Nhóm chuyên gia Khối Nền tảng GD</v>
      </c>
      <c r="S173" s="227" t="s">
        <v>10789</v>
      </c>
      <c r="T173" s="96" t="s">
        <v>5195</v>
      </c>
      <c r="U173" s="96" t="s">
        <v>453</v>
      </c>
      <c r="V173" s="96" t="s">
        <v>555</v>
      </c>
      <c r="W173" s="96" t="s">
        <v>5194</v>
      </c>
      <c r="X173" s="96"/>
      <c r="Y173" s="96"/>
      <c r="Z173" s="98" t="s">
        <v>10798</v>
      </c>
      <c r="AA173" s="153" t="s">
        <v>10530</v>
      </c>
      <c r="AB173" s="91"/>
      <c r="AC173" s="91"/>
      <c r="AD173" s="91"/>
    </row>
    <row r="174" ht="15.75" customHeight="1" outlineLevel="1">
      <c r="A174" s="170" t="s">
        <v>10535</v>
      </c>
      <c r="B174" s="57" t="s">
        <v>26</v>
      </c>
      <c r="C174" s="51" t="s">
        <v>27</v>
      </c>
      <c r="D174" s="52" t="s">
        <v>4</v>
      </c>
      <c r="E174" s="53" t="s">
        <v>27</v>
      </c>
      <c r="F174" s="52" t="s">
        <v>4</v>
      </c>
      <c r="G174" s="52" t="s">
        <v>69</v>
      </c>
      <c r="H174" s="230" t="s">
        <v>10799</v>
      </c>
      <c r="I174" s="168" t="s">
        <v>27</v>
      </c>
      <c r="J174" s="218" t="s">
        <v>4</v>
      </c>
      <c r="K174" s="172" t="s">
        <v>27</v>
      </c>
      <c r="L174" s="194" t="s">
        <v>4</v>
      </c>
      <c r="M174" s="52" t="s">
        <v>46</v>
      </c>
      <c r="N174" s="54" t="s">
        <v>10496</v>
      </c>
      <c r="O174" s="55" t="str">
        <f t="shared" si="4"/>
        <v>L1.00.00.14.00.00</v>
      </c>
      <c r="P174" s="55" t="str">
        <f t="shared" si="5"/>
        <v>L1.00.00.14.00.00.07</v>
      </c>
      <c r="Q174" s="160" t="s">
        <v>10530</v>
      </c>
      <c r="R174" s="169" t="str">
        <f t="shared" si="6"/>
        <v>Khối nền tảng Kế toán dịch vụ</v>
      </c>
      <c r="S174" s="97" t="s">
        <v>10536</v>
      </c>
      <c r="T174" s="97" t="s">
        <v>10800</v>
      </c>
      <c r="U174" s="96" t="s">
        <v>453</v>
      </c>
      <c r="V174" s="96" t="s">
        <v>4330</v>
      </c>
      <c r="W174" s="96" t="s">
        <v>4331</v>
      </c>
      <c r="X174" s="96"/>
      <c r="Y174" s="96"/>
      <c r="Z174" s="98" t="s">
        <v>10801</v>
      </c>
      <c r="AA174" s="153" t="s">
        <v>10530</v>
      </c>
      <c r="AB174" s="91"/>
      <c r="AC174" s="91"/>
      <c r="AD174" s="91"/>
    </row>
    <row r="175" ht="15.75" customHeight="1" outlineLevel="1">
      <c r="A175" s="170" t="s">
        <v>10535</v>
      </c>
      <c r="B175" s="57" t="s">
        <v>26</v>
      </c>
      <c r="C175" s="51" t="s">
        <v>27</v>
      </c>
      <c r="D175" s="52" t="s">
        <v>4</v>
      </c>
      <c r="E175" s="53" t="s">
        <v>27</v>
      </c>
      <c r="F175" s="52" t="s">
        <v>4</v>
      </c>
      <c r="G175" s="52" t="s">
        <v>69</v>
      </c>
      <c r="H175" s="230" t="s">
        <v>10799</v>
      </c>
      <c r="I175" s="157" t="s">
        <v>29</v>
      </c>
      <c r="J175" s="176" t="s">
        <v>4331</v>
      </c>
      <c r="K175" s="172" t="s">
        <v>27</v>
      </c>
      <c r="L175" s="194" t="s">
        <v>4</v>
      </c>
      <c r="M175" s="52" t="s">
        <v>46</v>
      </c>
      <c r="N175" s="54" t="s">
        <v>10496</v>
      </c>
      <c r="O175" s="55" t="str">
        <f t="shared" si="4"/>
        <v>L1.00.00.14.01.00</v>
      </c>
      <c r="P175" s="55" t="str">
        <f t="shared" si="5"/>
        <v>L1.00.00.14.01.00.07</v>
      </c>
      <c r="Q175" s="160" t="s">
        <v>10530</v>
      </c>
      <c r="R175" s="169" t="str">
        <f t="shared" si="6"/>
        <v>Sản phẩm MISA ASP</v>
      </c>
      <c r="S175" s="227" t="s">
        <v>10802</v>
      </c>
      <c r="T175" s="96" t="s">
        <v>5728</v>
      </c>
      <c r="U175" s="96" t="s">
        <v>453</v>
      </c>
      <c r="V175" s="96" t="s">
        <v>4330</v>
      </c>
      <c r="W175" s="96" t="s">
        <v>4331</v>
      </c>
      <c r="X175" s="96"/>
      <c r="Y175" s="96"/>
      <c r="Z175" s="98" t="s">
        <v>10803</v>
      </c>
      <c r="AA175" s="153" t="s">
        <v>10530</v>
      </c>
      <c r="AB175" s="91"/>
      <c r="AC175" s="91"/>
      <c r="AD175" s="91"/>
    </row>
    <row r="176" ht="15.75" customHeight="1" outlineLevel="1">
      <c r="A176" s="170" t="s">
        <v>10535</v>
      </c>
      <c r="B176" s="57" t="s">
        <v>26</v>
      </c>
      <c r="C176" s="51" t="s">
        <v>27</v>
      </c>
      <c r="D176" s="52" t="s">
        <v>4</v>
      </c>
      <c r="E176" s="53" t="s">
        <v>27</v>
      </c>
      <c r="F176" s="52" t="s">
        <v>4</v>
      </c>
      <c r="G176" s="52" t="s">
        <v>69</v>
      </c>
      <c r="H176" s="230" t="s">
        <v>10799</v>
      </c>
      <c r="I176" s="157" t="s">
        <v>29</v>
      </c>
      <c r="J176" s="176" t="s">
        <v>4331</v>
      </c>
      <c r="K176" s="221" t="s">
        <v>29</v>
      </c>
      <c r="L176" s="176" t="s">
        <v>4983</v>
      </c>
      <c r="M176" s="52" t="s">
        <v>46</v>
      </c>
      <c r="N176" s="54" t="s">
        <v>10496</v>
      </c>
      <c r="O176" s="55" t="str">
        <f t="shared" si="4"/>
        <v>L1.00.00.14.01.01</v>
      </c>
      <c r="P176" s="55" t="str">
        <f t="shared" si="5"/>
        <v>L1.00.00.14.01.01.07</v>
      </c>
      <c r="Q176" s="160" t="s">
        <v>10530</v>
      </c>
      <c r="R176" s="169" t="str">
        <f t="shared" si="6"/>
        <v>Dự án MISA ASP</v>
      </c>
      <c r="S176" s="227" t="s">
        <v>10804</v>
      </c>
      <c r="T176" s="96" t="s">
        <v>4984</v>
      </c>
      <c r="U176" s="96" t="s">
        <v>453</v>
      </c>
      <c r="V176" s="96" t="s">
        <v>4330</v>
      </c>
      <c r="W176" s="96" t="s">
        <v>4331</v>
      </c>
      <c r="X176" s="96" t="s">
        <v>4983</v>
      </c>
      <c r="Y176" s="96"/>
      <c r="Z176" s="98" t="s">
        <v>10805</v>
      </c>
      <c r="AA176" s="153" t="s">
        <v>10530</v>
      </c>
      <c r="AB176" s="91"/>
      <c r="AC176" s="91"/>
      <c r="AD176" s="91"/>
    </row>
    <row r="177" ht="15.75" customHeight="1" outlineLevel="1">
      <c r="A177" s="170" t="s">
        <v>10535</v>
      </c>
      <c r="B177" s="57" t="s">
        <v>26</v>
      </c>
      <c r="C177" s="51" t="s">
        <v>27</v>
      </c>
      <c r="D177" s="52" t="s">
        <v>4</v>
      </c>
      <c r="E177" s="53" t="s">
        <v>27</v>
      </c>
      <c r="F177" s="52" t="s">
        <v>4</v>
      </c>
      <c r="G177" s="52" t="s">
        <v>69</v>
      </c>
      <c r="H177" s="230" t="s">
        <v>10799</v>
      </c>
      <c r="I177" s="157" t="s">
        <v>29</v>
      </c>
      <c r="J177" s="176" t="s">
        <v>4331</v>
      </c>
      <c r="K177" s="221" t="s">
        <v>33</v>
      </c>
      <c r="L177" s="176" t="s">
        <v>4329</v>
      </c>
      <c r="M177" s="52" t="s">
        <v>46</v>
      </c>
      <c r="N177" s="54" t="s">
        <v>10496</v>
      </c>
      <c r="O177" s="55" t="str">
        <f t="shared" si="4"/>
        <v>L1.00.00.14.01.02</v>
      </c>
      <c r="P177" s="55" t="str">
        <f t="shared" si="5"/>
        <v>L1.00.00.14.01.02.07</v>
      </c>
      <c r="Q177" s="160" t="s">
        <v>10530</v>
      </c>
      <c r="R177" s="169" t="str">
        <f t="shared" si="6"/>
        <v>[MISA ASP] Nhóm Phân tích &amp; Thiết kế</v>
      </c>
      <c r="S177" s="227" t="s">
        <v>10804</v>
      </c>
      <c r="T177" s="96" t="s">
        <v>4332</v>
      </c>
      <c r="U177" s="96" t="s">
        <v>453</v>
      </c>
      <c r="V177" s="96" t="s">
        <v>4330</v>
      </c>
      <c r="W177" s="96" t="s">
        <v>4331</v>
      </c>
      <c r="X177" s="96" t="s">
        <v>4329</v>
      </c>
      <c r="Y177" s="96"/>
      <c r="Z177" s="98" t="s">
        <v>10806</v>
      </c>
      <c r="AA177" s="153" t="s">
        <v>10530</v>
      </c>
      <c r="AB177" s="91"/>
      <c r="AC177" s="91"/>
      <c r="AD177" s="91"/>
    </row>
    <row r="178" ht="15.75" customHeight="1" outlineLevel="1">
      <c r="A178" s="170" t="s">
        <v>10535</v>
      </c>
      <c r="B178" s="57" t="s">
        <v>26</v>
      </c>
      <c r="C178" s="51" t="s">
        <v>27</v>
      </c>
      <c r="D178" s="52" t="s">
        <v>4</v>
      </c>
      <c r="E178" s="53" t="s">
        <v>27</v>
      </c>
      <c r="F178" s="52" t="s">
        <v>4</v>
      </c>
      <c r="G178" s="52" t="s">
        <v>71</v>
      </c>
      <c r="H178" s="230" t="s">
        <v>10807</v>
      </c>
      <c r="I178" s="168" t="s">
        <v>27</v>
      </c>
      <c r="J178" s="218" t="s">
        <v>4</v>
      </c>
      <c r="K178" s="175" t="s">
        <v>27</v>
      </c>
      <c r="L178" s="218" t="s">
        <v>4</v>
      </c>
      <c r="M178" s="52" t="s">
        <v>46</v>
      </c>
      <c r="N178" s="54" t="s">
        <v>10496</v>
      </c>
      <c r="O178" s="55" t="str">
        <f t="shared" si="4"/>
        <v>L1.00.00.15.00.00</v>
      </c>
      <c r="P178" s="55" t="str">
        <f t="shared" si="5"/>
        <v>L1.00.00.15.00.00.07</v>
      </c>
      <c r="Q178" s="160" t="s">
        <v>10530</v>
      </c>
      <c r="R178" s="169" t="str">
        <f t="shared" si="6"/>
        <v>Khối nền tảng Thị trường nước ngoài</v>
      </c>
      <c r="S178" s="97" t="s">
        <v>10536</v>
      </c>
      <c r="T178" s="97" t="s">
        <v>10808</v>
      </c>
      <c r="U178" s="96" t="s">
        <v>453</v>
      </c>
      <c r="V178" s="96" t="s">
        <v>2835</v>
      </c>
      <c r="W178" s="96" t="s">
        <v>3564</v>
      </c>
      <c r="X178" s="96" t="s">
        <v>3563</v>
      </c>
      <c r="Y178" s="96"/>
      <c r="Z178" s="98" t="s">
        <v>10809</v>
      </c>
      <c r="AA178" s="153" t="s">
        <v>10530</v>
      </c>
      <c r="AB178" s="91"/>
      <c r="AC178" s="91"/>
      <c r="AD178" s="91"/>
    </row>
    <row r="179" ht="15.75" customHeight="1" outlineLevel="1">
      <c r="A179" s="170" t="s">
        <v>10535</v>
      </c>
      <c r="B179" s="57" t="s">
        <v>26</v>
      </c>
      <c r="C179" s="51" t="s">
        <v>27</v>
      </c>
      <c r="D179" s="52" t="s">
        <v>4</v>
      </c>
      <c r="E179" s="53" t="s">
        <v>27</v>
      </c>
      <c r="F179" s="52" t="s">
        <v>4</v>
      </c>
      <c r="G179" s="52" t="s">
        <v>71</v>
      </c>
      <c r="H179" s="230" t="s">
        <v>10807</v>
      </c>
      <c r="I179" s="157" t="s">
        <v>29</v>
      </c>
      <c r="J179" s="176" t="s">
        <v>3564</v>
      </c>
      <c r="K179" s="175" t="s">
        <v>27</v>
      </c>
      <c r="L179" s="218" t="s">
        <v>4</v>
      </c>
      <c r="M179" s="52" t="s">
        <v>46</v>
      </c>
      <c r="N179" s="54" t="s">
        <v>10496</v>
      </c>
      <c r="O179" s="55" t="str">
        <f t="shared" si="4"/>
        <v>L1.00.00.15.01.00</v>
      </c>
      <c r="P179" s="55" t="str">
        <f t="shared" si="5"/>
        <v>L1.00.00.15.01.00.07</v>
      </c>
      <c r="Q179" s="160" t="s">
        <v>10530</v>
      </c>
      <c r="R179" s="169" t="str">
        <f t="shared" si="6"/>
        <v>Sản phẩm CukCuk (TTNN)</v>
      </c>
      <c r="S179" s="227" t="s">
        <v>10810</v>
      </c>
      <c r="T179" s="97" t="s">
        <v>10811</v>
      </c>
      <c r="U179" s="96" t="s">
        <v>453</v>
      </c>
      <c r="V179" s="96" t="s">
        <v>2835</v>
      </c>
      <c r="W179" s="96" t="s">
        <v>3564</v>
      </c>
      <c r="X179" s="96" t="s">
        <v>3563</v>
      </c>
      <c r="Y179" s="96"/>
      <c r="Z179" s="98" t="s">
        <v>10812</v>
      </c>
      <c r="AA179" s="153" t="s">
        <v>10530</v>
      </c>
      <c r="AB179" s="91"/>
      <c r="AC179" s="91"/>
      <c r="AD179" s="91"/>
    </row>
    <row r="180" ht="15.75" customHeight="1" outlineLevel="1">
      <c r="A180" s="170" t="s">
        <v>10535</v>
      </c>
      <c r="B180" s="57" t="s">
        <v>26</v>
      </c>
      <c r="C180" s="51" t="s">
        <v>27</v>
      </c>
      <c r="D180" s="52" t="s">
        <v>4</v>
      </c>
      <c r="E180" s="53" t="s">
        <v>27</v>
      </c>
      <c r="F180" s="52" t="s">
        <v>4</v>
      </c>
      <c r="G180" s="52" t="s">
        <v>71</v>
      </c>
      <c r="H180" s="230" t="s">
        <v>10807</v>
      </c>
      <c r="I180" s="157" t="s">
        <v>29</v>
      </c>
      <c r="J180" s="176" t="s">
        <v>3564</v>
      </c>
      <c r="K180" s="221" t="s">
        <v>29</v>
      </c>
      <c r="L180" s="176" t="s">
        <v>3563</v>
      </c>
      <c r="M180" s="52" t="s">
        <v>46</v>
      </c>
      <c r="N180" s="54" t="s">
        <v>10496</v>
      </c>
      <c r="O180" s="55" t="str">
        <f t="shared" si="4"/>
        <v>L1.00.00.15.01.01</v>
      </c>
      <c r="P180" s="55" t="str">
        <f t="shared" si="5"/>
        <v>L1.00.00.15.01.01.07</v>
      </c>
      <c r="Q180" s="160" t="s">
        <v>10530</v>
      </c>
      <c r="R180" s="169" t="str">
        <f t="shared" si="6"/>
        <v>Dự án Cukcuk W&amp;D (TTNN)</v>
      </c>
      <c r="S180" s="227" t="s">
        <v>10813</v>
      </c>
      <c r="T180" s="96" t="s">
        <v>3565</v>
      </c>
      <c r="U180" s="96" t="s">
        <v>453</v>
      </c>
      <c r="V180" s="96" t="s">
        <v>2835</v>
      </c>
      <c r="W180" s="96" t="s">
        <v>3564</v>
      </c>
      <c r="X180" s="96" t="s">
        <v>3563</v>
      </c>
      <c r="Y180" s="96"/>
      <c r="Z180" s="98" t="s">
        <v>10814</v>
      </c>
      <c r="AA180" s="153" t="s">
        <v>10530</v>
      </c>
      <c r="AB180" s="91"/>
      <c r="AC180" s="91"/>
      <c r="AD180" s="91"/>
    </row>
    <row r="181" ht="15.75" customHeight="1" outlineLevel="1">
      <c r="A181" s="170" t="s">
        <v>10535</v>
      </c>
      <c r="B181" s="57" t="s">
        <v>26</v>
      </c>
      <c r="C181" s="51" t="s">
        <v>27</v>
      </c>
      <c r="D181" s="52" t="s">
        <v>4</v>
      </c>
      <c r="E181" s="53" t="s">
        <v>27</v>
      </c>
      <c r="F181" s="52" t="s">
        <v>4</v>
      </c>
      <c r="G181" s="52" t="s">
        <v>71</v>
      </c>
      <c r="H181" s="230" t="s">
        <v>10807</v>
      </c>
      <c r="I181" s="157" t="s">
        <v>29</v>
      </c>
      <c r="J181" s="176" t="s">
        <v>3564</v>
      </c>
      <c r="K181" s="221" t="s">
        <v>33</v>
      </c>
      <c r="L181" s="176" t="s">
        <v>5387</v>
      </c>
      <c r="M181" s="52" t="s">
        <v>46</v>
      </c>
      <c r="N181" s="54" t="s">
        <v>10496</v>
      </c>
      <c r="O181" s="55" t="str">
        <f t="shared" si="4"/>
        <v>L1.00.00.15.01.02</v>
      </c>
      <c r="P181" s="55" t="str">
        <f t="shared" si="5"/>
        <v>L1.00.00.15.01.02.07</v>
      </c>
      <c r="Q181" s="160" t="s">
        <v>10530</v>
      </c>
      <c r="R181" s="169" t="str">
        <f t="shared" si="6"/>
        <v>[Cukcuk TTNN] Nhóm Phân tích &amp; Thiết kế</v>
      </c>
      <c r="S181" s="227" t="s">
        <v>10813</v>
      </c>
      <c r="T181" s="96" t="s">
        <v>5388</v>
      </c>
      <c r="U181" s="96" t="s">
        <v>453</v>
      </c>
      <c r="V181" s="96" t="s">
        <v>2835</v>
      </c>
      <c r="W181" s="96" t="s">
        <v>3564</v>
      </c>
      <c r="X181" s="96" t="s">
        <v>5387</v>
      </c>
      <c r="Y181" s="96"/>
      <c r="Z181" s="98" t="s">
        <v>10815</v>
      </c>
      <c r="AA181" s="153" t="s">
        <v>10530</v>
      </c>
      <c r="AB181" s="91"/>
      <c r="AC181" s="91"/>
      <c r="AD181" s="91"/>
    </row>
    <row r="182" ht="15.75" customHeight="1" outlineLevel="1">
      <c r="A182" s="170" t="s">
        <v>10535</v>
      </c>
      <c r="B182" s="57" t="s">
        <v>26</v>
      </c>
      <c r="C182" s="51" t="s">
        <v>27</v>
      </c>
      <c r="D182" s="52" t="s">
        <v>4</v>
      </c>
      <c r="E182" s="53" t="s">
        <v>27</v>
      </c>
      <c r="F182" s="52" t="s">
        <v>4</v>
      </c>
      <c r="G182" s="52" t="s">
        <v>71</v>
      </c>
      <c r="H182" s="230" t="s">
        <v>10807</v>
      </c>
      <c r="I182" s="231" t="s">
        <v>33</v>
      </c>
      <c r="J182" s="176" t="s">
        <v>4612</v>
      </c>
      <c r="K182" s="175" t="s">
        <v>27</v>
      </c>
      <c r="L182" s="218" t="s">
        <v>4</v>
      </c>
      <c r="M182" s="52" t="s">
        <v>46</v>
      </c>
      <c r="N182" s="54" t="s">
        <v>10496</v>
      </c>
      <c r="O182" s="55" t="str">
        <f t="shared" si="4"/>
        <v>L1.00.00.15.02.00</v>
      </c>
      <c r="P182" s="55" t="str">
        <f t="shared" si="5"/>
        <v>L1.00.00.15.02.00.07</v>
      </c>
      <c r="Q182" s="160" t="s">
        <v>10530</v>
      </c>
      <c r="R182" s="169" t="str">
        <f t="shared" si="6"/>
        <v>Sản phẩm CukCuk (TT Mỹ)</v>
      </c>
      <c r="S182" s="227" t="s">
        <v>10810</v>
      </c>
      <c r="T182" s="97" t="s">
        <v>10816</v>
      </c>
      <c r="U182" s="96" t="s">
        <v>453</v>
      </c>
      <c r="V182" s="96" t="s">
        <v>2835</v>
      </c>
      <c r="W182" s="96" t="s">
        <v>4612</v>
      </c>
      <c r="X182" s="96" t="s">
        <v>5091</v>
      </c>
      <c r="Y182" s="96"/>
      <c r="Z182" s="98" t="s">
        <v>10817</v>
      </c>
      <c r="AA182" s="153" t="s">
        <v>10530</v>
      </c>
      <c r="AB182" s="91"/>
      <c r="AC182" s="91"/>
      <c r="AD182" s="91"/>
    </row>
    <row r="183" ht="15.75" customHeight="1" outlineLevel="1">
      <c r="A183" s="170" t="s">
        <v>10535</v>
      </c>
      <c r="B183" s="57" t="s">
        <v>26</v>
      </c>
      <c r="C183" s="51" t="s">
        <v>27</v>
      </c>
      <c r="D183" s="52" t="s">
        <v>4</v>
      </c>
      <c r="E183" s="53" t="s">
        <v>27</v>
      </c>
      <c r="F183" s="52" t="s">
        <v>4</v>
      </c>
      <c r="G183" s="52" t="s">
        <v>71</v>
      </c>
      <c r="H183" s="230" t="s">
        <v>10807</v>
      </c>
      <c r="I183" s="231" t="s">
        <v>33</v>
      </c>
      <c r="J183" s="176" t="s">
        <v>4612</v>
      </c>
      <c r="K183" s="221" t="s">
        <v>29</v>
      </c>
      <c r="L183" s="176" t="s">
        <v>5091</v>
      </c>
      <c r="M183" s="52" t="s">
        <v>46</v>
      </c>
      <c r="N183" s="54" t="s">
        <v>10496</v>
      </c>
      <c r="O183" s="55" t="str">
        <f t="shared" si="4"/>
        <v>L1.00.00.15.02.01</v>
      </c>
      <c r="P183" s="55" t="str">
        <f t="shared" si="5"/>
        <v>L1.00.00.15.02.01.07</v>
      </c>
      <c r="Q183" s="160" t="s">
        <v>10530</v>
      </c>
      <c r="R183" s="169" t="str">
        <f t="shared" si="6"/>
        <v>Dự án Cukcuk W&amp;D (TT Mỹ)</v>
      </c>
      <c r="S183" s="227" t="s">
        <v>10818</v>
      </c>
      <c r="T183" s="96" t="s">
        <v>5092</v>
      </c>
      <c r="U183" s="96" t="s">
        <v>453</v>
      </c>
      <c r="V183" s="96" t="s">
        <v>2835</v>
      </c>
      <c r="W183" s="96" t="s">
        <v>4612</v>
      </c>
      <c r="X183" s="96" t="s">
        <v>5091</v>
      </c>
      <c r="Y183" s="96"/>
      <c r="Z183" s="98" t="s">
        <v>10819</v>
      </c>
      <c r="AA183" s="153" t="s">
        <v>10530</v>
      </c>
      <c r="AB183" s="91"/>
      <c r="AC183" s="91"/>
      <c r="AD183" s="91"/>
    </row>
    <row r="184" ht="15.75" customHeight="1" outlineLevel="1">
      <c r="A184" s="170" t="s">
        <v>10535</v>
      </c>
      <c r="B184" s="57" t="s">
        <v>26</v>
      </c>
      <c r="C184" s="51" t="s">
        <v>27</v>
      </c>
      <c r="D184" s="52" t="s">
        <v>4</v>
      </c>
      <c r="E184" s="53" t="s">
        <v>27</v>
      </c>
      <c r="F184" s="52" t="s">
        <v>4</v>
      </c>
      <c r="G184" s="52" t="s">
        <v>71</v>
      </c>
      <c r="H184" s="230" t="s">
        <v>10807</v>
      </c>
      <c r="I184" s="231" t="s">
        <v>33</v>
      </c>
      <c r="J184" s="176" t="s">
        <v>4612</v>
      </c>
      <c r="K184" s="221" t="s">
        <v>33</v>
      </c>
      <c r="L184" s="176" t="s">
        <v>4611</v>
      </c>
      <c r="M184" s="52" t="s">
        <v>46</v>
      </c>
      <c r="N184" s="54" t="s">
        <v>10496</v>
      </c>
      <c r="O184" s="55" t="str">
        <f t="shared" si="4"/>
        <v>L1.00.00.15.02.02</v>
      </c>
      <c r="P184" s="55" t="str">
        <f t="shared" si="5"/>
        <v>L1.00.00.15.02.02.07</v>
      </c>
      <c r="Q184" s="160" t="s">
        <v>10530</v>
      </c>
      <c r="R184" s="169" t="str">
        <f t="shared" si="6"/>
        <v>Dự án CukCuk Mobile TT Mỹ</v>
      </c>
      <c r="S184" s="227" t="s">
        <v>10818</v>
      </c>
      <c r="T184" s="96" t="s">
        <v>4613</v>
      </c>
      <c r="U184" s="96" t="s">
        <v>453</v>
      </c>
      <c r="V184" s="96" t="s">
        <v>2835</v>
      </c>
      <c r="W184" s="96" t="s">
        <v>4612</v>
      </c>
      <c r="X184" s="96" t="s">
        <v>4611</v>
      </c>
      <c r="Y184" s="96"/>
      <c r="Z184" s="98" t="s">
        <v>10820</v>
      </c>
      <c r="AA184" s="153" t="s">
        <v>10530</v>
      </c>
      <c r="AB184" s="91"/>
      <c r="AC184" s="91"/>
      <c r="AD184" s="91"/>
    </row>
    <row r="185" ht="15.75" customHeight="1" outlineLevel="1">
      <c r="A185" s="170" t="s">
        <v>10535</v>
      </c>
      <c r="B185" s="57" t="s">
        <v>26</v>
      </c>
      <c r="C185" s="51" t="s">
        <v>27</v>
      </c>
      <c r="D185" s="52" t="s">
        <v>4</v>
      </c>
      <c r="E185" s="53" t="s">
        <v>27</v>
      </c>
      <c r="F185" s="52" t="s">
        <v>4</v>
      </c>
      <c r="G185" s="52" t="s">
        <v>71</v>
      </c>
      <c r="H185" s="230" t="s">
        <v>10807</v>
      </c>
      <c r="I185" s="231" t="s">
        <v>35</v>
      </c>
      <c r="J185" s="176" t="s">
        <v>2836</v>
      </c>
      <c r="K185" s="175" t="s">
        <v>27</v>
      </c>
      <c r="L185" s="218" t="s">
        <v>4</v>
      </c>
      <c r="M185" s="52" t="s">
        <v>46</v>
      </c>
      <c r="N185" s="54" t="s">
        <v>10496</v>
      </c>
      <c r="O185" s="55" t="str">
        <f t="shared" si="4"/>
        <v>L1.00.00.15.03.00</v>
      </c>
      <c r="P185" s="55" t="str">
        <f t="shared" si="5"/>
        <v>L1.00.00.15.03.00.07</v>
      </c>
      <c r="Q185" s="160" t="s">
        <v>10530</v>
      </c>
      <c r="R185" s="169" t="str">
        <f t="shared" si="6"/>
        <v>Sản phẩm CukCuk (TT Philippines)</v>
      </c>
      <c r="S185" s="227" t="s">
        <v>10810</v>
      </c>
      <c r="T185" s="97" t="s">
        <v>10821</v>
      </c>
      <c r="U185" s="96" t="s">
        <v>453</v>
      </c>
      <c r="V185" s="96" t="s">
        <v>2835</v>
      </c>
      <c r="W185" s="96" t="s">
        <v>2836</v>
      </c>
      <c r="X185" s="96" t="s">
        <v>2834</v>
      </c>
      <c r="Y185" s="96"/>
      <c r="Z185" s="98" t="s">
        <v>10822</v>
      </c>
      <c r="AA185" s="153" t="s">
        <v>10530</v>
      </c>
      <c r="AB185" s="91"/>
      <c r="AC185" s="91"/>
      <c r="AD185" s="91"/>
    </row>
    <row r="186" ht="15.75" customHeight="1" outlineLevel="1">
      <c r="A186" s="170" t="s">
        <v>10535</v>
      </c>
      <c r="B186" s="57" t="s">
        <v>26</v>
      </c>
      <c r="C186" s="51" t="s">
        <v>27</v>
      </c>
      <c r="D186" s="52" t="s">
        <v>4</v>
      </c>
      <c r="E186" s="53" t="s">
        <v>27</v>
      </c>
      <c r="F186" s="52" t="s">
        <v>4</v>
      </c>
      <c r="G186" s="52" t="s">
        <v>71</v>
      </c>
      <c r="H186" s="230" t="s">
        <v>10807</v>
      </c>
      <c r="I186" s="231" t="s">
        <v>35</v>
      </c>
      <c r="J186" s="176" t="s">
        <v>2836</v>
      </c>
      <c r="K186" s="221" t="s">
        <v>29</v>
      </c>
      <c r="L186" s="176" t="s">
        <v>2834</v>
      </c>
      <c r="M186" s="52" t="s">
        <v>46</v>
      </c>
      <c r="N186" s="54" t="s">
        <v>10496</v>
      </c>
      <c r="O186" s="55" t="str">
        <f t="shared" si="4"/>
        <v>L1.00.00.15.03.01</v>
      </c>
      <c r="P186" s="55" t="str">
        <f t="shared" si="5"/>
        <v>L1.00.00.15.03.01.07</v>
      </c>
      <c r="Q186" s="160" t="s">
        <v>10530</v>
      </c>
      <c r="R186" s="169" t="str">
        <f t="shared" si="6"/>
        <v>Dự án CukCuk W&amp;D (TT Philippines)</v>
      </c>
      <c r="S186" s="227" t="s">
        <v>10823</v>
      </c>
      <c r="T186" s="96" t="s">
        <v>2837</v>
      </c>
      <c r="U186" s="96" t="s">
        <v>453</v>
      </c>
      <c r="V186" s="96" t="s">
        <v>2835</v>
      </c>
      <c r="W186" s="96" t="s">
        <v>2836</v>
      </c>
      <c r="X186" s="96" t="s">
        <v>2834</v>
      </c>
      <c r="Y186" s="96"/>
      <c r="Z186" s="98" t="s">
        <v>10824</v>
      </c>
      <c r="AA186" s="153" t="s">
        <v>10530</v>
      </c>
      <c r="AB186" s="91"/>
      <c r="AC186" s="91"/>
      <c r="AD186" s="91"/>
    </row>
    <row r="187" ht="18.75" customHeight="1" outlineLevel="1">
      <c r="A187" s="170" t="s">
        <v>10535</v>
      </c>
      <c r="B187" s="57" t="s">
        <v>26</v>
      </c>
      <c r="C187" s="51" t="s">
        <v>27</v>
      </c>
      <c r="D187" s="52" t="s">
        <v>4</v>
      </c>
      <c r="E187" s="53" t="s">
        <v>27</v>
      </c>
      <c r="F187" s="52" t="s">
        <v>4</v>
      </c>
      <c r="G187" s="51">
        <v>16.0</v>
      </c>
      <c r="H187" s="171" t="s">
        <v>28</v>
      </c>
      <c r="I187" s="168" t="s">
        <v>27</v>
      </c>
      <c r="J187" s="218" t="s">
        <v>4</v>
      </c>
      <c r="K187" s="175" t="s">
        <v>27</v>
      </c>
      <c r="L187" s="218" t="s">
        <v>4</v>
      </c>
      <c r="M187" s="52" t="s">
        <v>46</v>
      </c>
      <c r="N187" s="54" t="s">
        <v>10496</v>
      </c>
      <c r="O187" s="55" t="str">
        <f t="shared" si="4"/>
        <v>L1.00.00.16.00.00</v>
      </c>
      <c r="P187" s="55" t="str">
        <f t="shared" si="5"/>
        <v>L1.00.00.16.00.00.07</v>
      </c>
      <c r="Q187" s="160" t="s">
        <v>10530</v>
      </c>
      <c r="R187" s="169" t="str">
        <f t="shared" si="6"/>
        <v>Khối thị trường khách hàng cá nhân</v>
      </c>
      <c r="S187" s="187" t="s">
        <v>10536</v>
      </c>
      <c r="T187" s="97" t="s">
        <v>10825</v>
      </c>
      <c r="U187" s="96" t="s">
        <v>453</v>
      </c>
      <c r="V187" s="96" t="s">
        <v>6077</v>
      </c>
      <c r="W187" s="96" t="s">
        <v>6078</v>
      </c>
      <c r="X187" s="96" t="s">
        <v>6076</v>
      </c>
      <c r="Y187" s="96"/>
      <c r="Z187" s="98" t="s">
        <v>10826</v>
      </c>
      <c r="AA187" s="153" t="s">
        <v>10530</v>
      </c>
      <c r="AB187" s="91"/>
      <c r="AC187" s="91"/>
      <c r="AD187" s="91"/>
    </row>
    <row r="188" ht="18.75" customHeight="1" outlineLevel="1">
      <c r="A188" s="170" t="s">
        <v>10535</v>
      </c>
      <c r="B188" s="57" t="s">
        <v>26</v>
      </c>
      <c r="C188" s="51" t="s">
        <v>27</v>
      </c>
      <c r="D188" s="52" t="s">
        <v>4</v>
      </c>
      <c r="E188" s="53" t="s">
        <v>27</v>
      </c>
      <c r="F188" s="52" t="s">
        <v>4</v>
      </c>
      <c r="G188" s="51">
        <v>16.0</v>
      </c>
      <c r="H188" s="171" t="s">
        <v>28</v>
      </c>
      <c r="I188" s="168" t="s">
        <v>29</v>
      </c>
      <c r="J188" s="176" t="s">
        <v>6078</v>
      </c>
      <c r="K188" s="175" t="s">
        <v>27</v>
      </c>
      <c r="L188" s="218" t="s">
        <v>4</v>
      </c>
      <c r="M188" s="52" t="s">
        <v>46</v>
      </c>
      <c r="N188" s="54" t="s">
        <v>10496</v>
      </c>
      <c r="O188" s="55" t="str">
        <f t="shared" si="4"/>
        <v>L1.00.00.16.01.00</v>
      </c>
      <c r="P188" s="55" t="str">
        <f t="shared" si="5"/>
        <v>L1.00.00.16.01.00.07</v>
      </c>
      <c r="Q188" s="160" t="s">
        <v>10530</v>
      </c>
      <c r="R188" s="169" t="str">
        <f t="shared" si="6"/>
        <v>Sản phẩm MISA MoneyKeeper</v>
      </c>
      <c r="S188" s="229" t="str">
        <f>P187</f>
        <v>L1.00.00.16.00.00.07</v>
      </c>
      <c r="T188" s="97" t="s">
        <v>10827</v>
      </c>
      <c r="U188" s="96" t="s">
        <v>453</v>
      </c>
      <c r="V188" s="96" t="s">
        <v>6077</v>
      </c>
      <c r="W188" s="96" t="s">
        <v>6078</v>
      </c>
      <c r="X188" s="96" t="s">
        <v>6076</v>
      </c>
      <c r="Y188" s="96"/>
      <c r="Z188" s="98" t="s">
        <v>10828</v>
      </c>
      <c r="AA188" s="153" t="s">
        <v>10530</v>
      </c>
      <c r="AB188" s="91"/>
      <c r="AC188" s="91"/>
      <c r="AD188" s="91"/>
    </row>
    <row r="189" ht="18.75" customHeight="1" outlineLevel="1">
      <c r="A189" s="170" t="s">
        <v>10535</v>
      </c>
      <c r="B189" s="57" t="s">
        <v>26</v>
      </c>
      <c r="C189" s="51" t="s">
        <v>27</v>
      </c>
      <c r="D189" s="52" t="s">
        <v>4</v>
      </c>
      <c r="E189" s="53" t="s">
        <v>27</v>
      </c>
      <c r="F189" s="52" t="s">
        <v>4</v>
      </c>
      <c r="G189" s="51">
        <v>16.0</v>
      </c>
      <c r="H189" s="171" t="s">
        <v>28</v>
      </c>
      <c r="I189" s="168" t="s">
        <v>29</v>
      </c>
      <c r="J189" s="176" t="s">
        <v>6078</v>
      </c>
      <c r="K189" s="175" t="s">
        <v>29</v>
      </c>
      <c r="L189" s="176" t="s">
        <v>6076</v>
      </c>
      <c r="M189" s="52" t="s">
        <v>46</v>
      </c>
      <c r="N189" s="54" t="s">
        <v>10496</v>
      </c>
      <c r="O189" s="55" t="str">
        <f t="shared" si="4"/>
        <v>L1.00.00.16.01.01</v>
      </c>
      <c r="P189" s="55" t="str">
        <f t="shared" si="5"/>
        <v>L1.00.00.16.01.01.07</v>
      </c>
      <c r="Q189" s="160" t="s">
        <v>10530</v>
      </c>
      <c r="R189" s="169" t="str">
        <f t="shared" si="6"/>
        <v>Dự án MISA MoneyKeeper</v>
      </c>
      <c r="S189" s="229" t="s">
        <v>10829</v>
      </c>
      <c r="T189" s="96" t="s">
        <v>6079</v>
      </c>
      <c r="U189" s="96" t="s">
        <v>453</v>
      </c>
      <c r="V189" s="96" t="s">
        <v>6077</v>
      </c>
      <c r="W189" s="96" t="s">
        <v>6078</v>
      </c>
      <c r="X189" s="96" t="s">
        <v>6076</v>
      </c>
      <c r="Y189" s="96"/>
      <c r="Z189" s="98" t="s">
        <v>10830</v>
      </c>
      <c r="AA189" s="153" t="s">
        <v>10530</v>
      </c>
      <c r="AB189" s="91"/>
      <c r="AC189" s="91"/>
      <c r="AD189" s="91"/>
    </row>
    <row r="190" ht="18.75" customHeight="1" outlineLevel="1">
      <c r="A190" s="178" t="s">
        <v>10535</v>
      </c>
      <c r="B190" s="179" t="s">
        <v>26</v>
      </c>
      <c r="C190" s="180" t="s">
        <v>27</v>
      </c>
      <c r="D190" s="64" t="s">
        <v>4</v>
      </c>
      <c r="E190" s="71" t="s">
        <v>27</v>
      </c>
      <c r="F190" s="64" t="s">
        <v>4</v>
      </c>
      <c r="G190" s="178">
        <v>17.0</v>
      </c>
      <c r="H190" s="212" t="s">
        <v>10831</v>
      </c>
      <c r="I190" s="182" t="s">
        <v>27</v>
      </c>
      <c r="J190" s="218" t="s">
        <v>4</v>
      </c>
      <c r="K190" s="182" t="s">
        <v>27</v>
      </c>
      <c r="L190" s="218" t="s">
        <v>4</v>
      </c>
      <c r="M190" s="64" t="s">
        <v>46</v>
      </c>
      <c r="N190" s="70" t="s">
        <v>10496</v>
      </c>
      <c r="O190" s="58" t="str">
        <f t="shared" si="4"/>
        <v>L1.00.00.17.00.00</v>
      </c>
      <c r="P190" s="58" t="str">
        <f t="shared" si="5"/>
        <v>L1.00.00.17.00.00.07</v>
      </c>
      <c r="Q190" s="185" t="s">
        <v>10530</v>
      </c>
      <c r="R190" s="169" t="str">
        <f t="shared" si="6"/>
        <v>Ban giám đốc khối sản xuất</v>
      </c>
      <c r="S190" s="229" t="s">
        <v>10536</v>
      </c>
      <c r="T190" s="232" t="s">
        <v>5357</v>
      </c>
      <c r="U190" s="232" t="s">
        <v>453</v>
      </c>
      <c r="V190" s="232" t="s">
        <v>5356</v>
      </c>
      <c r="W190" s="189" t="s">
        <v>6078</v>
      </c>
      <c r="X190" s="189" t="s">
        <v>6076</v>
      </c>
      <c r="Y190" s="189"/>
      <c r="Z190" s="191" t="s">
        <v>10830</v>
      </c>
      <c r="AA190" s="192" t="s">
        <v>10530</v>
      </c>
      <c r="AB190" s="193"/>
      <c r="AC190" s="193"/>
      <c r="AD190" s="193"/>
    </row>
    <row r="191" ht="15.75" customHeight="1">
      <c r="A191" s="233" t="s">
        <v>10832</v>
      </c>
      <c r="B191" s="47"/>
      <c r="C191" s="47"/>
      <c r="D191" s="47"/>
      <c r="E191" s="47"/>
      <c r="F191" s="47"/>
      <c r="G191" s="48"/>
      <c r="H191" s="49"/>
      <c r="I191" s="48"/>
      <c r="J191" s="48"/>
      <c r="K191" s="48"/>
      <c r="L191" s="48"/>
      <c r="M191" s="48"/>
      <c r="N191" s="49"/>
      <c r="O191" s="55" t="str">
        <f t="shared" si="4"/>
        <v>Khối kinh doanh thị trường HCSN.....</v>
      </c>
      <c r="P191" s="48"/>
      <c r="Q191" s="169"/>
      <c r="R191" s="169" t="str">
        <f t="shared" si="6"/>
        <v/>
      </c>
      <c r="S191" s="96"/>
      <c r="T191" s="96"/>
      <c r="U191" s="96"/>
      <c r="V191" s="96"/>
      <c r="W191" s="96"/>
      <c r="X191" s="96"/>
      <c r="Y191" s="96"/>
      <c r="Z191" s="152"/>
      <c r="AA191" s="153" t="s">
        <v>10530</v>
      </c>
      <c r="AB191" s="91"/>
      <c r="AC191" s="91"/>
      <c r="AD191" s="91"/>
    </row>
    <row r="192" ht="15.75" hidden="1" customHeight="1" outlineLevel="1">
      <c r="A192" s="234" t="s">
        <v>10833</v>
      </c>
      <c r="B192" s="235" t="s">
        <v>77</v>
      </c>
      <c r="C192" s="236" t="s">
        <v>29</v>
      </c>
      <c r="D192" s="236" t="s">
        <v>78</v>
      </c>
      <c r="E192" s="237" t="s">
        <v>27</v>
      </c>
      <c r="F192" s="236" t="s">
        <v>4</v>
      </c>
      <c r="G192" s="238" t="s">
        <v>27</v>
      </c>
      <c r="H192" s="239" t="s">
        <v>4</v>
      </c>
      <c r="I192" s="238" t="s">
        <v>27</v>
      </c>
      <c r="J192" s="240" t="s">
        <v>4</v>
      </c>
      <c r="K192" s="236" t="s">
        <v>27</v>
      </c>
      <c r="L192" s="241" t="s">
        <v>4</v>
      </c>
      <c r="M192" s="238" t="s">
        <v>27</v>
      </c>
      <c r="N192" s="242"/>
      <c r="O192" s="55" t="str">
        <f t="shared" si="4"/>
        <v>L2.01.00.00.00.00</v>
      </c>
      <c r="P192" s="243" t="str">
        <f t="shared" ref="P192:P240" si="8">A192&amp;"."&amp;C192&amp;"."&amp;E192&amp;"."&amp;G192&amp;"."&amp;I192&amp;"."&amp;K192&amp;"."&amp;M192</f>
        <v>L2.01.00.00.00.00.00</v>
      </c>
      <c r="Q192" s="161" t="s">
        <v>10530</v>
      </c>
      <c r="R192" s="244" t="s">
        <v>10834</v>
      </c>
      <c r="S192" s="245" t="s">
        <v>22</v>
      </c>
      <c r="T192" s="246"/>
      <c r="U192" s="247"/>
      <c r="V192" s="247"/>
      <c r="W192" s="247"/>
      <c r="X192" s="247"/>
      <c r="Y192" s="246" t="s">
        <v>10835</v>
      </c>
      <c r="Z192" s="248" t="s">
        <v>78</v>
      </c>
      <c r="AA192" s="153" t="s">
        <v>10530</v>
      </c>
      <c r="AB192" s="249"/>
      <c r="AC192" s="249"/>
      <c r="AD192" s="249"/>
    </row>
    <row r="193" ht="15.75" hidden="1" customHeight="1" outlineLevel="1">
      <c r="A193" s="170" t="s">
        <v>10833</v>
      </c>
      <c r="B193" s="57" t="s">
        <v>77</v>
      </c>
      <c r="C193" s="52" t="s">
        <v>29</v>
      </c>
      <c r="D193" s="52" t="s">
        <v>78</v>
      </c>
      <c r="E193" s="53" t="s">
        <v>27</v>
      </c>
      <c r="F193" s="52" t="s">
        <v>4</v>
      </c>
      <c r="G193" s="52" t="s">
        <v>29</v>
      </c>
      <c r="H193" s="230" t="s">
        <v>10836</v>
      </c>
      <c r="I193" s="250" t="s">
        <v>27</v>
      </c>
      <c r="J193" s="251" t="s">
        <v>4</v>
      </c>
      <c r="K193" s="52" t="s">
        <v>27</v>
      </c>
      <c r="L193" s="56" t="s">
        <v>4</v>
      </c>
      <c r="M193" s="52" t="s">
        <v>29</v>
      </c>
      <c r="N193" s="54" t="s">
        <v>10498</v>
      </c>
      <c r="O193" s="55" t="str">
        <f t="shared" si="4"/>
        <v>L2.01.00.01.00.00</v>
      </c>
      <c r="P193" s="55" t="str">
        <f t="shared" si="8"/>
        <v>L2.01.00.01.00.00.01</v>
      </c>
      <c r="Q193" s="161" t="s">
        <v>10530</v>
      </c>
      <c r="R193" s="252" t="str">
        <f t="shared" ref="R193:R241" si="9">if(L193&lt;&gt;"-",L193,if(AND(L193="-",J193&lt;&gt;"-"),J193,if(AND(J193="-",H193&lt;&gt;"-"),H193,"NA")))</f>
        <v>Trung tâm KD Hành chính sự nghiệp - Hà Nội</v>
      </c>
      <c r="S193" s="227" t="s">
        <v>10837</v>
      </c>
      <c r="T193" s="97" t="s">
        <v>10838</v>
      </c>
      <c r="U193" s="96" t="s">
        <v>346</v>
      </c>
      <c r="V193" s="96" t="s">
        <v>315</v>
      </c>
      <c r="W193" s="96" t="s">
        <v>8332</v>
      </c>
      <c r="X193" s="96"/>
      <c r="Y193" s="96"/>
      <c r="Z193" s="98" t="s">
        <v>10839</v>
      </c>
      <c r="AA193" s="153" t="s">
        <v>10530</v>
      </c>
      <c r="AB193" s="91"/>
      <c r="AC193" s="91"/>
      <c r="AD193" s="91"/>
    </row>
    <row r="194" ht="15.75" hidden="1" customHeight="1" outlineLevel="1">
      <c r="A194" s="170" t="s">
        <v>10833</v>
      </c>
      <c r="B194" s="57" t="s">
        <v>77</v>
      </c>
      <c r="C194" s="52" t="s">
        <v>29</v>
      </c>
      <c r="D194" s="52" t="s">
        <v>78</v>
      </c>
      <c r="E194" s="53" t="s">
        <v>27</v>
      </c>
      <c r="F194" s="52" t="s">
        <v>4</v>
      </c>
      <c r="G194" s="52" t="s">
        <v>29</v>
      </c>
      <c r="H194" s="230" t="s">
        <v>10836</v>
      </c>
      <c r="I194" s="52" t="s">
        <v>29</v>
      </c>
      <c r="J194" s="253" t="s">
        <v>84</v>
      </c>
      <c r="K194" s="52" t="s">
        <v>27</v>
      </c>
      <c r="L194" s="56" t="s">
        <v>4</v>
      </c>
      <c r="M194" s="52" t="s">
        <v>29</v>
      </c>
      <c r="N194" s="54" t="s">
        <v>10498</v>
      </c>
      <c r="O194" s="55" t="str">
        <f t="shared" si="4"/>
        <v>L2.01.00.01.01.00</v>
      </c>
      <c r="P194" s="55" t="str">
        <f t="shared" si="8"/>
        <v>L2.01.00.01.01.00.01</v>
      </c>
      <c r="Q194" s="161" t="s">
        <v>10530</v>
      </c>
      <c r="R194" s="169" t="str">
        <f t="shared" si="9"/>
        <v>Ban giám đốc TT KD HCSN</v>
      </c>
      <c r="S194" s="227" t="s">
        <v>10840</v>
      </c>
      <c r="T194" s="96" t="s">
        <v>8333</v>
      </c>
      <c r="U194" s="96" t="s">
        <v>346</v>
      </c>
      <c r="V194" s="96" t="s">
        <v>315</v>
      </c>
      <c r="W194" s="96" t="s">
        <v>8332</v>
      </c>
      <c r="X194" s="96"/>
      <c r="Y194" s="96"/>
      <c r="Z194" s="98" t="s">
        <v>10841</v>
      </c>
      <c r="AA194" s="153" t="s">
        <v>10530</v>
      </c>
      <c r="AB194" s="91"/>
      <c r="AC194" s="91"/>
      <c r="AD194" s="91"/>
    </row>
    <row r="195" ht="15.75" hidden="1" customHeight="1" outlineLevel="1">
      <c r="A195" s="170" t="s">
        <v>10833</v>
      </c>
      <c r="B195" s="57" t="s">
        <v>77</v>
      </c>
      <c r="C195" s="51" t="s">
        <v>29</v>
      </c>
      <c r="D195" s="52" t="s">
        <v>78</v>
      </c>
      <c r="E195" s="53" t="s">
        <v>27</v>
      </c>
      <c r="F195" s="52" t="s">
        <v>4</v>
      </c>
      <c r="G195" s="52" t="s">
        <v>29</v>
      </c>
      <c r="H195" s="230" t="s">
        <v>10836</v>
      </c>
      <c r="I195" s="52" t="s">
        <v>33</v>
      </c>
      <c r="J195" s="176" t="s">
        <v>1577</v>
      </c>
      <c r="K195" s="52" t="s">
        <v>27</v>
      </c>
      <c r="L195" s="254" t="s">
        <v>4</v>
      </c>
      <c r="M195" s="52" t="s">
        <v>29</v>
      </c>
      <c r="N195" s="54" t="s">
        <v>10498</v>
      </c>
      <c r="O195" s="55" t="str">
        <f t="shared" si="4"/>
        <v>L2.01.00.01.02.00</v>
      </c>
      <c r="P195" s="55" t="str">
        <f t="shared" si="8"/>
        <v>L2.01.00.01.02.00.01</v>
      </c>
      <c r="Q195" s="161" t="s">
        <v>10530</v>
      </c>
      <c r="R195" s="169" t="str">
        <f t="shared" si="9"/>
        <v>Phòng KD HCSN 01</v>
      </c>
      <c r="S195" s="227" t="s">
        <v>10840</v>
      </c>
      <c r="T195" s="96" t="s">
        <v>3697</v>
      </c>
      <c r="U195" s="96" t="s">
        <v>346</v>
      </c>
      <c r="V195" s="96" t="s">
        <v>315</v>
      </c>
      <c r="W195" s="96" t="s">
        <v>1577</v>
      </c>
      <c r="X195" s="96"/>
      <c r="Y195" s="96"/>
      <c r="Z195" s="98" t="s">
        <v>10842</v>
      </c>
      <c r="AA195" s="153" t="s">
        <v>10530</v>
      </c>
      <c r="AB195" s="91"/>
      <c r="AC195" s="91"/>
      <c r="AD195" s="91"/>
    </row>
    <row r="196" ht="15.75" hidden="1" customHeight="1" outlineLevel="1">
      <c r="A196" s="170" t="s">
        <v>10833</v>
      </c>
      <c r="B196" s="57" t="s">
        <v>77</v>
      </c>
      <c r="C196" s="51" t="s">
        <v>29</v>
      </c>
      <c r="D196" s="52" t="s">
        <v>78</v>
      </c>
      <c r="E196" s="53" t="s">
        <v>27</v>
      </c>
      <c r="F196" s="52" t="s">
        <v>4</v>
      </c>
      <c r="G196" s="52" t="s">
        <v>29</v>
      </c>
      <c r="H196" s="230" t="s">
        <v>10836</v>
      </c>
      <c r="I196" s="52" t="s">
        <v>33</v>
      </c>
      <c r="J196" s="176" t="s">
        <v>1577</v>
      </c>
      <c r="K196" s="250" t="s">
        <v>29</v>
      </c>
      <c r="L196" s="96" t="s">
        <v>1598</v>
      </c>
      <c r="M196" s="52" t="s">
        <v>29</v>
      </c>
      <c r="N196" s="54" t="s">
        <v>10498</v>
      </c>
      <c r="O196" s="55" t="str">
        <f t="shared" si="4"/>
        <v>L2.01.00.01.02.01</v>
      </c>
      <c r="P196" s="55" t="str">
        <f t="shared" si="8"/>
        <v>L2.01.00.01.02.01.01</v>
      </c>
      <c r="Q196" s="161" t="s">
        <v>10530</v>
      </c>
      <c r="R196" s="169" t="str">
        <f t="shared" si="9"/>
        <v>Nhóm KD HCSN 02</v>
      </c>
      <c r="S196" s="227" t="s">
        <v>10843</v>
      </c>
      <c r="T196" s="96" t="s">
        <v>1599</v>
      </c>
      <c r="U196" s="96" t="s">
        <v>346</v>
      </c>
      <c r="V196" s="96" t="s">
        <v>315</v>
      </c>
      <c r="W196" s="96" t="s">
        <v>1577</v>
      </c>
      <c r="X196" s="96" t="s">
        <v>1598</v>
      </c>
      <c r="Y196" s="96"/>
      <c r="Z196" s="98" t="s">
        <v>10844</v>
      </c>
      <c r="AA196" s="153" t="s">
        <v>10530</v>
      </c>
      <c r="AB196" s="91"/>
      <c r="AC196" s="91"/>
      <c r="AD196" s="91"/>
    </row>
    <row r="197" ht="15.75" hidden="1" customHeight="1" outlineLevel="1">
      <c r="A197" s="170" t="s">
        <v>10833</v>
      </c>
      <c r="B197" s="57" t="s">
        <v>77</v>
      </c>
      <c r="C197" s="51" t="s">
        <v>29</v>
      </c>
      <c r="D197" s="52" t="s">
        <v>78</v>
      </c>
      <c r="E197" s="53" t="s">
        <v>27</v>
      </c>
      <c r="F197" s="52" t="s">
        <v>4</v>
      </c>
      <c r="G197" s="52" t="s">
        <v>29</v>
      </c>
      <c r="H197" s="230" t="s">
        <v>10836</v>
      </c>
      <c r="I197" s="52" t="s">
        <v>33</v>
      </c>
      <c r="J197" s="176" t="s">
        <v>1577</v>
      </c>
      <c r="K197" s="170" t="s">
        <v>33</v>
      </c>
      <c r="L197" s="96" t="s">
        <v>1576</v>
      </c>
      <c r="M197" s="52" t="s">
        <v>29</v>
      </c>
      <c r="N197" s="54" t="s">
        <v>10498</v>
      </c>
      <c r="O197" s="55" t="str">
        <f t="shared" si="4"/>
        <v>L2.01.00.01.02.02</v>
      </c>
      <c r="P197" s="55" t="str">
        <f t="shared" si="8"/>
        <v>L2.01.00.01.02.02.01</v>
      </c>
      <c r="Q197" s="161" t="s">
        <v>10530</v>
      </c>
      <c r="R197" s="169" t="str">
        <f t="shared" si="9"/>
        <v>Nhóm KD HCSN 03</v>
      </c>
      <c r="S197" s="227" t="s">
        <v>10843</v>
      </c>
      <c r="T197" s="96" t="s">
        <v>1578</v>
      </c>
      <c r="U197" s="96" t="s">
        <v>346</v>
      </c>
      <c r="V197" s="96" t="s">
        <v>315</v>
      </c>
      <c r="W197" s="96" t="s">
        <v>1577</v>
      </c>
      <c r="X197" s="96" t="s">
        <v>1576</v>
      </c>
      <c r="Y197" s="96"/>
      <c r="Z197" s="98" t="s">
        <v>10845</v>
      </c>
      <c r="AA197" s="153" t="s">
        <v>10530</v>
      </c>
      <c r="AB197" s="91"/>
      <c r="AC197" s="91"/>
      <c r="AD197" s="91"/>
    </row>
    <row r="198" ht="15.75" hidden="1" customHeight="1" outlineLevel="1">
      <c r="A198" s="170" t="s">
        <v>10833</v>
      </c>
      <c r="B198" s="57" t="s">
        <v>77</v>
      </c>
      <c r="C198" s="51" t="s">
        <v>29</v>
      </c>
      <c r="D198" s="52" t="s">
        <v>78</v>
      </c>
      <c r="E198" s="53" t="s">
        <v>27</v>
      </c>
      <c r="F198" s="52" t="s">
        <v>4</v>
      </c>
      <c r="G198" s="52" t="s">
        <v>29</v>
      </c>
      <c r="H198" s="230" t="s">
        <v>10836</v>
      </c>
      <c r="I198" s="250" t="s">
        <v>35</v>
      </c>
      <c r="J198" s="176" t="s">
        <v>1487</v>
      </c>
      <c r="K198" s="52" t="s">
        <v>27</v>
      </c>
      <c r="L198" s="254" t="s">
        <v>4</v>
      </c>
      <c r="M198" s="52" t="s">
        <v>29</v>
      </c>
      <c r="N198" s="54" t="s">
        <v>10498</v>
      </c>
      <c r="O198" s="55" t="str">
        <f t="shared" si="4"/>
        <v>L2.01.00.01.03.00</v>
      </c>
      <c r="P198" s="55" t="str">
        <f t="shared" si="8"/>
        <v>L2.01.00.01.03.00.01</v>
      </c>
      <c r="Q198" s="161" t="s">
        <v>10530</v>
      </c>
      <c r="R198" s="169" t="str">
        <f t="shared" si="9"/>
        <v>Phòng KD HCSN 02</v>
      </c>
      <c r="S198" s="227" t="s">
        <v>10840</v>
      </c>
      <c r="T198" s="96" t="s">
        <v>3702</v>
      </c>
      <c r="U198" s="96" t="s">
        <v>346</v>
      </c>
      <c r="V198" s="96" t="s">
        <v>315</v>
      </c>
      <c r="W198" s="96" t="s">
        <v>1487</v>
      </c>
      <c r="X198" s="96"/>
      <c r="Y198" s="96"/>
      <c r="Z198" s="98" t="s">
        <v>10846</v>
      </c>
      <c r="AA198" s="153" t="s">
        <v>10530</v>
      </c>
      <c r="AB198" s="91"/>
      <c r="AC198" s="91"/>
      <c r="AD198" s="91"/>
    </row>
    <row r="199" ht="15.75" hidden="1" customHeight="1" outlineLevel="1">
      <c r="A199" s="170" t="s">
        <v>10833</v>
      </c>
      <c r="B199" s="57" t="s">
        <v>77</v>
      </c>
      <c r="C199" s="51" t="s">
        <v>29</v>
      </c>
      <c r="D199" s="52" t="s">
        <v>78</v>
      </c>
      <c r="E199" s="53" t="s">
        <v>27</v>
      </c>
      <c r="F199" s="52" t="s">
        <v>4</v>
      </c>
      <c r="G199" s="52" t="s">
        <v>29</v>
      </c>
      <c r="H199" s="230" t="s">
        <v>10836</v>
      </c>
      <c r="I199" s="250" t="s">
        <v>35</v>
      </c>
      <c r="J199" s="176" t="s">
        <v>1487</v>
      </c>
      <c r="K199" s="250" t="s">
        <v>29</v>
      </c>
      <c r="L199" s="96" t="s">
        <v>1486</v>
      </c>
      <c r="M199" s="52" t="s">
        <v>29</v>
      </c>
      <c r="N199" s="54" t="s">
        <v>10498</v>
      </c>
      <c r="O199" s="55" t="str">
        <f t="shared" si="4"/>
        <v>L2.01.00.01.03.01</v>
      </c>
      <c r="P199" s="55" t="str">
        <f t="shared" si="8"/>
        <v>L2.01.00.01.03.01.01</v>
      </c>
      <c r="Q199" s="161" t="s">
        <v>10530</v>
      </c>
      <c r="R199" s="169" t="str">
        <f t="shared" si="9"/>
        <v>Nhóm KD HCSN 04</v>
      </c>
      <c r="S199" s="227" t="s">
        <v>10847</v>
      </c>
      <c r="T199" s="96" t="s">
        <v>1488</v>
      </c>
      <c r="U199" s="96" t="s">
        <v>346</v>
      </c>
      <c r="V199" s="96" t="s">
        <v>315</v>
      </c>
      <c r="W199" s="96" t="s">
        <v>1487</v>
      </c>
      <c r="X199" s="96" t="s">
        <v>1486</v>
      </c>
      <c r="Y199" s="96"/>
      <c r="Z199" s="98" t="s">
        <v>10848</v>
      </c>
      <c r="AA199" s="153" t="s">
        <v>10530</v>
      </c>
      <c r="AB199" s="91"/>
      <c r="AC199" s="91"/>
      <c r="AD199" s="91"/>
    </row>
    <row r="200" ht="15.75" hidden="1" customHeight="1" outlineLevel="1">
      <c r="A200" s="170" t="s">
        <v>10833</v>
      </c>
      <c r="B200" s="57" t="s">
        <v>77</v>
      </c>
      <c r="C200" s="51" t="s">
        <v>29</v>
      </c>
      <c r="D200" s="52" t="s">
        <v>78</v>
      </c>
      <c r="E200" s="53" t="s">
        <v>27</v>
      </c>
      <c r="F200" s="52" t="s">
        <v>4</v>
      </c>
      <c r="G200" s="52" t="s">
        <v>29</v>
      </c>
      <c r="H200" s="230" t="s">
        <v>10836</v>
      </c>
      <c r="I200" s="250" t="s">
        <v>35</v>
      </c>
      <c r="J200" s="176" t="s">
        <v>1487</v>
      </c>
      <c r="K200" s="170" t="s">
        <v>33</v>
      </c>
      <c r="L200" s="96" t="s">
        <v>1507</v>
      </c>
      <c r="M200" s="52" t="s">
        <v>29</v>
      </c>
      <c r="N200" s="54" t="s">
        <v>10498</v>
      </c>
      <c r="O200" s="55" t="str">
        <f t="shared" si="4"/>
        <v>L2.01.00.01.03.02</v>
      </c>
      <c r="P200" s="55" t="str">
        <f t="shared" si="8"/>
        <v>L2.01.00.01.03.02.01</v>
      </c>
      <c r="Q200" s="161" t="s">
        <v>10530</v>
      </c>
      <c r="R200" s="169" t="str">
        <f t="shared" si="9"/>
        <v>Nhóm KD HCSN 05</v>
      </c>
      <c r="S200" s="227" t="s">
        <v>10847</v>
      </c>
      <c r="T200" s="96" t="s">
        <v>1508</v>
      </c>
      <c r="U200" s="96" t="s">
        <v>346</v>
      </c>
      <c r="V200" s="96" t="s">
        <v>315</v>
      </c>
      <c r="W200" s="96" t="s">
        <v>1487</v>
      </c>
      <c r="X200" s="96" t="s">
        <v>1507</v>
      </c>
      <c r="Y200" s="96"/>
      <c r="Z200" s="98" t="s">
        <v>10849</v>
      </c>
      <c r="AA200" s="153" t="s">
        <v>10530</v>
      </c>
      <c r="AB200" s="91"/>
      <c r="AC200" s="91"/>
      <c r="AD200" s="91"/>
    </row>
    <row r="201" ht="15.75" hidden="1" customHeight="1" outlineLevel="1">
      <c r="A201" s="170" t="s">
        <v>10833</v>
      </c>
      <c r="B201" s="57" t="s">
        <v>77</v>
      </c>
      <c r="C201" s="51" t="s">
        <v>29</v>
      </c>
      <c r="D201" s="52" t="s">
        <v>78</v>
      </c>
      <c r="E201" s="53" t="s">
        <v>27</v>
      </c>
      <c r="F201" s="52" t="s">
        <v>4</v>
      </c>
      <c r="G201" s="52" t="s">
        <v>29</v>
      </c>
      <c r="H201" s="230" t="s">
        <v>10836</v>
      </c>
      <c r="I201" s="250" t="s">
        <v>37</v>
      </c>
      <c r="J201" s="176" t="s">
        <v>316</v>
      </c>
      <c r="K201" s="52" t="s">
        <v>27</v>
      </c>
      <c r="L201" s="254" t="s">
        <v>4</v>
      </c>
      <c r="M201" s="52" t="s">
        <v>29</v>
      </c>
      <c r="N201" s="54" t="s">
        <v>10498</v>
      </c>
      <c r="O201" s="55" t="str">
        <f t="shared" si="4"/>
        <v>L2.01.00.01.04.00</v>
      </c>
      <c r="P201" s="55" t="str">
        <f t="shared" si="8"/>
        <v>L2.01.00.01.04.00.01</v>
      </c>
      <c r="Q201" s="161" t="s">
        <v>10530</v>
      </c>
      <c r="R201" s="169" t="str">
        <f t="shared" si="9"/>
        <v>Phòng KD HCSN 03</v>
      </c>
      <c r="S201" s="227" t="s">
        <v>10840</v>
      </c>
      <c r="T201" s="96" t="s">
        <v>3971</v>
      </c>
      <c r="U201" s="96" t="s">
        <v>346</v>
      </c>
      <c r="V201" s="96" t="s">
        <v>315</v>
      </c>
      <c r="W201" s="96" t="s">
        <v>316</v>
      </c>
      <c r="X201" s="96"/>
      <c r="Y201" s="96"/>
      <c r="Z201" s="98" t="s">
        <v>10850</v>
      </c>
      <c r="AA201" s="153" t="s">
        <v>10530</v>
      </c>
      <c r="AB201" s="91"/>
      <c r="AC201" s="91"/>
      <c r="AD201" s="91"/>
    </row>
    <row r="202" ht="15.75" hidden="1" customHeight="1" outlineLevel="1">
      <c r="A202" s="170" t="s">
        <v>10833</v>
      </c>
      <c r="B202" s="57" t="s">
        <v>77</v>
      </c>
      <c r="C202" s="51" t="s">
        <v>29</v>
      </c>
      <c r="D202" s="52" t="s">
        <v>78</v>
      </c>
      <c r="E202" s="53" t="s">
        <v>27</v>
      </c>
      <c r="F202" s="52" t="s">
        <v>4</v>
      </c>
      <c r="G202" s="52" t="s">
        <v>29</v>
      </c>
      <c r="H202" s="230" t="s">
        <v>10836</v>
      </c>
      <c r="I202" s="250" t="s">
        <v>37</v>
      </c>
      <c r="J202" s="176" t="s">
        <v>316</v>
      </c>
      <c r="K202" s="250" t="s">
        <v>29</v>
      </c>
      <c r="L202" s="96" t="s">
        <v>314</v>
      </c>
      <c r="M202" s="52" t="s">
        <v>29</v>
      </c>
      <c r="N202" s="54" t="s">
        <v>10498</v>
      </c>
      <c r="O202" s="55" t="str">
        <f t="shared" si="4"/>
        <v>L2.01.00.01.04.01</v>
      </c>
      <c r="P202" s="55" t="str">
        <f t="shared" si="8"/>
        <v>L2.01.00.01.04.01.01</v>
      </c>
      <c r="Q202" s="161" t="s">
        <v>10530</v>
      </c>
      <c r="R202" s="169" t="str">
        <f t="shared" si="9"/>
        <v>Nhóm KD HCSN 06</v>
      </c>
      <c r="S202" s="227" t="s">
        <v>10851</v>
      </c>
      <c r="T202" s="96" t="s">
        <v>1530</v>
      </c>
      <c r="U202" s="96" t="s">
        <v>346</v>
      </c>
      <c r="V202" s="96" t="s">
        <v>315</v>
      </c>
      <c r="W202" s="96" t="s">
        <v>316</v>
      </c>
      <c r="X202" s="96" t="s">
        <v>314</v>
      </c>
      <c r="Y202" s="96"/>
      <c r="Z202" s="98" t="s">
        <v>10852</v>
      </c>
      <c r="AA202" s="153" t="s">
        <v>10530</v>
      </c>
      <c r="AB202" s="91"/>
      <c r="AC202" s="91"/>
      <c r="AD202" s="91"/>
    </row>
    <row r="203" ht="15.75" hidden="1" customHeight="1" outlineLevel="1">
      <c r="A203" s="170" t="s">
        <v>10833</v>
      </c>
      <c r="B203" s="57" t="s">
        <v>77</v>
      </c>
      <c r="C203" s="51" t="s">
        <v>29</v>
      </c>
      <c r="D203" s="52" t="s">
        <v>78</v>
      </c>
      <c r="E203" s="53" t="s">
        <v>27</v>
      </c>
      <c r="F203" s="52" t="s">
        <v>4</v>
      </c>
      <c r="G203" s="52" t="s">
        <v>29</v>
      </c>
      <c r="H203" s="230" t="s">
        <v>10836</v>
      </c>
      <c r="I203" s="250" t="s">
        <v>37</v>
      </c>
      <c r="J203" s="176" t="s">
        <v>316</v>
      </c>
      <c r="K203" s="170" t="s">
        <v>33</v>
      </c>
      <c r="L203" s="96" t="s">
        <v>1501</v>
      </c>
      <c r="M203" s="52" t="s">
        <v>29</v>
      </c>
      <c r="N203" s="54" t="s">
        <v>10498</v>
      </c>
      <c r="O203" s="55" t="str">
        <f t="shared" si="4"/>
        <v>L2.01.00.01.04.02</v>
      </c>
      <c r="P203" s="55" t="str">
        <f t="shared" si="8"/>
        <v>L2.01.00.01.04.02.01</v>
      </c>
      <c r="Q203" s="161" t="s">
        <v>10530</v>
      </c>
      <c r="R203" s="169" t="str">
        <f t="shared" si="9"/>
        <v>Nhóm KD HCSN 07</v>
      </c>
      <c r="S203" s="227" t="s">
        <v>10851</v>
      </c>
      <c r="T203" s="96" t="s">
        <v>1502</v>
      </c>
      <c r="U203" s="96" t="s">
        <v>346</v>
      </c>
      <c r="V203" s="96" t="s">
        <v>315</v>
      </c>
      <c r="W203" s="96" t="s">
        <v>316</v>
      </c>
      <c r="X203" s="96" t="s">
        <v>1501</v>
      </c>
      <c r="Y203" s="96"/>
      <c r="Z203" s="98" t="s">
        <v>10853</v>
      </c>
      <c r="AA203" s="153" t="s">
        <v>10530</v>
      </c>
      <c r="AB203" s="91"/>
      <c r="AC203" s="91"/>
      <c r="AD203" s="91"/>
    </row>
    <row r="204" ht="15.75" hidden="1" customHeight="1" outlineLevel="1">
      <c r="A204" s="170" t="s">
        <v>10833</v>
      </c>
      <c r="B204" s="57" t="s">
        <v>77</v>
      </c>
      <c r="C204" s="51" t="s">
        <v>29</v>
      </c>
      <c r="D204" s="52" t="s">
        <v>78</v>
      </c>
      <c r="E204" s="53" t="s">
        <v>27</v>
      </c>
      <c r="F204" s="52" t="s">
        <v>4</v>
      </c>
      <c r="G204" s="52" t="s">
        <v>29</v>
      </c>
      <c r="H204" s="230" t="s">
        <v>10836</v>
      </c>
      <c r="I204" s="170" t="s">
        <v>42</v>
      </c>
      <c r="J204" s="176" t="s">
        <v>1493</v>
      </c>
      <c r="K204" s="52" t="s">
        <v>27</v>
      </c>
      <c r="L204" s="254" t="s">
        <v>4</v>
      </c>
      <c r="M204" s="52" t="s">
        <v>29</v>
      </c>
      <c r="N204" s="54" t="s">
        <v>10498</v>
      </c>
      <c r="O204" s="55" t="str">
        <f t="shared" si="4"/>
        <v>L2.01.00.01.05.00</v>
      </c>
      <c r="P204" s="55" t="str">
        <f t="shared" si="8"/>
        <v>L2.01.00.01.05.00.01</v>
      </c>
      <c r="Q204" s="161" t="s">
        <v>10530</v>
      </c>
      <c r="R204" s="169" t="str">
        <f t="shared" si="9"/>
        <v>Phòng KD HCSN 04</v>
      </c>
      <c r="S204" s="227" t="s">
        <v>10840</v>
      </c>
      <c r="T204" s="96" t="s">
        <v>1536</v>
      </c>
      <c r="U204" s="96" t="s">
        <v>346</v>
      </c>
      <c r="V204" s="96" t="s">
        <v>315</v>
      </c>
      <c r="W204" s="96" t="s">
        <v>1493</v>
      </c>
      <c r="X204" s="96"/>
      <c r="Y204" s="96"/>
      <c r="Z204" s="98" t="s">
        <v>10854</v>
      </c>
      <c r="AA204" s="153" t="s">
        <v>10530</v>
      </c>
      <c r="AB204" s="91"/>
      <c r="AC204" s="91"/>
      <c r="AD204" s="91"/>
    </row>
    <row r="205" ht="15.75" hidden="1" customHeight="1" outlineLevel="1">
      <c r="A205" s="170" t="s">
        <v>10833</v>
      </c>
      <c r="B205" s="57" t="s">
        <v>77</v>
      </c>
      <c r="C205" s="51" t="s">
        <v>29</v>
      </c>
      <c r="D205" s="52" t="s">
        <v>78</v>
      </c>
      <c r="E205" s="53" t="s">
        <v>27</v>
      </c>
      <c r="F205" s="52" t="s">
        <v>4</v>
      </c>
      <c r="G205" s="52" t="s">
        <v>29</v>
      </c>
      <c r="H205" s="230" t="s">
        <v>10836</v>
      </c>
      <c r="I205" s="170" t="s">
        <v>42</v>
      </c>
      <c r="J205" s="176" t="s">
        <v>1493</v>
      </c>
      <c r="K205" s="250" t="s">
        <v>29</v>
      </c>
      <c r="L205" s="96" t="s">
        <v>1564</v>
      </c>
      <c r="M205" s="52" t="s">
        <v>29</v>
      </c>
      <c r="N205" s="54" t="s">
        <v>10498</v>
      </c>
      <c r="O205" s="55" t="str">
        <f t="shared" si="4"/>
        <v>L2.01.00.01.05.01</v>
      </c>
      <c r="P205" s="55" t="str">
        <f t="shared" si="8"/>
        <v>L2.01.00.01.05.01.01</v>
      </c>
      <c r="Q205" s="161" t="s">
        <v>10530</v>
      </c>
      <c r="R205" s="169" t="str">
        <f t="shared" si="9"/>
        <v>Nhóm KD HCSN 08</v>
      </c>
      <c r="S205" s="227" t="s">
        <v>10855</v>
      </c>
      <c r="T205" s="96" t="s">
        <v>1565</v>
      </c>
      <c r="U205" s="96" t="s">
        <v>346</v>
      </c>
      <c r="V205" s="96" t="s">
        <v>315</v>
      </c>
      <c r="W205" s="96" t="s">
        <v>1493</v>
      </c>
      <c r="X205" s="96" t="s">
        <v>1564</v>
      </c>
      <c r="Y205" s="96"/>
      <c r="Z205" s="98" t="s">
        <v>10856</v>
      </c>
      <c r="AA205" s="153" t="s">
        <v>10530</v>
      </c>
      <c r="AB205" s="91"/>
      <c r="AC205" s="91"/>
      <c r="AD205" s="91"/>
    </row>
    <row r="206" ht="15.75" hidden="1" customHeight="1" outlineLevel="1">
      <c r="A206" s="170" t="s">
        <v>10833</v>
      </c>
      <c r="B206" s="57" t="s">
        <v>77</v>
      </c>
      <c r="C206" s="51" t="s">
        <v>29</v>
      </c>
      <c r="D206" s="52" t="s">
        <v>78</v>
      </c>
      <c r="E206" s="53" t="s">
        <v>27</v>
      </c>
      <c r="F206" s="52" t="s">
        <v>4</v>
      </c>
      <c r="G206" s="52" t="s">
        <v>29</v>
      </c>
      <c r="H206" s="230" t="s">
        <v>10836</v>
      </c>
      <c r="I206" s="170" t="s">
        <v>42</v>
      </c>
      <c r="J206" s="176" t="s">
        <v>1493</v>
      </c>
      <c r="K206" s="170" t="s">
        <v>33</v>
      </c>
      <c r="L206" s="96" t="s">
        <v>1525</v>
      </c>
      <c r="M206" s="52" t="s">
        <v>29</v>
      </c>
      <c r="N206" s="54" t="s">
        <v>10498</v>
      </c>
      <c r="O206" s="55" t="str">
        <f t="shared" si="4"/>
        <v>L2.01.00.01.05.02</v>
      </c>
      <c r="P206" s="55" t="str">
        <f t="shared" si="8"/>
        <v>L2.01.00.01.05.02.01</v>
      </c>
      <c r="Q206" s="161" t="s">
        <v>10530</v>
      </c>
      <c r="R206" s="169" t="str">
        <f t="shared" si="9"/>
        <v>Nhóm KD HCSN 09</v>
      </c>
      <c r="S206" s="227" t="s">
        <v>10855</v>
      </c>
      <c r="T206" s="96" t="s">
        <v>1526</v>
      </c>
      <c r="U206" s="96" t="s">
        <v>346</v>
      </c>
      <c r="V206" s="96" t="s">
        <v>315</v>
      </c>
      <c r="W206" s="96" t="s">
        <v>1493</v>
      </c>
      <c r="X206" s="96" t="s">
        <v>1525</v>
      </c>
      <c r="Y206" s="96"/>
      <c r="Z206" s="98" t="s">
        <v>10857</v>
      </c>
      <c r="AA206" s="153" t="s">
        <v>10530</v>
      </c>
      <c r="AB206" s="91"/>
      <c r="AC206" s="91"/>
      <c r="AD206" s="91"/>
    </row>
    <row r="207" ht="15.75" hidden="1" customHeight="1" outlineLevel="1">
      <c r="A207" s="170" t="s">
        <v>10833</v>
      </c>
      <c r="B207" s="57" t="s">
        <v>77</v>
      </c>
      <c r="C207" s="51" t="s">
        <v>29</v>
      </c>
      <c r="D207" s="52" t="s">
        <v>78</v>
      </c>
      <c r="E207" s="53" t="s">
        <v>27</v>
      </c>
      <c r="F207" s="52" t="s">
        <v>4</v>
      </c>
      <c r="G207" s="52" t="s">
        <v>29</v>
      </c>
      <c r="H207" s="230" t="s">
        <v>10836</v>
      </c>
      <c r="I207" s="170" t="s">
        <v>42</v>
      </c>
      <c r="J207" s="176" t="s">
        <v>1493</v>
      </c>
      <c r="K207" s="170" t="s">
        <v>35</v>
      </c>
      <c r="L207" s="96" t="s">
        <v>1492</v>
      </c>
      <c r="M207" s="52" t="s">
        <v>29</v>
      </c>
      <c r="N207" s="54" t="s">
        <v>10498</v>
      </c>
      <c r="O207" s="55" t="str">
        <f t="shared" si="4"/>
        <v>L2.01.00.01.05.03</v>
      </c>
      <c r="P207" s="55" t="str">
        <f t="shared" si="8"/>
        <v>L2.01.00.01.05.03.01</v>
      </c>
      <c r="Q207" s="161" t="s">
        <v>10530</v>
      </c>
      <c r="R207" s="169" t="str">
        <f t="shared" si="9"/>
        <v>Nhóm KD DA TW</v>
      </c>
      <c r="S207" s="227" t="s">
        <v>10855</v>
      </c>
      <c r="T207" s="96" t="s">
        <v>1494</v>
      </c>
      <c r="U207" s="96" t="s">
        <v>346</v>
      </c>
      <c r="V207" s="96" t="s">
        <v>315</v>
      </c>
      <c r="W207" s="96" t="s">
        <v>1493</v>
      </c>
      <c r="X207" s="96" t="s">
        <v>1492</v>
      </c>
      <c r="Y207" s="96"/>
      <c r="Z207" s="98" t="s">
        <v>10858</v>
      </c>
      <c r="AA207" s="153" t="s">
        <v>10530</v>
      </c>
      <c r="AB207" s="91"/>
      <c r="AC207" s="91"/>
      <c r="AD207" s="91"/>
    </row>
    <row r="208" ht="15.75" hidden="1" customHeight="1" outlineLevel="1">
      <c r="A208" s="170" t="s">
        <v>10833</v>
      </c>
      <c r="B208" s="57" t="s">
        <v>77</v>
      </c>
      <c r="C208" s="51" t="s">
        <v>29</v>
      </c>
      <c r="D208" s="52" t="s">
        <v>78</v>
      </c>
      <c r="E208" s="53" t="s">
        <v>27</v>
      </c>
      <c r="F208" s="52" t="s">
        <v>4</v>
      </c>
      <c r="G208" s="52" t="s">
        <v>29</v>
      </c>
      <c r="H208" s="230" t="s">
        <v>10836</v>
      </c>
      <c r="I208" s="170" t="s">
        <v>44</v>
      </c>
      <c r="J208" s="176" t="s">
        <v>1366</v>
      </c>
      <c r="K208" s="172" t="s">
        <v>27</v>
      </c>
      <c r="L208" s="218" t="s">
        <v>4</v>
      </c>
      <c r="M208" s="52" t="s">
        <v>29</v>
      </c>
      <c r="N208" s="54" t="s">
        <v>10498</v>
      </c>
      <c r="O208" s="55" t="str">
        <f t="shared" si="4"/>
        <v>L2.01.00.01.06.00</v>
      </c>
      <c r="P208" s="55" t="str">
        <f t="shared" si="8"/>
        <v>L2.01.00.01.06.00.01</v>
      </c>
      <c r="Q208" s="161" t="s">
        <v>10530</v>
      </c>
      <c r="R208" s="169" t="str">
        <f t="shared" si="9"/>
        <v>Phòng Triển khai &amp; CSKH 01</v>
      </c>
      <c r="S208" s="227" t="s">
        <v>10840</v>
      </c>
      <c r="T208" s="96" t="s">
        <v>1550</v>
      </c>
      <c r="U208" s="96" t="s">
        <v>346</v>
      </c>
      <c r="V208" s="96" t="s">
        <v>315</v>
      </c>
      <c r="W208" s="96" t="s">
        <v>1366</v>
      </c>
      <c r="X208" s="96"/>
      <c r="Y208" s="97"/>
      <c r="Z208" s="98" t="s">
        <v>10859</v>
      </c>
      <c r="AA208" s="153" t="s">
        <v>10530</v>
      </c>
      <c r="AB208" s="91"/>
      <c r="AC208" s="91"/>
      <c r="AD208" s="91"/>
    </row>
    <row r="209" ht="15.75" hidden="1" customHeight="1" outlineLevel="1">
      <c r="A209" s="170" t="s">
        <v>10833</v>
      </c>
      <c r="B209" s="57" t="s">
        <v>77</v>
      </c>
      <c r="C209" s="51" t="s">
        <v>29</v>
      </c>
      <c r="D209" s="52" t="s">
        <v>78</v>
      </c>
      <c r="E209" s="53" t="s">
        <v>27</v>
      </c>
      <c r="F209" s="52" t="s">
        <v>4</v>
      </c>
      <c r="G209" s="52" t="s">
        <v>29</v>
      </c>
      <c r="H209" s="230" t="s">
        <v>10836</v>
      </c>
      <c r="I209" s="170" t="s">
        <v>44</v>
      </c>
      <c r="J209" s="176" t="s">
        <v>1366</v>
      </c>
      <c r="K209" s="175" t="s">
        <v>29</v>
      </c>
      <c r="L209" s="224" t="s">
        <v>10860</v>
      </c>
      <c r="M209" s="52" t="s">
        <v>29</v>
      </c>
      <c r="N209" s="54" t="s">
        <v>10498</v>
      </c>
      <c r="O209" s="55" t="str">
        <f t="shared" si="4"/>
        <v>L2.01.00.01.06.01</v>
      </c>
      <c r="P209" s="55" t="str">
        <f t="shared" si="8"/>
        <v>L2.01.00.01.06.01.01</v>
      </c>
      <c r="Q209" s="161" t="s">
        <v>10530</v>
      </c>
      <c r="R209" s="169" t="str">
        <f t="shared" si="9"/>
        <v>Nhóm Triển khai &amp; CSKH sản phẩm tài chính</v>
      </c>
      <c r="S209" s="227" t="s">
        <v>10861</v>
      </c>
      <c r="T209" s="96"/>
      <c r="U209" s="96"/>
      <c r="V209" s="96"/>
      <c r="W209" s="96"/>
      <c r="X209" s="96"/>
      <c r="Y209" s="97" t="s">
        <v>10862</v>
      </c>
      <c r="Z209" s="98" t="s">
        <v>10863</v>
      </c>
      <c r="AA209" s="153" t="s">
        <v>10530</v>
      </c>
      <c r="AB209" s="91"/>
      <c r="AC209" s="91"/>
      <c r="AD209" s="91"/>
    </row>
    <row r="210" ht="15.75" hidden="1" customHeight="1" outlineLevel="1">
      <c r="A210" s="170" t="s">
        <v>10833</v>
      </c>
      <c r="B210" s="57" t="s">
        <v>77</v>
      </c>
      <c r="C210" s="51" t="s">
        <v>29</v>
      </c>
      <c r="D210" s="52" t="s">
        <v>78</v>
      </c>
      <c r="E210" s="53" t="s">
        <v>27</v>
      </c>
      <c r="F210" s="52" t="s">
        <v>4</v>
      </c>
      <c r="G210" s="52" t="s">
        <v>29</v>
      </c>
      <c r="H210" s="230" t="s">
        <v>10836</v>
      </c>
      <c r="I210" s="170" t="s">
        <v>44</v>
      </c>
      <c r="J210" s="176" t="s">
        <v>1366</v>
      </c>
      <c r="K210" s="177" t="s">
        <v>33</v>
      </c>
      <c r="L210" s="224" t="s">
        <v>10864</v>
      </c>
      <c r="M210" s="52" t="s">
        <v>29</v>
      </c>
      <c r="N210" s="54" t="s">
        <v>10498</v>
      </c>
      <c r="O210" s="55" t="str">
        <f t="shared" si="4"/>
        <v>L2.01.00.01.06.02</v>
      </c>
      <c r="P210" s="55" t="str">
        <f t="shared" si="8"/>
        <v>L2.01.00.01.06.02.01</v>
      </c>
      <c r="Q210" s="161" t="s">
        <v>10530</v>
      </c>
      <c r="R210" s="169" t="str">
        <f t="shared" si="9"/>
        <v>Nhóm Triển khai &amp; CSKH sản phẩm điều hành</v>
      </c>
      <c r="S210" s="227" t="s">
        <v>10861</v>
      </c>
      <c r="T210" s="96"/>
      <c r="U210" s="96"/>
      <c r="V210" s="96"/>
      <c r="W210" s="96"/>
      <c r="X210" s="96"/>
      <c r="Y210" s="97" t="s">
        <v>10862</v>
      </c>
      <c r="Z210" s="98" t="s">
        <v>10865</v>
      </c>
      <c r="AA210" s="153" t="s">
        <v>10530</v>
      </c>
      <c r="AB210" s="91"/>
      <c r="AC210" s="91"/>
      <c r="AD210" s="91"/>
    </row>
    <row r="211" ht="15.75" hidden="1" customHeight="1" outlineLevel="1">
      <c r="A211" s="170" t="s">
        <v>10833</v>
      </c>
      <c r="B211" s="57" t="s">
        <v>77</v>
      </c>
      <c r="C211" s="51" t="s">
        <v>29</v>
      </c>
      <c r="D211" s="52" t="s">
        <v>78</v>
      </c>
      <c r="E211" s="53" t="s">
        <v>27</v>
      </c>
      <c r="F211" s="52" t="s">
        <v>4</v>
      </c>
      <c r="G211" s="52" t="s">
        <v>29</v>
      </c>
      <c r="H211" s="230" t="s">
        <v>10836</v>
      </c>
      <c r="I211" s="170" t="s">
        <v>46</v>
      </c>
      <c r="J211" s="176" t="s">
        <v>1221</v>
      </c>
      <c r="K211" s="52" t="s">
        <v>27</v>
      </c>
      <c r="L211" s="254" t="s">
        <v>4</v>
      </c>
      <c r="M211" s="52" t="s">
        <v>29</v>
      </c>
      <c r="N211" s="54" t="s">
        <v>10498</v>
      </c>
      <c r="O211" s="55" t="str">
        <f t="shared" si="4"/>
        <v>L2.01.00.01.07.00</v>
      </c>
      <c r="P211" s="55" t="str">
        <f t="shared" si="8"/>
        <v>L2.01.00.01.07.00.01</v>
      </c>
      <c r="Q211" s="161" t="s">
        <v>10530</v>
      </c>
      <c r="R211" s="169" t="str">
        <f t="shared" si="9"/>
        <v>Phòng Triển khai &amp; CSKH 02</v>
      </c>
      <c r="S211" s="227" t="s">
        <v>10840</v>
      </c>
      <c r="T211" s="96" t="s">
        <v>1318</v>
      </c>
      <c r="U211" s="96" t="s">
        <v>346</v>
      </c>
      <c r="V211" s="96" t="s">
        <v>315</v>
      </c>
      <c r="W211" s="96" t="s">
        <v>1221</v>
      </c>
      <c r="X211" s="96"/>
      <c r="Y211" s="96"/>
      <c r="Z211" s="98" t="s">
        <v>10866</v>
      </c>
      <c r="AA211" s="153" t="s">
        <v>10530</v>
      </c>
      <c r="AB211" s="91"/>
      <c r="AC211" s="91"/>
      <c r="AD211" s="91"/>
    </row>
    <row r="212" ht="15.75" hidden="1" customHeight="1" outlineLevel="1">
      <c r="A212" s="170" t="s">
        <v>10833</v>
      </c>
      <c r="B212" s="57" t="s">
        <v>77</v>
      </c>
      <c r="C212" s="51" t="s">
        <v>29</v>
      </c>
      <c r="D212" s="52" t="s">
        <v>78</v>
      </c>
      <c r="E212" s="53" t="s">
        <v>27</v>
      </c>
      <c r="F212" s="52" t="s">
        <v>4</v>
      </c>
      <c r="G212" s="52" t="s">
        <v>29</v>
      </c>
      <c r="H212" s="230" t="s">
        <v>10836</v>
      </c>
      <c r="I212" s="170" t="s">
        <v>46</v>
      </c>
      <c r="J212" s="176" t="s">
        <v>1221</v>
      </c>
      <c r="K212" s="250" t="s">
        <v>29</v>
      </c>
      <c r="L212" s="224" t="s">
        <v>10860</v>
      </c>
      <c r="M212" s="52" t="s">
        <v>29</v>
      </c>
      <c r="N212" s="54" t="s">
        <v>10498</v>
      </c>
      <c r="O212" s="55" t="str">
        <f t="shared" si="4"/>
        <v>L2.01.00.01.07.01</v>
      </c>
      <c r="P212" s="55" t="str">
        <f t="shared" si="8"/>
        <v>L2.01.00.01.07.01.01</v>
      </c>
      <c r="Q212" s="161" t="s">
        <v>10530</v>
      </c>
      <c r="R212" s="169" t="str">
        <f t="shared" si="9"/>
        <v>Nhóm Triển khai &amp; CSKH sản phẩm tài chính</v>
      </c>
      <c r="S212" s="227" t="s">
        <v>10867</v>
      </c>
      <c r="T212" s="96"/>
      <c r="U212" s="96"/>
      <c r="V212" s="96"/>
      <c r="W212" s="96"/>
      <c r="X212" s="96"/>
      <c r="Y212" s="97" t="s">
        <v>10862</v>
      </c>
      <c r="Z212" s="98" t="s">
        <v>10868</v>
      </c>
      <c r="AA212" s="153" t="s">
        <v>10530</v>
      </c>
      <c r="AB212" s="91"/>
      <c r="AC212" s="91"/>
      <c r="AD212" s="91"/>
    </row>
    <row r="213" ht="15.75" hidden="1" customHeight="1" outlineLevel="1">
      <c r="A213" s="170" t="s">
        <v>10833</v>
      </c>
      <c r="B213" s="57" t="s">
        <v>77</v>
      </c>
      <c r="C213" s="51" t="s">
        <v>29</v>
      </c>
      <c r="D213" s="52" t="s">
        <v>78</v>
      </c>
      <c r="E213" s="53" t="s">
        <v>27</v>
      </c>
      <c r="F213" s="52" t="s">
        <v>4</v>
      </c>
      <c r="G213" s="52" t="s">
        <v>29</v>
      </c>
      <c r="H213" s="230" t="s">
        <v>10836</v>
      </c>
      <c r="I213" s="170" t="s">
        <v>46</v>
      </c>
      <c r="J213" s="176" t="s">
        <v>1221</v>
      </c>
      <c r="K213" s="170" t="s">
        <v>33</v>
      </c>
      <c r="L213" s="224" t="s">
        <v>10864</v>
      </c>
      <c r="M213" s="52" t="s">
        <v>29</v>
      </c>
      <c r="N213" s="54" t="s">
        <v>10498</v>
      </c>
      <c r="O213" s="55" t="str">
        <f t="shared" si="4"/>
        <v>L2.01.00.01.07.02</v>
      </c>
      <c r="P213" s="55" t="str">
        <f t="shared" si="8"/>
        <v>L2.01.00.01.07.02.01</v>
      </c>
      <c r="Q213" s="161" t="s">
        <v>10530</v>
      </c>
      <c r="R213" s="169" t="str">
        <f t="shared" si="9"/>
        <v>Nhóm Triển khai &amp; CSKH sản phẩm điều hành</v>
      </c>
      <c r="S213" s="227" t="s">
        <v>10867</v>
      </c>
      <c r="T213" s="96"/>
      <c r="U213" s="96"/>
      <c r="V213" s="96"/>
      <c r="W213" s="96"/>
      <c r="X213" s="96"/>
      <c r="Y213" s="97" t="s">
        <v>10862</v>
      </c>
      <c r="Z213" s="98" t="s">
        <v>10869</v>
      </c>
      <c r="AA213" s="153" t="s">
        <v>10530</v>
      </c>
      <c r="AB213" s="91"/>
      <c r="AC213" s="91"/>
      <c r="AD213" s="91"/>
    </row>
    <row r="214" ht="15.75" hidden="1" customHeight="1" outlineLevel="1">
      <c r="A214" s="170" t="s">
        <v>10833</v>
      </c>
      <c r="B214" s="57" t="s">
        <v>77</v>
      </c>
      <c r="C214" s="51" t="s">
        <v>29</v>
      </c>
      <c r="D214" s="52" t="s">
        <v>78</v>
      </c>
      <c r="E214" s="53" t="s">
        <v>27</v>
      </c>
      <c r="F214" s="52" t="s">
        <v>4</v>
      </c>
      <c r="G214" s="52" t="s">
        <v>29</v>
      </c>
      <c r="H214" s="230" t="s">
        <v>10870</v>
      </c>
      <c r="I214" s="250" t="s">
        <v>27</v>
      </c>
      <c r="J214" s="251" t="s">
        <v>4</v>
      </c>
      <c r="K214" s="52" t="s">
        <v>27</v>
      </c>
      <c r="L214" s="56" t="s">
        <v>4</v>
      </c>
      <c r="M214" s="52" t="s">
        <v>33</v>
      </c>
      <c r="N214" s="54" t="s">
        <v>10499</v>
      </c>
      <c r="O214" s="55" t="str">
        <f t="shared" si="4"/>
        <v>L2.01.00.01.00.00</v>
      </c>
      <c r="P214" s="55" t="str">
        <f t="shared" si="8"/>
        <v>L2.01.00.01.00.00.02</v>
      </c>
      <c r="Q214" s="161" t="s">
        <v>10530</v>
      </c>
      <c r="R214" s="169" t="str">
        <f t="shared" si="9"/>
        <v>Trung tâm KD Hành chính sự nghiệp - Hồ Chí Minh</v>
      </c>
      <c r="S214" s="227" t="s">
        <v>10837</v>
      </c>
      <c r="T214" s="97" t="s">
        <v>10871</v>
      </c>
      <c r="U214" s="96" t="s">
        <v>262</v>
      </c>
      <c r="V214" s="96" t="s">
        <v>315</v>
      </c>
      <c r="W214" s="96"/>
      <c r="X214" s="96"/>
      <c r="Y214" s="96"/>
      <c r="Z214" s="98" t="s">
        <v>10872</v>
      </c>
      <c r="AA214" s="153" t="s">
        <v>10530</v>
      </c>
      <c r="AB214" s="91"/>
      <c r="AC214" s="91"/>
      <c r="AD214" s="91"/>
    </row>
    <row r="215" ht="15.75" hidden="1" customHeight="1" outlineLevel="1">
      <c r="A215" s="170" t="s">
        <v>10833</v>
      </c>
      <c r="B215" s="57" t="s">
        <v>77</v>
      </c>
      <c r="C215" s="51" t="s">
        <v>29</v>
      </c>
      <c r="D215" s="52" t="s">
        <v>78</v>
      </c>
      <c r="E215" s="53" t="s">
        <v>27</v>
      </c>
      <c r="F215" s="52" t="s">
        <v>4</v>
      </c>
      <c r="G215" s="52" t="s">
        <v>29</v>
      </c>
      <c r="H215" s="230" t="s">
        <v>10870</v>
      </c>
      <c r="I215" s="52" t="s">
        <v>29</v>
      </c>
      <c r="J215" s="55" t="s">
        <v>84</v>
      </c>
      <c r="K215" s="52" t="s">
        <v>27</v>
      </c>
      <c r="L215" s="56" t="s">
        <v>4</v>
      </c>
      <c r="M215" s="52" t="s">
        <v>33</v>
      </c>
      <c r="N215" s="54" t="s">
        <v>10499</v>
      </c>
      <c r="O215" s="55" t="str">
        <f t="shared" si="4"/>
        <v>L2.01.00.01.01.00</v>
      </c>
      <c r="P215" s="55" t="str">
        <f t="shared" si="8"/>
        <v>L2.01.00.01.01.00.02</v>
      </c>
      <c r="Q215" s="161" t="s">
        <v>10530</v>
      </c>
      <c r="R215" s="169" t="str">
        <f t="shared" si="9"/>
        <v>Ban giám đốc TT KD HCSN</v>
      </c>
      <c r="S215" s="227" t="s">
        <v>10873</v>
      </c>
      <c r="T215" s="96" t="s">
        <v>8680</v>
      </c>
      <c r="U215" s="96" t="s">
        <v>262</v>
      </c>
      <c r="V215" s="96" t="s">
        <v>315</v>
      </c>
      <c r="W215" s="96" t="s">
        <v>8679</v>
      </c>
      <c r="X215" s="96"/>
      <c r="Y215" s="96"/>
      <c r="Z215" s="98" t="s">
        <v>10874</v>
      </c>
      <c r="AA215" s="153" t="s">
        <v>10530</v>
      </c>
      <c r="AB215" s="91"/>
      <c r="AC215" s="91"/>
      <c r="AD215" s="91"/>
    </row>
    <row r="216" ht="15.75" hidden="1" customHeight="1" outlineLevel="1">
      <c r="A216" s="170" t="s">
        <v>10833</v>
      </c>
      <c r="B216" s="57" t="s">
        <v>77</v>
      </c>
      <c r="C216" s="51" t="s">
        <v>29</v>
      </c>
      <c r="D216" s="52" t="s">
        <v>78</v>
      </c>
      <c r="E216" s="53" t="s">
        <v>27</v>
      </c>
      <c r="F216" s="52" t="s">
        <v>4</v>
      </c>
      <c r="G216" s="52" t="s">
        <v>29</v>
      </c>
      <c r="H216" s="230" t="s">
        <v>10870</v>
      </c>
      <c r="I216" s="52" t="s">
        <v>33</v>
      </c>
      <c r="J216" s="176" t="s">
        <v>1577</v>
      </c>
      <c r="K216" s="52" t="s">
        <v>27</v>
      </c>
      <c r="L216" s="254" t="s">
        <v>4</v>
      </c>
      <c r="M216" s="52" t="s">
        <v>33</v>
      </c>
      <c r="N216" s="54" t="s">
        <v>10499</v>
      </c>
      <c r="O216" s="55" t="str">
        <f t="shared" si="4"/>
        <v>L2.01.00.01.02.00</v>
      </c>
      <c r="P216" s="55" t="str">
        <f t="shared" si="8"/>
        <v>L2.01.00.01.02.00.02</v>
      </c>
      <c r="Q216" s="161" t="s">
        <v>10530</v>
      </c>
      <c r="R216" s="169" t="str">
        <f t="shared" si="9"/>
        <v>Phòng KD HCSN 01</v>
      </c>
      <c r="S216" s="227" t="s">
        <v>10873</v>
      </c>
      <c r="T216" s="96" t="s">
        <v>8389</v>
      </c>
      <c r="U216" s="96" t="s">
        <v>262</v>
      </c>
      <c r="V216" s="96" t="s">
        <v>315</v>
      </c>
      <c r="W216" s="96" t="s">
        <v>1577</v>
      </c>
      <c r="X216" s="96"/>
      <c r="Y216" s="96"/>
      <c r="Z216" s="98" t="s">
        <v>10875</v>
      </c>
      <c r="AA216" s="153" t="s">
        <v>10530</v>
      </c>
      <c r="AB216" s="91"/>
      <c r="AC216" s="91"/>
      <c r="AD216" s="91"/>
    </row>
    <row r="217" ht="15.75" hidden="1" customHeight="1" outlineLevel="1">
      <c r="A217" s="170" t="s">
        <v>10833</v>
      </c>
      <c r="B217" s="57" t="s">
        <v>77</v>
      </c>
      <c r="C217" s="51" t="s">
        <v>29</v>
      </c>
      <c r="D217" s="52" t="s">
        <v>78</v>
      </c>
      <c r="E217" s="53" t="s">
        <v>27</v>
      </c>
      <c r="F217" s="52" t="s">
        <v>4</v>
      </c>
      <c r="G217" s="52" t="s">
        <v>29</v>
      </c>
      <c r="H217" s="230" t="s">
        <v>10870</v>
      </c>
      <c r="I217" s="52" t="s">
        <v>33</v>
      </c>
      <c r="J217" s="176" t="s">
        <v>1577</v>
      </c>
      <c r="K217" s="250" t="s">
        <v>29</v>
      </c>
      <c r="L217" s="96" t="s">
        <v>2439</v>
      </c>
      <c r="M217" s="52" t="s">
        <v>33</v>
      </c>
      <c r="N217" s="54" t="s">
        <v>10499</v>
      </c>
      <c r="O217" s="55" t="str">
        <f t="shared" si="4"/>
        <v>L2.01.00.01.02.01</v>
      </c>
      <c r="P217" s="55" t="str">
        <f t="shared" si="8"/>
        <v>L2.01.00.01.02.01.02</v>
      </c>
      <c r="Q217" s="161" t="s">
        <v>10530</v>
      </c>
      <c r="R217" s="169" t="str">
        <f t="shared" si="9"/>
        <v>Nhóm KD HCSN 01</v>
      </c>
      <c r="S217" s="227" t="s">
        <v>10876</v>
      </c>
      <c r="T217" s="96" t="s">
        <v>2440</v>
      </c>
      <c r="U217" s="96" t="s">
        <v>262</v>
      </c>
      <c r="V217" s="96" t="s">
        <v>315</v>
      </c>
      <c r="W217" s="96" t="s">
        <v>1577</v>
      </c>
      <c r="X217" s="96" t="s">
        <v>2439</v>
      </c>
      <c r="Y217" s="96"/>
      <c r="Z217" s="98" t="s">
        <v>10877</v>
      </c>
      <c r="AA217" s="153" t="s">
        <v>10530</v>
      </c>
      <c r="AB217" s="91"/>
      <c r="AC217" s="91"/>
      <c r="AD217" s="91"/>
    </row>
    <row r="218" ht="15.75" hidden="1" customHeight="1" outlineLevel="1">
      <c r="A218" s="170" t="s">
        <v>10833</v>
      </c>
      <c r="B218" s="57" t="s">
        <v>77</v>
      </c>
      <c r="C218" s="51" t="s">
        <v>29</v>
      </c>
      <c r="D218" s="52" t="s">
        <v>78</v>
      </c>
      <c r="E218" s="53" t="s">
        <v>27</v>
      </c>
      <c r="F218" s="52" t="s">
        <v>4</v>
      </c>
      <c r="G218" s="52" t="s">
        <v>29</v>
      </c>
      <c r="H218" s="230" t="s">
        <v>10870</v>
      </c>
      <c r="I218" s="52" t="s">
        <v>33</v>
      </c>
      <c r="J218" s="176" t="s">
        <v>1577</v>
      </c>
      <c r="K218" s="170" t="s">
        <v>33</v>
      </c>
      <c r="L218" s="96" t="s">
        <v>1598</v>
      </c>
      <c r="M218" s="52" t="s">
        <v>33</v>
      </c>
      <c r="N218" s="54" t="s">
        <v>10499</v>
      </c>
      <c r="O218" s="55" t="str">
        <f t="shared" si="4"/>
        <v>L2.01.00.01.02.02</v>
      </c>
      <c r="P218" s="55" t="str">
        <f t="shared" si="8"/>
        <v>L2.01.00.01.02.02.02</v>
      </c>
      <c r="Q218" s="161" t="s">
        <v>10530</v>
      </c>
      <c r="R218" s="169" t="str">
        <f t="shared" si="9"/>
        <v>Nhóm KD HCSN 02</v>
      </c>
      <c r="S218" s="227" t="s">
        <v>10876</v>
      </c>
      <c r="T218" s="96" t="s">
        <v>8419</v>
      </c>
      <c r="U218" s="96" t="s">
        <v>262</v>
      </c>
      <c r="V218" s="96" t="s">
        <v>315</v>
      </c>
      <c r="W218" s="96" t="s">
        <v>1577</v>
      </c>
      <c r="X218" s="96" t="s">
        <v>1598</v>
      </c>
      <c r="Y218" s="96"/>
      <c r="Z218" s="98" t="s">
        <v>10878</v>
      </c>
      <c r="AA218" s="153" t="s">
        <v>10530</v>
      </c>
      <c r="AB218" s="91"/>
      <c r="AC218" s="91"/>
      <c r="AD218" s="91"/>
    </row>
    <row r="219" ht="15.75" hidden="1" customHeight="1" outlineLevel="1">
      <c r="A219" s="170" t="s">
        <v>10833</v>
      </c>
      <c r="B219" s="57" t="s">
        <v>77</v>
      </c>
      <c r="C219" s="51" t="s">
        <v>29</v>
      </c>
      <c r="D219" s="52" t="s">
        <v>78</v>
      </c>
      <c r="E219" s="53" t="s">
        <v>27</v>
      </c>
      <c r="F219" s="52" t="s">
        <v>4</v>
      </c>
      <c r="G219" s="52" t="s">
        <v>29</v>
      </c>
      <c r="H219" s="230" t="s">
        <v>10870</v>
      </c>
      <c r="I219" s="52" t="s">
        <v>33</v>
      </c>
      <c r="J219" s="176" t="s">
        <v>1577</v>
      </c>
      <c r="K219" s="170" t="s">
        <v>35</v>
      </c>
      <c r="L219" s="96" t="s">
        <v>1576</v>
      </c>
      <c r="M219" s="52" t="s">
        <v>33</v>
      </c>
      <c r="N219" s="54" t="s">
        <v>10499</v>
      </c>
      <c r="O219" s="55" t="str">
        <f t="shared" si="4"/>
        <v>L2.01.00.01.02.03</v>
      </c>
      <c r="P219" s="55" t="str">
        <f t="shared" si="8"/>
        <v>L2.01.00.01.02.03.02</v>
      </c>
      <c r="Q219" s="161" t="s">
        <v>10530</v>
      </c>
      <c r="R219" s="169" t="str">
        <f t="shared" si="9"/>
        <v>Nhóm KD HCSN 03</v>
      </c>
      <c r="S219" s="227" t="s">
        <v>10876</v>
      </c>
      <c r="T219" s="96" t="s">
        <v>7194</v>
      </c>
      <c r="U219" s="96" t="s">
        <v>262</v>
      </c>
      <c r="V219" s="96" t="s">
        <v>315</v>
      </c>
      <c r="W219" s="96" t="s">
        <v>1577</v>
      </c>
      <c r="X219" s="96" t="s">
        <v>1576</v>
      </c>
      <c r="Y219" s="96"/>
      <c r="Z219" s="98" t="s">
        <v>10879</v>
      </c>
      <c r="AA219" s="153" t="s">
        <v>10530</v>
      </c>
      <c r="AB219" s="91"/>
      <c r="AC219" s="91"/>
      <c r="AD219" s="91"/>
    </row>
    <row r="220" ht="15.75" hidden="1" customHeight="1" outlineLevel="1">
      <c r="A220" s="170" t="s">
        <v>10833</v>
      </c>
      <c r="B220" s="57" t="s">
        <v>77</v>
      </c>
      <c r="C220" s="51" t="s">
        <v>29</v>
      </c>
      <c r="D220" s="52" t="s">
        <v>78</v>
      </c>
      <c r="E220" s="53" t="s">
        <v>27</v>
      </c>
      <c r="F220" s="52" t="s">
        <v>4</v>
      </c>
      <c r="G220" s="52" t="s">
        <v>29</v>
      </c>
      <c r="H220" s="230" t="s">
        <v>10870</v>
      </c>
      <c r="I220" s="51" t="s">
        <v>35</v>
      </c>
      <c r="J220" s="176" t="s">
        <v>316</v>
      </c>
      <c r="K220" s="52" t="s">
        <v>27</v>
      </c>
      <c r="L220" s="254" t="s">
        <v>4</v>
      </c>
      <c r="M220" s="52" t="s">
        <v>33</v>
      </c>
      <c r="N220" s="54" t="s">
        <v>10499</v>
      </c>
      <c r="O220" s="55" t="str">
        <f t="shared" si="4"/>
        <v>L2.01.00.01.03.00</v>
      </c>
      <c r="P220" s="55" t="str">
        <f t="shared" si="8"/>
        <v>L2.01.00.01.03.00.02</v>
      </c>
      <c r="Q220" s="161" t="s">
        <v>10530</v>
      </c>
      <c r="R220" s="169" t="str">
        <f t="shared" si="9"/>
        <v>Phòng KD HCSN 03</v>
      </c>
      <c r="S220" s="227" t="s">
        <v>10873</v>
      </c>
      <c r="T220" s="96" t="s">
        <v>8724</v>
      </c>
      <c r="U220" s="96" t="s">
        <v>262</v>
      </c>
      <c r="V220" s="96" t="s">
        <v>315</v>
      </c>
      <c r="W220" s="96" t="s">
        <v>316</v>
      </c>
      <c r="X220" s="96"/>
      <c r="Y220" s="96"/>
      <c r="Z220" s="98" t="s">
        <v>10880</v>
      </c>
      <c r="AA220" s="153" t="s">
        <v>10530</v>
      </c>
      <c r="AB220" s="91"/>
      <c r="AC220" s="91"/>
      <c r="AD220" s="91"/>
    </row>
    <row r="221" ht="15.75" hidden="1" customHeight="1" outlineLevel="1">
      <c r="A221" s="170" t="s">
        <v>10833</v>
      </c>
      <c r="B221" s="57" t="s">
        <v>77</v>
      </c>
      <c r="C221" s="51" t="s">
        <v>29</v>
      </c>
      <c r="D221" s="52" t="s">
        <v>78</v>
      </c>
      <c r="E221" s="53" t="s">
        <v>27</v>
      </c>
      <c r="F221" s="52" t="s">
        <v>4</v>
      </c>
      <c r="G221" s="52" t="s">
        <v>29</v>
      </c>
      <c r="H221" s="230" t="s">
        <v>10870</v>
      </c>
      <c r="I221" s="51" t="s">
        <v>35</v>
      </c>
      <c r="J221" s="176" t="s">
        <v>316</v>
      </c>
      <c r="K221" s="250" t="s">
        <v>29</v>
      </c>
      <c r="L221" s="96" t="s">
        <v>1507</v>
      </c>
      <c r="M221" s="52" t="s">
        <v>33</v>
      </c>
      <c r="N221" s="54" t="s">
        <v>10499</v>
      </c>
      <c r="O221" s="55" t="str">
        <f t="shared" si="4"/>
        <v>L2.01.00.01.03.01</v>
      </c>
      <c r="P221" s="55" t="str">
        <f t="shared" si="8"/>
        <v>L2.01.00.01.03.01.02</v>
      </c>
      <c r="Q221" s="161" t="s">
        <v>10530</v>
      </c>
      <c r="R221" s="169" t="str">
        <f t="shared" si="9"/>
        <v>Nhóm KD HCSN 05</v>
      </c>
      <c r="S221" s="227" t="s">
        <v>10881</v>
      </c>
      <c r="T221" s="96" t="s">
        <v>2390</v>
      </c>
      <c r="U221" s="96" t="s">
        <v>262</v>
      </c>
      <c r="V221" s="96" t="s">
        <v>315</v>
      </c>
      <c r="W221" s="96" t="s">
        <v>316</v>
      </c>
      <c r="X221" s="96" t="s">
        <v>1507</v>
      </c>
      <c r="Y221" s="96"/>
      <c r="Z221" s="98" t="s">
        <v>10882</v>
      </c>
      <c r="AA221" s="153" t="s">
        <v>10530</v>
      </c>
      <c r="AB221" s="91"/>
      <c r="AC221" s="91"/>
      <c r="AD221" s="91"/>
    </row>
    <row r="222" ht="15.75" hidden="1" customHeight="1" outlineLevel="1">
      <c r="A222" s="170" t="s">
        <v>10833</v>
      </c>
      <c r="B222" s="57" t="s">
        <v>77</v>
      </c>
      <c r="C222" s="51" t="s">
        <v>29</v>
      </c>
      <c r="D222" s="52" t="s">
        <v>78</v>
      </c>
      <c r="E222" s="53" t="s">
        <v>27</v>
      </c>
      <c r="F222" s="52" t="s">
        <v>4</v>
      </c>
      <c r="G222" s="52" t="s">
        <v>29</v>
      </c>
      <c r="H222" s="230" t="s">
        <v>10870</v>
      </c>
      <c r="I222" s="51" t="s">
        <v>35</v>
      </c>
      <c r="J222" s="176" t="s">
        <v>316</v>
      </c>
      <c r="K222" s="170" t="s">
        <v>33</v>
      </c>
      <c r="L222" s="96" t="s">
        <v>314</v>
      </c>
      <c r="M222" s="52" t="s">
        <v>33</v>
      </c>
      <c r="N222" s="54" t="s">
        <v>10499</v>
      </c>
      <c r="O222" s="55" t="str">
        <f t="shared" si="4"/>
        <v>L2.01.00.01.03.02</v>
      </c>
      <c r="P222" s="55" t="str">
        <f t="shared" si="8"/>
        <v>L2.01.00.01.03.02.02</v>
      </c>
      <c r="Q222" s="161" t="s">
        <v>10530</v>
      </c>
      <c r="R222" s="169" t="str">
        <f t="shared" si="9"/>
        <v>Nhóm KD HCSN 06</v>
      </c>
      <c r="S222" s="227" t="s">
        <v>10881</v>
      </c>
      <c r="T222" s="96" t="s">
        <v>317</v>
      </c>
      <c r="U222" s="96" t="s">
        <v>262</v>
      </c>
      <c r="V222" s="96" t="s">
        <v>315</v>
      </c>
      <c r="W222" s="96" t="s">
        <v>316</v>
      </c>
      <c r="X222" s="96" t="s">
        <v>314</v>
      </c>
      <c r="Y222" s="96"/>
      <c r="Z222" s="98" t="s">
        <v>10883</v>
      </c>
      <c r="AA222" s="153" t="s">
        <v>10530</v>
      </c>
      <c r="AB222" s="91"/>
      <c r="AC222" s="91"/>
      <c r="AD222" s="91"/>
    </row>
    <row r="223" ht="15.75" hidden="1" customHeight="1" outlineLevel="1">
      <c r="A223" s="170" t="s">
        <v>10833</v>
      </c>
      <c r="B223" s="57" t="s">
        <v>77</v>
      </c>
      <c r="C223" s="51" t="s">
        <v>29</v>
      </c>
      <c r="D223" s="52" t="s">
        <v>78</v>
      </c>
      <c r="E223" s="53" t="s">
        <v>27</v>
      </c>
      <c r="F223" s="52" t="s">
        <v>4</v>
      </c>
      <c r="G223" s="52" t="s">
        <v>29</v>
      </c>
      <c r="H223" s="230" t="s">
        <v>10870</v>
      </c>
      <c r="I223" s="51" t="s">
        <v>35</v>
      </c>
      <c r="J223" s="176" t="s">
        <v>316</v>
      </c>
      <c r="K223" s="170" t="s">
        <v>35</v>
      </c>
      <c r="L223" s="96" t="s">
        <v>1486</v>
      </c>
      <c r="M223" s="52" t="s">
        <v>33</v>
      </c>
      <c r="N223" s="54" t="s">
        <v>10499</v>
      </c>
      <c r="O223" s="55" t="str">
        <f t="shared" si="4"/>
        <v>L2.01.00.01.03.03</v>
      </c>
      <c r="P223" s="55" t="str">
        <f t="shared" si="8"/>
        <v>L2.01.00.01.03.03.02</v>
      </c>
      <c r="Q223" s="161" t="s">
        <v>10530</v>
      </c>
      <c r="R223" s="169" t="str">
        <f t="shared" si="9"/>
        <v>Nhóm KD HCSN 04</v>
      </c>
      <c r="S223" s="227" t="s">
        <v>10881</v>
      </c>
      <c r="T223" s="96" t="s">
        <v>2394</v>
      </c>
      <c r="U223" s="96" t="s">
        <v>262</v>
      </c>
      <c r="V223" s="96" t="s">
        <v>315</v>
      </c>
      <c r="W223" s="96" t="s">
        <v>316</v>
      </c>
      <c r="X223" s="96" t="s">
        <v>1486</v>
      </c>
      <c r="Y223" s="96"/>
      <c r="Z223" s="98" t="s">
        <v>10884</v>
      </c>
      <c r="AA223" s="153" t="s">
        <v>10530</v>
      </c>
      <c r="AB223" s="91"/>
      <c r="AC223" s="91"/>
      <c r="AD223" s="91"/>
    </row>
    <row r="224" ht="15.75" hidden="1" customHeight="1" outlineLevel="1">
      <c r="A224" s="170" t="s">
        <v>10833</v>
      </c>
      <c r="B224" s="57" t="s">
        <v>77</v>
      </c>
      <c r="C224" s="51" t="s">
        <v>29</v>
      </c>
      <c r="D224" s="52" t="s">
        <v>78</v>
      </c>
      <c r="E224" s="53" t="s">
        <v>27</v>
      </c>
      <c r="F224" s="52" t="s">
        <v>4</v>
      </c>
      <c r="G224" s="52" t="s">
        <v>29</v>
      </c>
      <c r="H224" s="230" t="s">
        <v>10870</v>
      </c>
      <c r="I224" s="51" t="s">
        <v>37</v>
      </c>
      <c r="J224" s="176" t="s">
        <v>86</v>
      </c>
      <c r="K224" s="52" t="s">
        <v>27</v>
      </c>
      <c r="L224" s="254" t="s">
        <v>4</v>
      </c>
      <c r="M224" s="52" t="s">
        <v>33</v>
      </c>
      <c r="N224" s="54" t="s">
        <v>10499</v>
      </c>
      <c r="O224" s="55" t="str">
        <f t="shared" si="4"/>
        <v>L2.01.00.01.04.00</v>
      </c>
      <c r="P224" s="55" t="str">
        <f t="shared" si="8"/>
        <v>L2.01.00.01.04.00.02</v>
      </c>
      <c r="Q224" s="161" t="s">
        <v>10530</v>
      </c>
      <c r="R224" s="169" t="str">
        <f t="shared" si="9"/>
        <v>Phòng Triển khai &amp; CSKH</v>
      </c>
      <c r="S224" s="227" t="s">
        <v>10873</v>
      </c>
      <c r="T224" s="96" t="s">
        <v>8703</v>
      </c>
      <c r="U224" s="96" t="s">
        <v>262</v>
      </c>
      <c r="V224" s="96" t="s">
        <v>315</v>
      </c>
      <c r="W224" s="96" t="s">
        <v>86</v>
      </c>
      <c r="X224" s="96"/>
      <c r="Y224" s="96"/>
      <c r="Z224" s="98" t="s">
        <v>10885</v>
      </c>
      <c r="AA224" s="153" t="s">
        <v>10530</v>
      </c>
      <c r="AB224" s="91"/>
      <c r="AC224" s="91"/>
      <c r="AD224" s="91"/>
    </row>
    <row r="225" ht="15.75" hidden="1" customHeight="1" outlineLevel="1">
      <c r="A225" s="170" t="s">
        <v>10833</v>
      </c>
      <c r="B225" s="57" t="s">
        <v>77</v>
      </c>
      <c r="C225" s="51" t="s">
        <v>29</v>
      </c>
      <c r="D225" s="52" t="s">
        <v>78</v>
      </c>
      <c r="E225" s="53" t="s">
        <v>27</v>
      </c>
      <c r="F225" s="52" t="s">
        <v>4</v>
      </c>
      <c r="G225" s="52" t="s">
        <v>29</v>
      </c>
      <c r="H225" s="230" t="s">
        <v>10870</v>
      </c>
      <c r="I225" s="51" t="s">
        <v>37</v>
      </c>
      <c r="J225" s="176" t="s">
        <v>86</v>
      </c>
      <c r="K225" s="250" t="s">
        <v>29</v>
      </c>
      <c r="L225" s="187" t="s">
        <v>10886</v>
      </c>
      <c r="M225" s="52" t="s">
        <v>33</v>
      </c>
      <c r="N225" s="54" t="s">
        <v>10499</v>
      </c>
      <c r="O225" s="55" t="str">
        <f t="shared" si="4"/>
        <v>L2.01.00.01.04.01</v>
      </c>
      <c r="P225" s="55" t="str">
        <f t="shared" si="8"/>
        <v>L2.01.00.01.04.01.02</v>
      </c>
      <c r="Q225" s="161" t="s">
        <v>10530</v>
      </c>
      <c r="R225" s="186" t="str">
        <f t="shared" si="9"/>
        <v>Nhóm Triển khai &amp; CSKH sản phẩm tài chính 01</v>
      </c>
      <c r="S225" s="227" t="s">
        <v>10887</v>
      </c>
      <c r="T225" s="96"/>
      <c r="U225" s="96"/>
      <c r="V225" s="96"/>
      <c r="W225" s="96"/>
      <c r="X225" s="96"/>
      <c r="Y225" s="97" t="s">
        <v>10862</v>
      </c>
      <c r="Z225" s="98" t="s">
        <v>10888</v>
      </c>
      <c r="AA225" s="153" t="s">
        <v>10530</v>
      </c>
      <c r="AB225" s="91"/>
      <c r="AC225" s="91"/>
      <c r="AD225" s="91"/>
    </row>
    <row r="226" ht="15.75" hidden="1" customHeight="1" outlineLevel="1">
      <c r="A226" s="178" t="s">
        <v>10833</v>
      </c>
      <c r="B226" s="179" t="s">
        <v>77</v>
      </c>
      <c r="C226" s="180" t="s">
        <v>29</v>
      </c>
      <c r="D226" s="64" t="s">
        <v>78</v>
      </c>
      <c r="E226" s="71" t="s">
        <v>27</v>
      </c>
      <c r="F226" s="64" t="s">
        <v>4</v>
      </c>
      <c r="G226" s="64" t="s">
        <v>29</v>
      </c>
      <c r="H226" s="212" t="s">
        <v>10870</v>
      </c>
      <c r="I226" s="180" t="s">
        <v>37</v>
      </c>
      <c r="J226" s="183" t="s">
        <v>86</v>
      </c>
      <c r="K226" s="255" t="s">
        <v>35</v>
      </c>
      <c r="L226" s="187" t="s">
        <v>10889</v>
      </c>
      <c r="M226" s="64" t="s">
        <v>33</v>
      </c>
      <c r="N226" s="70" t="s">
        <v>10499</v>
      </c>
      <c r="O226" s="58" t="str">
        <f t="shared" si="4"/>
        <v>L2.01.00.01.04.03</v>
      </c>
      <c r="P226" s="58" t="str">
        <f t="shared" si="8"/>
        <v>L2.01.00.01.04.03.02</v>
      </c>
      <c r="Q226" s="185" t="s">
        <v>10530</v>
      </c>
      <c r="R226" s="186" t="str">
        <f t="shared" si="9"/>
        <v>Nhóm Triển khai &amp; CSKH sản phẩm tài chính 02</v>
      </c>
      <c r="S226" s="229" t="s">
        <v>10887</v>
      </c>
      <c r="T226" s="189"/>
      <c r="U226" s="189"/>
      <c r="V226" s="189"/>
      <c r="W226" s="189"/>
      <c r="X226" s="189"/>
      <c r="Y226" s="187" t="s">
        <v>10862</v>
      </c>
      <c r="Z226" s="191" t="s">
        <v>10888</v>
      </c>
      <c r="AA226" s="192" t="s">
        <v>10530</v>
      </c>
      <c r="AB226" s="193"/>
      <c r="AC226" s="193"/>
      <c r="AD226" s="193"/>
    </row>
    <row r="227" ht="15.75" hidden="1" customHeight="1" outlineLevel="1">
      <c r="A227" s="178" t="s">
        <v>10833</v>
      </c>
      <c r="B227" s="179" t="s">
        <v>77</v>
      </c>
      <c r="C227" s="180" t="s">
        <v>29</v>
      </c>
      <c r="D227" s="64" t="s">
        <v>78</v>
      </c>
      <c r="E227" s="71" t="s">
        <v>27</v>
      </c>
      <c r="F227" s="64" t="s">
        <v>4</v>
      </c>
      <c r="G227" s="64" t="s">
        <v>29</v>
      </c>
      <c r="H227" s="212" t="s">
        <v>10870</v>
      </c>
      <c r="I227" s="180" t="s">
        <v>37</v>
      </c>
      <c r="J227" s="183" t="s">
        <v>86</v>
      </c>
      <c r="K227" s="255" t="s">
        <v>37</v>
      </c>
      <c r="L227" s="187" t="s">
        <v>10890</v>
      </c>
      <c r="M227" s="64" t="s">
        <v>33</v>
      </c>
      <c r="N227" s="70" t="s">
        <v>10499</v>
      </c>
      <c r="O227" s="58" t="str">
        <f t="shared" si="4"/>
        <v>L2.01.00.01.04.04</v>
      </c>
      <c r="P227" s="58" t="str">
        <f t="shared" si="8"/>
        <v>L2.01.00.01.04.04.02</v>
      </c>
      <c r="Q227" s="185" t="s">
        <v>10530</v>
      </c>
      <c r="R227" s="186" t="str">
        <f t="shared" si="9"/>
        <v>Nhóm Triển khai &amp; CSKH sản phẩm tài chính 03</v>
      </c>
      <c r="S227" s="229" t="s">
        <v>10887</v>
      </c>
      <c r="T227" s="189"/>
      <c r="U227" s="189"/>
      <c r="V227" s="189"/>
      <c r="W227" s="189"/>
      <c r="X227" s="189"/>
      <c r="Y227" s="187" t="s">
        <v>10862</v>
      </c>
      <c r="Z227" s="191" t="s">
        <v>10888</v>
      </c>
      <c r="AA227" s="192" t="s">
        <v>10530</v>
      </c>
      <c r="AB227" s="193"/>
      <c r="AC227" s="193"/>
      <c r="AD227" s="193"/>
    </row>
    <row r="228" ht="15.75" hidden="1" customHeight="1" outlineLevel="1">
      <c r="A228" s="170" t="s">
        <v>10833</v>
      </c>
      <c r="B228" s="57" t="s">
        <v>77</v>
      </c>
      <c r="C228" s="51" t="s">
        <v>29</v>
      </c>
      <c r="D228" s="52" t="s">
        <v>78</v>
      </c>
      <c r="E228" s="53" t="s">
        <v>27</v>
      </c>
      <c r="F228" s="52" t="s">
        <v>4</v>
      </c>
      <c r="G228" s="52" t="s">
        <v>29</v>
      </c>
      <c r="H228" s="230" t="s">
        <v>10870</v>
      </c>
      <c r="I228" s="51" t="s">
        <v>37</v>
      </c>
      <c r="J228" s="176" t="s">
        <v>86</v>
      </c>
      <c r="K228" s="170" t="s">
        <v>33</v>
      </c>
      <c r="L228" s="96" t="s">
        <v>10864</v>
      </c>
      <c r="M228" s="52" t="s">
        <v>33</v>
      </c>
      <c r="N228" s="54" t="s">
        <v>10499</v>
      </c>
      <c r="O228" s="55" t="str">
        <f t="shared" si="4"/>
        <v>L2.01.00.01.04.02</v>
      </c>
      <c r="P228" s="55" t="str">
        <f t="shared" si="8"/>
        <v>L2.01.00.01.04.02.02</v>
      </c>
      <c r="Q228" s="161" t="s">
        <v>10530</v>
      </c>
      <c r="R228" s="169" t="str">
        <f t="shared" si="9"/>
        <v>Nhóm Triển khai &amp; CSKH sản phẩm điều hành</v>
      </c>
      <c r="S228" s="227" t="s">
        <v>10887</v>
      </c>
      <c r="T228" s="96"/>
      <c r="U228" s="96"/>
      <c r="V228" s="96"/>
      <c r="W228" s="96"/>
      <c r="X228" s="96"/>
      <c r="Y228" s="97" t="s">
        <v>10862</v>
      </c>
      <c r="Z228" s="98" t="s">
        <v>10891</v>
      </c>
      <c r="AA228" s="153" t="s">
        <v>10530</v>
      </c>
      <c r="AB228" s="91"/>
      <c r="AC228" s="91"/>
      <c r="AD228" s="91"/>
    </row>
    <row r="229" ht="15.75" hidden="1" customHeight="1" outlineLevel="1">
      <c r="A229" s="170" t="s">
        <v>10833</v>
      </c>
      <c r="B229" s="57" t="s">
        <v>77</v>
      </c>
      <c r="C229" s="51" t="s">
        <v>29</v>
      </c>
      <c r="D229" s="52" t="s">
        <v>78</v>
      </c>
      <c r="E229" s="53" t="s">
        <v>27</v>
      </c>
      <c r="F229" s="52" t="s">
        <v>4</v>
      </c>
      <c r="G229" s="52" t="s">
        <v>29</v>
      </c>
      <c r="H229" s="256" t="s">
        <v>10892</v>
      </c>
      <c r="I229" s="52" t="s">
        <v>29</v>
      </c>
      <c r="J229" s="257" t="s">
        <v>80</v>
      </c>
      <c r="K229" s="52" t="s">
        <v>27</v>
      </c>
      <c r="L229" s="56" t="s">
        <v>4</v>
      </c>
      <c r="M229" s="52" t="s">
        <v>35</v>
      </c>
      <c r="N229" s="54" t="s">
        <v>10500</v>
      </c>
      <c r="O229" s="55" t="str">
        <f t="shared" si="4"/>
        <v>L2.01.00.01.01.00</v>
      </c>
      <c r="P229" s="55" t="str">
        <f t="shared" si="8"/>
        <v>L2.01.00.01.01.00.03</v>
      </c>
      <c r="Q229" s="161" t="s">
        <v>10530</v>
      </c>
      <c r="R229" s="169" t="str">
        <f t="shared" si="9"/>
        <v>Ban giám đốc KD</v>
      </c>
      <c r="S229" s="227" t="s">
        <v>10893</v>
      </c>
      <c r="T229" s="96"/>
      <c r="U229" s="96"/>
      <c r="V229" s="96"/>
      <c r="W229" s="96"/>
      <c r="X229" s="96"/>
      <c r="Y229" s="97" t="s">
        <v>10894</v>
      </c>
      <c r="Z229" s="98" t="s">
        <v>10895</v>
      </c>
      <c r="AA229" s="153" t="s">
        <v>10530</v>
      </c>
      <c r="AB229" s="91"/>
      <c r="AC229" s="91"/>
      <c r="AD229" s="91"/>
    </row>
    <row r="230" ht="15.75" hidden="1" customHeight="1" outlineLevel="1">
      <c r="A230" s="170" t="s">
        <v>10833</v>
      </c>
      <c r="B230" s="57" t="s">
        <v>77</v>
      </c>
      <c r="C230" s="51" t="s">
        <v>29</v>
      </c>
      <c r="D230" s="52" t="s">
        <v>78</v>
      </c>
      <c r="E230" s="53" t="s">
        <v>27</v>
      </c>
      <c r="F230" s="52" t="s">
        <v>4</v>
      </c>
      <c r="G230" s="52" t="s">
        <v>29</v>
      </c>
      <c r="H230" s="256" t="s">
        <v>10892</v>
      </c>
      <c r="I230" s="250" t="s">
        <v>27</v>
      </c>
      <c r="J230" s="258" t="s">
        <v>4</v>
      </c>
      <c r="K230" s="52" t="s">
        <v>27</v>
      </c>
      <c r="L230" s="56" t="s">
        <v>4</v>
      </c>
      <c r="M230" s="52" t="s">
        <v>35</v>
      </c>
      <c r="N230" s="54" t="s">
        <v>10500</v>
      </c>
      <c r="O230" s="55" t="str">
        <f t="shared" si="4"/>
        <v>L2.01.00.01.00.00</v>
      </c>
      <c r="P230" s="55" t="str">
        <f t="shared" si="8"/>
        <v>L2.01.00.01.00.00.03</v>
      </c>
      <c r="Q230" s="161" t="s">
        <v>10530</v>
      </c>
      <c r="R230" s="169" t="str">
        <f t="shared" si="9"/>
        <v>Phòng KD Hành chính sự nghiệp - Đà Nẵng</v>
      </c>
      <c r="S230" s="97" t="s">
        <v>10837</v>
      </c>
      <c r="T230" s="96" t="s">
        <v>9177</v>
      </c>
      <c r="U230" s="96" t="s">
        <v>2811</v>
      </c>
      <c r="V230" s="96" t="s">
        <v>2797</v>
      </c>
      <c r="W230" s="96"/>
      <c r="X230" s="96"/>
      <c r="Y230" s="96"/>
      <c r="Z230" s="98" t="s">
        <v>10896</v>
      </c>
      <c r="AA230" s="153" t="s">
        <v>10530</v>
      </c>
      <c r="AB230" s="91"/>
      <c r="AC230" s="91"/>
      <c r="AD230" s="91"/>
    </row>
    <row r="231" ht="15.75" hidden="1" customHeight="1" outlineLevel="1">
      <c r="A231" s="170" t="s">
        <v>10833</v>
      </c>
      <c r="B231" s="57" t="s">
        <v>77</v>
      </c>
      <c r="C231" s="51" t="s">
        <v>29</v>
      </c>
      <c r="D231" s="52" t="s">
        <v>78</v>
      </c>
      <c r="E231" s="53" t="s">
        <v>27</v>
      </c>
      <c r="F231" s="52" t="s">
        <v>4</v>
      </c>
      <c r="G231" s="52" t="s">
        <v>29</v>
      </c>
      <c r="H231" s="256" t="s">
        <v>10892</v>
      </c>
      <c r="I231" s="52" t="s">
        <v>33</v>
      </c>
      <c r="J231" s="56" t="s">
        <v>81</v>
      </c>
      <c r="K231" s="52" t="s">
        <v>27</v>
      </c>
      <c r="L231" s="56" t="s">
        <v>4</v>
      </c>
      <c r="M231" s="52" t="s">
        <v>35</v>
      </c>
      <c r="N231" s="54" t="s">
        <v>10500</v>
      </c>
      <c r="O231" s="55" t="str">
        <f t="shared" si="4"/>
        <v>L2.01.00.01.02.00</v>
      </c>
      <c r="P231" s="55" t="str">
        <f t="shared" si="8"/>
        <v>L2.01.00.01.02.00.03</v>
      </c>
      <c r="Q231" s="161" t="s">
        <v>10530</v>
      </c>
      <c r="R231" s="169" t="str">
        <f t="shared" si="9"/>
        <v>Nhóm KD HCSN</v>
      </c>
      <c r="S231" s="227" t="s">
        <v>10893</v>
      </c>
      <c r="T231" s="96" t="s">
        <v>3069</v>
      </c>
      <c r="U231" s="96" t="s">
        <v>2811</v>
      </c>
      <c r="V231" s="96" t="s">
        <v>2797</v>
      </c>
      <c r="W231" s="96" t="s">
        <v>3068</v>
      </c>
      <c r="X231" s="96"/>
      <c r="Y231" s="96"/>
      <c r="Z231" s="98" t="s">
        <v>10897</v>
      </c>
      <c r="AA231" s="153" t="s">
        <v>10530</v>
      </c>
      <c r="AB231" s="91"/>
      <c r="AC231" s="91"/>
      <c r="AD231" s="91"/>
    </row>
    <row r="232" ht="15.75" hidden="1" customHeight="1" outlineLevel="1">
      <c r="A232" s="170" t="s">
        <v>10833</v>
      </c>
      <c r="B232" s="57" t="s">
        <v>77</v>
      </c>
      <c r="C232" s="51" t="s">
        <v>29</v>
      </c>
      <c r="D232" s="52" t="s">
        <v>78</v>
      </c>
      <c r="E232" s="53" t="s">
        <v>27</v>
      </c>
      <c r="F232" s="52" t="s">
        <v>4</v>
      </c>
      <c r="G232" s="52" t="s">
        <v>29</v>
      </c>
      <c r="H232" s="256" t="s">
        <v>10892</v>
      </c>
      <c r="I232" s="52" t="s">
        <v>35</v>
      </c>
      <c r="J232" s="56" t="s">
        <v>82</v>
      </c>
      <c r="K232" s="52" t="s">
        <v>27</v>
      </c>
      <c r="L232" s="56" t="s">
        <v>4</v>
      </c>
      <c r="M232" s="52" t="s">
        <v>35</v>
      </c>
      <c r="N232" s="54" t="s">
        <v>10500</v>
      </c>
      <c r="O232" s="55" t="str">
        <f t="shared" si="4"/>
        <v>L2.01.00.01.03.00</v>
      </c>
      <c r="P232" s="55" t="str">
        <f t="shared" si="8"/>
        <v>L2.01.00.01.03.00.03</v>
      </c>
      <c r="Q232" s="161" t="s">
        <v>10530</v>
      </c>
      <c r="R232" s="169" t="str">
        <f t="shared" si="9"/>
        <v>Nhóm Triển khai &amp; CSKH</v>
      </c>
      <c r="S232" s="227" t="s">
        <v>10893</v>
      </c>
      <c r="T232" s="96" t="s">
        <v>7533</v>
      </c>
      <c r="U232" s="96" t="s">
        <v>2811</v>
      </c>
      <c r="V232" s="96" t="s">
        <v>2797</v>
      </c>
      <c r="W232" s="96" t="s">
        <v>7532</v>
      </c>
      <c r="X232" s="96"/>
      <c r="Y232" s="96"/>
      <c r="Z232" s="98" t="s">
        <v>10898</v>
      </c>
      <c r="AA232" s="153" t="s">
        <v>10530</v>
      </c>
      <c r="AB232" s="91"/>
      <c r="AC232" s="91"/>
      <c r="AD232" s="91"/>
    </row>
    <row r="233" ht="15.75" hidden="1" customHeight="1" outlineLevel="1">
      <c r="A233" s="170" t="s">
        <v>10833</v>
      </c>
      <c r="B233" s="57" t="s">
        <v>77</v>
      </c>
      <c r="C233" s="51" t="s">
        <v>29</v>
      </c>
      <c r="D233" s="52" t="s">
        <v>78</v>
      </c>
      <c r="E233" s="53" t="s">
        <v>27</v>
      </c>
      <c r="F233" s="52" t="s">
        <v>4</v>
      </c>
      <c r="G233" s="52" t="s">
        <v>29</v>
      </c>
      <c r="H233" s="256" t="s">
        <v>10899</v>
      </c>
      <c r="I233" s="52" t="s">
        <v>29</v>
      </c>
      <c r="J233" s="159" t="s">
        <v>80</v>
      </c>
      <c r="K233" s="52" t="s">
        <v>27</v>
      </c>
      <c r="L233" s="56" t="s">
        <v>4</v>
      </c>
      <c r="M233" s="52" t="s">
        <v>37</v>
      </c>
      <c r="N233" s="256" t="s">
        <v>10900</v>
      </c>
      <c r="O233" s="55" t="str">
        <f t="shared" si="4"/>
        <v>L2.01.00.01.01.00</v>
      </c>
      <c r="P233" s="55" t="str">
        <f t="shared" si="8"/>
        <v>L2.01.00.01.01.00.04</v>
      </c>
      <c r="Q233" s="161" t="s">
        <v>10530</v>
      </c>
      <c r="R233" s="169" t="str">
        <f t="shared" si="9"/>
        <v>Ban giám đốc KD</v>
      </c>
      <c r="S233" s="227" t="s">
        <v>10901</v>
      </c>
      <c r="T233" s="96"/>
      <c r="U233" s="96"/>
      <c r="V233" s="96"/>
      <c r="W233" s="96"/>
      <c r="X233" s="96"/>
      <c r="Y233" s="97" t="s">
        <v>10894</v>
      </c>
      <c r="Z233" s="98" t="s">
        <v>10902</v>
      </c>
      <c r="AA233" s="153" t="s">
        <v>10530</v>
      </c>
      <c r="AB233" s="91"/>
      <c r="AC233" s="91"/>
      <c r="AD233" s="91"/>
    </row>
    <row r="234" ht="15.75" hidden="1" customHeight="1" outlineLevel="1">
      <c r="A234" s="170" t="s">
        <v>10833</v>
      </c>
      <c r="B234" s="57" t="s">
        <v>77</v>
      </c>
      <c r="C234" s="51" t="s">
        <v>29</v>
      </c>
      <c r="D234" s="52" t="s">
        <v>78</v>
      </c>
      <c r="E234" s="53" t="s">
        <v>27</v>
      </c>
      <c r="F234" s="52" t="s">
        <v>4</v>
      </c>
      <c r="G234" s="52" t="s">
        <v>29</v>
      </c>
      <c r="H234" s="256" t="s">
        <v>10899</v>
      </c>
      <c r="I234" s="52" t="s">
        <v>33</v>
      </c>
      <c r="J234" s="56" t="s">
        <v>81</v>
      </c>
      <c r="K234" s="52" t="s">
        <v>27</v>
      </c>
      <c r="L234" s="56" t="s">
        <v>4</v>
      </c>
      <c r="M234" s="52" t="s">
        <v>37</v>
      </c>
      <c r="N234" s="256" t="s">
        <v>10900</v>
      </c>
      <c r="O234" s="55" t="str">
        <f t="shared" si="4"/>
        <v>L2.01.00.01.02.00</v>
      </c>
      <c r="P234" s="55" t="str">
        <f t="shared" si="8"/>
        <v>L2.01.00.01.02.00.04</v>
      </c>
      <c r="Q234" s="161" t="s">
        <v>10530</v>
      </c>
      <c r="R234" s="169" t="str">
        <f t="shared" si="9"/>
        <v>Nhóm KD HCSN</v>
      </c>
      <c r="S234" s="227" t="s">
        <v>10901</v>
      </c>
      <c r="T234" s="96" t="s">
        <v>7439</v>
      </c>
      <c r="U234" s="96" t="s">
        <v>2732</v>
      </c>
      <c r="V234" s="96" t="s">
        <v>2797</v>
      </c>
      <c r="W234" s="96" t="s">
        <v>81</v>
      </c>
      <c r="X234" s="96"/>
      <c r="Y234" s="96"/>
      <c r="Z234" s="98" t="s">
        <v>10903</v>
      </c>
      <c r="AA234" s="153" t="s">
        <v>10530</v>
      </c>
      <c r="AB234" s="91"/>
      <c r="AC234" s="91"/>
      <c r="AD234" s="91"/>
    </row>
    <row r="235" ht="15.75" hidden="1" customHeight="1" outlineLevel="1">
      <c r="A235" s="170" t="s">
        <v>10833</v>
      </c>
      <c r="B235" s="57" t="s">
        <v>77</v>
      </c>
      <c r="C235" s="51" t="s">
        <v>29</v>
      </c>
      <c r="D235" s="52" t="s">
        <v>78</v>
      </c>
      <c r="E235" s="53" t="s">
        <v>27</v>
      </c>
      <c r="F235" s="52" t="s">
        <v>4</v>
      </c>
      <c r="G235" s="52" t="s">
        <v>29</v>
      </c>
      <c r="H235" s="256" t="s">
        <v>10899</v>
      </c>
      <c r="I235" s="250" t="s">
        <v>27</v>
      </c>
      <c r="J235" s="259" t="s">
        <v>4</v>
      </c>
      <c r="K235" s="52" t="s">
        <v>27</v>
      </c>
      <c r="L235" s="56" t="s">
        <v>4</v>
      </c>
      <c r="M235" s="52" t="s">
        <v>37</v>
      </c>
      <c r="N235" s="256" t="s">
        <v>10900</v>
      </c>
      <c r="O235" s="55" t="str">
        <f t="shared" si="4"/>
        <v>L2.01.00.01.00.00</v>
      </c>
      <c r="P235" s="55" t="str">
        <f t="shared" si="8"/>
        <v>L2.01.00.01.00.00.04</v>
      </c>
      <c r="Q235" s="161" t="s">
        <v>10530</v>
      </c>
      <c r="R235" s="169" t="str">
        <f t="shared" si="9"/>
        <v>Phòng KD Hành chính sự nghiệp - Buôn Ma Thuột</v>
      </c>
      <c r="S235" s="227" t="s">
        <v>10837</v>
      </c>
      <c r="T235" s="97" t="s">
        <v>10904</v>
      </c>
      <c r="U235" s="96" t="s">
        <v>2732</v>
      </c>
      <c r="V235" s="96" t="s">
        <v>2797</v>
      </c>
      <c r="W235" s="96" t="s">
        <v>2796</v>
      </c>
      <c r="X235" s="96"/>
      <c r="Y235" s="96"/>
      <c r="Z235" s="98" t="s">
        <v>10905</v>
      </c>
      <c r="AA235" s="153" t="s">
        <v>10530</v>
      </c>
      <c r="AB235" s="91"/>
      <c r="AC235" s="91"/>
      <c r="AD235" s="91"/>
    </row>
    <row r="236" ht="15.75" hidden="1" customHeight="1" outlineLevel="1">
      <c r="A236" s="170" t="s">
        <v>10833</v>
      </c>
      <c r="B236" s="57" t="s">
        <v>77</v>
      </c>
      <c r="C236" s="51" t="s">
        <v>29</v>
      </c>
      <c r="D236" s="52" t="s">
        <v>78</v>
      </c>
      <c r="E236" s="53" t="s">
        <v>27</v>
      </c>
      <c r="F236" s="52" t="s">
        <v>4</v>
      </c>
      <c r="G236" s="52" t="s">
        <v>29</v>
      </c>
      <c r="H236" s="256" t="s">
        <v>10899</v>
      </c>
      <c r="I236" s="52" t="s">
        <v>35</v>
      </c>
      <c r="J236" s="56" t="s">
        <v>82</v>
      </c>
      <c r="K236" s="52" t="s">
        <v>27</v>
      </c>
      <c r="L236" s="56" t="s">
        <v>4</v>
      </c>
      <c r="M236" s="52" t="s">
        <v>37</v>
      </c>
      <c r="N236" s="256" t="s">
        <v>10900</v>
      </c>
      <c r="O236" s="55" t="str">
        <f t="shared" si="4"/>
        <v>L2.01.00.01.03.00</v>
      </c>
      <c r="P236" s="55" t="str">
        <f t="shared" si="8"/>
        <v>L2.01.00.01.03.00.04</v>
      </c>
      <c r="Q236" s="161" t="s">
        <v>10530</v>
      </c>
      <c r="R236" s="169" t="str">
        <f t="shared" si="9"/>
        <v>Nhóm Triển khai &amp; CSKH</v>
      </c>
      <c r="S236" s="227" t="s">
        <v>10901</v>
      </c>
      <c r="T236" s="96" t="s">
        <v>2798</v>
      </c>
      <c r="U236" s="96" t="s">
        <v>2732</v>
      </c>
      <c r="V236" s="96" t="s">
        <v>2797</v>
      </c>
      <c r="W236" s="96" t="s">
        <v>2796</v>
      </c>
      <c r="X236" s="96"/>
      <c r="Y236" s="96"/>
      <c r="Z236" s="98" t="s">
        <v>10906</v>
      </c>
      <c r="AA236" s="153" t="s">
        <v>10530</v>
      </c>
      <c r="AB236" s="91"/>
      <c r="AC236" s="91"/>
      <c r="AD236" s="91"/>
    </row>
    <row r="237" ht="15.75" hidden="1" customHeight="1" outlineLevel="1">
      <c r="A237" s="170" t="s">
        <v>10833</v>
      </c>
      <c r="B237" s="57" t="s">
        <v>77</v>
      </c>
      <c r="C237" s="51" t="s">
        <v>29</v>
      </c>
      <c r="D237" s="52" t="s">
        <v>78</v>
      </c>
      <c r="E237" s="53" t="s">
        <v>27</v>
      </c>
      <c r="F237" s="52" t="s">
        <v>4</v>
      </c>
      <c r="G237" s="52" t="s">
        <v>29</v>
      </c>
      <c r="H237" s="256" t="s">
        <v>10907</v>
      </c>
      <c r="I237" s="52" t="s">
        <v>29</v>
      </c>
      <c r="J237" s="159" t="s">
        <v>80</v>
      </c>
      <c r="K237" s="52" t="s">
        <v>27</v>
      </c>
      <c r="L237" s="56" t="s">
        <v>4</v>
      </c>
      <c r="M237" s="52" t="s">
        <v>42</v>
      </c>
      <c r="N237" s="54" t="s">
        <v>10502</v>
      </c>
      <c r="O237" s="55" t="str">
        <f t="shared" si="4"/>
        <v>L2.01.00.01.01.00</v>
      </c>
      <c r="P237" s="55" t="str">
        <f t="shared" si="8"/>
        <v>L2.01.00.01.01.00.05</v>
      </c>
      <c r="Q237" s="161" t="s">
        <v>10530</v>
      </c>
      <c r="R237" s="169" t="str">
        <f t="shared" si="9"/>
        <v>Ban giám đốc KD</v>
      </c>
      <c r="S237" s="227" t="s">
        <v>10908</v>
      </c>
      <c r="T237" s="96"/>
      <c r="U237" s="96"/>
      <c r="V237" s="96"/>
      <c r="W237" s="96"/>
      <c r="X237" s="96"/>
      <c r="Y237" s="97" t="s">
        <v>10894</v>
      </c>
      <c r="Z237" s="98" t="s">
        <v>10909</v>
      </c>
      <c r="AA237" s="153" t="s">
        <v>10530</v>
      </c>
      <c r="AB237" s="91"/>
      <c r="AC237" s="91"/>
      <c r="AD237" s="91"/>
    </row>
    <row r="238" ht="15.75" hidden="1" customHeight="1" outlineLevel="1">
      <c r="A238" s="170" t="s">
        <v>10833</v>
      </c>
      <c r="B238" s="57" t="s">
        <v>77</v>
      </c>
      <c r="C238" s="51" t="s">
        <v>29</v>
      </c>
      <c r="D238" s="52" t="s">
        <v>78</v>
      </c>
      <c r="E238" s="53" t="s">
        <v>27</v>
      </c>
      <c r="F238" s="52" t="s">
        <v>4</v>
      </c>
      <c r="G238" s="52" t="s">
        <v>29</v>
      </c>
      <c r="H238" s="256" t="s">
        <v>10907</v>
      </c>
      <c r="I238" s="250" t="s">
        <v>27</v>
      </c>
      <c r="J238" s="260" t="s">
        <v>4</v>
      </c>
      <c r="K238" s="52" t="s">
        <v>27</v>
      </c>
      <c r="L238" s="56" t="s">
        <v>4</v>
      </c>
      <c r="M238" s="52" t="s">
        <v>42</v>
      </c>
      <c r="N238" s="54" t="s">
        <v>10502</v>
      </c>
      <c r="O238" s="55" t="str">
        <f t="shared" si="4"/>
        <v>L2.01.00.01.00.00</v>
      </c>
      <c r="P238" s="55" t="str">
        <f t="shared" si="8"/>
        <v>L2.01.00.01.00.00.05</v>
      </c>
      <c r="Q238" s="161" t="s">
        <v>10530</v>
      </c>
      <c r="R238" s="169" t="str">
        <f t="shared" si="9"/>
        <v>Phòng KD Hành chính sự nghiệp - Cần Thơ</v>
      </c>
      <c r="S238" s="227" t="s">
        <v>10837</v>
      </c>
      <c r="T238" s="96" t="s">
        <v>9621</v>
      </c>
      <c r="U238" s="96" t="s">
        <v>325</v>
      </c>
      <c r="V238" s="96" t="s">
        <v>2797</v>
      </c>
      <c r="W238" s="96"/>
      <c r="X238" s="96"/>
      <c r="Y238" s="96"/>
      <c r="Z238" s="98" t="s">
        <v>10910</v>
      </c>
      <c r="AA238" s="153" t="s">
        <v>10530</v>
      </c>
      <c r="AB238" s="91"/>
      <c r="AC238" s="91"/>
      <c r="AD238" s="91"/>
    </row>
    <row r="239" ht="15.75" hidden="1" customHeight="1" outlineLevel="1">
      <c r="A239" s="170" t="s">
        <v>10833</v>
      </c>
      <c r="B239" s="57" t="s">
        <v>77</v>
      </c>
      <c r="C239" s="51" t="s">
        <v>29</v>
      </c>
      <c r="D239" s="52" t="s">
        <v>78</v>
      </c>
      <c r="E239" s="53" t="s">
        <v>27</v>
      </c>
      <c r="F239" s="52" t="s">
        <v>4</v>
      </c>
      <c r="G239" s="52" t="s">
        <v>29</v>
      </c>
      <c r="H239" s="256" t="s">
        <v>10907</v>
      </c>
      <c r="I239" s="52" t="s">
        <v>33</v>
      </c>
      <c r="J239" s="56" t="s">
        <v>81</v>
      </c>
      <c r="K239" s="52" t="s">
        <v>27</v>
      </c>
      <c r="L239" s="56" t="s">
        <v>4</v>
      </c>
      <c r="M239" s="52" t="s">
        <v>42</v>
      </c>
      <c r="N239" s="54" t="s">
        <v>10502</v>
      </c>
      <c r="O239" s="55" t="str">
        <f t="shared" si="4"/>
        <v>L2.01.00.01.02.00</v>
      </c>
      <c r="P239" s="55" t="str">
        <f t="shared" si="8"/>
        <v>L2.01.00.01.02.00.05</v>
      </c>
      <c r="Q239" s="161" t="s">
        <v>10530</v>
      </c>
      <c r="R239" s="169" t="str">
        <f t="shared" si="9"/>
        <v>Nhóm KD HCSN</v>
      </c>
      <c r="S239" s="227" t="s">
        <v>10908</v>
      </c>
      <c r="T239" s="96" t="s">
        <v>3589</v>
      </c>
      <c r="U239" s="96" t="s">
        <v>325</v>
      </c>
      <c r="V239" s="96" t="s">
        <v>2797</v>
      </c>
      <c r="W239" s="96" t="s">
        <v>3588</v>
      </c>
      <c r="X239" s="96"/>
      <c r="Y239" s="96"/>
      <c r="Z239" s="98" t="s">
        <v>10909</v>
      </c>
      <c r="AA239" s="153" t="s">
        <v>10530</v>
      </c>
      <c r="AB239" s="91"/>
      <c r="AC239" s="91"/>
      <c r="AD239" s="91"/>
    </row>
    <row r="240" ht="15.75" hidden="1" customHeight="1" outlineLevel="1">
      <c r="A240" s="170" t="s">
        <v>10833</v>
      </c>
      <c r="B240" s="57" t="s">
        <v>77</v>
      </c>
      <c r="C240" s="51" t="s">
        <v>29</v>
      </c>
      <c r="D240" s="52" t="s">
        <v>78</v>
      </c>
      <c r="E240" s="53" t="s">
        <v>27</v>
      </c>
      <c r="F240" s="52" t="s">
        <v>4</v>
      </c>
      <c r="G240" s="52" t="s">
        <v>29</v>
      </c>
      <c r="H240" s="256" t="s">
        <v>10907</v>
      </c>
      <c r="I240" s="52" t="s">
        <v>35</v>
      </c>
      <c r="J240" s="56" t="s">
        <v>82</v>
      </c>
      <c r="K240" s="52" t="s">
        <v>27</v>
      </c>
      <c r="L240" s="56" t="s">
        <v>4</v>
      </c>
      <c r="M240" s="52" t="s">
        <v>42</v>
      </c>
      <c r="N240" s="54" t="s">
        <v>10502</v>
      </c>
      <c r="O240" s="55" t="str">
        <f t="shared" si="4"/>
        <v>L2.01.00.01.03.00</v>
      </c>
      <c r="P240" s="55" t="str">
        <f t="shared" si="8"/>
        <v>L2.01.00.01.03.00.05</v>
      </c>
      <c r="Q240" s="161" t="s">
        <v>10530</v>
      </c>
      <c r="R240" s="169" t="str">
        <f t="shared" si="9"/>
        <v>Nhóm Triển khai &amp; CSKH</v>
      </c>
      <c r="S240" s="227" t="s">
        <v>10908</v>
      </c>
      <c r="T240" s="96" t="s">
        <v>7299</v>
      </c>
      <c r="U240" s="96" t="s">
        <v>325</v>
      </c>
      <c r="V240" s="96" t="s">
        <v>2797</v>
      </c>
      <c r="W240" s="96" t="s">
        <v>7298</v>
      </c>
      <c r="X240" s="96"/>
      <c r="Y240" s="96"/>
      <c r="Z240" s="98" t="s">
        <v>10911</v>
      </c>
      <c r="AA240" s="153" t="s">
        <v>10530</v>
      </c>
      <c r="AB240" s="91"/>
      <c r="AC240" s="91"/>
      <c r="AD240" s="91"/>
    </row>
    <row r="241" ht="15.75" customHeight="1" collapsed="1">
      <c r="A241" s="233" t="s">
        <v>10912</v>
      </c>
      <c r="B241" s="47"/>
      <c r="C241" s="47"/>
      <c r="D241" s="47"/>
      <c r="E241" s="47"/>
      <c r="F241" s="47"/>
      <c r="G241" s="48"/>
      <c r="H241" s="49"/>
      <c r="I241" s="48"/>
      <c r="J241" s="48"/>
      <c r="K241" s="48"/>
      <c r="L241" s="48"/>
      <c r="M241" s="48"/>
      <c r="N241" s="49"/>
      <c r="O241" s="55" t="str">
        <f t="shared" si="4"/>
        <v>Khối kinh doanh thị trường Doanh nghiệp.....</v>
      </c>
      <c r="P241" s="48"/>
      <c r="Q241" s="169"/>
      <c r="R241" s="169" t="str">
        <f t="shared" si="9"/>
        <v/>
      </c>
      <c r="S241" s="96"/>
      <c r="T241" s="96"/>
      <c r="U241" s="96"/>
      <c r="V241" s="96"/>
      <c r="W241" s="96"/>
      <c r="X241" s="96"/>
      <c r="Y241" s="96"/>
      <c r="Z241" s="152"/>
      <c r="AA241" s="99"/>
      <c r="AB241" s="91"/>
      <c r="AC241" s="91"/>
      <c r="AD241" s="91"/>
    </row>
    <row r="242" ht="15.75" hidden="1" customHeight="1" outlineLevel="1">
      <c r="A242" s="261" t="s">
        <v>10833</v>
      </c>
      <c r="B242" s="231" t="s">
        <v>77</v>
      </c>
      <c r="C242" s="157" t="s">
        <v>33</v>
      </c>
      <c r="D242" s="157" t="s">
        <v>89</v>
      </c>
      <c r="E242" s="168" t="s">
        <v>27</v>
      </c>
      <c r="F242" s="168" t="s">
        <v>4</v>
      </c>
      <c r="G242" s="168" t="s">
        <v>27</v>
      </c>
      <c r="H242" s="262" t="s">
        <v>4</v>
      </c>
      <c r="I242" s="157" t="s">
        <v>27</v>
      </c>
      <c r="J242" s="156" t="s">
        <v>4</v>
      </c>
      <c r="K242" s="157" t="s">
        <v>27</v>
      </c>
      <c r="L242" s="156" t="s">
        <v>4</v>
      </c>
      <c r="M242" s="168" t="s">
        <v>27</v>
      </c>
      <c r="N242" s="167"/>
      <c r="O242" s="55" t="str">
        <f t="shared" si="4"/>
        <v>L2.02.00.00.00.00</v>
      </c>
      <c r="P242" s="257" t="str">
        <f>A242&amp;"."&amp;C242&amp;"."&amp;E242&amp;"."&amp;G242&amp;"."&amp;I242&amp;"."&amp;K242&amp;"."&amp;M242</f>
        <v>L2.02.00.00.00.00.00</v>
      </c>
      <c r="Q242" s="161" t="s">
        <v>10530</v>
      </c>
      <c r="R242" s="263" t="s">
        <v>10913</v>
      </c>
      <c r="S242" s="264" t="s">
        <v>22</v>
      </c>
      <c r="T242" s="265"/>
      <c r="U242" s="265"/>
      <c r="V242" s="265"/>
      <c r="W242" s="265"/>
      <c r="X242" s="265"/>
      <c r="Y242" s="264" t="s">
        <v>10894</v>
      </c>
      <c r="Z242" s="225" t="s">
        <v>89</v>
      </c>
      <c r="AA242" s="266"/>
      <c r="AB242" s="267"/>
      <c r="AC242" s="267"/>
      <c r="AD242" s="267"/>
    </row>
    <row r="243" ht="15.75" customHeight="1" collapsed="1">
      <c r="A243" s="268" t="s">
        <v>10914</v>
      </c>
      <c r="B243" s="66"/>
      <c r="C243" s="66"/>
      <c r="D243" s="66"/>
      <c r="E243" s="67"/>
      <c r="F243" s="66"/>
      <c r="G243" s="66"/>
      <c r="H243" s="68"/>
      <c r="I243" s="66"/>
      <c r="J243" s="69"/>
      <c r="K243" s="66"/>
      <c r="L243" s="68"/>
      <c r="M243" s="66"/>
      <c r="N243" s="68"/>
      <c r="O243" s="55" t="str">
        <f t="shared" si="4"/>
        <v>Khối giải pháp bán lẻ.....</v>
      </c>
      <c r="P243" s="69"/>
      <c r="Q243" s="169"/>
      <c r="R243" s="169" t="str">
        <f>if(L243&lt;&gt;"-",L243,if(AND(L243="-",J243&lt;&gt;"-"),J243,if(AND(J243="-",H243&lt;&gt;"-"),H243,"NA")))</f>
        <v/>
      </c>
      <c r="S243" s="96"/>
      <c r="T243" s="96"/>
      <c r="U243" s="96"/>
      <c r="V243" s="96"/>
      <c r="W243" s="96"/>
      <c r="X243" s="96"/>
      <c r="Y243" s="96"/>
      <c r="Z243" s="152"/>
      <c r="AA243" s="99"/>
      <c r="AB243" s="91"/>
      <c r="AC243" s="91"/>
      <c r="AD243" s="91"/>
    </row>
    <row r="244" ht="15.75" hidden="1" customHeight="1" outlineLevel="1">
      <c r="A244" s="261" t="s">
        <v>10833</v>
      </c>
      <c r="B244" s="231" t="s">
        <v>77</v>
      </c>
      <c r="C244" s="157" t="s">
        <v>33</v>
      </c>
      <c r="D244" s="157" t="s">
        <v>89</v>
      </c>
      <c r="E244" s="168" t="s">
        <v>29</v>
      </c>
      <c r="F244" s="157" t="s">
        <v>90</v>
      </c>
      <c r="G244" s="168" t="s">
        <v>27</v>
      </c>
      <c r="H244" s="262" t="s">
        <v>4</v>
      </c>
      <c r="I244" s="157" t="s">
        <v>27</v>
      </c>
      <c r="J244" s="156" t="s">
        <v>4</v>
      </c>
      <c r="K244" s="157" t="s">
        <v>27</v>
      </c>
      <c r="L244" s="156" t="s">
        <v>4</v>
      </c>
      <c r="M244" s="168" t="s">
        <v>27</v>
      </c>
      <c r="N244" s="167"/>
      <c r="O244" s="55" t="str">
        <f t="shared" si="4"/>
        <v>L2.02.01.00.00.00</v>
      </c>
      <c r="P244" s="257" t="str">
        <f t="shared" ref="P244:P281" si="10">A244&amp;"."&amp;C244&amp;"."&amp;E244&amp;"."&amp;G244&amp;"."&amp;I244&amp;"."&amp;K244&amp;"."&amp;M244</f>
        <v>L2.02.01.00.00.00.00</v>
      </c>
      <c r="Q244" s="161" t="s">
        <v>10530</v>
      </c>
      <c r="R244" s="263" t="s">
        <v>10915</v>
      </c>
      <c r="S244" s="269" t="s">
        <v>10916</v>
      </c>
      <c r="T244" s="265"/>
      <c r="U244" s="265"/>
      <c r="V244" s="265"/>
      <c r="W244" s="265"/>
      <c r="X244" s="265"/>
      <c r="Y244" s="265"/>
      <c r="Z244" s="225" t="s">
        <v>10917</v>
      </c>
      <c r="AA244" s="266"/>
      <c r="AB244" s="267"/>
      <c r="AC244" s="267"/>
      <c r="AD244" s="267"/>
    </row>
    <row r="245" ht="15.75" hidden="1" customHeight="1" outlineLevel="1">
      <c r="A245" s="228" t="s">
        <v>10833</v>
      </c>
      <c r="B245" s="270" t="s">
        <v>77</v>
      </c>
      <c r="C245" s="209" t="s">
        <v>33</v>
      </c>
      <c r="D245" s="209" t="s">
        <v>89</v>
      </c>
      <c r="E245" s="271" t="s">
        <v>29</v>
      </c>
      <c r="F245" s="209" t="s">
        <v>90</v>
      </c>
      <c r="G245" s="209" t="s">
        <v>29</v>
      </c>
      <c r="H245" s="212" t="s">
        <v>10918</v>
      </c>
      <c r="I245" s="209" t="s">
        <v>27</v>
      </c>
      <c r="J245" s="210" t="s">
        <v>4</v>
      </c>
      <c r="K245" s="209" t="s">
        <v>27</v>
      </c>
      <c r="L245" s="210" t="s">
        <v>4</v>
      </c>
      <c r="M245" s="182" t="s">
        <v>27</v>
      </c>
      <c r="N245" s="181"/>
      <c r="O245" s="58" t="str">
        <f t="shared" si="4"/>
        <v>L2.02.01.01.00.00</v>
      </c>
      <c r="P245" s="272" t="str">
        <f t="shared" si="10"/>
        <v>L2.02.01.01.00.00.00</v>
      </c>
      <c r="Q245" s="185" t="s">
        <v>10530</v>
      </c>
      <c r="R245" s="273" t="str">
        <f t="shared" ref="R245:R282" si="11">if(L245&lt;&gt;"-",L245,if(AND(L245="-",J245&lt;&gt;"-"),J245,if(AND(J245="-",H245&lt;&gt;"-"),H245,"NA")))</f>
        <v>Ban giám đốc khối Giải pháp bán lẻ</v>
      </c>
      <c r="S245" s="274" t="s">
        <v>10919</v>
      </c>
      <c r="T245" s="183"/>
      <c r="U245" s="183"/>
      <c r="V245" s="183"/>
      <c r="W245" s="183"/>
      <c r="X245" s="183"/>
      <c r="Y245" s="184" t="s">
        <v>10894</v>
      </c>
      <c r="Z245" s="275" t="s">
        <v>10920</v>
      </c>
      <c r="AA245" s="276"/>
      <c r="AB245" s="277"/>
      <c r="AC245" s="277"/>
      <c r="AD245" s="277"/>
    </row>
    <row r="246" ht="15.75" hidden="1" customHeight="1" outlineLevel="1">
      <c r="A246" s="278" t="s">
        <v>10833</v>
      </c>
      <c r="B246" s="279" t="s">
        <v>77</v>
      </c>
      <c r="C246" s="279" t="s">
        <v>33</v>
      </c>
      <c r="D246" s="280" t="s">
        <v>89</v>
      </c>
      <c r="E246" s="281" t="s">
        <v>29</v>
      </c>
      <c r="F246" s="280" t="s">
        <v>90</v>
      </c>
      <c r="G246" s="280" t="s">
        <v>33</v>
      </c>
      <c r="H246" s="282" t="s">
        <v>10921</v>
      </c>
      <c r="I246" s="283" t="s">
        <v>27</v>
      </c>
      <c r="J246" s="284" t="s">
        <v>4</v>
      </c>
      <c r="K246" s="280" t="s">
        <v>27</v>
      </c>
      <c r="L246" s="285" t="s">
        <v>4</v>
      </c>
      <c r="M246" s="280" t="s">
        <v>27</v>
      </c>
      <c r="N246" s="286"/>
      <c r="O246" s="287" t="str">
        <f t="shared" si="4"/>
        <v>L2.02.01.02.00.00</v>
      </c>
      <c r="P246" s="287" t="str">
        <f t="shared" si="10"/>
        <v>L2.02.01.02.00.00.00</v>
      </c>
      <c r="Q246" s="288" t="s">
        <v>10530</v>
      </c>
      <c r="R246" s="289" t="str">
        <f t="shared" si="11"/>
        <v>Khối KD bán mới Giải pháp bán lẻ</v>
      </c>
      <c r="S246" s="290" t="s">
        <v>10919</v>
      </c>
      <c r="T246" s="291"/>
      <c r="U246" s="292"/>
      <c r="V246" s="292"/>
      <c r="W246" s="292"/>
      <c r="X246" s="292"/>
      <c r="Y246" s="292"/>
      <c r="Z246" s="293"/>
      <c r="AA246" s="294" t="s">
        <v>10530</v>
      </c>
      <c r="AB246" s="295"/>
      <c r="AC246" s="295"/>
      <c r="AD246" s="296"/>
    </row>
    <row r="247" ht="15.75" hidden="1" customHeight="1" outlineLevel="1">
      <c r="A247" s="261" t="s">
        <v>10833</v>
      </c>
      <c r="B247" s="231" t="s">
        <v>77</v>
      </c>
      <c r="C247" s="231" t="s">
        <v>33</v>
      </c>
      <c r="D247" s="157" t="s">
        <v>89</v>
      </c>
      <c r="E247" s="297" t="s">
        <v>29</v>
      </c>
      <c r="F247" s="157" t="s">
        <v>90</v>
      </c>
      <c r="G247" s="157" t="s">
        <v>33</v>
      </c>
      <c r="H247" s="298" t="s">
        <v>10922</v>
      </c>
      <c r="I247" s="168" t="s">
        <v>27</v>
      </c>
      <c r="J247" s="258" t="s">
        <v>4</v>
      </c>
      <c r="K247" s="157" t="s">
        <v>27</v>
      </c>
      <c r="L247" s="156" t="s">
        <v>4</v>
      </c>
      <c r="M247" s="157" t="s">
        <v>29</v>
      </c>
      <c r="N247" s="167" t="s">
        <v>10498</v>
      </c>
      <c r="O247" s="55" t="str">
        <f t="shared" si="4"/>
        <v>L2.02.01.02.00.00</v>
      </c>
      <c r="P247" s="257" t="str">
        <f t="shared" si="10"/>
        <v>L2.02.01.02.00.00.01</v>
      </c>
      <c r="Q247" s="161" t="s">
        <v>10530</v>
      </c>
      <c r="R247" s="299" t="str">
        <f t="shared" si="11"/>
        <v>Trung tâm KD Giải pháp bán lẻ - Hà Nội</v>
      </c>
      <c r="S247" s="274" t="s">
        <v>10923</v>
      </c>
      <c r="T247" s="264" t="s">
        <v>10924</v>
      </c>
      <c r="U247" s="265" t="s">
        <v>346</v>
      </c>
      <c r="V247" s="265" t="s">
        <v>93</v>
      </c>
      <c r="W247" s="265" t="s">
        <v>94</v>
      </c>
      <c r="X247" s="265"/>
      <c r="Y247" s="265"/>
      <c r="Z247" s="225" t="s">
        <v>10925</v>
      </c>
      <c r="AA247" s="300" t="s">
        <v>10530</v>
      </c>
      <c r="AB247" s="267"/>
      <c r="AC247" s="267"/>
      <c r="AD247" s="267"/>
    </row>
    <row r="248" ht="15.75" hidden="1" customHeight="1" outlineLevel="1">
      <c r="A248" s="261" t="s">
        <v>10833</v>
      </c>
      <c r="B248" s="231" t="s">
        <v>77</v>
      </c>
      <c r="C248" s="231" t="s">
        <v>33</v>
      </c>
      <c r="D248" s="157" t="s">
        <v>89</v>
      </c>
      <c r="E248" s="297" t="s">
        <v>29</v>
      </c>
      <c r="F248" s="157" t="s">
        <v>90</v>
      </c>
      <c r="G248" s="157" t="s">
        <v>33</v>
      </c>
      <c r="H248" s="298" t="s">
        <v>10922</v>
      </c>
      <c r="I248" s="157" t="s">
        <v>29</v>
      </c>
      <c r="J248" s="301" t="s">
        <v>10926</v>
      </c>
      <c r="K248" s="157" t="s">
        <v>27</v>
      </c>
      <c r="L248" s="156" t="s">
        <v>4</v>
      </c>
      <c r="M248" s="157" t="s">
        <v>29</v>
      </c>
      <c r="N248" s="167" t="s">
        <v>10498</v>
      </c>
      <c r="O248" s="55" t="str">
        <f t="shared" si="4"/>
        <v>L2.02.01.02.01.00</v>
      </c>
      <c r="P248" s="257" t="str">
        <f t="shared" si="10"/>
        <v>L2.02.01.02.01.00.01</v>
      </c>
      <c r="Q248" s="161" t="s">
        <v>10530</v>
      </c>
      <c r="R248" s="299" t="str">
        <f t="shared" si="11"/>
        <v>Ban giám đốc TTKD Giải pháp bán lẻ</v>
      </c>
      <c r="S248" s="269" t="s">
        <v>10927</v>
      </c>
      <c r="T248" s="265" t="s">
        <v>1626</v>
      </c>
      <c r="U248" s="265" t="s">
        <v>346</v>
      </c>
      <c r="V248" s="265" t="s">
        <v>93</v>
      </c>
      <c r="W248" s="265" t="s">
        <v>94</v>
      </c>
      <c r="X248" s="265"/>
      <c r="Y248" s="265"/>
      <c r="Z248" s="225" t="s">
        <v>10928</v>
      </c>
      <c r="AA248" s="300" t="s">
        <v>10530</v>
      </c>
      <c r="AB248" s="267"/>
      <c r="AC248" s="267"/>
      <c r="AD248" s="267"/>
    </row>
    <row r="249" ht="15.75" hidden="1" customHeight="1" outlineLevel="1">
      <c r="A249" s="261" t="s">
        <v>10833</v>
      </c>
      <c r="B249" s="231" t="s">
        <v>77</v>
      </c>
      <c r="C249" s="231" t="s">
        <v>33</v>
      </c>
      <c r="D249" s="157" t="s">
        <v>89</v>
      </c>
      <c r="E249" s="297" t="s">
        <v>29</v>
      </c>
      <c r="F249" s="157" t="s">
        <v>90</v>
      </c>
      <c r="G249" s="157" t="s">
        <v>33</v>
      </c>
      <c r="H249" s="298" t="s">
        <v>10922</v>
      </c>
      <c r="I249" s="157" t="s">
        <v>33</v>
      </c>
      <c r="J249" s="301" t="s">
        <v>10929</v>
      </c>
      <c r="K249" s="157" t="s">
        <v>27</v>
      </c>
      <c r="L249" s="156" t="s">
        <v>4</v>
      </c>
      <c r="M249" s="157" t="s">
        <v>29</v>
      </c>
      <c r="N249" s="167" t="s">
        <v>10498</v>
      </c>
      <c r="O249" s="55" t="str">
        <f t="shared" si="4"/>
        <v>L2.02.01.02.02.00</v>
      </c>
      <c r="P249" s="257" t="str">
        <f t="shared" si="10"/>
        <v>L2.02.01.02.02.00.01</v>
      </c>
      <c r="Q249" s="161" t="s">
        <v>10530</v>
      </c>
      <c r="R249" s="299" t="str">
        <f t="shared" si="11"/>
        <v>Phòng KD bán mới MISA CUKCUK</v>
      </c>
      <c r="S249" s="269" t="s">
        <v>10927</v>
      </c>
      <c r="T249" s="31" t="s">
        <v>10930</v>
      </c>
      <c r="U249" s="265" t="s">
        <v>346</v>
      </c>
      <c r="V249" s="265" t="s">
        <v>93</v>
      </c>
      <c r="W249" s="302" t="s">
        <v>903</v>
      </c>
      <c r="X249" s="265"/>
      <c r="Y249" s="265"/>
      <c r="Z249" s="225" t="s">
        <v>10931</v>
      </c>
      <c r="AA249" s="300" t="s">
        <v>10530</v>
      </c>
      <c r="AB249" s="267"/>
      <c r="AC249" s="267"/>
      <c r="AD249" s="267"/>
    </row>
    <row r="250" ht="15.75" hidden="1" customHeight="1" outlineLevel="1">
      <c r="A250" s="261" t="s">
        <v>10833</v>
      </c>
      <c r="B250" s="231" t="s">
        <v>77</v>
      </c>
      <c r="C250" s="231" t="s">
        <v>33</v>
      </c>
      <c r="D250" s="157" t="s">
        <v>89</v>
      </c>
      <c r="E250" s="297" t="s">
        <v>29</v>
      </c>
      <c r="F250" s="157" t="s">
        <v>90</v>
      </c>
      <c r="G250" s="157" t="s">
        <v>33</v>
      </c>
      <c r="H250" s="298" t="s">
        <v>10922</v>
      </c>
      <c r="I250" s="157" t="s">
        <v>33</v>
      </c>
      <c r="J250" s="301" t="s">
        <v>10929</v>
      </c>
      <c r="K250" s="157" t="s">
        <v>29</v>
      </c>
      <c r="L250" s="265" t="s">
        <v>902</v>
      </c>
      <c r="M250" s="157" t="s">
        <v>29</v>
      </c>
      <c r="N250" s="167" t="s">
        <v>10498</v>
      </c>
      <c r="O250" s="55" t="str">
        <f t="shared" si="4"/>
        <v>L2.02.01.02.02.01</v>
      </c>
      <c r="P250" s="257" t="str">
        <f t="shared" si="10"/>
        <v>L2.02.01.02.02.01.01</v>
      </c>
      <c r="Q250" s="161" t="s">
        <v>10530</v>
      </c>
      <c r="R250" s="299" t="str">
        <f t="shared" si="11"/>
        <v>Phòng KD bán mới CUKCUK 1</v>
      </c>
      <c r="S250" s="269" t="s">
        <v>10932</v>
      </c>
      <c r="T250" s="265" t="s">
        <v>904</v>
      </c>
      <c r="U250" s="265" t="s">
        <v>346</v>
      </c>
      <c r="V250" s="265" t="s">
        <v>93</v>
      </c>
      <c r="W250" s="265" t="s">
        <v>903</v>
      </c>
      <c r="X250" s="265" t="s">
        <v>902</v>
      </c>
      <c r="Y250" s="265"/>
      <c r="Z250" s="225" t="s">
        <v>10933</v>
      </c>
      <c r="AA250" s="300" t="s">
        <v>10530</v>
      </c>
      <c r="AB250" s="267"/>
      <c r="AC250" s="267"/>
      <c r="AD250" s="267"/>
    </row>
    <row r="251" ht="15.75" hidden="1" customHeight="1" outlineLevel="1">
      <c r="A251" s="261" t="s">
        <v>10833</v>
      </c>
      <c r="B251" s="231" t="s">
        <v>77</v>
      </c>
      <c r="C251" s="231" t="s">
        <v>33</v>
      </c>
      <c r="D251" s="157" t="s">
        <v>89</v>
      </c>
      <c r="E251" s="297" t="s">
        <v>29</v>
      </c>
      <c r="F251" s="157" t="s">
        <v>90</v>
      </c>
      <c r="G251" s="157" t="s">
        <v>33</v>
      </c>
      <c r="H251" s="298" t="s">
        <v>10922</v>
      </c>
      <c r="I251" s="157" t="s">
        <v>33</v>
      </c>
      <c r="J251" s="301" t="s">
        <v>10929</v>
      </c>
      <c r="K251" s="157" t="s">
        <v>33</v>
      </c>
      <c r="L251" s="265" t="s">
        <v>914</v>
      </c>
      <c r="M251" s="157" t="s">
        <v>29</v>
      </c>
      <c r="N251" s="167" t="s">
        <v>10498</v>
      </c>
      <c r="O251" s="55" t="str">
        <f t="shared" si="4"/>
        <v>L2.02.01.02.02.02</v>
      </c>
      <c r="P251" s="257" t="str">
        <f t="shared" si="10"/>
        <v>L2.02.01.02.02.02.01</v>
      </c>
      <c r="Q251" s="161" t="s">
        <v>10530</v>
      </c>
      <c r="R251" s="299" t="str">
        <f t="shared" si="11"/>
        <v>Phòng KD bán mới CUKCUK 3</v>
      </c>
      <c r="S251" s="269" t="s">
        <v>10932</v>
      </c>
      <c r="T251" s="265" t="s">
        <v>915</v>
      </c>
      <c r="U251" s="265" t="s">
        <v>346</v>
      </c>
      <c r="V251" s="265" t="s">
        <v>93</v>
      </c>
      <c r="W251" s="265" t="s">
        <v>903</v>
      </c>
      <c r="X251" s="265" t="s">
        <v>914</v>
      </c>
      <c r="Y251" s="265"/>
      <c r="Z251" s="225" t="s">
        <v>10934</v>
      </c>
      <c r="AA251" s="300" t="s">
        <v>10530</v>
      </c>
      <c r="AB251" s="267"/>
      <c r="AC251" s="267"/>
      <c r="AD251" s="267"/>
    </row>
    <row r="252" ht="15.75" hidden="1" customHeight="1" outlineLevel="1">
      <c r="A252" s="261" t="s">
        <v>10833</v>
      </c>
      <c r="B252" s="231" t="s">
        <v>77</v>
      </c>
      <c r="C252" s="231" t="s">
        <v>33</v>
      </c>
      <c r="D252" s="157" t="s">
        <v>89</v>
      </c>
      <c r="E252" s="297" t="s">
        <v>29</v>
      </c>
      <c r="F252" s="157" t="s">
        <v>90</v>
      </c>
      <c r="G252" s="157" t="s">
        <v>33</v>
      </c>
      <c r="H252" s="298" t="s">
        <v>10922</v>
      </c>
      <c r="I252" s="157" t="s">
        <v>35</v>
      </c>
      <c r="J252" s="301" t="s">
        <v>10935</v>
      </c>
      <c r="K252" s="157" t="s">
        <v>27</v>
      </c>
      <c r="L252" s="156" t="s">
        <v>4</v>
      </c>
      <c r="M252" s="157" t="s">
        <v>29</v>
      </c>
      <c r="N252" s="167" t="s">
        <v>10498</v>
      </c>
      <c r="O252" s="55" t="str">
        <f t="shared" si="4"/>
        <v>L2.02.01.02.03.00</v>
      </c>
      <c r="P252" s="257" t="str">
        <f t="shared" si="10"/>
        <v>L2.02.01.02.03.00.01</v>
      </c>
      <c r="Q252" s="161" t="s">
        <v>10530</v>
      </c>
      <c r="R252" s="299" t="str">
        <f t="shared" si="11"/>
        <v>Phòng KD bán mới MISA ESHOP</v>
      </c>
      <c r="S252" s="269" t="s">
        <v>10927</v>
      </c>
      <c r="T252" s="31" t="s">
        <v>10936</v>
      </c>
      <c r="U252" s="265" t="s">
        <v>346</v>
      </c>
      <c r="V252" s="265" t="s">
        <v>93</v>
      </c>
      <c r="W252" s="302" t="s">
        <v>366</v>
      </c>
      <c r="X252" s="265"/>
      <c r="Y252" s="265"/>
      <c r="Z252" s="225" t="s">
        <v>10937</v>
      </c>
      <c r="AA252" s="300" t="s">
        <v>10530</v>
      </c>
      <c r="AB252" s="267"/>
      <c r="AC252" s="267"/>
      <c r="AD252" s="267"/>
    </row>
    <row r="253" ht="15.75" hidden="1" customHeight="1" outlineLevel="1">
      <c r="A253" s="261" t="s">
        <v>10833</v>
      </c>
      <c r="B253" s="231" t="s">
        <v>77</v>
      </c>
      <c r="C253" s="231" t="s">
        <v>33</v>
      </c>
      <c r="D253" s="157" t="s">
        <v>89</v>
      </c>
      <c r="E253" s="297" t="s">
        <v>29</v>
      </c>
      <c r="F253" s="157" t="s">
        <v>90</v>
      </c>
      <c r="G253" s="157" t="s">
        <v>33</v>
      </c>
      <c r="H253" s="298" t="s">
        <v>10922</v>
      </c>
      <c r="I253" s="157" t="s">
        <v>35</v>
      </c>
      <c r="J253" s="301" t="s">
        <v>10935</v>
      </c>
      <c r="K253" s="157" t="s">
        <v>29</v>
      </c>
      <c r="L253" s="301" t="s">
        <v>10938</v>
      </c>
      <c r="M253" s="157" t="s">
        <v>29</v>
      </c>
      <c r="N253" s="167" t="s">
        <v>10498</v>
      </c>
      <c r="O253" s="55" t="str">
        <f t="shared" si="4"/>
        <v>L2.02.01.02.03.01</v>
      </c>
      <c r="P253" s="257" t="str">
        <f t="shared" si="10"/>
        <v>L2.02.01.02.03.01.01</v>
      </c>
      <c r="Q253" s="161" t="s">
        <v>10530</v>
      </c>
      <c r="R253" s="299" t="str">
        <f t="shared" si="11"/>
        <v>Phòng KD bán mới MISA ESHOP 01</v>
      </c>
      <c r="S253" s="269" t="s">
        <v>10939</v>
      </c>
      <c r="T253" s="265" t="s">
        <v>367</v>
      </c>
      <c r="U253" s="265" t="s">
        <v>346</v>
      </c>
      <c r="V253" s="265" t="s">
        <v>93</v>
      </c>
      <c r="W253" s="265" t="s">
        <v>366</v>
      </c>
      <c r="X253" s="265" t="s">
        <v>365</v>
      </c>
      <c r="Y253" s="265"/>
      <c r="Z253" s="225" t="s">
        <v>10940</v>
      </c>
      <c r="AA253" s="300" t="s">
        <v>10530</v>
      </c>
      <c r="AB253" s="267"/>
      <c r="AC253" s="267"/>
      <c r="AD253" s="267"/>
    </row>
    <row r="254" ht="15.75" hidden="1" customHeight="1" outlineLevel="1">
      <c r="A254" s="261" t="s">
        <v>10833</v>
      </c>
      <c r="B254" s="231" t="s">
        <v>77</v>
      </c>
      <c r="C254" s="231" t="s">
        <v>33</v>
      </c>
      <c r="D254" s="157" t="s">
        <v>89</v>
      </c>
      <c r="E254" s="297" t="s">
        <v>29</v>
      </c>
      <c r="F254" s="157" t="s">
        <v>90</v>
      </c>
      <c r="G254" s="157" t="s">
        <v>33</v>
      </c>
      <c r="H254" s="298" t="s">
        <v>10922</v>
      </c>
      <c r="I254" s="157" t="s">
        <v>35</v>
      </c>
      <c r="J254" s="301" t="s">
        <v>10935</v>
      </c>
      <c r="K254" s="157" t="s">
        <v>33</v>
      </c>
      <c r="L254" s="301" t="s">
        <v>10941</v>
      </c>
      <c r="M254" s="157" t="s">
        <v>29</v>
      </c>
      <c r="N254" s="167" t="s">
        <v>10498</v>
      </c>
      <c r="O254" s="55" t="str">
        <f t="shared" si="4"/>
        <v>L2.02.01.02.03.02</v>
      </c>
      <c r="P254" s="257" t="str">
        <f t="shared" si="10"/>
        <v>L2.02.01.02.03.02.01</v>
      </c>
      <c r="Q254" s="161" t="s">
        <v>10530</v>
      </c>
      <c r="R254" s="299" t="str">
        <f t="shared" si="11"/>
        <v>Phòng KD bán mới MISA ESHOP 02</v>
      </c>
      <c r="S254" s="269" t="s">
        <v>10939</v>
      </c>
      <c r="T254" s="265" t="s">
        <v>973</v>
      </c>
      <c r="U254" s="265" t="s">
        <v>346</v>
      </c>
      <c r="V254" s="265" t="s">
        <v>93</v>
      </c>
      <c r="W254" s="265" t="s">
        <v>366</v>
      </c>
      <c r="X254" s="265" t="s">
        <v>972</v>
      </c>
      <c r="Y254" s="265"/>
      <c r="Z254" s="225" t="s">
        <v>10942</v>
      </c>
      <c r="AA254" s="300" t="s">
        <v>10530</v>
      </c>
      <c r="AB254" s="267"/>
      <c r="AC254" s="267"/>
      <c r="AD254" s="267"/>
    </row>
    <row r="255" ht="15.75" hidden="1" customHeight="1" outlineLevel="1">
      <c r="A255" s="228" t="s">
        <v>10833</v>
      </c>
      <c r="B255" s="270" t="s">
        <v>77</v>
      </c>
      <c r="C255" s="270" t="s">
        <v>33</v>
      </c>
      <c r="D255" s="209" t="s">
        <v>89</v>
      </c>
      <c r="E255" s="271" t="s">
        <v>29</v>
      </c>
      <c r="F255" s="209" t="s">
        <v>90</v>
      </c>
      <c r="G255" s="209" t="s">
        <v>33</v>
      </c>
      <c r="H255" s="212" t="s">
        <v>10922</v>
      </c>
      <c r="I255" s="209" t="s">
        <v>37</v>
      </c>
      <c r="J255" s="303" t="s">
        <v>101</v>
      </c>
      <c r="K255" s="209" t="s">
        <v>27</v>
      </c>
      <c r="L255" s="210" t="s">
        <v>4</v>
      </c>
      <c r="M255" s="209" t="s">
        <v>29</v>
      </c>
      <c r="N255" s="181" t="s">
        <v>10498</v>
      </c>
      <c r="O255" s="58" t="str">
        <f t="shared" si="4"/>
        <v>L2.02.01.02.04.00</v>
      </c>
      <c r="P255" s="272" t="str">
        <f t="shared" si="10"/>
        <v>L2.02.01.02.04.00.01</v>
      </c>
      <c r="Q255" s="185" t="s">
        <v>10530</v>
      </c>
      <c r="R255" s="273" t="str">
        <f t="shared" si="11"/>
        <v>Phòng chuyển giao</v>
      </c>
      <c r="S255" s="274" t="s">
        <v>10927</v>
      </c>
      <c r="T255" s="183" t="s">
        <v>958</v>
      </c>
      <c r="U255" s="183" t="s">
        <v>346</v>
      </c>
      <c r="V255" s="183" t="s">
        <v>93</v>
      </c>
      <c r="W255" s="183" t="s">
        <v>153</v>
      </c>
      <c r="X255" s="183"/>
      <c r="Y255" s="183"/>
      <c r="Z255" s="275" t="s">
        <v>10943</v>
      </c>
      <c r="AA255" s="304" t="s">
        <v>10530</v>
      </c>
      <c r="AB255" s="277"/>
      <c r="AC255" s="277"/>
      <c r="AD255" s="277"/>
    </row>
    <row r="256" ht="15.75" hidden="1" customHeight="1" outlineLevel="1">
      <c r="A256" s="261" t="s">
        <v>10833</v>
      </c>
      <c r="B256" s="231" t="s">
        <v>77</v>
      </c>
      <c r="C256" s="231" t="s">
        <v>33</v>
      </c>
      <c r="D256" s="157" t="s">
        <v>89</v>
      </c>
      <c r="E256" s="297" t="s">
        <v>29</v>
      </c>
      <c r="F256" s="157" t="s">
        <v>90</v>
      </c>
      <c r="G256" s="157" t="s">
        <v>33</v>
      </c>
      <c r="H256" s="212" t="s">
        <v>10944</v>
      </c>
      <c r="I256" s="168" t="s">
        <v>27</v>
      </c>
      <c r="J256" s="258" t="s">
        <v>4</v>
      </c>
      <c r="K256" s="157" t="s">
        <v>27</v>
      </c>
      <c r="L256" s="156" t="s">
        <v>4</v>
      </c>
      <c r="M256" s="157" t="s">
        <v>33</v>
      </c>
      <c r="N256" s="167" t="s">
        <v>10499</v>
      </c>
      <c r="O256" s="55" t="str">
        <f t="shared" si="4"/>
        <v>L2.02.01.02.00.00</v>
      </c>
      <c r="P256" s="257" t="str">
        <f t="shared" si="10"/>
        <v>L2.02.01.02.00.00.02</v>
      </c>
      <c r="Q256" s="161" t="s">
        <v>10530</v>
      </c>
      <c r="R256" s="273" t="str">
        <f t="shared" si="11"/>
        <v>Trung tâm KD Giải pháp bán lẻ - Hồ Chí Minh</v>
      </c>
      <c r="S256" s="274" t="s">
        <v>10923</v>
      </c>
      <c r="T256" s="264" t="s">
        <v>10945</v>
      </c>
      <c r="U256" s="265" t="s">
        <v>262</v>
      </c>
      <c r="V256" s="265" t="s">
        <v>93</v>
      </c>
      <c r="W256" s="265"/>
      <c r="X256" s="265"/>
      <c r="Y256" s="265"/>
      <c r="Z256" s="225" t="s">
        <v>10946</v>
      </c>
      <c r="AA256" s="300" t="s">
        <v>10530</v>
      </c>
      <c r="AB256" s="267"/>
      <c r="AC256" s="267"/>
      <c r="AD256" s="267"/>
    </row>
    <row r="257" ht="15.75" hidden="1" customHeight="1" outlineLevel="1">
      <c r="A257" s="261" t="s">
        <v>10833</v>
      </c>
      <c r="B257" s="231" t="s">
        <v>77</v>
      </c>
      <c r="C257" s="231" t="s">
        <v>33</v>
      </c>
      <c r="D257" s="157" t="s">
        <v>89</v>
      </c>
      <c r="E257" s="297" t="s">
        <v>29</v>
      </c>
      <c r="F257" s="157" t="s">
        <v>90</v>
      </c>
      <c r="G257" s="157" t="s">
        <v>33</v>
      </c>
      <c r="H257" s="212" t="s">
        <v>10944</v>
      </c>
      <c r="I257" s="157" t="s">
        <v>29</v>
      </c>
      <c r="J257" s="301" t="s">
        <v>10926</v>
      </c>
      <c r="K257" s="157" t="s">
        <v>27</v>
      </c>
      <c r="L257" s="156" t="s">
        <v>4</v>
      </c>
      <c r="M257" s="157" t="s">
        <v>33</v>
      </c>
      <c r="N257" s="167" t="s">
        <v>10499</v>
      </c>
      <c r="O257" s="55" t="str">
        <f t="shared" si="4"/>
        <v>L2.02.01.02.01.00</v>
      </c>
      <c r="P257" s="257" t="str">
        <f t="shared" si="10"/>
        <v>L2.02.01.02.01.00.02</v>
      </c>
      <c r="Q257" s="161" t="s">
        <v>10530</v>
      </c>
      <c r="R257" s="299" t="str">
        <f t="shared" si="11"/>
        <v>Ban giám đốc TTKD Giải pháp bán lẻ</v>
      </c>
      <c r="S257" s="269" t="s">
        <v>10947</v>
      </c>
      <c r="T257" s="265" t="s">
        <v>7245</v>
      </c>
      <c r="U257" s="265" t="s">
        <v>262</v>
      </c>
      <c r="V257" s="265" t="s">
        <v>93</v>
      </c>
      <c r="W257" s="265" t="s">
        <v>7230</v>
      </c>
      <c r="X257" s="265"/>
      <c r="Y257" s="265"/>
      <c r="Z257" s="225" t="s">
        <v>10948</v>
      </c>
      <c r="AA257" s="300" t="s">
        <v>10530</v>
      </c>
      <c r="AB257" s="267"/>
      <c r="AC257" s="267"/>
      <c r="AD257" s="267"/>
    </row>
    <row r="258" ht="15.75" hidden="1" customHeight="1" outlineLevel="1">
      <c r="A258" s="261" t="s">
        <v>10833</v>
      </c>
      <c r="B258" s="231" t="s">
        <v>77</v>
      </c>
      <c r="C258" s="231" t="s">
        <v>33</v>
      </c>
      <c r="D258" s="157" t="s">
        <v>89</v>
      </c>
      <c r="E258" s="297" t="s">
        <v>29</v>
      </c>
      <c r="F258" s="157" t="s">
        <v>90</v>
      </c>
      <c r="G258" s="157" t="s">
        <v>33</v>
      </c>
      <c r="H258" s="212" t="s">
        <v>10944</v>
      </c>
      <c r="I258" s="157" t="s">
        <v>33</v>
      </c>
      <c r="J258" s="301" t="s">
        <v>10929</v>
      </c>
      <c r="K258" s="157" t="s">
        <v>27</v>
      </c>
      <c r="L258" s="156" t="s">
        <v>4</v>
      </c>
      <c r="M258" s="157" t="s">
        <v>33</v>
      </c>
      <c r="N258" s="167" t="s">
        <v>10499</v>
      </c>
      <c r="O258" s="55" t="str">
        <f t="shared" si="4"/>
        <v>L2.02.01.02.02.00</v>
      </c>
      <c r="P258" s="257" t="str">
        <f t="shared" si="10"/>
        <v>L2.02.01.02.02.00.02</v>
      </c>
      <c r="Q258" s="161" t="s">
        <v>10530</v>
      </c>
      <c r="R258" s="299" t="str">
        <f t="shared" si="11"/>
        <v>Phòng KD bán mới MISA CUKCUK</v>
      </c>
      <c r="S258" s="269" t="s">
        <v>10947</v>
      </c>
      <c r="T258" s="31" t="s">
        <v>10949</v>
      </c>
      <c r="U258" s="265" t="s">
        <v>262</v>
      </c>
      <c r="V258" s="265" t="s">
        <v>93</v>
      </c>
      <c r="W258" s="302" t="s">
        <v>1918</v>
      </c>
      <c r="X258" s="265"/>
      <c r="Y258" s="265"/>
      <c r="Z258" s="225" t="s">
        <v>10950</v>
      </c>
      <c r="AA258" s="300" t="s">
        <v>10530</v>
      </c>
      <c r="AB258" s="267"/>
      <c r="AC258" s="267"/>
      <c r="AD258" s="267"/>
    </row>
    <row r="259" ht="15.75" hidden="1" customHeight="1" outlineLevel="1">
      <c r="A259" s="261" t="s">
        <v>10833</v>
      </c>
      <c r="B259" s="231" t="s">
        <v>77</v>
      </c>
      <c r="C259" s="231" t="s">
        <v>33</v>
      </c>
      <c r="D259" s="157" t="s">
        <v>89</v>
      </c>
      <c r="E259" s="297" t="s">
        <v>29</v>
      </c>
      <c r="F259" s="157" t="s">
        <v>90</v>
      </c>
      <c r="G259" s="157" t="s">
        <v>33</v>
      </c>
      <c r="H259" s="212" t="s">
        <v>10944</v>
      </c>
      <c r="I259" s="157" t="s">
        <v>33</v>
      </c>
      <c r="J259" s="301" t="s">
        <v>10929</v>
      </c>
      <c r="K259" s="157" t="s">
        <v>29</v>
      </c>
      <c r="L259" s="301" t="s">
        <v>10951</v>
      </c>
      <c r="M259" s="157" t="s">
        <v>33</v>
      </c>
      <c r="N259" s="167" t="s">
        <v>10499</v>
      </c>
      <c r="O259" s="55" t="str">
        <f t="shared" si="4"/>
        <v>L2.02.01.02.02.01</v>
      </c>
      <c r="P259" s="257" t="str">
        <f t="shared" si="10"/>
        <v>L2.02.01.02.02.01.02</v>
      </c>
      <c r="Q259" s="161" t="s">
        <v>10530</v>
      </c>
      <c r="R259" s="299" t="str">
        <f t="shared" si="11"/>
        <v>Phòng KD bán mới MISA CUKCUK 01</v>
      </c>
      <c r="S259" s="269" t="s">
        <v>10952</v>
      </c>
      <c r="T259" s="265" t="s">
        <v>2005</v>
      </c>
      <c r="U259" s="265" t="s">
        <v>262</v>
      </c>
      <c r="V259" s="265" t="s">
        <v>93</v>
      </c>
      <c r="W259" s="265" t="s">
        <v>1918</v>
      </c>
      <c r="X259" s="265" t="s">
        <v>902</v>
      </c>
      <c r="Y259" s="265"/>
      <c r="Z259" s="225" t="s">
        <v>10953</v>
      </c>
      <c r="AA259" s="300" t="s">
        <v>10530</v>
      </c>
      <c r="AB259" s="267"/>
      <c r="AC259" s="267"/>
      <c r="AD259" s="267"/>
    </row>
    <row r="260" ht="15.75" hidden="1" customHeight="1" outlineLevel="1">
      <c r="A260" s="261" t="s">
        <v>10833</v>
      </c>
      <c r="B260" s="231" t="s">
        <v>77</v>
      </c>
      <c r="C260" s="231" t="s">
        <v>33</v>
      </c>
      <c r="D260" s="157" t="s">
        <v>89</v>
      </c>
      <c r="E260" s="297" t="s">
        <v>29</v>
      </c>
      <c r="F260" s="157" t="s">
        <v>90</v>
      </c>
      <c r="G260" s="157" t="s">
        <v>33</v>
      </c>
      <c r="H260" s="212" t="s">
        <v>10944</v>
      </c>
      <c r="I260" s="157" t="s">
        <v>33</v>
      </c>
      <c r="J260" s="301" t="s">
        <v>10929</v>
      </c>
      <c r="K260" s="157" t="s">
        <v>33</v>
      </c>
      <c r="L260" s="301" t="s">
        <v>10954</v>
      </c>
      <c r="M260" s="157" t="s">
        <v>33</v>
      </c>
      <c r="N260" s="167" t="s">
        <v>10499</v>
      </c>
      <c r="O260" s="55" t="str">
        <f t="shared" si="4"/>
        <v>L2.02.01.02.02.02</v>
      </c>
      <c r="P260" s="257" t="str">
        <f t="shared" si="10"/>
        <v>L2.02.01.02.02.02.02</v>
      </c>
      <c r="Q260" s="161" t="s">
        <v>10530</v>
      </c>
      <c r="R260" s="299" t="str">
        <f t="shared" si="11"/>
        <v>Phòng KD bán mới MISA CUKCUK 02</v>
      </c>
      <c r="S260" s="269" t="s">
        <v>10952</v>
      </c>
      <c r="T260" s="265" t="s">
        <v>1992</v>
      </c>
      <c r="U260" s="265" t="s">
        <v>262</v>
      </c>
      <c r="V260" s="265" t="s">
        <v>93</v>
      </c>
      <c r="W260" s="265" t="s">
        <v>1918</v>
      </c>
      <c r="X260" s="265" t="s">
        <v>1991</v>
      </c>
      <c r="Y260" s="265"/>
      <c r="Z260" s="225" t="s">
        <v>10955</v>
      </c>
      <c r="AA260" s="300" t="s">
        <v>10530</v>
      </c>
      <c r="AB260" s="267"/>
      <c r="AC260" s="267"/>
      <c r="AD260" s="267"/>
    </row>
    <row r="261" ht="15.75" hidden="1" customHeight="1" outlineLevel="1">
      <c r="A261" s="261" t="s">
        <v>10833</v>
      </c>
      <c r="B261" s="231" t="s">
        <v>77</v>
      </c>
      <c r="C261" s="231" t="s">
        <v>33</v>
      </c>
      <c r="D261" s="157" t="s">
        <v>89</v>
      </c>
      <c r="E261" s="297" t="s">
        <v>29</v>
      </c>
      <c r="F261" s="157" t="s">
        <v>90</v>
      </c>
      <c r="G261" s="157" t="s">
        <v>33</v>
      </c>
      <c r="H261" s="212" t="s">
        <v>10944</v>
      </c>
      <c r="I261" s="157" t="s">
        <v>33</v>
      </c>
      <c r="J261" s="301" t="s">
        <v>10929</v>
      </c>
      <c r="K261" s="168" t="s">
        <v>35</v>
      </c>
      <c r="L261" s="301" t="s">
        <v>10956</v>
      </c>
      <c r="M261" s="157" t="s">
        <v>33</v>
      </c>
      <c r="N261" s="167" t="s">
        <v>10499</v>
      </c>
      <c r="O261" s="55" t="str">
        <f t="shared" si="4"/>
        <v>L2.02.01.02.02.03</v>
      </c>
      <c r="P261" s="257" t="str">
        <f t="shared" si="10"/>
        <v>L2.02.01.02.02.03.02</v>
      </c>
      <c r="Q261" s="161" t="s">
        <v>10530</v>
      </c>
      <c r="R261" s="299" t="str">
        <f t="shared" si="11"/>
        <v>Phòng KD bán mới MISA CUKCUK 03</v>
      </c>
      <c r="S261" s="269" t="s">
        <v>10952</v>
      </c>
      <c r="T261" s="265" t="s">
        <v>1919</v>
      </c>
      <c r="U261" s="265" t="s">
        <v>262</v>
      </c>
      <c r="V261" s="265" t="s">
        <v>93</v>
      </c>
      <c r="W261" s="265" t="s">
        <v>1918</v>
      </c>
      <c r="X261" s="265" t="s">
        <v>914</v>
      </c>
      <c r="Y261" s="265"/>
      <c r="Z261" s="225" t="s">
        <v>10957</v>
      </c>
      <c r="AA261" s="300" t="s">
        <v>10530</v>
      </c>
      <c r="AB261" s="267"/>
      <c r="AC261" s="267"/>
      <c r="AD261" s="267"/>
    </row>
    <row r="262" ht="15.75" hidden="1" customHeight="1" outlineLevel="1">
      <c r="A262" s="261" t="s">
        <v>10833</v>
      </c>
      <c r="B262" s="231" t="s">
        <v>77</v>
      </c>
      <c r="C262" s="231" t="s">
        <v>33</v>
      </c>
      <c r="D262" s="157" t="s">
        <v>89</v>
      </c>
      <c r="E262" s="297" t="s">
        <v>29</v>
      </c>
      <c r="F262" s="157" t="s">
        <v>90</v>
      </c>
      <c r="G262" s="157" t="s">
        <v>33</v>
      </c>
      <c r="H262" s="212" t="s">
        <v>10944</v>
      </c>
      <c r="I262" s="157" t="s">
        <v>35</v>
      </c>
      <c r="J262" s="301" t="s">
        <v>10935</v>
      </c>
      <c r="K262" s="157" t="s">
        <v>27</v>
      </c>
      <c r="L262" s="156" t="s">
        <v>4</v>
      </c>
      <c r="M262" s="157" t="s">
        <v>33</v>
      </c>
      <c r="N262" s="167" t="s">
        <v>10499</v>
      </c>
      <c r="O262" s="55" t="str">
        <f t="shared" si="4"/>
        <v>L2.02.01.02.03.00</v>
      </c>
      <c r="P262" s="257" t="str">
        <f t="shared" si="10"/>
        <v>L2.02.01.02.03.00.02</v>
      </c>
      <c r="Q262" s="161" t="s">
        <v>10530</v>
      </c>
      <c r="R262" s="299" t="str">
        <f t="shared" si="11"/>
        <v>Phòng KD bán mới MISA ESHOP</v>
      </c>
      <c r="S262" s="269" t="s">
        <v>10947</v>
      </c>
      <c r="T262" s="31" t="s">
        <v>10958</v>
      </c>
      <c r="U262" s="265" t="s">
        <v>262</v>
      </c>
      <c r="V262" s="265" t="s">
        <v>93</v>
      </c>
      <c r="W262" s="302" t="s">
        <v>1912</v>
      </c>
      <c r="X262" s="265"/>
      <c r="Y262" s="265"/>
      <c r="Z262" s="225" t="s">
        <v>10959</v>
      </c>
      <c r="AA262" s="300" t="s">
        <v>10530</v>
      </c>
      <c r="AB262" s="267"/>
      <c r="AC262" s="267"/>
      <c r="AD262" s="267"/>
    </row>
    <row r="263" ht="15.75" hidden="1" customHeight="1" outlineLevel="1">
      <c r="A263" s="261" t="s">
        <v>10833</v>
      </c>
      <c r="B263" s="231" t="s">
        <v>77</v>
      </c>
      <c r="C263" s="231" t="s">
        <v>33</v>
      </c>
      <c r="D263" s="157" t="s">
        <v>89</v>
      </c>
      <c r="E263" s="297" t="s">
        <v>29</v>
      </c>
      <c r="F263" s="157" t="s">
        <v>90</v>
      </c>
      <c r="G263" s="157" t="s">
        <v>33</v>
      </c>
      <c r="H263" s="212" t="s">
        <v>10944</v>
      </c>
      <c r="I263" s="157" t="s">
        <v>35</v>
      </c>
      <c r="J263" s="301" t="s">
        <v>10935</v>
      </c>
      <c r="K263" s="157" t="s">
        <v>29</v>
      </c>
      <c r="L263" s="301" t="s">
        <v>10938</v>
      </c>
      <c r="M263" s="157" t="s">
        <v>33</v>
      </c>
      <c r="N263" s="167" t="s">
        <v>10499</v>
      </c>
      <c r="O263" s="55" t="str">
        <f t="shared" si="4"/>
        <v>L2.02.01.02.03.01</v>
      </c>
      <c r="P263" s="257" t="str">
        <f t="shared" si="10"/>
        <v>L2.02.01.02.03.01.02</v>
      </c>
      <c r="Q263" s="161" t="s">
        <v>10530</v>
      </c>
      <c r="R263" s="299" t="str">
        <f t="shared" si="11"/>
        <v>Phòng KD bán mới MISA ESHOP 01</v>
      </c>
      <c r="S263" s="269" t="s">
        <v>10960</v>
      </c>
      <c r="T263" s="265" t="s">
        <v>1913</v>
      </c>
      <c r="U263" s="265" t="s">
        <v>262</v>
      </c>
      <c r="V263" s="265" t="s">
        <v>93</v>
      </c>
      <c r="W263" s="265" t="s">
        <v>1912</v>
      </c>
      <c r="X263" s="265" t="s">
        <v>365</v>
      </c>
      <c r="Y263" s="265"/>
      <c r="Z263" s="225" t="s">
        <v>10961</v>
      </c>
      <c r="AA263" s="300" t="s">
        <v>10530</v>
      </c>
      <c r="AB263" s="267"/>
      <c r="AC263" s="267"/>
      <c r="AD263" s="267"/>
    </row>
    <row r="264" ht="15.75" hidden="1" customHeight="1" outlineLevel="1">
      <c r="A264" s="261" t="s">
        <v>10833</v>
      </c>
      <c r="B264" s="231" t="s">
        <v>77</v>
      </c>
      <c r="C264" s="231" t="s">
        <v>33</v>
      </c>
      <c r="D264" s="157" t="s">
        <v>89</v>
      </c>
      <c r="E264" s="297" t="s">
        <v>29</v>
      </c>
      <c r="F264" s="157" t="s">
        <v>90</v>
      </c>
      <c r="G264" s="157" t="s">
        <v>33</v>
      </c>
      <c r="H264" s="212" t="s">
        <v>10944</v>
      </c>
      <c r="I264" s="157" t="s">
        <v>37</v>
      </c>
      <c r="J264" s="303" t="s">
        <v>101</v>
      </c>
      <c r="K264" s="157" t="s">
        <v>27</v>
      </c>
      <c r="L264" s="156" t="s">
        <v>4</v>
      </c>
      <c r="M264" s="157" t="s">
        <v>33</v>
      </c>
      <c r="N264" s="167" t="s">
        <v>10499</v>
      </c>
      <c r="O264" s="55" t="str">
        <f t="shared" si="4"/>
        <v>L2.02.01.02.04.00</v>
      </c>
      <c r="P264" s="257" t="str">
        <f t="shared" si="10"/>
        <v>L2.02.01.02.04.00.02</v>
      </c>
      <c r="Q264" s="161" t="s">
        <v>10530</v>
      </c>
      <c r="R264" s="273" t="str">
        <f t="shared" si="11"/>
        <v>Phòng chuyển giao</v>
      </c>
      <c r="S264" s="269" t="s">
        <v>10947</v>
      </c>
      <c r="T264" s="265" t="s">
        <v>1850</v>
      </c>
      <c r="U264" s="265" t="s">
        <v>262</v>
      </c>
      <c r="V264" s="265" t="s">
        <v>93</v>
      </c>
      <c r="W264" s="265" t="s">
        <v>153</v>
      </c>
      <c r="X264" s="265"/>
      <c r="Y264" s="265"/>
      <c r="Z264" s="225" t="s">
        <v>10962</v>
      </c>
      <c r="AA264" s="300" t="s">
        <v>10530</v>
      </c>
      <c r="AB264" s="267"/>
      <c r="AC264" s="267"/>
      <c r="AD264" s="267"/>
    </row>
    <row r="265" ht="15.75" hidden="1" customHeight="1" outlineLevel="1">
      <c r="A265" s="261" t="s">
        <v>10833</v>
      </c>
      <c r="B265" s="231" t="s">
        <v>77</v>
      </c>
      <c r="C265" s="231" t="s">
        <v>33</v>
      </c>
      <c r="D265" s="157" t="s">
        <v>89</v>
      </c>
      <c r="E265" s="297" t="s">
        <v>29</v>
      </c>
      <c r="F265" s="157" t="s">
        <v>90</v>
      </c>
      <c r="G265" s="157" t="s">
        <v>33</v>
      </c>
      <c r="H265" s="298" t="s">
        <v>10963</v>
      </c>
      <c r="I265" s="157" t="s">
        <v>27</v>
      </c>
      <c r="J265" s="305" t="s">
        <v>4</v>
      </c>
      <c r="K265" s="157" t="s">
        <v>27</v>
      </c>
      <c r="L265" s="156" t="s">
        <v>4</v>
      </c>
      <c r="M265" s="157" t="s">
        <v>35</v>
      </c>
      <c r="N265" s="167" t="s">
        <v>10500</v>
      </c>
      <c r="O265" s="55" t="str">
        <f t="shared" si="4"/>
        <v>L2.02.01.02.00.00</v>
      </c>
      <c r="P265" s="257" t="str">
        <f t="shared" si="10"/>
        <v>L2.02.01.02.00.00.03</v>
      </c>
      <c r="Q265" s="161" t="s">
        <v>10530</v>
      </c>
      <c r="R265" s="299" t="str">
        <f t="shared" si="11"/>
        <v>Phòng KD Giải pháp bán lẻ - Đà Nẵng</v>
      </c>
      <c r="S265" s="274" t="s">
        <v>10923</v>
      </c>
      <c r="T265" s="265" t="s">
        <v>8625</v>
      </c>
      <c r="U265" s="265" t="s">
        <v>2811</v>
      </c>
      <c r="V265" s="265" t="s">
        <v>2909</v>
      </c>
      <c r="W265" s="265"/>
      <c r="X265" s="265"/>
      <c r="Y265" s="265"/>
      <c r="Z265" s="225" t="s">
        <v>10964</v>
      </c>
      <c r="AA265" s="300" t="s">
        <v>10530</v>
      </c>
      <c r="AB265" s="267"/>
      <c r="AC265" s="267"/>
      <c r="AD265" s="267"/>
    </row>
    <row r="266" ht="15.75" hidden="1" customHeight="1" outlineLevel="1">
      <c r="A266" s="261" t="s">
        <v>10833</v>
      </c>
      <c r="B266" s="231" t="s">
        <v>77</v>
      </c>
      <c r="C266" s="231" t="s">
        <v>33</v>
      </c>
      <c r="D266" s="157" t="s">
        <v>89</v>
      </c>
      <c r="E266" s="297" t="s">
        <v>29</v>
      </c>
      <c r="F266" s="157" t="s">
        <v>90</v>
      </c>
      <c r="G266" s="157" t="s">
        <v>33</v>
      </c>
      <c r="H266" s="298" t="s">
        <v>10963</v>
      </c>
      <c r="I266" s="168" t="s">
        <v>29</v>
      </c>
      <c r="J266" s="265" t="s">
        <v>2908</v>
      </c>
      <c r="K266" s="157" t="s">
        <v>27</v>
      </c>
      <c r="L266" s="156" t="s">
        <v>4</v>
      </c>
      <c r="M266" s="157" t="s">
        <v>35</v>
      </c>
      <c r="N266" s="167" t="s">
        <v>10500</v>
      </c>
      <c r="O266" s="55" t="str">
        <f t="shared" si="4"/>
        <v>L2.02.01.02.01.00</v>
      </c>
      <c r="P266" s="257" t="str">
        <f t="shared" si="10"/>
        <v>L2.02.01.02.01.00.03</v>
      </c>
      <c r="Q266" s="161" t="s">
        <v>10530</v>
      </c>
      <c r="R266" s="299" t="str">
        <f t="shared" si="11"/>
        <v>Nhóm KD CUKCUK &amp; ESHOP</v>
      </c>
      <c r="S266" s="269" t="s">
        <v>10965</v>
      </c>
      <c r="T266" s="265" t="s">
        <v>2910</v>
      </c>
      <c r="U266" s="265" t="s">
        <v>2811</v>
      </c>
      <c r="V266" s="265" t="s">
        <v>2909</v>
      </c>
      <c r="W266" s="265" t="s">
        <v>2908</v>
      </c>
      <c r="X266" s="265"/>
      <c r="Y266" s="265"/>
      <c r="Z266" s="225" t="s">
        <v>10966</v>
      </c>
      <c r="AA266" s="300" t="s">
        <v>10530</v>
      </c>
      <c r="AB266" s="267"/>
      <c r="AC266" s="267"/>
      <c r="AD266" s="267"/>
    </row>
    <row r="267" ht="15.75" hidden="1" customHeight="1" outlineLevel="1">
      <c r="A267" s="261" t="s">
        <v>10833</v>
      </c>
      <c r="B267" s="231" t="s">
        <v>77</v>
      </c>
      <c r="C267" s="231" t="s">
        <v>33</v>
      </c>
      <c r="D267" s="157" t="s">
        <v>89</v>
      </c>
      <c r="E267" s="297" t="s">
        <v>29</v>
      </c>
      <c r="F267" s="157" t="s">
        <v>90</v>
      </c>
      <c r="G267" s="157" t="s">
        <v>33</v>
      </c>
      <c r="H267" s="298" t="s">
        <v>10967</v>
      </c>
      <c r="I267" s="157" t="s">
        <v>27</v>
      </c>
      <c r="J267" s="156" t="s">
        <v>4</v>
      </c>
      <c r="K267" s="157" t="s">
        <v>27</v>
      </c>
      <c r="L267" s="156" t="s">
        <v>4</v>
      </c>
      <c r="M267" s="157" t="s">
        <v>37</v>
      </c>
      <c r="N267" s="298" t="s">
        <v>10900</v>
      </c>
      <c r="O267" s="55" t="str">
        <f t="shared" si="4"/>
        <v>L2.02.01.02.00.00</v>
      </c>
      <c r="P267" s="257" t="str">
        <f t="shared" si="10"/>
        <v>L2.02.01.02.00.00.04</v>
      </c>
      <c r="Q267" s="161" t="s">
        <v>10530</v>
      </c>
      <c r="R267" s="299" t="str">
        <f t="shared" si="11"/>
        <v>Phòng KD Giải pháp bán lẻ - Buôn Ma Thuột</v>
      </c>
      <c r="S267" s="274" t="s">
        <v>10923</v>
      </c>
      <c r="T267" s="265" t="s">
        <v>9079</v>
      </c>
      <c r="U267" s="265" t="s">
        <v>2732</v>
      </c>
      <c r="V267" s="265" t="s">
        <v>2761</v>
      </c>
      <c r="W267" s="265"/>
      <c r="X267" s="265"/>
      <c r="Y267" s="265"/>
      <c r="Z267" s="225" t="s">
        <v>10968</v>
      </c>
      <c r="AA267" s="300" t="s">
        <v>10530</v>
      </c>
      <c r="AB267" s="267"/>
      <c r="AC267" s="267"/>
      <c r="AD267" s="267"/>
    </row>
    <row r="268" ht="15.75" hidden="1" customHeight="1" outlineLevel="1">
      <c r="A268" s="261" t="s">
        <v>10833</v>
      </c>
      <c r="B268" s="231" t="s">
        <v>77</v>
      </c>
      <c r="C268" s="231" t="s">
        <v>33</v>
      </c>
      <c r="D268" s="157" t="s">
        <v>89</v>
      </c>
      <c r="E268" s="297" t="s">
        <v>29</v>
      </c>
      <c r="F268" s="157" t="s">
        <v>90</v>
      </c>
      <c r="G268" s="157" t="s">
        <v>33</v>
      </c>
      <c r="H268" s="298" t="s">
        <v>10969</v>
      </c>
      <c r="I268" s="168" t="s">
        <v>29</v>
      </c>
      <c r="J268" s="265" t="s">
        <v>2908</v>
      </c>
      <c r="K268" s="157" t="s">
        <v>27</v>
      </c>
      <c r="L268" s="156" t="s">
        <v>4</v>
      </c>
      <c r="M268" s="157" t="s">
        <v>37</v>
      </c>
      <c r="N268" s="298" t="s">
        <v>10900</v>
      </c>
      <c r="O268" s="55" t="str">
        <f t="shared" si="4"/>
        <v>L2.02.01.02.01.00</v>
      </c>
      <c r="P268" s="257" t="str">
        <f t="shared" si="10"/>
        <v>L2.02.01.02.01.00.04</v>
      </c>
      <c r="Q268" s="161" t="s">
        <v>10530</v>
      </c>
      <c r="R268" s="299" t="str">
        <f t="shared" si="11"/>
        <v>Nhóm KD CUKCUK &amp; ESHOP</v>
      </c>
      <c r="S268" s="269" t="s">
        <v>10970</v>
      </c>
      <c r="T268" s="265" t="s">
        <v>7611</v>
      </c>
      <c r="U268" s="265" t="s">
        <v>2732</v>
      </c>
      <c r="V268" s="265" t="s">
        <v>2761</v>
      </c>
      <c r="W268" s="265" t="s">
        <v>2908</v>
      </c>
      <c r="X268" s="265"/>
      <c r="Y268" s="265"/>
      <c r="Z268" s="225" t="s">
        <v>10971</v>
      </c>
      <c r="AA268" s="300" t="s">
        <v>10530</v>
      </c>
      <c r="AB268" s="267"/>
      <c r="AC268" s="267"/>
      <c r="AD268" s="267"/>
    </row>
    <row r="269" ht="15.75" hidden="1" customHeight="1" outlineLevel="1">
      <c r="A269" s="261" t="s">
        <v>10833</v>
      </c>
      <c r="B269" s="231" t="s">
        <v>77</v>
      </c>
      <c r="C269" s="231" t="s">
        <v>33</v>
      </c>
      <c r="D269" s="157" t="s">
        <v>89</v>
      </c>
      <c r="E269" s="297" t="s">
        <v>29</v>
      </c>
      <c r="F269" s="157" t="s">
        <v>90</v>
      </c>
      <c r="G269" s="157" t="s">
        <v>33</v>
      </c>
      <c r="H269" s="298" t="s">
        <v>10972</v>
      </c>
      <c r="I269" s="157" t="s">
        <v>27</v>
      </c>
      <c r="J269" s="156" t="s">
        <v>4</v>
      </c>
      <c r="K269" s="157" t="s">
        <v>27</v>
      </c>
      <c r="L269" s="156" t="s">
        <v>4</v>
      </c>
      <c r="M269" s="157" t="s">
        <v>42</v>
      </c>
      <c r="N269" s="167" t="s">
        <v>10502</v>
      </c>
      <c r="O269" s="55" t="str">
        <f t="shared" si="4"/>
        <v>L2.02.01.02.00.00</v>
      </c>
      <c r="P269" s="257" t="str">
        <f t="shared" si="10"/>
        <v>L2.02.01.02.00.00.05</v>
      </c>
      <c r="Q269" s="161" t="s">
        <v>10530</v>
      </c>
      <c r="R269" s="299" t="str">
        <f t="shared" si="11"/>
        <v>Phòng KD Giải pháp bán lẻ - Cần Thơ</v>
      </c>
      <c r="S269" s="274" t="s">
        <v>10923</v>
      </c>
      <c r="T269" s="265" t="s">
        <v>3361</v>
      </c>
      <c r="U269" s="265" t="s">
        <v>325</v>
      </c>
      <c r="V269" s="265" t="s">
        <v>2761</v>
      </c>
      <c r="W269" s="265"/>
      <c r="X269" s="265"/>
      <c r="Y269" s="265"/>
      <c r="Z269" s="225" t="s">
        <v>10973</v>
      </c>
      <c r="AA269" s="300" t="s">
        <v>10530</v>
      </c>
      <c r="AB269" s="267"/>
      <c r="AC269" s="267"/>
      <c r="AD269" s="267"/>
    </row>
    <row r="270" ht="15.75" hidden="1" customHeight="1" outlineLevel="1">
      <c r="A270" s="261" t="s">
        <v>10833</v>
      </c>
      <c r="B270" s="231" t="s">
        <v>77</v>
      </c>
      <c r="C270" s="231" t="s">
        <v>33</v>
      </c>
      <c r="D270" s="157" t="s">
        <v>89</v>
      </c>
      <c r="E270" s="297" t="s">
        <v>29</v>
      </c>
      <c r="F270" s="157" t="s">
        <v>90</v>
      </c>
      <c r="G270" s="157" t="s">
        <v>33</v>
      </c>
      <c r="H270" s="298" t="s">
        <v>10972</v>
      </c>
      <c r="I270" s="168" t="s">
        <v>29</v>
      </c>
      <c r="J270" s="265" t="s">
        <v>2908</v>
      </c>
      <c r="K270" s="157" t="s">
        <v>27</v>
      </c>
      <c r="L270" s="156" t="s">
        <v>4</v>
      </c>
      <c r="M270" s="157" t="s">
        <v>42</v>
      </c>
      <c r="N270" s="167" t="s">
        <v>10502</v>
      </c>
      <c r="O270" s="55" t="str">
        <f t="shared" si="4"/>
        <v>L2.02.01.02.01.00</v>
      </c>
      <c r="P270" s="257" t="str">
        <f t="shared" si="10"/>
        <v>L2.02.01.02.01.00.05</v>
      </c>
      <c r="Q270" s="161" t="s">
        <v>10530</v>
      </c>
      <c r="R270" s="299" t="str">
        <f t="shared" si="11"/>
        <v>Nhóm KD CUKCUK &amp; ESHOP</v>
      </c>
      <c r="S270" s="269" t="s">
        <v>10974</v>
      </c>
      <c r="T270" s="265" t="s">
        <v>3407</v>
      </c>
      <c r="U270" s="265" t="s">
        <v>325</v>
      </c>
      <c r="V270" s="265" t="s">
        <v>2761</v>
      </c>
      <c r="W270" s="265" t="s">
        <v>2908</v>
      </c>
      <c r="X270" s="265"/>
      <c r="Y270" s="265"/>
      <c r="Z270" s="225" t="s">
        <v>10975</v>
      </c>
      <c r="AA270" s="300" t="s">
        <v>10530</v>
      </c>
      <c r="AB270" s="267"/>
      <c r="AC270" s="267"/>
      <c r="AD270" s="267"/>
    </row>
    <row r="271" ht="15.75" hidden="1" customHeight="1" outlineLevel="1">
      <c r="A271" s="100" t="s">
        <v>10833</v>
      </c>
      <c r="B271" s="101" t="s">
        <v>77</v>
      </c>
      <c r="C271" s="101" t="s">
        <v>33</v>
      </c>
      <c r="D271" s="102" t="s">
        <v>89</v>
      </c>
      <c r="E271" s="103" t="s">
        <v>29</v>
      </c>
      <c r="F271" s="102" t="s">
        <v>90</v>
      </c>
      <c r="G271" s="102" t="s">
        <v>35</v>
      </c>
      <c r="H271" s="306" t="s">
        <v>10976</v>
      </c>
      <c r="I271" s="102" t="s">
        <v>27</v>
      </c>
      <c r="J271" s="105" t="s">
        <v>4</v>
      </c>
      <c r="K271" s="102" t="s">
        <v>27</v>
      </c>
      <c r="L271" s="105" t="s">
        <v>4</v>
      </c>
      <c r="M271" s="106" t="s">
        <v>27</v>
      </c>
      <c r="N271" s="104"/>
      <c r="O271" s="136" t="str">
        <f t="shared" si="4"/>
        <v>L2.02.01.03.00.00</v>
      </c>
      <c r="P271" s="107" t="str">
        <f t="shared" si="10"/>
        <v>L2.02.01.03.00.00.00</v>
      </c>
      <c r="Q271" s="307" t="s">
        <v>10530</v>
      </c>
      <c r="R271" s="308" t="str">
        <f t="shared" si="11"/>
        <v>Phòng KD bán thêm Giải pháp bán lẻ</v>
      </c>
      <c r="S271" s="309" t="s">
        <v>10919</v>
      </c>
      <c r="T271" s="310"/>
      <c r="U271" s="310"/>
      <c r="V271" s="310"/>
      <c r="W271" s="310"/>
      <c r="X271" s="310"/>
      <c r="Y271" s="311" t="s">
        <v>10977</v>
      </c>
      <c r="Z271" s="112" t="s">
        <v>10978</v>
      </c>
      <c r="AA271" s="312"/>
      <c r="AB271" s="313"/>
      <c r="AC271" s="313"/>
      <c r="AD271" s="313"/>
    </row>
    <row r="272" ht="15.75" hidden="1" customHeight="1" outlineLevel="1">
      <c r="A272" s="314" t="s">
        <v>10833</v>
      </c>
      <c r="B272" s="315" t="s">
        <v>77</v>
      </c>
      <c r="C272" s="315" t="s">
        <v>33</v>
      </c>
      <c r="D272" s="122" t="s">
        <v>89</v>
      </c>
      <c r="E272" s="121" t="s">
        <v>29</v>
      </c>
      <c r="F272" s="122" t="s">
        <v>90</v>
      </c>
      <c r="G272" s="122" t="s">
        <v>35</v>
      </c>
      <c r="H272" s="316" t="s">
        <v>10976</v>
      </c>
      <c r="I272" s="122" t="s">
        <v>27</v>
      </c>
      <c r="J272" s="120" t="s">
        <v>4</v>
      </c>
      <c r="K272" s="122" t="s">
        <v>27</v>
      </c>
      <c r="L272" s="120" t="s">
        <v>4</v>
      </c>
      <c r="M272" s="122" t="s">
        <v>29</v>
      </c>
      <c r="N272" s="123" t="s">
        <v>10498</v>
      </c>
      <c r="O272" s="149" t="str">
        <f t="shared" si="4"/>
        <v>L2.02.01.03.00.00</v>
      </c>
      <c r="P272" s="317" t="str">
        <f t="shared" si="10"/>
        <v>L2.02.01.03.00.00.01</v>
      </c>
      <c r="Q272" s="318"/>
      <c r="R272" s="318" t="str">
        <f t="shared" si="11"/>
        <v>Phòng KD bán thêm Giải pháp bán lẻ</v>
      </c>
      <c r="S272" s="319" t="s">
        <v>10979</v>
      </c>
      <c r="T272" s="320"/>
      <c r="U272" s="320"/>
      <c r="V272" s="320"/>
      <c r="W272" s="320"/>
      <c r="X272" s="320"/>
      <c r="Y272" s="321" t="s">
        <v>10977</v>
      </c>
      <c r="Z272" s="322"/>
      <c r="AA272" s="323"/>
      <c r="AB272" s="324"/>
      <c r="AC272" s="324"/>
      <c r="AD272" s="324"/>
    </row>
    <row r="273" ht="15.75" hidden="1" customHeight="1" outlineLevel="1">
      <c r="A273" s="314" t="s">
        <v>10833</v>
      </c>
      <c r="B273" s="315" t="s">
        <v>77</v>
      </c>
      <c r="C273" s="315" t="s">
        <v>33</v>
      </c>
      <c r="D273" s="122" t="s">
        <v>89</v>
      </c>
      <c r="E273" s="121" t="s">
        <v>29</v>
      </c>
      <c r="F273" s="122" t="s">
        <v>90</v>
      </c>
      <c r="G273" s="122" t="s">
        <v>35</v>
      </c>
      <c r="H273" s="316" t="s">
        <v>10976</v>
      </c>
      <c r="I273" s="122" t="s">
        <v>27</v>
      </c>
      <c r="J273" s="120" t="s">
        <v>4</v>
      </c>
      <c r="K273" s="122" t="s">
        <v>27</v>
      </c>
      <c r="L273" s="120" t="s">
        <v>4</v>
      </c>
      <c r="M273" s="122" t="s">
        <v>33</v>
      </c>
      <c r="N273" s="123" t="s">
        <v>10499</v>
      </c>
      <c r="O273" s="149" t="str">
        <f t="shared" si="4"/>
        <v>L2.02.01.03.00.00</v>
      </c>
      <c r="P273" s="317" t="str">
        <f t="shared" si="10"/>
        <v>L2.02.01.03.00.00.02</v>
      </c>
      <c r="Q273" s="318"/>
      <c r="R273" s="318" t="str">
        <f t="shared" si="11"/>
        <v>Phòng KD bán thêm Giải pháp bán lẻ</v>
      </c>
      <c r="S273" s="319" t="s">
        <v>10979</v>
      </c>
      <c r="T273" s="320"/>
      <c r="U273" s="320"/>
      <c r="V273" s="320"/>
      <c r="W273" s="320"/>
      <c r="X273" s="320"/>
      <c r="Y273" s="321" t="s">
        <v>10977</v>
      </c>
      <c r="Z273" s="322"/>
      <c r="AA273" s="323"/>
      <c r="AB273" s="324"/>
      <c r="AC273" s="324"/>
      <c r="AD273" s="324"/>
    </row>
    <row r="274" ht="15.75" hidden="1" customHeight="1" outlineLevel="1">
      <c r="A274" s="100" t="s">
        <v>10833</v>
      </c>
      <c r="B274" s="101" t="s">
        <v>77</v>
      </c>
      <c r="C274" s="101" t="s">
        <v>33</v>
      </c>
      <c r="D274" s="102" t="s">
        <v>89</v>
      </c>
      <c r="E274" s="103" t="s">
        <v>29</v>
      </c>
      <c r="F274" s="102" t="s">
        <v>90</v>
      </c>
      <c r="G274" s="102" t="s">
        <v>37</v>
      </c>
      <c r="H274" s="306" t="s">
        <v>10980</v>
      </c>
      <c r="I274" s="102" t="s">
        <v>27</v>
      </c>
      <c r="J274" s="105" t="s">
        <v>4</v>
      </c>
      <c r="K274" s="102" t="s">
        <v>27</v>
      </c>
      <c r="L274" s="105" t="s">
        <v>4</v>
      </c>
      <c r="M274" s="106" t="s">
        <v>27</v>
      </c>
      <c r="N274" s="104"/>
      <c r="O274" s="136" t="str">
        <f t="shared" si="4"/>
        <v>L2.02.01.04.00.00</v>
      </c>
      <c r="P274" s="107" t="str">
        <f t="shared" si="10"/>
        <v>L2.02.01.04.00.00.00</v>
      </c>
      <c r="Q274" s="307" t="s">
        <v>10530</v>
      </c>
      <c r="R274" s="308" t="str">
        <f t="shared" si="11"/>
        <v>Phòng KD mạng lưới Giải pháp bán lẻ</v>
      </c>
      <c r="S274" s="309" t="s">
        <v>10919</v>
      </c>
      <c r="T274" s="310"/>
      <c r="U274" s="310"/>
      <c r="V274" s="310"/>
      <c r="W274" s="310"/>
      <c r="X274" s="310"/>
      <c r="Y274" s="311" t="s">
        <v>10977</v>
      </c>
      <c r="Z274" s="112" t="s">
        <v>10981</v>
      </c>
      <c r="AA274" s="312"/>
      <c r="AB274" s="313"/>
      <c r="AC274" s="313"/>
      <c r="AD274" s="313"/>
    </row>
    <row r="275" ht="15.75" hidden="1" customHeight="1" outlineLevel="1">
      <c r="A275" s="314" t="s">
        <v>10833</v>
      </c>
      <c r="B275" s="315" t="s">
        <v>77</v>
      </c>
      <c r="C275" s="315" t="s">
        <v>33</v>
      </c>
      <c r="D275" s="122" t="s">
        <v>89</v>
      </c>
      <c r="E275" s="121" t="s">
        <v>29</v>
      </c>
      <c r="F275" s="122" t="s">
        <v>90</v>
      </c>
      <c r="G275" s="122" t="s">
        <v>37</v>
      </c>
      <c r="H275" s="316" t="s">
        <v>10980</v>
      </c>
      <c r="I275" s="122" t="s">
        <v>27</v>
      </c>
      <c r="J275" s="120" t="s">
        <v>4</v>
      </c>
      <c r="K275" s="122" t="s">
        <v>27</v>
      </c>
      <c r="L275" s="120" t="s">
        <v>4</v>
      </c>
      <c r="M275" s="122" t="s">
        <v>29</v>
      </c>
      <c r="N275" s="123" t="s">
        <v>10498</v>
      </c>
      <c r="O275" s="149" t="str">
        <f t="shared" si="4"/>
        <v>L2.02.01.04.00.00</v>
      </c>
      <c r="P275" s="317" t="str">
        <f t="shared" si="10"/>
        <v>L2.02.01.04.00.00.01</v>
      </c>
      <c r="Q275" s="318"/>
      <c r="R275" s="318" t="str">
        <f t="shared" si="11"/>
        <v>Phòng KD mạng lưới Giải pháp bán lẻ</v>
      </c>
      <c r="S275" s="319" t="s">
        <v>10982</v>
      </c>
      <c r="T275" s="320"/>
      <c r="U275" s="320"/>
      <c r="V275" s="320"/>
      <c r="W275" s="320"/>
      <c r="X275" s="320"/>
      <c r="Y275" s="321" t="s">
        <v>10977</v>
      </c>
      <c r="Z275" s="322"/>
      <c r="AA275" s="323"/>
      <c r="AB275" s="324"/>
      <c r="AC275" s="324"/>
      <c r="AD275" s="324"/>
    </row>
    <row r="276" ht="15.75" hidden="1" customHeight="1" outlineLevel="1">
      <c r="A276" s="314" t="s">
        <v>10833</v>
      </c>
      <c r="B276" s="315" t="s">
        <v>77</v>
      </c>
      <c r="C276" s="315" t="s">
        <v>33</v>
      </c>
      <c r="D276" s="122" t="s">
        <v>89</v>
      </c>
      <c r="E276" s="121" t="s">
        <v>29</v>
      </c>
      <c r="F276" s="122" t="s">
        <v>90</v>
      </c>
      <c r="G276" s="122" t="s">
        <v>37</v>
      </c>
      <c r="H276" s="316" t="s">
        <v>10980</v>
      </c>
      <c r="I276" s="122" t="s">
        <v>27</v>
      </c>
      <c r="J276" s="120" t="s">
        <v>4</v>
      </c>
      <c r="K276" s="122" t="s">
        <v>27</v>
      </c>
      <c r="L276" s="120" t="s">
        <v>4</v>
      </c>
      <c r="M276" s="122" t="s">
        <v>33</v>
      </c>
      <c r="N276" s="123" t="s">
        <v>10499</v>
      </c>
      <c r="O276" s="149" t="str">
        <f t="shared" si="4"/>
        <v>L2.02.01.04.00.00</v>
      </c>
      <c r="P276" s="317" t="str">
        <f t="shared" si="10"/>
        <v>L2.02.01.04.00.00.02</v>
      </c>
      <c r="Q276" s="318"/>
      <c r="R276" s="318" t="str">
        <f t="shared" si="11"/>
        <v>Phòng KD mạng lưới Giải pháp bán lẻ</v>
      </c>
      <c r="S276" s="319" t="s">
        <v>10982</v>
      </c>
      <c r="T276" s="320"/>
      <c r="U276" s="320"/>
      <c r="V276" s="320"/>
      <c r="W276" s="320"/>
      <c r="X276" s="320"/>
      <c r="Y276" s="321" t="s">
        <v>10977</v>
      </c>
      <c r="Z276" s="322"/>
      <c r="AA276" s="323"/>
      <c r="AB276" s="324"/>
      <c r="AC276" s="324"/>
      <c r="AD276" s="324"/>
    </row>
    <row r="277" ht="15.75" hidden="1" customHeight="1" outlineLevel="1">
      <c r="A277" s="261" t="s">
        <v>10833</v>
      </c>
      <c r="B277" s="231" t="s">
        <v>77</v>
      </c>
      <c r="C277" s="231" t="s">
        <v>33</v>
      </c>
      <c r="D277" s="157" t="s">
        <v>89</v>
      </c>
      <c r="E277" s="297" t="s">
        <v>29</v>
      </c>
      <c r="F277" s="157" t="s">
        <v>90</v>
      </c>
      <c r="G277" s="297" t="s">
        <v>42</v>
      </c>
      <c r="H277" s="167" t="s">
        <v>104</v>
      </c>
      <c r="I277" s="157" t="s">
        <v>27</v>
      </c>
      <c r="J277" s="156" t="s">
        <v>4</v>
      </c>
      <c r="K277" s="157" t="s">
        <v>27</v>
      </c>
      <c r="L277" s="156" t="s">
        <v>4</v>
      </c>
      <c r="M277" s="157" t="s">
        <v>44</v>
      </c>
      <c r="N277" s="167" t="s">
        <v>10505</v>
      </c>
      <c r="O277" s="55" t="str">
        <f t="shared" si="4"/>
        <v>L2.02.01.05.00.00</v>
      </c>
      <c r="P277" s="257" t="str">
        <f t="shared" si="10"/>
        <v>L2.02.01.05.00.00.06</v>
      </c>
      <c r="Q277" s="161" t="s">
        <v>10530</v>
      </c>
      <c r="R277" s="299" t="str">
        <f t="shared" si="11"/>
        <v>Nhóm MKT Bán lẻ</v>
      </c>
      <c r="S277" s="269" t="s">
        <v>10919</v>
      </c>
      <c r="T277" s="265" t="s">
        <v>337</v>
      </c>
      <c r="U277" s="265" t="s">
        <v>303</v>
      </c>
      <c r="V277" s="265" t="s">
        <v>335</v>
      </c>
      <c r="W277" s="265" t="s">
        <v>336</v>
      </c>
      <c r="X277" s="265" t="s">
        <v>104</v>
      </c>
      <c r="Y277" s="265"/>
      <c r="Z277" s="225" t="s">
        <v>10983</v>
      </c>
      <c r="AA277" s="266"/>
      <c r="AB277" s="267"/>
      <c r="AC277" s="267"/>
      <c r="AD277" s="267"/>
    </row>
    <row r="278" ht="15.75" hidden="1" customHeight="1" outlineLevel="1">
      <c r="A278" s="261" t="s">
        <v>10833</v>
      </c>
      <c r="B278" s="231" t="s">
        <v>77</v>
      </c>
      <c r="C278" s="231" t="s">
        <v>33</v>
      </c>
      <c r="D278" s="157" t="s">
        <v>89</v>
      </c>
      <c r="E278" s="297" t="s">
        <v>29</v>
      </c>
      <c r="F278" s="157" t="s">
        <v>90</v>
      </c>
      <c r="G278" s="297" t="s">
        <v>42</v>
      </c>
      <c r="H278" s="167" t="s">
        <v>104</v>
      </c>
      <c r="I278" s="168" t="s">
        <v>35</v>
      </c>
      <c r="J278" s="298" t="s">
        <v>10984</v>
      </c>
      <c r="K278" s="157" t="s">
        <v>27</v>
      </c>
      <c r="L278" s="156" t="s">
        <v>4</v>
      </c>
      <c r="M278" s="157" t="s">
        <v>44</v>
      </c>
      <c r="N278" s="167" t="s">
        <v>10505</v>
      </c>
      <c r="O278" s="55" t="str">
        <f t="shared" si="4"/>
        <v>L2.02.01.05.03.00</v>
      </c>
      <c r="P278" s="257" t="str">
        <f t="shared" si="10"/>
        <v>L2.02.01.05.03.00.06</v>
      </c>
      <c r="Q278" s="161" t="s">
        <v>10530</v>
      </c>
      <c r="R278" s="299" t="str">
        <f t="shared" si="11"/>
        <v>Nhóm Quản lý</v>
      </c>
      <c r="S278" s="269" t="s">
        <v>10985</v>
      </c>
      <c r="T278" s="265"/>
      <c r="U278" s="265"/>
      <c r="V278" s="265"/>
      <c r="W278" s="265"/>
      <c r="X278" s="265"/>
      <c r="Y278" s="264" t="s">
        <v>10986</v>
      </c>
      <c r="Z278" s="225" t="s">
        <v>10987</v>
      </c>
      <c r="AA278" s="266"/>
      <c r="AB278" s="267"/>
      <c r="AC278" s="267"/>
      <c r="AD278" s="267"/>
    </row>
    <row r="279" ht="15.75" hidden="1" customHeight="1" outlineLevel="1">
      <c r="A279" s="261" t="s">
        <v>10833</v>
      </c>
      <c r="B279" s="231" t="s">
        <v>77</v>
      </c>
      <c r="C279" s="231" t="s">
        <v>33</v>
      </c>
      <c r="D279" s="157" t="s">
        <v>89</v>
      </c>
      <c r="E279" s="297" t="s">
        <v>29</v>
      </c>
      <c r="F279" s="157" t="s">
        <v>90</v>
      </c>
      <c r="G279" s="297" t="s">
        <v>42</v>
      </c>
      <c r="H279" s="167" t="s">
        <v>104</v>
      </c>
      <c r="I279" s="157" t="s">
        <v>29</v>
      </c>
      <c r="J279" s="167" t="s">
        <v>105</v>
      </c>
      <c r="K279" s="157" t="s">
        <v>27</v>
      </c>
      <c r="L279" s="156" t="s">
        <v>4</v>
      </c>
      <c r="M279" s="157" t="s">
        <v>44</v>
      </c>
      <c r="N279" s="167" t="s">
        <v>10505</v>
      </c>
      <c r="O279" s="55" t="str">
        <f t="shared" si="4"/>
        <v>L2.02.01.05.01.00</v>
      </c>
      <c r="P279" s="257" t="str">
        <f t="shared" si="10"/>
        <v>L2.02.01.05.01.00.06</v>
      </c>
      <c r="Q279" s="161" t="s">
        <v>10530</v>
      </c>
      <c r="R279" s="299" t="str">
        <f t="shared" si="11"/>
        <v>Nhóm MKT Sản phẩm CUKCUK</v>
      </c>
      <c r="S279" s="269" t="s">
        <v>10985</v>
      </c>
      <c r="T279" s="265"/>
      <c r="U279" s="265"/>
      <c r="V279" s="265"/>
      <c r="W279" s="265"/>
      <c r="X279" s="265"/>
      <c r="Y279" s="264" t="s">
        <v>10986</v>
      </c>
      <c r="Z279" s="225" t="s">
        <v>10988</v>
      </c>
      <c r="AA279" s="266"/>
      <c r="AB279" s="267"/>
      <c r="AC279" s="267"/>
      <c r="AD279" s="267"/>
    </row>
    <row r="280" ht="15.75" hidden="1" customHeight="1" outlineLevel="1">
      <c r="A280" s="261" t="s">
        <v>10833</v>
      </c>
      <c r="B280" s="231" t="s">
        <v>77</v>
      </c>
      <c r="C280" s="231" t="s">
        <v>33</v>
      </c>
      <c r="D280" s="157" t="s">
        <v>89</v>
      </c>
      <c r="E280" s="297" t="s">
        <v>29</v>
      </c>
      <c r="F280" s="157" t="s">
        <v>90</v>
      </c>
      <c r="G280" s="297" t="s">
        <v>42</v>
      </c>
      <c r="H280" s="167" t="s">
        <v>104</v>
      </c>
      <c r="I280" s="157" t="s">
        <v>33</v>
      </c>
      <c r="J280" s="167" t="s">
        <v>106</v>
      </c>
      <c r="K280" s="157" t="s">
        <v>27</v>
      </c>
      <c r="L280" s="156" t="s">
        <v>4</v>
      </c>
      <c r="M280" s="157" t="s">
        <v>44</v>
      </c>
      <c r="N280" s="167" t="s">
        <v>10505</v>
      </c>
      <c r="O280" s="55" t="str">
        <f t="shared" si="4"/>
        <v>L2.02.01.05.02.00</v>
      </c>
      <c r="P280" s="257" t="str">
        <f t="shared" si="10"/>
        <v>L2.02.01.05.02.00.06</v>
      </c>
      <c r="Q280" s="161" t="s">
        <v>10530</v>
      </c>
      <c r="R280" s="299" t="str">
        <f t="shared" si="11"/>
        <v>Nhóm MKT Sản phẩm ESHOP</v>
      </c>
      <c r="S280" s="269" t="s">
        <v>10985</v>
      </c>
      <c r="T280" s="265"/>
      <c r="U280" s="265"/>
      <c r="V280" s="265"/>
      <c r="W280" s="265"/>
      <c r="X280" s="265"/>
      <c r="Y280" s="264" t="s">
        <v>10986</v>
      </c>
      <c r="Z280" s="225" t="s">
        <v>10989</v>
      </c>
      <c r="AA280" s="266"/>
      <c r="AB280" s="267"/>
      <c r="AC280" s="267"/>
      <c r="AD280" s="267"/>
    </row>
    <row r="281" ht="15.75" hidden="1" customHeight="1" outlineLevel="1">
      <c r="A281" s="261" t="s">
        <v>10833</v>
      </c>
      <c r="B281" s="231" t="s">
        <v>77</v>
      </c>
      <c r="C281" s="231" t="s">
        <v>33</v>
      </c>
      <c r="D281" s="157" t="s">
        <v>89</v>
      </c>
      <c r="E281" s="297" t="s">
        <v>29</v>
      </c>
      <c r="F281" s="157" t="s">
        <v>90</v>
      </c>
      <c r="G281" s="297" t="s">
        <v>42</v>
      </c>
      <c r="H281" s="167" t="s">
        <v>104</v>
      </c>
      <c r="I281" s="168" t="s">
        <v>37</v>
      </c>
      <c r="J281" s="298" t="s">
        <v>148</v>
      </c>
      <c r="K281" s="157" t="s">
        <v>27</v>
      </c>
      <c r="L281" s="156" t="s">
        <v>4</v>
      </c>
      <c r="M281" s="157" t="s">
        <v>44</v>
      </c>
      <c r="N281" s="167" t="s">
        <v>10505</v>
      </c>
      <c r="O281" s="55" t="str">
        <f t="shared" si="4"/>
        <v>L2.02.01.05.04.00</v>
      </c>
      <c r="P281" s="257" t="str">
        <f t="shared" si="10"/>
        <v>L2.02.01.05.04.00.06</v>
      </c>
      <c r="Q281" s="161" t="s">
        <v>10530</v>
      </c>
      <c r="R281" s="299" t="str">
        <f t="shared" si="11"/>
        <v>Nhóm MDR</v>
      </c>
      <c r="S281" s="269" t="s">
        <v>10985</v>
      </c>
      <c r="T281" s="265"/>
      <c r="U281" s="265"/>
      <c r="V281" s="265"/>
      <c r="W281" s="265"/>
      <c r="X281" s="265"/>
      <c r="Y281" s="264" t="s">
        <v>10986</v>
      </c>
      <c r="Z281" s="225" t="s">
        <v>10990</v>
      </c>
      <c r="AA281" s="266"/>
      <c r="AB281" s="267"/>
      <c r="AC281" s="267"/>
      <c r="AD281" s="267"/>
    </row>
    <row r="282" ht="15.75" customHeight="1" collapsed="1">
      <c r="A282" s="268" t="s">
        <v>10991</v>
      </c>
      <c r="B282" s="66"/>
      <c r="C282" s="66"/>
      <c r="D282" s="66"/>
      <c r="E282" s="67"/>
      <c r="F282" s="66"/>
      <c r="G282" s="66"/>
      <c r="H282" s="68"/>
      <c r="I282" s="66"/>
      <c r="J282" s="69"/>
      <c r="K282" s="66"/>
      <c r="L282" s="68"/>
      <c r="M282" s="66"/>
      <c r="N282" s="68"/>
      <c r="O282" s="55" t="str">
        <f t="shared" si="4"/>
        <v>Khối doanh nghiệp nhỏ.....</v>
      </c>
      <c r="P282" s="69"/>
      <c r="Q282" s="169"/>
      <c r="R282" s="169" t="str">
        <f t="shared" si="11"/>
        <v/>
      </c>
      <c r="S282" s="96"/>
      <c r="T282" s="96"/>
      <c r="U282" s="96"/>
      <c r="V282" s="96"/>
      <c r="W282" s="96"/>
      <c r="X282" s="96"/>
      <c r="Y282" s="96"/>
      <c r="Z282" s="152"/>
      <c r="AA282" s="99"/>
      <c r="AB282" s="91"/>
      <c r="AC282" s="91"/>
      <c r="AD282" s="91"/>
    </row>
    <row r="283" ht="15.75" hidden="1" customHeight="1" outlineLevel="1">
      <c r="A283" s="170" t="s">
        <v>10833</v>
      </c>
      <c r="B283" s="57" t="s">
        <v>77</v>
      </c>
      <c r="C283" s="51" t="s">
        <v>33</v>
      </c>
      <c r="D283" s="52" t="s">
        <v>89</v>
      </c>
      <c r="E283" s="53" t="s">
        <v>33</v>
      </c>
      <c r="F283" s="250" t="s">
        <v>10992</v>
      </c>
      <c r="G283" s="325" t="s">
        <v>27</v>
      </c>
      <c r="H283" s="256"/>
      <c r="I283" s="53" t="s">
        <v>27</v>
      </c>
      <c r="J283" s="155" t="s">
        <v>4</v>
      </c>
      <c r="K283" s="166" t="s">
        <v>27</v>
      </c>
      <c r="L283" s="155" t="s">
        <v>4</v>
      </c>
      <c r="M283" s="326" t="s">
        <v>27</v>
      </c>
      <c r="N283" s="158"/>
      <c r="O283" s="55" t="str">
        <f t="shared" si="4"/>
        <v>L2.02.02.00.00.00</v>
      </c>
      <c r="P283" s="55" t="str">
        <f t="shared" ref="P283:P392" si="12">A283&amp;"."&amp;C283&amp;"."&amp;E283&amp;"."&amp;G283&amp;"."&amp;I283&amp;"."&amp;K283&amp;"."&amp;M283</f>
        <v>L2.02.02.00.00.00.00</v>
      </c>
      <c r="Q283" s="161" t="s">
        <v>10530</v>
      </c>
      <c r="R283" s="161" t="s">
        <v>10993</v>
      </c>
      <c r="S283" s="269" t="s">
        <v>10916</v>
      </c>
      <c r="T283" s="96"/>
      <c r="U283" s="96"/>
      <c r="V283" s="96"/>
      <c r="W283" s="96"/>
      <c r="X283" s="96"/>
      <c r="Y283" s="97" t="s">
        <v>10894</v>
      </c>
      <c r="Z283" s="98" t="s">
        <v>10994</v>
      </c>
      <c r="AA283" s="99"/>
      <c r="AB283" s="91"/>
      <c r="AC283" s="91"/>
      <c r="AD283" s="91"/>
    </row>
    <row r="284" ht="15.75" hidden="1" customHeight="1" outlineLevel="1">
      <c r="A284" s="228" t="s">
        <v>10833</v>
      </c>
      <c r="B284" s="270" t="s">
        <v>77</v>
      </c>
      <c r="C284" s="270" t="s">
        <v>33</v>
      </c>
      <c r="D284" s="209" t="s">
        <v>89</v>
      </c>
      <c r="E284" s="271" t="s">
        <v>33</v>
      </c>
      <c r="F284" s="182" t="s">
        <v>10992</v>
      </c>
      <c r="G284" s="209" t="s">
        <v>29</v>
      </c>
      <c r="H284" s="212" t="s">
        <v>10995</v>
      </c>
      <c r="I284" s="271" t="s">
        <v>27</v>
      </c>
      <c r="J284" s="209" t="s">
        <v>4</v>
      </c>
      <c r="K284" s="271" t="s">
        <v>27</v>
      </c>
      <c r="L284" s="209" t="s">
        <v>4</v>
      </c>
      <c r="M284" s="327" t="s">
        <v>27</v>
      </c>
      <c r="N284" s="70"/>
      <c r="O284" s="58" t="str">
        <f t="shared" si="4"/>
        <v>L2.02.02.01.00.00</v>
      </c>
      <c r="P284" s="272" t="str">
        <f t="shared" si="12"/>
        <v>L2.02.02.01.00.00.00</v>
      </c>
      <c r="Q284" s="185" t="s">
        <v>10530</v>
      </c>
      <c r="R284" s="273" t="str">
        <f t="shared" ref="R284:R340" si="13">if(L284&lt;&gt;"-",L284,if(AND(L284="-",J284&lt;&gt;"-"),J284,if(AND(J284="-",H284&lt;&gt;"-"),H284,"NA")))</f>
        <v>Ban giám đốc Khối Doanh nghiệp nhỏ</v>
      </c>
      <c r="S284" s="274" t="s">
        <v>10996</v>
      </c>
      <c r="T284" s="183"/>
      <c r="U284" s="183"/>
      <c r="V284" s="183"/>
      <c r="W284" s="183"/>
      <c r="X284" s="183"/>
      <c r="Y284" s="184" t="s">
        <v>10894</v>
      </c>
      <c r="Z284" s="275" t="s">
        <v>10997</v>
      </c>
      <c r="AA284" s="276"/>
      <c r="AB284" s="277"/>
      <c r="AC284" s="277"/>
      <c r="AD284" s="277"/>
    </row>
    <row r="285" ht="15.75" hidden="1" customHeight="1" outlineLevel="1">
      <c r="A285" s="278" t="s">
        <v>10833</v>
      </c>
      <c r="B285" s="279" t="s">
        <v>77</v>
      </c>
      <c r="C285" s="279" t="s">
        <v>33</v>
      </c>
      <c r="D285" s="280" t="s">
        <v>89</v>
      </c>
      <c r="E285" s="281" t="s">
        <v>33</v>
      </c>
      <c r="F285" s="283" t="s">
        <v>10992</v>
      </c>
      <c r="G285" s="280" t="s">
        <v>33</v>
      </c>
      <c r="H285" s="282" t="s">
        <v>10998</v>
      </c>
      <c r="I285" s="283" t="s">
        <v>27</v>
      </c>
      <c r="J285" s="328" t="s">
        <v>4</v>
      </c>
      <c r="K285" s="281" t="s">
        <v>27</v>
      </c>
      <c r="L285" s="328" t="s">
        <v>4</v>
      </c>
      <c r="M285" s="280" t="s">
        <v>27</v>
      </c>
      <c r="N285" s="286"/>
      <c r="O285" s="286"/>
      <c r="P285" s="287" t="str">
        <f t="shared" si="12"/>
        <v>L2.02.02.02.00.00.00</v>
      </c>
      <c r="Q285" s="288" t="s">
        <v>10530</v>
      </c>
      <c r="R285" s="329" t="str">
        <f t="shared" si="13"/>
        <v>Khối KD giải pháp KTDN</v>
      </c>
      <c r="S285" s="290" t="str">
        <f>P283</f>
        <v>L2.02.02.00.00.00.00</v>
      </c>
      <c r="T285" s="291"/>
      <c r="U285" s="292"/>
      <c r="V285" s="292"/>
      <c r="W285" s="292"/>
      <c r="X285" s="292"/>
      <c r="Y285" s="292"/>
      <c r="Z285" s="330" t="s">
        <v>10999</v>
      </c>
      <c r="AA285" s="293"/>
      <c r="AB285" s="295"/>
      <c r="AC285" s="295"/>
      <c r="AD285" s="296"/>
    </row>
    <row r="286" ht="15.75" hidden="1" customHeight="1" outlineLevel="1">
      <c r="A286" s="331" t="s">
        <v>10833</v>
      </c>
      <c r="B286" s="332" t="s">
        <v>77</v>
      </c>
      <c r="C286" s="332" t="s">
        <v>33</v>
      </c>
      <c r="D286" s="333" t="s">
        <v>89</v>
      </c>
      <c r="E286" s="334" t="s">
        <v>33</v>
      </c>
      <c r="F286" s="335" t="s">
        <v>10992</v>
      </c>
      <c r="G286" s="333" t="s">
        <v>35</v>
      </c>
      <c r="H286" s="336" t="s">
        <v>11000</v>
      </c>
      <c r="I286" s="335" t="s">
        <v>27</v>
      </c>
      <c r="J286" s="328" t="s">
        <v>4</v>
      </c>
      <c r="K286" s="334" t="s">
        <v>27</v>
      </c>
      <c r="L286" s="328" t="s">
        <v>4</v>
      </c>
      <c r="M286" s="333" t="s">
        <v>27</v>
      </c>
      <c r="N286" s="337"/>
      <c r="O286" s="337"/>
      <c r="P286" s="338" t="str">
        <f t="shared" si="12"/>
        <v>L2.02.02.03.00.00.00</v>
      </c>
      <c r="Q286" s="339" t="s">
        <v>10530</v>
      </c>
      <c r="R286" s="329" t="str">
        <f t="shared" si="13"/>
        <v>Khối KD bán thêm</v>
      </c>
      <c r="S286" s="290" t="s">
        <v>10996</v>
      </c>
      <c r="T286" s="340"/>
      <c r="U286" s="341"/>
      <c r="V286" s="341"/>
      <c r="W286" s="341"/>
      <c r="X286" s="341"/>
      <c r="Y286" s="341"/>
      <c r="Z286" s="330" t="s">
        <v>11001</v>
      </c>
      <c r="AA286" s="293"/>
      <c r="AB286" s="295"/>
      <c r="AC286" s="295"/>
      <c r="AD286" s="296"/>
    </row>
    <row r="287" ht="15.75" hidden="1" customHeight="1" outlineLevel="1">
      <c r="A287" s="261" t="s">
        <v>10833</v>
      </c>
      <c r="B287" s="231" t="s">
        <v>77</v>
      </c>
      <c r="C287" s="231" t="s">
        <v>33</v>
      </c>
      <c r="D287" s="157" t="s">
        <v>89</v>
      </c>
      <c r="E287" s="297" t="s">
        <v>33</v>
      </c>
      <c r="F287" s="168" t="s">
        <v>10992</v>
      </c>
      <c r="G287" s="157" t="s">
        <v>33</v>
      </c>
      <c r="H287" s="298" t="s">
        <v>11002</v>
      </c>
      <c r="I287" s="168" t="s">
        <v>27</v>
      </c>
      <c r="J287" s="258" t="s">
        <v>4</v>
      </c>
      <c r="K287" s="297" t="s">
        <v>27</v>
      </c>
      <c r="L287" s="157" t="s">
        <v>4</v>
      </c>
      <c r="M287" s="157" t="s">
        <v>29</v>
      </c>
      <c r="N287" s="167" t="s">
        <v>10498</v>
      </c>
      <c r="O287" s="55" t="str">
        <f t="shared" ref="O287:O708" si="14">A287&amp;"."&amp;C287&amp;"."&amp;E287&amp;"."&amp;G287&amp;"."&amp;I287&amp;"."&amp;K287</f>
        <v>L2.02.02.02.00.00</v>
      </c>
      <c r="P287" s="257" t="str">
        <f t="shared" si="12"/>
        <v>L2.02.02.02.00.00.01</v>
      </c>
      <c r="Q287" s="161" t="s">
        <v>10530</v>
      </c>
      <c r="R287" s="299" t="str">
        <f t="shared" si="13"/>
        <v>Trung tâm KD giải pháp KTDN - Hà Nội</v>
      </c>
      <c r="S287" s="274" t="s">
        <v>11003</v>
      </c>
      <c r="T287" s="264" t="s">
        <v>11004</v>
      </c>
      <c r="U287" s="265" t="s">
        <v>346</v>
      </c>
      <c r="V287" s="265" t="s">
        <v>112</v>
      </c>
      <c r="W287" s="265" t="s">
        <v>113</v>
      </c>
      <c r="X287" s="265"/>
      <c r="Y287" s="265"/>
      <c r="Z287" s="225" t="s">
        <v>11005</v>
      </c>
      <c r="AA287" s="300" t="s">
        <v>10530</v>
      </c>
      <c r="AB287" s="267"/>
      <c r="AC287" s="267"/>
      <c r="AD287" s="267"/>
    </row>
    <row r="288" ht="15.75" hidden="1" customHeight="1" outlineLevel="1">
      <c r="A288" s="261" t="s">
        <v>10833</v>
      </c>
      <c r="B288" s="231" t="s">
        <v>77</v>
      </c>
      <c r="C288" s="231" t="s">
        <v>33</v>
      </c>
      <c r="D288" s="157" t="s">
        <v>89</v>
      </c>
      <c r="E288" s="297" t="s">
        <v>33</v>
      </c>
      <c r="F288" s="168" t="s">
        <v>10992</v>
      </c>
      <c r="G288" s="157" t="s">
        <v>33</v>
      </c>
      <c r="H288" s="298" t="s">
        <v>11002</v>
      </c>
      <c r="I288" s="157" t="s">
        <v>29</v>
      </c>
      <c r="J288" s="257" t="s">
        <v>113</v>
      </c>
      <c r="K288" s="297" t="s">
        <v>27</v>
      </c>
      <c r="L288" s="157" t="s">
        <v>4</v>
      </c>
      <c r="M288" s="157" t="s">
        <v>29</v>
      </c>
      <c r="N288" s="167" t="s">
        <v>10498</v>
      </c>
      <c r="O288" s="55" t="str">
        <f t="shared" si="14"/>
        <v>L2.02.02.02.01.00</v>
      </c>
      <c r="P288" s="257" t="str">
        <f t="shared" si="12"/>
        <v>L2.02.02.02.01.00.01</v>
      </c>
      <c r="Q288" s="161" t="s">
        <v>10530</v>
      </c>
      <c r="R288" s="299" t="str">
        <f t="shared" si="13"/>
        <v>Ban giám đốc TTKD GP KTDN</v>
      </c>
      <c r="S288" s="269" t="s">
        <v>11006</v>
      </c>
      <c r="T288" s="265" t="s">
        <v>9647</v>
      </c>
      <c r="U288" s="265" t="s">
        <v>346</v>
      </c>
      <c r="V288" s="265" t="s">
        <v>112</v>
      </c>
      <c r="W288" s="265" t="s">
        <v>113</v>
      </c>
      <c r="X288" s="265"/>
      <c r="Y288" s="265"/>
      <c r="Z288" s="225" t="s">
        <v>11007</v>
      </c>
      <c r="AA288" s="300" t="s">
        <v>10530</v>
      </c>
      <c r="AB288" s="267"/>
      <c r="AC288" s="267"/>
      <c r="AD288" s="267"/>
    </row>
    <row r="289" ht="15.75" hidden="1" customHeight="1" outlineLevel="1">
      <c r="A289" s="261" t="s">
        <v>10833</v>
      </c>
      <c r="B289" s="231" t="s">
        <v>77</v>
      </c>
      <c r="C289" s="231" t="s">
        <v>33</v>
      </c>
      <c r="D289" s="157" t="s">
        <v>89</v>
      </c>
      <c r="E289" s="297" t="s">
        <v>33</v>
      </c>
      <c r="F289" s="168" t="s">
        <v>10992</v>
      </c>
      <c r="G289" s="157" t="s">
        <v>33</v>
      </c>
      <c r="H289" s="298" t="s">
        <v>11002</v>
      </c>
      <c r="I289" s="231" t="s">
        <v>33</v>
      </c>
      <c r="J289" s="184" t="s">
        <v>11008</v>
      </c>
      <c r="K289" s="297" t="s">
        <v>27</v>
      </c>
      <c r="L289" s="157" t="s">
        <v>4</v>
      </c>
      <c r="M289" s="157" t="s">
        <v>29</v>
      </c>
      <c r="N289" s="167" t="s">
        <v>10498</v>
      </c>
      <c r="O289" s="55" t="str">
        <f t="shared" si="14"/>
        <v>L2.02.02.02.02.00</v>
      </c>
      <c r="P289" s="257" t="str">
        <f t="shared" si="12"/>
        <v>L2.02.02.02.02.00.01</v>
      </c>
      <c r="Q289" s="161" t="s">
        <v>10530</v>
      </c>
      <c r="R289" s="273" t="str">
        <f t="shared" si="13"/>
        <v>Phòng KD bán mới KTDN 01</v>
      </c>
      <c r="S289" s="269" t="s">
        <v>11006</v>
      </c>
      <c r="T289" s="265" t="s">
        <v>1261</v>
      </c>
      <c r="U289" s="265" t="s">
        <v>346</v>
      </c>
      <c r="V289" s="265" t="s">
        <v>112</v>
      </c>
      <c r="W289" s="265" t="s">
        <v>1260</v>
      </c>
      <c r="X289" s="265"/>
      <c r="Y289" s="265"/>
      <c r="Z289" s="225" t="s">
        <v>11009</v>
      </c>
      <c r="AA289" s="300" t="s">
        <v>10530</v>
      </c>
      <c r="AB289" s="267"/>
      <c r="AC289" s="267"/>
      <c r="AD289" s="267"/>
    </row>
    <row r="290" ht="15.75" hidden="1" customHeight="1" outlineLevel="1">
      <c r="A290" s="261" t="s">
        <v>10833</v>
      </c>
      <c r="B290" s="231" t="s">
        <v>77</v>
      </c>
      <c r="C290" s="231" t="s">
        <v>33</v>
      </c>
      <c r="D290" s="157" t="s">
        <v>89</v>
      </c>
      <c r="E290" s="297" t="s">
        <v>33</v>
      </c>
      <c r="F290" s="168" t="s">
        <v>10992</v>
      </c>
      <c r="G290" s="157" t="s">
        <v>33</v>
      </c>
      <c r="H290" s="298" t="s">
        <v>11002</v>
      </c>
      <c r="I290" s="231" t="s">
        <v>35</v>
      </c>
      <c r="J290" s="184" t="s">
        <v>11010</v>
      </c>
      <c r="K290" s="297" t="s">
        <v>27</v>
      </c>
      <c r="L290" s="157" t="s">
        <v>4</v>
      </c>
      <c r="M290" s="157" t="s">
        <v>29</v>
      </c>
      <c r="N290" s="167" t="s">
        <v>10498</v>
      </c>
      <c r="O290" s="55" t="str">
        <f t="shared" si="14"/>
        <v>L2.02.02.02.03.00</v>
      </c>
      <c r="P290" s="257" t="str">
        <f t="shared" si="12"/>
        <v>L2.02.02.02.03.00.01</v>
      </c>
      <c r="Q290" s="161" t="s">
        <v>10530</v>
      </c>
      <c r="R290" s="273" t="str">
        <f t="shared" si="13"/>
        <v>Phòng KD bán mới KTDN 03</v>
      </c>
      <c r="S290" s="269" t="s">
        <v>11006</v>
      </c>
      <c r="T290" s="265" t="s">
        <v>391</v>
      </c>
      <c r="U290" s="265" t="s">
        <v>346</v>
      </c>
      <c r="V290" s="265" t="s">
        <v>112</v>
      </c>
      <c r="W290" s="265" t="s">
        <v>390</v>
      </c>
      <c r="X290" s="265"/>
      <c r="Y290" s="265"/>
      <c r="Z290" s="225" t="s">
        <v>11011</v>
      </c>
      <c r="AA290" s="300" t="s">
        <v>10530</v>
      </c>
      <c r="AB290" s="267"/>
      <c r="AC290" s="267"/>
      <c r="AD290" s="267"/>
    </row>
    <row r="291" ht="15.75" hidden="1" customHeight="1" outlineLevel="1">
      <c r="A291" s="261" t="s">
        <v>10833</v>
      </c>
      <c r="B291" s="231" t="s">
        <v>77</v>
      </c>
      <c r="C291" s="231" t="s">
        <v>33</v>
      </c>
      <c r="D291" s="157" t="s">
        <v>89</v>
      </c>
      <c r="E291" s="297" t="s">
        <v>33</v>
      </c>
      <c r="F291" s="168" t="s">
        <v>10992</v>
      </c>
      <c r="G291" s="157" t="s">
        <v>33</v>
      </c>
      <c r="H291" s="298" t="s">
        <v>11002</v>
      </c>
      <c r="I291" s="231" t="s">
        <v>37</v>
      </c>
      <c r="J291" s="184" t="s">
        <v>11012</v>
      </c>
      <c r="K291" s="297" t="s">
        <v>27</v>
      </c>
      <c r="L291" s="157" t="s">
        <v>4</v>
      </c>
      <c r="M291" s="157" t="s">
        <v>29</v>
      </c>
      <c r="N291" s="167" t="s">
        <v>10498</v>
      </c>
      <c r="O291" s="55" t="str">
        <f t="shared" si="14"/>
        <v>L2.02.02.02.04.00</v>
      </c>
      <c r="P291" s="257" t="str">
        <f t="shared" si="12"/>
        <v>L2.02.02.02.04.00.01</v>
      </c>
      <c r="Q291" s="161" t="s">
        <v>10530</v>
      </c>
      <c r="R291" s="273" t="str">
        <f t="shared" si="13"/>
        <v>Phòng KD bán mới KTDN 04</v>
      </c>
      <c r="S291" s="269" t="s">
        <v>11006</v>
      </c>
      <c r="T291" s="265" t="s">
        <v>404</v>
      </c>
      <c r="U291" s="265" t="s">
        <v>346</v>
      </c>
      <c r="V291" s="265" t="s">
        <v>112</v>
      </c>
      <c r="W291" s="265" t="s">
        <v>403</v>
      </c>
      <c r="X291" s="265"/>
      <c r="Y291" s="265"/>
      <c r="Z291" s="225" t="s">
        <v>11013</v>
      </c>
      <c r="AA291" s="300" t="s">
        <v>10530</v>
      </c>
      <c r="AB291" s="267"/>
      <c r="AC291" s="267"/>
      <c r="AD291" s="267"/>
    </row>
    <row r="292" ht="15.75" hidden="1" customHeight="1" outlineLevel="1">
      <c r="A292" s="261" t="s">
        <v>10833</v>
      </c>
      <c r="B292" s="231" t="s">
        <v>77</v>
      </c>
      <c r="C292" s="231" t="s">
        <v>33</v>
      </c>
      <c r="D292" s="157" t="s">
        <v>89</v>
      </c>
      <c r="E292" s="297" t="s">
        <v>33</v>
      </c>
      <c r="F292" s="168" t="s">
        <v>10992</v>
      </c>
      <c r="G292" s="157" t="s">
        <v>33</v>
      </c>
      <c r="H292" s="298" t="s">
        <v>11002</v>
      </c>
      <c r="I292" s="231" t="s">
        <v>42</v>
      </c>
      <c r="J292" s="184" t="s">
        <v>11014</v>
      </c>
      <c r="K292" s="297" t="s">
        <v>27</v>
      </c>
      <c r="L292" s="157" t="s">
        <v>4</v>
      </c>
      <c r="M292" s="157" t="s">
        <v>29</v>
      </c>
      <c r="N292" s="167" t="s">
        <v>10498</v>
      </c>
      <c r="O292" s="55" t="str">
        <f t="shared" si="14"/>
        <v>L2.02.02.02.05.00</v>
      </c>
      <c r="P292" s="257" t="str">
        <f t="shared" si="12"/>
        <v>L2.02.02.02.05.00.01</v>
      </c>
      <c r="Q292" s="161" t="s">
        <v>10530</v>
      </c>
      <c r="R292" s="273" t="str">
        <f t="shared" si="13"/>
        <v>Phòng KD bán mới KTDN 05</v>
      </c>
      <c r="S292" s="269" t="s">
        <v>11006</v>
      </c>
      <c r="T292" s="265" t="s">
        <v>1131</v>
      </c>
      <c r="U292" s="265" t="s">
        <v>346</v>
      </c>
      <c r="V292" s="265" t="s">
        <v>112</v>
      </c>
      <c r="W292" s="265" t="s">
        <v>1130</v>
      </c>
      <c r="X292" s="265"/>
      <c r="Y292" s="265"/>
      <c r="Z292" s="225" t="s">
        <v>11015</v>
      </c>
      <c r="AA292" s="300" t="s">
        <v>10530</v>
      </c>
      <c r="AB292" s="267"/>
      <c r="AC292" s="267"/>
      <c r="AD292" s="267"/>
    </row>
    <row r="293" ht="15.75" hidden="1" customHeight="1" outlineLevel="1">
      <c r="A293" s="261" t="s">
        <v>10833</v>
      </c>
      <c r="B293" s="231" t="s">
        <v>77</v>
      </c>
      <c r="C293" s="231" t="s">
        <v>33</v>
      </c>
      <c r="D293" s="157" t="s">
        <v>89</v>
      </c>
      <c r="E293" s="297" t="s">
        <v>33</v>
      </c>
      <c r="F293" s="168" t="s">
        <v>10992</v>
      </c>
      <c r="G293" s="157" t="s">
        <v>33</v>
      </c>
      <c r="H293" s="298" t="s">
        <v>11002</v>
      </c>
      <c r="I293" s="231" t="s">
        <v>44</v>
      </c>
      <c r="J293" s="184" t="s">
        <v>11016</v>
      </c>
      <c r="K293" s="297" t="s">
        <v>27</v>
      </c>
      <c r="L293" s="157" t="s">
        <v>4</v>
      </c>
      <c r="M293" s="157" t="s">
        <v>29</v>
      </c>
      <c r="N293" s="167" t="s">
        <v>10498</v>
      </c>
      <c r="O293" s="55" t="str">
        <f t="shared" si="14"/>
        <v>L2.02.02.02.06.00</v>
      </c>
      <c r="P293" s="257" t="str">
        <f t="shared" si="12"/>
        <v>L2.02.02.02.06.00.01</v>
      </c>
      <c r="Q293" s="161" t="s">
        <v>10530</v>
      </c>
      <c r="R293" s="273" t="str">
        <f t="shared" si="13"/>
        <v>Phòng KD bán mới KTDN 07</v>
      </c>
      <c r="S293" s="269" t="s">
        <v>11006</v>
      </c>
      <c r="T293" s="265" t="s">
        <v>1140</v>
      </c>
      <c r="U293" s="265" t="s">
        <v>346</v>
      </c>
      <c r="V293" s="265" t="s">
        <v>112</v>
      </c>
      <c r="W293" s="265" t="s">
        <v>1139</v>
      </c>
      <c r="X293" s="265"/>
      <c r="Y293" s="265"/>
      <c r="Z293" s="225" t="s">
        <v>11017</v>
      </c>
      <c r="AA293" s="300" t="s">
        <v>10530</v>
      </c>
      <c r="AB293" s="267"/>
      <c r="AC293" s="267"/>
      <c r="AD293" s="267"/>
    </row>
    <row r="294" ht="15.75" hidden="1" customHeight="1" outlineLevel="1">
      <c r="A294" s="261" t="s">
        <v>10833</v>
      </c>
      <c r="B294" s="231" t="s">
        <v>77</v>
      </c>
      <c r="C294" s="231" t="s">
        <v>33</v>
      </c>
      <c r="D294" s="157" t="s">
        <v>89</v>
      </c>
      <c r="E294" s="297" t="s">
        <v>33</v>
      </c>
      <c r="F294" s="168" t="s">
        <v>10992</v>
      </c>
      <c r="G294" s="157" t="s">
        <v>33</v>
      </c>
      <c r="H294" s="298" t="s">
        <v>11002</v>
      </c>
      <c r="I294" s="231" t="s">
        <v>46</v>
      </c>
      <c r="J294" s="184" t="s">
        <v>11018</v>
      </c>
      <c r="K294" s="297" t="s">
        <v>27</v>
      </c>
      <c r="L294" s="157" t="s">
        <v>4</v>
      </c>
      <c r="M294" s="157" t="s">
        <v>29</v>
      </c>
      <c r="N294" s="167" t="s">
        <v>10498</v>
      </c>
      <c r="O294" s="55" t="str">
        <f t="shared" si="14"/>
        <v>L2.02.02.02.07.00</v>
      </c>
      <c r="P294" s="257" t="str">
        <f t="shared" si="12"/>
        <v>L2.02.02.02.07.00.01</v>
      </c>
      <c r="Q294" s="161" t="s">
        <v>10530</v>
      </c>
      <c r="R294" s="273" t="str">
        <f t="shared" si="13"/>
        <v>Phòng KD bán mới KTDN 08</v>
      </c>
      <c r="S294" s="269" t="s">
        <v>11006</v>
      </c>
      <c r="T294" s="265" t="s">
        <v>398</v>
      </c>
      <c r="U294" s="265" t="s">
        <v>346</v>
      </c>
      <c r="V294" s="265" t="s">
        <v>112</v>
      </c>
      <c r="W294" s="265" t="s">
        <v>397</v>
      </c>
      <c r="X294" s="265"/>
      <c r="Y294" s="265"/>
      <c r="Z294" s="225" t="s">
        <v>11019</v>
      </c>
      <c r="AA294" s="300" t="s">
        <v>10530</v>
      </c>
      <c r="AB294" s="267"/>
      <c r="AC294" s="267"/>
      <c r="AD294" s="267"/>
    </row>
    <row r="295" ht="15.75" hidden="1" customHeight="1" outlineLevel="1">
      <c r="A295" s="261" t="s">
        <v>10833</v>
      </c>
      <c r="B295" s="231" t="s">
        <v>77</v>
      </c>
      <c r="C295" s="231" t="s">
        <v>33</v>
      </c>
      <c r="D295" s="157" t="s">
        <v>89</v>
      </c>
      <c r="E295" s="297" t="s">
        <v>33</v>
      </c>
      <c r="F295" s="168" t="s">
        <v>10992</v>
      </c>
      <c r="G295" s="157" t="s">
        <v>35</v>
      </c>
      <c r="H295" s="298" t="s">
        <v>11020</v>
      </c>
      <c r="I295" s="168" t="s">
        <v>27</v>
      </c>
      <c r="J295" s="258" t="s">
        <v>4</v>
      </c>
      <c r="K295" s="297" t="s">
        <v>27</v>
      </c>
      <c r="L295" s="157" t="s">
        <v>4</v>
      </c>
      <c r="M295" s="157" t="s">
        <v>29</v>
      </c>
      <c r="N295" s="167" t="s">
        <v>10498</v>
      </c>
      <c r="O295" s="55" t="str">
        <f t="shared" si="14"/>
        <v>L2.02.02.03.00.00</v>
      </c>
      <c r="P295" s="257" t="str">
        <f t="shared" si="12"/>
        <v>L2.02.02.03.00.00.01</v>
      </c>
      <c r="Q295" s="161" t="s">
        <v>10530</v>
      </c>
      <c r="R295" s="273" t="str">
        <f t="shared" si="13"/>
        <v>Trung tâm KD bán thêm - Hà Nội</v>
      </c>
      <c r="S295" s="274" t="str">
        <f>P286</f>
        <v>L2.02.02.03.00.00.00</v>
      </c>
      <c r="T295" s="264" t="s">
        <v>11021</v>
      </c>
      <c r="U295" s="265" t="s">
        <v>346</v>
      </c>
      <c r="V295" s="265" t="s">
        <v>263</v>
      </c>
      <c r="W295" s="265" t="s">
        <v>122</v>
      </c>
      <c r="X295" s="265"/>
      <c r="Y295" s="265"/>
      <c r="Z295" s="225" t="s">
        <v>11022</v>
      </c>
      <c r="AA295" s="300" t="s">
        <v>10530</v>
      </c>
      <c r="AB295" s="267"/>
      <c r="AC295" s="267"/>
      <c r="AD295" s="267"/>
    </row>
    <row r="296" ht="15.75" hidden="1" customHeight="1" outlineLevel="1">
      <c r="A296" s="261" t="s">
        <v>10833</v>
      </c>
      <c r="B296" s="231" t="s">
        <v>77</v>
      </c>
      <c r="C296" s="231" t="s">
        <v>33</v>
      </c>
      <c r="D296" s="157" t="s">
        <v>89</v>
      </c>
      <c r="E296" s="297" t="s">
        <v>33</v>
      </c>
      <c r="F296" s="168" t="s">
        <v>10992</v>
      </c>
      <c r="G296" s="157" t="s">
        <v>35</v>
      </c>
      <c r="H296" s="298" t="s">
        <v>11020</v>
      </c>
      <c r="I296" s="157" t="s">
        <v>29</v>
      </c>
      <c r="J296" s="257" t="s">
        <v>122</v>
      </c>
      <c r="K296" s="297" t="s">
        <v>27</v>
      </c>
      <c r="L296" s="157" t="s">
        <v>4</v>
      </c>
      <c r="M296" s="157" t="s">
        <v>29</v>
      </c>
      <c r="N296" s="167" t="s">
        <v>10498</v>
      </c>
      <c r="O296" s="55" t="str">
        <f t="shared" si="14"/>
        <v>L2.02.02.03.01.00</v>
      </c>
      <c r="P296" s="257" t="str">
        <f t="shared" si="12"/>
        <v>L2.02.02.03.01.00.01</v>
      </c>
      <c r="Q296" s="161" t="s">
        <v>10530</v>
      </c>
      <c r="R296" s="299" t="str">
        <f t="shared" si="13"/>
        <v>Ban giám đốc TTKD Bán thêm</v>
      </c>
      <c r="S296" s="269" t="s">
        <v>11023</v>
      </c>
      <c r="T296" s="265" t="s">
        <v>2663</v>
      </c>
      <c r="U296" s="265" t="s">
        <v>346</v>
      </c>
      <c r="V296" s="265" t="s">
        <v>263</v>
      </c>
      <c r="W296" s="265" t="s">
        <v>122</v>
      </c>
      <c r="X296" s="265"/>
      <c r="Y296" s="265"/>
      <c r="Z296" s="225" t="s">
        <v>11024</v>
      </c>
      <c r="AA296" s="300" t="s">
        <v>10530</v>
      </c>
      <c r="AB296" s="267"/>
      <c r="AC296" s="267"/>
      <c r="AD296" s="267"/>
    </row>
    <row r="297" ht="15.75" hidden="1" customHeight="1" outlineLevel="1">
      <c r="A297" s="261" t="s">
        <v>10833</v>
      </c>
      <c r="B297" s="231" t="s">
        <v>77</v>
      </c>
      <c r="C297" s="231" t="s">
        <v>33</v>
      </c>
      <c r="D297" s="157" t="s">
        <v>89</v>
      </c>
      <c r="E297" s="297" t="s">
        <v>33</v>
      </c>
      <c r="F297" s="168" t="s">
        <v>10992</v>
      </c>
      <c r="G297" s="157" t="s">
        <v>35</v>
      </c>
      <c r="H297" s="298" t="s">
        <v>11020</v>
      </c>
      <c r="I297" s="157" t="s">
        <v>33</v>
      </c>
      <c r="J297" s="257" t="s">
        <v>123</v>
      </c>
      <c r="K297" s="297" t="s">
        <v>27</v>
      </c>
      <c r="L297" s="157" t="s">
        <v>4</v>
      </c>
      <c r="M297" s="157" t="s">
        <v>29</v>
      </c>
      <c r="N297" s="167" t="s">
        <v>10498</v>
      </c>
      <c r="O297" s="55" t="str">
        <f t="shared" si="14"/>
        <v>L2.02.02.03.02.00</v>
      </c>
      <c r="P297" s="257" t="str">
        <f t="shared" si="12"/>
        <v>L2.02.02.03.02.00.01</v>
      </c>
      <c r="Q297" s="161" t="s">
        <v>10530</v>
      </c>
      <c r="R297" s="299" t="str">
        <f t="shared" si="13"/>
        <v>Phòng bán thêm GP KTDN</v>
      </c>
      <c r="S297" s="269" t="s">
        <v>11023</v>
      </c>
      <c r="T297" s="342" t="s">
        <v>11025</v>
      </c>
      <c r="U297" s="265" t="s">
        <v>346</v>
      </c>
      <c r="V297" s="265" t="s">
        <v>263</v>
      </c>
      <c r="W297" s="302" t="s">
        <v>123</v>
      </c>
      <c r="X297" s="265"/>
      <c r="Y297" s="265"/>
      <c r="Z297" s="225" t="s">
        <v>11026</v>
      </c>
      <c r="AA297" s="300" t="s">
        <v>10530</v>
      </c>
      <c r="AB297" s="267"/>
      <c r="AC297" s="267"/>
      <c r="AD297" s="267"/>
    </row>
    <row r="298" ht="15.75" hidden="1" customHeight="1" outlineLevel="1">
      <c r="A298" s="261" t="s">
        <v>10833</v>
      </c>
      <c r="B298" s="231" t="s">
        <v>77</v>
      </c>
      <c r="C298" s="231" t="s">
        <v>33</v>
      </c>
      <c r="D298" s="157" t="s">
        <v>89</v>
      </c>
      <c r="E298" s="297" t="s">
        <v>33</v>
      </c>
      <c r="F298" s="168" t="s">
        <v>10992</v>
      </c>
      <c r="G298" s="157" t="s">
        <v>35</v>
      </c>
      <c r="H298" s="298" t="s">
        <v>11020</v>
      </c>
      <c r="I298" s="157" t="s">
        <v>33</v>
      </c>
      <c r="J298" s="257" t="s">
        <v>123</v>
      </c>
      <c r="K298" s="297" t="s">
        <v>29</v>
      </c>
      <c r="L298" s="257" t="s">
        <v>124</v>
      </c>
      <c r="M298" s="157" t="s">
        <v>29</v>
      </c>
      <c r="N298" s="167" t="s">
        <v>10498</v>
      </c>
      <c r="O298" s="55" t="str">
        <f t="shared" si="14"/>
        <v>L2.02.02.03.02.01</v>
      </c>
      <c r="P298" s="257" t="str">
        <f t="shared" si="12"/>
        <v>L2.02.02.03.02.01.01</v>
      </c>
      <c r="Q298" s="161" t="s">
        <v>10530</v>
      </c>
      <c r="R298" s="299" t="str">
        <f t="shared" si="13"/>
        <v>Phòng bán thêm GP KTDN 01</v>
      </c>
      <c r="S298" s="269" t="s">
        <v>11027</v>
      </c>
      <c r="T298" s="265" t="s">
        <v>535</v>
      </c>
      <c r="U298" s="265" t="s">
        <v>346</v>
      </c>
      <c r="V298" s="265" t="s">
        <v>263</v>
      </c>
      <c r="W298" s="265" t="s">
        <v>123</v>
      </c>
      <c r="X298" s="265" t="s">
        <v>124</v>
      </c>
      <c r="Y298" s="265"/>
      <c r="Z298" s="225" t="s">
        <v>11028</v>
      </c>
      <c r="AA298" s="300" t="s">
        <v>10530</v>
      </c>
      <c r="AB298" s="267"/>
      <c r="AC298" s="267"/>
      <c r="AD298" s="267"/>
    </row>
    <row r="299" ht="15.75" hidden="1" customHeight="1" outlineLevel="1">
      <c r="A299" s="261" t="s">
        <v>10833</v>
      </c>
      <c r="B299" s="231" t="s">
        <v>77</v>
      </c>
      <c r="C299" s="231" t="s">
        <v>33</v>
      </c>
      <c r="D299" s="157" t="s">
        <v>89</v>
      </c>
      <c r="E299" s="297" t="s">
        <v>33</v>
      </c>
      <c r="F299" s="168" t="s">
        <v>10992</v>
      </c>
      <c r="G299" s="157" t="s">
        <v>35</v>
      </c>
      <c r="H299" s="298" t="s">
        <v>11020</v>
      </c>
      <c r="I299" s="157" t="s">
        <v>33</v>
      </c>
      <c r="J299" s="257" t="s">
        <v>123</v>
      </c>
      <c r="K299" s="297" t="s">
        <v>33</v>
      </c>
      <c r="L299" s="257" t="s">
        <v>125</v>
      </c>
      <c r="M299" s="157" t="s">
        <v>29</v>
      </c>
      <c r="N299" s="167" t="s">
        <v>10498</v>
      </c>
      <c r="O299" s="55" t="str">
        <f t="shared" si="14"/>
        <v>L2.02.02.03.02.02</v>
      </c>
      <c r="P299" s="257" t="str">
        <f t="shared" si="12"/>
        <v>L2.02.02.03.02.02.01</v>
      </c>
      <c r="Q299" s="161" t="s">
        <v>10530</v>
      </c>
      <c r="R299" s="299" t="str">
        <f t="shared" si="13"/>
        <v>Phòng bán thêm GP KTDN 02</v>
      </c>
      <c r="S299" s="269" t="s">
        <v>11027</v>
      </c>
      <c r="T299" s="265" t="s">
        <v>430</v>
      </c>
      <c r="U299" s="265" t="s">
        <v>346</v>
      </c>
      <c r="V299" s="265" t="s">
        <v>263</v>
      </c>
      <c r="W299" s="265" t="s">
        <v>123</v>
      </c>
      <c r="X299" s="265" t="s">
        <v>125</v>
      </c>
      <c r="Y299" s="265"/>
      <c r="Z299" s="225" t="s">
        <v>11029</v>
      </c>
      <c r="AA299" s="300" t="s">
        <v>10530</v>
      </c>
      <c r="AB299" s="267"/>
      <c r="AC299" s="267"/>
      <c r="AD299" s="267"/>
    </row>
    <row r="300" ht="15.75" hidden="1" customHeight="1" outlineLevel="1">
      <c r="A300" s="261" t="s">
        <v>10833</v>
      </c>
      <c r="B300" s="231" t="s">
        <v>77</v>
      </c>
      <c r="C300" s="231" t="s">
        <v>33</v>
      </c>
      <c r="D300" s="157" t="s">
        <v>89</v>
      </c>
      <c r="E300" s="297" t="s">
        <v>33</v>
      </c>
      <c r="F300" s="168" t="s">
        <v>10992</v>
      </c>
      <c r="G300" s="157" t="s">
        <v>35</v>
      </c>
      <c r="H300" s="298" t="s">
        <v>11020</v>
      </c>
      <c r="I300" s="157" t="s">
        <v>35</v>
      </c>
      <c r="J300" s="257" t="s">
        <v>126</v>
      </c>
      <c r="K300" s="297" t="s">
        <v>27</v>
      </c>
      <c r="L300" s="157" t="s">
        <v>4</v>
      </c>
      <c r="M300" s="157" t="s">
        <v>29</v>
      </c>
      <c r="N300" s="167" t="s">
        <v>10498</v>
      </c>
      <c r="O300" s="55" t="str">
        <f t="shared" si="14"/>
        <v>L2.02.02.03.03.00</v>
      </c>
      <c r="P300" s="257" t="str">
        <f t="shared" si="12"/>
        <v>L2.02.02.03.03.00.01</v>
      </c>
      <c r="Q300" s="161" t="s">
        <v>10530</v>
      </c>
      <c r="R300" s="299" t="str">
        <f t="shared" si="13"/>
        <v>Phòng bán thêm GP HDDT</v>
      </c>
      <c r="S300" s="269" t="s">
        <v>11023</v>
      </c>
      <c r="T300" s="342" t="s">
        <v>11030</v>
      </c>
      <c r="U300" s="265" t="s">
        <v>346</v>
      </c>
      <c r="V300" s="265" t="s">
        <v>263</v>
      </c>
      <c r="W300" s="302" t="s">
        <v>356</v>
      </c>
      <c r="X300" s="265"/>
      <c r="Y300" s="265"/>
      <c r="Z300" s="225" t="s">
        <v>11031</v>
      </c>
      <c r="AA300" s="300" t="s">
        <v>10530</v>
      </c>
      <c r="AB300" s="267"/>
      <c r="AC300" s="267"/>
      <c r="AD300" s="267"/>
    </row>
    <row r="301" ht="15.75" hidden="1" customHeight="1" outlineLevel="1">
      <c r="A301" s="261" t="s">
        <v>10833</v>
      </c>
      <c r="B301" s="231" t="s">
        <v>77</v>
      </c>
      <c r="C301" s="231" t="s">
        <v>33</v>
      </c>
      <c r="D301" s="157" t="s">
        <v>89</v>
      </c>
      <c r="E301" s="297" t="s">
        <v>33</v>
      </c>
      <c r="F301" s="168" t="s">
        <v>10992</v>
      </c>
      <c r="G301" s="157" t="s">
        <v>35</v>
      </c>
      <c r="H301" s="298" t="s">
        <v>11020</v>
      </c>
      <c r="I301" s="157" t="s">
        <v>35</v>
      </c>
      <c r="J301" s="257" t="s">
        <v>126</v>
      </c>
      <c r="K301" s="297" t="s">
        <v>29</v>
      </c>
      <c r="L301" s="257" t="s">
        <v>127</v>
      </c>
      <c r="M301" s="157" t="s">
        <v>29</v>
      </c>
      <c r="N301" s="167" t="s">
        <v>10498</v>
      </c>
      <c r="O301" s="55" t="str">
        <f t="shared" si="14"/>
        <v>L2.02.02.03.03.01</v>
      </c>
      <c r="P301" s="257" t="str">
        <f t="shared" si="12"/>
        <v>L2.02.02.03.03.01.01</v>
      </c>
      <c r="Q301" s="161" t="s">
        <v>10530</v>
      </c>
      <c r="R301" s="299" t="str">
        <f t="shared" si="13"/>
        <v>Phòng bán thêm GP HDDT 01</v>
      </c>
      <c r="S301" s="269" t="s">
        <v>11032</v>
      </c>
      <c r="T301" s="265" t="s">
        <v>357</v>
      </c>
      <c r="U301" s="265" t="s">
        <v>346</v>
      </c>
      <c r="V301" s="265" t="s">
        <v>263</v>
      </c>
      <c r="W301" s="265" t="s">
        <v>356</v>
      </c>
      <c r="X301" s="265" t="s">
        <v>355</v>
      </c>
      <c r="Y301" s="265"/>
      <c r="Z301" s="225" t="s">
        <v>11033</v>
      </c>
      <c r="AA301" s="300" t="s">
        <v>10530</v>
      </c>
      <c r="AB301" s="267"/>
      <c r="AC301" s="267"/>
      <c r="AD301" s="267"/>
    </row>
    <row r="302" ht="15.75" hidden="1" customHeight="1" outlineLevel="1">
      <c r="A302" s="261" t="s">
        <v>10833</v>
      </c>
      <c r="B302" s="231" t="s">
        <v>77</v>
      </c>
      <c r="C302" s="231" t="s">
        <v>33</v>
      </c>
      <c r="D302" s="157" t="s">
        <v>89</v>
      </c>
      <c r="E302" s="297" t="s">
        <v>33</v>
      </c>
      <c r="F302" s="168" t="s">
        <v>10992</v>
      </c>
      <c r="G302" s="157" t="s">
        <v>35</v>
      </c>
      <c r="H302" s="298" t="s">
        <v>11020</v>
      </c>
      <c r="I302" s="157" t="s">
        <v>35</v>
      </c>
      <c r="J302" s="257" t="s">
        <v>126</v>
      </c>
      <c r="K302" s="297" t="s">
        <v>33</v>
      </c>
      <c r="L302" s="257" t="s">
        <v>128</v>
      </c>
      <c r="M302" s="157" t="s">
        <v>29</v>
      </c>
      <c r="N302" s="167" t="s">
        <v>10498</v>
      </c>
      <c r="O302" s="55" t="str">
        <f t="shared" si="14"/>
        <v>L2.02.02.03.03.02</v>
      </c>
      <c r="P302" s="257" t="str">
        <f t="shared" si="12"/>
        <v>L2.02.02.03.03.02.01</v>
      </c>
      <c r="Q302" s="161" t="s">
        <v>10530</v>
      </c>
      <c r="R302" s="299" t="str">
        <f t="shared" si="13"/>
        <v>Phòng bán thêm GP HDDT 02</v>
      </c>
      <c r="S302" s="269" t="s">
        <v>11032</v>
      </c>
      <c r="T302" s="265" t="s">
        <v>548</v>
      </c>
      <c r="U302" s="265" t="s">
        <v>346</v>
      </c>
      <c r="V302" s="265" t="s">
        <v>263</v>
      </c>
      <c r="W302" s="265" t="s">
        <v>356</v>
      </c>
      <c r="X302" s="265" t="s">
        <v>547</v>
      </c>
      <c r="Y302" s="265"/>
      <c r="Z302" s="225" t="s">
        <v>11034</v>
      </c>
      <c r="AA302" s="300" t="s">
        <v>10530</v>
      </c>
      <c r="AB302" s="267"/>
      <c r="AC302" s="267"/>
      <c r="AD302" s="267"/>
    </row>
    <row r="303" ht="15.75" hidden="1" customHeight="1" outlineLevel="1">
      <c r="A303" s="261" t="s">
        <v>10833</v>
      </c>
      <c r="B303" s="231" t="s">
        <v>77</v>
      </c>
      <c r="C303" s="231" t="s">
        <v>33</v>
      </c>
      <c r="D303" s="157" t="s">
        <v>89</v>
      </c>
      <c r="E303" s="297" t="s">
        <v>33</v>
      </c>
      <c r="F303" s="168" t="s">
        <v>10992</v>
      </c>
      <c r="G303" s="157" t="s">
        <v>35</v>
      </c>
      <c r="H303" s="298" t="s">
        <v>11020</v>
      </c>
      <c r="I303" s="157" t="s">
        <v>35</v>
      </c>
      <c r="J303" s="257" t="s">
        <v>126</v>
      </c>
      <c r="K303" s="168" t="s">
        <v>35</v>
      </c>
      <c r="L303" s="301" t="s">
        <v>11035</v>
      </c>
      <c r="M303" s="157" t="s">
        <v>29</v>
      </c>
      <c r="N303" s="167" t="s">
        <v>10498</v>
      </c>
      <c r="O303" s="55" t="str">
        <f t="shared" si="14"/>
        <v>L2.02.02.03.03.03</v>
      </c>
      <c r="P303" s="257" t="str">
        <f t="shared" si="12"/>
        <v>L2.02.02.03.03.03.01</v>
      </c>
      <c r="Q303" s="161" t="s">
        <v>10530</v>
      </c>
      <c r="R303" s="299" t="str">
        <f t="shared" si="13"/>
        <v>Phòng bán thêm GP HDDT 03</v>
      </c>
      <c r="S303" s="269" t="s">
        <v>11032</v>
      </c>
      <c r="T303" s="265" t="s">
        <v>541</v>
      </c>
      <c r="U303" s="265" t="s">
        <v>346</v>
      </c>
      <c r="V303" s="265" t="s">
        <v>263</v>
      </c>
      <c r="W303" s="265" t="s">
        <v>356</v>
      </c>
      <c r="X303" s="265" t="s">
        <v>540</v>
      </c>
      <c r="Y303" s="265"/>
      <c r="Z303" s="225" t="s">
        <v>11036</v>
      </c>
      <c r="AA303" s="300" t="s">
        <v>10530</v>
      </c>
      <c r="AB303" s="267"/>
      <c r="AC303" s="267"/>
      <c r="AD303" s="267"/>
    </row>
    <row r="304" ht="15.75" hidden="1" customHeight="1" outlineLevel="1">
      <c r="A304" s="261" t="s">
        <v>10833</v>
      </c>
      <c r="B304" s="231" t="s">
        <v>77</v>
      </c>
      <c r="C304" s="231" t="s">
        <v>33</v>
      </c>
      <c r="D304" s="157" t="s">
        <v>89</v>
      </c>
      <c r="E304" s="297" t="s">
        <v>33</v>
      </c>
      <c r="F304" s="168" t="s">
        <v>10992</v>
      </c>
      <c r="G304" s="157" t="s">
        <v>35</v>
      </c>
      <c r="H304" s="298" t="s">
        <v>11020</v>
      </c>
      <c r="I304" s="157" t="s">
        <v>37</v>
      </c>
      <c r="J304" s="257" t="s">
        <v>129</v>
      </c>
      <c r="K304" s="297" t="s">
        <v>27</v>
      </c>
      <c r="L304" s="157" t="s">
        <v>4</v>
      </c>
      <c r="M304" s="157" t="s">
        <v>29</v>
      </c>
      <c r="N304" s="167" t="s">
        <v>10498</v>
      </c>
      <c r="O304" s="55" t="str">
        <f t="shared" si="14"/>
        <v>L2.02.02.03.04.00</v>
      </c>
      <c r="P304" s="257" t="str">
        <f t="shared" si="12"/>
        <v>L2.02.02.03.04.00.01</v>
      </c>
      <c r="Q304" s="161" t="s">
        <v>10530</v>
      </c>
      <c r="R304" s="299" t="str">
        <f t="shared" si="13"/>
        <v>Phòng KD chuyển đổi GPKT</v>
      </c>
      <c r="S304" s="269" t="s">
        <v>11023</v>
      </c>
      <c r="T304" s="265" t="s">
        <v>768</v>
      </c>
      <c r="U304" s="265" t="s">
        <v>346</v>
      </c>
      <c r="V304" s="265" t="s">
        <v>263</v>
      </c>
      <c r="W304" s="265" t="s">
        <v>767</v>
      </c>
      <c r="X304" s="265" t="s">
        <v>766</v>
      </c>
      <c r="Y304" s="265"/>
      <c r="Z304" s="225" t="s">
        <v>11037</v>
      </c>
      <c r="AA304" s="300" t="s">
        <v>10530</v>
      </c>
      <c r="AB304" s="267"/>
      <c r="AC304" s="267"/>
      <c r="AD304" s="267"/>
    </row>
    <row r="305" ht="15.75" hidden="1" customHeight="1" outlineLevel="1">
      <c r="A305" s="261" t="s">
        <v>10833</v>
      </c>
      <c r="B305" s="231" t="s">
        <v>77</v>
      </c>
      <c r="C305" s="231" t="s">
        <v>33</v>
      </c>
      <c r="D305" s="157" t="s">
        <v>89</v>
      </c>
      <c r="E305" s="297" t="s">
        <v>33</v>
      </c>
      <c r="F305" s="168" t="s">
        <v>10992</v>
      </c>
      <c r="G305" s="157" t="s">
        <v>35</v>
      </c>
      <c r="H305" s="298" t="s">
        <v>11020</v>
      </c>
      <c r="I305" s="157" t="s">
        <v>42</v>
      </c>
      <c r="J305" s="257" t="s">
        <v>130</v>
      </c>
      <c r="K305" s="297" t="s">
        <v>27</v>
      </c>
      <c r="L305" s="157" t="s">
        <v>4</v>
      </c>
      <c r="M305" s="157" t="s">
        <v>29</v>
      </c>
      <c r="N305" s="167" t="s">
        <v>10498</v>
      </c>
      <c r="O305" s="55" t="str">
        <f t="shared" si="14"/>
        <v>L2.02.02.03.05.00</v>
      </c>
      <c r="P305" s="257" t="str">
        <f t="shared" si="12"/>
        <v>L2.02.02.03.05.00.01</v>
      </c>
      <c r="Q305" s="161" t="s">
        <v>10530</v>
      </c>
      <c r="R305" s="299" t="str">
        <f t="shared" si="13"/>
        <v>Phòng bán thêm GP Ký điện tử</v>
      </c>
      <c r="S305" s="269" t="s">
        <v>11023</v>
      </c>
      <c r="T305" s="265" t="s">
        <v>410</v>
      </c>
      <c r="U305" s="265" t="s">
        <v>346</v>
      </c>
      <c r="V305" s="265" t="s">
        <v>263</v>
      </c>
      <c r="W305" s="265" t="s">
        <v>130</v>
      </c>
      <c r="X305" s="265"/>
      <c r="Y305" s="265"/>
      <c r="Z305" s="225" t="s">
        <v>11038</v>
      </c>
      <c r="AA305" s="300" t="s">
        <v>10530</v>
      </c>
      <c r="AB305" s="267"/>
      <c r="AC305" s="267"/>
      <c r="AD305" s="267"/>
    </row>
    <row r="306" ht="15.75" hidden="1" customHeight="1" outlineLevel="1">
      <c r="A306" s="228" t="s">
        <v>10833</v>
      </c>
      <c r="B306" s="270" t="s">
        <v>77</v>
      </c>
      <c r="C306" s="270" t="s">
        <v>33</v>
      </c>
      <c r="D306" s="209" t="s">
        <v>89</v>
      </c>
      <c r="E306" s="271" t="s">
        <v>33</v>
      </c>
      <c r="F306" s="182" t="s">
        <v>10992</v>
      </c>
      <c r="G306" s="209" t="s">
        <v>35</v>
      </c>
      <c r="H306" s="212" t="s">
        <v>11020</v>
      </c>
      <c r="I306" s="209" t="s">
        <v>42</v>
      </c>
      <c r="J306" s="272" t="s">
        <v>130</v>
      </c>
      <c r="K306" s="182" t="s">
        <v>29</v>
      </c>
      <c r="L306" s="303" t="s">
        <v>11039</v>
      </c>
      <c r="M306" s="209" t="s">
        <v>29</v>
      </c>
      <c r="N306" s="181" t="s">
        <v>10498</v>
      </c>
      <c r="O306" s="58" t="str">
        <f t="shared" si="14"/>
        <v>L2.02.02.03.05.01</v>
      </c>
      <c r="P306" s="272" t="str">
        <f t="shared" si="12"/>
        <v>L2.02.02.03.05.01.01</v>
      </c>
      <c r="Q306" s="185" t="s">
        <v>10530</v>
      </c>
      <c r="R306" s="273" t="str">
        <f t="shared" si="13"/>
        <v>Phòng bán thêm GP Ký điện tử 01</v>
      </c>
      <c r="S306" s="274" t="s">
        <v>11023</v>
      </c>
      <c r="T306" s="183" t="s">
        <v>410</v>
      </c>
      <c r="U306" s="183" t="s">
        <v>346</v>
      </c>
      <c r="V306" s="183" t="s">
        <v>263</v>
      </c>
      <c r="W306" s="183" t="s">
        <v>130</v>
      </c>
      <c r="X306" s="183"/>
      <c r="Y306" s="183"/>
      <c r="Z306" s="275" t="s">
        <v>11040</v>
      </c>
      <c r="AA306" s="304" t="s">
        <v>10530</v>
      </c>
      <c r="AB306" s="277"/>
      <c r="AC306" s="277"/>
      <c r="AD306" s="277"/>
    </row>
    <row r="307" ht="15.75" hidden="1" customHeight="1" outlineLevel="1">
      <c r="A307" s="261" t="s">
        <v>10833</v>
      </c>
      <c r="B307" s="231" t="s">
        <v>77</v>
      </c>
      <c r="C307" s="231" t="s">
        <v>33</v>
      </c>
      <c r="D307" s="157" t="s">
        <v>89</v>
      </c>
      <c r="E307" s="297" t="s">
        <v>33</v>
      </c>
      <c r="F307" s="168" t="s">
        <v>10992</v>
      </c>
      <c r="G307" s="157" t="s">
        <v>35</v>
      </c>
      <c r="H307" s="298" t="s">
        <v>11020</v>
      </c>
      <c r="I307" s="157" t="s">
        <v>44</v>
      </c>
      <c r="J307" s="257" t="s">
        <v>131</v>
      </c>
      <c r="K307" s="297" t="s">
        <v>27</v>
      </c>
      <c r="L307" s="157" t="s">
        <v>4</v>
      </c>
      <c r="M307" s="157" t="s">
        <v>29</v>
      </c>
      <c r="N307" s="167" t="s">
        <v>10498</v>
      </c>
      <c r="O307" s="55" t="str">
        <f t="shared" si="14"/>
        <v>L2.02.02.03.06.00</v>
      </c>
      <c r="P307" s="257" t="str">
        <f t="shared" si="12"/>
        <v>L2.02.02.03.06.00.01</v>
      </c>
      <c r="Q307" s="161" t="s">
        <v>10530</v>
      </c>
      <c r="R307" s="299" t="str">
        <f t="shared" si="13"/>
        <v>Phòng KD meInvoice dự án</v>
      </c>
      <c r="S307" s="269" t="s">
        <v>11023</v>
      </c>
      <c r="T307" s="265" t="s">
        <v>748</v>
      </c>
      <c r="U307" s="265" t="s">
        <v>346</v>
      </c>
      <c r="V307" s="265" t="s">
        <v>263</v>
      </c>
      <c r="W307" s="265" t="s">
        <v>747</v>
      </c>
      <c r="X307" s="265"/>
      <c r="Y307" s="265"/>
      <c r="Z307" s="225" t="s">
        <v>11041</v>
      </c>
      <c r="AA307" s="300" t="s">
        <v>10530</v>
      </c>
      <c r="AB307" s="267"/>
      <c r="AC307" s="267"/>
      <c r="AD307" s="267"/>
    </row>
    <row r="308" ht="15.75" hidden="1" customHeight="1" outlineLevel="1">
      <c r="A308" s="261" t="s">
        <v>10833</v>
      </c>
      <c r="B308" s="231" t="s">
        <v>77</v>
      </c>
      <c r="C308" s="231" t="s">
        <v>33</v>
      </c>
      <c r="D308" s="157" t="s">
        <v>89</v>
      </c>
      <c r="E308" s="297" t="s">
        <v>33</v>
      </c>
      <c r="F308" s="168" t="s">
        <v>10992</v>
      </c>
      <c r="G308" s="157" t="s">
        <v>33</v>
      </c>
      <c r="H308" s="298" t="s">
        <v>11042</v>
      </c>
      <c r="I308" s="168" t="s">
        <v>27</v>
      </c>
      <c r="J308" s="258" t="s">
        <v>4</v>
      </c>
      <c r="K308" s="297" t="s">
        <v>27</v>
      </c>
      <c r="L308" s="157" t="s">
        <v>4</v>
      </c>
      <c r="M308" s="157" t="s">
        <v>33</v>
      </c>
      <c r="N308" s="167" t="s">
        <v>10499</v>
      </c>
      <c r="O308" s="55" t="str">
        <f t="shared" si="14"/>
        <v>L2.02.02.02.00.00</v>
      </c>
      <c r="P308" s="257" t="str">
        <f t="shared" si="12"/>
        <v>L2.02.02.02.00.00.02</v>
      </c>
      <c r="Q308" s="161" t="s">
        <v>10530</v>
      </c>
      <c r="R308" s="299" t="str">
        <f t="shared" si="13"/>
        <v>Trung tâm KD giải pháp KTDN - Hồ Chí Minh</v>
      </c>
      <c r="S308" s="274" t="s">
        <v>11003</v>
      </c>
      <c r="T308" s="264" t="s">
        <v>11043</v>
      </c>
      <c r="U308" s="265" t="s">
        <v>262</v>
      </c>
      <c r="V308" s="265" t="s">
        <v>2219</v>
      </c>
      <c r="W308" s="265"/>
      <c r="X308" s="265"/>
      <c r="Y308" s="265"/>
      <c r="Z308" s="225" t="s">
        <v>11044</v>
      </c>
      <c r="AA308" s="300" t="s">
        <v>10530</v>
      </c>
      <c r="AB308" s="267"/>
      <c r="AC308" s="267"/>
      <c r="AD308" s="267"/>
    </row>
    <row r="309" ht="15.75" hidden="1" customHeight="1" outlineLevel="1">
      <c r="A309" s="261" t="s">
        <v>10833</v>
      </c>
      <c r="B309" s="231" t="s">
        <v>77</v>
      </c>
      <c r="C309" s="231" t="s">
        <v>33</v>
      </c>
      <c r="D309" s="157" t="s">
        <v>89</v>
      </c>
      <c r="E309" s="297" t="s">
        <v>33</v>
      </c>
      <c r="F309" s="168" t="s">
        <v>10992</v>
      </c>
      <c r="G309" s="157" t="s">
        <v>33</v>
      </c>
      <c r="H309" s="298" t="s">
        <v>11042</v>
      </c>
      <c r="I309" s="157" t="s">
        <v>29</v>
      </c>
      <c r="J309" s="257" t="s">
        <v>113</v>
      </c>
      <c r="K309" s="297" t="s">
        <v>27</v>
      </c>
      <c r="L309" s="157" t="s">
        <v>4</v>
      </c>
      <c r="M309" s="157" t="s">
        <v>33</v>
      </c>
      <c r="N309" s="167" t="s">
        <v>10499</v>
      </c>
      <c r="O309" s="55" t="str">
        <f t="shared" si="14"/>
        <v>L2.02.02.02.01.00</v>
      </c>
      <c r="P309" s="257" t="str">
        <f t="shared" si="12"/>
        <v>L2.02.02.02.01.00.02</v>
      </c>
      <c r="Q309" s="161" t="s">
        <v>10530</v>
      </c>
      <c r="R309" s="299" t="str">
        <f t="shared" si="13"/>
        <v>Ban giám đốc TTKD GP KTDN</v>
      </c>
      <c r="S309" s="269" t="s">
        <v>11045</v>
      </c>
      <c r="T309" s="265" t="s">
        <v>7661</v>
      </c>
      <c r="U309" s="265" t="s">
        <v>262</v>
      </c>
      <c r="V309" s="265" t="s">
        <v>2219</v>
      </c>
      <c r="W309" s="265" t="s">
        <v>7230</v>
      </c>
      <c r="X309" s="265"/>
      <c r="Y309" s="265"/>
      <c r="Z309" s="225" t="s">
        <v>11046</v>
      </c>
      <c r="AA309" s="300" t="s">
        <v>10530</v>
      </c>
      <c r="AB309" s="267"/>
      <c r="AC309" s="267"/>
      <c r="AD309" s="267"/>
    </row>
    <row r="310" ht="15.75" hidden="1" customHeight="1" outlineLevel="1">
      <c r="A310" s="261" t="s">
        <v>10833</v>
      </c>
      <c r="B310" s="231" t="s">
        <v>77</v>
      </c>
      <c r="C310" s="231" t="s">
        <v>33</v>
      </c>
      <c r="D310" s="157" t="s">
        <v>89</v>
      </c>
      <c r="E310" s="297" t="s">
        <v>33</v>
      </c>
      <c r="F310" s="168" t="s">
        <v>10992</v>
      </c>
      <c r="G310" s="157" t="s">
        <v>33</v>
      </c>
      <c r="H310" s="298" t="s">
        <v>11042</v>
      </c>
      <c r="I310" s="231" t="s">
        <v>33</v>
      </c>
      <c r="J310" s="184" t="s">
        <v>11008</v>
      </c>
      <c r="K310" s="297" t="s">
        <v>27</v>
      </c>
      <c r="L310" s="157" t="s">
        <v>4</v>
      </c>
      <c r="M310" s="157" t="s">
        <v>33</v>
      </c>
      <c r="N310" s="167" t="s">
        <v>10499</v>
      </c>
      <c r="O310" s="55" t="str">
        <f t="shared" si="14"/>
        <v>L2.02.02.02.02.00</v>
      </c>
      <c r="P310" s="257" t="str">
        <f t="shared" si="12"/>
        <v>L2.02.02.02.02.00.02</v>
      </c>
      <c r="Q310" s="161" t="s">
        <v>10530</v>
      </c>
      <c r="R310" s="273" t="str">
        <f t="shared" si="13"/>
        <v>Phòng KD bán mới KTDN 01</v>
      </c>
      <c r="S310" s="269" t="s">
        <v>11045</v>
      </c>
      <c r="T310" s="265" t="s">
        <v>2281</v>
      </c>
      <c r="U310" s="265" t="s">
        <v>262</v>
      </c>
      <c r="V310" s="265" t="s">
        <v>2219</v>
      </c>
      <c r="W310" s="265" t="s">
        <v>1260</v>
      </c>
      <c r="X310" s="265"/>
      <c r="Y310" s="265"/>
      <c r="Z310" s="225" t="s">
        <v>11047</v>
      </c>
      <c r="AA310" s="300" t="s">
        <v>10530</v>
      </c>
      <c r="AB310" s="267"/>
      <c r="AC310" s="267"/>
      <c r="AD310" s="267"/>
    </row>
    <row r="311" ht="15.75" hidden="1" customHeight="1" outlineLevel="1">
      <c r="A311" s="261" t="s">
        <v>10833</v>
      </c>
      <c r="B311" s="231" t="s">
        <v>77</v>
      </c>
      <c r="C311" s="231" t="s">
        <v>33</v>
      </c>
      <c r="D311" s="157" t="s">
        <v>89</v>
      </c>
      <c r="E311" s="297" t="s">
        <v>33</v>
      </c>
      <c r="F311" s="168" t="s">
        <v>10992</v>
      </c>
      <c r="G311" s="157" t="s">
        <v>33</v>
      </c>
      <c r="H311" s="298" t="s">
        <v>11042</v>
      </c>
      <c r="I311" s="231" t="s">
        <v>35</v>
      </c>
      <c r="J311" s="184" t="s">
        <v>11048</v>
      </c>
      <c r="K311" s="297" t="s">
        <v>27</v>
      </c>
      <c r="L311" s="157" t="s">
        <v>4</v>
      </c>
      <c r="M311" s="157" t="s">
        <v>33</v>
      </c>
      <c r="N311" s="167" t="s">
        <v>10499</v>
      </c>
      <c r="O311" s="55" t="str">
        <f t="shared" si="14"/>
        <v>L2.02.02.02.03.00</v>
      </c>
      <c r="P311" s="257" t="str">
        <f t="shared" si="12"/>
        <v>L2.02.02.02.03.00.02</v>
      </c>
      <c r="Q311" s="161" t="s">
        <v>10530</v>
      </c>
      <c r="R311" s="273" t="str">
        <f t="shared" si="13"/>
        <v>Phòng KD bán mới KTDN 02</v>
      </c>
      <c r="S311" s="269" t="s">
        <v>11045</v>
      </c>
      <c r="T311" s="265" t="s">
        <v>2286</v>
      </c>
      <c r="U311" s="265" t="s">
        <v>262</v>
      </c>
      <c r="V311" s="265" t="s">
        <v>2219</v>
      </c>
      <c r="W311" s="265" t="s">
        <v>2285</v>
      </c>
      <c r="X311" s="265"/>
      <c r="Y311" s="265"/>
      <c r="Z311" s="225" t="s">
        <v>11049</v>
      </c>
      <c r="AA311" s="300" t="s">
        <v>10530</v>
      </c>
      <c r="AB311" s="267"/>
      <c r="AC311" s="267"/>
      <c r="AD311" s="267"/>
    </row>
    <row r="312" ht="15.75" hidden="1" customHeight="1" outlineLevel="1">
      <c r="A312" s="261" t="s">
        <v>10833</v>
      </c>
      <c r="B312" s="231" t="s">
        <v>77</v>
      </c>
      <c r="C312" s="231" t="s">
        <v>33</v>
      </c>
      <c r="D312" s="157" t="s">
        <v>89</v>
      </c>
      <c r="E312" s="297" t="s">
        <v>33</v>
      </c>
      <c r="F312" s="168" t="s">
        <v>10992</v>
      </c>
      <c r="G312" s="157" t="s">
        <v>33</v>
      </c>
      <c r="H312" s="298" t="s">
        <v>11042</v>
      </c>
      <c r="I312" s="231" t="s">
        <v>37</v>
      </c>
      <c r="J312" s="184" t="s">
        <v>11010</v>
      </c>
      <c r="K312" s="297" t="s">
        <v>27</v>
      </c>
      <c r="L312" s="157" t="s">
        <v>4</v>
      </c>
      <c r="M312" s="157" t="s">
        <v>33</v>
      </c>
      <c r="N312" s="167" t="s">
        <v>10499</v>
      </c>
      <c r="O312" s="55" t="str">
        <f t="shared" si="14"/>
        <v>L2.02.02.02.04.00</v>
      </c>
      <c r="P312" s="257" t="str">
        <f t="shared" si="12"/>
        <v>L2.02.02.02.04.00.02</v>
      </c>
      <c r="Q312" s="161" t="s">
        <v>10530</v>
      </c>
      <c r="R312" s="273" t="str">
        <f t="shared" si="13"/>
        <v>Phòng KD bán mới KTDN 03</v>
      </c>
      <c r="S312" s="269" t="s">
        <v>11045</v>
      </c>
      <c r="T312" s="265" t="s">
        <v>2290</v>
      </c>
      <c r="U312" s="265" t="s">
        <v>262</v>
      </c>
      <c r="V312" s="265" t="s">
        <v>2219</v>
      </c>
      <c r="W312" s="265" t="s">
        <v>390</v>
      </c>
      <c r="X312" s="265"/>
      <c r="Y312" s="265"/>
      <c r="Z312" s="225" t="s">
        <v>11050</v>
      </c>
      <c r="AA312" s="300" t="s">
        <v>10530</v>
      </c>
      <c r="AB312" s="267"/>
      <c r="AC312" s="267"/>
      <c r="AD312" s="267"/>
    </row>
    <row r="313" ht="15.75" hidden="1" customHeight="1" outlineLevel="1">
      <c r="A313" s="261" t="s">
        <v>10833</v>
      </c>
      <c r="B313" s="231" t="s">
        <v>77</v>
      </c>
      <c r="C313" s="231" t="s">
        <v>33</v>
      </c>
      <c r="D313" s="157" t="s">
        <v>89</v>
      </c>
      <c r="E313" s="297" t="s">
        <v>33</v>
      </c>
      <c r="F313" s="168" t="s">
        <v>10992</v>
      </c>
      <c r="G313" s="157" t="s">
        <v>33</v>
      </c>
      <c r="H313" s="298" t="s">
        <v>11042</v>
      </c>
      <c r="I313" s="231" t="s">
        <v>42</v>
      </c>
      <c r="J313" s="184" t="s">
        <v>11012</v>
      </c>
      <c r="K313" s="297" t="s">
        <v>27</v>
      </c>
      <c r="L313" s="157" t="s">
        <v>4</v>
      </c>
      <c r="M313" s="157" t="s">
        <v>33</v>
      </c>
      <c r="N313" s="167" t="s">
        <v>10499</v>
      </c>
      <c r="O313" s="55" t="str">
        <f t="shared" si="14"/>
        <v>L2.02.02.02.05.00</v>
      </c>
      <c r="P313" s="257" t="str">
        <f t="shared" si="12"/>
        <v>L2.02.02.02.05.00.02</v>
      </c>
      <c r="Q313" s="161" t="s">
        <v>10530</v>
      </c>
      <c r="R313" s="273" t="str">
        <f t="shared" si="13"/>
        <v>Phòng KD bán mới KTDN 04</v>
      </c>
      <c r="S313" s="269" t="s">
        <v>11045</v>
      </c>
      <c r="T313" s="265" t="s">
        <v>2227</v>
      </c>
      <c r="U313" s="265" t="s">
        <v>262</v>
      </c>
      <c r="V313" s="265" t="s">
        <v>2219</v>
      </c>
      <c r="W313" s="265" t="s">
        <v>403</v>
      </c>
      <c r="X313" s="265"/>
      <c r="Y313" s="265"/>
      <c r="Z313" s="225" t="s">
        <v>11051</v>
      </c>
      <c r="AA313" s="300" t="s">
        <v>10530</v>
      </c>
      <c r="AB313" s="267"/>
      <c r="AC313" s="267"/>
      <c r="AD313" s="267"/>
    </row>
    <row r="314" ht="15.75" hidden="1" customHeight="1" outlineLevel="1">
      <c r="A314" s="261" t="s">
        <v>10833</v>
      </c>
      <c r="B314" s="231" t="s">
        <v>77</v>
      </c>
      <c r="C314" s="231" t="s">
        <v>33</v>
      </c>
      <c r="D314" s="157" t="s">
        <v>89</v>
      </c>
      <c r="E314" s="297" t="s">
        <v>33</v>
      </c>
      <c r="F314" s="168" t="s">
        <v>10992</v>
      </c>
      <c r="G314" s="157" t="s">
        <v>33</v>
      </c>
      <c r="H314" s="298" t="s">
        <v>11042</v>
      </c>
      <c r="I314" s="231" t="s">
        <v>44</v>
      </c>
      <c r="J314" s="184" t="s">
        <v>11014</v>
      </c>
      <c r="K314" s="297" t="s">
        <v>27</v>
      </c>
      <c r="L314" s="157" t="s">
        <v>4</v>
      </c>
      <c r="M314" s="157" t="s">
        <v>33</v>
      </c>
      <c r="N314" s="167" t="s">
        <v>10499</v>
      </c>
      <c r="O314" s="55" t="str">
        <f t="shared" si="14"/>
        <v>L2.02.02.02.06.00</v>
      </c>
      <c r="P314" s="257" t="str">
        <f t="shared" si="12"/>
        <v>L2.02.02.02.06.00.02</v>
      </c>
      <c r="Q314" s="161" t="s">
        <v>10530</v>
      </c>
      <c r="R314" s="273" t="str">
        <f t="shared" si="13"/>
        <v>Phòng KD bán mới KTDN 05</v>
      </c>
      <c r="S314" s="269" t="s">
        <v>11045</v>
      </c>
      <c r="T314" s="265" t="s">
        <v>2236</v>
      </c>
      <c r="U314" s="265" t="s">
        <v>262</v>
      </c>
      <c r="V314" s="265" t="s">
        <v>2219</v>
      </c>
      <c r="W314" s="265" t="s">
        <v>1130</v>
      </c>
      <c r="X314" s="265"/>
      <c r="Y314" s="265"/>
      <c r="Z314" s="225" t="s">
        <v>11052</v>
      </c>
      <c r="AA314" s="300" t="s">
        <v>10530</v>
      </c>
      <c r="AB314" s="267"/>
      <c r="AC314" s="267"/>
      <c r="AD314" s="267"/>
    </row>
    <row r="315" ht="15.75" hidden="1" customHeight="1" outlineLevel="1">
      <c r="A315" s="261" t="s">
        <v>10833</v>
      </c>
      <c r="B315" s="231" t="s">
        <v>77</v>
      </c>
      <c r="C315" s="231" t="s">
        <v>33</v>
      </c>
      <c r="D315" s="157" t="s">
        <v>89</v>
      </c>
      <c r="E315" s="297" t="s">
        <v>33</v>
      </c>
      <c r="F315" s="168" t="s">
        <v>10992</v>
      </c>
      <c r="G315" s="157" t="s">
        <v>33</v>
      </c>
      <c r="H315" s="298" t="s">
        <v>11042</v>
      </c>
      <c r="I315" s="231" t="s">
        <v>46</v>
      </c>
      <c r="J315" s="184" t="s">
        <v>11053</v>
      </c>
      <c r="K315" s="297" t="s">
        <v>27</v>
      </c>
      <c r="L315" s="157" t="s">
        <v>4</v>
      </c>
      <c r="M315" s="157" t="s">
        <v>33</v>
      </c>
      <c r="N315" s="167" t="s">
        <v>10499</v>
      </c>
      <c r="O315" s="55" t="str">
        <f t="shared" si="14"/>
        <v>L2.02.02.02.07.00</v>
      </c>
      <c r="P315" s="257" t="str">
        <f t="shared" si="12"/>
        <v>L2.02.02.02.07.00.02</v>
      </c>
      <c r="Q315" s="161" t="s">
        <v>10530</v>
      </c>
      <c r="R315" s="273" t="str">
        <f t="shared" si="13"/>
        <v>Phòng KD bán mới KTDN 06</v>
      </c>
      <c r="S315" s="269" t="s">
        <v>11045</v>
      </c>
      <c r="T315" s="265" t="s">
        <v>2232</v>
      </c>
      <c r="U315" s="265" t="s">
        <v>262</v>
      </c>
      <c r="V315" s="265" t="s">
        <v>2219</v>
      </c>
      <c r="W315" s="265" t="s">
        <v>2231</v>
      </c>
      <c r="X315" s="265"/>
      <c r="Y315" s="265"/>
      <c r="Z315" s="225" t="s">
        <v>11054</v>
      </c>
      <c r="AA315" s="300" t="s">
        <v>10530</v>
      </c>
      <c r="AB315" s="267"/>
      <c r="AC315" s="267"/>
      <c r="AD315" s="267"/>
    </row>
    <row r="316" ht="15.75" hidden="1" customHeight="1" outlineLevel="1">
      <c r="A316" s="261" t="s">
        <v>10833</v>
      </c>
      <c r="B316" s="231" t="s">
        <v>77</v>
      </c>
      <c r="C316" s="231" t="s">
        <v>33</v>
      </c>
      <c r="D316" s="157" t="s">
        <v>89</v>
      </c>
      <c r="E316" s="297" t="s">
        <v>33</v>
      </c>
      <c r="F316" s="168" t="s">
        <v>10992</v>
      </c>
      <c r="G316" s="157" t="s">
        <v>33</v>
      </c>
      <c r="H316" s="298" t="s">
        <v>11042</v>
      </c>
      <c r="I316" s="231" t="s">
        <v>49</v>
      </c>
      <c r="J316" s="184" t="s">
        <v>11016</v>
      </c>
      <c r="K316" s="297" t="s">
        <v>27</v>
      </c>
      <c r="L316" s="157" t="s">
        <v>4</v>
      </c>
      <c r="M316" s="157" t="s">
        <v>33</v>
      </c>
      <c r="N316" s="167" t="s">
        <v>10499</v>
      </c>
      <c r="O316" s="55" t="str">
        <f t="shared" si="14"/>
        <v>L2.02.02.02.08.00</v>
      </c>
      <c r="P316" s="257" t="str">
        <f t="shared" si="12"/>
        <v>L2.02.02.02.08.00.02</v>
      </c>
      <c r="Q316" s="161" t="s">
        <v>10530</v>
      </c>
      <c r="R316" s="273" t="str">
        <f t="shared" si="13"/>
        <v>Phòng KD bán mới KTDN 07</v>
      </c>
      <c r="S316" s="269" t="s">
        <v>11045</v>
      </c>
      <c r="T316" s="265" t="s">
        <v>2220</v>
      </c>
      <c r="U316" s="265" t="s">
        <v>262</v>
      </c>
      <c r="V316" s="265" t="s">
        <v>2219</v>
      </c>
      <c r="W316" s="265" t="s">
        <v>1139</v>
      </c>
      <c r="X316" s="265"/>
      <c r="Y316" s="265"/>
      <c r="Z316" s="225" t="s">
        <v>11055</v>
      </c>
      <c r="AA316" s="300" t="s">
        <v>10530</v>
      </c>
      <c r="AB316" s="267"/>
      <c r="AC316" s="267"/>
      <c r="AD316" s="267"/>
    </row>
    <row r="317" ht="15.75" hidden="1" customHeight="1" outlineLevel="1">
      <c r="A317" s="261" t="s">
        <v>10833</v>
      </c>
      <c r="B317" s="231" t="s">
        <v>77</v>
      </c>
      <c r="C317" s="231" t="s">
        <v>33</v>
      </c>
      <c r="D317" s="157" t="s">
        <v>89</v>
      </c>
      <c r="E317" s="297" t="s">
        <v>33</v>
      </c>
      <c r="F317" s="168" t="s">
        <v>10992</v>
      </c>
      <c r="G317" s="157" t="s">
        <v>35</v>
      </c>
      <c r="H317" s="298" t="s">
        <v>11056</v>
      </c>
      <c r="I317" s="168" t="s">
        <v>27</v>
      </c>
      <c r="J317" s="258" t="s">
        <v>4</v>
      </c>
      <c r="K317" s="297" t="s">
        <v>27</v>
      </c>
      <c r="L317" s="157" t="s">
        <v>4</v>
      </c>
      <c r="M317" s="157" t="s">
        <v>33</v>
      </c>
      <c r="N317" s="167" t="s">
        <v>10499</v>
      </c>
      <c r="O317" s="55" t="str">
        <f t="shared" si="14"/>
        <v>L2.02.02.03.00.00</v>
      </c>
      <c r="P317" s="257" t="str">
        <f t="shared" si="12"/>
        <v>L2.02.02.03.00.00.02</v>
      </c>
      <c r="Q317" s="161" t="s">
        <v>10530</v>
      </c>
      <c r="R317" s="299" t="str">
        <f t="shared" si="13"/>
        <v>Trung tâm KD bán thêm - Hồ Chí Minh</v>
      </c>
      <c r="S317" s="274" t="s">
        <v>11057</v>
      </c>
      <c r="T317" s="264" t="s">
        <v>11058</v>
      </c>
      <c r="U317" s="265" t="s">
        <v>262</v>
      </c>
      <c r="V317" s="265" t="s">
        <v>263</v>
      </c>
      <c r="W317" s="265"/>
      <c r="X317" s="265"/>
      <c r="Y317" s="265"/>
      <c r="Z317" s="225" t="s">
        <v>11059</v>
      </c>
      <c r="AA317" s="300" t="s">
        <v>10530</v>
      </c>
      <c r="AB317" s="267"/>
      <c r="AC317" s="267"/>
      <c r="AD317" s="267"/>
    </row>
    <row r="318" ht="15.75" hidden="1" customHeight="1" outlineLevel="1">
      <c r="A318" s="261" t="s">
        <v>10833</v>
      </c>
      <c r="B318" s="231" t="s">
        <v>77</v>
      </c>
      <c r="C318" s="231" t="s">
        <v>33</v>
      </c>
      <c r="D318" s="157" t="s">
        <v>89</v>
      </c>
      <c r="E318" s="297" t="s">
        <v>33</v>
      </c>
      <c r="F318" s="168" t="s">
        <v>10992</v>
      </c>
      <c r="G318" s="157" t="s">
        <v>35</v>
      </c>
      <c r="H318" s="298" t="s">
        <v>11056</v>
      </c>
      <c r="I318" s="157" t="s">
        <v>29</v>
      </c>
      <c r="J318" s="257" t="s">
        <v>122</v>
      </c>
      <c r="K318" s="297" t="s">
        <v>27</v>
      </c>
      <c r="L318" s="157" t="s">
        <v>4</v>
      </c>
      <c r="M318" s="157" t="s">
        <v>33</v>
      </c>
      <c r="N318" s="167" t="s">
        <v>10499</v>
      </c>
      <c r="O318" s="55" t="str">
        <f t="shared" si="14"/>
        <v>L2.02.02.03.01.00</v>
      </c>
      <c r="P318" s="257" t="str">
        <f t="shared" si="12"/>
        <v>L2.02.02.03.01.00.02</v>
      </c>
      <c r="Q318" s="161" t="s">
        <v>10530</v>
      </c>
      <c r="R318" s="299" t="str">
        <f t="shared" si="13"/>
        <v>Ban giám đốc TTKD Bán thêm</v>
      </c>
      <c r="S318" s="269" t="s">
        <v>11060</v>
      </c>
      <c r="T318" s="265" t="s">
        <v>7241</v>
      </c>
      <c r="U318" s="265" t="s">
        <v>262</v>
      </c>
      <c r="V318" s="265" t="s">
        <v>263</v>
      </c>
      <c r="W318" s="265" t="s">
        <v>7230</v>
      </c>
      <c r="X318" s="265"/>
      <c r="Y318" s="265"/>
      <c r="Z318" s="225" t="s">
        <v>11061</v>
      </c>
      <c r="AA318" s="300" t="s">
        <v>10530</v>
      </c>
      <c r="AB318" s="267"/>
      <c r="AC318" s="267"/>
      <c r="AD318" s="267"/>
    </row>
    <row r="319" ht="15.75" hidden="1" customHeight="1" outlineLevel="1">
      <c r="A319" s="261" t="s">
        <v>10833</v>
      </c>
      <c r="B319" s="231" t="s">
        <v>77</v>
      </c>
      <c r="C319" s="231" t="s">
        <v>33</v>
      </c>
      <c r="D319" s="157" t="s">
        <v>89</v>
      </c>
      <c r="E319" s="297" t="s">
        <v>33</v>
      </c>
      <c r="F319" s="168" t="s">
        <v>10992</v>
      </c>
      <c r="G319" s="157" t="s">
        <v>35</v>
      </c>
      <c r="H319" s="298" t="s">
        <v>11056</v>
      </c>
      <c r="I319" s="157" t="s">
        <v>33</v>
      </c>
      <c r="J319" s="257" t="s">
        <v>123</v>
      </c>
      <c r="K319" s="297" t="s">
        <v>27</v>
      </c>
      <c r="L319" s="157" t="s">
        <v>4</v>
      </c>
      <c r="M319" s="157" t="s">
        <v>33</v>
      </c>
      <c r="N319" s="167" t="s">
        <v>10499</v>
      </c>
      <c r="O319" s="55" t="str">
        <f t="shared" si="14"/>
        <v>L2.02.02.03.02.00</v>
      </c>
      <c r="P319" s="257" t="str">
        <f t="shared" si="12"/>
        <v>L2.02.02.03.02.00.02</v>
      </c>
      <c r="Q319" s="161" t="s">
        <v>10530</v>
      </c>
      <c r="R319" s="299" t="str">
        <f t="shared" si="13"/>
        <v>Phòng bán thêm GP KTDN</v>
      </c>
      <c r="S319" s="269" t="s">
        <v>11060</v>
      </c>
      <c r="T319" s="342" t="s">
        <v>11062</v>
      </c>
      <c r="U319" s="265" t="s">
        <v>262</v>
      </c>
      <c r="V319" s="265" t="s">
        <v>263</v>
      </c>
      <c r="W319" s="302" t="s">
        <v>123</v>
      </c>
      <c r="X319" s="265"/>
      <c r="Y319" s="265"/>
      <c r="Z319" s="225" t="s">
        <v>11063</v>
      </c>
      <c r="AA319" s="300" t="s">
        <v>10530</v>
      </c>
      <c r="AB319" s="267"/>
      <c r="AC319" s="267"/>
      <c r="AD319" s="267"/>
    </row>
    <row r="320" ht="15.75" hidden="1" customHeight="1" outlineLevel="1">
      <c r="A320" s="261" t="s">
        <v>10833</v>
      </c>
      <c r="B320" s="231" t="s">
        <v>77</v>
      </c>
      <c r="C320" s="231" t="s">
        <v>33</v>
      </c>
      <c r="D320" s="157" t="s">
        <v>89</v>
      </c>
      <c r="E320" s="297" t="s">
        <v>33</v>
      </c>
      <c r="F320" s="168" t="s">
        <v>10992</v>
      </c>
      <c r="G320" s="157" t="s">
        <v>35</v>
      </c>
      <c r="H320" s="298" t="s">
        <v>11056</v>
      </c>
      <c r="I320" s="157" t="s">
        <v>33</v>
      </c>
      <c r="J320" s="257" t="s">
        <v>123</v>
      </c>
      <c r="K320" s="297" t="s">
        <v>29</v>
      </c>
      <c r="L320" s="257" t="s">
        <v>124</v>
      </c>
      <c r="M320" s="157" t="s">
        <v>33</v>
      </c>
      <c r="N320" s="167" t="s">
        <v>10499</v>
      </c>
      <c r="O320" s="55" t="str">
        <f t="shared" si="14"/>
        <v>L2.02.02.03.02.01</v>
      </c>
      <c r="P320" s="257" t="str">
        <f t="shared" si="12"/>
        <v>L2.02.02.03.02.01.02</v>
      </c>
      <c r="Q320" s="161" t="s">
        <v>10530</v>
      </c>
      <c r="R320" s="299" t="str">
        <f t="shared" si="13"/>
        <v>Phòng bán thêm GP KTDN 01</v>
      </c>
      <c r="S320" s="269" t="s">
        <v>11064</v>
      </c>
      <c r="T320" s="265" t="s">
        <v>1855</v>
      </c>
      <c r="U320" s="265" t="s">
        <v>262</v>
      </c>
      <c r="V320" s="265" t="s">
        <v>263</v>
      </c>
      <c r="W320" s="265" t="s">
        <v>123</v>
      </c>
      <c r="X320" s="265" t="s">
        <v>1854</v>
      </c>
      <c r="Y320" s="265"/>
      <c r="Z320" s="225" t="s">
        <v>11065</v>
      </c>
      <c r="AA320" s="300" t="s">
        <v>10530</v>
      </c>
      <c r="AB320" s="267"/>
      <c r="AC320" s="267"/>
      <c r="AD320" s="267"/>
    </row>
    <row r="321" ht="15.75" hidden="1" customHeight="1" outlineLevel="1">
      <c r="A321" s="261" t="s">
        <v>10833</v>
      </c>
      <c r="B321" s="231" t="s">
        <v>77</v>
      </c>
      <c r="C321" s="231" t="s">
        <v>33</v>
      </c>
      <c r="D321" s="157" t="s">
        <v>89</v>
      </c>
      <c r="E321" s="297" t="s">
        <v>33</v>
      </c>
      <c r="F321" s="168" t="s">
        <v>10992</v>
      </c>
      <c r="G321" s="157" t="s">
        <v>35</v>
      </c>
      <c r="H321" s="298" t="s">
        <v>11056</v>
      </c>
      <c r="I321" s="157" t="s">
        <v>33</v>
      </c>
      <c r="J321" s="257" t="s">
        <v>123</v>
      </c>
      <c r="K321" s="297" t="s">
        <v>33</v>
      </c>
      <c r="L321" s="257" t="s">
        <v>125</v>
      </c>
      <c r="M321" s="157" t="s">
        <v>33</v>
      </c>
      <c r="N321" s="167" t="s">
        <v>10499</v>
      </c>
      <c r="O321" s="55" t="str">
        <f t="shared" si="14"/>
        <v>L2.02.02.03.02.02</v>
      </c>
      <c r="P321" s="257" t="str">
        <f t="shared" si="12"/>
        <v>L2.02.02.03.02.02.02</v>
      </c>
      <c r="Q321" s="161" t="s">
        <v>10530</v>
      </c>
      <c r="R321" s="299" t="str">
        <f t="shared" si="13"/>
        <v>Phòng bán thêm GP KTDN 02</v>
      </c>
      <c r="S321" s="269" t="s">
        <v>11064</v>
      </c>
      <c r="T321" s="265" t="s">
        <v>1863</v>
      </c>
      <c r="U321" s="265" t="s">
        <v>262</v>
      </c>
      <c r="V321" s="265" t="s">
        <v>263</v>
      </c>
      <c r="W321" s="265" t="s">
        <v>123</v>
      </c>
      <c r="X321" s="265" t="s">
        <v>1862</v>
      </c>
      <c r="Y321" s="265"/>
      <c r="Z321" s="225" t="s">
        <v>11066</v>
      </c>
      <c r="AA321" s="300" t="s">
        <v>10530</v>
      </c>
      <c r="AB321" s="267"/>
      <c r="AC321" s="267"/>
      <c r="AD321" s="267"/>
    </row>
    <row r="322" ht="15.75" hidden="1" customHeight="1" outlineLevel="1">
      <c r="A322" s="261" t="s">
        <v>10833</v>
      </c>
      <c r="B322" s="231" t="s">
        <v>77</v>
      </c>
      <c r="C322" s="231" t="s">
        <v>33</v>
      </c>
      <c r="D322" s="157" t="s">
        <v>89</v>
      </c>
      <c r="E322" s="297" t="s">
        <v>33</v>
      </c>
      <c r="F322" s="168" t="s">
        <v>10992</v>
      </c>
      <c r="G322" s="157" t="s">
        <v>35</v>
      </c>
      <c r="H322" s="298" t="s">
        <v>11056</v>
      </c>
      <c r="I322" s="157" t="s">
        <v>35</v>
      </c>
      <c r="J322" s="257" t="s">
        <v>126</v>
      </c>
      <c r="K322" s="297" t="s">
        <v>27</v>
      </c>
      <c r="L322" s="157" t="s">
        <v>4</v>
      </c>
      <c r="M322" s="157" t="s">
        <v>33</v>
      </c>
      <c r="N322" s="167" t="s">
        <v>10499</v>
      </c>
      <c r="O322" s="55" t="str">
        <f t="shared" si="14"/>
        <v>L2.02.02.03.03.00</v>
      </c>
      <c r="P322" s="257" t="str">
        <f t="shared" si="12"/>
        <v>L2.02.02.03.03.00.02</v>
      </c>
      <c r="Q322" s="161" t="s">
        <v>10530</v>
      </c>
      <c r="R322" s="299" t="str">
        <f t="shared" si="13"/>
        <v>Phòng bán thêm GP HDDT</v>
      </c>
      <c r="S322" s="269" t="s">
        <v>11060</v>
      </c>
      <c r="T322" s="342" t="s">
        <v>11067</v>
      </c>
      <c r="U322" s="265" t="s">
        <v>262</v>
      </c>
      <c r="V322" s="265" t="s">
        <v>263</v>
      </c>
      <c r="W322" s="302" t="s">
        <v>356</v>
      </c>
      <c r="X322" s="265"/>
      <c r="Y322" s="265"/>
      <c r="Z322" s="225" t="s">
        <v>11068</v>
      </c>
      <c r="AA322" s="300" t="s">
        <v>10530</v>
      </c>
      <c r="AB322" s="267"/>
      <c r="AC322" s="267"/>
      <c r="AD322" s="267"/>
    </row>
    <row r="323" ht="15.75" hidden="1" customHeight="1" outlineLevel="1">
      <c r="A323" s="261" t="s">
        <v>10833</v>
      </c>
      <c r="B323" s="231" t="s">
        <v>77</v>
      </c>
      <c r="C323" s="231" t="s">
        <v>33</v>
      </c>
      <c r="D323" s="157" t="s">
        <v>89</v>
      </c>
      <c r="E323" s="297" t="s">
        <v>33</v>
      </c>
      <c r="F323" s="168" t="s">
        <v>10992</v>
      </c>
      <c r="G323" s="157" t="s">
        <v>35</v>
      </c>
      <c r="H323" s="298" t="s">
        <v>11056</v>
      </c>
      <c r="I323" s="157" t="s">
        <v>35</v>
      </c>
      <c r="J323" s="257" t="s">
        <v>126</v>
      </c>
      <c r="K323" s="297" t="s">
        <v>29</v>
      </c>
      <c r="L323" s="257" t="s">
        <v>127</v>
      </c>
      <c r="M323" s="157" t="s">
        <v>33</v>
      </c>
      <c r="N323" s="167" t="s">
        <v>10499</v>
      </c>
      <c r="O323" s="55" t="str">
        <f t="shared" si="14"/>
        <v>L2.02.02.03.03.01</v>
      </c>
      <c r="P323" s="257" t="str">
        <f t="shared" si="12"/>
        <v>L2.02.02.03.03.01.02</v>
      </c>
      <c r="Q323" s="161" t="s">
        <v>10530</v>
      </c>
      <c r="R323" s="299" t="str">
        <f t="shared" si="13"/>
        <v>Phòng bán thêm GP HDDT 01</v>
      </c>
      <c r="S323" s="269" t="s">
        <v>11069</v>
      </c>
      <c r="T323" s="265" t="s">
        <v>1787</v>
      </c>
      <c r="U323" s="265" t="s">
        <v>262</v>
      </c>
      <c r="V323" s="265" t="s">
        <v>263</v>
      </c>
      <c r="W323" s="265" t="s">
        <v>356</v>
      </c>
      <c r="X323" s="265" t="s">
        <v>1786</v>
      </c>
      <c r="Y323" s="265"/>
      <c r="Z323" s="225" t="s">
        <v>11070</v>
      </c>
      <c r="AA323" s="300" t="s">
        <v>10530</v>
      </c>
      <c r="AB323" s="267"/>
      <c r="AC323" s="267"/>
      <c r="AD323" s="267"/>
    </row>
    <row r="324" ht="15.75" hidden="1" customHeight="1" outlineLevel="1">
      <c r="A324" s="261" t="s">
        <v>10833</v>
      </c>
      <c r="B324" s="231" t="s">
        <v>77</v>
      </c>
      <c r="C324" s="231" t="s">
        <v>33</v>
      </c>
      <c r="D324" s="157" t="s">
        <v>89</v>
      </c>
      <c r="E324" s="297" t="s">
        <v>33</v>
      </c>
      <c r="F324" s="168" t="s">
        <v>10992</v>
      </c>
      <c r="G324" s="157" t="s">
        <v>35</v>
      </c>
      <c r="H324" s="298" t="s">
        <v>11056</v>
      </c>
      <c r="I324" s="157" t="s">
        <v>35</v>
      </c>
      <c r="J324" s="257" t="s">
        <v>126</v>
      </c>
      <c r="K324" s="297" t="s">
        <v>33</v>
      </c>
      <c r="L324" s="257" t="s">
        <v>128</v>
      </c>
      <c r="M324" s="157" t="s">
        <v>33</v>
      </c>
      <c r="N324" s="167" t="s">
        <v>10499</v>
      </c>
      <c r="O324" s="55" t="str">
        <f t="shared" si="14"/>
        <v>L2.02.02.03.03.02</v>
      </c>
      <c r="P324" s="257" t="str">
        <f t="shared" si="12"/>
        <v>L2.02.02.03.03.02.02</v>
      </c>
      <c r="Q324" s="161" t="s">
        <v>10530</v>
      </c>
      <c r="R324" s="299" t="str">
        <f t="shared" si="13"/>
        <v>Phòng bán thêm GP HDDT 02</v>
      </c>
      <c r="S324" s="269" t="s">
        <v>11069</v>
      </c>
      <c r="T324" s="265" t="s">
        <v>1781</v>
      </c>
      <c r="U324" s="265" t="s">
        <v>262</v>
      </c>
      <c r="V324" s="265" t="s">
        <v>263</v>
      </c>
      <c r="W324" s="265" t="s">
        <v>356</v>
      </c>
      <c r="X324" s="265" t="s">
        <v>1780</v>
      </c>
      <c r="Y324" s="265"/>
      <c r="Z324" s="225" t="s">
        <v>11071</v>
      </c>
      <c r="AA324" s="300" t="s">
        <v>10530</v>
      </c>
      <c r="AB324" s="267"/>
      <c r="AC324" s="267"/>
      <c r="AD324" s="267"/>
    </row>
    <row r="325" ht="15.75" hidden="1" customHeight="1" outlineLevel="1">
      <c r="A325" s="261" t="s">
        <v>10833</v>
      </c>
      <c r="B325" s="231" t="s">
        <v>77</v>
      </c>
      <c r="C325" s="231" t="s">
        <v>33</v>
      </c>
      <c r="D325" s="157" t="s">
        <v>89</v>
      </c>
      <c r="E325" s="297" t="s">
        <v>33</v>
      </c>
      <c r="F325" s="168" t="s">
        <v>10992</v>
      </c>
      <c r="G325" s="157" t="s">
        <v>35</v>
      </c>
      <c r="H325" s="298" t="s">
        <v>11056</v>
      </c>
      <c r="I325" s="157" t="s">
        <v>35</v>
      </c>
      <c r="J325" s="257" t="s">
        <v>126</v>
      </c>
      <c r="K325" s="168" t="s">
        <v>35</v>
      </c>
      <c r="L325" s="301" t="s">
        <v>11035</v>
      </c>
      <c r="M325" s="157" t="s">
        <v>33</v>
      </c>
      <c r="N325" s="167" t="s">
        <v>10499</v>
      </c>
      <c r="O325" s="55" t="str">
        <f t="shared" si="14"/>
        <v>L2.02.02.03.03.03</v>
      </c>
      <c r="P325" s="257" t="str">
        <f t="shared" si="12"/>
        <v>L2.02.02.03.03.03.02</v>
      </c>
      <c r="Q325" s="161" t="s">
        <v>10530</v>
      </c>
      <c r="R325" s="299" t="str">
        <f t="shared" si="13"/>
        <v>Phòng bán thêm GP HDDT 03</v>
      </c>
      <c r="S325" s="269" t="s">
        <v>11069</v>
      </c>
      <c r="T325" s="265" t="s">
        <v>1718</v>
      </c>
      <c r="U325" s="265" t="s">
        <v>262</v>
      </c>
      <c r="V325" s="265" t="s">
        <v>263</v>
      </c>
      <c r="W325" s="265" t="s">
        <v>356</v>
      </c>
      <c r="X325" s="265" t="s">
        <v>1717</v>
      </c>
      <c r="Y325" s="265"/>
      <c r="Z325" s="225" t="s">
        <v>11072</v>
      </c>
      <c r="AA325" s="300" t="s">
        <v>10530</v>
      </c>
      <c r="AB325" s="267"/>
      <c r="AC325" s="267"/>
      <c r="AD325" s="267"/>
    </row>
    <row r="326" ht="15.75" hidden="1" customHeight="1" outlineLevel="1">
      <c r="A326" s="261" t="s">
        <v>10833</v>
      </c>
      <c r="B326" s="231" t="s">
        <v>77</v>
      </c>
      <c r="C326" s="231" t="s">
        <v>33</v>
      </c>
      <c r="D326" s="157" t="s">
        <v>89</v>
      </c>
      <c r="E326" s="297" t="s">
        <v>33</v>
      </c>
      <c r="F326" s="168" t="s">
        <v>10992</v>
      </c>
      <c r="G326" s="157" t="s">
        <v>35</v>
      </c>
      <c r="H326" s="298" t="s">
        <v>11056</v>
      </c>
      <c r="I326" s="157" t="s">
        <v>37</v>
      </c>
      <c r="J326" s="257" t="s">
        <v>129</v>
      </c>
      <c r="K326" s="297" t="s">
        <v>27</v>
      </c>
      <c r="L326" s="157" t="s">
        <v>4</v>
      </c>
      <c r="M326" s="157" t="s">
        <v>33</v>
      </c>
      <c r="N326" s="167" t="s">
        <v>10499</v>
      </c>
      <c r="O326" s="55" t="str">
        <f t="shared" si="14"/>
        <v>L2.02.02.03.04.00</v>
      </c>
      <c r="P326" s="257" t="str">
        <f t="shared" si="12"/>
        <v>L2.02.02.03.04.00.02</v>
      </c>
      <c r="Q326" s="161" t="s">
        <v>10530</v>
      </c>
      <c r="R326" s="299" t="str">
        <f t="shared" si="13"/>
        <v>Phòng KD chuyển đổi GPKT</v>
      </c>
      <c r="S326" s="269" t="s">
        <v>11060</v>
      </c>
      <c r="T326" s="265" t="s">
        <v>1702</v>
      </c>
      <c r="U326" s="265" t="s">
        <v>262</v>
      </c>
      <c r="V326" s="265" t="s">
        <v>263</v>
      </c>
      <c r="W326" s="265" t="s">
        <v>767</v>
      </c>
      <c r="X326" s="265" t="s">
        <v>1701</v>
      </c>
      <c r="Y326" s="265"/>
      <c r="Z326" s="225" t="s">
        <v>11073</v>
      </c>
      <c r="AA326" s="300" t="s">
        <v>10530</v>
      </c>
      <c r="AB326" s="267"/>
      <c r="AC326" s="267"/>
      <c r="AD326" s="267"/>
    </row>
    <row r="327" ht="15.75" hidden="1" customHeight="1" outlineLevel="1">
      <c r="A327" s="228" t="s">
        <v>10833</v>
      </c>
      <c r="B327" s="270" t="s">
        <v>77</v>
      </c>
      <c r="C327" s="270" t="s">
        <v>33</v>
      </c>
      <c r="D327" s="209" t="s">
        <v>89</v>
      </c>
      <c r="E327" s="271" t="s">
        <v>33</v>
      </c>
      <c r="F327" s="182" t="s">
        <v>10992</v>
      </c>
      <c r="G327" s="209" t="s">
        <v>35</v>
      </c>
      <c r="H327" s="212" t="s">
        <v>11056</v>
      </c>
      <c r="I327" s="209" t="s">
        <v>42</v>
      </c>
      <c r="J327" s="272" t="s">
        <v>130</v>
      </c>
      <c r="K327" s="271" t="s">
        <v>27</v>
      </c>
      <c r="L327" s="209" t="s">
        <v>4</v>
      </c>
      <c r="M327" s="209" t="s">
        <v>33</v>
      </c>
      <c r="N327" s="181" t="s">
        <v>10499</v>
      </c>
      <c r="O327" s="58" t="str">
        <f t="shared" si="14"/>
        <v>L2.02.02.03.05.00</v>
      </c>
      <c r="P327" s="272" t="str">
        <f t="shared" si="12"/>
        <v>L2.02.02.03.05.00.02</v>
      </c>
      <c r="Q327" s="185" t="s">
        <v>10530</v>
      </c>
      <c r="R327" s="273" t="str">
        <f t="shared" si="13"/>
        <v>Phòng bán thêm GP Ký điện tử</v>
      </c>
      <c r="S327" s="274" t="s">
        <v>11060</v>
      </c>
      <c r="T327" s="343" t="s">
        <v>11074</v>
      </c>
      <c r="U327" s="344" t="s">
        <v>262</v>
      </c>
      <c r="V327" s="344" t="s">
        <v>263</v>
      </c>
      <c r="W327" s="344" t="s">
        <v>261</v>
      </c>
      <c r="X327" s="344"/>
      <c r="Y327" s="344"/>
      <c r="Z327" s="345" t="s">
        <v>11075</v>
      </c>
      <c r="AA327" s="304" t="s">
        <v>10530</v>
      </c>
      <c r="AB327" s="277"/>
      <c r="AC327" s="277"/>
      <c r="AD327" s="277"/>
    </row>
    <row r="328" ht="15.75" hidden="1" customHeight="1" outlineLevel="1">
      <c r="A328" s="228" t="s">
        <v>10833</v>
      </c>
      <c r="B328" s="270" t="s">
        <v>77</v>
      </c>
      <c r="C328" s="270" t="s">
        <v>33</v>
      </c>
      <c r="D328" s="209" t="s">
        <v>89</v>
      </c>
      <c r="E328" s="271" t="s">
        <v>33</v>
      </c>
      <c r="F328" s="182" t="s">
        <v>10992</v>
      </c>
      <c r="G328" s="209" t="s">
        <v>35</v>
      </c>
      <c r="H328" s="212" t="s">
        <v>11056</v>
      </c>
      <c r="I328" s="209" t="s">
        <v>42</v>
      </c>
      <c r="J328" s="157" t="s">
        <v>4</v>
      </c>
      <c r="K328" s="182" t="s">
        <v>29</v>
      </c>
      <c r="L328" s="303" t="s">
        <v>11039</v>
      </c>
      <c r="M328" s="209" t="s">
        <v>33</v>
      </c>
      <c r="N328" s="181" t="s">
        <v>10499</v>
      </c>
      <c r="O328" s="58" t="str">
        <f t="shared" si="14"/>
        <v>L2.02.02.03.05.01</v>
      </c>
      <c r="P328" s="272" t="str">
        <f t="shared" si="12"/>
        <v>L2.02.02.03.05.01.02</v>
      </c>
      <c r="Q328" s="185" t="s">
        <v>10530</v>
      </c>
      <c r="R328" s="273" t="str">
        <f t="shared" si="13"/>
        <v>Phòng bán thêm GP Ký điện tử 01</v>
      </c>
      <c r="S328" s="274" t="str">
        <f>P327</f>
        <v>L2.02.02.03.05.00.02</v>
      </c>
      <c r="T328" s="183" t="s">
        <v>264</v>
      </c>
      <c r="U328" s="183" t="s">
        <v>262</v>
      </c>
      <c r="V328" s="183" t="s">
        <v>263</v>
      </c>
      <c r="W328" s="183" t="s">
        <v>261</v>
      </c>
      <c r="X328" s="183"/>
      <c r="Y328" s="183"/>
      <c r="Z328" s="275" t="s">
        <v>11075</v>
      </c>
      <c r="AA328" s="304" t="s">
        <v>10530</v>
      </c>
      <c r="AB328" s="277"/>
      <c r="AC328" s="277"/>
      <c r="AD328" s="277"/>
    </row>
    <row r="329" ht="15.75" hidden="1" customHeight="1" outlineLevel="1">
      <c r="A329" s="228" t="s">
        <v>10833</v>
      </c>
      <c r="B329" s="270" t="s">
        <v>77</v>
      </c>
      <c r="C329" s="270" t="s">
        <v>33</v>
      </c>
      <c r="D329" s="209" t="s">
        <v>89</v>
      </c>
      <c r="E329" s="271" t="s">
        <v>33</v>
      </c>
      <c r="F329" s="182" t="s">
        <v>10992</v>
      </c>
      <c r="G329" s="209" t="s">
        <v>35</v>
      </c>
      <c r="H329" s="212" t="s">
        <v>11056</v>
      </c>
      <c r="I329" s="209" t="s">
        <v>42</v>
      </c>
      <c r="J329" s="157" t="s">
        <v>4</v>
      </c>
      <c r="K329" s="182" t="s">
        <v>33</v>
      </c>
      <c r="L329" s="303" t="s">
        <v>11076</v>
      </c>
      <c r="M329" s="209" t="s">
        <v>33</v>
      </c>
      <c r="N329" s="181" t="s">
        <v>10499</v>
      </c>
      <c r="O329" s="58" t="str">
        <f t="shared" si="14"/>
        <v>L2.02.02.03.05.02</v>
      </c>
      <c r="P329" s="272" t="str">
        <f t="shared" si="12"/>
        <v>L2.02.02.03.05.02.02</v>
      </c>
      <c r="Q329" s="185" t="s">
        <v>10530</v>
      </c>
      <c r="R329" s="273" t="str">
        <f t="shared" si="13"/>
        <v>Phòng bán thêm GP Ký điện tử 02</v>
      </c>
      <c r="S329" s="274" t="str">
        <f>P327</f>
        <v>L2.02.02.03.05.00.02</v>
      </c>
      <c r="T329" s="211" t="s">
        <v>11077</v>
      </c>
      <c r="U329" s="183" t="s">
        <v>262</v>
      </c>
      <c r="V329" s="183" t="s">
        <v>263</v>
      </c>
      <c r="W329" s="184" t="s">
        <v>11078</v>
      </c>
      <c r="X329" s="183"/>
      <c r="Y329" s="183"/>
      <c r="Z329" s="275" t="s">
        <v>11075</v>
      </c>
      <c r="AA329" s="304" t="s">
        <v>10530</v>
      </c>
      <c r="AB329" s="277"/>
      <c r="AC329" s="277"/>
      <c r="AD329" s="277"/>
    </row>
    <row r="330" ht="15.75" hidden="1" customHeight="1" outlineLevel="1">
      <c r="A330" s="261" t="s">
        <v>10833</v>
      </c>
      <c r="B330" s="231" t="s">
        <v>77</v>
      </c>
      <c r="C330" s="231" t="s">
        <v>33</v>
      </c>
      <c r="D330" s="157" t="s">
        <v>89</v>
      </c>
      <c r="E330" s="297" t="s">
        <v>33</v>
      </c>
      <c r="F330" s="168" t="s">
        <v>10992</v>
      </c>
      <c r="G330" s="157" t="s">
        <v>35</v>
      </c>
      <c r="H330" s="298" t="s">
        <v>11056</v>
      </c>
      <c r="I330" s="157" t="s">
        <v>44</v>
      </c>
      <c r="J330" s="257" t="s">
        <v>131</v>
      </c>
      <c r="K330" s="297" t="s">
        <v>27</v>
      </c>
      <c r="L330" s="157" t="s">
        <v>4</v>
      </c>
      <c r="M330" s="157" t="s">
        <v>33</v>
      </c>
      <c r="N330" s="167" t="s">
        <v>10499</v>
      </c>
      <c r="O330" s="55" t="str">
        <f t="shared" si="14"/>
        <v>L2.02.02.03.06.00</v>
      </c>
      <c r="P330" s="257" t="str">
        <f t="shared" si="12"/>
        <v>L2.02.02.03.06.00.02</v>
      </c>
      <c r="Q330" s="161" t="s">
        <v>10530</v>
      </c>
      <c r="R330" s="299" t="str">
        <f t="shared" si="13"/>
        <v>Phòng KD meInvoice dự án</v>
      </c>
      <c r="S330" s="269" t="s">
        <v>11060</v>
      </c>
      <c r="T330" s="265" t="s">
        <v>1694</v>
      </c>
      <c r="U330" s="265" t="s">
        <v>262</v>
      </c>
      <c r="V330" s="265" t="s">
        <v>263</v>
      </c>
      <c r="W330" s="265" t="s">
        <v>1693</v>
      </c>
      <c r="X330" s="265"/>
      <c r="Y330" s="265"/>
      <c r="Z330" s="225" t="s">
        <v>11079</v>
      </c>
      <c r="AA330" s="300" t="s">
        <v>10530</v>
      </c>
      <c r="AB330" s="267"/>
      <c r="AC330" s="267"/>
      <c r="AD330" s="267"/>
    </row>
    <row r="331" ht="15.75" hidden="1" customHeight="1" outlineLevel="1">
      <c r="A331" s="261" t="s">
        <v>10833</v>
      </c>
      <c r="B331" s="231" t="s">
        <v>77</v>
      </c>
      <c r="C331" s="231" t="s">
        <v>33</v>
      </c>
      <c r="D331" s="157" t="s">
        <v>89</v>
      </c>
      <c r="E331" s="297" t="s">
        <v>33</v>
      </c>
      <c r="F331" s="168" t="s">
        <v>10992</v>
      </c>
      <c r="G331" s="157" t="s">
        <v>33</v>
      </c>
      <c r="H331" s="298" t="s">
        <v>11080</v>
      </c>
      <c r="I331" s="297" t="s">
        <v>27</v>
      </c>
      <c r="J331" s="157" t="s">
        <v>4</v>
      </c>
      <c r="K331" s="297" t="s">
        <v>27</v>
      </c>
      <c r="L331" s="157" t="s">
        <v>4</v>
      </c>
      <c r="M331" s="157" t="s">
        <v>35</v>
      </c>
      <c r="N331" s="167" t="s">
        <v>10500</v>
      </c>
      <c r="O331" s="55" t="str">
        <f t="shared" si="14"/>
        <v>L2.02.02.02.00.00</v>
      </c>
      <c r="P331" s="257" t="str">
        <f t="shared" si="12"/>
        <v>L2.02.02.02.00.00.03</v>
      </c>
      <c r="Q331" s="161" t="s">
        <v>10530</v>
      </c>
      <c r="R331" s="299" t="str">
        <f t="shared" si="13"/>
        <v>Phòng KD bán mới GPKT - Đà Nẵng</v>
      </c>
      <c r="S331" s="274" t="s">
        <v>11003</v>
      </c>
      <c r="T331" s="264" t="s">
        <v>11081</v>
      </c>
      <c r="U331" s="265" t="s">
        <v>2811</v>
      </c>
      <c r="V331" s="302" t="s">
        <v>2768</v>
      </c>
      <c r="W331" s="265"/>
      <c r="X331" s="265"/>
      <c r="Y331" s="265"/>
      <c r="Z331" s="225" t="s">
        <v>11082</v>
      </c>
      <c r="AA331" s="300" t="s">
        <v>10530</v>
      </c>
      <c r="AB331" s="267"/>
      <c r="AC331" s="267"/>
      <c r="AD331" s="267"/>
    </row>
    <row r="332" ht="15.75" hidden="1" customHeight="1" outlineLevel="1">
      <c r="A332" s="261" t="s">
        <v>10833</v>
      </c>
      <c r="B332" s="231" t="s">
        <v>77</v>
      </c>
      <c r="C332" s="231" t="s">
        <v>33</v>
      </c>
      <c r="D332" s="157" t="s">
        <v>89</v>
      </c>
      <c r="E332" s="297" t="s">
        <v>33</v>
      </c>
      <c r="F332" s="168" t="s">
        <v>10992</v>
      </c>
      <c r="G332" s="157" t="s">
        <v>33</v>
      </c>
      <c r="H332" s="298" t="s">
        <v>11080</v>
      </c>
      <c r="I332" s="297" t="s">
        <v>29</v>
      </c>
      <c r="J332" s="167" t="s">
        <v>110</v>
      </c>
      <c r="K332" s="297" t="s">
        <v>27</v>
      </c>
      <c r="L332" s="157" t="s">
        <v>4</v>
      </c>
      <c r="M332" s="157" t="s">
        <v>35</v>
      </c>
      <c r="N332" s="167" t="s">
        <v>10500</v>
      </c>
      <c r="O332" s="55" t="str">
        <f t="shared" si="14"/>
        <v>L2.02.02.02.01.00</v>
      </c>
      <c r="P332" s="257" t="str">
        <f t="shared" si="12"/>
        <v>L2.02.02.02.01.00.03</v>
      </c>
      <c r="Q332" s="161" t="s">
        <v>10530</v>
      </c>
      <c r="R332" s="299" t="str">
        <f t="shared" si="13"/>
        <v>Phòng KD bán mới GPKT 01</v>
      </c>
      <c r="S332" s="269" t="s">
        <v>11083</v>
      </c>
      <c r="T332" s="265" t="s">
        <v>3080</v>
      </c>
      <c r="U332" s="265" t="s">
        <v>2811</v>
      </c>
      <c r="V332" s="265" t="s">
        <v>2768</v>
      </c>
      <c r="W332" s="265" t="s">
        <v>2767</v>
      </c>
      <c r="X332" s="265"/>
      <c r="Y332" s="265"/>
      <c r="Z332" s="225" t="s">
        <v>11084</v>
      </c>
      <c r="AA332" s="300" t="s">
        <v>10530</v>
      </c>
      <c r="AB332" s="267"/>
      <c r="AC332" s="267"/>
      <c r="AD332" s="267"/>
    </row>
    <row r="333" ht="15.75" hidden="1" customHeight="1" outlineLevel="1">
      <c r="A333" s="261" t="s">
        <v>10833</v>
      </c>
      <c r="B333" s="231" t="s">
        <v>77</v>
      </c>
      <c r="C333" s="231" t="s">
        <v>33</v>
      </c>
      <c r="D333" s="157" t="s">
        <v>89</v>
      </c>
      <c r="E333" s="297" t="s">
        <v>33</v>
      </c>
      <c r="F333" s="168" t="s">
        <v>10992</v>
      </c>
      <c r="G333" s="157" t="s">
        <v>33</v>
      </c>
      <c r="H333" s="298" t="s">
        <v>11080</v>
      </c>
      <c r="I333" s="297" t="s">
        <v>33</v>
      </c>
      <c r="J333" s="167" t="s">
        <v>111</v>
      </c>
      <c r="K333" s="297" t="s">
        <v>27</v>
      </c>
      <c r="L333" s="157" t="s">
        <v>4</v>
      </c>
      <c r="M333" s="157" t="s">
        <v>35</v>
      </c>
      <c r="N333" s="167" t="s">
        <v>10500</v>
      </c>
      <c r="O333" s="55" t="str">
        <f t="shared" si="14"/>
        <v>L2.02.02.02.02.00</v>
      </c>
      <c r="P333" s="257" t="str">
        <f t="shared" si="12"/>
        <v>L2.02.02.02.02.00.03</v>
      </c>
      <c r="Q333" s="161" t="s">
        <v>10530</v>
      </c>
      <c r="R333" s="299" t="str">
        <f t="shared" si="13"/>
        <v>Phòng KD bán mới GPKT 02</v>
      </c>
      <c r="S333" s="269" t="s">
        <v>11083</v>
      </c>
      <c r="T333" s="265" t="s">
        <v>3074</v>
      </c>
      <c r="U333" s="265" t="s">
        <v>2811</v>
      </c>
      <c r="V333" s="265" t="s">
        <v>2768</v>
      </c>
      <c r="W333" s="265" t="s">
        <v>2858</v>
      </c>
      <c r="X333" s="265"/>
      <c r="Y333" s="265"/>
      <c r="Z333" s="225" t="s">
        <v>11085</v>
      </c>
      <c r="AA333" s="300" t="s">
        <v>10530</v>
      </c>
      <c r="AB333" s="267"/>
      <c r="AC333" s="267"/>
      <c r="AD333" s="267"/>
    </row>
    <row r="334" ht="15.75" hidden="1" customHeight="1" outlineLevel="1">
      <c r="A334" s="261" t="s">
        <v>10833</v>
      </c>
      <c r="B334" s="231" t="s">
        <v>77</v>
      </c>
      <c r="C334" s="231" t="s">
        <v>33</v>
      </c>
      <c r="D334" s="157" t="s">
        <v>89</v>
      </c>
      <c r="E334" s="297" t="s">
        <v>33</v>
      </c>
      <c r="F334" s="168" t="s">
        <v>10992</v>
      </c>
      <c r="G334" s="157" t="s">
        <v>35</v>
      </c>
      <c r="H334" s="298" t="s">
        <v>11086</v>
      </c>
      <c r="I334" s="168" t="s">
        <v>27</v>
      </c>
      <c r="J334" s="258" t="s">
        <v>4</v>
      </c>
      <c r="K334" s="297" t="s">
        <v>27</v>
      </c>
      <c r="L334" s="157" t="s">
        <v>4</v>
      </c>
      <c r="M334" s="157" t="s">
        <v>35</v>
      </c>
      <c r="N334" s="167" t="s">
        <v>10500</v>
      </c>
      <c r="O334" s="55" t="str">
        <f t="shared" si="14"/>
        <v>L2.02.02.03.00.00</v>
      </c>
      <c r="P334" s="257" t="str">
        <f t="shared" si="12"/>
        <v>L2.02.02.03.00.00.03</v>
      </c>
      <c r="Q334" s="161" t="s">
        <v>10530</v>
      </c>
      <c r="R334" s="299" t="str">
        <f t="shared" si="13"/>
        <v>Phòng KD Bán thêm - Đà Nẵng</v>
      </c>
      <c r="S334" s="274" t="s">
        <v>11057</v>
      </c>
      <c r="T334" s="265" t="s">
        <v>8579</v>
      </c>
      <c r="U334" s="265" t="s">
        <v>2811</v>
      </c>
      <c r="V334" s="265" t="s">
        <v>326</v>
      </c>
      <c r="W334" s="265"/>
      <c r="X334" s="265"/>
      <c r="Y334" s="265"/>
      <c r="Z334" s="225" t="s">
        <v>11087</v>
      </c>
      <c r="AA334" s="300" t="s">
        <v>10530</v>
      </c>
      <c r="AB334" s="267"/>
      <c r="AC334" s="267"/>
      <c r="AD334" s="267"/>
    </row>
    <row r="335" ht="15.75" hidden="1" customHeight="1" outlineLevel="1">
      <c r="A335" s="261" t="s">
        <v>10833</v>
      </c>
      <c r="B335" s="231" t="s">
        <v>77</v>
      </c>
      <c r="C335" s="231" t="s">
        <v>33</v>
      </c>
      <c r="D335" s="157" t="s">
        <v>89</v>
      </c>
      <c r="E335" s="297" t="s">
        <v>33</v>
      </c>
      <c r="F335" s="168" t="s">
        <v>10992</v>
      </c>
      <c r="G335" s="157" t="s">
        <v>35</v>
      </c>
      <c r="H335" s="298" t="s">
        <v>11086</v>
      </c>
      <c r="I335" s="168" t="s">
        <v>42</v>
      </c>
      <c r="J335" s="301" t="s">
        <v>10984</v>
      </c>
      <c r="K335" s="297" t="s">
        <v>27</v>
      </c>
      <c r="L335" s="157" t="s">
        <v>4</v>
      </c>
      <c r="M335" s="157" t="s">
        <v>35</v>
      </c>
      <c r="N335" s="167" t="s">
        <v>10500</v>
      </c>
      <c r="O335" s="55" t="str">
        <f t="shared" si="14"/>
        <v>L2.02.02.03.05.00</v>
      </c>
      <c r="P335" s="257" t="str">
        <f t="shared" si="12"/>
        <v>L2.02.02.03.05.00.03</v>
      </c>
      <c r="Q335" s="161" t="s">
        <v>10530</v>
      </c>
      <c r="R335" s="299" t="str">
        <f t="shared" si="13"/>
        <v>Nhóm Quản lý</v>
      </c>
      <c r="S335" s="269" t="s">
        <v>11088</v>
      </c>
      <c r="T335" s="265"/>
      <c r="U335" s="265"/>
      <c r="V335" s="265"/>
      <c r="W335" s="265"/>
      <c r="X335" s="265"/>
      <c r="Y335" s="264" t="s">
        <v>11089</v>
      </c>
      <c r="Z335" s="225" t="s">
        <v>11090</v>
      </c>
      <c r="AA335" s="266"/>
      <c r="AB335" s="267"/>
      <c r="AC335" s="267"/>
      <c r="AD335" s="267"/>
    </row>
    <row r="336" ht="15.75" hidden="1" customHeight="1" outlineLevel="1">
      <c r="A336" s="261" t="s">
        <v>10833</v>
      </c>
      <c r="B336" s="231" t="s">
        <v>77</v>
      </c>
      <c r="C336" s="231" t="s">
        <v>33</v>
      </c>
      <c r="D336" s="157" t="s">
        <v>89</v>
      </c>
      <c r="E336" s="297" t="s">
        <v>33</v>
      </c>
      <c r="F336" s="168" t="s">
        <v>10992</v>
      </c>
      <c r="G336" s="157" t="s">
        <v>35</v>
      </c>
      <c r="H336" s="298" t="s">
        <v>11086</v>
      </c>
      <c r="I336" s="261" t="s">
        <v>29</v>
      </c>
      <c r="J336" s="257" t="s">
        <v>117</v>
      </c>
      <c r="K336" s="297" t="s">
        <v>27</v>
      </c>
      <c r="L336" s="157" t="s">
        <v>4</v>
      </c>
      <c r="M336" s="157" t="s">
        <v>35</v>
      </c>
      <c r="N336" s="167" t="s">
        <v>10500</v>
      </c>
      <c r="O336" s="55" t="str">
        <f t="shared" si="14"/>
        <v>L2.02.02.03.01.00</v>
      </c>
      <c r="P336" s="257" t="str">
        <f t="shared" si="12"/>
        <v>L2.02.02.03.01.00.03</v>
      </c>
      <c r="Q336" s="161" t="s">
        <v>10530</v>
      </c>
      <c r="R336" s="299" t="str">
        <f t="shared" si="13"/>
        <v>Nhóm KD Bán thêm GP KTDN</v>
      </c>
      <c r="S336" s="269" t="s">
        <v>11088</v>
      </c>
      <c r="T336" s="265" t="s">
        <v>3356</v>
      </c>
      <c r="U336" s="265" t="s">
        <v>2811</v>
      </c>
      <c r="V336" s="265" t="s">
        <v>326</v>
      </c>
      <c r="W336" s="265" t="s">
        <v>2737</v>
      </c>
      <c r="X336" s="265"/>
      <c r="Y336" s="265"/>
      <c r="Z336" s="225" t="s">
        <v>11091</v>
      </c>
      <c r="AA336" s="300" t="s">
        <v>10530</v>
      </c>
      <c r="AB336" s="267"/>
      <c r="AC336" s="267"/>
      <c r="AD336" s="267"/>
    </row>
    <row r="337" ht="15.75" hidden="1" customHeight="1" outlineLevel="1">
      <c r="A337" s="261" t="s">
        <v>10833</v>
      </c>
      <c r="B337" s="231" t="s">
        <v>77</v>
      </c>
      <c r="C337" s="231" t="s">
        <v>33</v>
      </c>
      <c r="D337" s="157" t="s">
        <v>89</v>
      </c>
      <c r="E337" s="297" t="s">
        <v>33</v>
      </c>
      <c r="F337" s="168" t="s">
        <v>10992</v>
      </c>
      <c r="G337" s="157" t="s">
        <v>35</v>
      </c>
      <c r="H337" s="298" t="s">
        <v>11086</v>
      </c>
      <c r="I337" s="261" t="s">
        <v>33</v>
      </c>
      <c r="J337" s="257" t="s">
        <v>118</v>
      </c>
      <c r="K337" s="297" t="s">
        <v>27</v>
      </c>
      <c r="L337" s="157" t="s">
        <v>4</v>
      </c>
      <c r="M337" s="157" t="s">
        <v>35</v>
      </c>
      <c r="N337" s="167" t="s">
        <v>10500</v>
      </c>
      <c r="O337" s="55" t="str">
        <f t="shared" si="14"/>
        <v>L2.02.02.03.02.00</v>
      </c>
      <c r="P337" s="257" t="str">
        <f t="shared" si="12"/>
        <v>L2.02.02.03.02.00.03</v>
      </c>
      <c r="Q337" s="161" t="s">
        <v>10530</v>
      </c>
      <c r="R337" s="299" t="str">
        <f t="shared" si="13"/>
        <v>Nhóm KD Bán thêm GP HDDT</v>
      </c>
      <c r="S337" s="269" t="s">
        <v>11088</v>
      </c>
      <c r="T337" s="265" t="s">
        <v>4554</v>
      </c>
      <c r="U337" s="265" t="s">
        <v>2811</v>
      </c>
      <c r="V337" s="265" t="s">
        <v>326</v>
      </c>
      <c r="W337" s="265" t="s">
        <v>324</v>
      </c>
      <c r="X337" s="265"/>
      <c r="Y337" s="265"/>
      <c r="Z337" s="225" t="s">
        <v>11092</v>
      </c>
      <c r="AA337" s="300" t="s">
        <v>10530</v>
      </c>
      <c r="AB337" s="267"/>
      <c r="AC337" s="267"/>
      <c r="AD337" s="267"/>
    </row>
    <row r="338" ht="15.75" hidden="1" customHeight="1" outlineLevel="1">
      <c r="A338" s="261" t="s">
        <v>10833</v>
      </c>
      <c r="B338" s="231" t="s">
        <v>77</v>
      </c>
      <c r="C338" s="231" t="s">
        <v>33</v>
      </c>
      <c r="D338" s="157" t="s">
        <v>89</v>
      </c>
      <c r="E338" s="297" t="s">
        <v>33</v>
      </c>
      <c r="F338" s="168" t="s">
        <v>10992</v>
      </c>
      <c r="G338" s="157" t="s">
        <v>35</v>
      </c>
      <c r="H338" s="298" t="s">
        <v>11086</v>
      </c>
      <c r="I338" s="261" t="s">
        <v>35</v>
      </c>
      <c r="J338" s="257" t="s">
        <v>119</v>
      </c>
      <c r="K338" s="297" t="s">
        <v>27</v>
      </c>
      <c r="L338" s="157" t="s">
        <v>4</v>
      </c>
      <c r="M338" s="157" t="s">
        <v>35</v>
      </c>
      <c r="N338" s="167" t="s">
        <v>10500</v>
      </c>
      <c r="O338" s="55" t="str">
        <f t="shared" si="14"/>
        <v>L2.02.02.03.03.00</v>
      </c>
      <c r="P338" s="257" t="str">
        <f t="shared" si="12"/>
        <v>L2.02.02.03.03.00.03</v>
      </c>
      <c r="Q338" s="161" t="s">
        <v>10530</v>
      </c>
      <c r="R338" s="299" t="str">
        <f t="shared" si="13"/>
        <v>Nhóm KD Bán thêm chuyển đổi KTDN</v>
      </c>
      <c r="S338" s="269" t="s">
        <v>11088</v>
      </c>
      <c r="T338" s="265" t="s">
        <v>8613</v>
      </c>
      <c r="U338" s="265" t="s">
        <v>2811</v>
      </c>
      <c r="V338" s="265" t="s">
        <v>326</v>
      </c>
      <c r="W338" s="265" t="s">
        <v>8612</v>
      </c>
      <c r="X338" s="265"/>
      <c r="Y338" s="265"/>
      <c r="Z338" s="225" t="s">
        <v>11093</v>
      </c>
      <c r="AA338" s="300" t="s">
        <v>10530</v>
      </c>
      <c r="AB338" s="267"/>
      <c r="AC338" s="267"/>
      <c r="AD338" s="267"/>
    </row>
    <row r="339" ht="15.75" hidden="1" customHeight="1" outlineLevel="1">
      <c r="A339" s="261" t="s">
        <v>10833</v>
      </c>
      <c r="B339" s="231" t="s">
        <v>77</v>
      </c>
      <c r="C339" s="231" t="s">
        <v>33</v>
      </c>
      <c r="D339" s="157" t="s">
        <v>89</v>
      </c>
      <c r="E339" s="297" t="s">
        <v>33</v>
      </c>
      <c r="F339" s="168" t="s">
        <v>10992</v>
      </c>
      <c r="G339" s="157" t="s">
        <v>35</v>
      </c>
      <c r="H339" s="298" t="s">
        <v>11086</v>
      </c>
      <c r="I339" s="261" t="s">
        <v>37</v>
      </c>
      <c r="J339" s="257" t="s">
        <v>120</v>
      </c>
      <c r="K339" s="297" t="s">
        <v>27</v>
      </c>
      <c r="L339" s="157" t="s">
        <v>4</v>
      </c>
      <c r="M339" s="157" t="s">
        <v>35</v>
      </c>
      <c r="N339" s="167" t="s">
        <v>10500</v>
      </c>
      <c r="O339" s="55" t="str">
        <f t="shared" si="14"/>
        <v>L2.02.02.03.04.00</v>
      </c>
      <c r="P339" s="257" t="str">
        <f t="shared" si="12"/>
        <v>L2.02.02.03.04.00.03</v>
      </c>
      <c r="Q339" s="161" t="s">
        <v>10530</v>
      </c>
      <c r="R339" s="299" t="str">
        <f t="shared" si="13"/>
        <v>Nhóm KD Bán thêm GP ký điện tử</v>
      </c>
      <c r="S339" s="269" t="s">
        <v>11088</v>
      </c>
      <c r="T339" s="342" t="s">
        <v>11094</v>
      </c>
      <c r="U339" s="265" t="s">
        <v>2811</v>
      </c>
      <c r="V339" s="265" t="s">
        <v>326</v>
      </c>
      <c r="W339" s="302" t="s">
        <v>11095</v>
      </c>
      <c r="X339" s="265"/>
      <c r="Y339" s="265"/>
      <c r="Z339" s="225" t="s">
        <v>11096</v>
      </c>
      <c r="AA339" s="300" t="s">
        <v>10530</v>
      </c>
      <c r="AB339" s="267"/>
      <c r="AC339" s="267"/>
      <c r="AD339" s="267"/>
    </row>
    <row r="340" ht="15.75" hidden="1" customHeight="1" outlineLevel="1">
      <c r="A340" s="228" t="s">
        <v>10833</v>
      </c>
      <c r="B340" s="270" t="s">
        <v>77</v>
      </c>
      <c r="C340" s="270" t="s">
        <v>33</v>
      </c>
      <c r="D340" s="209" t="s">
        <v>89</v>
      </c>
      <c r="E340" s="271" t="s">
        <v>33</v>
      </c>
      <c r="F340" s="182" t="s">
        <v>10992</v>
      </c>
      <c r="G340" s="209" t="s">
        <v>33</v>
      </c>
      <c r="H340" s="212" t="s">
        <v>11097</v>
      </c>
      <c r="I340" s="182" t="s">
        <v>27</v>
      </c>
      <c r="J340" s="346" t="s">
        <v>4</v>
      </c>
      <c r="K340" s="271" t="s">
        <v>27</v>
      </c>
      <c r="L340" s="209" t="s">
        <v>4</v>
      </c>
      <c r="M340" s="209" t="s">
        <v>37</v>
      </c>
      <c r="N340" s="212" t="s">
        <v>10900</v>
      </c>
      <c r="O340" s="58" t="str">
        <f t="shared" si="14"/>
        <v>L2.02.02.02.00.00</v>
      </c>
      <c r="P340" s="272" t="str">
        <f t="shared" si="12"/>
        <v>L2.02.02.02.00.00.04</v>
      </c>
      <c r="Q340" s="185" t="s">
        <v>10530</v>
      </c>
      <c r="R340" s="273" t="str">
        <f t="shared" si="13"/>
        <v>Phòng KD bán mới GPKT - Buôn Ma Thuột</v>
      </c>
      <c r="S340" s="274" t="s">
        <v>11003</v>
      </c>
      <c r="T340" s="183"/>
      <c r="U340" s="183"/>
      <c r="V340" s="183"/>
      <c r="W340" s="183"/>
      <c r="X340" s="183"/>
      <c r="Y340" s="183"/>
      <c r="Z340" s="275" t="s">
        <v>11098</v>
      </c>
      <c r="AA340" s="304" t="s">
        <v>10530</v>
      </c>
      <c r="AB340" s="277"/>
      <c r="AC340" s="277"/>
      <c r="AD340" s="277"/>
    </row>
    <row r="341" ht="15.75" hidden="1" customHeight="1" outlineLevel="1">
      <c r="A341" s="228" t="s">
        <v>10833</v>
      </c>
      <c r="B341" s="270" t="s">
        <v>77</v>
      </c>
      <c r="C341" s="270" t="s">
        <v>33</v>
      </c>
      <c r="D341" s="209" t="s">
        <v>89</v>
      </c>
      <c r="E341" s="271" t="s">
        <v>33</v>
      </c>
      <c r="F341" s="182" t="s">
        <v>10992</v>
      </c>
      <c r="G341" s="209" t="s">
        <v>33</v>
      </c>
      <c r="H341" s="212" t="s">
        <v>11097</v>
      </c>
      <c r="I341" s="182" t="s">
        <v>29</v>
      </c>
      <c r="J341" s="346" t="s">
        <v>110</v>
      </c>
      <c r="K341" s="182" t="s">
        <v>29</v>
      </c>
      <c r="L341" s="347" t="s">
        <v>4</v>
      </c>
      <c r="M341" s="209" t="s">
        <v>37</v>
      </c>
      <c r="N341" s="212" t="s">
        <v>10900</v>
      </c>
      <c r="O341" s="58" t="str">
        <f t="shared" si="14"/>
        <v>L2.02.02.02.01.01</v>
      </c>
      <c r="P341" s="272" t="str">
        <f t="shared" si="12"/>
        <v>L2.02.02.02.01.01.04</v>
      </c>
      <c r="Q341" s="185" t="s">
        <v>10530</v>
      </c>
      <c r="R341" s="273" t="str">
        <f>if(J341&lt;&gt;"-",J341,if(AND(J341="-",#REF!&lt;&gt;"-"),#REF!,if(AND(#REF!="-",H341&lt;&gt;"-"),H341,"NA")))</f>
        <v>Phòng KD bán mới GPKT 01</v>
      </c>
      <c r="S341" s="274" t="str">
        <f>P340</f>
        <v>L2.02.02.02.00.00.04</v>
      </c>
      <c r="T341" s="183" t="s">
        <v>2859</v>
      </c>
      <c r="U341" s="183" t="s">
        <v>2732</v>
      </c>
      <c r="V341" s="183" t="s">
        <v>2768</v>
      </c>
      <c r="W341" s="183" t="s">
        <v>2858</v>
      </c>
      <c r="X341" s="183"/>
      <c r="Y341" s="183"/>
      <c r="Z341" s="275" t="s">
        <v>11099</v>
      </c>
      <c r="AA341" s="304" t="s">
        <v>10530</v>
      </c>
      <c r="AB341" s="277"/>
      <c r="AC341" s="277"/>
      <c r="AD341" s="277"/>
    </row>
    <row r="342" ht="15.75" hidden="1" customHeight="1" outlineLevel="1">
      <c r="A342" s="261" t="s">
        <v>10833</v>
      </c>
      <c r="B342" s="231" t="s">
        <v>77</v>
      </c>
      <c r="C342" s="231" t="s">
        <v>33</v>
      </c>
      <c r="D342" s="157" t="s">
        <v>89</v>
      </c>
      <c r="E342" s="297" t="s">
        <v>33</v>
      </c>
      <c r="F342" s="168" t="s">
        <v>10992</v>
      </c>
      <c r="G342" s="157" t="s">
        <v>35</v>
      </c>
      <c r="H342" s="298" t="s">
        <v>11100</v>
      </c>
      <c r="I342" s="168" t="s">
        <v>27</v>
      </c>
      <c r="J342" s="258" t="s">
        <v>4</v>
      </c>
      <c r="K342" s="297" t="s">
        <v>27</v>
      </c>
      <c r="L342" s="157" t="s">
        <v>4</v>
      </c>
      <c r="M342" s="157" t="s">
        <v>37</v>
      </c>
      <c r="N342" s="298" t="s">
        <v>10900</v>
      </c>
      <c r="O342" s="55" t="str">
        <f t="shared" si="14"/>
        <v>L2.02.02.03.00.00</v>
      </c>
      <c r="P342" s="257" t="str">
        <f t="shared" si="12"/>
        <v>L2.02.02.03.00.00.04</v>
      </c>
      <c r="Q342" s="161" t="s">
        <v>10530</v>
      </c>
      <c r="R342" s="299" t="str">
        <f t="shared" ref="R342:R393" si="15">if(L342&lt;&gt;"-",L342,if(AND(L342="-",J342&lt;&gt;"-"),J342,if(AND(J342="-",H342&lt;&gt;"-"),H342,"NA")))</f>
        <v>Phòng KD Bán thêm - Buôn Ma Thuột</v>
      </c>
      <c r="S342" s="274" t="s">
        <v>11057</v>
      </c>
      <c r="T342" s="265" t="s">
        <v>9032</v>
      </c>
      <c r="U342" s="265" t="s">
        <v>2732</v>
      </c>
      <c r="V342" s="265" t="s">
        <v>326</v>
      </c>
      <c r="W342" s="265"/>
      <c r="X342" s="265"/>
      <c r="Y342" s="265"/>
      <c r="Z342" s="225" t="s">
        <v>11101</v>
      </c>
      <c r="AA342" s="300" t="s">
        <v>10530</v>
      </c>
      <c r="AB342" s="267"/>
      <c r="AC342" s="267"/>
      <c r="AD342" s="267"/>
    </row>
    <row r="343" ht="15.75" hidden="1" customHeight="1" outlineLevel="1">
      <c r="A343" s="261" t="s">
        <v>10833</v>
      </c>
      <c r="B343" s="231" t="s">
        <v>77</v>
      </c>
      <c r="C343" s="231" t="s">
        <v>33</v>
      </c>
      <c r="D343" s="157" t="s">
        <v>89</v>
      </c>
      <c r="E343" s="297" t="s">
        <v>33</v>
      </c>
      <c r="F343" s="168" t="s">
        <v>10992</v>
      </c>
      <c r="G343" s="157" t="s">
        <v>35</v>
      </c>
      <c r="H343" s="298" t="s">
        <v>11100</v>
      </c>
      <c r="I343" s="168" t="s">
        <v>42</v>
      </c>
      <c r="J343" s="301" t="s">
        <v>10984</v>
      </c>
      <c r="K343" s="297" t="s">
        <v>27</v>
      </c>
      <c r="L343" s="157" t="s">
        <v>4</v>
      </c>
      <c r="M343" s="157" t="s">
        <v>37</v>
      </c>
      <c r="N343" s="298" t="s">
        <v>10900</v>
      </c>
      <c r="O343" s="55" t="str">
        <f t="shared" si="14"/>
        <v>L2.02.02.03.05.00</v>
      </c>
      <c r="P343" s="257" t="str">
        <f t="shared" si="12"/>
        <v>L2.02.02.03.05.00.04</v>
      </c>
      <c r="Q343" s="161" t="s">
        <v>10530</v>
      </c>
      <c r="R343" s="299" t="str">
        <f t="shared" si="15"/>
        <v>Nhóm Quản lý</v>
      </c>
      <c r="S343" s="269" t="s">
        <v>11102</v>
      </c>
      <c r="T343" s="265"/>
      <c r="U343" s="265"/>
      <c r="V343" s="265"/>
      <c r="W343" s="265"/>
      <c r="X343" s="265"/>
      <c r="Y343" s="264" t="s">
        <v>11089</v>
      </c>
      <c r="Z343" s="225" t="s">
        <v>11103</v>
      </c>
      <c r="AA343" s="266"/>
      <c r="AB343" s="267"/>
      <c r="AC343" s="267"/>
      <c r="AD343" s="267"/>
    </row>
    <row r="344" ht="15.75" hidden="1" customHeight="1" outlineLevel="1">
      <c r="A344" s="261" t="s">
        <v>10833</v>
      </c>
      <c r="B344" s="231" t="s">
        <v>77</v>
      </c>
      <c r="C344" s="231" t="s">
        <v>33</v>
      </c>
      <c r="D344" s="157" t="s">
        <v>89</v>
      </c>
      <c r="E344" s="297" t="s">
        <v>33</v>
      </c>
      <c r="F344" s="168" t="s">
        <v>10992</v>
      </c>
      <c r="G344" s="157" t="s">
        <v>35</v>
      </c>
      <c r="H344" s="298" t="s">
        <v>11100</v>
      </c>
      <c r="I344" s="261" t="s">
        <v>29</v>
      </c>
      <c r="J344" s="257" t="s">
        <v>117</v>
      </c>
      <c r="K344" s="297" t="s">
        <v>27</v>
      </c>
      <c r="L344" s="157" t="s">
        <v>4</v>
      </c>
      <c r="M344" s="157" t="s">
        <v>37</v>
      </c>
      <c r="N344" s="298" t="s">
        <v>10900</v>
      </c>
      <c r="O344" s="55" t="str">
        <f t="shared" si="14"/>
        <v>L2.02.02.03.01.00</v>
      </c>
      <c r="P344" s="257" t="str">
        <f t="shared" si="12"/>
        <v>L2.02.02.03.01.00.04</v>
      </c>
      <c r="Q344" s="161" t="s">
        <v>10530</v>
      </c>
      <c r="R344" s="299" t="str">
        <f t="shared" si="15"/>
        <v>Nhóm KD Bán thêm GP KTDN</v>
      </c>
      <c r="S344" s="269" t="s">
        <v>11102</v>
      </c>
      <c r="T344" s="265" t="s">
        <v>2738</v>
      </c>
      <c r="U344" s="265" t="s">
        <v>2732</v>
      </c>
      <c r="V344" s="265" t="s">
        <v>326</v>
      </c>
      <c r="W344" s="265" t="s">
        <v>2737</v>
      </c>
      <c r="X344" s="265"/>
      <c r="Y344" s="265"/>
      <c r="Z344" s="225" t="s">
        <v>11104</v>
      </c>
      <c r="AA344" s="300" t="s">
        <v>10530</v>
      </c>
      <c r="AB344" s="267"/>
      <c r="AC344" s="267"/>
      <c r="AD344" s="267"/>
    </row>
    <row r="345" ht="15.75" hidden="1" customHeight="1" outlineLevel="1">
      <c r="A345" s="261" t="s">
        <v>10833</v>
      </c>
      <c r="B345" s="231" t="s">
        <v>77</v>
      </c>
      <c r="C345" s="231" t="s">
        <v>33</v>
      </c>
      <c r="D345" s="157" t="s">
        <v>89</v>
      </c>
      <c r="E345" s="297" t="s">
        <v>33</v>
      </c>
      <c r="F345" s="168" t="s">
        <v>10992</v>
      </c>
      <c r="G345" s="157" t="s">
        <v>35</v>
      </c>
      <c r="H345" s="298" t="s">
        <v>11100</v>
      </c>
      <c r="I345" s="261" t="s">
        <v>33</v>
      </c>
      <c r="J345" s="257" t="s">
        <v>118</v>
      </c>
      <c r="K345" s="297" t="s">
        <v>27</v>
      </c>
      <c r="L345" s="157" t="s">
        <v>4</v>
      </c>
      <c r="M345" s="157" t="s">
        <v>37</v>
      </c>
      <c r="N345" s="298" t="s">
        <v>10900</v>
      </c>
      <c r="O345" s="55" t="str">
        <f t="shared" si="14"/>
        <v>L2.02.02.03.02.00</v>
      </c>
      <c r="P345" s="257" t="str">
        <f t="shared" si="12"/>
        <v>L2.02.02.03.02.00.04</v>
      </c>
      <c r="Q345" s="161" t="s">
        <v>10530</v>
      </c>
      <c r="R345" s="299" t="str">
        <f t="shared" si="15"/>
        <v>Nhóm KD Bán thêm GP HDDT</v>
      </c>
      <c r="S345" s="269" t="s">
        <v>11102</v>
      </c>
      <c r="T345" s="265" t="s">
        <v>2733</v>
      </c>
      <c r="U345" s="265" t="s">
        <v>2732</v>
      </c>
      <c r="V345" s="265" t="s">
        <v>326</v>
      </c>
      <c r="W345" s="265" t="s">
        <v>324</v>
      </c>
      <c r="X345" s="265"/>
      <c r="Y345" s="265"/>
      <c r="Z345" s="225" t="s">
        <v>11105</v>
      </c>
      <c r="AA345" s="300" t="s">
        <v>10530</v>
      </c>
      <c r="AB345" s="267"/>
      <c r="AC345" s="267"/>
      <c r="AD345" s="267"/>
    </row>
    <row r="346" ht="15.75" hidden="1" customHeight="1" outlineLevel="1">
      <c r="A346" s="261" t="s">
        <v>10833</v>
      </c>
      <c r="B346" s="231" t="s">
        <v>77</v>
      </c>
      <c r="C346" s="231" t="s">
        <v>33</v>
      </c>
      <c r="D346" s="157" t="s">
        <v>89</v>
      </c>
      <c r="E346" s="297" t="s">
        <v>33</v>
      </c>
      <c r="F346" s="168" t="s">
        <v>10992</v>
      </c>
      <c r="G346" s="157" t="s">
        <v>35</v>
      </c>
      <c r="H346" s="298" t="s">
        <v>11100</v>
      </c>
      <c r="I346" s="261" t="s">
        <v>35</v>
      </c>
      <c r="J346" s="257" t="s">
        <v>119</v>
      </c>
      <c r="K346" s="297" t="s">
        <v>27</v>
      </c>
      <c r="L346" s="157" t="s">
        <v>4</v>
      </c>
      <c r="M346" s="157" t="s">
        <v>37</v>
      </c>
      <c r="N346" s="298" t="s">
        <v>10900</v>
      </c>
      <c r="O346" s="55" t="str">
        <f t="shared" si="14"/>
        <v>L2.02.02.03.03.00</v>
      </c>
      <c r="P346" s="257" t="str">
        <f t="shared" si="12"/>
        <v>L2.02.02.03.03.00.04</v>
      </c>
      <c r="Q346" s="161" t="s">
        <v>10530</v>
      </c>
      <c r="R346" s="299" t="str">
        <f t="shared" si="15"/>
        <v>Nhóm KD Bán thêm chuyển đổi KTDN</v>
      </c>
      <c r="S346" s="269" t="s">
        <v>11102</v>
      </c>
      <c r="T346" s="265" t="s">
        <v>9059</v>
      </c>
      <c r="U346" s="265" t="s">
        <v>2732</v>
      </c>
      <c r="V346" s="265" t="s">
        <v>326</v>
      </c>
      <c r="W346" s="265" t="s">
        <v>9058</v>
      </c>
      <c r="X346" s="265"/>
      <c r="Y346" s="265"/>
      <c r="Z346" s="225" t="s">
        <v>11106</v>
      </c>
      <c r="AA346" s="300" t="s">
        <v>10530</v>
      </c>
      <c r="AB346" s="267"/>
      <c r="AC346" s="267"/>
      <c r="AD346" s="267"/>
    </row>
    <row r="347" ht="15.75" hidden="1" customHeight="1" outlineLevel="1">
      <c r="A347" s="261" t="s">
        <v>10833</v>
      </c>
      <c r="B347" s="231" t="s">
        <v>77</v>
      </c>
      <c r="C347" s="231" t="s">
        <v>33</v>
      </c>
      <c r="D347" s="157" t="s">
        <v>89</v>
      </c>
      <c r="E347" s="297" t="s">
        <v>33</v>
      </c>
      <c r="F347" s="168" t="s">
        <v>10992</v>
      </c>
      <c r="G347" s="157" t="s">
        <v>35</v>
      </c>
      <c r="H347" s="298" t="s">
        <v>11100</v>
      </c>
      <c r="I347" s="261" t="s">
        <v>37</v>
      </c>
      <c r="J347" s="257" t="s">
        <v>120</v>
      </c>
      <c r="K347" s="297" t="s">
        <v>27</v>
      </c>
      <c r="L347" s="157" t="s">
        <v>4</v>
      </c>
      <c r="M347" s="157" t="s">
        <v>37</v>
      </c>
      <c r="N347" s="298" t="s">
        <v>10900</v>
      </c>
      <c r="O347" s="55" t="str">
        <f t="shared" si="14"/>
        <v>L2.02.02.03.04.00</v>
      </c>
      <c r="P347" s="257" t="str">
        <f t="shared" si="12"/>
        <v>L2.02.02.03.04.00.04</v>
      </c>
      <c r="Q347" s="161" t="s">
        <v>10530</v>
      </c>
      <c r="R347" s="299" t="str">
        <f t="shared" si="15"/>
        <v>Nhóm KD Bán thêm GP ký điện tử</v>
      </c>
      <c r="S347" s="269" t="s">
        <v>11102</v>
      </c>
      <c r="T347" s="265"/>
      <c r="U347" s="265"/>
      <c r="V347" s="265"/>
      <c r="W347" s="265"/>
      <c r="X347" s="265"/>
      <c r="Y347" s="264" t="s">
        <v>11089</v>
      </c>
      <c r="Z347" s="225" t="s">
        <v>11107</v>
      </c>
      <c r="AA347" s="266"/>
      <c r="AB347" s="267"/>
      <c r="AC347" s="267"/>
      <c r="AD347" s="267"/>
    </row>
    <row r="348" ht="15.75" hidden="1" customHeight="1" outlineLevel="1">
      <c r="A348" s="228" t="s">
        <v>10833</v>
      </c>
      <c r="B348" s="270" t="s">
        <v>77</v>
      </c>
      <c r="C348" s="270" t="s">
        <v>33</v>
      </c>
      <c r="D348" s="209" t="s">
        <v>89</v>
      </c>
      <c r="E348" s="271" t="s">
        <v>33</v>
      </c>
      <c r="F348" s="182" t="s">
        <v>10992</v>
      </c>
      <c r="G348" s="209" t="s">
        <v>33</v>
      </c>
      <c r="H348" s="212" t="s">
        <v>11108</v>
      </c>
      <c r="I348" s="182" t="s">
        <v>27</v>
      </c>
      <c r="J348" s="212" t="s">
        <v>4</v>
      </c>
      <c r="K348" s="271" t="s">
        <v>27</v>
      </c>
      <c r="L348" s="209" t="s">
        <v>4</v>
      </c>
      <c r="M348" s="209" t="s">
        <v>42</v>
      </c>
      <c r="N348" s="181" t="s">
        <v>10502</v>
      </c>
      <c r="O348" s="58" t="str">
        <f t="shared" si="14"/>
        <v>L2.02.02.02.00.00</v>
      </c>
      <c r="P348" s="272" t="str">
        <f t="shared" si="12"/>
        <v>L2.02.02.02.00.00.05</v>
      </c>
      <c r="Q348" s="185" t="s">
        <v>10530</v>
      </c>
      <c r="R348" s="273" t="str">
        <f t="shared" si="15"/>
        <v>Phòng KD bán mới GPKT - Cần Thơ</v>
      </c>
      <c r="S348" s="274" t="s">
        <v>11003</v>
      </c>
      <c r="T348" s="232"/>
      <c r="U348" s="232"/>
      <c r="V348" s="232"/>
      <c r="W348" s="232"/>
      <c r="X348" s="183"/>
      <c r="Y348" s="183"/>
      <c r="Z348" s="275" t="s">
        <v>11109</v>
      </c>
      <c r="AA348" s="304" t="s">
        <v>10530</v>
      </c>
      <c r="AB348" s="277"/>
      <c r="AC348" s="277"/>
      <c r="AD348" s="277"/>
    </row>
    <row r="349" ht="15.75" hidden="1" customHeight="1" outlineLevel="1">
      <c r="A349" s="261" t="s">
        <v>10833</v>
      </c>
      <c r="B349" s="231" t="s">
        <v>77</v>
      </c>
      <c r="C349" s="231" t="s">
        <v>33</v>
      </c>
      <c r="D349" s="157" t="s">
        <v>89</v>
      </c>
      <c r="E349" s="297" t="s">
        <v>33</v>
      </c>
      <c r="F349" s="168" t="s">
        <v>10992</v>
      </c>
      <c r="G349" s="157" t="s">
        <v>33</v>
      </c>
      <c r="H349" s="298" t="s">
        <v>11108</v>
      </c>
      <c r="I349" s="297" t="s">
        <v>29</v>
      </c>
      <c r="J349" s="167" t="s">
        <v>110</v>
      </c>
      <c r="K349" s="297" t="s">
        <v>27</v>
      </c>
      <c r="L349" s="157" t="s">
        <v>4</v>
      </c>
      <c r="M349" s="157" t="s">
        <v>42</v>
      </c>
      <c r="N349" s="167" t="s">
        <v>10502</v>
      </c>
      <c r="O349" s="55" t="str">
        <f t="shared" si="14"/>
        <v>L2.02.02.02.01.00</v>
      </c>
      <c r="P349" s="257" t="str">
        <f t="shared" si="12"/>
        <v>L2.02.02.02.01.00.05</v>
      </c>
      <c r="Q349" s="161" t="s">
        <v>10530</v>
      </c>
      <c r="R349" s="299" t="str">
        <f t="shared" si="15"/>
        <v>Phòng KD bán mới GPKT 01</v>
      </c>
      <c r="S349" s="274" t="s">
        <v>11110</v>
      </c>
      <c r="T349" s="2" t="s">
        <v>2769</v>
      </c>
      <c r="U349" s="2" t="s">
        <v>325</v>
      </c>
      <c r="V349" s="2" t="s">
        <v>2768</v>
      </c>
      <c r="W349" s="2" t="s">
        <v>2767</v>
      </c>
      <c r="X349" s="265"/>
      <c r="Y349" s="265"/>
      <c r="Z349" s="225" t="s">
        <v>11111</v>
      </c>
      <c r="AA349" s="300" t="s">
        <v>10530</v>
      </c>
      <c r="AB349" s="267"/>
      <c r="AC349" s="267"/>
      <c r="AD349" s="267"/>
    </row>
    <row r="350" ht="15.75" hidden="1" customHeight="1" outlineLevel="1">
      <c r="A350" s="261" t="s">
        <v>10833</v>
      </c>
      <c r="B350" s="231" t="s">
        <v>77</v>
      </c>
      <c r="C350" s="231" t="s">
        <v>33</v>
      </c>
      <c r="D350" s="157" t="s">
        <v>89</v>
      </c>
      <c r="E350" s="297" t="s">
        <v>33</v>
      </c>
      <c r="F350" s="168" t="s">
        <v>10992</v>
      </c>
      <c r="G350" s="157" t="s">
        <v>35</v>
      </c>
      <c r="H350" s="298" t="s">
        <v>11112</v>
      </c>
      <c r="I350" s="168" t="s">
        <v>27</v>
      </c>
      <c r="J350" s="258" t="s">
        <v>4</v>
      </c>
      <c r="K350" s="297" t="s">
        <v>27</v>
      </c>
      <c r="L350" s="157" t="s">
        <v>4</v>
      </c>
      <c r="M350" s="157" t="s">
        <v>42</v>
      </c>
      <c r="N350" s="167" t="s">
        <v>10502</v>
      </c>
      <c r="O350" s="55" t="str">
        <f t="shared" si="14"/>
        <v>L2.02.02.03.00.00</v>
      </c>
      <c r="P350" s="257" t="str">
        <f t="shared" si="12"/>
        <v>L2.02.02.03.00.00.05</v>
      </c>
      <c r="Q350" s="161" t="s">
        <v>10530</v>
      </c>
      <c r="R350" s="299" t="str">
        <f t="shared" si="15"/>
        <v>Phòng KD Bán thêm - Cần Thơ</v>
      </c>
      <c r="S350" s="274" t="s">
        <v>11057</v>
      </c>
      <c r="T350" s="2" t="s">
        <v>7434</v>
      </c>
      <c r="U350" s="2" t="s">
        <v>325</v>
      </c>
      <c r="V350" s="2" t="s">
        <v>326</v>
      </c>
      <c r="X350" s="265"/>
      <c r="Y350" s="265"/>
      <c r="Z350" s="225" t="s">
        <v>11113</v>
      </c>
      <c r="AA350" s="300" t="s">
        <v>10530</v>
      </c>
      <c r="AB350" s="267"/>
      <c r="AC350" s="267"/>
      <c r="AD350" s="267"/>
    </row>
    <row r="351" ht="15.75" hidden="1" customHeight="1" outlineLevel="1">
      <c r="A351" s="261" t="s">
        <v>10833</v>
      </c>
      <c r="B351" s="231" t="s">
        <v>77</v>
      </c>
      <c r="C351" s="231" t="s">
        <v>33</v>
      </c>
      <c r="D351" s="157" t="s">
        <v>89</v>
      </c>
      <c r="E351" s="297" t="s">
        <v>33</v>
      </c>
      <c r="F351" s="168" t="s">
        <v>10992</v>
      </c>
      <c r="G351" s="157" t="s">
        <v>35</v>
      </c>
      <c r="H351" s="298" t="s">
        <v>11112</v>
      </c>
      <c r="I351" s="261" t="s">
        <v>29</v>
      </c>
      <c r="J351" s="301" t="s">
        <v>10984</v>
      </c>
      <c r="K351" s="297" t="s">
        <v>27</v>
      </c>
      <c r="L351" s="157" t="s">
        <v>4</v>
      </c>
      <c r="M351" s="157" t="s">
        <v>42</v>
      </c>
      <c r="N351" s="167" t="s">
        <v>10502</v>
      </c>
      <c r="O351" s="55" t="str">
        <f t="shared" si="14"/>
        <v>L2.02.02.03.01.00</v>
      </c>
      <c r="P351" s="257" t="str">
        <f t="shared" si="12"/>
        <v>L2.02.02.03.01.00.05</v>
      </c>
      <c r="Q351" s="161" t="s">
        <v>10530</v>
      </c>
      <c r="R351" s="299" t="str">
        <f t="shared" si="15"/>
        <v>Nhóm Quản lý</v>
      </c>
      <c r="S351" s="269" t="s">
        <v>11114</v>
      </c>
      <c r="T351" s="265"/>
      <c r="U351" s="265"/>
      <c r="V351" s="265"/>
      <c r="W351" s="265"/>
      <c r="X351" s="265"/>
      <c r="Y351" s="264" t="s">
        <v>11089</v>
      </c>
      <c r="Z351" s="225" t="s">
        <v>11115</v>
      </c>
      <c r="AA351" s="266"/>
      <c r="AB351" s="267"/>
      <c r="AC351" s="267"/>
      <c r="AD351" s="267"/>
    </row>
    <row r="352" ht="15.75" hidden="1" customHeight="1" outlineLevel="1">
      <c r="A352" s="261" t="s">
        <v>10833</v>
      </c>
      <c r="B352" s="231" t="s">
        <v>77</v>
      </c>
      <c r="C352" s="231" t="s">
        <v>33</v>
      </c>
      <c r="D352" s="157" t="s">
        <v>89</v>
      </c>
      <c r="E352" s="297" t="s">
        <v>33</v>
      </c>
      <c r="F352" s="168" t="s">
        <v>10992</v>
      </c>
      <c r="G352" s="157" t="s">
        <v>35</v>
      </c>
      <c r="H352" s="298" t="s">
        <v>11112</v>
      </c>
      <c r="I352" s="261" t="s">
        <v>33</v>
      </c>
      <c r="J352" s="257" t="s">
        <v>117</v>
      </c>
      <c r="K352" s="297" t="s">
        <v>27</v>
      </c>
      <c r="L352" s="157" t="s">
        <v>4</v>
      </c>
      <c r="M352" s="157" t="s">
        <v>42</v>
      </c>
      <c r="N352" s="167" t="s">
        <v>10502</v>
      </c>
      <c r="O352" s="55" t="str">
        <f t="shared" si="14"/>
        <v>L2.02.02.03.02.00</v>
      </c>
      <c r="P352" s="257" t="str">
        <f t="shared" si="12"/>
        <v>L2.02.02.03.02.00.05</v>
      </c>
      <c r="Q352" s="161" t="s">
        <v>10530</v>
      </c>
      <c r="R352" s="299" t="str">
        <f t="shared" si="15"/>
        <v>Nhóm KD Bán thêm GP KTDN</v>
      </c>
      <c r="S352" s="269" t="s">
        <v>11114</v>
      </c>
      <c r="T352" s="2" t="s">
        <v>2755</v>
      </c>
      <c r="U352" s="2" t="s">
        <v>325</v>
      </c>
      <c r="V352" s="2" t="s">
        <v>326</v>
      </c>
      <c r="W352" s="2" t="s">
        <v>2737</v>
      </c>
      <c r="X352" s="265"/>
      <c r="Y352" s="265"/>
      <c r="Z352" s="225" t="s">
        <v>11116</v>
      </c>
      <c r="AA352" s="300" t="s">
        <v>10530</v>
      </c>
      <c r="AB352" s="267"/>
      <c r="AC352" s="267"/>
      <c r="AD352" s="267"/>
    </row>
    <row r="353" ht="15.75" hidden="1" customHeight="1" outlineLevel="1">
      <c r="A353" s="261" t="s">
        <v>10833</v>
      </c>
      <c r="B353" s="231" t="s">
        <v>77</v>
      </c>
      <c r="C353" s="231" t="s">
        <v>33</v>
      </c>
      <c r="D353" s="157" t="s">
        <v>89</v>
      </c>
      <c r="E353" s="297" t="s">
        <v>33</v>
      </c>
      <c r="F353" s="168" t="s">
        <v>10992</v>
      </c>
      <c r="G353" s="157" t="s">
        <v>35</v>
      </c>
      <c r="H353" s="298" t="s">
        <v>11112</v>
      </c>
      <c r="I353" s="261" t="s">
        <v>35</v>
      </c>
      <c r="J353" s="257" t="s">
        <v>118</v>
      </c>
      <c r="K353" s="297" t="s">
        <v>27</v>
      </c>
      <c r="L353" s="157" t="s">
        <v>4</v>
      </c>
      <c r="M353" s="157" t="s">
        <v>42</v>
      </c>
      <c r="N353" s="167" t="s">
        <v>10502</v>
      </c>
      <c r="O353" s="55" t="str">
        <f t="shared" si="14"/>
        <v>L2.02.02.03.03.00</v>
      </c>
      <c r="P353" s="257" t="str">
        <f t="shared" si="12"/>
        <v>L2.02.02.03.03.00.05</v>
      </c>
      <c r="Q353" s="161" t="s">
        <v>10530</v>
      </c>
      <c r="R353" s="299" t="str">
        <f t="shared" si="15"/>
        <v>Nhóm KD Bán thêm GP HDDT</v>
      </c>
      <c r="S353" s="269" t="s">
        <v>11114</v>
      </c>
      <c r="T353" s="2" t="s">
        <v>327</v>
      </c>
      <c r="U353" s="2" t="s">
        <v>325</v>
      </c>
      <c r="V353" s="2" t="s">
        <v>326</v>
      </c>
      <c r="W353" s="2" t="s">
        <v>324</v>
      </c>
      <c r="X353" s="265"/>
      <c r="Y353" s="265"/>
      <c r="Z353" s="225" t="s">
        <v>11117</v>
      </c>
      <c r="AA353" s="300" t="s">
        <v>10530</v>
      </c>
      <c r="AB353" s="267"/>
      <c r="AC353" s="267"/>
      <c r="AD353" s="267"/>
    </row>
    <row r="354" ht="15.75" hidden="1" customHeight="1" outlineLevel="1">
      <c r="A354" s="261" t="s">
        <v>10833</v>
      </c>
      <c r="B354" s="231" t="s">
        <v>77</v>
      </c>
      <c r="C354" s="231" t="s">
        <v>33</v>
      </c>
      <c r="D354" s="157" t="s">
        <v>89</v>
      </c>
      <c r="E354" s="297" t="s">
        <v>33</v>
      </c>
      <c r="F354" s="168" t="s">
        <v>10992</v>
      </c>
      <c r="G354" s="157" t="s">
        <v>35</v>
      </c>
      <c r="H354" s="298" t="s">
        <v>11112</v>
      </c>
      <c r="I354" s="261" t="s">
        <v>37</v>
      </c>
      <c r="J354" s="257" t="s">
        <v>119</v>
      </c>
      <c r="K354" s="297" t="s">
        <v>27</v>
      </c>
      <c r="L354" s="157" t="s">
        <v>4</v>
      </c>
      <c r="M354" s="157" t="s">
        <v>42</v>
      </c>
      <c r="N354" s="167" t="s">
        <v>10502</v>
      </c>
      <c r="O354" s="55" t="str">
        <f t="shared" si="14"/>
        <v>L2.02.02.03.04.00</v>
      </c>
      <c r="P354" s="257" t="str">
        <f t="shared" si="12"/>
        <v>L2.02.02.03.04.00.05</v>
      </c>
      <c r="Q354" s="161" t="s">
        <v>10530</v>
      </c>
      <c r="R354" s="299" t="str">
        <f t="shared" si="15"/>
        <v>Nhóm KD Bán thêm chuyển đổi KTDN</v>
      </c>
      <c r="S354" s="269" t="s">
        <v>11114</v>
      </c>
      <c r="T354" s="2" t="s">
        <v>3639</v>
      </c>
      <c r="U354" s="2" t="s">
        <v>325</v>
      </c>
      <c r="V354" s="2" t="s">
        <v>326</v>
      </c>
      <c r="W354" s="2" t="s">
        <v>3638</v>
      </c>
      <c r="X354" s="265"/>
      <c r="Y354" s="265"/>
      <c r="Z354" s="225" t="s">
        <v>11118</v>
      </c>
      <c r="AA354" s="300" t="s">
        <v>10530</v>
      </c>
      <c r="AB354" s="267"/>
      <c r="AC354" s="267"/>
      <c r="AD354" s="267"/>
    </row>
    <row r="355" ht="15.75" hidden="1" customHeight="1" outlineLevel="1">
      <c r="A355" s="261" t="s">
        <v>10833</v>
      </c>
      <c r="B355" s="231" t="s">
        <v>77</v>
      </c>
      <c r="C355" s="231" t="s">
        <v>33</v>
      </c>
      <c r="D355" s="157" t="s">
        <v>89</v>
      </c>
      <c r="E355" s="297" t="s">
        <v>33</v>
      </c>
      <c r="F355" s="168" t="s">
        <v>10992</v>
      </c>
      <c r="G355" s="157" t="s">
        <v>35</v>
      </c>
      <c r="H355" s="298" t="s">
        <v>11112</v>
      </c>
      <c r="I355" s="261" t="s">
        <v>42</v>
      </c>
      <c r="J355" s="257" t="s">
        <v>120</v>
      </c>
      <c r="K355" s="297" t="s">
        <v>27</v>
      </c>
      <c r="L355" s="157" t="s">
        <v>4</v>
      </c>
      <c r="M355" s="157" t="s">
        <v>42</v>
      </c>
      <c r="N355" s="167" t="s">
        <v>10502</v>
      </c>
      <c r="O355" s="55" t="str">
        <f t="shared" si="14"/>
        <v>L2.02.02.03.05.00</v>
      </c>
      <c r="P355" s="257" t="str">
        <f t="shared" si="12"/>
        <v>L2.02.02.03.05.00.05</v>
      </c>
      <c r="Q355" s="161" t="s">
        <v>10530</v>
      </c>
      <c r="R355" s="299" t="str">
        <f t="shared" si="15"/>
        <v>Nhóm KD Bán thêm GP ký điện tử</v>
      </c>
      <c r="S355" s="269" t="s">
        <v>11114</v>
      </c>
      <c r="T355" s="265"/>
      <c r="U355" s="265"/>
      <c r="V355" s="265"/>
      <c r="W355" s="265"/>
      <c r="X355" s="265"/>
      <c r="Y355" s="264" t="s">
        <v>11089</v>
      </c>
      <c r="Z355" s="225" t="s">
        <v>11119</v>
      </c>
      <c r="AA355" s="266"/>
      <c r="AB355" s="267"/>
      <c r="AC355" s="267"/>
      <c r="AD355" s="267"/>
    </row>
    <row r="356" ht="15.75" hidden="1" customHeight="1" outlineLevel="1">
      <c r="A356" s="100" t="s">
        <v>10833</v>
      </c>
      <c r="B356" s="101" t="s">
        <v>77</v>
      </c>
      <c r="C356" s="101" t="s">
        <v>33</v>
      </c>
      <c r="D356" s="102" t="s">
        <v>89</v>
      </c>
      <c r="E356" s="103" t="s">
        <v>33</v>
      </c>
      <c r="F356" s="106" t="s">
        <v>10992</v>
      </c>
      <c r="G356" s="102" t="s">
        <v>37</v>
      </c>
      <c r="H356" s="104" t="s">
        <v>132</v>
      </c>
      <c r="I356" s="106" t="s">
        <v>27</v>
      </c>
      <c r="J356" s="348" t="s">
        <v>4</v>
      </c>
      <c r="K356" s="103" t="s">
        <v>27</v>
      </c>
      <c r="L356" s="102" t="s">
        <v>4</v>
      </c>
      <c r="M356" s="106" t="s">
        <v>27</v>
      </c>
      <c r="N356" s="104"/>
      <c r="O356" s="136" t="str">
        <f t="shared" si="14"/>
        <v>L2.02.02.04.00.00</v>
      </c>
      <c r="P356" s="107" t="str">
        <f t="shared" si="12"/>
        <v>L2.02.02.04.00.00.00</v>
      </c>
      <c r="Q356" s="108" t="s">
        <v>10530</v>
      </c>
      <c r="R356" s="308" t="str">
        <f t="shared" si="15"/>
        <v>Trung tâm chuyển giao</v>
      </c>
      <c r="S356" s="309" t="s">
        <v>10996</v>
      </c>
      <c r="T356" s="310" t="s">
        <v>7135</v>
      </c>
      <c r="U356" s="310" t="s">
        <v>303</v>
      </c>
      <c r="V356" s="310" t="s">
        <v>132</v>
      </c>
      <c r="W356" s="310"/>
      <c r="X356" s="310"/>
      <c r="Y356" s="310"/>
      <c r="Z356" s="112" t="s">
        <v>11120</v>
      </c>
      <c r="AA356" s="312"/>
      <c r="AB356" s="313"/>
      <c r="AC356" s="313"/>
      <c r="AD356" s="313"/>
    </row>
    <row r="357" ht="15.75" hidden="1" customHeight="1" outlineLevel="1">
      <c r="A357" s="261" t="s">
        <v>10833</v>
      </c>
      <c r="B357" s="231" t="s">
        <v>77</v>
      </c>
      <c r="C357" s="231" t="s">
        <v>33</v>
      </c>
      <c r="D357" s="157" t="s">
        <v>89</v>
      </c>
      <c r="E357" s="297" t="s">
        <v>33</v>
      </c>
      <c r="F357" s="168" t="s">
        <v>10992</v>
      </c>
      <c r="G357" s="157" t="s">
        <v>37</v>
      </c>
      <c r="H357" s="167" t="s">
        <v>132</v>
      </c>
      <c r="I357" s="157" t="s">
        <v>29</v>
      </c>
      <c r="J357" s="257" t="s">
        <v>133</v>
      </c>
      <c r="K357" s="297" t="s">
        <v>27</v>
      </c>
      <c r="L357" s="157" t="s">
        <v>4</v>
      </c>
      <c r="M357" s="157" t="s">
        <v>29</v>
      </c>
      <c r="N357" s="167" t="s">
        <v>10498</v>
      </c>
      <c r="O357" s="55" t="str">
        <f t="shared" si="14"/>
        <v>L2.02.02.04.01.00</v>
      </c>
      <c r="P357" s="257" t="str">
        <f t="shared" si="12"/>
        <v>L2.02.02.04.01.00.01</v>
      </c>
      <c r="Q357" s="161" t="s">
        <v>10530</v>
      </c>
      <c r="R357" s="299" t="str">
        <f t="shared" si="15"/>
        <v>Ban giám đốc TT chuyển giao</v>
      </c>
      <c r="S357" s="269" t="s">
        <v>11121</v>
      </c>
      <c r="T357" s="265"/>
      <c r="U357" s="265"/>
      <c r="V357" s="265"/>
      <c r="W357" s="265"/>
      <c r="X357" s="265"/>
      <c r="Y357" s="264" t="s">
        <v>11089</v>
      </c>
      <c r="Z357" s="225" t="s">
        <v>11122</v>
      </c>
      <c r="AA357" s="266"/>
      <c r="AB357" s="267"/>
      <c r="AC357" s="267"/>
      <c r="AD357" s="267"/>
    </row>
    <row r="358" ht="15.75" hidden="1" customHeight="1" outlineLevel="1">
      <c r="A358" s="100" t="s">
        <v>10833</v>
      </c>
      <c r="B358" s="101" t="s">
        <v>77</v>
      </c>
      <c r="C358" s="101" t="s">
        <v>33</v>
      </c>
      <c r="D358" s="102" t="s">
        <v>89</v>
      </c>
      <c r="E358" s="103" t="s">
        <v>33</v>
      </c>
      <c r="F358" s="106" t="s">
        <v>10992</v>
      </c>
      <c r="G358" s="102" t="s">
        <v>37</v>
      </c>
      <c r="H358" s="104" t="s">
        <v>132</v>
      </c>
      <c r="I358" s="102" t="s">
        <v>33</v>
      </c>
      <c r="J358" s="349" t="s">
        <v>11123</v>
      </c>
      <c r="K358" s="106" t="s">
        <v>27</v>
      </c>
      <c r="L358" s="102" t="s">
        <v>4</v>
      </c>
      <c r="M358" s="106" t="s">
        <v>27</v>
      </c>
      <c r="N358" s="104"/>
      <c r="O358" s="136" t="str">
        <f t="shared" si="14"/>
        <v>L2.02.02.04.02.00</v>
      </c>
      <c r="P358" s="107" t="str">
        <f t="shared" si="12"/>
        <v>L2.02.02.04.02.00.00</v>
      </c>
      <c r="Q358" s="108" t="s">
        <v>10530</v>
      </c>
      <c r="R358" s="350" t="str">
        <f t="shared" si="15"/>
        <v>Phòng chuyển giao GP Kế toán</v>
      </c>
      <c r="S358" s="309" t="s">
        <v>11121</v>
      </c>
      <c r="T358" s="310"/>
      <c r="U358" s="310"/>
      <c r="V358" s="310"/>
      <c r="W358" s="310"/>
      <c r="X358" s="310"/>
      <c r="Y358" s="311" t="s">
        <v>11124</v>
      </c>
      <c r="Z358" s="112" t="s">
        <v>11125</v>
      </c>
      <c r="AA358" s="312"/>
      <c r="AB358" s="313"/>
      <c r="AC358" s="313"/>
      <c r="AD358" s="313"/>
    </row>
    <row r="359" ht="15.75" hidden="1" customHeight="1" outlineLevel="1">
      <c r="A359" s="351" t="s">
        <v>10833</v>
      </c>
      <c r="B359" s="352" t="s">
        <v>77</v>
      </c>
      <c r="C359" s="352" t="s">
        <v>33</v>
      </c>
      <c r="D359" s="353" t="s">
        <v>89</v>
      </c>
      <c r="E359" s="354" t="s">
        <v>33</v>
      </c>
      <c r="F359" s="355" t="s">
        <v>10992</v>
      </c>
      <c r="G359" s="353" t="s">
        <v>37</v>
      </c>
      <c r="H359" s="356" t="s">
        <v>132</v>
      </c>
      <c r="I359" s="353" t="s">
        <v>33</v>
      </c>
      <c r="J359" s="357" t="s">
        <v>11123</v>
      </c>
      <c r="K359" s="355" t="s">
        <v>27</v>
      </c>
      <c r="L359" s="358"/>
      <c r="M359" s="353" t="s">
        <v>29</v>
      </c>
      <c r="N359" s="356" t="s">
        <v>10498</v>
      </c>
      <c r="O359" s="359" t="str">
        <f t="shared" si="14"/>
        <v>L2.02.02.04.02.00</v>
      </c>
      <c r="P359" s="358" t="str">
        <f t="shared" si="12"/>
        <v>L2.02.02.04.02.00.01</v>
      </c>
      <c r="Q359" s="360"/>
      <c r="R359" s="360" t="str">
        <f t="shared" si="15"/>
        <v/>
      </c>
      <c r="S359" s="361" t="s">
        <v>11126</v>
      </c>
      <c r="T359" s="232" t="s">
        <v>650</v>
      </c>
      <c r="U359" s="232" t="s">
        <v>346</v>
      </c>
      <c r="V359" s="232" t="s">
        <v>101</v>
      </c>
      <c r="W359" s="232" t="s">
        <v>649</v>
      </c>
      <c r="X359" s="362"/>
      <c r="Y359" s="362"/>
      <c r="Z359" s="363"/>
      <c r="AA359" s="364"/>
      <c r="AB359" s="365"/>
      <c r="AC359" s="366" t="s">
        <v>11127</v>
      </c>
      <c r="AD359" s="365"/>
    </row>
    <row r="360" ht="15.75" hidden="1" customHeight="1" outlineLevel="1">
      <c r="A360" s="351" t="s">
        <v>10833</v>
      </c>
      <c r="B360" s="352" t="s">
        <v>77</v>
      </c>
      <c r="C360" s="352" t="s">
        <v>33</v>
      </c>
      <c r="D360" s="353" t="s">
        <v>89</v>
      </c>
      <c r="E360" s="354" t="s">
        <v>33</v>
      </c>
      <c r="F360" s="355" t="s">
        <v>10992</v>
      </c>
      <c r="G360" s="353" t="s">
        <v>37</v>
      </c>
      <c r="H360" s="356" t="s">
        <v>132</v>
      </c>
      <c r="I360" s="353" t="s">
        <v>33</v>
      </c>
      <c r="J360" s="357" t="s">
        <v>11123</v>
      </c>
      <c r="K360" s="355" t="s">
        <v>27</v>
      </c>
      <c r="L360" s="358"/>
      <c r="M360" s="209" t="s">
        <v>42</v>
      </c>
      <c r="N360" s="181" t="s">
        <v>10502</v>
      </c>
      <c r="O360" s="359" t="str">
        <f t="shared" si="14"/>
        <v>L2.02.02.04.02.00</v>
      </c>
      <c r="P360" s="358" t="str">
        <f t="shared" si="12"/>
        <v>L2.02.02.04.02.00.05</v>
      </c>
      <c r="Q360" s="360"/>
      <c r="R360" s="360" t="str">
        <f t="shared" si="15"/>
        <v/>
      </c>
      <c r="S360" s="361" t="s">
        <v>11126</v>
      </c>
      <c r="T360" s="232" t="s">
        <v>2787</v>
      </c>
      <c r="U360" s="232" t="s">
        <v>325</v>
      </c>
      <c r="V360" s="232" t="s">
        <v>153</v>
      </c>
      <c r="W360" s="232" t="s">
        <v>1636</v>
      </c>
      <c r="X360" s="362"/>
      <c r="Y360" s="362"/>
      <c r="Z360" s="363"/>
      <c r="AA360" s="364"/>
      <c r="AB360" s="365"/>
      <c r="AC360" s="366" t="s">
        <v>11127</v>
      </c>
      <c r="AD360" s="365"/>
    </row>
    <row r="361" ht="15.75" hidden="1" customHeight="1" outlineLevel="1">
      <c r="A361" s="351" t="s">
        <v>10833</v>
      </c>
      <c r="B361" s="352" t="s">
        <v>77</v>
      </c>
      <c r="C361" s="352" t="s">
        <v>33</v>
      </c>
      <c r="D361" s="353" t="s">
        <v>89</v>
      </c>
      <c r="E361" s="354" t="s">
        <v>33</v>
      </c>
      <c r="F361" s="355" t="s">
        <v>10992</v>
      </c>
      <c r="G361" s="353" t="s">
        <v>37</v>
      </c>
      <c r="H361" s="356" t="s">
        <v>132</v>
      </c>
      <c r="I361" s="353" t="s">
        <v>33</v>
      </c>
      <c r="J361" s="357" t="s">
        <v>11123</v>
      </c>
      <c r="K361" s="355" t="s">
        <v>27</v>
      </c>
      <c r="L361" s="358"/>
      <c r="M361" s="209" t="s">
        <v>37</v>
      </c>
      <c r="N361" s="212" t="s">
        <v>10900</v>
      </c>
      <c r="O361" s="359" t="str">
        <f t="shared" si="14"/>
        <v>L2.02.02.04.02.00</v>
      </c>
      <c r="P361" s="358" t="str">
        <f t="shared" si="12"/>
        <v>L2.02.02.04.02.00.04</v>
      </c>
      <c r="Q361" s="360"/>
      <c r="R361" s="360" t="str">
        <f t="shared" si="15"/>
        <v/>
      </c>
      <c r="S361" s="361" t="s">
        <v>11126</v>
      </c>
      <c r="T361" s="232" t="s">
        <v>7710</v>
      </c>
      <c r="U361" s="232" t="s">
        <v>2732</v>
      </c>
      <c r="V361" s="232" t="s">
        <v>153</v>
      </c>
      <c r="W361" s="232" t="s">
        <v>1636</v>
      </c>
      <c r="X361" s="362"/>
      <c r="Y361" s="362"/>
      <c r="Z361" s="363"/>
      <c r="AA361" s="364"/>
      <c r="AB361" s="365"/>
      <c r="AC361" s="366" t="s">
        <v>11127</v>
      </c>
      <c r="AD361" s="365"/>
    </row>
    <row r="362" ht="15.75" hidden="1" customHeight="1" outlineLevel="1">
      <c r="A362" s="351" t="s">
        <v>10833</v>
      </c>
      <c r="B362" s="352" t="s">
        <v>77</v>
      </c>
      <c r="C362" s="352" t="s">
        <v>33</v>
      </c>
      <c r="D362" s="353" t="s">
        <v>89</v>
      </c>
      <c r="E362" s="354" t="s">
        <v>33</v>
      </c>
      <c r="F362" s="355" t="s">
        <v>10992</v>
      </c>
      <c r="G362" s="353" t="s">
        <v>37</v>
      </c>
      <c r="H362" s="356" t="s">
        <v>132</v>
      </c>
      <c r="I362" s="353" t="s">
        <v>33</v>
      </c>
      <c r="J362" s="357" t="s">
        <v>11123</v>
      </c>
      <c r="K362" s="355" t="s">
        <v>27</v>
      </c>
      <c r="L362" s="358"/>
      <c r="M362" s="353" t="s">
        <v>33</v>
      </c>
      <c r="N362" s="356" t="s">
        <v>10499</v>
      </c>
      <c r="O362" s="359" t="str">
        <f t="shared" si="14"/>
        <v>L2.02.02.04.02.00</v>
      </c>
      <c r="P362" s="358" t="str">
        <f t="shared" si="12"/>
        <v>L2.02.02.04.02.00.02</v>
      </c>
      <c r="Q362" s="360"/>
      <c r="R362" s="360" t="str">
        <f t="shared" si="15"/>
        <v/>
      </c>
      <c r="S362" s="361" t="s">
        <v>11126</v>
      </c>
      <c r="T362" s="232" t="s">
        <v>1637</v>
      </c>
      <c r="U362" s="232" t="s">
        <v>262</v>
      </c>
      <c r="V362" s="232" t="s">
        <v>101</v>
      </c>
      <c r="W362" s="232" t="s">
        <v>1636</v>
      </c>
      <c r="X362" s="362"/>
      <c r="Y362" s="362"/>
      <c r="Z362" s="363"/>
      <c r="AA362" s="364"/>
      <c r="AB362" s="365"/>
      <c r="AC362" s="366" t="s">
        <v>11127</v>
      </c>
      <c r="AD362" s="365"/>
    </row>
    <row r="363" ht="15.75" hidden="1" customHeight="1" outlineLevel="1">
      <c r="A363" s="100" t="s">
        <v>10833</v>
      </c>
      <c r="B363" s="101" t="s">
        <v>77</v>
      </c>
      <c r="C363" s="101" t="s">
        <v>33</v>
      </c>
      <c r="D363" s="102" t="s">
        <v>89</v>
      </c>
      <c r="E363" s="103" t="s">
        <v>33</v>
      </c>
      <c r="F363" s="106" t="s">
        <v>10992</v>
      </c>
      <c r="G363" s="102" t="s">
        <v>37</v>
      </c>
      <c r="H363" s="104" t="s">
        <v>132</v>
      </c>
      <c r="I363" s="102" t="s">
        <v>35</v>
      </c>
      <c r="J363" s="367" t="s">
        <v>11128</v>
      </c>
      <c r="K363" s="106" t="s">
        <v>27</v>
      </c>
      <c r="L363" s="102" t="s">
        <v>4</v>
      </c>
      <c r="M363" s="106" t="s">
        <v>27</v>
      </c>
      <c r="N363" s="104"/>
      <c r="O363" s="136" t="str">
        <f t="shared" si="14"/>
        <v>L2.02.02.04.03.00</v>
      </c>
      <c r="P363" s="107" t="str">
        <f t="shared" si="12"/>
        <v>L2.02.02.04.03.00.00</v>
      </c>
      <c r="Q363" s="108" t="s">
        <v>10530</v>
      </c>
      <c r="R363" s="308" t="str">
        <f t="shared" si="15"/>
        <v>Phòng chuyển giao GP HDDT - Ký số</v>
      </c>
      <c r="S363" s="309" t="s">
        <v>11121</v>
      </c>
      <c r="T363" s="368"/>
      <c r="U363" s="368"/>
      <c r="V363" s="368"/>
      <c r="W363" s="368"/>
      <c r="X363" s="368"/>
      <c r="Y363" s="311" t="s">
        <v>11124</v>
      </c>
      <c r="Z363" s="112" t="s">
        <v>11129</v>
      </c>
      <c r="AA363" s="312"/>
      <c r="AB363" s="313"/>
      <c r="AC363" s="313"/>
      <c r="AD363" s="313"/>
    </row>
    <row r="364" ht="15.75" hidden="1" customHeight="1" outlineLevel="1">
      <c r="A364" s="351" t="s">
        <v>10833</v>
      </c>
      <c r="B364" s="352" t="s">
        <v>77</v>
      </c>
      <c r="C364" s="352" t="s">
        <v>33</v>
      </c>
      <c r="D364" s="353" t="s">
        <v>89</v>
      </c>
      <c r="E364" s="354" t="s">
        <v>33</v>
      </c>
      <c r="F364" s="355" t="s">
        <v>10992</v>
      </c>
      <c r="G364" s="353" t="s">
        <v>37</v>
      </c>
      <c r="H364" s="356" t="s">
        <v>132</v>
      </c>
      <c r="I364" s="353" t="s">
        <v>35</v>
      </c>
      <c r="J364" s="357" t="s">
        <v>11128</v>
      </c>
      <c r="K364" s="355" t="s">
        <v>27</v>
      </c>
      <c r="L364" s="357"/>
      <c r="M364" s="353" t="s">
        <v>29</v>
      </c>
      <c r="N364" s="356" t="s">
        <v>10498</v>
      </c>
      <c r="O364" s="359" t="str">
        <f t="shared" si="14"/>
        <v>L2.02.02.04.03.00</v>
      </c>
      <c r="P364" s="358" t="str">
        <f t="shared" si="12"/>
        <v>L2.02.02.04.03.00.01</v>
      </c>
      <c r="Q364" s="360"/>
      <c r="R364" s="360" t="str">
        <f t="shared" si="15"/>
        <v/>
      </c>
      <c r="S364" s="361" t="s">
        <v>11130</v>
      </c>
      <c r="T364" s="232" t="s">
        <v>662</v>
      </c>
      <c r="U364" s="232" t="s">
        <v>346</v>
      </c>
      <c r="V364" s="232" t="s">
        <v>101</v>
      </c>
      <c r="W364" s="232" t="s">
        <v>661</v>
      </c>
      <c r="X364" s="362"/>
      <c r="Y364" s="362"/>
      <c r="Z364" s="363"/>
      <c r="AA364" s="364"/>
      <c r="AB364" s="365"/>
      <c r="AC364" s="366" t="s">
        <v>11127</v>
      </c>
      <c r="AD364" s="365"/>
    </row>
    <row r="365" ht="15.75" hidden="1" customHeight="1" outlineLevel="1">
      <c r="A365" s="351" t="s">
        <v>10833</v>
      </c>
      <c r="B365" s="352" t="s">
        <v>77</v>
      </c>
      <c r="C365" s="352" t="s">
        <v>33</v>
      </c>
      <c r="D365" s="353" t="s">
        <v>89</v>
      </c>
      <c r="E365" s="354" t="s">
        <v>33</v>
      </c>
      <c r="F365" s="355" t="s">
        <v>10992</v>
      </c>
      <c r="G365" s="353" t="s">
        <v>37</v>
      </c>
      <c r="H365" s="356" t="s">
        <v>132</v>
      </c>
      <c r="I365" s="353" t="s">
        <v>35</v>
      </c>
      <c r="J365" s="357" t="s">
        <v>11128</v>
      </c>
      <c r="K365" s="355" t="s">
        <v>27</v>
      </c>
      <c r="L365" s="357"/>
      <c r="M365" s="209" t="s">
        <v>42</v>
      </c>
      <c r="N365" s="181" t="s">
        <v>10502</v>
      </c>
      <c r="O365" s="359" t="str">
        <f t="shared" si="14"/>
        <v>L2.02.02.04.03.00</v>
      </c>
      <c r="P365" s="358" t="str">
        <f t="shared" si="12"/>
        <v>L2.02.02.04.03.00.05</v>
      </c>
      <c r="Q365" s="360"/>
      <c r="R365" s="360" t="str">
        <f t="shared" si="15"/>
        <v/>
      </c>
      <c r="S365" s="361" t="s">
        <v>11130</v>
      </c>
      <c r="T365" s="232" t="s">
        <v>2782</v>
      </c>
      <c r="U365" s="232" t="s">
        <v>325</v>
      </c>
      <c r="V365" s="232" t="s">
        <v>153</v>
      </c>
      <c r="W365" s="232" t="s">
        <v>2781</v>
      </c>
      <c r="X365" s="362"/>
      <c r="Y365" s="362"/>
      <c r="Z365" s="363"/>
      <c r="AA365" s="364"/>
      <c r="AB365" s="365"/>
      <c r="AC365" s="366" t="s">
        <v>11127</v>
      </c>
      <c r="AD365" s="365"/>
    </row>
    <row r="366" ht="15.75" hidden="1" customHeight="1" outlineLevel="1">
      <c r="A366" s="351" t="s">
        <v>10833</v>
      </c>
      <c r="B366" s="352" t="s">
        <v>77</v>
      </c>
      <c r="C366" s="352" t="s">
        <v>33</v>
      </c>
      <c r="D366" s="353" t="s">
        <v>89</v>
      </c>
      <c r="E366" s="354" t="s">
        <v>33</v>
      </c>
      <c r="F366" s="355" t="s">
        <v>10992</v>
      </c>
      <c r="G366" s="353" t="s">
        <v>37</v>
      </c>
      <c r="H366" s="356" t="s">
        <v>132</v>
      </c>
      <c r="I366" s="353" t="s">
        <v>35</v>
      </c>
      <c r="J366" s="357" t="s">
        <v>11128</v>
      </c>
      <c r="K366" s="355" t="s">
        <v>27</v>
      </c>
      <c r="L366" s="357"/>
      <c r="M366" s="209" t="s">
        <v>37</v>
      </c>
      <c r="N366" s="212" t="s">
        <v>10900</v>
      </c>
      <c r="O366" s="359" t="str">
        <f t="shared" si="14"/>
        <v>L2.02.02.04.03.00</v>
      </c>
      <c r="P366" s="358" t="str">
        <f t="shared" si="12"/>
        <v>L2.02.02.04.03.00.04</v>
      </c>
      <c r="Q366" s="360"/>
      <c r="R366" s="360" t="str">
        <f t="shared" si="15"/>
        <v/>
      </c>
      <c r="S366" s="361" t="s">
        <v>11130</v>
      </c>
      <c r="T366" s="232" t="s">
        <v>8991</v>
      </c>
      <c r="U366" s="232" t="s">
        <v>2732</v>
      </c>
      <c r="V366" s="232" t="s">
        <v>153</v>
      </c>
      <c r="W366" s="232" t="s">
        <v>2781</v>
      </c>
      <c r="X366" s="362"/>
      <c r="Y366" s="362"/>
      <c r="Z366" s="363"/>
      <c r="AA366" s="364"/>
      <c r="AB366" s="365"/>
      <c r="AC366" s="366" t="s">
        <v>11127</v>
      </c>
      <c r="AD366" s="365"/>
    </row>
    <row r="367" ht="15.75" hidden="1" customHeight="1" outlineLevel="1">
      <c r="A367" s="351" t="s">
        <v>10833</v>
      </c>
      <c r="B367" s="352" t="s">
        <v>77</v>
      </c>
      <c r="C367" s="352" t="s">
        <v>33</v>
      </c>
      <c r="D367" s="353" t="s">
        <v>89</v>
      </c>
      <c r="E367" s="354" t="s">
        <v>33</v>
      </c>
      <c r="F367" s="355" t="s">
        <v>10992</v>
      </c>
      <c r="G367" s="353" t="s">
        <v>37</v>
      </c>
      <c r="H367" s="356" t="s">
        <v>132</v>
      </c>
      <c r="I367" s="353" t="s">
        <v>35</v>
      </c>
      <c r="J367" s="357" t="s">
        <v>11128</v>
      </c>
      <c r="K367" s="355" t="s">
        <v>27</v>
      </c>
      <c r="L367" s="357"/>
      <c r="M367" s="353" t="s">
        <v>33</v>
      </c>
      <c r="N367" s="356" t="s">
        <v>10499</v>
      </c>
      <c r="O367" s="359" t="str">
        <f t="shared" si="14"/>
        <v>L2.02.02.04.03.00</v>
      </c>
      <c r="P367" s="358" t="str">
        <f t="shared" si="12"/>
        <v>L2.02.02.04.03.00.02</v>
      </c>
      <c r="Q367" s="360"/>
      <c r="R367" s="360" t="str">
        <f t="shared" si="15"/>
        <v/>
      </c>
      <c r="S367" s="361" t="s">
        <v>11130</v>
      </c>
      <c r="T367" s="232" t="s">
        <v>1655</v>
      </c>
      <c r="U367" s="232" t="s">
        <v>262</v>
      </c>
      <c r="V367" s="232" t="s">
        <v>101</v>
      </c>
      <c r="W367" s="232" t="s">
        <v>1654</v>
      </c>
      <c r="X367" s="362"/>
      <c r="Y367" s="362"/>
      <c r="Z367" s="363"/>
      <c r="AA367" s="364"/>
      <c r="AB367" s="365"/>
      <c r="AC367" s="366" t="s">
        <v>11127</v>
      </c>
      <c r="AD367" s="365"/>
    </row>
    <row r="368" ht="15.75" hidden="1" customHeight="1" outlineLevel="1">
      <c r="A368" s="100" t="s">
        <v>10833</v>
      </c>
      <c r="B368" s="101" t="s">
        <v>77</v>
      </c>
      <c r="C368" s="101" t="s">
        <v>33</v>
      </c>
      <c r="D368" s="102" t="s">
        <v>89</v>
      </c>
      <c r="E368" s="103" t="s">
        <v>33</v>
      </c>
      <c r="F368" s="106" t="s">
        <v>10992</v>
      </c>
      <c r="G368" s="102" t="s">
        <v>42</v>
      </c>
      <c r="H368" s="212" t="s">
        <v>1209</v>
      </c>
      <c r="I368" s="103" t="s">
        <v>27</v>
      </c>
      <c r="J368" s="102" t="s">
        <v>4</v>
      </c>
      <c r="K368" s="103" t="s">
        <v>27</v>
      </c>
      <c r="L368" s="102" t="s">
        <v>4</v>
      </c>
      <c r="M368" s="106" t="s">
        <v>27</v>
      </c>
      <c r="N368" s="104"/>
      <c r="O368" s="136" t="str">
        <f t="shared" si="14"/>
        <v>L2.02.02.05.00.00</v>
      </c>
      <c r="P368" s="107" t="str">
        <f t="shared" si="12"/>
        <v>L2.02.02.05.00.00.00</v>
      </c>
      <c r="Q368" s="307" t="s">
        <v>10530</v>
      </c>
      <c r="R368" s="350" t="str">
        <f t="shared" si="15"/>
        <v>Phòng kinh doanh mạng lưới</v>
      </c>
      <c r="S368" s="309" t="s">
        <v>10996</v>
      </c>
      <c r="T368" s="310"/>
      <c r="U368" s="310"/>
      <c r="V368" s="310"/>
      <c r="W368" s="310"/>
      <c r="X368" s="310"/>
      <c r="Y368" s="311" t="s">
        <v>11124</v>
      </c>
      <c r="Z368" s="112" t="s">
        <v>11131</v>
      </c>
      <c r="AA368" s="312"/>
      <c r="AB368" s="313"/>
      <c r="AC368" s="313"/>
      <c r="AD368" s="313"/>
    </row>
    <row r="369" ht="15.75" hidden="1" customHeight="1" outlineLevel="1">
      <c r="A369" s="314" t="s">
        <v>10833</v>
      </c>
      <c r="B369" s="315" t="s">
        <v>77</v>
      </c>
      <c r="C369" s="315" t="s">
        <v>33</v>
      </c>
      <c r="D369" s="122" t="s">
        <v>89</v>
      </c>
      <c r="E369" s="121" t="s">
        <v>33</v>
      </c>
      <c r="F369" s="369" t="s">
        <v>10992</v>
      </c>
      <c r="G369" s="122" t="s">
        <v>42</v>
      </c>
      <c r="H369" s="370" t="s">
        <v>1209</v>
      </c>
      <c r="I369" s="121" t="s">
        <v>27</v>
      </c>
      <c r="J369" s="122" t="s">
        <v>4</v>
      </c>
      <c r="K369" s="121" t="s">
        <v>27</v>
      </c>
      <c r="L369" s="122" t="s">
        <v>4</v>
      </c>
      <c r="M369" s="122" t="s">
        <v>29</v>
      </c>
      <c r="N369" s="123" t="s">
        <v>10498</v>
      </c>
      <c r="O369" s="124" t="str">
        <f t="shared" si="14"/>
        <v>L2.02.02.05.00.00</v>
      </c>
      <c r="P369" s="317" t="str">
        <f t="shared" si="12"/>
        <v>L2.02.02.05.00.00.01</v>
      </c>
      <c r="Q369" s="318"/>
      <c r="R369" s="360" t="str">
        <f t="shared" si="15"/>
        <v>Phòng kinh doanh mạng lưới</v>
      </c>
      <c r="S369" s="319" t="s">
        <v>11132</v>
      </c>
      <c r="T369" s="320" t="s">
        <v>1210</v>
      </c>
      <c r="U369" s="320" t="s">
        <v>346</v>
      </c>
      <c r="V369" s="320" t="s">
        <v>1209</v>
      </c>
      <c r="W369" s="320"/>
      <c r="X369" s="320"/>
      <c r="Y369" s="320"/>
      <c r="Z369" s="322"/>
      <c r="AA369" s="323"/>
      <c r="AB369" s="324"/>
      <c r="AC369" s="324"/>
      <c r="AD369" s="324"/>
    </row>
    <row r="370" ht="15.75" hidden="1" customHeight="1" outlineLevel="1">
      <c r="A370" s="314" t="s">
        <v>10833</v>
      </c>
      <c r="B370" s="315" t="s">
        <v>77</v>
      </c>
      <c r="C370" s="315" t="s">
        <v>33</v>
      </c>
      <c r="D370" s="122" t="s">
        <v>89</v>
      </c>
      <c r="E370" s="121" t="s">
        <v>33</v>
      </c>
      <c r="F370" s="369" t="s">
        <v>10992</v>
      </c>
      <c r="G370" s="122" t="s">
        <v>42</v>
      </c>
      <c r="H370" s="370" t="s">
        <v>1209</v>
      </c>
      <c r="I370" s="121" t="s">
        <v>27</v>
      </c>
      <c r="J370" s="122" t="s">
        <v>4</v>
      </c>
      <c r="K370" s="121" t="s">
        <v>27</v>
      </c>
      <c r="L370" s="122" t="s">
        <v>4</v>
      </c>
      <c r="M370" s="122" t="s">
        <v>33</v>
      </c>
      <c r="N370" s="123" t="s">
        <v>10499</v>
      </c>
      <c r="O370" s="124" t="str">
        <f t="shared" si="14"/>
        <v>L2.02.02.05.00.00</v>
      </c>
      <c r="P370" s="317" t="str">
        <f t="shared" si="12"/>
        <v>L2.02.02.05.00.00.02</v>
      </c>
      <c r="Q370" s="318"/>
      <c r="R370" s="360" t="str">
        <f t="shared" si="15"/>
        <v>Phòng kinh doanh mạng lưới</v>
      </c>
      <c r="S370" s="319" t="s">
        <v>11132</v>
      </c>
      <c r="T370" s="320" t="s">
        <v>2305</v>
      </c>
      <c r="U370" s="320" t="s">
        <v>262</v>
      </c>
      <c r="V370" s="320" t="s">
        <v>1209</v>
      </c>
      <c r="W370" s="320"/>
      <c r="X370" s="320"/>
      <c r="Y370" s="320"/>
      <c r="Z370" s="322"/>
      <c r="AA370" s="323"/>
      <c r="AB370" s="324"/>
      <c r="AC370" s="324"/>
      <c r="AD370" s="324"/>
    </row>
    <row r="371" ht="15.75" hidden="1" customHeight="1" outlineLevel="1">
      <c r="A371" s="314" t="s">
        <v>10833</v>
      </c>
      <c r="B371" s="315" t="s">
        <v>77</v>
      </c>
      <c r="C371" s="315" t="s">
        <v>33</v>
      </c>
      <c r="D371" s="122" t="s">
        <v>89</v>
      </c>
      <c r="E371" s="121" t="s">
        <v>33</v>
      </c>
      <c r="F371" s="369" t="s">
        <v>10992</v>
      </c>
      <c r="G371" s="122" t="s">
        <v>42</v>
      </c>
      <c r="H371" s="370" t="s">
        <v>11133</v>
      </c>
      <c r="I371" s="121" t="s">
        <v>27</v>
      </c>
      <c r="J371" s="122" t="s">
        <v>4</v>
      </c>
      <c r="K371" s="121" t="s">
        <v>27</v>
      </c>
      <c r="L371" s="122" t="s">
        <v>4</v>
      </c>
      <c r="M371" s="122" t="s">
        <v>35</v>
      </c>
      <c r="N371" s="123" t="s">
        <v>10500</v>
      </c>
      <c r="O371" s="124" t="str">
        <f t="shared" si="14"/>
        <v>L2.02.02.05.00.00</v>
      </c>
      <c r="P371" s="317" t="str">
        <f t="shared" si="12"/>
        <v>L2.02.02.05.00.00.03</v>
      </c>
      <c r="Q371" s="318"/>
      <c r="R371" s="360" t="str">
        <f t="shared" si="15"/>
        <v>Phòngkinh doanh mạng lưới</v>
      </c>
      <c r="S371" s="319" t="s">
        <v>11132</v>
      </c>
      <c r="T371" s="320" t="s">
        <v>4560</v>
      </c>
      <c r="U371" s="320" t="s">
        <v>2811</v>
      </c>
      <c r="V371" s="320" t="s">
        <v>4559</v>
      </c>
      <c r="W371" s="320"/>
      <c r="X371" s="320"/>
      <c r="Y371" s="320"/>
      <c r="Z371" s="322"/>
      <c r="AA371" s="323"/>
      <c r="AB371" s="324"/>
      <c r="AC371" s="324"/>
      <c r="AD371" s="324"/>
    </row>
    <row r="372" ht="15.75" hidden="1" customHeight="1" outlineLevel="1">
      <c r="A372" s="314" t="s">
        <v>10833</v>
      </c>
      <c r="B372" s="315" t="s">
        <v>77</v>
      </c>
      <c r="C372" s="315" t="s">
        <v>33</v>
      </c>
      <c r="D372" s="122" t="s">
        <v>89</v>
      </c>
      <c r="E372" s="121" t="s">
        <v>33</v>
      </c>
      <c r="F372" s="369" t="s">
        <v>10992</v>
      </c>
      <c r="G372" s="122" t="s">
        <v>42</v>
      </c>
      <c r="H372" s="370" t="s">
        <v>1209</v>
      </c>
      <c r="I372" s="121" t="s">
        <v>27</v>
      </c>
      <c r="J372" s="122" t="s">
        <v>4</v>
      </c>
      <c r="K372" s="121" t="s">
        <v>27</v>
      </c>
      <c r="L372" s="122" t="s">
        <v>4</v>
      </c>
      <c r="M372" s="122" t="s">
        <v>37</v>
      </c>
      <c r="N372" s="316" t="s">
        <v>10900</v>
      </c>
      <c r="O372" s="124" t="str">
        <f t="shared" si="14"/>
        <v>L2.02.02.05.00.00</v>
      </c>
      <c r="P372" s="317" t="str">
        <f t="shared" si="12"/>
        <v>L2.02.02.05.00.00.04</v>
      </c>
      <c r="Q372" s="318"/>
      <c r="R372" s="360" t="str">
        <f t="shared" si="15"/>
        <v>Phòng kinh doanh mạng lưới</v>
      </c>
      <c r="S372" s="319" t="s">
        <v>11132</v>
      </c>
      <c r="T372" s="320" t="s">
        <v>9085</v>
      </c>
      <c r="U372" s="320" t="s">
        <v>2732</v>
      </c>
      <c r="V372" s="320" t="s">
        <v>2791</v>
      </c>
      <c r="W372" s="320"/>
      <c r="X372" s="320"/>
      <c r="Y372" s="320"/>
      <c r="Z372" s="322"/>
      <c r="AA372" s="323"/>
      <c r="AB372" s="324"/>
      <c r="AC372" s="324"/>
      <c r="AD372" s="324"/>
    </row>
    <row r="373" ht="15.75" hidden="1" customHeight="1" outlineLevel="1">
      <c r="A373" s="314" t="s">
        <v>10833</v>
      </c>
      <c r="B373" s="315" t="s">
        <v>77</v>
      </c>
      <c r="C373" s="315" t="s">
        <v>33</v>
      </c>
      <c r="D373" s="122" t="s">
        <v>89</v>
      </c>
      <c r="E373" s="121" t="s">
        <v>33</v>
      </c>
      <c r="F373" s="369" t="s">
        <v>10992</v>
      </c>
      <c r="G373" s="122" t="s">
        <v>42</v>
      </c>
      <c r="H373" s="370" t="s">
        <v>1209</v>
      </c>
      <c r="I373" s="121" t="s">
        <v>27</v>
      </c>
      <c r="J373" s="122" t="s">
        <v>4</v>
      </c>
      <c r="K373" s="121" t="s">
        <v>27</v>
      </c>
      <c r="L373" s="122" t="s">
        <v>4</v>
      </c>
      <c r="M373" s="122" t="s">
        <v>42</v>
      </c>
      <c r="N373" s="123" t="s">
        <v>10502</v>
      </c>
      <c r="O373" s="124" t="str">
        <f t="shared" si="14"/>
        <v>L2.02.02.05.00.00</v>
      </c>
      <c r="P373" s="317" t="str">
        <f t="shared" si="12"/>
        <v>L2.02.02.05.00.00.05</v>
      </c>
      <c r="Q373" s="318"/>
      <c r="R373" s="360" t="str">
        <f t="shared" si="15"/>
        <v>Phòng kinh doanh mạng lưới</v>
      </c>
      <c r="S373" s="319" t="s">
        <v>11132</v>
      </c>
      <c r="T373" s="320" t="s">
        <v>2792</v>
      </c>
      <c r="U373" s="320" t="s">
        <v>325</v>
      </c>
      <c r="V373" s="320" t="s">
        <v>2791</v>
      </c>
      <c r="W373" s="320"/>
      <c r="X373" s="320"/>
      <c r="Y373" s="320"/>
      <c r="Z373" s="322"/>
      <c r="AA373" s="323"/>
      <c r="AB373" s="324"/>
      <c r="AC373" s="324"/>
      <c r="AD373" s="324"/>
    </row>
    <row r="374" ht="15.75" hidden="1" customHeight="1" outlineLevel="1">
      <c r="A374" s="261" t="s">
        <v>10833</v>
      </c>
      <c r="B374" s="231" t="s">
        <v>77</v>
      </c>
      <c r="C374" s="231" t="s">
        <v>33</v>
      </c>
      <c r="D374" s="157" t="s">
        <v>89</v>
      </c>
      <c r="E374" s="297" t="s">
        <v>33</v>
      </c>
      <c r="F374" s="168" t="s">
        <v>10992</v>
      </c>
      <c r="G374" s="157" t="s">
        <v>44</v>
      </c>
      <c r="H374" s="371" t="s">
        <v>11134</v>
      </c>
      <c r="I374" s="168" t="s">
        <v>27</v>
      </c>
      <c r="J374" s="262" t="s">
        <v>4</v>
      </c>
      <c r="K374" s="297" t="s">
        <v>27</v>
      </c>
      <c r="L374" s="157" t="s">
        <v>4</v>
      </c>
      <c r="M374" s="168" t="s">
        <v>27</v>
      </c>
      <c r="N374" s="167"/>
      <c r="O374" s="55" t="str">
        <f t="shared" si="14"/>
        <v>L2.02.02.06.00.00</v>
      </c>
      <c r="P374" s="257" t="str">
        <f t="shared" si="12"/>
        <v>L2.02.02.06.00.00.00</v>
      </c>
      <c r="Q374" s="161" t="s">
        <v>10530</v>
      </c>
      <c r="R374" s="372" t="str">
        <f t="shared" si="15"/>
        <v>Trung tâm KD Online </v>
      </c>
      <c r="S374" s="269" t="s">
        <v>10996</v>
      </c>
      <c r="T374" s="264" t="s">
        <v>2710</v>
      </c>
      <c r="U374" s="265" t="s">
        <v>303</v>
      </c>
      <c r="V374" s="265" t="s">
        <v>335</v>
      </c>
      <c r="W374" s="265" t="s">
        <v>140</v>
      </c>
      <c r="X374" s="265"/>
      <c r="Y374" s="265"/>
      <c r="Z374" s="225" t="s">
        <v>11135</v>
      </c>
      <c r="AA374" s="300" t="s">
        <v>10530</v>
      </c>
      <c r="AB374" s="267"/>
      <c r="AC374" s="267"/>
      <c r="AD374" s="267"/>
    </row>
    <row r="375" ht="15.75" hidden="1" customHeight="1" outlineLevel="1">
      <c r="A375" s="261" t="s">
        <v>10833</v>
      </c>
      <c r="B375" s="231" t="s">
        <v>77</v>
      </c>
      <c r="C375" s="231" t="s">
        <v>33</v>
      </c>
      <c r="D375" s="157" t="s">
        <v>89</v>
      </c>
      <c r="E375" s="297" t="s">
        <v>33</v>
      </c>
      <c r="F375" s="168" t="s">
        <v>10992</v>
      </c>
      <c r="G375" s="157" t="s">
        <v>44</v>
      </c>
      <c r="H375" s="371" t="s">
        <v>11136</v>
      </c>
      <c r="I375" s="157" t="s">
        <v>29</v>
      </c>
      <c r="J375" s="167" t="s">
        <v>140</v>
      </c>
      <c r="K375" s="297" t="s">
        <v>27</v>
      </c>
      <c r="L375" s="157" t="s">
        <v>4</v>
      </c>
      <c r="M375" s="355" t="s">
        <v>44</v>
      </c>
      <c r="N375" s="181" t="s">
        <v>10505</v>
      </c>
      <c r="O375" s="55" t="str">
        <f t="shared" si="14"/>
        <v>L2.02.02.06.01.00</v>
      </c>
      <c r="P375" s="257" t="str">
        <f t="shared" si="12"/>
        <v>L2.02.02.06.01.00.06</v>
      </c>
      <c r="Q375" s="161" t="s">
        <v>10530</v>
      </c>
      <c r="R375" s="299" t="str">
        <f t="shared" si="15"/>
        <v>Ban GĐ TTKD Online</v>
      </c>
      <c r="S375" s="269" t="s">
        <v>11137</v>
      </c>
      <c r="T375" s="265" t="s">
        <v>9390</v>
      </c>
      <c r="U375" s="265" t="s">
        <v>303</v>
      </c>
      <c r="V375" s="265" t="s">
        <v>335</v>
      </c>
      <c r="W375" s="265" t="s">
        <v>140</v>
      </c>
      <c r="X375" s="265"/>
      <c r="Y375" s="265"/>
      <c r="Z375" s="225" t="s">
        <v>11138</v>
      </c>
      <c r="AA375" s="300" t="s">
        <v>10530</v>
      </c>
      <c r="AB375" s="267"/>
      <c r="AC375" s="267"/>
      <c r="AD375" s="267"/>
    </row>
    <row r="376" ht="15.75" hidden="1" customHeight="1" outlineLevel="1">
      <c r="A376" s="100" t="s">
        <v>10833</v>
      </c>
      <c r="B376" s="101" t="s">
        <v>77</v>
      </c>
      <c r="C376" s="101" t="s">
        <v>33</v>
      </c>
      <c r="D376" s="102" t="s">
        <v>89</v>
      </c>
      <c r="E376" s="103" t="s">
        <v>33</v>
      </c>
      <c r="F376" s="106" t="s">
        <v>10992</v>
      </c>
      <c r="G376" s="102" t="s">
        <v>44</v>
      </c>
      <c r="H376" s="373" t="s">
        <v>11136</v>
      </c>
      <c r="I376" s="102" t="s">
        <v>33</v>
      </c>
      <c r="J376" s="306" t="s">
        <v>11139</v>
      </c>
      <c r="K376" s="106" t="s">
        <v>27</v>
      </c>
      <c r="L376" s="102" t="s">
        <v>4</v>
      </c>
      <c r="M376" s="106" t="s">
        <v>27</v>
      </c>
      <c r="N376" s="104"/>
      <c r="O376" s="136" t="str">
        <f t="shared" si="14"/>
        <v>L2.02.02.06.02.00</v>
      </c>
      <c r="P376" s="107" t="str">
        <f t="shared" si="12"/>
        <v>L2.02.02.06.02.00.00</v>
      </c>
      <c r="Q376" s="108" t="s">
        <v>10530</v>
      </c>
      <c r="R376" s="308" t="str">
        <f t="shared" si="15"/>
        <v>Phòng KD Sản phẩm kế toán</v>
      </c>
      <c r="S376" s="107" t="s">
        <v>11137</v>
      </c>
      <c r="T376" s="374" t="s">
        <v>11140</v>
      </c>
      <c r="U376" s="310" t="s">
        <v>303</v>
      </c>
      <c r="V376" s="310" t="s">
        <v>335</v>
      </c>
      <c r="W376" s="375" t="s">
        <v>2499</v>
      </c>
      <c r="X376" s="310"/>
      <c r="Y376" s="311"/>
      <c r="Z376" s="112" t="s">
        <v>11141</v>
      </c>
      <c r="AA376" s="300" t="s">
        <v>10530</v>
      </c>
      <c r="AB376" s="313"/>
      <c r="AC376" s="313"/>
      <c r="AD376" s="313"/>
    </row>
    <row r="377" ht="15.75" hidden="1" customHeight="1" outlineLevel="1">
      <c r="A377" s="261" t="s">
        <v>10833</v>
      </c>
      <c r="B377" s="231" t="s">
        <v>77</v>
      </c>
      <c r="C377" s="231" t="s">
        <v>33</v>
      </c>
      <c r="D377" s="157" t="s">
        <v>89</v>
      </c>
      <c r="E377" s="297" t="s">
        <v>33</v>
      </c>
      <c r="F377" s="168" t="s">
        <v>10992</v>
      </c>
      <c r="G377" s="157" t="s">
        <v>44</v>
      </c>
      <c r="H377" s="371" t="s">
        <v>11136</v>
      </c>
      <c r="I377" s="157" t="s">
        <v>33</v>
      </c>
      <c r="J377" s="298" t="s">
        <v>11139</v>
      </c>
      <c r="K377" s="157" t="s">
        <v>29</v>
      </c>
      <c r="L377" s="298" t="s">
        <v>11142</v>
      </c>
      <c r="M377" s="157" t="s">
        <v>44</v>
      </c>
      <c r="N377" s="167" t="s">
        <v>10505</v>
      </c>
      <c r="O377" s="55" t="str">
        <f t="shared" si="14"/>
        <v>L2.02.02.06.02.01</v>
      </c>
      <c r="P377" s="257" t="str">
        <f t="shared" si="12"/>
        <v>L2.02.02.06.02.01.06</v>
      </c>
      <c r="Q377" s="161" t="s">
        <v>10530</v>
      </c>
      <c r="R377" s="299" t="str">
        <f t="shared" si="15"/>
        <v>Nhóm KD Sản phẩm kế toán 01</v>
      </c>
      <c r="S377" s="272" t="s">
        <v>11143</v>
      </c>
      <c r="T377" s="265" t="s">
        <v>2551</v>
      </c>
      <c r="U377" s="265" t="s">
        <v>303</v>
      </c>
      <c r="V377" s="265" t="s">
        <v>335</v>
      </c>
      <c r="W377" s="265" t="s">
        <v>2499</v>
      </c>
      <c r="X377" s="265" t="s">
        <v>2550</v>
      </c>
      <c r="Y377" s="265"/>
      <c r="Z377" s="225" t="s">
        <v>11144</v>
      </c>
      <c r="AA377" s="300" t="s">
        <v>10530</v>
      </c>
      <c r="AB377" s="267"/>
      <c r="AC377" s="267"/>
      <c r="AD377" s="267"/>
    </row>
    <row r="378" ht="15.75" hidden="1" customHeight="1" outlineLevel="1">
      <c r="A378" s="261" t="s">
        <v>10833</v>
      </c>
      <c r="B378" s="231" t="s">
        <v>77</v>
      </c>
      <c r="C378" s="231" t="s">
        <v>33</v>
      </c>
      <c r="D378" s="157" t="s">
        <v>89</v>
      </c>
      <c r="E378" s="297" t="s">
        <v>33</v>
      </c>
      <c r="F378" s="168" t="s">
        <v>10992</v>
      </c>
      <c r="G378" s="157" t="s">
        <v>44</v>
      </c>
      <c r="H378" s="371" t="s">
        <v>11136</v>
      </c>
      <c r="I378" s="157" t="s">
        <v>33</v>
      </c>
      <c r="J378" s="298" t="s">
        <v>11139</v>
      </c>
      <c r="K378" s="168" t="s">
        <v>33</v>
      </c>
      <c r="L378" s="298" t="s">
        <v>11145</v>
      </c>
      <c r="M378" s="157" t="s">
        <v>33</v>
      </c>
      <c r="N378" s="167" t="s">
        <v>10499</v>
      </c>
      <c r="O378" s="55" t="str">
        <f t="shared" si="14"/>
        <v>L2.02.02.06.02.02</v>
      </c>
      <c r="P378" s="257" t="str">
        <f t="shared" si="12"/>
        <v>L2.02.02.06.02.02.02</v>
      </c>
      <c r="Q378" s="161" t="s">
        <v>10530</v>
      </c>
      <c r="R378" s="299" t="str">
        <f t="shared" si="15"/>
        <v>Nhóm KD Sản phẩm kế toán 02</v>
      </c>
      <c r="S378" s="272" t="s">
        <v>11143</v>
      </c>
      <c r="T378" s="265" t="s">
        <v>2500</v>
      </c>
      <c r="U378" s="265" t="s">
        <v>303</v>
      </c>
      <c r="V378" s="265" t="s">
        <v>335</v>
      </c>
      <c r="W378" s="265" t="s">
        <v>2499</v>
      </c>
      <c r="X378" s="265" t="s">
        <v>2498</v>
      </c>
      <c r="Y378" s="265"/>
      <c r="Z378" s="225" t="s">
        <v>11146</v>
      </c>
      <c r="AA378" s="300" t="s">
        <v>10530</v>
      </c>
      <c r="AB378" s="267"/>
      <c r="AC378" s="267"/>
      <c r="AD378" s="267"/>
    </row>
    <row r="379" ht="15.75" hidden="1" customHeight="1" outlineLevel="1">
      <c r="A379" s="261" t="s">
        <v>10833</v>
      </c>
      <c r="B379" s="231" t="s">
        <v>77</v>
      </c>
      <c r="C379" s="231" t="s">
        <v>33</v>
      </c>
      <c r="D379" s="157" t="s">
        <v>89</v>
      </c>
      <c r="E379" s="297" t="s">
        <v>33</v>
      </c>
      <c r="F379" s="168" t="s">
        <v>10992</v>
      </c>
      <c r="G379" s="157" t="s">
        <v>44</v>
      </c>
      <c r="H379" s="371" t="s">
        <v>11136</v>
      </c>
      <c r="I379" s="157" t="s">
        <v>33</v>
      </c>
      <c r="J379" s="298" t="s">
        <v>11139</v>
      </c>
      <c r="K379" s="182" t="s">
        <v>35</v>
      </c>
      <c r="L379" s="167" t="s">
        <v>143</v>
      </c>
      <c r="M379" s="157" t="s">
        <v>44</v>
      </c>
      <c r="N379" s="167" t="s">
        <v>10505</v>
      </c>
      <c r="O379" s="55" t="str">
        <f t="shared" si="14"/>
        <v>L2.02.02.06.02.03</v>
      </c>
      <c r="P379" s="272" t="str">
        <f t="shared" si="12"/>
        <v>L2.02.02.06.02.03.06</v>
      </c>
      <c r="Q379" s="161" t="s">
        <v>10530</v>
      </c>
      <c r="R379" s="299" t="str">
        <f t="shared" si="15"/>
        <v>Nhóm Marketing SP Kế toán</v>
      </c>
      <c r="S379" s="272" t="s">
        <v>11143</v>
      </c>
      <c r="T379" s="265" t="s">
        <v>3341</v>
      </c>
      <c r="U379" s="265" t="s">
        <v>303</v>
      </c>
      <c r="V379" s="265" t="s">
        <v>335</v>
      </c>
      <c r="W379" s="265" t="s">
        <v>2499</v>
      </c>
      <c r="X379" s="265" t="s">
        <v>3340</v>
      </c>
      <c r="Y379" s="265"/>
      <c r="Z379" s="225" t="s">
        <v>11147</v>
      </c>
      <c r="AA379" s="300" t="s">
        <v>10530</v>
      </c>
      <c r="AB379" s="267"/>
      <c r="AC379" s="376" t="s">
        <v>11148</v>
      </c>
      <c r="AD379" s="267"/>
    </row>
    <row r="380" ht="15.75" hidden="1" customHeight="1" outlineLevel="1">
      <c r="A380" s="100" t="s">
        <v>10833</v>
      </c>
      <c r="B380" s="101" t="s">
        <v>77</v>
      </c>
      <c r="C380" s="101" t="s">
        <v>33</v>
      </c>
      <c r="D380" s="102" t="s">
        <v>89</v>
      </c>
      <c r="E380" s="103" t="s">
        <v>33</v>
      </c>
      <c r="F380" s="106" t="s">
        <v>10992</v>
      </c>
      <c r="G380" s="102" t="s">
        <v>44</v>
      </c>
      <c r="H380" s="373" t="s">
        <v>11136</v>
      </c>
      <c r="I380" s="102" t="s">
        <v>35</v>
      </c>
      <c r="J380" s="306" t="s">
        <v>11149</v>
      </c>
      <c r="K380" s="106" t="s">
        <v>27</v>
      </c>
      <c r="L380" s="377" t="s">
        <v>4</v>
      </c>
      <c r="M380" s="106" t="s">
        <v>27</v>
      </c>
      <c r="N380" s="104"/>
      <c r="O380" s="136" t="str">
        <f t="shared" si="14"/>
        <v>L2.02.02.06.03.00</v>
      </c>
      <c r="P380" s="107" t="str">
        <f t="shared" si="12"/>
        <v>L2.02.02.06.03.00.00</v>
      </c>
      <c r="Q380" s="108" t="s">
        <v>10530</v>
      </c>
      <c r="R380" s="308" t="str">
        <f t="shared" si="15"/>
        <v>Phòng KD Sản phẩm hóa đơn</v>
      </c>
      <c r="S380" s="309" t="s">
        <v>11137</v>
      </c>
      <c r="T380" s="374" t="s">
        <v>11150</v>
      </c>
      <c r="U380" s="310" t="s">
        <v>303</v>
      </c>
      <c r="V380" s="310" t="s">
        <v>335</v>
      </c>
      <c r="W380" s="375" t="s">
        <v>1963</v>
      </c>
      <c r="X380" s="310"/>
      <c r="Y380" s="310"/>
      <c r="Z380" s="112" t="s">
        <v>11151</v>
      </c>
      <c r="AA380" s="300" t="s">
        <v>10530</v>
      </c>
      <c r="AB380" s="313"/>
      <c r="AC380" s="313"/>
      <c r="AD380" s="313"/>
    </row>
    <row r="381" ht="15.75" hidden="1" customHeight="1" outlineLevel="1">
      <c r="A381" s="261" t="s">
        <v>10833</v>
      </c>
      <c r="B381" s="231" t="s">
        <v>77</v>
      </c>
      <c r="C381" s="231" t="s">
        <v>33</v>
      </c>
      <c r="D381" s="157" t="s">
        <v>89</v>
      </c>
      <c r="E381" s="297" t="s">
        <v>33</v>
      </c>
      <c r="F381" s="168" t="s">
        <v>10992</v>
      </c>
      <c r="G381" s="157" t="s">
        <v>44</v>
      </c>
      <c r="H381" s="371" t="s">
        <v>11136</v>
      </c>
      <c r="I381" s="157" t="s">
        <v>35</v>
      </c>
      <c r="J381" s="298" t="s">
        <v>11149</v>
      </c>
      <c r="K381" s="168" t="s">
        <v>35</v>
      </c>
      <c r="L381" s="298" t="s">
        <v>10984</v>
      </c>
      <c r="M381" s="355" t="s">
        <v>44</v>
      </c>
      <c r="N381" s="181" t="s">
        <v>10505</v>
      </c>
      <c r="O381" s="55" t="str">
        <f t="shared" si="14"/>
        <v>L2.02.02.06.03.03</v>
      </c>
      <c r="P381" s="257" t="str">
        <f t="shared" si="12"/>
        <v>L2.02.02.06.03.03.06</v>
      </c>
      <c r="Q381" s="161" t="s">
        <v>10530</v>
      </c>
      <c r="R381" s="299" t="str">
        <f t="shared" si="15"/>
        <v>Nhóm Quản lý</v>
      </c>
      <c r="S381" s="257" t="s">
        <v>11152</v>
      </c>
      <c r="T381" s="265"/>
      <c r="U381" s="265"/>
      <c r="V381" s="265"/>
      <c r="W381" s="265"/>
      <c r="X381" s="265"/>
      <c r="Y381" s="265"/>
      <c r="Z381" s="225" t="s">
        <v>11153</v>
      </c>
      <c r="AA381" s="300" t="s">
        <v>10530</v>
      </c>
      <c r="AB381" s="267"/>
      <c r="AC381" s="267"/>
      <c r="AD381" s="267"/>
    </row>
    <row r="382" ht="15.75" hidden="1" customHeight="1" outlineLevel="1">
      <c r="A382" s="100" t="s">
        <v>10833</v>
      </c>
      <c r="B382" s="101" t="s">
        <v>77</v>
      </c>
      <c r="C382" s="101" t="s">
        <v>33</v>
      </c>
      <c r="D382" s="102" t="s">
        <v>89</v>
      </c>
      <c r="E382" s="103" t="s">
        <v>33</v>
      </c>
      <c r="F382" s="106" t="s">
        <v>10992</v>
      </c>
      <c r="G382" s="102" t="s">
        <v>44</v>
      </c>
      <c r="H382" s="373" t="s">
        <v>11136</v>
      </c>
      <c r="I382" s="102" t="s">
        <v>35</v>
      </c>
      <c r="J382" s="306" t="s">
        <v>11149</v>
      </c>
      <c r="K382" s="103" t="s">
        <v>29</v>
      </c>
      <c r="L382" s="306" t="s">
        <v>11154</v>
      </c>
      <c r="M382" s="106" t="s">
        <v>27</v>
      </c>
      <c r="N382" s="104"/>
      <c r="O382" s="136" t="str">
        <f t="shared" si="14"/>
        <v>L2.02.02.06.03.01</v>
      </c>
      <c r="P382" s="107" t="str">
        <f t="shared" si="12"/>
        <v>L2.02.02.06.03.01.00</v>
      </c>
      <c r="Q382" s="307" t="s">
        <v>10530</v>
      </c>
      <c r="R382" s="308" t="str">
        <f t="shared" si="15"/>
        <v>Nhóm KD Sản phẩm Hóa đơn</v>
      </c>
      <c r="S382" s="309" t="s">
        <v>11152</v>
      </c>
      <c r="T382" s="310" t="s">
        <v>1964</v>
      </c>
      <c r="U382" s="310" t="s">
        <v>303</v>
      </c>
      <c r="V382" s="310" t="s">
        <v>335</v>
      </c>
      <c r="W382" s="310" t="s">
        <v>1963</v>
      </c>
      <c r="X382" s="310" t="s">
        <v>1962</v>
      </c>
      <c r="Y382" s="310"/>
      <c r="Z382" s="112" t="s">
        <v>11155</v>
      </c>
      <c r="AA382" s="312"/>
      <c r="AB382" s="313"/>
      <c r="AC382" s="313"/>
      <c r="AD382" s="313"/>
    </row>
    <row r="383" ht="15.75" hidden="1" customHeight="1" outlineLevel="1">
      <c r="A383" s="314" t="s">
        <v>10833</v>
      </c>
      <c r="B383" s="315" t="s">
        <v>77</v>
      </c>
      <c r="C383" s="315" t="s">
        <v>33</v>
      </c>
      <c r="D383" s="122" t="s">
        <v>89</v>
      </c>
      <c r="E383" s="121" t="s">
        <v>33</v>
      </c>
      <c r="F383" s="369" t="s">
        <v>10992</v>
      </c>
      <c r="G383" s="122" t="s">
        <v>44</v>
      </c>
      <c r="H383" s="378" t="s">
        <v>11136</v>
      </c>
      <c r="I383" s="122" t="s">
        <v>35</v>
      </c>
      <c r="J383" s="316" t="s">
        <v>11149</v>
      </c>
      <c r="K383" s="121" t="s">
        <v>29</v>
      </c>
      <c r="L383" s="316" t="s">
        <v>11154</v>
      </c>
      <c r="M383" s="355" t="s">
        <v>44</v>
      </c>
      <c r="N383" s="181" t="s">
        <v>10505</v>
      </c>
      <c r="O383" s="149" t="str">
        <f t="shared" si="14"/>
        <v>L2.02.02.06.03.01</v>
      </c>
      <c r="P383" s="317" t="str">
        <f t="shared" si="12"/>
        <v>L2.02.02.06.03.01.06</v>
      </c>
      <c r="Q383" s="318"/>
      <c r="R383" s="318" t="str">
        <f t="shared" si="15"/>
        <v>Nhóm KD Sản phẩm Hóa đơn</v>
      </c>
      <c r="S383" s="319" t="s">
        <v>11156</v>
      </c>
      <c r="T383" s="320"/>
      <c r="U383" s="320"/>
      <c r="V383" s="320"/>
      <c r="W383" s="320"/>
      <c r="X383" s="320"/>
      <c r="Y383" s="320"/>
      <c r="Z383" s="322"/>
      <c r="AA383" s="323"/>
      <c r="AB383" s="324"/>
      <c r="AC383" s="324"/>
      <c r="AD383" s="324"/>
    </row>
    <row r="384" ht="15.75" hidden="1" customHeight="1" outlineLevel="1">
      <c r="A384" s="314" t="s">
        <v>10833</v>
      </c>
      <c r="B384" s="315" t="s">
        <v>77</v>
      </c>
      <c r="C384" s="315" t="s">
        <v>33</v>
      </c>
      <c r="D384" s="122" t="s">
        <v>89</v>
      </c>
      <c r="E384" s="121" t="s">
        <v>33</v>
      </c>
      <c r="F384" s="369" t="s">
        <v>10992</v>
      </c>
      <c r="G384" s="122" t="s">
        <v>44</v>
      </c>
      <c r="H384" s="378" t="s">
        <v>11136</v>
      </c>
      <c r="I384" s="122" t="s">
        <v>35</v>
      </c>
      <c r="J384" s="316" t="s">
        <v>11149</v>
      </c>
      <c r="K384" s="122" t="s">
        <v>29</v>
      </c>
      <c r="L384" s="316" t="s">
        <v>11154</v>
      </c>
      <c r="M384" s="122" t="s">
        <v>33</v>
      </c>
      <c r="N384" s="123" t="s">
        <v>10499</v>
      </c>
      <c r="O384" s="149" t="str">
        <f t="shared" si="14"/>
        <v>L2.02.02.06.03.01</v>
      </c>
      <c r="P384" s="317" t="str">
        <f t="shared" si="12"/>
        <v>L2.02.02.06.03.01.02</v>
      </c>
      <c r="Q384" s="318"/>
      <c r="R384" s="318" t="str">
        <f t="shared" si="15"/>
        <v>Nhóm KD Sản phẩm Hóa đơn</v>
      </c>
      <c r="S384" s="319" t="s">
        <v>11156</v>
      </c>
      <c r="T384" s="320"/>
      <c r="U384" s="320"/>
      <c r="V384" s="320"/>
      <c r="W384" s="320"/>
      <c r="X384" s="320"/>
      <c r="Y384" s="320"/>
      <c r="Z384" s="322"/>
      <c r="AA384" s="323"/>
      <c r="AB384" s="324"/>
      <c r="AC384" s="324"/>
      <c r="AD384" s="324"/>
    </row>
    <row r="385" ht="15.75" hidden="1" customHeight="1" outlineLevel="1">
      <c r="A385" s="100" t="s">
        <v>10833</v>
      </c>
      <c r="B385" s="101" t="s">
        <v>77</v>
      </c>
      <c r="C385" s="101" t="s">
        <v>33</v>
      </c>
      <c r="D385" s="102" t="s">
        <v>89</v>
      </c>
      <c r="E385" s="103" t="s">
        <v>33</v>
      </c>
      <c r="F385" s="106" t="s">
        <v>10992</v>
      </c>
      <c r="G385" s="102" t="s">
        <v>44</v>
      </c>
      <c r="H385" s="373" t="s">
        <v>11136</v>
      </c>
      <c r="I385" s="102" t="s">
        <v>35</v>
      </c>
      <c r="J385" s="306" t="s">
        <v>11149</v>
      </c>
      <c r="K385" s="101" t="s">
        <v>33</v>
      </c>
      <c r="L385" s="306" t="s">
        <v>11157</v>
      </c>
      <c r="M385" s="106" t="s">
        <v>27</v>
      </c>
      <c r="N385" s="104"/>
      <c r="O385" s="136" t="str">
        <f t="shared" si="14"/>
        <v>L2.02.02.06.03.02</v>
      </c>
      <c r="P385" s="107" t="str">
        <f t="shared" si="12"/>
        <v>L2.02.02.06.03.02.00</v>
      </c>
      <c r="Q385" s="307" t="s">
        <v>10530</v>
      </c>
      <c r="R385" s="308" t="str">
        <f t="shared" si="15"/>
        <v>Nhóm KD Sản phẩm ký điện tử</v>
      </c>
      <c r="S385" s="309" t="s">
        <v>11152</v>
      </c>
      <c r="T385" s="310" t="s">
        <v>2609</v>
      </c>
      <c r="U385" s="310" t="s">
        <v>303</v>
      </c>
      <c r="V385" s="310" t="s">
        <v>335</v>
      </c>
      <c r="W385" s="310" t="s">
        <v>2608</v>
      </c>
      <c r="X385" s="310" t="s">
        <v>2607</v>
      </c>
      <c r="Y385" s="310"/>
      <c r="Z385" s="112" t="s">
        <v>11158</v>
      </c>
      <c r="AA385" s="312"/>
      <c r="AB385" s="313"/>
      <c r="AC385" s="313"/>
      <c r="AD385" s="313"/>
    </row>
    <row r="386" ht="15.75" hidden="1" customHeight="1" outlineLevel="1">
      <c r="A386" s="314" t="s">
        <v>10833</v>
      </c>
      <c r="B386" s="315" t="s">
        <v>77</v>
      </c>
      <c r="C386" s="315" t="s">
        <v>33</v>
      </c>
      <c r="D386" s="122" t="s">
        <v>89</v>
      </c>
      <c r="E386" s="121" t="s">
        <v>33</v>
      </c>
      <c r="F386" s="369" t="s">
        <v>10992</v>
      </c>
      <c r="G386" s="122" t="s">
        <v>44</v>
      </c>
      <c r="H386" s="378" t="s">
        <v>11136</v>
      </c>
      <c r="I386" s="122" t="s">
        <v>35</v>
      </c>
      <c r="J386" s="316" t="s">
        <v>11149</v>
      </c>
      <c r="K386" s="315" t="s">
        <v>33</v>
      </c>
      <c r="L386" s="316" t="s">
        <v>11157</v>
      </c>
      <c r="M386" s="355" t="s">
        <v>44</v>
      </c>
      <c r="N386" s="181" t="s">
        <v>10505</v>
      </c>
      <c r="O386" s="149" t="str">
        <f t="shared" si="14"/>
        <v>L2.02.02.06.03.02</v>
      </c>
      <c r="P386" s="317" t="str">
        <f t="shared" si="12"/>
        <v>L2.02.02.06.03.02.06</v>
      </c>
      <c r="Q386" s="318"/>
      <c r="R386" s="318" t="str">
        <f t="shared" si="15"/>
        <v>Nhóm KD Sản phẩm ký điện tử</v>
      </c>
      <c r="S386" s="319" t="s">
        <v>11159</v>
      </c>
      <c r="T386" s="320"/>
      <c r="U386" s="320"/>
      <c r="V386" s="320"/>
      <c r="W386" s="320"/>
      <c r="X386" s="320"/>
      <c r="Y386" s="320"/>
      <c r="Z386" s="322"/>
      <c r="AA386" s="323"/>
      <c r="AB386" s="324"/>
      <c r="AC386" s="324"/>
      <c r="AD386" s="324"/>
    </row>
    <row r="387" ht="15.75" hidden="1" customHeight="1" outlineLevel="1">
      <c r="A387" s="314" t="s">
        <v>10833</v>
      </c>
      <c r="B387" s="315" t="s">
        <v>77</v>
      </c>
      <c r="C387" s="315" t="s">
        <v>33</v>
      </c>
      <c r="D387" s="122" t="s">
        <v>89</v>
      </c>
      <c r="E387" s="121" t="s">
        <v>33</v>
      </c>
      <c r="F387" s="369" t="s">
        <v>10992</v>
      </c>
      <c r="G387" s="122" t="s">
        <v>44</v>
      </c>
      <c r="H387" s="378" t="s">
        <v>11136</v>
      </c>
      <c r="I387" s="122" t="s">
        <v>35</v>
      </c>
      <c r="J387" s="316" t="s">
        <v>11149</v>
      </c>
      <c r="K387" s="315" t="s">
        <v>33</v>
      </c>
      <c r="L387" s="316" t="s">
        <v>11157</v>
      </c>
      <c r="M387" s="122" t="s">
        <v>33</v>
      </c>
      <c r="N387" s="123" t="s">
        <v>10499</v>
      </c>
      <c r="O387" s="149" t="str">
        <f t="shared" si="14"/>
        <v>L2.02.02.06.03.02</v>
      </c>
      <c r="P387" s="317" t="str">
        <f t="shared" si="12"/>
        <v>L2.02.02.06.03.02.02</v>
      </c>
      <c r="Q387" s="318"/>
      <c r="R387" s="318" t="str">
        <f t="shared" si="15"/>
        <v>Nhóm KD Sản phẩm ký điện tử</v>
      </c>
      <c r="S387" s="319" t="s">
        <v>11159</v>
      </c>
      <c r="T387" s="320"/>
      <c r="U387" s="320"/>
      <c r="V387" s="320"/>
      <c r="W387" s="320"/>
      <c r="X387" s="320"/>
      <c r="Y387" s="320"/>
      <c r="Z387" s="322"/>
      <c r="AA387" s="323"/>
      <c r="AB387" s="324"/>
      <c r="AC387" s="324"/>
      <c r="AD387" s="324"/>
    </row>
    <row r="388" ht="15.75" hidden="1" customHeight="1" outlineLevel="1">
      <c r="A388" s="261" t="s">
        <v>10833</v>
      </c>
      <c r="B388" s="231" t="s">
        <v>77</v>
      </c>
      <c r="C388" s="231" t="s">
        <v>33</v>
      </c>
      <c r="D388" s="157" t="s">
        <v>89</v>
      </c>
      <c r="E388" s="297" t="s">
        <v>33</v>
      </c>
      <c r="F388" s="168" t="s">
        <v>10992</v>
      </c>
      <c r="G388" s="157" t="s">
        <v>44</v>
      </c>
      <c r="H388" s="371" t="s">
        <v>11136</v>
      </c>
      <c r="I388" s="157" t="s">
        <v>35</v>
      </c>
      <c r="J388" s="298" t="s">
        <v>11149</v>
      </c>
      <c r="K388" s="168" t="s">
        <v>37</v>
      </c>
      <c r="L388" s="167" t="s">
        <v>146</v>
      </c>
      <c r="M388" s="157" t="s">
        <v>44</v>
      </c>
      <c r="N388" s="167" t="s">
        <v>10505</v>
      </c>
      <c r="O388" s="55" t="str">
        <f t="shared" si="14"/>
        <v>L2.02.02.06.03.04</v>
      </c>
      <c r="P388" s="257" t="str">
        <f t="shared" si="12"/>
        <v>L2.02.02.06.03.04.06</v>
      </c>
      <c r="Q388" s="161" t="s">
        <v>10530</v>
      </c>
      <c r="R388" s="299" t="str">
        <f t="shared" si="15"/>
        <v>Nhóm Marketing SP Hóa đơn, ký điện tử</v>
      </c>
      <c r="S388" s="269" t="s">
        <v>11152</v>
      </c>
      <c r="T388" s="379" t="s">
        <v>4790</v>
      </c>
      <c r="U388" s="380" t="s">
        <v>303</v>
      </c>
      <c r="V388" s="380" t="s">
        <v>335</v>
      </c>
      <c r="W388" s="381" t="s">
        <v>1963</v>
      </c>
      <c r="X388" s="381" t="s">
        <v>11160</v>
      </c>
      <c r="Y388" s="183"/>
      <c r="Z388" s="112" t="s">
        <v>11161</v>
      </c>
      <c r="AA388" s="266"/>
      <c r="AB388" s="267"/>
      <c r="AC388" s="267"/>
      <c r="AD388" s="267"/>
    </row>
    <row r="389" ht="15.75" hidden="1" customHeight="1" outlineLevel="1">
      <c r="A389" s="100" t="s">
        <v>10833</v>
      </c>
      <c r="B389" s="101" t="s">
        <v>77</v>
      </c>
      <c r="C389" s="101" t="s">
        <v>33</v>
      </c>
      <c r="D389" s="102" t="s">
        <v>89</v>
      </c>
      <c r="E389" s="103" t="s">
        <v>33</v>
      </c>
      <c r="F389" s="106" t="s">
        <v>10992</v>
      </c>
      <c r="G389" s="102" t="s">
        <v>44</v>
      </c>
      <c r="H389" s="373" t="s">
        <v>11136</v>
      </c>
      <c r="I389" s="102" t="s">
        <v>42</v>
      </c>
      <c r="J389" s="104" t="s">
        <v>148</v>
      </c>
      <c r="K389" s="103" t="s">
        <v>27</v>
      </c>
      <c r="L389" s="102" t="s">
        <v>4</v>
      </c>
      <c r="M389" s="106" t="s">
        <v>27</v>
      </c>
      <c r="N389" s="104"/>
      <c r="O389" s="136" t="str">
        <f t="shared" si="14"/>
        <v>L2.02.02.06.05.00</v>
      </c>
      <c r="P389" s="107" t="str">
        <f t="shared" si="12"/>
        <v>L2.02.02.06.05.00.00</v>
      </c>
      <c r="Q389" s="307" t="s">
        <v>10530</v>
      </c>
      <c r="R389" s="308" t="str">
        <f t="shared" si="15"/>
        <v>Nhóm MDR</v>
      </c>
      <c r="S389" s="107" t="s">
        <v>11137</v>
      </c>
      <c r="T389" s="310" t="s">
        <v>2532</v>
      </c>
      <c r="U389" s="310" t="s">
        <v>303</v>
      </c>
      <c r="V389" s="310" t="s">
        <v>335</v>
      </c>
      <c r="W389" s="310" t="s">
        <v>336</v>
      </c>
      <c r="X389" s="310" t="s">
        <v>148</v>
      </c>
      <c r="Y389" s="310"/>
      <c r="Z389" s="112" t="s">
        <v>11162</v>
      </c>
      <c r="AA389" s="312"/>
      <c r="AB389" s="313"/>
      <c r="AC389" s="313"/>
      <c r="AD389" s="313"/>
    </row>
    <row r="390" ht="15.75" hidden="1" customHeight="1" outlineLevel="1">
      <c r="A390" s="314" t="s">
        <v>10833</v>
      </c>
      <c r="B390" s="315" t="s">
        <v>77</v>
      </c>
      <c r="C390" s="315" t="s">
        <v>33</v>
      </c>
      <c r="D390" s="122" t="s">
        <v>89</v>
      </c>
      <c r="E390" s="121" t="s">
        <v>33</v>
      </c>
      <c r="F390" s="369" t="s">
        <v>10992</v>
      </c>
      <c r="G390" s="122" t="s">
        <v>44</v>
      </c>
      <c r="H390" s="378" t="s">
        <v>11136</v>
      </c>
      <c r="I390" s="122" t="s">
        <v>42</v>
      </c>
      <c r="J390" s="123" t="s">
        <v>148</v>
      </c>
      <c r="K390" s="121" t="s">
        <v>27</v>
      </c>
      <c r="L390" s="122" t="s">
        <v>4</v>
      </c>
      <c r="M390" s="122" t="s">
        <v>44</v>
      </c>
      <c r="N390" s="123" t="s">
        <v>10505</v>
      </c>
      <c r="O390" s="149" t="str">
        <f t="shared" si="14"/>
        <v>L2.02.02.06.05.00</v>
      </c>
      <c r="P390" s="317" t="str">
        <f t="shared" si="12"/>
        <v>L2.02.02.06.05.00.06</v>
      </c>
      <c r="Q390" s="318"/>
      <c r="R390" s="318" t="str">
        <f t="shared" si="15"/>
        <v>Nhóm MDR</v>
      </c>
      <c r="S390" s="317" t="s">
        <v>11163</v>
      </c>
      <c r="T390" s="320"/>
      <c r="U390" s="320"/>
      <c r="V390" s="320"/>
      <c r="W390" s="320"/>
      <c r="X390" s="320"/>
      <c r="Y390" s="320"/>
      <c r="Z390" s="322"/>
      <c r="AA390" s="323"/>
      <c r="AB390" s="324"/>
      <c r="AC390" s="324"/>
      <c r="AD390" s="324"/>
    </row>
    <row r="391" ht="15.75" hidden="1" customHeight="1" outlineLevel="1">
      <c r="A391" s="314" t="s">
        <v>10833</v>
      </c>
      <c r="B391" s="315" t="s">
        <v>77</v>
      </c>
      <c r="C391" s="315" t="s">
        <v>33</v>
      </c>
      <c r="D391" s="122" t="s">
        <v>89</v>
      </c>
      <c r="E391" s="121" t="s">
        <v>33</v>
      </c>
      <c r="F391" s="369" t="s">
        <v>10992</v>
      </c>
      <c r="G391" s="122" t="s">
        <v>44</v>
      </c>
      <c r="H391" s="378" t="s">
        <v>11136</v>
      </c>
      <c r="I391" s="122" t="s">
        <v>42</v>
      </c>
      <c r="J391" s="123" t="s">
        <v>148</v>
      </c>
      <c r="K391" s="121" t="s">
        <v>27</v>
      </c>
      <c r="L391" s="122" t="s">
        <v>4</v>
      </c>
      <c r="M391" s="122" t="s">
        <v>33</v>
      </c>
      <c r="N391" s="123" t="s">
        <v>10499</v>
      </c>
      <c r="O391" s="149" t="str">
        <f t="shared" si="14"/>
        <v>L2.02.02.06.05.00</v>
      </c>
      <c r="P391" s="317" t="str">
        <f t="shared" si="12"/>
        <v>L2.02.02.06.05.00.02</v>
      </c>
      <c r="Q391" s="318"/>
      <c r="R391" s="318" t="str">
        <f t="shared" si="15"/>
        <v>Nhóm MDR</v>
      </c>
      <c r="S391" s="317" t="s">
        <v>11163</v>
      </c>
      <c r="T391" s="320"/>
      <c r="U391" s="320"/>
      <c r="V391" s="320"/>
      <c r="W391" s="320"/>
      <c r="X391" s="320"/>
      <c r="Y391" s="320"/>
      <c r="Z391" s="322"/>
      <c r="AA391" s="323"/>
      <c r="AB391" s="324"/>
      <c r="AC391" s="324"/>
      <c r="AD391" s="324"/>
    </row>
    <row r="392" ht="15.75" hidden="1" customHeight="1" outlineLevel="1">
      <c r="A392" s="261" t="s">
        <v>10833</v>
      </c>
      <c r="B392" s="231" t="s">
        <v>77</v>
      </c>
      <c r="C392" s="231" t="s">
        <v>33</v>
      </c>
      <c r="D392" s="157" t="s">
        <v>89</v>
      </c>
      <c r="E392" s="297" t="s">
        <v>33</v>
      </c>
      <c r="F392" s="168" t="s">
        <v>10992</v>
      </c>
      <c r="G392" s="157" t="s">
        <v>44</v>
      </c>
      <c r="H392" s="371" t="s">
        <v>11136</v>
      </c>
      <c r="I392" s="157" t="s">
        <v>37</v>
      </c>
      <c r="J392" s="167" t="s">
        <v>147</v>
      </c>
      <c r="K392" s="297" t="s">
        <v>27</v>
      </c>
      <c r="L392" s="157" t="s">
        <v>4</v>
      </c>
      <c r="M392" s="157" t="s">
        <v>44</v>
      </c>
      <c r="N392" s="167" t="s">
        <v>10505</v>
      </c>
      <c r="O392" s="55" t="str">
        <f t="shared" si="14"/>
        <v>L2.02.02.06.04.00</v>
      </c>
      <c r="P392" s="257" t="str">
        <f t="shared" si="12"/>
        <v>L2.02.02.06.04.00.06</v>
      </c>
      <c r="Q392" s="161" t="s">
        <v>10530</v>
      </c>
      <c r="R392" s="299" t="str">
        <f t="shared" si="15"/>
        <v>Nhóm KD Automation sales</v>
      </c>
      <c r="S392" s="257" t="s">
        <v>11137</v>
      </c>
      <c r="T392" s="264" t="s">
        <v>11164</v>
      </c>
      <c r="U392" s="265" t="s">
        <v>303</v>
      </c>
      <c r="V392" s="265" t="s">
        <v>335</v>
      </c>
      <c r="W392" s="167" t="s">
        <v>147</v>
      </c>
      <c r="X392" s="265"/>
      <c r="Y392" s="265"/>
      <c r="Z392" s="225" t="s">
        <v>11165</v>
      </c>
      <c r="AA392" s="266"/>
      <c r="AB392" s="267"/>
      <c r="AC392" s="267"/>
      <c r="AD392" s="267"/>
    </row>
    <row r="393" ht="15.75" customHeight="1">
      <c r="A393" s="268" t="s">
        <v>11166</v>
      </c>
      <c r="B393" s="66"/>
      <c r="C393" s="66"/>
      <c r="D393" s="66"/>
      <c r="E393" s="67"/>
      <c r="F393" s="66"/>
      <c r="G393" s="66"/>
      <c r="H393" s="68"/>
      <c r="I393" s="66"/>
      <c r="J393" s="382"/>
      <c r="K393" s="383"/>
      <c r="L393" s="384"/>
      <c r="M393" s="383"/>
      <c r="N393" s="384"/>
      <c r="O393" s="55" t="str">
        <f t="shared" si="14"/>
        <v>Khối doanh nghiệp vừa.....</v>
      </c>
      <c r="P393" s="69"/>
      <c r="Q393" s="169"/>
      <c r="R393" s="169" t="str">
        <f t="shared" si="15"/>
        <v/>
      </c>
      <c r="S393" s="96"/>
      <c r="T393" s="96"/>
      <c r="U393" s="96"/>
      <c r="V393" s="96"/>
      <c r="W393" s="96"/>
      <c r="X393" s="96"/>
      <c r="Y393" s="96"/>
      <c r="Z393" s="152"/>
      <c r="AA393" s="99"/>
      <c r="AB393" s="91"/>
      <c r="AC393" s="91"/>
      <c r="AD393" s="91"/>
    </row>
    <row r="394" ht="15.75" hidden="1" customHeight="1" outlineLevel="1">
      <c r="A394" s="261" t="s">
        <v>10833</v>
      </c>
      <c r="B394" s="231" t="s">
        <v>77</v>
      </c>
      <c r="C394" s="231" t="s">
        <v>33</v>
      </c>
      <c r="D394" s="157" t="s">
        <v>89</v>
      </c>
      <c r="E394" s="297" t="s">
        <v>35</v>
      </c>
      <c r="F394" s="168" t="s">
        <v>11167</v>
      </c>
      <c r="G394" s="168" t="s">
        <v>27</v>
      </c>
      <c r="H394" s="262" t="s">
        <v>4</v>
      </c>
      <c r="I394" s="297" t="s">
        <v>27</v>
      </c>
      <c r="J394" s="157" t="s">
        <v>4</v>
      </c>
      <c r="K394" s="297" t="s">
        <v>27</v>
      </c>
      <c r="L394" s="157" t="s">
        <v>4</v>
      </c>
      <c r="M394" s="168" t="s">
        <v>27</v>
      </c>
      <c r="N394" s="262" t="s">
        <v>4</v>
      </c>
      <c r="O394" s="55" t="str">
        <f t="shared" si="14"/>
        <v>L2.02.03.00.00.00</v>
      </c>
      <c r="P394" s="257" t="str">
        <f t="shared" ref="P394:P529" si="16">A394&amp;"."&amp;C394&amp;"."&amp;E394&amp;"."&amp;G394&amp;"."&amp;I394&amp;"."&amp;K394&amp;"."&amp;M394</f>
        <v>L2.02.03.00.00.00.00</v>
      </c>
      <c r="Q394" s="161" t="s">
        <v>10530</v>
      </c>
      <c r="R394" s="263" t="s">
        <v>11168</v>
      </c>
      <c r="S394" s="269" t="s">
        <v>10916</v>
      </c>
      <c r="T394" s="265"/>
      <c r="U394" s="265"/>
      <c r="V394" s="265"/>
      <c r="W394" s="265"/>
      <c r="X394" s="265"/>
      <c r="Y394" s="264" t="s">
        <v>11089</v>
      </c>
      <c r="Z394" s="225" t="s">
        <v>11169</v>
      </c>
      <c r="AA394" s="266"/>
      <c r="AB394" s="267"/>
      <c r="AC394" s="267"/>
      <c r="AD394" s="267"/>
    </row>
    <row r="395" ht="15.75" hidden="1" customHeight="1" outlineLevel="1">
      <c r="A395" s="228" t="s">
        <v>10833</v>
      </c>
      <c r="B395" s="270" t="s">
        <v>77</v>
      </c>
      <c r="C395" s="270" t="s">
        <v>33</v>
      </c>
      <c r="D395" s="209" t="s">
        <v>89</v>
      </c>
      <c r="E395" s="271" t="s">
        <v>35</v>
      </c>
      <c r="F395" s="182" t="s">
        <v>11167</v>
      </c>
      <c r="G395" s="209" t="s">
        <v>29</v>
      </c>
      <c r="H395" s="181" t="s">
        <v>150</v>
      </c>
      <c r="I395" s="271" t="s">
        <v>27</v>
      </c>
      <c r="J395" s="209" t="s">
        <v>4</v>
      </c>
      <c r="K395" s="271" t="s">
        <v>27</v>
      </c>
      <c r="L395" s="209" t="s">
        <v>4</v>
      </c>
      <c r="M395" s="182" t="s">
        <v>27</v>
      </c>
      <c r="N395" s="212" t="s">
        <v>4</v>
      </c>
      <c r="O395" s="58" t="str">
        <f t="shared" si="14"/>
        <v>L2.02.03.01.00.00</v>
      </c>
      <c r="P395" s="272" t="str">
        <f t="shared" si="16"/>
        <v>L2.02.03.01.00.00.00</v>
      </c>
      <c r="Q395" s="185" t="s">
        <v>10530</v>
      </c>
      <c r="R395" s="273" t="str">
        <f t="shared" ref="R395:R530" si="17">if(L395&lt;&gt;"-",L395,if(AND(L395="-",J395&lt;&gt;"-"),J395,if(AND(J395="-",H395&lt;&gt;"-"),H395,"NA")))</f>
        <v>Ban Giám đốc khối DN Vừa</v>
      </c>
      <c r="S395" s="274" t="s">
        <v>11170</v>
      </c>
      <c r="T395" s="183"/>
      <c r="U395" s="183"/>
      <c r="V395" s="183"/>
      <c r="W395" s="183"/>
      <c r="X395" s="183"/>
      <c r="Y395" s="184" t="s">
        <v>11089</v>
      </c>
      <c r="Z395" s="275" t="s">
        <v>11171</v>
      </c>
      <c r="AA395" s="276"/>
      <c r="AB395" s="277"/>
      <c r="AC395" s="277"/>
      <c r="AD395" s="277"/>
    </row>
    <row r="396" ht="15.75" hidden="1" customHeight="1" outlineLevel="1">
      <c r="A396" s="261" t="s">
        <v>10833</v>
      </c>
      <c r="B396" s="231" t="s">
        <v>77</v>
      </c>
      <c r="C396" s="231" t="s">
        <v>33</v>
      </c>
      <c r="D396" s="157" t="s">
        <v>89</v>
      </c>
      <c r="E396" s="297" t="s">
        <v>35</v>
      </c>
      <c r="F396" s="168" t="s">
        <v>11167</v>
      </c>
      <c r="G396" s="157" t="s">
        <v>33</v>
      </c>
      <c r="H396" s="212" t="s">
        <v>11172</v>
      </c>
      <c r="I396" s="168" t="s">
        <v>27</v>
      </c>
      <c r="J396" s="258" t="s">
        <v>4</v>
      </c>
      <c r="K396" s="297" t="s">
        <v>27</v>
      </c>
      <c r="L396" s="157" t="s">
        <v>4</v>
      </c>
      <c r="M396" s="157" t="s">
        <v>29</v>
      </c>
      <c r="N396" s="167" t="s">
        <v>10498</v>
      </c>
      <c r="O396" s="55" t="str">
        <f t="shared" si="14"/>
        <v>L2.02.03.02.00.00</v>
      </c>
      <c r="P396" s="257" t="str">
        <f t="shared" si="16"/>
        <v>L2.02.03.02.00.00.01</v>
      </c>
      <c r="Q396" s="161" t="s">
        <v>10530</v>
      </c>
      <c r="R396" s="273" t="str">
        <f t="shared" si="17"/>
        <v>Trung tâm KD giải pháp DN Vừa - Hà Nội</v>
      </c>
      <c r="S396" s="269" t="s">
        <v>11170</v>
      </c>
      <c r="T396" s="264" t="s">
        <v>11173</v>
      </c>
      <c r="U396" s="265" t="s">
        <v>346</v>
      </c>
      <c r="V396" s="265" t="s">
        <v>275</v>
      </c>
      <c r="W396" s="265"/>
      <c r="X396" s="265"/>
      <c r="Y396" s="265"/>
      <c r="Z396" s="225" t="s">
        <v>11174</v>
      </c>
      <c r="AA396" s="300" t="s">
        <v>10530</v>
      </c>
      <c r="AB396" s="267"/>
      <c r="AC396" s="267"/>
      <c r="AD396" s="267"/>
    </row>
    <row r="397" ht="15.75" hidden="1" customHeight="1" outlineLevel="1">
      <c r="A397" s="261" t="s">
        <v>10833</v>
      </c>
      <c r="B397" s="231" t="s">
        <v>77</v>
      </c>
      <c r="C397" s="231" t="s">
        <v>33</v>
      </c>
      <c r="D397" s="157" t="s">
        <v>89</v>
      </c>
      <c r="E397" s="297" t="s">
        <v>35</v>
      </c>
      <c r="F397" s="168" t="s">
        <v>11167</v>
      </c>
      <c r="G397" s="157" t="s">
        <v>33</v>
      </c>
      <c r="H397" s="212" t="s">
        <v>11172</v>
      </c>
      <c r="I397" s="157" t="s">
        <v>29</v>
      </c>
      <c r="J397" s="257" t="s">
        <v>155</v>
      </c>
      <c r="K397" s="297" t="s">
        <v>27</v>
      </c>
      <c r="L397" s="157" t="s">
        <v>4</v>
      </c>
      <c r="M397" s="157" t="s">
        <v>29</v>
      </c>
      <c r="N397" s="167" t="s">
        <v>10498</v>
      </c>
      <c r="O397" s="55" t="str">
        <f t="shared" si="14"/>
        <v>L2.02.03.02.01.00</v>
      </c>
      <c r="P397" s="257" t="str">
        <f t="shared" si="16"/>
        <v>L2.02.03.02.01.00.01</v>
      </c>
      <c r="Q397" s="161" t="s">
        <v>10530</v>
      </c>
      <c r="R397" s="299" t="str">
        <f t="shared" si="17"/>
        <v>Ban Giám đốc</v>
      </c>
      <c r="S397" s="269" t="s">
        <v>11175</v>
      </c>
      <c r="T397" s="265" t="s">
        <v>7285</v>
      </c>
      <c r="U397" s="265" t="s">
        <v>346</v>
      </c>
      <c r="V397" s="265" t="s">
        <v>275</v>
      </c>
      <c r="W397" s="265" t="s">
        <v>155</v>
      </c>
      <c r="X397" s="265"/>
      <c r="Y397" s="265"/>
      <c r="Z397" s="225" t="s">
        <v>11176</v>
      </c>
      <c r="AA397" s="300" t="s">
        <v>10530</v>
      </c>
      <c r="AB397" s="267"/>
      <c r="AC397" s="267"/>
      <c r="AD397" s="267"/>
    </row>
    <row r="398" ht="15.75" hidden="1" customHeight="1" outlineLevel="1">
      <c r="A398" s="261" t="s">
        <v>10833</v>
      </c>
      <c r="B398" s="231" t="s">
        <v>77</v>
      </c>
      <c r="C398" s="231" t="s">
        <v>33</v>
      </c>
      <c r="D398" s="157" t="s">
        <v>89</v>
      </c>
      <c r="E398" s="297" t="s">
        <v>35</v>
      </c>
      <c r="F398" s="168" t="s">
        <v>11167</v>
      </c>
      <c r="G398" s="157" t="s">
        <v>33</v>
      </c>
      <c r="H398" s="212" t="s">
        <v>11172</v>
      </c>
      <c r="I398" s="157" t="s">
        <v>33</v>
      </c>
      <c r="J398" s="301" t="s">
        <v>157</v>
      </c>
      <c r="K398" s="168" t="s">
        <v>27</v>
      </c>
      <c r="L398" s="157" t="s">
        <v>4</v>
      </c>
      <c r="M398" s="157" t="s">
        <v>29</v>
      </c>
      <c r="N398" s="167" t="s">
        <v>10498</v>
      </c>
      <c r="O398" s="159" t="str">
        <f t="shared" si="14"/>
        <v>L2.02.03.02.02.00</v>
      </c>
      <c r="P398" s="257" t="str">
        <f t="shared" si="16"/>
        <v>L2.02.03.02.02.00.01</v>
      </c>
      <c r="Q398" s="160" t="s">
        <v>10530</v>
      </c>
      <c r="R398" s="299" t="str">
        <f t="shared" si="17"/>
        <v>Phòng KD Bán mới 01</v>
      </c>
      <c r="S398" s="269" t="s">
        <v>11175</v>
      </c>
      <c r="T398" s="265"/>
      <c r="U398" s="265"/>
      <c r="V398" s="265"/>
      <c r="W398" s="265"/>
      <c r="X398" s="265"/>
      <c r="Y398" s="264" t="s">
        <v>11089</v>
      </c>
      <c r="Z398" s="275" t="s">
        <v>11177</v>
      </c>
      <c r="AA398" s="266"/>
      <c r="AB398" s="267"/>
      <c r="AC398" s="267"/>
      <c r="AD398" s="267"/>
    </row>
    <row r="399" ht="15.75" hidden="1" customHeight="1" outlineLevel="1">
      <c r="A399" s="261" t="s">
        <v>10833</v>
      </c>
      <c r="B399" s="231" t="s">
        <v>77</v>
      </c>
      <c r="C399" s="231" t="s">
        <v>33</v>
      </c>
      <c r="D399" s="157" t="s">
        <v>89</v>
      </c>
      <c r="E399" s="297" t="s">
        <v>35</v>
      </c>
      <c r="F399" s="168" t="s">
        <v>11167</v>
      </c>
      <c r="G399" s="157" t="s">
        <v>33</v>
      </c>
      <c r="H399" s="212" t="s">
        <v>11172</v>
      </c>
      <c r="I399" s="157" t="s">
        <v>33</v>
      </c>
      <c r="J399" s="301" t="s">
        <v>157</v>
      </c>
      <c r="K399" s="168" t="s">
        <v>29</v>
      </c>
      <c r="L399" s="301" t="s">
        <v>11178</v>
      </c>
      <c r="M399" s="157" t="s">
        <v>29</v>
      </c>
      <c r="N399" s="167" t="s">
        <v>10498</v>
      </c>
      <c r="O399" s="159" t="str">
        <f t="shared" si="14"/>
        <v>L2.02.03.02.02.01</v>
      </c>
      <c r="P399" s="257" t="str">
        <f t="shared" si="16"/>
        <v>L2.02.03.02.02.01.01</v>
      </c>
      <c r="Q399" s="160" t="s">
        <v>10530</v>
      </c>
      <c r="R399" s="299" t="str">
        <f t="shared" si="17"/>
        <v>Nhóm Quản lý 01</v>
      </c>
      <c r="S399" s="269" t="s">
        <v>11179</v>
      </c>
      <c r="T399" s="265"/>
      <c r="U399" s="265"/>
      <c r="V399" s="265"/>
      <c r="W399" s="265"/>
      <c r="X399" s="265"/>
      <c r="Y399" s="264" t="s">
        <v>11089</v>
      </c>
      <c r="Z399" s="275" t="s">
        <v>11180</v>
      </c>
      <c r="AA399" s="266"/>
      <c r="AB399" s="267"/>
      <c r="AC399" s="267"/>
      <c r="AD399" s="267"/>
    </row>
    <row r="400" ht="15.75" hidden="1" customHeight="1" outlineLevel="1">
      <c r="A400" s="261" t="s">
        <v>10833</v>
      </c>
      <c r="B400" s="231" t="s">
        <v>77</v>
      </c>
      <c r="C400" s="231" t="s">
        <v>33</v>
      </c>
      <c r="D400" s="157" t="s">
        <v>89</v>
      </c>
      <c r="E400" s="297" t="s">
        <v>35</v>
      </c>
      <c r="F400" s="168" t="s">
        <v>11167</v>
      </c>
      <c r="G400" s="157" t="s">
        <v>33</v>
      </c>
      <c r="H400" s="212" t="s">
        <v>11172</v>
      </c>
      <c r="I400" s="157" t="s">
        <v>33</v>
      </c>
      <c r="J400" s="301" t="s">
        <v>157</v>
      </c>
      <c r="K400" s="261" t="s">
        <v>33</v>
      </c>
      <c r="L400" s="301" t="s">
        <v>11181</v>
      </c>
      <c r="M400" s="157" t="s">
        <v>29</v>
      </c>
      <c r="N400" s="167" t="s">
        <v>10498</v>
      </c>
      <c r="O400" s="159" t="str">
        <f t="shared" si="14"/>
        <v>L2.02.03.02.02.02</v>
      </c>
      <c r="P400" s="257" t="str">
        <f t="shared" si="16"/>
        <v>L2.02.03.02.02.02.01</v>
      </c>
      <c r="Q400" s="160" t="s">
        <v>10530</v>
      </c>
      <c r="R400" s="299" t="str">
        <f t="shared" si="17"/>
        <v>Nhóm KD MISA AMIS Kế toán 01</v>
      </c>
      <c r="S400" s="269" t="s">
        <v>11179</v>
      </c>
      <c r="T400" s="265"/>
      <c r="U400" s="265"/>
      <c r="V400" s="265"/>
      <c r="W400" s="265"/>
      <c r="X400" s="265"/>
      <c r="Y400" s="264" t="s">
        <v>11089</v>
      </c>
      <c r="Z400" s="275" t="s">
        <v>11182</v>
      </c>
      <c r="AA400" s="266"/>
      <c r="AB400" s="267"/>
      <c r="AC400" s="267"/>
      <c r="AD400" s="267"/>
    </row>
    <row r="401" ht="15.75" hidden="1" customHeight="1" outlineLevel="1">
      <c r="A401" s="261" t="s">
        <v>10833</v>
      </c>
      <c r="B401" s="231" t="s">
        <v>77</v>
      </c>
      <c r="C401" s="231" t="s">
        <v>33</v>
      </c>
      <c r="D401" s="157" t="s">
        <v>89</v>
      </c>
      <c r="E401" s="297" t="s">
        <v>35</v>
      </c>
      <c r="F401" s="168" t="s">
        <v>11167</v>
      </c>
      <c r="G401" s="157" t="s">
        <v>33</v>
      </c>
      <c r="H401" s="212" t="s">
        <v>11172</v>
      </c>
      <c r="I401" s="157" t="s">
        <v>33</v>
      </c>
      <c r="J401" s="301" t="s">
        <v>157</v>
      </c>
      <c r="K401" s="261" t="s">
        <v>35</v>
      </c>
      <c r="L401" s="301" t="s">
        <v>11183</v>
      </c>
      <c r="M401" s="157" t="s">
        <v>29</v>
      </c>
      <c r="N401" s="167" t="s">
        <v>10498</v>
      </c>
      <c r="O401" s="159" t="str">
        <f t="shared" si="14"/>
        <v>L2.02.03.02.02.03</v>
      </c>
      <c r="P401" s="257" t="str">
        <f t="shared" si="16"/>
        <v>L2.02.03.02.02.03.01</v>
      </c>
      <c r="Q401" s="160" t="s">
        <v>10530</v>
      </c>
      <c r="R401" s="299" t="str">
        <f t="shared" si="17"/>
        <v>Nhóm KD MISA AMIS Điều hành 01</v>
      </c>
      <c r="S401" s="269" t="s">
        <v>11179</v>
      </c>
      <c r="T401" s="265"/>
      <c r="U401" s="265"/>
      <c r="V401" s="265"/>
      <c r="W401" s="265"/>
      <c r="X401" s="265"/>
      <c r="Y401" s="264" t="s">
        <v>11089</v>
      </c>
      <c r="Z401" s="275" t="s">
        <v>11184</v>
      </c>
      <c r="AA401" s="266"/>
      <c r="AB401" s="267"/>
      <c r="AC401" s="267"/>
      <c r="AD401" s="267"/>
    </row>
    <row r="402" ht="15.75" hidden="1" customHeight="1" outlineLevel="1">
      <c r="A402" s="385" t="s">
        <v>10833</v>
      </c>
      <c r="B402" s="386" t="s">
        <v>77</v>
      </c>
      <c r="C402" s="386" t="s">
        <v>33</v>
      </c>
      <c r="D402" s="387" t="s">
        <v>89</v>
      </c>
      <c r="E402" s="388" t="s">
        <v>35</v>
      </c>
      <c r="F402" s="389" t="s">
        <v>11167</v>
      </c>
      <c r="G402" s="387" t="s">
        <v>33</v>
      </c>
      <c r="H402" s="390" t="s">
        <v>11172</v>
      </c>
      <c r="I402" s="387" t="s">
        <v>33</v>
      </c>
      <c r="J402" s="391" t="s">
        <v>157</v>
      </c>
      <c r="K402" s="261" t="s">
        <v>37</v>
      </c>
      <c r="L402" s="392" t="s">
        <v>11185</v>
      </c>
      <c r="M402" s="387" t="s">
        <v>29</v>
      </c>
      <c r="N402" s="391" t="s">
        <v>10498</v>
      </c>
      <c r="O402" s="391" t="str">
        <f t="shared" si="14"/>
        <v>L2.02.03.02.02.04</v>
      </c>
      <c r="P402" s="391" t="str">
        <f t="shared" si="16"/>
        <v>L2.02.03.02.02.04.01</v>
      </c>
      <c r="Q402" s="393" t="s">
        <v>10530</v>
      </c>
      <c r="R402" s="394" t="str">
        <f t="shared" si="17"/>
        <v>Nhóm KD MISA AMIS Nhân sự 01</v>
      </c>
      <c r="S402" s="395" t="s">
        <v>11179</v>
      </c>
      <c r="T402" s="396"/>
      <c r="U402" s="396"/>
      <c r="V402" s="396"/>
      <c r="W402" s="396"/>
      <c r="X402" s="396"/>
      <c r="Y402" s="397" t="s">
        <v>11089</v>
      </c>
      <c r="Z402" s="275" t="s">
        <v>11186</v>
      </c>
      <c r="AA402" s="398"/>
      <c r="AB402" s="399"/>
      <c r="AC402" s="399"/>
      <c r="AD402" s="399"/>
    </row>
    <row r="403" ht="15.75" hidden="1" customHeight="1" outlineLevel="1">
      <c r="A403" s="385" t="s">
        <v>10833</v>
      </c>
      <c r="B403" s="386" t="s">
        <v>77</v>
      </c>
      <c r="C403" s="386" t="s">
        <v>33</v>
      </c>
      <c r="D403" s="387" t="s">
        <v>89</v>
      </c>
      <c r="E403" s="388" t="s">
        <v>35</v>
      </c>
      <c r="F403" s="389" t="s">
        <v>11167</v>
      </c>
      <c r="G403" s="387" t="s">
        <v>33</v>
      </c>
      <c r="H403" s="390" t="s">
        <v>11172</v>
      </c>
      <c r="I403" s="387" t="s">
        <v>33</v>
      </c>
      <c r="J403" s="391" t="s">
        <v>157</v>
      </c>
      <c r="K403" s="261" t="s">
        <v>42</v>
      </c>
      <c r="L403" s="392" t="s">
        <v>11187</v>
      </c>
      <c r="M403" s="387" t="s">
        <v>29</v>
      </c>
      <c r="N403" s="391" t="s">
        <v>10498</v>
      </c>
      <c r="O403" s="391" t="str">
        <f t="shared" si="14"/>
        <v>L2.02.03.02.02.05</v>
      </c>
      <c r="P403" s="391" t="str">
        <f t="shared" si="16"/>
        <v>L2.02.03.02.02.05.01</v>
      </c>
      <c r="Q403" s="393" t="s">
        <v>10530</v>
      </c>
      <c r="R403" s="394" t="str">
        <f t="shared" si="17"/>
        <v>Nhóm KD MISA AMIS Bán hàng 01</v>
      </c>
      <c r="S403" s="395" t="s">
        <v>11179</v>
      </c>
      <c r="T403" s="396"/>
      <c r="U403" s="396"/>
      <c r="V403" s="396"/>
      <c r="W403" s="396"/>
      <c r="X403" s="396"/>
      <c r="Y403" s="397" t="s">
        <v>11089</v>
      </c>
      <c r="Z403" s="275" t="s">
        <v>11188</v>
      </c>
      <c r="AA403" s="398"/>
      <c r="AB403" s="399"/>
      <c r="AC403" s="399"/>
      <c r="AD403" s="399"/>
    </row>
    <row r="404" ht="15.75" hidden="1" customHeight="1" outlineLevel="1">
      <c r="A404" s="228" t="s">
        <v>10833</v>
      </c>
      <c r="B404" s="270" t="s">
        <v>77</v>
      </c>
      <c r="C404" s="270" t="s">
        <v>33</v>
      </c>
      <c r="D404" s="209" t="s">
        <v>89</v>
      </c>
      <c r="E404" s="271" t="s">
        <v>35</v>
      </c>
      <c r="F404" s="182" t="s">
        <v>11167</v>
      </c>
      <c r="G404" s="209" t="s">
        <v>33</v>
      </c>
      <c r="H404" s="212" t="s">
        <v>11172</v>
      </c>
      <c r="I404" s="182" t="s">
        <v>46</v>
      </c>
      <c r="J404" s="303" t="s">
        <v>158</v>
      </c>
      <c r="K404" s="182" t="s">
        <v>27</v>
      </c>
      <c r="L404" s="209" t="s">
        <v>4</v>
      </c>
      <c r="M404" s="209" t="s">
        <v>29</v>
      </c>
      <c r="N404" s="181" t="s">
        <v>10498</v>
      </c>
      <c r="O404" s="58" t="str">
        <f t="shared" si="14"/>
        <v>L2.02.03.02.07.00</v>
      </c>
      <c r="P404" s="272" t="str">
        <f t="shared" si="16"/>
        <v>L2.02.03.02.07.00.01</v>
      </c>
      <c r="Q404" s="185" t="s">
        <v>10530</v>
      </c>
      <c r="R404" s="273" t="str">
        <f t="shared" si="17"/>
        <v>Phòng KD Bán mới 02</v>
      </c>
      <c r="S404" s="274" t="s">
        <v>11175</v>
      </c>
      <c r="T404" s="183"/>
      <c r="U404" s="183"/>
      <c r="V404" s="183"/>
      <c r="W404" s="183"/>
      <c r="X404" s="183"/>
      <c r="Y404" s="184" t="s">
        <v>11089</v>
      </c>
      <c r="Z404" s="275" t="s">
        <v>11189</v>
      </c>
      <c r="AA404" s="276"/>
      <c r="AB404" s="277"/>
      <c r="AC404" s="277"/>
      <c r="AD404" s="277"/>
    </row>
    <row r="405" ht="15.75" hidden="1" customHeight="1" outlineLevel="1">
      <c r="A405" s="228" t="s">
        <v>10833</v>
      </c>
      <c r="B405" s="270" t="s">
        <v>77</v>
      </c>
      <c r="C405" s="270" t="s">
        <v>33</v>
      </c>
      <c r="D405" s="209" t="s">
        <v>89</v>
      </c>
      <c r="E405" s="271" t="s">
        <v>35</v>
      </c>
      <c r="F405" s="182" t="s">
        <v>11167</v>
      </c>
      <c r="G405" s="209" t="s">
        <v>33</v>
      </c>
      <c r="H405" s="212" t="s">
        <v>11172</v>
      </c>
      <c r="I405" s="182" t="s">
        <v>46</v>
      </c>
      <c r="J405" s="303" t="s">
        <v>158</v>
      </c>
      <c r="K405" s="182" t="s">
        <v>29</v>
      </c>
      <c r="L405" s="303" t="s">
        <v>11190</v>
      </c>
      <c r="M405" s="209" t="s">
        <v>29</v>
      </c>
      <c r="N405" s="181" t="s">
        <v>10498</v>
      </c>
      <c r="O405" s="58" t="str">
        <f t="shared" si="14"/>
        <v>L2.02.03.02.07.01</v>
      </c>
      <c r="P405" s="272" t="str">
        <f t="shared" si="16"/>
        <v>L2.02.03.02.07.01.01</v>
      </c>
      <c r="Q405" s="185" t="s">
        <v>10530</v>
      </c>
      <c r="R405" s="273" t="str">
        <f t="shared" si="17"/>
        <v>Nhóm Quản lý 02</v>
      </c>
      <c r="S405" s="274" t="str">
        <f>P404</f>
        <v>L2.02.03.02.07.00.01</v>
      </c>
      <c r="T405" s="183"/>
      <c r="U405" s="183"/>
      <c r="V405" s="183"/>
      <c r="W405" s="183"/>
      <c r="X405" s="183"/>
      <c r="Y405" s="184" t="s">
        <v>11089</v>
      </c>
      <c r="Z405" s="275" t="s">
        <v>11191</v>
      </c>
      <c r="AA405" s="276"/>
      <c r="AB405" s="277"/>
      <c r="AC405" s="277"/>
      <c r="AD405" s="277"/>
    </row>
    <row r="406" ht="15.75" hidden="1" customHeight="1" outlineLevel="1">
      <c r="A406" s="228" t="s">
        <v>10833</v>
      </c>
      <c r="B406" s="270" t="s">
        <v>77</v>
      </c>
      <c r="C406" s="270" t="s">
        <v>33</v>
      </c>
      <c r="D406" s="209" t="s">
        <v>89</v>
      </c>
      <c r="E406" s="271" t="s">
        <v>35</v>
      </c>
      <c r="F406" s="182" t="s">
        <v>11167</v>
      </c>
      <c r="G406" s="209" t="s">
        <v>33</v>
      </c>
      <c r="H406" s="212" t="s">
        <v>11172</v>
      </c>
      <c r="I406" s="182" t="s">
        <v>46</v>
      </c>
      <c r="J406" s="303" t="s">
        <v>158</v>
      </c>
      <c r="K406" s="228" t="s">
        <v>33</v>
      </c>
      <c r="L406" s="303" t="s">
        <v>11192</v>
      </c>
      <c r="M406" s="209" t="s">
        <v>29</v>
      </c>
      <c r="N406" s="181" t="s">
        <v>10498</v>
      </c>
      <c r="O406" s="58" t="str">
        <f t="shared" si="14"/>
        <v>L2.02.03.02.07.02</v>
      </c>
      <c r="P406" s="272" t="str">
        <f t="shared" si="16"/>
        <v>L2.02.03.02.07.02.01</v>
      </c>
      <c r="Q406" s="185" t="s">
        <v>10530</v>
      </c>
      <c r="R406" s="273" t="str">
        <f t="shared" si="17"/>
        <v>Nhóm KD MISA AMIS Kế toán 02</v>
      </c>
      <c r="S406" s="274" t="str">
        <f>P404</f>
        <v>L2.02.03.02.07.00.01</v>
      </c>
      <c r="T406" s="183"/>
      <c r="U406" s="183"/>
      <c r="V406" s="183"/>
      <c r="W406" s="183"/>
      <c r="X406" s="183"/>
      <c r="Y406" s="184" t="s">
        <v>11089</v>
      </c>
      <c r="Z406" s="275" t="s">
        <v>11193</v>
      </c>
      <c r="AA406" s="276"/>
      <c r="AB406" s="277"/>
      <c r="AC406" s="277"/>
      <c r="AD406" s="277"/>
    </row>
    <row r="407" ht="15.75" hidden="1" customHeight="1" outlineLevel="1">
      <c r="A407" s="228" t="s">
        <v>10833</v>
      </c>
      <c r="B407" s="270" t="s">
        <v>77</v>
      </c>
      <c r="C407" s="270" t="s">
        <v>33</v>
      </c>
      <c r="D407" s="209" t="s">
        <v>89</v>
      </c>
      <c r="E407" s="271" t="s">
        <v>35</v>
      </c>
      <c r="F407" s="182" t="s">
        <v>11167</v>
      </c>
      <c r="G407" s="209" t="s">
        <v>33</v>
      </c>
      <c r="H407" s="212" t="s">
        <v>11172</v>
      </c>
      <c r="I407" s="182" t="s">
        <v>46</v>
      </c>
      <c r="J407" s="303" t="s">
        <v>158</v>
      </c>
      <c r="K407" s="228" t="s">
        <v>35</v>
      </c>
      <c r="L407" s="303" t="s">
        <v>11194</v>
      </c>
      <c r="M407" s="209" t="s">
        <v>29</v>
      </c>
      <c r="N407" s="181" t="s">
        <v>10498</v>
      </c>
      <c r="O407" s="58" t="str">
        <f t="shared" si="14"/>
        <v>L2.02.03.02.07.03</v>
      </c>
      <c r="P407" s="272" t="str">
        <f t="shared" si="16"/>
        <v>L2.02.03.02.07.03.01</v>
      </c>
      <c r="Q407" s="185" t="s">
        <v>10530</v>
      </c>
      <c r="R407" s="273" t="str">
        <f t="shared" si="17"/>
        <v>Nhóm KD MISA AMIS Điều hành 02</v>
      </c>
      <c r="S407" s="274" t="str">
        <f>P404</f>
        <v>L2.02.03.02.07.00.01</v>
      </c>
      <c r="T407" s="183"/>
      <c r="U407" s="183"/>
      <c r="V407" s="183"/>
      <c r="W407" s="183"/>
      <c r="X407" s="183"/>
      <c r="Y407" s="184" t="s">
        <v>11089</v>
      </c>
      <c r="Z407" s="275" t="s">
        <v>11195</v>
      </c>
      <c r="AA407" s="276"/>
      <c r="AB407" s="277"/>
      <c r="AC407" s="277"/>
      <c r="AD407" s="277"/>
    </row>
    <row r="408" ht="15.75" hidden="1" customHeight="1" outlineLevel="1">
      <c r="A408" s="400" t="s">
        <v>10833</v>
      </c>
      <c r="B408" s="401" t="s">
        <v>77</v>
      </c>
      <c r="C408" s="401" t="s">
        <v>33</v>
      </c>
      <c r="D408" s="402" t="s">
        <v>89</v>
      </c>
      <c r="E408" s="403" t="s">
        <v>35</v>
      </c>
      <c r="F408" s="404" t="s">
        <v>11167</v>
      </c>
      <c r="G408" s="402" t="s">
        <v>33</v>
      </c>
      <c r="H408" s="390" t="s">
        <v>11172</v>
      </c>
      <c r="I408" s="182" t="s">
        <v>46</v>
      </c>
      <c r="J408" s="303" t="s">
        <v>158</v>
      </c>
      <c r="K408" s="228" t="s">
        <v>37</v>
      </c>
      <c r="L408" s="390" t="s">
        <v>11196</v>
      </c>
      <c r="M408" s="402" t="s">
        <v>29</v>
      </c>
      <c r="N408" s="405" t="s">
        <v>10498</v>
      </c>
      <c r="O408" s="405" t="str">
        <f t="shared" si="14"/>
        <v>L2.02.03.02.07.04</v>
      </c>
      <c r="P408" s="405" t="str">
        <f t="shared" si="16"/>
        <v>L2.02.03.02.07.04.01</v>
      </c>
      <c r="Q408" s="406" t="s">
        <v>10530</v>
      </c>
      <c r="R408" s="407" t="str">
        <f t="shared" si="17"/>
        <v>Nhóm KD MISA AMIS Nhân sự 02</v>
      </c>
      <c r="S408" s="408" t="str">
        <f>P404</f>
        <v>L2.02.03.02.07.00.01</v>
      </c>
      <c r="T408" s="409"/>
      <c r="U408" s="409"/>
      <c r="V408" s="409"/>
      <c r="W408" s="409"/>
      <c r="X408" s="409"/>
      <c r="Y408" s="410" t="s">
        <v>11089</v>
      </c>
      <c r="Z408" s="411" t="s">
        <v>11197</v>
      </c>
      <c r="AA408" s="412"/>
      <c r="AB408" s="413"/>
      <c r="AC408" s="413"/>
      <c r="AD408" s="413"/>
    </row>
    <row r="409" ht="15.75" hidden="1" customHeight="1" outlineLevel="1">
      <c r="A409" s="400" t="s">
        <v>10833</v>
      </c>
      <c r="B409" s="401" t="s">
        <v>77</v>
      </c>
      <c r="C409" s="401" t="s">
        <v>33</v>
      </c>
      <c r="D409" s="402" t="s">
        <v>89</v>
      </c>
      <c r="E409" s="403" t="s">
        <v>35</v>
      </c>
      <c r="F409" s="404" t="s">
        <v>11167</v>
      </c>
      <c r="G409" s="402" t="s">
        <v>33</v>
      </c>
      <c r="H409" s="390" t="s">
        <v>11172</v>
      </c>
      <c r="I409" s="182" t="s">
        <v>46</v>
      </c>
      <c r="J409" s="303" t="s">
        <v>158</v>
      </c>
      <c r="K409" s="228" t="s">
        <v>42</v>
      </c>
      <c r="L409" s="390" t="s">
        <v>11198</v>
      </c>
      <c r="M409" s="402" t="s">
        <v>29</v>
      </c>
      <c r="N409" s="405" t="s">
        <v>10498</v>
      </c>
      <c r="O409" s="405" t="str">
        <f t="shared" si="14"/>
        <v>L2.02.03.02.07.05</v>
      </c>
      <c r="P409" s="405" t="str">
        <f t="shared" si="16"/>
        <v>L2.02.03.02.07.05.01</v>
      </c>
      <c r="Q409" s="406" t="s">
        <v>10530</v>
      </c>
      <c r="R409" s="407" t="str">
        <f t="shared" si="17"/>
        <v>Nhóm KD MISA AMIS Bán hàng 02</v>
      </c>
      <c r="S409" s="408" t="str">
        <f>P404</f>
        <v>L2.02.03.02.07.00.01</v>
      </c>
      <c r="T409" s="409"/>
      <c r="U409" s="409"/>
      <c r="V409" s="409"/>
      <c r="W409" s="409"/>
      <c r="X409" s="409"/>
      <c r="Y409" s="410" t="s">
        <v>11089</v>
      </c>
      <c r="Z409" s="411" t="s">
        <v>11199</v>
      </c>
      <c r="AA409" s="412"/>
      <c r="AB409" s="413"/>
      <c r="AC409" s="413"/>
      <c r="AD409" s="413"/>
    </row>
    <row r="410" ht="15.75" hidden="1" customHeight="1" outlineLevel="1">
      <c r="A410" s="228" t="s">
        <v>10833</v>
      </c>
      <c r="B410" s="270" t="s">
        <v>77</v>
      </c>
      <c r="C410" s="270" t="s">
        <v>33</v>
      </c>
      <c r="D410" s="209" t="s">
        <v>89</v>
      </c>
      <c r="E410" s="271" t="s">
        <v>35</v>
      </c>
      <c r="F410" s="182" t="s">
        <v>11167</v>
      </c>
      <c r="G410" s="209" t="s">
        <v>33</v>
      </c>
      <c r="H410" s="212" t="s">
        <v>11172</v>
      </c>
      <c r="I410" s="182" t="s">
        <v>49</v>
      </c>
      <c r="J410" s="303" t="s">
        <v>11200</v>
      </c>
      <c r="K410" s="182" t="s">
        <v>27</v>
      </c>
      <c r="L410" s="209" t="s">
        <v>4</v>
      </c>
      <c r="M410" s="209" t="s">
        <v>29</v>
      </c>
      <c r="N410" s="181" t="s">
        <v>10498</v>
      </c>
      <c r="O410" s="58" t="str">
        <f t="shared" si="14"/>
        <v>L2.02.03.02.08.00</v>
      </c>
      <c r="P410" s="272" t="str">
        <f t="shared" si="16"/>
        <v>L2.02.03.02.08.00.01</v>
      </c>
      <c r="Q410" s="185" t="s">
        <v>10530</v>
      </c>
      <c r="R410" s="273" t="str">
        <f t="shared" si="17"/>
        <v>Phòng KD Bán mới 03</v>
      </c>
      <c r="S410" s="274" t="s">
        <v>11175</v>
      </c>
      <c r="T410" s="183"/>
      <c r="U410" s="183"/>
      <c r="V410" s="183"/>
      <c r="W410" s="183"/>
      <c r="X410" s="183"/>
      <c r="Y410" s="184" t="s">
        <v>11089</v>
      </c>
      <c r="Z410" s="275" t="s">
        <v>11201</v>
      </c>
      <c r="AA410" s="276"/>
      <c r="AB410" s="277"/>
      <c r="AC410" s="277"/>
      <c r="AD410" s="277"/>
    </row>
    <row r="411" ht="15.75" hidden="1" customHeight="1" outlineLevel="1">
      <c r="A411" s="228" t="s">
        <v>10833</v>
      </c>
      <c r="B411" s="270" t="s">
        <v>77</v>
      </c>
      <c r="C411" s="270" t="s">
        <v>33</v>
      </c>
      <c r="D411" s="209" t="s">
        <v>89</v>
      </c>
      <c r="E411" s="271" t="s">
        <v>35</v>
      </c>
      <c r="F411" s="182" t="s">
        <v>11167</v>
      </c>
      <c r="G411" s="209" t="s">
        <v>33</v>
      </c>
      <c r="H411" s="212" t="s">
        <v>11172</v>
      </c>
      <c r="I411" s="182" t="s">
        <v>49</v>
      </c>
      <c r="J411" s="303" t="s">
        <v>11200</v>
      </c>
      <c r="K411" s="182" t="s">
        <v>29</v>
      </c>
      <c r="L411" s="303" t="s">
        <v>11202</v>
      </c>
      <c r="M411" s="209" t="s">
        <v>29</v>
      </c>
      <c r="N411" s="181" t="s">
        <v>10498</v>
      </c>
      <c r="O411" s="58" t="str">
        <f t="shared" si="14"/>
        <v>L2.02.03.02.08.01</v>
      </c>
      <c r="P411" s="272" t="str">
        <f t="shared" si="16"/>
        <v>L2.02.03.02.08.01.01</v>
      </c>
      <c r="Q411" s="185" t="s">
        <v>10530</v>
      </c>
      <c r="R411" s="273" t="str">
        <f t="shared" si="17"/>
        <v>Nhóm Quản lý 03</v>
      </c>
      <c r="S411" s="274" t="str">
        <f>P410</f>
        <v>L2.02.03.02.08.00.01</v>
      </c>
      <c r="T411" s="183"/>
      <c r="U411" s="183"/>
      <c r="V411" s="183"/>
      <c r="W411" s="183"/>
      <c r="X411" s="183"/>
      <c r="Y411" s="184" t="s">
        <v>11089</v>
      </c>
      <c r="Z411" s="275" t="s">
        <v>11203</v>
      </c>
      <c r="AA411" s="276"/>
      <c r="AB411" s="277"/>
      <c r="AC411" s="277"/>
      <c r="AD411" s="277"/>
    </row>
    <row r="412" ht="15.75" hidden="1" customHeight="1" outlineLevel="1">
      <c r="A412" s="228" t="s">
        <v>10833</v>
      </c>
      <c r="B412" s="270" t="s">
        <v>77</v>
      </c>
      <c r="C412" s="270" t="s">
        <v>33</v>
      </c>
      <c r="D412" s="209" t="s">
        <v>89</v>
      </c>
      <c r="E412" s="271" t="s">
        <v>35</v>
      </c>
      <c r="F412" s="182" t="s">
        <v>11167</v>
      </c>
      <c r="G412" s="209" t="s">
        <v>33</v>
      </c>
      <c r="H412" s="212" t="s">
        <v>11172</v>
      </c>
      <c r="I412" s="182" t="s">
        <v>49</v>
      </c>
      <c r="J412" s="303" t="s">
        <v>11200</v>
      </c>
      <c r="K412" s="228" t="s">
        <v>33</v>
      </c>
      <c r="L412" s="303" t="s">
        <v>11204</v>
      </c>
      <c r="M412" s="209" t="s">
        <v>29</v>
      </c>
      <c r="N412" s="181" t="s">
        <v>10498</v>
      </c>
      <c r="O412" s="58" t="str">
        <f t="shared" si="14"/>
        <v>L2.02.03.02.08.02</v>
      </c>
      <c r="P412" s="272" t="str">
        <f t="shared" si="16"/>
        <v>L2.02.03.02.08.02.01</v>
      </c>
      <c r="Q412" s="185" t="s">
        <v>10530</v>
      </c>
      <c r="R412" s="273" t="str">
        <f t="shared" si="17"/>
        <v>Nhóm KD MISA AMIS Kế toán 03</v>
      </c>
      <c r="S412" s="274" t="str">
        <f>P410</f>
        <v>L2.02.03.02.08.00.01</v>
      </c>
      <c r="T412" s="183"/>
      <c r="U412" s="183"/>
      <c r="V412" s="183"/>
      <c r="W412" s="183"/>
      <c r="X412" s="183"/>
      <c r="Y412" s="184" t="s">
        <v>11089</v>
      </c>
      <c r="Z412" s="275" t="s">
        <v>11205</v>
      </c>
      <c r="AA412" s="276"/>
      <c r="AB412" s="277"/>
      <c r="AC412" s="277"/>
      <c r="AD412" s="277"/>
    </row>
    <row r="413" ht="15.75" hidden="1" customHeight="1" outlineLevel="1">
      <c r="A413" s="228" t="s">
        <v>10833</v>
      </c>
      <c r="B413" s="270" t="s">
        <v>77</v>
      </c>
      <c r="C413" s="270" t="s">
        <v>33</v>
      </c>
      <c r="D413" s="209" t="s">
        <v>89</v>
      </c>
      <c r="E413" s="271" t="s">
        <v>35</v>
      </c>
      <c r="F413" s="182" t="s">
        <v>11167</v>
      </c>
      <c r="G413" s="209" t="s">
        <v>33</v>
      </c>
      <c r="H413" s="212" t="s">
        <v>11172</v>
      </c>
      <c r="I413" s="182" t="s">
        <v>49</v>
      </c>
      <c r="J413" s="303" t="s">
        <v>11200</v>
      </c>
      <c r="K413" s="228" t="s">
        <v>35</v>
      </c>
      <c r="L413" s="303" t="s">
        <v>11206</v>
      </c>
      <c r="M413" s="209" t="s">
        <v>29</v>
      </c>
      <c r="N413" s="181" t="s">
        <v>10498</v>
      </c>
      <c r="O413" s="58" t="str">
        <f t="shared" si="14"/>
        <v>L2.02.03.02.08.03</v>
      </c>
      <c r="P413" s="272" t="str">
        <f t="shared" si="16"/>
        <v>L2.02.03.02.08.03.01</v>
      </c>
      <c r="Q413" s="185" t="s">
        <v>10530</v>
      </c>
      <c r="R413" s="273" t="str">
        <f t="shared" si="17"/>
        <v>Nhóm KD MISA AMIS Điều hành 03</v>
      </c>
      <c r="S413" s="274" t="str">
        <f>P410</f>
        <v>L2.02.03.02.08.00.01</v>
      </c>
      <c r="T413" s="183"/>
      <c r="U413" s="183"/>
      <c r="V413" s="183"/>
      <c r="W413" s="183"/>
      <c r="X413" s="183"/>
      <c r="Y413" s="184" t="s">
        <v>11089</v>
      </c>
      <c r="Z413" s="275" t="s">
        <v>11207</v>
      </c>
      <c r="AA413" s="276"/>
      <c r="AB413" s="277"/>
      <c r="AC413" s="277"/>
      <c r="AD413" s="277"/>
    </row>
    <row r="414" ht="15.75" hidden="1" customHeight="1" outlineLevel="1">
      <c r="A414" s="400" t="s">
        <v>10833</v>
      </c>
      <c r="B414" s="401" t="s">
        <v>77</v>
      </c>
      <c r="C414" s="401" t="s">
        <v>33</v>
      </c>
      <c r="D414" s="402" t="s">
        <v>89</v>
      </c>
      <c r="E414" s="403" t="s">
        <v>35</v>
      </c>
      <c r="F414" s="404" t="s">
        <v>11167</v>
      </c>
      <c r="G414" s="402" t="s">
        <v>33</v>
      </c>
      <c r="H414" s="390" t="s">
        <v>11172</v>
      </c>
      <c r="I414" s="182" t="s">
        <v>49</v>
      </c>
      <c r="J414" s="303" t="s">
        <v>11200</v>
      </c>
      <c r="K414" s="228" t="s">
        <v>37</v>
      </c>
      <c r="L414" s="390" t="s">
        <v>11208</v>
      </c>
      <c r="M414" s="402" t="s">
        <v>29</v>
      </c>
      <c r="N414" s="405" t="s">
        <v>10498</v>
      </c>
      <c r="O414" s="405" t="str">
        <f t="shared" si="14"/>
        <v>L2.02.03.02.08.04</v>
      </c>
      <c r="P414" s="405" t="str">
        <f t="shared" si="16"/>
        <v>L2.02.03.02.08.04.01</v>
      </c>
      <c r="Q414" s="406" t="s">
        <v>10530</v>
      </c>
      <c r="R414" s="407" t="str">
        <f t="shared" si="17"/>
        <v>Nhóm KD MISA AMIS Nhân sự 03</v>
      </c>
      <c r="S414" s="408" t="str">
        <f>P410</f>
        <v>L2.02.03.02.08.00.01</v>
      </c>
      <c r="T414" s="409"/>
      <c r="U414" s="409"/>
      <c r="V414" s="409"/>
      <c r="W414" s="409"/>
      <c r="X414" s="409"/>
      <c r="Y414" s="410" t="s">
        <v>11089</v>
      </c>
      <c r="Z414" s="411" t="s">
        <v>11209</v>
      </c>
      <c r="AA414" s="412"/>
      <c r="AB414" s="413"/>
      <c r="AC414" s="413"/>
      <c r="AD414" s="413"/>
    </row>
    <row r="415" ht="15.75" hidden="1" customHeight="1" outlineLevel="1">
      <c r="A415" s="400" t="s">
        <v>10833</v>
      </c>
      <c r="B415" s="401" t="s">
        <v>77</v>
      </c>
      <c r="C415" s="401" t="s">
        <v>33</v>
      </c>
      <c r="D415" s="402" t="s">
        <v>89</v>
      </c>
      <c r="E415" s="403" t="s">
        <v>35</v>
      </c>
      <c r="F415" s="404" t="s">
        <v>11167</v>
      </c>
      <c r="G415" s="402" t="s">
        <v>33</v>
      </c>
      <c r="H415" s="390" t="s">
        <v>11172</v>
      </c>
      <c r="I415" s="182" t="s">
        <v>49</v>
      </c>
      <c r="J415" s="303" t="s">
        <v>11200</v>
      </c>
      <c r="K415" s="228" t="s">
        <v>42</v>
      </c>
      <c r="L415" s="390" t="s">
        <v>11210</v>
      </c>
      <c r="M415" s="402" t="s">
        <v>29</v>
      </c>
      <c r="N415" s="405" t="s">
        <v>10498</v>
      </c>
      <c r="O415" s="405" t="str">
        <f t="shared" si="14"/>
        <v>L2.02.03.02.08.05</v>
      </c>
      <c r="P415" s="405" t="str">
        <f t="shared" si="16"/>
        <v>L2.02.03.02.08.05.01</v>
      </c>
      <c r="Q415" s="406" t="s">
        <v>10530</v>
      </c>
      <c r="R415" s="407" t="str">
        <f t="shared" si="17"/>
        <v>Nhóm KD MISA AMIS Bán hàng 03</v>
      </c>
      <c r="S415" s="408" t="str">
        <f>P410</f>
        <v>L2.02.03.02.08.00.01</v>
      </c>
      <c r="T415" s="409"/>
      <c r="U415" s="409"/>
      <c r="V415" s="409"/>
      <c r="W415" s="409"/>
      <c r="X415" s="409"/>
      <c r="Y415" s="410" t="s">
        <v>11089</v>
      </c>
      <c r="Z415" s="411" t="s">
        <v>11211</v>
      </c>
      <c r="AA415" s="412"/>
      <c r="AB415" s="413"/>
      <c r="AC415" s="413"/>
      <c r="AD415" s="413"/>
    </row>
    <row r="416" ht="15.75" hidden="1" customHeight="1" outlineLevel="1">
      <c r="A416" s="228" t="s">
        <v>10833</v>
      </c>
      <c r="B416" s="270" t="s">
        <v>77</v>
      </c>
      <c r="C416" s="270" t="s">
        <v>33</v>
      </c>
      <c r="D416" s="209" t="s">
        <v>89</v>
      </c>
      <c r="E416" s="271" t="s">
        <v>35</v>
      </c>
      <c r="F416" s="182" t="s">
        <v>11167</v>
      </c>
      <c r="G416" s="209" t="s">
        <v>33</v>
      </c>
      <c r="H416" s="212" t="s">
        <v>11172</v>
      </c>
      <c r="I416" s="182" t="s">
        <v>51</v>
      </c>
      <c r="J416" s="303" t="s">
        <v>11212</v>
      </c>
      <c r="K416" s="182" t="s">
        <v>27</v>
      </c>
      <c r="L416" s="209" t="s">
        <v>4</v>
      </c>
      <c r="M416" s="209" t="s">
        <v>29</v>
      </c>
      <c r="N416" s="181" t="s">
        <v>10498</v>
      </c>
      <c r="O416" s="58" t="str">
        <f t="shared" si="14"/>
        <v>L2.02.03.02.09.00</v>
      </c>
      <c r="P416" s="272" t="str">
        <f t="shared" si="16"/>
        <v>L2.02.03.02.09.00.01</v>
      </c>
      <c r="Q416" s="185" t="s">
        <v>10530</v>
      </c>
      <c r="R416" s="273" t="str">
        <f t="shared" si="17"/>
        <v>Phòng KD Bán mới 04</v>
      </c>
      <c r="S416" s="274" t="s">
        <v>11175</v>
      </c>
      <c r="T416" s="183"/>
      <c r="U416" s="183"/>
      <c r="V416" s="183"/>
      <c r="W416" s="183"/>
      <c r="X416" s="183"/>
      <c r="Y416" s="184" t="s">
        <v>11089</v>
      </c>
      <c r="Z416" s="275" t="s">
        <v>11213</v>
      </c>
      <c r="AA416" s="276"/>
      <c r="AB416" s="277"/>
      <c r="AC416" s="277"/>
      <c r="AD416" s="277"/>
    </row>
    <row r="417" ht="15.75" hidden="1" customHeight="1" outlineLevel="1">
      <c r="A417" s="228" t="s">
        <v>10833</v>
      </c>
      <c r="B417" s="270" t="s">
        <v>77</v>
      </c>
      <c r="C417" s="270" t="s">
        <v>33</v>
      </c>
      <c r="D417" s="209" t="s">
        <v>89</v>
      </c>
      <c r="E417" s="271" t="s">
        <v>35</v>
      </c>
      <c r="F417" s="182" t="s">
        <v>11167</v>
      </c>
      <c r="G417" s="209" t="s">
        <v>33</v>
      </c>
      <c r="H417" s="212" t="s">
        <v>11172</v>
      </c>
      <c r="I417" s="182" t="s">
        <v>51</v>
      </c>
      <c r="J417" s="303" t="s">
        <v>11212</v>
      </c>
      <c r="K417" s="182" t="s">
        <v>29</v>
      </c>
      <c r="L417" s="303" t="s">
        <v>11214</v>
      </c>
      <c r="M417" s="209" t="s">
        <v>29</v>
      </c>
      <c r="N417" s="181" t="s">
        <v>10498</v>
      </c>
      <c r="O417" s="58" t="str">
        <f t="shared" si="14"/>
        <v>L2.02.03.02.09.01</v>
      </c>
      <c r="P417" s="272" t="str">
        <f t="shared" si="16"/>
        <v>L2.02.03.02.09.01.01</v>
      </c>
      <c r="Q417" s="185" t="s">
        <v>10530</v>
      </c>
      <c r="R417" s="273" t="str">
        <f t="shared" si="17"/>
        <v>Nhóm Quản lý 04</v>
      </c>
      <c r="S417" s="274" t="str">
        <f>P416</f>
        <v>L2.02.03.02.09.00.01</v>
      </c>
      <c r="T417" s="183"/>
      <c r="U417" s="183"/>
      <c r="V417" s="183"/>
      <c r="W417" s="183"/>
      <c r="X417" s="183"/>
      <c r="Y417" s="184" t="s">
        <v>11089</v>
      </c>
      <c r="Z417" s="275" t="s">
        <v>11215</v>
      </c>
      <c r="AA417" s="276"/>
      <c r="AB417" s="277"/>
      <c r="AC417" s="277"/>
      <c r="AD417" s="277"/>
    </row>
    <row r="418" ht="15.75" hidden="1" customHeight="1" outlineLevel="1">
      <c r="A418" s="228" t="s">
        <v>10833</v>
      </c>
      <c r="B418" s="270" t="s">
        <v>77</v>
      </c>
      <c r="C418" s="270" t="s">
        <v>33</v>
      </c>
      <c r="D418" s="209" t="s">
        <v>89</v>
      </c>
      <c r="E418" s="271" t="s">
        <v>35</v>
      </c>
      <c r="F418" s="182" t="s">
        <v>11167</v>
      </c>
      <c r="G418" s="209" t="s">
        <v>33</v>
      </c>
      <c r="H418" s="212" t="s">
        <v>11172</v>
      </c>
      <c r="I418" s="182" t="s">
        <v>51</v>
      </c>
      <c r="J418" s="303" t="s">
        <v>11212</v>
      </c>
      <c r="K418" s="228" t="s">
        <v>33</v>
      </c>
      <c r="L418" s="303" t="s">
        <v>11216</v>
      </c>
      <c r="M418" s="209" t="s">
        <v>29</v>
      </c>
      <c r="N418" s="181" t="s">
        <v>10498</v>
      </c>
      <c r="O418" s="58" t="str">
        <f t="shared" si="14"/>
        <v>L2.02.03.02.09.02</v>
      </c>
      <c r="P418" s="272" t="str">
        <f t="shared" si="16"/>
        <v>L2.02.03.02.09.02.01</v>
      </c>
      <c r="Q418" s="185" t="s">
        <v>10530</v>
      </c>
      <c r="R418" s="273" t="str">
        <f t="shared" si="17"/>
        <v>Nhóm KD MISA AMIS Kế toán 04</v>
      </c>
      <c r="S418" s="274" t="str">
        <f>P416</f>
        <v>L2.02.03.02.09.00.01</v>
      </c>
      <c r="T418" s="183"/>
      <c r="U418" s="183"/>
      <c r="V418" s="183"/>
      <c r="W418" s="183"/>
      <c r="X418" s="183"/>
      <c r="Y418" s="184" t="s">
        <v>11089</v>
      </c>
      <c r="Z418" s="275" t="s">
        <v>11217</v>
      </c>
      <c r="AA418" s="276"/>
      <c r="AB418" s="277"/>
      <c r="AC418" s="277"/>
      <c r="AD418" s="277"/>
    </row>
    <row r="419" ht="15.75" hidden="1" customHeight="1" outlineLevel="1">
      <c r="A419" s="228" t="s">
        <v>10833</v>
      </c>
      <c r="B419" s="270" t="s">
        <v>77</v>
      </c>
      <c r="C419" s="270" t="s">
        <v>33</v>
      </c>
      <c r="D419" s="209" t="s">
        <v>89</v>
      </c>
      <c r="E419" s="271" t="s">
        <v>35</v>
      </c>
      <c r="F419" s="182" t="s">
        <v>11167</v>
      </c>
      <c r="G419" s="209" t="s">
        <v>33</v>
      </c>
      <c r="H419" s="212" t="s">
        <v>11172</v>
      </c>
      <c r="I419" s="182" t="s">
        <v>51</v>
      </c>
      <c r="J419" s="303" t="s">
        <v>11212</v>
      </c>
      <c r="K419" s="228" t="s">
        <v>35</v>
      </c>
      <c r="L419" s="303" t="s">
        <v>11218</v>
      </c>
      <c r="M419" s="209" t="s">
        <v>29</v>
      </c>
      <c r="N419" s="181" t="s">
        <v>10498</v>
      </c>
      <c r="O419" s="58" t="str">
        <f t="shared" si="14"/>
        <v>L2.02.03.02.09.03</v>
      </c>
      <c r="P419" s="272" t="str">
        <f t="shared" si="16"/>
        <v>L2.02.03.02.09.03.01</v>
      </c>
      <c r="Q419" s="185" t="s">
        <v>10530</v>
      </c>
      <c r="R419" s="273" t="str">
        <f t="shared" si="17"/>
        <v>Nhóm KD MISA AMIS Điều hành 04</v>
      </c>
      <c r="S419" s="274" t="str">
        <f>P416</f>
        <v>L2.02.03.02.09.00.01</v>
      </c>
      <c r="T419" s="183"/>
      <c r="U419" s="183"/>
      <c r="V419" s="183"/>
      <c r="W419" s="183"/>
      <c r="X419" s="183"/>
      <c r="Y419" s="184" t="s">
        <v>11089</v>
      </c>
      <c r="Z419" s="275" t="s">
        <v>11219</v>
      </c>
      <c r="AA419" s="276"/>
      <c r="AB419" s="277"/>
      <c r="AC419" s="277"/>
      <c r="AD419" s="277"/>
    </row>
    <row r="420" ht="15.75" hidden="1" customHeight="1" outlineLevel="1">
      <c r="A420" s="400" t="s">
        <v>10833</v>
      </c>
      <c r="B420" s="401" t="s">
        <v>77</v>
      </c>
      <c r="C420" s="401" t="s">
        <v>33</v>
      </c>
      <c r="D420" s="402" t="s">
        <v>89</v>
      </c>
      <c r="E420" s="403" t="s">
        <v>35</v>
      </c>
      <c r="F420" s="404" t="s">
        <v>11167</v>
      </c>
      <c r="G420" s="402" t="s">
        <v>33</v>
      </c>
      <c r="H420" s="390" t="s">
        <v>11172</v>
      </c>
      <c r="I420" s="182" t="s">
        <v>51</v>
      </c>
      <c r="J420" s="303" t="s">
        <v>11212</v>
      </c>
      <c r="K420" s="228" t="s">
        <v>37</v>
      </c>
      <c r="L420" s="390" t="s">
        <v>11220</v>
      </c>
      <c r="M420" s="402" t="s">
        <v>29</v>
      </c>
      <c r="N420" s="405" t="s">
        <v>10498</v>
      </c>
      <c r="O420" s="405" t="str">
        <f t="shared" si="14"/>
        <v>L2.02.03.02.09.04</v>
      </c>
      <c r="P420" s="405" t="str">
        <f t="shared" si="16"/>
        <v>L2.02.03.02.09.04.01</v>
      </c>
      <c r="Q420" s="406" t="s">
        <v>10530</v>
      </c>
      <c r="R420" s="407" t="str">
        <f t="shared" si="17"/>
        <v>Nhóm KD MISA AMIS Nhân sự 04</v>
      </c>
      <c r="S420" s="408" t="str">
        <f>P416</f>
        <v>L2.02.03.02.09.00.01</v>
      </c>
      <c r="T420" s="409"/>
      <c r="U420" s="409"/>
      <c r="V420" s="409"/>
      <c r="W420" s="409"/>
      <c r="X420" s="409"/>
      <c r="Y420" s="410" t="s">
        <v>11089</v>
      </c>
      <c r="Z420" s="411" t="s">
        <v>11221</v>
      </c>
      <c r="AA420" s="412"/>
      <c r="AB420" s="413"/>
      <c r="AC420" s="413"/>
      <c r="AD420" s="413"/>
    </row>
    <row r="421" ht="15.75" hidden="1" customHeight="1" outlineLevel="1">
      <c r="A421" s="400" t="s">
        <v>10833</v>
      </c>
      <c r="B421" s="401" t="s">
        <v>77</v>
      </c>
      <c r="C421" s="401" t="s">
        <v>33</v>
      </c>
      <c r="D421" s="402" t="s">
        <v>89</v>
      </c>
      <c r="E421" s="403" t="s">
        <v>35</v>
      </c>
      <c r="F421" s="404" t="s">
        <v>11167</v>
      </c>
      <c r="G421" s="402" t="s">
        <v>33</v>
      </c>
      <c r="H421" s="390" t="s">
        <v>11172</v>
      </c>
      <c r="I421" s="182" t="s">
        <v>51</v>
      </c>
      <c r="J421" s="303" t="s">
        <v>11212</v>
      </c>
      <c r="K421" s="228" t="s">
        <v>42</v>
      </c>
      <c r="L421" s="390" t="s">
        <v>11222</v>
      </c>
      <c r="M421" s="402" t="s">
        <v>29</v>
      </c>
      <c r="N421" s="405" t="s">
        <v>10498</v>
      </c>
      <c r="O421" s="405" t="str">
        <f t="shared" si="14"/>
        <v>L2.02.03.02.09.05</v>
      </c>
      <c r="P421" s="405" t="str">
        <f t="shared" si="16"/>
        <v>L2.02.03.02.09.05.01</v>
      </c>
      <c r="Q421" s="406" t="s">
        <v>10530</v>
      </c>
      <c r="R421" s="407" t="str">
        <f t="shared" si="17"/>
        <v>Nhóm KD MISA AMIS Bán hàng 04</v>
      </c>
      <c r="S421" s="408" t="str">
        <f>P416</f>
        <v>L2.02.03.02.09.00.01</v>
      </c>
      <c r="T421" s="409"/>
      <c r="U421" s="409"/>
      <c r="V421" s="409"/>
      <c r="W421" s="409"/>
      <c r="X421" s="409"/>
      <c r="Y421" s="410" t="s">
        <v>11089</v>
      </c>
      <c r="Z421" s="411" t="s">
        <v>11223</v>
      </c>
      <c r="AA421" s="412"/>
      <c r="AB421" s="413"/>
      <c r="AC421" s="413"/>
      <c r="AD421" s="413"/>
    </row>
    <row r="422" ht="15.75" hidden="1" customHeight="1" outlineLevel="1">
      <c r="A422" s="228" t="s">
        <v>10833</v>
      </c>
      <c r="B422" s="270" t="s">
        <v>77</v>
      </c>
      <c r="C422" s="270" t="s">
        <v>33</v>
      </c>
      <c r="D422" s="209" t="s">
        <v>89</v>
      </c>
      <c r="E422" s="271" t="s">
        <v>35</v>
      </c>
      <c r="F422" s="182" t="s">
        <v>11167</v>
      </c>
      <c r="G422" s="209" t="s">
        <v>33</v>
      </c>
      <c r="H422" s="212" t="s">
        <v>11172</v>
      </c>
      <c r="I422" s="182" t="s">
        <v>55</v>
      </c>
      <c r="J422" s="303" t="s">
        <v>11224</v>
      </c>
      <c r="K422" s="182" t="s">
        <v>27</v>
      </c>
      <c r="L422" s="209" t="s">
        <v>4</v>
      </c>
      <c r="M422" s="209" t="s">
        <v>29</v>
      </c>
      <c r="N422" s="181" t="s">
        <v>10498</v>
      </c>
      <c r="O422" s="58" t="str">
        <f t="shared" si="14"/>
        <v>L2.02.03.02.10.00</v>
      </c>
      <c r="P422" s="272" t="str">
        <f t="shared" si="16"/>
        <v>L2.02.03.02.10.00.01</v>
      </c>
      <c r="Q422" s="185" t="s">
        <v>10530</v>
      </c>
      <c r="R422" s="273" t="str">
        <f t="shared" si="17"/>
        <v>Phòng KD Bán mới 05</v>
      </c>
      <c r="S422" s="274" t="s">
        <v>11175</v>
      </c>
      <c r="T422" s="183"/>
      <c r="U422" s="183"/>
      <c r="V422" s="183"/>
      <c r="W422" s="183"/>
      <c r="X422" s="183"/>
      <c r="Y422" s="184" t="s">
        <v>11089</v>
      </c>
      <c r="Z422" s="275" t="s">
        <v>11225</v>
      </c>
      <c r="AA422" s="276"/>
      <c r="AB422" s="277"/>
      <c r="AC422" s="277"/>
      <c r="AD422" s="277"/>
    </row>
    <row r="423" ht="15.75" hidden="1" customHeight="1" outlineLevel="1">
      <c r="A423" s="228" t="s">
        <v>10833</v>
      </c>
      <c r="B423" s="270" t="s">
        <v>77</v>
      </c>
      <c r="C423" s="270" t="s">
        <v>33</v>
      </c>
      <c r="D423" s="209" t="s">
        <v>89</v>
      </c>
      <c r="E423" s="271" t="s">
        <v>35</v>
      </c>
      <c r="F423" s="182" t="s">
        <v>11167</v>
      </c>
      <c r="G423" s="209" t="s">
        <v>33</v>
      </c>
      <c r="H423" s="212" t="s">
        <v>11172</v>
      </c>
      <c r="I423" s="182" t="s">
        <v>55</v>
      </c>
      <c r="J423" s="303" t="s">
        <v>11224</v>
      </c>
      <c r="K423" s="182" t="s">
        <v>29</v>
      </c>
      <c r="L423" s="303" t="s">
        <v>11226</v>
      </c>
      <c r="M423" s="209" t="s">
        <v>29</v>
      </c>
      <c r="N423" s="181" t="s">
        <v>10498</v>
      </c>
      <c r="O423" s="58" t="str">
        <f t="shared" si="14"/>
        <v>L2.02.03.02.10.01</v>
      </c>
      <c r="P423" s="272" t="str">
        <f t="shared" si="16"/>
        <v>L2.02.03.02.10.01.01</v>
      </c>
      <c r="Q423" s="185" t="s">
        <v>10530</v>
      </c>
      <c r="R423" s="273" t="str">
        <f t="shared" si="17"/>
        <v>Nhóm Quản lý 05</v>
      </c>
      <c r="S423" s="274" t="str">
        <f>P422</f>
        <v>L2.02.03.02.10.00.01</v>
      </c>
      <c r="T423" s="183"/>
      <c r="U423" s="183"/>
      <c r="V423" s="183"/>
      <c r="W423" s="183"/>
      <c r="X423" s="183"/>
      <c r="Y423" s="184" t="s">
        <v>11089</v>
      </c>
      <c r="Z423" s="275" t="s">
        <v>11227</v>
      </c>
      <c r="AA423" s="276"/>
      <c r="AB423" s="277"/>
      <c r="AC423" s="277"/>
      <c r="AD423" s="277"/>
    </row>
    <row r="424" ht="15.75" hidden="1" customHeight="1" outlineLevel="1">
      <c r="A424" s="228" t="s">
        <v>10833</v>
      </c>
      <c r="B424" s="270" t="s">
        <v>77</v>
      </c>
      <c r="C424" s="270" t="s">
        <v>33</v>
      </c>
      <c r="D424" s="209" t="s">
        <v>89</v>
      </c>
      <c r="E424" s="271" t="s">
        <v>35</v>
      </c>
      <c r="F424" s="182" t="s">
        <v>11167</v>
      </c>
      <c r="G424" s="209" t="s">
        <v>33</v>
      </c>
      <c r="H424" s="212" t="s">
        <v>11172</v>
      </c>
      <c r="I424" s="182" t="s">
        <v>55</v>
      </c>
      <c r="J424" s="303" t="s">
        <v>11224</v>
      </c>
      <c r="K424" s="228" t="s">
        <v>33</v>
      </c>
      <c r="L424" s="303" t="s">
        <v>11228</v>
      </c>
      <c r="M424" s="209" t="s">
        <v>29</v>
      </c>
      <c r="N424" s="181" t="s">
        <v>10498</v>
      </c>
      <c r="O424" s="58" t="str">
        <f t="shared" si="14"/>
        <v>L2.02.03.02.10.02</v>
      </c>
      <c r="P424" s="272" t="str">
        <f t="shared" si="16"/>
        <v>L2.02.03.02.10.02.01</v>
      </c>
      <c r="Q424" s="185" t="s">
        <v>10530</v>
      </c>
      <c r="R424" s="273" t="str">
        <f t="shared" si="17"/>
        <v>Nhóm KD MISA AMIS Kế toán 05</v>
      </c>
      <c r="S424" s="274" t="str">
        <f>P422</f>
        <v>L2.02.03.02.10.00.01</v>
      </c>
      <c r="T424" s="183"/>
      <c r="U424" s="183"/>
      <c r="V424" s="183"/>
      <c r="W424" s="183"/>
      <c r="X424" s="183"/>
      <c r="Y424" s="184" t="s">
        <v>11089</v>
      </c>
      <c r="Z424" s="275" t="s">
        <v>11229</v>
      </c>
      <c r="AA424" s="276"/>
      <c r="AB424" s="277"/>
      <c r="AC424" s="277"/>
      <c r="AD424" s="277"/>
    </row>
    <row r="425" ht="15.75" hidden="1" customHeight="1" outlineLevel="1">
      <c r="A425" s="228" t="s">
        <v>10833</v>
      </c>
      <c r="B425" s="270" t="s">
        <v>77</v>
      </c>
      <c r="C425" s="270" t="s">
        <v>33</v>
      </c>
      <c r="D425" s="209" t="s">
        <v>89</v>
      </c>
      <c r="E425" s="271" t="s">
        <v>35</v>
      </c>
      <c r="F425" s="182" t="s">
        <v>11167</v>
      </c>
      <c r="G425" s="209" t="s">
        <v>33</v>
      </c>
      <c r="H425" s="212" t="s">
        <v>11172</v>
      </c>
      <c r="I425" s="182" t="s">
        <v>55</v>
      </c>
      <c r="J425" s="303" t="s">
        <v>11224</v>
      </c>
      <c r="K425" s="228" t="s">
        <v>35</v>
      </c>
      <c r="L425" s="303" t="s">
        <v>11230</v>
      </c>
      <c r="M425" s="209" t="s">
        <v>29</v>
      </c>
      <c r="N425" s="181" t="s">
        <v>10498</v>
      </c>
      <c r="O425" s="58" t="str">
        <f t="shared" si="14"/>
        <v>L2.02.03.02.10.03</v>
      </c>
      <c r="P425" s="272" t="str">
        <f t="shared" si="16"/>
        <v>L2.02.03.02.10.03.01</v>
      </c>
      <c r="Q425" s="185" t="s">
        <v>10530</v>
      </c>
      <c r="R425" s="273" t="str">
        <f t="shared" si="17"/>
        <v>Nhóm KD MISA AMIS Điều hành 05</v>
      </c>
      <c r="S425" s="274" t="str">
        <f>P422</f>
        <v>L2.02.03.02.10.00.01</v>
      </c>
      <c r="T425" s="183"/>
      <c r="U425" s="183"/>
      <c r="V425" s="183"/>
      <c r="W425" s="183"/>
      <c r="X425" s="183"/>
      <c r="Y425" s="184" t="s">
        <v>11089</v>
      </c>
      <c r="Z425" s="275" t="s">
        <v>11231</v>
      </c>
      <c r="AA425" s="276"/>
      <c r="AB425" s="277"/>
      <c r="AC425" s="277"/>
      <c r="AD425" s="277"/>
    </row>
    <row r="426" ht="15.75" hidden="1" customHeight="1" outlineLevel="1">
      <c r="A426" s="400" t="s">
        <v>10833</v>
      </c>
      <c r="B426" s="401" t="s">
        <v>77</v>
      </c>
      <c r="C426" s="401" t="s">
        <v>33</v>
      </c>
      <c r="D426" s="402" t="s">
        <v>89</v>
      </c>
      <c r="E426" s="403" t="s">
        <v>35</v>
      </c>
      <c r="F426" s="404" t="s">
        <v>11167</v>
      </c>
      <c r="G426" s="402" t="s">
        <v>33</v>
      </c>
      <c r="H426" s="390" t="s">
        <v>11172</v>
      </c>
      <c r="I426" s="182" t="s">
        <v>55</v>
      </c>
      <c r="J426" s="303" t="s">
        <v>11224</v>
      </c>
      <c r="K426" s="228" t="s">
        <v>37</v>
      </c>
      <c r="L426" s="390" t="s">
        <v>11232</v>
      </c>
      <c r="M426" s="402" t="s">
        <v>29</v>
      </c>
      <c r="N426" s="405" t="s">
        <v>10498</v>
      </c>
      <c r="O426" s="405" t="str">
        <f t="shared" si="14"/>
        <v>L2.02.03.02.10.04</v>
      </c>
      <c r="P426" s="405" t="str">
        <f t="shared" si="16"/>
        <v>L2.02.03.02.10.04.01</v>
      </c>
      <c r="Q426" s="406" t="s">
        <v>10530</v>
      </c>
      <c r="R426" s="407" t="str">
        <f t="shared" si="17"/>
        <v>Nhóm KD MISA AMIS Nhân sự 05</v>
      </c>
      <c r="S426" s="408" t="str">
        <f>P422</f>
        <v>L2.02.03.02.10.00.01</v>
      </c>
      <c r="T426" s="409"/>
      <c r="U426" s="409"/>
      <c r="V426" s="409"/>
      <c r="W426" s="409"/>
      <c r="X426" s="409"/>
      <c r="Y426" s="410" t="s">
        <v>11089</v>
      </c>
      <c r="Z426" s="411" t="s">
        <v>11233</v>
      </c>
      <c r="AA426" s="412"/>
      <c r="AB426" s="413"/>
      <c r="AC426" s="413"/>
      <c r="AD426" s="413"/>
    </row>
    <row r="427" ht="15.75" hidden="1" customHeight="1" outlineLevel="1">
      <c r="A427" s="400" t="s">
        <v>10833</v>
      </c>
      <c r="B427" s="401" t="s">
        <v>77</v>
      </c>
      <c r="C427" s="401" t="s">
        <v>33</v>
      </c>
      <c r="D427" s="402" t="s">
        <v>89</v>
      </c>
      <c r="E427" s="403" t="s">
        <v>35</v>
      </c>
      <c r="F427" s="404" t="s">
        <v>11167</v>
      </c>
      <c r="G427" s="402" t="s">
        <v>33</v>
      </c>
      <c r="H427" s="390" t="s">
        <v>11172</v>
      </c>
      <c r="I427" s="182" t="s">
        <v>55</v>
      </c>
      <c r="J427" s="303" t="s">
        <v>11224</v>
      </c>
      <c r="K427" s="228" t="s">
        <v>42</v>
      </c>
      <c r="L427" s="390" t="s">
        <v>11234</v>
      </c>
      <c r="M427" s="402" t="s">
        <v>29</v>
      </c>
      <c r="N427" s="405" t="s">
        <v>10498</v>
      </c>
      <c r="O427" s="405" t="str">
        <f t="shared" si="14"/>
        <v>L2.02.03.02.10.05</v>
      </c>
      <c r="P427" s="405" t="str">
        <f t="shared" si="16"/>
        <v>L2.02.03.02.10.05.01</v>
      </c>
      <c r="Q427" s="406" t="s">
        <v>10530</v>
      </c>
      <c r="R427" s="407" t="str">
        <f t="shared" si="17"/>
        <v>Nhóm KD MISA AMIS Bán hàng 05</v>
      </c>
      <c r="S427" s="408" t="str">
        <f>P422</f>
        <v>L2.02.03.02.10.00.01</v>
      </c>
      <c r="T427" s="409"/>
      <c r="U427" s="409"/>
      <c r="V427" s="409"/>
      <c r="W427" s="409"/>
      <c r="X427" s="409"/>
      <c r="Y427" s="410" t="s">
        <v>11089</v>
      </c>
      <c r="Z427" s="411" t="s">
        <v>11235</v>
      </c>
      <c r="AA427" s="412"/>
      <c r="AB427" s="413"/>
      <c r="AC427" s="413"/>
      <c r="AD427" s="413"/>
    </row>
    <row r="428" ht="15.75" hidden="1" customHeight="1" outlineLevel="1">
      <c r="A428" s="228" t="s">
        <v>10833</v>
      </c>
      <c r="B428" s="270" t="s">
        <v>77</v>
      </c>
      <c r="C428" s="270" t="s">
        <v>33</v>
      </c>
      <c r="D428" s="209" t="s">
        <v>89</v>
      </c>
      <c r="E428" s="271" t="s">
        <v>35</v>
      </c>
      <c r="F428" s="182" t="s">
        <v>11167</v>
      </c>
      <c r="G428" s="209" t="s">
        <v>33</v>
      </c>
      <c r="H428" s="212" t="s">
        <v>11172</v>
      </c>
      <c r="I428" s="182" t="s">
        <v>61</v>
      </c>
      <c r="J428" s="303" t="s">
        <v>11236</v>
      </c>
      <c r="K428" s="182" t="s">
        <v>27</v>
      </c>
      <c r="L428" s="209" t="s">
        <v>4</v>
      </c>
      <c r="M428" s="209" t="s">
        <v>29</v>
      </c>
      <c r="N428" s="181" t="s">
        <v>10498</v>
      </c>
      <c r="O428" s="58" t="str">
        <f t="shared" si="14"/>
        <v>L2.02.03.02.11.00</v>
      </c>
      <c r="P428" s="272" t="str">
        <f t="shared" si="16"/>
        <v>L2.02.03.02.11.00.01</v>
      </c>
      <c r="Q428" s="185" t="s">
        <v>10530</v>
      </c>
      <c r="R428" s="273" t="str">
        <f t="shared" si="17"/>
        <v>Phòng KD Bán mới 06</v>
      </c>
      <c r="S428" s="274" t="s">
        <v>11175</v>
      </c>
      <c r="T428" s="183"/>
      <c r="U428" s="183"/>
      <c r="V428" s="183"/>
      <c r="W428" s="183"/>
      <c r="X428" s="183"/>
      <c r="Y428" s="184" t="s">
        <v>11089</v>
      </c>
      <c r="Z428" s="275" t="s">
        <v>11237</v>
      </c>
      <c r="AA428" s="276"/>
      <c r="AB428" s="277"/>
      <c r="AC428" s="277"/>
      <c r="AD428" s="277"/>
    </row>
    <row r="429" ht="15.75" hidden="1" customHeight="1" outlineLevel="1">
      <c r="A429" s="228" t="s">
        <v>10833</v>
      </c>
      <c r="B429" s="270" t="s">
        <v>77</v>
      </c>
      <c r="C429" s="270" t="s">
        <v>33</v>
      </c>
      <c r="D429" s="209" t="s">
        <v>89</v>
      </c>
      <c r="E429" s="271" t="s">
        <v>35</v>
      </c>
      <c r="F429" s="182" t="s">
        <v>11167</v>
      </c>
      <c r="G429" s="209" t="s">
        <v>33</v>
      </c>
      <c r="H429" s="212" t="s">
        <v>11172</v>
      </c>
      <c r="I429" s="182" t="s">
        <v>61</v>
      </c>
      <c r="J429" s="303" t="s">
        <v>11236</v>
      </c>
      <c r="K429" s="182" t="s">
        <v>29</v>
      </c>
      <c r="L429" s="303" t="s">
        <v>11238</v>
      </c>
      <c r="M429" s="209" t="s">
        <v>29</v>
      </c>
      <c r="N429" s="181" t="s">
        <v>10498</v>
      </c>
      <c r="O429" s="58" t="str">
        <f t="shared" si="14"/>
        <v>L2.02.03.02.11.01</v>
      </c>
      <c r="P429" s="272" t="str">
        <f t="shared" si="16"/>
        <v>L2.02.03.02.11.01.01</v>
      </c>
      <c r="Q429" s="185" t="s">
        <v>10530</v>
      </c>
      <c r="R429" s="273" t="str">
        <f t="shared" si="17"/>
        <v>Nhóm Quản lý 06</v>
      </c>
      <c r="S429" s="274" t="str">
        <f>P428</f>
        <v>L2.02.03.02.11.00.01</v>
      </c>
      <c r="T429" s="183"/>
      <c r="U429" s="183"/>
      <c r="V429" s="183"/>
      <c r="W429" s="183"/>
      <c r="X429" s="183"/>
      <c r="Y429" s="184" t="s">
        <v>11089</v>
      </c>
      <c r="Z429" s="275" t="s">
        <v>11239</v>
      </c>
      <c r="AA429" s="276"/>
      <c r="AB429" s="277"/>
      <c r="AC429" s="277"/>
      <c r="AD429" s="277"/>
    </row>
    <row r="430" ht="15.75" hidden="1" customHeight="1" outlineLevel="1">
      <c r="A430" s="228" t="s">
        <v>10833</v>
      </c>
      <c r="B430" s="270" t="s">
        <v>77</v>
      </c>
      <c r="C430" s="270" t="s">
        <v>33</v>
      </c>
      <c r="D430" s="209" t="s">
        <v>89</v>
      </c>
      <c r="E430" s="271" t="s">
        <v>35</v>
      </c>
      <c r="F430" s="182" t="s">
        <v>11167</v>
      </c>
      <c r="G430" s="209" t="s">
        <v>33</v>
      </c>
      <c r="H430" s="212" t="s">
        <v>11172</v>
      </c>
      <c r="I430" s="182" t="s">
        <v>61</v>
      </c>
      <c r="J430" s="303" t="s">
        <v>11236</v>
      </c>
      <c r="K430" s="228" t="s">
        <v>33</v>
      </c>
      <c r="L430" s="303" t="s">
        <v>11240</v>
      </c>
      <c r="M430" s="209" t="s">
        <v>29</v>
      </c>
      <c r="N430" s="181" t="s">
        <v>10498</v>
      </c>
      <c r="O430" s="58" t="str">
        <f t="shared" si="14"/>
        <v>L2.02.03.02.11.02</v>
      </c>
      <c r="P430" s="272" t="str">
        <f t="shared" si="16"/>
        <v>L2.02.03.02.11.02.01</v>
      </c>
      <c r="Q430" s="185" t="s">
        <v>10530</v>
      </c>
      <c r="R430" s="273" t="str">
        <f t="shared" si="17"/>
        <v>Nhóm KD MISA AMIS Kế toán 06</v>
      </c>
      <c r="S430" s="274" t="str">
        <f>P428</f>
        <v>L2.02.03.02.11.00.01</v>
      </c>
      <c r="T430" s="183"/>
      <c r="U430" s="183"/>
      <c r="V430" s="183"/>
      <c r="W430" s="183"/>
      <c r="X430" s="183"/>
      <c r="Y430" s="184" t="s">
        <v>11089</v>
      </c>
      <c r="Z430" s="275" t="s">
        <v>11241</v>
      </c>
      <c r="AA430" s="276"/>
      <c r="AB430" s="277"/>
      <c r="AC430" s="277"/>
      <c r="AD430" s="277"/>
    </row>
    <row r="431" ht="15.75" hidden="1" customHeight="1" outlineLevel="1">
      <c r="A431" s="228" t="s">
        <v>10833</v>
      </c>
      <c r="B431" s="270" t="s">
        <v>77</v>
      </c>
      <c r="C431" s="270" t="s">
        <v>33</v>
      </c>
      <c r="D431" s="209" t="s">
        <v>89</v>
      </c>
      <c r="E431" s="271" t="s">
        <v>35</v>
      </c>
      <c r="F431" s="182" t="s">
        <v>11167</v>
      </c>
      <c r="G431" s="209" t="s">
        <v>33</v>
      </c>
      <c r="H431" s="212" t="s">
        <v>11172</v>
      </c>
      <c r="I431" s="182" t="s">
        <v>61</v>
      </c>
      <c r="J431" s="303" t="s">
        <v>11236</v>
      </c>
      <c r="K431" s="228" t="s">
        <v>35</v>
      </c>
      <c r="L431" s="303" t="s">
        <v>11242</v>
      </c>
      <c r="M431" s="209" t="s">
        <v>29</v>
      </c>
      <c r="N431" s="181" t="s">
        <v>10498</v>
      </c>
      <c r="O431" s="58" t="str">
        <f t="shared" si="14"/>
        <v>L2.02.03.02.11.03</v>
      </c>
      <c r="P431" s="272" t="str">
        <f t="shared" si="16"/>
        <v>L2.02.03.02.11.03.01</v>
      </c>
      <c r="Q431" s="185" t="s">
        <v>10530</v>
      </c>
      <c r="R431" s="273" t="str">
        <f t="shared" si="17"/>
        <v>Nhóm KD MISA AMIS Điều hành 06</v>
      </c>
      <c r="S431" s="274" t="str">
        <f>P428</f>
        <v>L2.02.03.02.11.00.01</v>
      </c>
      <c r="T431" s="183"/>
      <c r="U431" s="183"/>
      <c r="V431" s="183"/>
      <c r="W431" s="183"/>
      <c r="X431" s="183"/>
      <c r="Y431" s="184" t="s">
        <v>11089</v>
      </c>
      <c r="Z431" s="275" t="s">
        <v>11243</v>
      </c>
      <c r="AA431" s="276"/>
      <c r="AB431" s="277"/>
      <c r="AC431" s="277"/>
      <c r="AD431" s="277"/>
    </row>
    <row r="432" ht="15.75" hidden="1" customHeight="1" outlineLevel="1">
      <c r="A432" s="400" t="s">
        <v>10833</v>
      </c>
      <c r="B432" s="401" t="s">
        <v>77</v>
      </c>
      <c r="C432" s="401" t="s">
        <v>33</v>
      </c>
      <c r="D432" s="402" t="s">
        <v>89</v>
      </c>
      <c r="E432" s="403" t="s">
        <v>35</v>
      </c>
      <c r="F432" s="404" t="s">
        <v>11167</v>
      </c>
      <c r="G432" s="402" t="s">
        <v>33</v>
      </c>
      <c r="H432" s="390" t="s">
        <v>11172</v>
      </c>
      <c r="I432" s="182" t="s">
        <v>61</v>
      </c>
      <c r="J432" s="303" t="s">
        <v>11236</v>
      </c>
      <c r="K432" s="228" t="s">
        <v>37</v>
      </c>
      <c r="L432" s="390" t="s">
        <v>11244</v>
      </c>
      <c r="M432" s="402" t="s">
        <v>29</v>
      </c>
      <c r="N432" s="405" t="s">
        <v>10498</v>
      </c>
      <c r="O432" s="405" t="str">
        <f t="shared" si="14"/>
        <v>L2.02.03.02.11.04</v>
      </c>
      <c r="P432" s="405" t="str">
        <f t="shared" si="16"/>
        <v>L2.02.03.02.11.04.01</v>
      </c>
      <c r="Q432" s="406" t="s">
        <v>10530</v>
      </c>
      <c r="R432" s="407" t="str">
        <f t="shared" si="17"/>
        <v>Nhóm KD MISA AMIS Nhân sự 06</v>
      </c>
      <c r="S432" s="408" t="str">
        <f>P428</f>
        <v>L2.02.03.02.11.00.01</v>
      </c>
      <c r="T432" s="409"/>
      <c r="U432" s="409"/>
      <c r="V432" s="409"/>
      <c r="W432" s="409"/>
      <c r="X432" s="409"/>
      <c r="Y432" s="410" t="s">
        <v>11089</v>
      </c>
      <c r="Z432" s="411" t="s">
        <v>11245</v>
      </c>
      <c r="AA432" s="412"/>
      <c r="AB432" s="413"/>
      <c r="AC432" s="413"/>
      <c r="AD432" s="413"/>
    </row>
    <row r="433" ht="15.75" hidden="1" customHeight="1" outlineLevel="1">
      <c r="A433" s="400" t="s">
        <v>10833</v>
      </c>
      <c r="B433" s="401" t="s">
        <v>77</v>
      </c>
      <c r="C433" s="401" t="s">
        <v>33</v>
      </c>
      <c r="D433" s="402" t="s">
        <v>89</v>
      </c>
      <c r="E433" s="403" t="s">
        <v>35</v>
      </c>
      <c r="F433" s="404" t="s">
        <v>11167</v>
      </c>
      <c r="G433" s="402" t="s">
        <v>33</v>
      </c>
      <c r="H433" s="390" t="s">
        <v>11172</v>
      </c>
      <c r="I433" s="182" t="s">
        <v>61</v>
      </c>
      <c r="J433" s="303" t="s">
        <v>11236</v>
      </c>
      <c r="K433" s="228" t="s">
        <v>42</v>
      </c>
      <c r="L433" s="390" t="s">
        <v>11246</v>
      </c>
      <c r="M433" s="402" t="s">
        <v>29</v>
      </c>
      <c r="N433" s="405" t="s">
        <v>10498</v>
      </c>
      <c r="O433" s="405" t="str">
        <f t="shared" si="14"/>
        <v>L2.02.03.02.11.05</v>
      </c>
      <c r="P433" s="405" t="str">
        <f t="shared" si="16"/>
        <v>L2.02.03.02.11.05.01</v>
      </c>
      <c r="Q433" s="406" t="s">
        <v>10530</v>
      </c>
      <c r="R433" s="407" t="str">
        <f t="shared" si="17"/>
        <v>Nhóm KD MISA AMIS Bán hàng 06</v>
      </c>
      <c r="S433" s="408" t="str">
        <f>P428</f>
        <v>L2.02.03.02.11.00.01</v>
      </c>
      <c r="T433" s="409"/>
      <c r="U433" s="409"/>
      <c r="V433" s="409"/>
      <c r="W433" s="409"/>
      <c r="X433" s="409"/>
      <c r="Y433" s="410" t="s">
        <v>11089</v>
      </c>
      <c r="Z433" s="411" t="s">
        <v>11247</v>
      </c>
      <c r="AA433" s="412"/>
      <c r="AB433" s="413"/>
      <c r="AC433" s="413"/>
      <c r="AD433" s="413"/>
    </row>
    <row r="434" ht="15.75" hidden="1" customHeight="1" outlineLevel="1">
      <c r="A434" s="261" t="s">
        <v>10833</v>
      </c>
      <c r="B434" s="231" t="s">
        <v>77</v>
      </c>
      <c r="C434" s="231" t="s">
        <v>33</v>
      </c>
      <c r="D434" s="157" t="s">
        <v>89</v>
      </c>
      <c r="E434" s="297" t="s">
        <v>35</v>
      </c>
      <c r="F434" s="168" t="s">
        <v>11167</v>
      </c>
      <c r="G434" s="157" t="s">
        <v>33</v>
      </c>
      <c r="H434" s="212" t="s">
        <v>11172</v>
      </c>
      <c r="I434" s="157" t="s">
        <v>35</v>
      </c>
      <c r="J434" s="265" t="s">
        <v>1067</v>
      </c>
      <c r="K434" s="297" t="s">
        <v>27</v>
      </c>
      <c r="L434" s="305" t="s">
        <v>4</v>
      </c>
      <c r="M434" s="157" t="s">
        <v>29</v>
      </c>
      <c r="N434" s="167" t="s">
        <v>10498</v>
      </c>
      <c r="O434" s="55" t="str">
        <f t="shared" si="14"/>
        <v>L2.02.03.02.03.00</v>
      </c>
      <c r="P434" s="257" t="str">
        <f t="shared" si="16"/>
        <v>L2.02.03.02.03.00.01</v>
      </c>
      <c r="Q434" s="161" t="s">
        <v>10530</v>
      </c>
      <c r="R434" s="299" t="str">
        <f t="shared" si="17"/>
        <v>Phòng KD bán thêm 01</v>
      </c>
      <c r="S434" s="269" t="s">
        <v>11175</v>
      </c>
      <c r="T434" s="265" t="s">
        <v>3975</v>
      </c>
      <c r="U434" s="265" t="s">
        <v>346</v>
      </c>
      <c r="V434" s="265" t="s">
        <v>275</v>
      </c>
      <c r="W434" s="265" t="s">
        <v>1067</v>
      </c>
      <c r="X434" s="265"/>
      <c r="Y434" s="265"/>
      <c r="Z434" s="225" t="s">
        <v>11248</v>
      </c>
      <c r="AA434" s="300" t="s">
        <v>10530</v>
      </c>
      <c r="AB434" s="267"/>
      <c r="AC434" s="267"/>
      <c r="AD434" s="267"/>
    </row>
    <row r="435" ht="15.75" hidden="1" customHeight="1" outlineLevel="1">
      <c r="A435" s="261" t="s">
        <v>10833</v>
      </c>
      <c r="B435" s="231" t="s">
        <v>77</v>
      </c>
      <c r="C435" s="231" t="s">
        <v>33</v>
      </c>
      <c r="D435" s="157" t="s">
        <v>89</v>
      </c>
      <c r="E435" s="297" t="s">
        <v>35</v>
      </c>
      <c r="F435" s="168" t="s">
        <v>11167</v>
      </c>
      <c r="G435" s="157" t="s">
        <v>33</v>
      </c>
      <c r="H435" s="212" t="s">
        <v>11172</v>
      </c>
      <c r="I435" s="157" t="s">
        <v>35</v>
      </c>
      <c r="J435" s="265" t="s">
        <v>1067</v>
      </c>
      <c r="K435" s="168" t="s">
        <v>44</v>
      </c>
      <c r="L435" s="264" t="s">
        <v>11178</v>
      </c>
      <c r="M435" s="157" t="s">
        <v>29</v>
      </c>
      <c r="N435" s="167" t="s">
        <v>10498</v>
      </c>
      <c r="O435" s="55" t="str">
        <f t="shared" si="14"/>
        <v>L2.02.03.02.03.06</v>
      </c>
      <c r="P435" s="257" t="str">
        <f t="shared" si="16"/>
        <v>L2.02.03.02.03.06.01</v>
      </c>
      <c r="Q435" s="161" t="s">
        <v>10530</v>
      </c>
      <c r="R435" s="299" t="str">
        <f t="shared" si="17"/>
        <v>Nhóm Quản lý 01</v>
      </c>
      <c r="S435" s="269" t="s">
        <v>11249</v>
      </c>
      <c r="T435" s="265"/>
      <c r="U435" s="265"/>
      <c r="V435" s="265"/>
      <c r="W435" s="265"/>
      <c r="X435" s="265"/>
      <c r="Y435" s="264" t="s">
        <v>11089</v>
      </c>
      <c r="Z435" s="225" t="s">
        <v>11250</v>
      </c>
      <c r="AA435" s="300" t="s">
        <v>10530</v>
      </c>
      <c r="AB435" s="267"/>
      <c r="AC435" s="267"/>
      <c r="AD435" s="267"/>
    </row>
    <row r="436" ht="15.75" hidden="1" customHeight="1" outlineLevel="1">
      <c r="A436" s="261" t="s">
        <v>10833</v>
      </c>
      <c r="B436" s="231" t="s">
        <v>77</v>
      </c>
      <c r="C436" s="231" t="s">
        <v>33</v>
      </c>
      <c r="D436" s="157" t="s">
        <v>89</v>
      </c>
      <c r="E436" s="297" t="s">
        <v>35</v>
      </c>
      <c r="F436" s="168" t="s">
        <v>11167</v>
      </c>
      <c r="G436" s="157" t="s">
        <v>33</v>
      </c>
      <c r="H436" s="212" t="s">
        <v>11172</v>
      </c>
      <c r="I436" s="157" t="s">
        <v>35</v>
      </c>
      <c r="J436" s="265" t="s">
        <v>1067</v>
      </c>
      <c r="K436" s="414" t="s">
        <v>29</v>
      </c>
      <c r="L436" s="184" t="s">
        <v>11251</v>
      </c>
      <c r="M436" s="157" t="s">
        <v>29</v>
      </c>
      <c r="N436" s="167" t="s">
        <v>10498</v>
      </c>
      <c r="O436" s="55" t="str">
        <f t="shared" si="14"/>
        <v>L2.02.03.02.03.01</v>
      </c>
      <c r="P436" s="257" t="str">
        <f t="shared" si="16"/>
        <v>L2.02.03.02.03.01.01</v>
      </c>
      <c r="Q436" s="161" t="s">
        <v>10530</v>
      </c>
      <c r="R436" s="273" t="str">
        <f t="shared" si="17"/>
        <v>Nhóm Quản lý khách hàng 01</v>
      </c>
      <c r="S436" s="269" t="s">
        <v>11249</v>
      </c>
      <c r="T436" s="265" t="s">
        <v>1089</v>
      </c>
      <c r="U436" s="265" t="s">
        <v>346</v>
      </c>
      <c r="V436" s="265" t="s">
        <v>275</v>
      </c>
      <c r="W436" s="265" t="s">
        <v>1067</v>
      </c>
      <c r="X436" s="265" t="s">
        <v>1088</v>
      </c>
      <c r="Y436" s="265"/>
      <c r="Z436" s="225" t="s">
        <v>11252</v>
      </c>
      <c r="AA436" s="300" t="s">
        <v>10530</v>
      </c>
      <c r="AB436" s="267"/>
      <c r="AC436" s="267"/>
      <c r="AD436" s="267"/>
    </row>
    <row r="437" ht="15.75" hidden="1" customHeight="1" outlineLevel="1">
      <c r="A437" s="261" t="s">
        <v>10833</v>
      </c>
      <c r="B437" s="231" t="s">
        <v>77</v>
      </c>
      <c r="C437" s="231" t="s">
        <v>33</v>
      </c>
      <c r="D437" s="157" t="s">
        <v>89</v>
      </c>
      <c r="E437" s="297" t="s">
        <v>35</v>
      </c>
      <c r="F437" s="168" t="s">
        <v>11167</v>
      </c>
      <c r="G437" s="157" t="s">
        <v>33</v>
      </c>
      <c r="H437" s="212" t="s">
        <v>11172</v>
      </c>
      <c r="I437" s="157" t="s">
        <v>35</v>
      </c>
      <c r="J437" s="265" t="s">
        <v>1067</v>
      </c>
      <c r="K437" s="414" t="s">
        <v>33</v>
      </c>
      <c r="L437" s="184" t="s">
        <v>11253</v>
      </c>
      <c r="M437" s="157" t="s">
        <v>29</v>
      </c>
      <c r="N437" s="167" t="s">
        <v>10498</v>
      </c>
      <c r="O437" s="55" t="str">
        <f t="shared" si="14"/>
        <v>L2.02.03.02.03.02</v>
      </c>
      <c r="P437" s="257" t="str">
        <f t="shared" si="16"/>
        <v>L2.02.03.02.03.02.01</v>
      </c>
      <c r="Q437" s="161" t="s">
        <v>10530</v>
      </c>
      <c r="R437" s="273" t="str">
        <f t="shared" si="17"/>
        <v>Nhóm Bán thêm AMIS Kế toán 01</v>
      </c>
      <c r="S437" s="269" t="s">
        <v>11249</v>
      </c>
      <c r="T437" s="265" t="s">
        <v>4006</v>
      </c>
      <c r="U437" s="265" t="s">
        <v>346</v>
      </c>
      <c r="V437" s="265" t="s">
        <v>275</v>
      </c>
      <c r="W437" s="265" t="s">
        <v>1067</v>
      </c>
      <c r="X437" s="265" t="s">
        <v>4005</v>
      </c>
      <c r="Y437" s="265"/>
      <c r="Z437" s="225" t="s">
        <v>11254</v>
      </c>
      <c r="AA437" s="300" t="s">
        <v>10530</v>
      </c>
      <c r="AB437" s="267"/>
      <c r="AC437" s="267"/>
      <c r="AD437" s="267"/>
    </row>
    <row r="438" ht="15.75" hidden="1" customHeight="1" outlineLevel="1">
      <c r="A438" s="261" t="s">
        <v>10833</v>
      </c>
      <c r="B438" s="231" t="s">
        <v>77</v>
      </c>
      <c r="C438" s="231" t="s">
        <v>33</v>
      </c>
      <c r="D438" s="157" t="s">
        <v>89</v>
      </c>
      <c r="E438" s="297" t="s">
        <v>35</v>
      </c>
      <c r="F438" s="168" t="s">
        <v>11167</v>
      </c>
      <c r="G438" s="157" t="s">
        <v>33</v>
      </c>
      <c r="H438" s="212" t="s">
        <v>11172</v>
      </c>
      <c r="I438" s="157" t="s">
        <v>35</v>
      </c>
      <c r="J438" s="265" t="s">
        <v>1067</v>
      </c>
      <c r="K438" s="414" t="s">
        <v>35</v>
      </c>
      <c r="L438" s="184" t="s">
        <v>11255</v>
      </c>
      <c r="M438" s="157" t="s">
        <v>29</v>
      </c>
      <c r="N438" s="167" t="s">
        <v>10498</v>
      </c>
      <c r="O438" s="55" t="str">
        <f t="shared" si="14"/>
        <v>L2.02.03.02.03.03</v>
      </c>
      <c r="P438" s="257" t="str">
        <f t="shared" si="16"/>
        <v>L2.02.03.02.03.03.01</v>
      </c>
      <c r="Q438" s="161" t="s">
        <v>10530</v>
      </c>
      <c r="R438" s="273" t="str">
        <f t="shared" si="17"/>
        <v>Nhóm Bán thêm AMIS Bán hàng 01</v>
      </c>
      <c r="S438" s="269" t="s">
        <v>11249</v>
      </c>
      <c r="T438" s="265" t="s">
        <v>1068</v>
      </c>
      <c r="U438" s="265" t="s">
        <v>346</v>
      </c>
      <c r="V438" s="265" t="s">
        <v>275</v>
      </c>
      <c r="W438" s="265" t="s">
        <v>1067</v>
      </c>
      <c r="X438" s="265" t="s">
        <v>1066</v>
      </c>
      <c r="Y438" s="265"/>
      <c r="Z438" s="225" t="s">
        <v>11256</v>
      </c>
      <c r="AA438" s="300" t="s">
        <v>10530</v>
      </c>
      <c r="AB438" s="267"/>
      <c r="AC438" s="267"/>
      <c r="AD438" s="267"/>
    </row>
    <row r="439" ht="15.75" hidden="1" customHeight="1" outlineLevel="1">
      <c r="A439" s="261" t="s">
        <v>10833</v>
      </c>
      <c r="B439" s="231" t="s">
        <v>77</v>
      </c>
      <c r="C439" s="231" t="s">
        <v>33</v>
      </c>
      <c r="D439" s="157" t="s">
        <v>89</v>
      </c>
      <c r="E439" s="297" t="s">
        <v>35</v>
      </c>
      <c r="F439" s="168" t="s">
        <v>11167</v>
      </c>
      <c r="G439" s="157" t="s">
        <v>33</v>
      </c>
      <c r="H439" s="212" t="s">
        <v>11172</v>
      </c>
      <c r="I439" s="157" t="s">
        <v>35</v>
      </c>
      <c r="J439" s="265" t="s">
        <v>1067</v>
      </c>
      <c r="K439" s="414" t="s">
        <v>37</v>
      </c>
      <c r="L439" s="184" t="s">
        <v>11257</v>
      </c>
      <c r="M439" s="157" t="s">
        <v>29</v>
      </c>
      <c r="N439" s="167" t="s">
        <v>10498</v>
      </c>
      <c r="O439" s="55" t="str">
        <f t="shared" si="14"/>
        <v>L2.02.03.02.03.04</v>
      </c>
      <c r="P439" s="257" t="str">
        <f t="shared" si="16"/>
        <v>L2.02.03.02.03.04.01</v>
      </c>
      <c r="Q439" s="161" t="s">
        <v>10530</v>
      </c>
      <c r="R439" s="273" t="str">
        <f t="shared" si="17"/>
        <v>Nhóm Bán thêm AMIS Nhân sự 01</v>
      </c>
      <c r="S439" s="269" t="s">
        <v>11249</v>
      </c>
      <c r="T439" s="265" t="s">
        <v>1096</v>
      </c>
      <c r="U439" s="265" t="s">
        <v>346</v>
      </c>
      <c r="V439" s="265" t="s">
        <v>275</v>
      </c>
      <c r="W439" s="265" t="s">
        <v>1067</v>
      </c>
      <c r="X439" s="265" t="s">
        <v>1095</v>
      </c>
      <c r="Y439" s="265"/>
      <c r="Z439" s="225" t="s">
        <v>11258</v>
      </c>
      <c r="AA439" s="300" t="s">
        <v>10530</v>
      </c>
      <c r="AB439" s="267"/>
      <c r="AC439" s="267"/>
      <c r="AD439" s="267"/>
    </row>
    <row r="440" ht="15.75" hidden="1" customHeight="1" outlineLevel="1">
      <c r="A440" s="261" t="s">
        <v>10833</v>
      </c>
      <c r="B440" s="231" t="s">
        <v>77</v>
      </c>
      <c r="C440" s="231" t="s">
        <v>33</v>
      </c>
      <c r="D440" s="157" t="s">
        <v>89</v>
      </c>
      <c r="E440" s="297" t="s">
        <v>35</v>
      </c>
      <c r="F440" s="168" t="s">
        <v>11167</v>
      </c>
      <c r="G440" s="157" t="s">
        <v>33</v>
      </c>
      <c r="H440" s="212" t="s">
        <v>11172</v>
      </c>
      <c r="I440" s="157" t="s">
        <v>35</v>
      </c>
      <c r="J440" s="265" t="s">
        <v>1067</v>
      </c>
      <c r="K440" s="414" t="s">
        <v>42</v>
      </c>
      <c r="L440" s="184" t="s">
        <v>11259</v>
      </c>
      <c r="M440" s="157" t="s">
        <v>29</v>
      </c>
      <c r="N440" s="167" t="s">
        <v>10498</v>
      </c>
      <c r="O440" s="55" t="str">
        <f t="shared" si="14"/>
        <v>L2.02.03.02.03.05</v>
      </c>
      <c r="P440" s="257" t="str">
        <f t="shared" si="16"/>
        <v>L2.02.03.02.03.05.01</v>
      </c>
      <c r="Q440" s="161" t="s">
        <v>10530</v>
      </c>
      <c r="R440" s="273" t="str">
        <f t="shared" si="17"/>
        <v>Nhóm Bán thêm AMIS Điều hành 01</v>
      </c>
      <c r="S440" s="269" t="s">
        <v>11249</v>
      </c>
      <c r="T440" s="265" t="s">
        <v>1113</v>
      </c>
      <c r="U440" s="265" t="s">
        <v>346</v>
      </c>
      <c r="V440" s="265" t="s">
        <v>275</v>
      </c>
      <c r="W440" s="265" t="s">
        <v>1067</v>
      </c>
      <c r="X440" s="265" t="s">
        <v>1112</v>
      </c>
      <c r="Y440" s="265"/>
      <c r="Z440" s="225" t="s">
        <v>11260</v>
      </c>
      <c r="AA440" s="300" t="s">
        <v>10530</v>
      </c>
      <c r="AB440" s="267"/>
      <c r="AC440" s="267"/>
      <c r="AD440" s="267"/>
    </row>
    <row r="441" ht="15.75" hidden="1" customHeight="1" outlineLevel="1">
      <c r="A441" s="261" t="s">
        <v>10833</v>
      </c>
      <c r="B441" s="231" t="s">
        <v>77</v>
      </c>
      <c r="C441" s="231" t="s">
        <v>33</v>
      </c>
      <c r="D441" s="157" t="s">
        <v>89</v>
      </c>
      <c r="E441" s="297" t="s">
        <v>35</v>
      </c>
      <c r="F441" s="168" t="s">
        <v>11167</v>
      </c>
      <c r="G441" s="157" t="s">
        <v>33</v>
      </c>
      <c r="H441" s="212" t="s">
        <v>11172</v>
      </c>
      <c r="I441" s="231" t="s">
        <v>37</v>
      </c>
      <c r="J441" s="265" t="s">
        <v>927</v>
      </c>
      <c r="K441" s="168" t="s">
        <v>27</v>
      </c>
      <c r="L441" s="305" t="s">
        <v>4</v>
      </c>
      <c r="M441" s="168" t="s">
        <v>29</v>
      </c>
      <c r="N441" s="167" t="s">
        <v>10498</v>
      </c>
      <c r="O441" s="55" t="str">
        <f t="shared" si="14"/>
        <v>L2.02.03.02.04.00</v>
      </c>
      <c r="P441" s="257" t="str">
        <f t="shared" si="16"/>
        <v>L2.02.03.02.04.00.01</v>
      </c>
      <c r="Q441" s="161" t="s">
        <v>10530</v>
      </c>
      <c r="R441" s="299" t="str">
        <f t="shared" si="17"/>
        <v>Phòng KD bán thêm 02</v>
      </c>
      <c r="S441" s="269" t="s">
        <v>11175</v>
      </c>
      <c r="T441" s="265" t="s">
        <v>4113</v>
      </c>
      <c r="U441" s="265" t="s">
        <v>346</v>
      </c>
      <c r="V441" s="265" t="s">
        <v>275</v>
      </c>
      <c r="W441" s="265" t="s">
        <v>927</v>
      </c>
      <c r="X441" s="265"/>
      <c r="Y441" s="265"/>
      <c r="Z441" s="225" t="s">
        <v>11261</v>
      </c>
      <c r="AA441" s="300" t="s">
        <v>10530</v>
      </c>
      <c r="AB441" s="267"/>
      <c r="AC441" s="267"/>
      <c r="AD441" s="267"/>
    </row>
    <row r="442" ht="15.75" hidden="1" customHeight="1" outlineLevel="1">
      <c r="A442" s="261" t="s">
        <v>10833</v>
      </c>
      <c r="B442" s="231" t="s">
        <v>77</v>
      </c>
      <c r="C442" s="231" t="s">
        <v>33</v>
      </c>
      <c r="D442" s="157" t="s">
        <v>89</v>
      </c>
      <c r="E442" s="297" t="s">
        <v>35</v>
      </c>
      <c r="F442" s="168" t="s">
        <v>11167</v>
      </c>
      <c r="G442" s="157" t="s">
        <v>33</v>
      </c>
      <c r="H442" s="212" t="s">
        <v>11172</v>
      </c>
      <c r="I442" s="231" t="s">
        <v>37</v>
      </c>
      <c r="J442" s="265" t="s">
        <v>927</v>
      </c>
      <c r="K442" s="414" t="s">
        <v>29</v>
      </c>
      <c r="L442" s="264" t="s">
        <v>11190</v>
      </c>
      <c r="M442" s="157" t="s">
        <v>29</v>
      </c>
      <c r="N442" s="167" t="s">
        <v>10498</v>
      </c>
      <c r="O442" s="55" t="str">
        <f t="shared" si="14"/>
        <v>L2.02.03.02.04.01</v>
      </c>
      <c r="P442" s="257" t="str">
        <f t="shared" si="16"/>
        <v>L2.02.03.02.04.01.01</v>
      </c>
      <c r="Q442" s="161" t="s">
        <v>10530</v>
      </c>
      <c r="R442" s="299" t="str">
        <f t="shared" si="17"/>
        <v>Nhóm Quản lý 02</v>
      </c>
      <c r="S442" s="269" t="s">
        <v>11262</v>
      </c>
      <c r="T442" s="265"/>
      <c r="U442" s="265"/>
      <c r="V442" s="265"/>
      <c r="W442" s="265"/>
      <c r="X442" s="265"/>
      <c r="Y442" s="264" t="s">
        <v>11089</v>
      </c>
      <c r="Z442" s="225" t="s">
        <v>11263</v>
      </c>
      <c r="AA442" s="300" t="s">
        <v>10530</v>
      </c>
      <c r="AB442" s="267"/>
      <c r="AC442" s="267"/>
      <c r="AD442" s="267"/>
    </row>
    <row r="443" ht="15.75" hidden="1" customHeight="1" outlineLevel="1">
      <c r="A443" s="261" t="s">
        <v>10833</v>
      </c>
      <c r="B443" s="231" t="s">
        <v>77</v>
      </c>
      <c r="C443" s="231" t="s">
        <v>33</v>
      </c>
      <c r="D443" s="157" t="s">
        <v>89</v>
      </c>
      <c r="E443" s="297" t="s">
        <v>35</v>
      </c>
      <c r="F443" s="168" t="s">
        <v>11167</v>
      </c>
      <c r="G443" s="157" t="s">
        <v>33</v>
      </c>
      <c r="H443" s="212" t="s">
        <v>11172</v>
      </c>
      <c r="I443" s="231" t="s">
        <v>37</v>
      </c>
      <c r="J443" s="265" t="s">
        <v>927</v>
      </c>
      <c r="K443" s="414" t="s">
        <v>33</v>
      </c>
      <c r="L443" s="184" t="s">
        <v>11264</v>
      </c>
      <c r="M443" s="157" t="s">
        <v>29</v>
      </c>
      <c r="N443" s="167" t="s">
        <v>10498</v>
      </c>
      <c r="O443" s="55" t="str">
        <f t="shared" si="14"/>
        <v>L2.02.03.02.04.02</v>
      </c>
      <c r="P443" s="257" t="str">
        <f t="shared" si="16"/>
        <v>L2.02.03.02.04.02.01</v>
      </c>
      <c r="Q443" s="161" t="s">
        <v>10530</v>
      </c>
      <c r="R443" s="273" t="str">
        <f t="shared" si="17"/>
        <v>Nhóm Quản lý khách hàng 02</v>
      </c>
      <c r="S443" s="269" t="s">
        <v>11262</v>
      </c>
      <c r="T443" s="265" t="s">
        <v>928</v>
      </c>
      <c r="U443" s="265" t="s">
        <v>346</v>
      </c>
      <c r="V443" s="265" t="s">
        <v>275</v>
      </c>
      <c r="W443" s="265" t="s">
        <v>927</v>
      </c>
      <c r="X443" s="265" t="s">
        <v>926</v>
      </c>
      <c r="Y443" s="265"/>
      <c r="Z443" s="225" t="s">
        <v>11265</v>
      </c>
      <c r="AA443" s="300" t="s">
        <v>10530</v>
      </c>
      <c r="AB443" s="267"/>
      <c r="AC443" s="267"/>
      <c r="AD443" s="267"/>
    </row>
    <row r="444" ht="15.75" hidden="1" customHeight="1" outlineLevel="1">
      <c r="A444" s="261" t="s">
        <v>10833</v>
      </c>
      <c r="B444" s="231" t="s">
        <v>77</v>
      </c>
      <c r="C444" s="231" t="s">
        <v>33</v>
      </c>
      <c r="D444" s="157" t="s">
        <v>89</v>
      </c>
      <c r="E444" s="297" t="s">
        <v>35</v>
      </c>
      <c r="F444" s="168" t="s">
        <v>11167</v>
      </c>
      <c r="G444" s="157" t="s">
        <v>33</v>
      </c>
      <c r="H444" s="212" t="s">
        <v>11172</v>
      </c>
      <c r="I444" s="231" t="s">
        <v>37</v>
      </c>
      <c r="J444" s="265" t="s">
        <v>927</v>
      </c>
      <c r="K444" s="414" t="s">
        <v>35</v>
      </c>
      <c r="L444" s="184" t="s">
        <v>11266</v>
      </c>
      <c r="M444" s="157" t="s">
        <v>29</v>
      </c>
      <c r="N444" s="167" t="s">
        <v>10498</v>
      </c>
      <c r="O444" s="55" t="str">
        <f t="shared" si="14"/>
        <v>L2.02.03.02.04.03</v>
      </c>
      <c r="P444" s="257" t="str">
        <f t="shared" si="16"/>
        <v>L2.02.03.02.04.03.01</v>
      </c>
      <c r="Q444" s="161" t="s">
        <v>10530</v>
      </c>
      <c r="R444" s="273" t="str">
        <f t="shared" si="17"/>
        <v>Nhóm Bán thêm AMIS Kế toán 02</v>
      </c>
      <c r="S444" s="269" t="s">
        <v>11262</v>
      </c>
      <c r="T444" s="265" t="s">
        <v>3611</v>
      </c>
      <c r="U444" s="265" t="s">
        <v>346</v>
      </c>
      <c r="V444" s="265" t="s">
        <v>275</v>
      </c>
      <c r="W444" s="265" t="s">
        <v>927</v>
      </c>
      <c r="X444" s="265" t="s">
        <v>3610</v>
      </c>
      <c r="Y444" s="265"/>
      <c r="Z444" s="225" t="s">
        <v>11267</v>
      </c>
      <c r="AA444" s="300" t="s">
        <v>10530</v>
      </c>
      <c r="AB444" s="267"/>
      <c r="AC444" s="267"/>
      <c r="AD444" s="267"/>
    </row>
    <row r="445" ht="15.75" hidden="1" customHeight="1" outlineLevel="1">
      <c r="A445" s="261" t="s">
        <v>10833</v>
      </c>
      <c r="B445" s="231" t="s">
        <v>77</v>
      </c>
      <c r="C445" s="231" t="s">
        <v>33</v>
      </c>
      <c r="D445" s="157" t="s">
        <v>89</v>
      </c>
      <c r="E445" s="297" t="s">
        <v>35</v>
      </c>
      <c r="F445" s="168" t="s">
        <v>11167</v>
      </c>
      <c r="G445" s="157" t="s">
        <v>33</v>
      </c>
      <c r="H445" s="212" t="s">
        <v>11172</v>
      </c>
      <c r="I445" s="231" t="s">
        <v>37</v>
      </c>
      <c r="J445" s="265" t="s">
        <v>927</v>
      </c>
      <c r="K445" s="414" t="s">
        <v>37</v>
      </c>
      <c r="L445" s="184" t="s">
        <v>11268</v>
      </c>
      <c r="M445" s="157" t="s">
        <v>29</v>
      </c>
      <c r="N445" s="167" t="s">
        <v>10498</v>
      </c>
      <c r="O445" s="55" t="str">
        <f t="shared" si="14"/>
        <v>L2.02.03.02.04.04</v>
      </c>
      <c r="P445" s="257" t="str">
        <f t="shared" si="16"/>
        <v>L2.02.03.02.04.04.01</v>
      </c>
      <c r="Q445" s="161" t="s">
        <v>10530</v>
      </c>
      <c r="R445" s="273" t="str">
        <f t="shared" si="17"/>
        <v>Nhóm Bán thêm AMIS Bán hàng 02</v>
      </c>
      <c r="S445" s="269" t="s">
        <v>11262</v>
      </c>
      <c r="T445" s="265" t="s">
        <v>996</v>
      </c>
      <c r="U445" s="265" t="s">
        <v>346</v>
      </c>
      <c r="V445" s="265" t="s">
        <v>275</v>
      </c>
      <c r="W445" s="265" t="s">
        <v>927</v>
      </c>
      <c r="X445" s="265" t="s">
        <v>995</v>
      </c>
      <c r="Y445" s="265"/>
      <c r="Z445" s="225" t="s">
        <v>11269</v>
      </c>
      <c r="AA445" s="300" t="s">
        <v>10530</v>
      </c>
      <c r="AB445" s="267"/>
      <c r="AC445" s="267"/>
      <c r="AD445" s="267"/>
    </row>
    <row r="446" ht="15.75" hidden="1" customHeight="1" outlineLevel="1">
      <c r="A446" s="261" t="s">
        <v>10833</v>
      </c>
      <c r="B446" s="231" t="s">
        <v>77</v>
      </c>
      <c r="C446" s="231" t="s">
        <v>33</v>
      </c>
      <c r="D446" s="157" t="s">
        <v>89</v>
      </c>
      <c r="E446" s="297" t="s">
        <v>35</v>
      </c>
      <c r="F446" s="168" t="s">
        <v>11167</v>
      </c>
      <c r="G446" s="157" t="s">
        <v>33</v>
      </c>
      <c r="H446" s="212" t="s">
        <v>11172</v>
      </c>
      <c r="I446" s="231" t="s">
        <v>37</v>
      </c>
      <c r="J446" s="265" t="s">
        <v>927</v>
      </c>
      <c r="K446" s="414" t="s">
        <v>42</v>
      </c>
      <c r="L446" s="184" t="s">
        <v>11270</v>
      </c>
      <c r="M446" s="157" t="s">
        <v>29</v>
      </c>
      <c r="N446" s="167" t="s">
        <v>10498</v>
      </c>
      <c r="O446" s="55" t="str">
        <f t="shared" si="14"/>
        <v>L2.02.03.02.04.05</v>
      </c>
      <c r="P446" s="257" t="str">
        <f t="shared" si="16"/>
        <v>L2.02.03.02.04.05.01</v>
      </c>
      <c r="Q446" s="161" t="s">
        <v>10530</v>
      </c>
      <c r="R446" s="273" t="str">
        <f t="shared" si="17"/>
        <v>Nhóm Bán thêm AMIS Nhân sự 02</v>
      </c>
      <c r="S446" s="269" t="s">
        <v>11262</v>
      </c>
      <c r="T446" s="265" t="s">
        <v>944</v>
      </c>
      <c r="U446" s="265" t="s">
        <v>346</v>
      </c>
      <c r="V446" s="265" t="s">
        <v>275</v>
      </c>
      <c r="W446" s="265" t="s">
        <v>927</v>
      </c>
      <c r="X446" s="265" t="s">
        <v>943</v>
      </c>
      <c r="Y446" s="265"/>
      <c r="Z446" s="225" t="s">
        <v>11271</v>
      </c>
      <c r="AA446" s="300" t="s">
        <v>10530</v>
      </c>
      <c r="AB446" s="267"/>
      <c r="AC446" s="267"/>
      <c r="AD446" s="267"/>
    </row>
    <row r="447" ht="15.75" hidden="1" customHeight="1" outlineLevel="1">
      <c r="A447" s="261" t="s">
        <v>10833</v>
      </c>
      <c r="B447" s="231" t="s">
        <v>77</v>
      </c>
      <c r="C447" s="231" t="s">
        <v>33</v>
      </c>
      <c r="D447" s="157" t="s">
        <v>89</v>
      </c>
      <c r="E447" s="297" t="s">
        <v>35</v>
      </c>
      <c r="F447" s="168" t="s">
        <v>11167</v>
      </c>
      <c r="G447" s="157" t="s">
        <v>33</v>
      </c>
      <c r="H447" s="212" t="s">
        <v>11172</v>
      </c>
      <c r="I447" s="231" t="s">
        <v>37</v>
      </c>
      <c r="J447" s="265" t="s">
        <v>927</v>
      </c>
      <c r="K447" s="414" t="s">
        <v>44</v>
      </c>
      <c r="L447" s="184" t="s">
        <v>11272</v>
      </c>
      <c r="M447" s="157" t="s">
        <v>29</v>
      </c>
      <c r="N447" s="167" t="s">
        <v>10498</v>
      </c>
      <c r="O447" s="55" t="str">
        <f t="shared" si="14"/>
        <v>L2.02.03.02.04.06</v>
      </c>
      <c r="P447" s="257" t="str">
        <f t="shared" si="16"/>
        <v>L2.02.03.02.04.06.01</v>
      </c>
      <c r="Q447" s="161" t="s">
        <v>10530</v>
      </c>
      <c r="R447" s="273" t="str">
        <f t="shared" si="17"/>
        <v>Nhóm Bán thêm AMIS Điều hành 02</v>
      </c>
      <c r="S447" s="269" t="s">
        <v>11262</v>
      </c>
      <c r="T447" s="265" t="s">
        <v>4014</v>
      </c>
      <c r="U447" s="265" t="s">
        <v>346</v>
      </c>
      <c r="V447" s="265" t="s">
        <v>275</v>
      </c>
      <c r="W447" s="265" t="s">
        <v>927</v>
      </c>
      <c r="X447" s="265" t="s">
        <v>4013</v>
      </c>
      <c r="Y447" s="265"/>
      <c r="Z447" s="225" t="s">
        <v>11273</v>
      </c>
      <c r="AA447" s="300" t="s">
        <v>10530</v>
      </c>
      <c r="AB447" s="267"/>
      <c r="AC447" s="267"/>
      <c r="AD447" s="267"/>
    </row>
    <row r="448" ht="15.75" hidden="1" customHeight="1" outlineLevel="1">
      <c r="A448" s="261" t="s">
        <v>10833</v>
      </c>
      <c r="B448" s="231" t="s">
        <v>77</v>
      </c>
      <c r="C448" s="231" t="s">
        <v>33</v>
      </c>
      <c r="D448" s="157" t="s">
        <v>89</v>
      </c>
      <c r="E448" s="297" t="s">
        <v>35</v>
      </c>
      <c r="F448" s="168" t="s">
        <v>11167</v>
      </c>
      <c r="G448" s="157" t="s">
        <v>33</v>
      </c>
      <c r="H448" s="212" t="s">
        <v>11172</v>
      </c>
      <c r="I448" s="231" t="s">
        <v>42</v>
      </c>
      <c r="J448" s="265" t="s">
        <v>1012</v>
      </c>
      <c r="K448" s="297" t="s">
        <v>27</v>
      </c>
      <c r="L448" s="258" t="s">
        <v>4</v>
      </c>
      <c r="M448" s="157" t="s">
        <v>29</v>
      </c>
      <c r="N448" s="167" t="s">
        <v>10498</v>
      </c>
      <c r="O448" s="55" t="str">
        <f t="shared" si="14"/>
        <v>L2.02.03.02.05.00</v>
      </c>
      <c r="P448" s="257" t="str">
        <f t="shared" si="16"/>
        <v>L2.02.03.02.05.00.01</v>
      </c>
      <c r="Q448" s="161" t="s">
        <v>10530</v>
      </c>
      <c r="R448" s="299" t="str">
        <f t="shared" si="17"/>
        <v>Phòng KD bán thêm 03</v>
      </c>
      <c r="S448" s="269" t="s">
        <v>11175</v>
      </c>
      <c r="T448" s="265" t="s">
        <v>1013</v>
      </c>
      <c r="U448" s="265" t="s">
        <v>346</v>
      </c>
      <c r="V448" s="265" t="s">
        <v>275</v>
      </c>
      <c r="W448" s="265" t="s">
        <v>1012</v>
      </c>
      <c r="X448" s="265"/>
      <c r="Y448" s="265"/>
      <c r="Z448" s="225" t="s">
        <v>11274</v>
      </c>
      <c r="AA448" s="300" t="s">
        <v>10530</v>
      </c>
      <c r="AB448" s="267"/>
      <c r="AC448" s="267"/>
      <c r="AD448" s="267"/>
    </row>
    <row r="449" ht="16.5" hidden="1" customHeight="1" outlineLevel="1">
      <c r="A449" s="261" t="s">
        <v>10833</v>
      </c>
      <c r="B449" s="231" t="s">
        <v>77</v>
      </c>
      <c r="C449" s="231" t="s">
        <v>33</v>
      </c>
      <c r="D449" s="157" t="s">
        <v>89</v>
      </c>
      <c r="E449" s="297" t="s">
        <v>35</v>
      </c>
      <c r="F449" s="168" t="s">
        <v>11167</v>
      </c>
      <c r="G449" s="157" t="s">
        <v>33</v>
      </c>
      <c r="H449" s="212" t="s">
        <v>11172</v>
      </c>
      <c r="I449" s="231" t="s">
        <v>42</v>
      </c>
      <c r="J449" s="265" t="s">
        <v>1012</v>
      </c>
      <c r="K449" s="168" t="s">
        <v>44</v>
      </c>
      <c r="L449" s="264" t="s">
        <v>11202</v>
      </c>
      <c r="M449" s="157" t="s">
        <v>29</v>
      </c>
      <c r="N449" s="167" t="s">
        <v>10498</v>
      </c>
      <c r="O449" s="55" t="str">
        <f t="shared" si="14"/>
        <v>L2.02.03.02.05.06</v>
      </c>
      <c r="P449" s="257" t="str">
        <f t="shared" si="16"/>
        <v>L2.02.03.02.05.06.01</v>
      </c>
      <c r="Q449" s="161" t="s">
        <v>10530</v>
      </c>
      <c r="R449" s="299" t="str">
        <f t="shared" si="17"/>
        <v>Nhóm Quản lý 03</v>
      </c>
      <c r="S449" s="269" t="s">
        <v>11275</v>
      </c>
      <c r="T449" s="265"/>
      <c r="U449" s="265"/>
      <c r="V449" s="265"/>
      <c r="W449" s="265"/>
      <c r="X449" s="265"/>
      <c r="Y449" s="264" t="s">
        <v>11089</v>
      </c>
      <c r="Z449" s="225" t="s">
        <v>11276</v>
      </c>
      <c r="AA449" s="300" t="s">
        <v>10530</v>
      </c>
      <c r="AB449" s="267"/>
      <c r="AC449" s="267"/>
      <c r="AD449" s="267"/>
    </row>
    <row r="450" ht="16.5" hidden="1" customHeight="1" outlineLevel="1">
      <c r="A450" s="261" t="s">
        <v>10833</v>
      </c>
      <c r="B450" s="231" t="s">
        <v>77</v>
      </c>
      <c r="C450" s="231" t="s">
        <v>33</v>
      </c>
      <c r="D450" s="157" t="s">
        <v>89</v>
      </c>
      <c r="E450" s="297" t="s">
        <v>35</v>
      </c>
      <c r="F450" s="168" t="s">
        <v>11167</v>
      </c>
      <c r="G450" s="157" t="s">
        <v>33</v>
      </c>
      <c r="H450" s="212" t="s">
        <v>11172</v>
      </c>
      <c r="I450" s="231" t="s">
        <v>42</v>
      </c>
      <c r="J450" s="265" t="s">
        <v>1012</v>
      </c>
      <c r="K450" s="414" t="s">
        <v>29</v>
      </c>
      <c r="L450" s="184" t="s">
        <v>11277</v>
      </c>
      <c r="M450" s="157" t="s">
        <v>29</v>
      </c>
      <c r="N450" s="167" t="s">
        <v>10498</v>
      </c>
      <c r="O450" s="55" t="str">
        <f t="shared" si="14"/>
        <v>L2.02.03.02.05.01</v>
      </c>
      <c r="P450" s="257" t="str">
        <f t="shared" si="16"/>
        <v>L2.02.03.02.05.01.01</v>
      </c>
      <c r="Q450" s="161" t="s">
        <v>10530</v>
      </c>
      <c r="R450" s="299" t="str">
        <f t="shared" si="17"/>
        <v>Nhóm Quản lý khách hàng 03</v>
      </c>
      <c r="S450" s="269" t="s">
        <v>11275</v>
      </c>
      <c r="T450" s="265" t="s">
        <v>3821</v>
      </c>
      <c r="U450" s="265" t="s">
        <v>346</v>
      </c>
      <c r="V450" s="265" t="s">
        <v>275</v>
      </c>
      <c r="W450" s="265" t="s">
        <v>1012</v>
      </c>
      <c r="X450" s="265" t="s">
        <v>3820</v>
      </c>
      <c r="Y450" s="265"/>
      <c r="Z450" s="225" t="s">
        <v>11278</v>
      </c>
      <c r="AA450" s="300" t="s">
        <v>10530</v>
      </c>
      <c r="AB450" s="267"/>
      <c r="AC450" s="267"/>
      <c r="AD450" s="267"/>
    </row>
    <row r="451" ht="15.75" hidden="1" customHeight="1" outlineLevel="1">
      <c r="A451" s="261" t="s">
        <v>10833</v>
      </c>
      <c r="B451" s="231" t="s">
        <v>77</v>
      </c>
      <c r="C451" s="231" t="s">
        <v>33</v>
      </c>
      <c r="D451" s="157" t="s">
        <v>89</v>
      </c>
      <c r="E451" s="297" t="s">
        <v>35</v>
      </c>
      <c r="F451" s="168" t="s">
        <v>11167</v>
      </c>
      <c r="G451" s="157" t="s">
        <v>33</v>
      </c>
      <c r="H451" s="212" t="s">
        <v>11172</v>
      </c>
      <c r="I451" s="231" t="s">
        <v>42</v>
      </c>
      <c r="J451" s="265" t="s">
        <v>1012</v>
      </c>
      <c r="K451" s="414" t="s">
        <v>33</v>
      </c>
      <c r="L451" s="184" t="s">
        <v>11279</v>
      </c>
      <c r="M451" s="157" t="s">
        <v>29</v>
      </c>
      <c r="N451" s="167" t="s">
        <v>10498</v>
      </c>
      <c r="O451" s="55" t="str">
        <f t="shared" si="14"/>
        <v>L2.02.03.02.05.02</v>
      </c>
      <c r="P451" s="257" t="str">
        <f t="shared" si="16"/>
        <v>L2.02.03.02.05.02.01</v>
      </c>
      <c r="Q451" s="161" t="s">
        <v>10530</v>
      </c>
      <c r="R451" s="273" t="str">
        <f t="shared" si="17"/>
        <v>Nhóm Bán thêm AMIS Kế toán 03</v>
      </c>
      <c r="S451" s="269" t="s">
        <v>11275</v>
      </c>
      <c r="T451" s="265" t="s">
        <v>4212</v>
      </c>
      <c r="U451" s="265" t="s">
        <v>346</v>
      </c>
      <c r="V451" s="265" t="s">
        <v>275</v>
      </c>
      <c r="W451" s="265" t="s">
        <v>1012</v>
      </c>
      <c r="X451" s="265" t="s">
        <v>4211</v>
      </c>
      <c r="Y451" s="265"/>
      <c r="Z451" s="225" t="s">
        <v>11280</v>
      </c>
      <c r="AA451" s="300" t="s">
        <v>10530</v>
      </c>
      <c r="AB451" s="267"/>
      <c r="AC451" s="267"/>
      <c r="AD451" s="267"/>
    </row>
    <row r="452" ht="15.75" hidden="1" customHeight="1" outlineLevel="1">
      <c r="A452" s="261" t="s">
        <v>10833</v>
      </c>
      <c r="B452" s="231" t="s">
        <v>77</v>
      </c>
      <c r="C452" s="231" t="s">
        <v>33</v>
      </c>
      <c r="D452" s="157" t="s">
        <v>89</v>
      </c>
      <c r="E452" s="297" t="s">
        <v>35</v>
      </c>
      <c r="F452" s="168" t="s">
        <v>11167</v>
      </c>
      <c r="G452" s="157" t="s">
        <v>33</v>
      </c>
      <c r="H452" s="212" t="s">
        <v>11172</v>
      </c>
      <c r="I452" s="231" t="s">
        <v>42</v>
      </c>
      <c r="J452" s="265" t="s">
        <v>1012</v>
      </c>
      <c r="K452" s="414" t="s">
        <v>35</v>
      </c>
      <c r="L452" s="184" t="s">
        <v>11281</v>
      </c>
      <c r="M452" s="157" t="s">
        <v>29</v>
      </c>
      <c r="N452" s="167" t="s">
        <v>10498</v>
      </c>
      <c r="O452" s="55" t="str">
        <f t="shared" si="14"/>
        <v>L2.02.03.02.05.03</v>
      </c>
      <c r="P452" s="257" t="str">
        <f t="shared" si="16"/>
        <v>L2.02.03.02.05.03.01</v>
      </c>
      <c r="Q452" s="161" t="s">
        <v>10530</v>
      </c>
      <c r="R452" s="273" t="str">
        <f t="shared" si="17"/>
        <v>Nhóm Bán thêm AMIS Bán hàng 03</v>
      </c>
      <c r="S452" s="269" t="s">
        <v>11275</v>
      </c>
      <c r="T452" s="265" t="s">
        <v>3957</v>
      </c>
      <c r="U452" s="265" t="s">
        <v>346</v>
      </c>
      <c r="V452" s="265" t="s">
        <v>275</v>
      </c>
      <c r="W452" s="265" t="s">
        <v>1012</v>
      </c>
      <c r="X452" s="265" t="s">
        <v>3956</v>
      </c>
      <c r="Y452" s="265"/>
      <c r="Z452" s="225" t="s">
        <v>11282</v>
      </c>
      <c r="AA452" s="300" t="s">
        <v>10530</v>
      </c>
      <c r="AB452" s="267"/>
      <c r="AC452" s="267"/>
      <c r="AD452" s="267"/>
    </row>
    <row r="453" ht="15.75" hidden="1" customHeight="1" outlineLevel="1">
      <c r="A453" s="261" t="s">
        <v>10833</v>
      </c>
      <c r="B453" s="231" t="s">
        <v>77</v>
      </c>
      <c r="C453" s="231" t="s">
        <v>33</v>
      </c>
      <c r="D453" s="157" t="s">
        <v>89</v>
      </c>
      <c r="E453" s="297" t="s">
        <v>35</v>
      </c>
      <c r="F453" s="168" t="s">
        <v>11167</v>
      </c>
      <c r="G453" s="157" t="s">
        <v>33</v>
      </c>
      <c r="H453" s="212" t="s">
        <v>11172</v>
      </c>
      <c r="I453" s="231" t="s">
        <v>42</v>
      </c>
      <c r="J453" s="265" t="s">
        <v>1012</v>
      </c>
      <c r="K453" s="414" t="s">
        <v>37</v>
      </c>
      <c r="L453" s="184" t="s">
        <v>11283</v>
      </c>
      <c r="M453" s="157" t="s">
        <v>29</v>
      </c>
      <c r="N453" s="167" t="s">
        <v>10498</v>
      </c>
      <c r="O453" s="55" t="str">
        <f t="shared" si="14"/>
        <v>L2.02.03.02.05.04</v>
      </c>
      <c r="P453" s="257" t="str">
        <f t="shared" si="16"/>
        <v>L2.02.03.02.05.04.01</v>
      </c>
      <c r="Q453" s="161" t="s">
        <v>10530</v>
      </c>
      <c r="R453" s="273" t="str">
        <f t="shared" si="17"/>
        <v>Nhóm Bán thêm AMIS Nhân sự 03</v>
      </c>
      <c r="S453" s="269" t="s">
        <v>11275</v>
      </c>
      <c r="T453" s="265" t="s">
        <v>3232</v>
      </c>
      <c r="U453" s="265" t="s">
        <v>346</v>
      </c>
      <c r="V453" s="265" t="s">
        <v>275</v>
      </c>
      <c r="W453" s="265" t="s">
        <v>1012</v>
      </c>
      <c r="X453" s="265" t="s">
        <v>3231</v>
      </c>
      <c r="Y453" s="265"/>
      <c r="Z453" s="225" t="s">
        <v>11284</v>
      </c>
      <c r="AA453" s="300" t="s">
        <v>10530</v>
      </c>
      <c r="AB453" s="267"/>
      <c r="AC453" s="267"/>
      <c r="AD453" s="267"/>
    </row>
    <row r="454" ht="15.75" hidden="1" customHeight="1" outlineLevel="1">
      <c r="A454" s="261" t="s">
        <v>10833</v>
      </c>
      <c r="B454" s="231" t="s">
        <v>77</v>
      </c>
      <c r="C454" s="231" t="s">
        <v>33</v>
      </c>
      <c r="D454" s="157" t="s">
        <v>89</v>
      </c>
      <c r="E454" s="297" t="s">
        <v>35</v>
      </c>
      <c r="F454" s="168" t="s">
        <v>11167</v>
      </c>
      <c r="G454" s="157" t="s">
        <v>33</v>
      </c>
      <c r="H454" s="212" t="s">
        <v>11172</v>
      </c>
      <c r="I454" s="231" t="s">
        <v>42</v>
      </c>
      <c r="J454" s="265" t="s">
        <v>1012</v>
      </c>
      <c r="K454" s="414" t="s">
        <v>42</v>
      </c>
      <c r="L454" s="184" t="s">
        <v>11285</v>
      </c>
      <c r="M454" s="157" t="s">
        <v>29</v>
      </c>
      <c r="N454" s="167" t="s">
        <v>10498</v>
      </c>
      <c r="O454" s="55" t="str">
        <f t="shared" si="14"/>
        <v>L2.02.03.02.05.05</v>
      </c>
      <c r="P454" s="257" t="str">
        <f t="shared" si="16"/>
        <v>L2.02.03.02.05.05.01</v>
      </c>
      <c r="Q454" s="161" t="s">
        <v>10530</v>
      </c>
      <c r="R454" s="273" t="str">
        <f t="shared" si="17"/>
        <v>Nhóm Bán thêm AMIS Điều hành 03</v>
      </c>
      <c r="S454" s="269" t="s">
        <v>11275</v>
      </c>
      <c r="T454" s="265" t="s">
        <v>3937</v>
      </c>
      <c r="U454" s="265" t="s">
        <v>346</v>
      </c>
      <c r="V454" s="265" t="s">
        <v>275</v>
      </c>
      <c r="W454" s="265" t="s">
        <v>1012</v>
      </c>
      <c r="X454" s="265" t="s">
        <v>3936</v>
      </c>
      <c r="Y454" s="265"/>
      <c r="Z454" s="225" t="s">
        <v>11286</v>
      </c>
      <c r="AA454" s="300" t="s">
        <v>10530</v>
      </c>
      <c r="AB454" s="267"/>
      <c r="AC454" s="267"/>
      <c r="AD454" s="267"/>
    </row>
    <row r="455" ht="15.75" hidden="1" customHeight="1" outlineLevel="1">
      <c r="A455" s="261" t="s">
        <v>10833</v>
      </c>
      <c r="B455" s="231" t="s">
        <v>77</v>
      </c>
      <c r="C455" s="231" t="s">
        <v>33</v>
      </c>
      <c r="D455" s="157" t="s">
        <v>89</v>
      </c>
      <c r="E455" s="297" t="s">
        <v>35</v>
      </c>
      <c r="F455" s="168" t="s">
        <v>11167</v>
      </c>
      <c r="G455" s="157" t="s">
        <v>33</v>
      </c>
      <c r="H455" s="212" t="s">
        <v>11172</v>
      </c>
      <c r="I455" s="168" t="s">
        <v>44</v>
      </c>
      <c r="J455" s="257" t="s">
        <v>101</v>
      </c>
      <c r="K455" s="297" t="s">
        <v>27</v>
      </c>
      <c r="L455" s="157" t="s">
        <v>4</v>
      </c>
      <c r="M455" s="157" t="s">
        <v>29</v>
      </c>
      <c r="N455" s="167" t="s">
        <v>10498</v>
      </c>
      <c r="O455" s="55" t="str">
        <f t="shared" si="14"/>
        <v>L2.02.03.02.06.00</v>
      </c>
      <c r="P455" s="257" t="str">
        <f t="shared" si="16"/>
        <v>L2.02.03.02.06.00.01</v>
      </c>
      <c r="Q455" s="161" t="s">
        <v>10530</v>
      </c>
      <c r="R455" s="299" t="str">
        <f t="shared" si="17"/>
        <v>Phòng chuyển giao</v>
      </c>
      <c r="S455" s="269" t="s">
        <v>11175</v>
      </c>
      <c r="T455" s="265" t="s">
        <v>507</v>
      </c>
      <c r="U455" s="265" t="s">
        <v>346</v>
      </c>
      <c r="V455" s="265" t="s">
        <v>275</v>
      </c>
      <c r="W455" s="265" t="s">
        <v>101</v>
      </c>
      <c r="X455" s="265"/>
      <c r="Y455" s="265"/>
      <c r="Z455" s="225" t="s">
        <v>11287</v>
      </c>
      <c r="AA455" s="300" t="s">
        <v>10530</v>
      </c>
      <c r="AB455" s="267"/>
      <c r="AC455" s="267"/>
      <c r="AD455" s="267"/>
    </row>
    <row r="456" ht="15.75" hidden="1" customHeight="1" outlineLevel="1">
      <c r="A456" s="261" t="s">
        <v>10833</v>
      </c>
      <c r="B456" s="231" t="s">
        <v>77</v>
      </c>
      <c r="C456" s="231" t="s">
        <v>33</v>
      </c>
      <c r="D456" s="157" t="s">
        <v>89</v>
      </c>
      <c r="E456" s="297" t="s">
        <v>35</v>
      </c>
      <c r="F456" s="168" t="s">
        <v>11167</v>
      </c>
      <c r="G456" s="157" t="s">
        <v>33</v>
      </c>
      <c r="H456" s="212" t="s">
        <v>11288</v>
      </c>
      <c r="I456" s="168" t="s">
        <v>27</v>
      </c>
      <c r="J456" s="258" t="s">
        <v>4</v>
      </c>
      <c r="K456" s="297" t="s">
        <v>27</v>
      </c>
      <c r="L456" s="157" t="s">
        <v>4</v>
      </c>
      <c r="M456" s="157" t="s">
        <v>33</v>
      </c>
      <c r="N456" s="167" t="s">
        <v>10499</v>
      </c>
      <c r="O456" s="55" t="str">
        <f t="shared" si="14"/>
        <v>L2.02.03.02.00.00</v>
      </c>
      <c r="P456" s="257" t="str">
        <f t="shared" si="16"/>
        <v>L2.02.03.02.00.00.02</v>
      </c>
      <c r="Q456" s="161" t="s">
        <v>10530</v>
      </c>
      <c r="R456" s="273" t="str">
        <f t="shared" si="17"/>
        <v>Trung tâm KD giải pháp DN Vừa - Hồ Chí Minh</v>
      </c>
      <c r="S456" s="269" t="s">
        <v>11170</v>
      </c>
      <c r="T456" s="342" t="s">
        <v>11289</v>
      </c>
      <c r="U456" s="265" t="s">
        <v>262</v>
      </c>
      <c r="V456" s="265" t="s">
        <v>275</v>
      </c>
      <c r="W456" s="265"/>
      <c r="X456" s="265"/>
      <c r="Y456" s="265"/>
      <c r="Z456" s="225" t="s">
        <v>11290</v>
      </c>
      <c r="AA456" s="266"/>
      <c r="AB456" s="267"/>
      <c r="AC456" s="376" t="s">
        <v>11291</v>
      </c>
      <c r="AD456" s="267"/>
    </row>
    <row r="457" ht="15.75" hidden="1" customHeight="1" outlineLevel="1">
      <c r="A457" s="261" t="s">
        <v>10833</v>
      </c>
      <c r="B457" s="231" t="s">
        <v>77</v>
      </c>
      <c r="C457" s="231" t="s">
        <v>33</v>
      </c>
      <c r="D457" s="157" t="s">
        <v>89</v>
      </c>
      <c r="E457" s="297" t="s">
        <v>35</v>
      </c>
      <c r="F457" s="168" t="s">
        <v>11167</v>
      </c>
      <c r="G457" s="157" t="s">
        <v>33</v>
      </c>
      <c r="H457" s="212" t="s">
        <v>11288</v>
      </c>
      <c r="I457" s="157" t="s">
        <v>29</v>
      </c>
      <c r="J457" s="257" t="s">
        <v>155</v>
      </c>
      <c r="K457" s="297" t="s">
        <v>27</v>
      </c>
      <c r="L457" s="157" t="s">
        <v>4</v>
      </c>
      <c r="M457" s="157" t="s">
        <v>33</v>
      </c>
      <c r="N457" s="167" t="s">
        <v>10499</v>
      </c>
      <c r="O457" s="55" t="str">
        <f t="shared" si="14"/>
        <v>L2.02.03.02.01.00</v>
      </c>
      <c r="P457" s="257" t="str">
        <f t="shared" si="16"/>
        <v>L2.02.03.02.01.00.02</v>
      </c>
      <c r="Q457" s="161" t="s">
        <v>10530</v>
      </c>
      <c r="R457" s="299" t="str">
        <f t="shared" si="17"/>
        <v>Ban Giám đốc</v>
      </c>
      <c r="S457" s="269" t="s">
        <v>11292</v>
      </c>
      <c r="T457" s="8" t="s">
        <v>7231</v>
      </c>
      <c r="U457" s="8" t="s">
        <v>262</v>
      </c>
      <c r="V457" s="8" t="s">
        <v>275</v>
      </c>
      <c r="W457" s="8" t="s">
        <v>7230</v>
      </c>
      <c r="X457" s="265"/>
      <c r="Y457" s="265"/>
      <c r="Z457" s="225" t="s">
        <v>11293</v>
      </c>
      <c r="AA457" s="300" t="s">
        <v>10530</v>
      </c>
      <c r="AB457" s="267"/>
      <c r="AC457" s="267"/>
      <c r="AD457" s="267"/>
    </row>
    <row r="458" ht="15.75" hidden="1" customHeight="1" outlineLevel="1">
      <c r="A458" s="261" t="s">
        <v>10833</v>
      </c>
      <c r="B458" s="231" t="s">
        <v>77</v>
      </c>
      <c r="C458" s="231" t="s">
        <v>33</v>
      </c>
      <c r="D458" s="157" t="s">
        <v>89</v>
      </c>
      <c r="E458" s="297" t="s">
        <v>35</v>
      </c>
      <c r="F458" s="168" t="s">
        <v>11167</v>
      </c>
      <c r="G458" s="157" t="s">
        <v>33</v>
      </c>
      <c r="H458" s="212" t="s">
        <v>11288</v>
      </c>
      <c r="I458" s="157" t="s">
        <v>33</v>
      </c>
      <c r="J458" s="301" t="s">
        <v>157</v>
      </c>
      <c r="K458" s="168" t="s">
        <v>27</v>
      </c>
      <c r="L458" s="157" t="s">
        <v>4</v>
      </c>
      <c r="M458" s="157" t="s">
        <v>33</v>
      </c>
      <c r="N458" s="167" t="s">
        <v>10499</v>
      </c>
      <c r="O458" s="159" t="str">
        <f t="shared" si="14"/>
        <v>L2.02.03.02.02.00</v>
      </c>
      <c r="P458" s="257" t="str">
        <f t="shared" si="16"/>
        <v>L2.02.03.02.02.00.02</v>
      </c>
      <c r="Q458" s="160" t="s">
        <v>10530</v>
      </c>
      <c r="R458" s="299" t="str">
        <f t="shared" si="17"/>
        <v>Phòng KD Bán mới 01</v>
      </c>
      <c r="S458" s="269" t="s">
        <v>11292</v>
      </c>
      <c r="T458" s="265"/>
      <c r="U458" s="265"/>
      <c r="V458" s="265"/>
      <c r="W458" s="265"/>
      <c r="X458" s="265"/>
      <c r="Y458" s="264" t="s">
        <v>11089</v>
      </c>
      <c r="Z458" s="275" t="s">
        <v>11294</v>
      </c>
      <c r="AA458" s="266"/>
      <c r="AB458" s="267"/>
      <c r="AC458" s="267"/>
      <c r="AD458" s="267"/>
    </row>
    <row r="459" ht="15.75" hidden="1" customHeight="1" outlineLevel="1">
      <c r="A459" s="261" t="s">
        <v>10833</v>
      </c>
      <c r="B459" s="231" t="s">
        <v>77</v>
      </c>
      <c r="C459" s="231" t="s">
        <v>33</v>
      </c>
      <c r="D459" s="157" t="s">
        <v>89</v>
      </c>
      <c r="E459" s="297" t="s">
        <v>35</v>
      </c>
      <c r="F459" s="168" t="s">
        <v>11167</v>
      </c>
      <c r="G459" s="157" t="s">
        <v>33</v>
      </c>
      <c r="H459" s="212" t="s">
        <v>11288</v>
      </c>
      <c r="I459" s="157" t="s">
        <v>33</v>
      </c>
      <c r="J459" s="301" t="s">
        <v>157</v>
      </c>
      <c r="K459" s="168" t="s">
        <v>29</v>
      </c>
      <c r="L459" s="212" t="s">
        <v>11178</v>
      </c>
      <c r="M459" s="157" t="s">
        <v>33</v>
      </c>
      <c r="N459" s="167" t="s">
        <v>10499</v>
      </c>
      <c r="O459" s="159" t="str">
        <f t="shared" si="14"/>
        <v>L2.02.03.02.02.01</v>
      </c>
      <c r="P459" s="257" t="str">
        <f t="shared" si="16"/>
        <v>L2.02.03.02.02.01.02</v>
      </c>
      <c r="Q459" s="160" t="s">
        <v>10530</v>
      </c>
      <c r="R459" s="299" t="str">
        <f t="shared" si="17"/>
        <v>Nhóm Quản lý 01</v>
      </c>
      <c r="S459" s="269" t="s">
        <v>11295</v>
      </c>
      <c r="T459" s="265"/>
      <c r="U459" s="265"/>
      <c r="V459" s="265"/>
      <c r="W459" s="265"/>
      <c r="X459" s="265"/>
      <c r="Y459" s="264" t="s">
        <v>11089</v>
      </c>
      <c r="Z459" s="275" t="s">
        <v>11296</v>
      </c>
      <c r="AA459" s="266"/>
      <c r="AB459" s="267"/>
      <c r="AC459" s="267"/>
      <c r="AD459" s="267"/>
    </row>
    <row r="460" ht="15.75" hidden="1" customHeight="1" outlineLevel="1">
      <c r="A460" s="261" t="s">
        <v>10833</v>
      </c>
      <c r="B460" s="231" t="s">
        <v>77</v>
      </c>
      <c r="C460" s="231" t="s">
        <v>33</v>
      </c>
      <c r="D460" s="157" t="s">
        <v>89</v>
      </c>
      <c r="E460" s="297" t="s">
        <v>35</v>
      </c>
      <c r="F460" s="168" t="s">
        <v>11167</v>
      </c>
      <c r="G460" s="157" t="s">
        <v>33</v>
      </c>
      <c r="H460" s="212" t="s">
        <v>11288</v>
      </c>
      <c r="I460" s="157" t="s">
        <v>33</v>
      </c>
      <c r="J460" s="301" t="s">
        <v>157</v>
      </c>
      <c r="K460" s="261" t="s">
        <v>33</v>
      </c>
      <c r="L460" s="301" t="s">
        <v>11181</v>
      </c>
      <c r="M460" s="157" t="s">
        <v>33</v>
      </c>
      <c r="N460" s="167" t="s">
        <v>10499</v>
      </c>
      <c r="O460" s="159" t="str">
        <f t="shared" si="14"/>
        <v>L2.02.03.02.02.02</v>
      </c>
      <c r="P460" s="257" t="str">
        <f t="shared" si="16"/>
        <v>L2.02.03.02.02.02.02</v>
      </c>
      <c r="Q460" s="160" t="s">
        <v>10530</v>
      </c>
      <c r="R460" s="299" t="str">
        <f t="shared" si="17"/>
        <v>Nhóm KD MISA AMIS Kế toán 01</v>
      </c>
      <c r="S460" s="269" t="s">
        <v>11295</v>
      </c>
      <c r="T460" s="265"/>
      <c r="U460" s="265"/>
      <c r="V460" s="265"/>
      <c r="W460" s="265"/>
      <c r="X460" s="265"/>
      <c r="Y460" s="264" t="s">
        <v>11089</v>
      </c>
      <c r="Z460" s="275" t="s">
        <v>11297</v>
      </c>
      <c r="AA460" s="266"/>
      <c r="AB460" s="267"/>
      <c r="AC460" s="267"/>
      <c r="AD460" s="267"/>
    </row>
    <row r="461" ht="15.75" hidden="1" customHeight="1" outlineLevel="1">
      <c r="A461" s="261" t="s">
        <v>10833</v>
      </c>
      <c r="B461" s="231" t="s">
        <v>77</v>
      </c>
      <c r="C461" s="231" t="s">
        <v>33</v>
      </c>
      <c r="D461" s="157" t="s">
        <v>89</v>
      </c>
      <c r="E461" s="297" t="s">
        <v>35</v>
      </c>
      <c r="F461" s="168" t="s">
        <v>11167</v>
      </c>
      <c r="G461" s="157" t="s">
        <v>33</v>
      </c>
      <c r="H461" s="212" t="s">
        <v>11288</v>
      </c>
      <c r="I461" s="157" t="s">
        <v>33</v>
      </c>
      <c r="J461" s="301" t="s">
        <v>157</v>
      </c>
      <c r="K461" s="261" t="s">
        <v>35</v>
      </c>
      <c r="L461" s="301" t="s">
        <v>11183</v>
      </c>
      <c r="M461" s="157" t="s">
        <v>33</v>
      </c>
      <c r="N461" s="167" t="s">
        <v>10499</v>
      </c>
      <c r="O461" s="159" t="str">
        <f t="shared" si="14"/>
        <v>L2.02.03.02.02.03</v>
      </c>
      <c r="P461" s="257" t="str">
        <f t="shared" si="16"/>
        <v>L2.02.03.02.02.03.02</v>
      </c>
      <c r="Q461" s="160" t="s">
        <v>10530</v>
      </c>
      <c r="R461" s="299" t="str">
        <f t="shared" si="17"/>
        <v>Nhóm KD MISA AMIS Điều hành 01</v>
      </c>
      <c r="S461" s="269" t="s">
        <v>11295</v>
      </c>
      <c r="T461" s="265"/>
      <c r="U461" s="265"/>
      <c r="V461" s="265"/>
      <c r="W461" s="265"/>
      <c r="X461" s="265"/>
      <c r="Y461" s="264" t="s">
        <v>11089</v>
      </c>
      <c r="Z461" s="275" t="s">
        <v>11298</v>
      </c>
      <c r="AA461" s="266"/>
      <c r="AB461" s="267"/>
      <c r="AC461" s="267"/>
      <c r="AD461" s="267"/>
    </row>
    <row r="462" ht="15.75" hidden="1" customHeight="1" outlineLevel="1">
      <c r="A462" s="261" t="s">
        <v>10833</v>
      </c>
      <c r="B462" s="231" t="s">
        <v>77</v>
      </c>
      <c r="C462" s="231" t="s">
        <v>33</v>
      </c>
      <c r="D462" s="157" t="s">
        <v>89</v>
      </c>
      <c r="E462" s="297" t="s">
        <v>35</v>
      </c>
      <c r="F462" s="168" t="s">
        <v>11167</v>
      </c>
      <c r="G462" s="157" t="s">
        <v>33</v>
      </c>
      <c r="H462" s="212" t="s">
        <v>11288</v>
      </c>
      <c r="I462" s="157" t="s">
        <v>33</v>
      </c>
      <c r="J462" s="301" t="s">
        <v>157</v>
      </c>
      <c r="K462" s="261" t="s">
        <v>37</v>
      </c>
      <c r="L462" s="392" t="s">
        <v>11185</v>
      </c>
      <c r="M462" s="157" t="s">
        <v>33</v>
      </c>
      <c r="N462" s="167" t="s">
        <v>10499</v>
      </c>
      <c r="O462" s="159" t="str">
        <f t="shared" si="14"/>
        <v>L2.02.03.02.02.04</v>
      </c>
      <c r="P462" s="257" t="str">
        <f t="shared" si="16"/>
        <v>L2.02.03.02.02.04.02</v>
      </c>
      <c r="Q462" s="160" t="s">
        <v>10530</v>
      </c>
      <c r="R462" s="299" t="str">
        <f t="shared" si="17"/>
        <v>Nhóm KD MISA AMIS Nhân sự 01</v>
      </c>
      <c r="S462" s="269" t="s">
        <v>11295</v>
      </c>
      <c r="T462" s="265"/>
      <c r="U462" s="265"/>
      <c r="V462" s="265"/>
      <c r="W462" s="265"/>
      <c r="X462" s="265"/>
      <c r="Y462" s="264" t="s">
        <v>11089</v>
      </c>
      <c r="Z462" s="275" t="s">
        <v>11299</v>
      </c>
      <c r="AA462" s="266"/>
      <c r="AB462" s="267"/>
      <c r="AC462" s="267"/>
      <c r="AD462" s="267"/>
    </row>
    <row r="463" ht="15.75" hidden="1" customHeight="1" outlineLevel="1">
      <c r="A463" s="261" t="s">
        <v>10833</v>
      </c>
      <c r="B463" s="231" t="s">
        <v>77</v>
      </c>
      <c r="C463" s="231" t="s">
        <v>33</v>
      </c>
      <c r="D463" s="157" t="s">
        <v>89</v>
      </c>
      <c r="E463" s="297" t="s">
        <v>35</v>
      </c>
      <c r="F463" s="168" t="s">
        <v>11167</v>
      </c>
      <c r="G463" s="157" t="s">
        <v>33</v>
      </c>
      <c r="H463" s="212" t="s">
        <v>11288</v>
      </c>
      <c r="I463" s="157" t="s">
        <v>33</v>
      </c>
      <c r="J463" s="301" t="s">
        <v>157</v>
      </c>
      <c r="K463" s="261" t="s">
        <v>42</v>
      </c>
      <c r="L463" s="392" t="s">
        <v>11187</v>
      </c>
      <c r="M463" s="157" t="s">
        <v>33</v>
      </c>
      <c r="N463" s="167" t="s">
        <v>10499</v>
      </c>
      <c r="O463" s="159" t="str">
        <f t="shared" si="14"/>
        <v>L2.02.03.02.02.05</v>
      </c>
      <c r="P463" s="257" t="str">
        <f t="shared" si="16"/>
        <v>L2.02.03.02.02.05.02</v>
      </c>
      <c r="Q463" s="160" t="s">
        <v>10530</v>
      </c>
      <c r="R463" s="299" t="str">
        <f t="shared" si="17"/>
        <v>Nhóm KD MISA AMIS Bán hàng 01</v>
      </c>
      <c r="S463" s="269" t="s">
        <v>11295</v>
      </c>
      <c r="T463" s="265"/>
      <c r="U463" s="265"/>
      <c r="V463" s="265"/>
      <c r="W463" s="265"/>
      <c r="X463" s="265"/>
      <c r="Y463" s="264" t="s">
        <v>11089</v>
      </c>
      <c r="Z463" s="275" t="s">
        <v>11300</v>
      </c>
      <c r="AA463" s="266"/>
      <c r="AB463" s="267"/>
      <c r="AC463" s="267"/>
      <c r="AD463" s="267"/>
    </row>
    <row r="464" ht="15.75" hidden="1" customHeight="1" outlineLevel="1">
      <c r="A464" s="228" t="s">
        <v>10833</v>
      </c>
      <c r="B464" s="270" t="s">
        <v>77</v>
      </c>
      <c r="C464" s="270" t="s">
        <v>33</v>
      </c>
      <c r="D464" s="209" t="s">
        <v>89</v>
      </c>
      <c r="E464" s="271" t="s">
        <v>35</v>
      </c>
      <c r="F464" s="182" t="s">
        <v>11167</v>
      </c>
      <c r="G464" s="209" t="s">
        <v>33</v>
      </c>
      <c r="H464" s="212" t="s">
        <v>11288</v>
      </c>
      <c r="I464" s="182" t="s">
        <v>35</v>
      </c>
      <c r="J464" s="303" t="s">
        <v>158</v>
      </c>
      <c r="K464" s="182" t="s">
        <v>27</v>
      </c>
      <c r="L464" s="209" t="s">
        <v>4</v>
      </c>
      <c r="M464" s="209" t="s">
        <v>33</v>
      </c>
      <c r="N464" s="181" t="s">
        <v>10499</v>
      </c>
      <c r="O464" s="58" t="str">
        <f t="shared" si="14"/>
        <v>L2.02.03.02.03.00</v>
      </c>
      <c r="P464" s="272" t="str">
        <f t="shared" si="16"/>
        <v>L2.02.03.02.03.00.02</v>
      </c>
      <c r="Q464" s="185" t="s">
        <v>10530</v>
      </c>
      <c r="R464" s="273" t="str">
        <f t="shared" si="17"/>
        <v>Phòng KD Bán mới 02</v>
      </c>
      <c r="S464" s="274" t="s">
        <v>11292</v>
      </c>
      <c r="T464" s="183"/>
      <c r="U464" s="183"/>
      <c r="V464" s="183"/>
      <c r="W464" s="183"/>
      <c r="X464" s="183"/>
      <c r="Y464" s="184" t="s">
        <v>11089</v>
      </c>
      <c r="Z464" s="275" t="s">
        <v>11301</v>
      </c>
      <c r="AA464" s="276"/>
      <c r="AB464" s="277"/>
      <c r="AC464" s="277"/>
      <c r="AD464" s="277"/>
    </row>
    <row r="465" ht="15.75" hidden="1" customHeight="1" outlineLevel="1">
      <c r="A465" s="228" t="s">
        <v>10833</v>
      </c>
      <c r="B465" s="270" t="s">
        <v>77</v>
      </c>
      <c r="C465" s="270" t="s">
        <v>33</v>
      </c>
      <c r="D465" s="209" t="s">
        <v>89</v>
      </c>
      <c r="E465" s="271" t="s">
        <v>35</v>
      </c>
      <c r="F465" s="182" t="s">
        <v>11167</v>
      </c>
      <c r="G465" s="209" t="s">
        <v>33</v>
      </c>
      <c r="H465" s="212" t="s">
        <v>11288</v>
      </c>
      <c r="I465" s="182" t="s">
        <v>35</v>
      </c>
      <c r="J465" s="303" t="s">
        <v>158</v>
      </c>
      <c r="K465" s="182" t="s">
        <v>29</v>
      </c>
      <c r="L465" s="212" t="s">
        <v>11190</v>
      </c>
      <c r="M465" s="209" t="s">
        <v>33</v>
      </c>
      <c r="N465" s="181" t="s">
        <v>10499</v>
      </c>
      <c r="O465" s="58" t="str">
        <f t="shared" si="14"/>
        <v>L2.02.03.02.03.01</v>
      </c>
      <c r="P465" s="272" t="str">
        <f t="shared" si="16"/>
        <v>L2.02.03.02.03.01.02</v>
      </c>
      <c r="Q465" s="185" t="s">
        <v>10530</v>
      </c>
      <c r="R465" s="273" t="str">
        <f t="shared" si="17"/>
        <v>Nhóm Quản lý 02</v>
      </c>
      <c r="S465" s="274" t="str">
        <f>P464</f>
        <v>L2.02.03.02.03.00.02</v>
      </c>
      <c r="T465" s="183"/>
      <c r="U465" s="183"/>
      <c r="V465" s="183"/>
      <c r="W465" s="183"/>
      <c r="X465" s="183"/>
      <c r="Y465" s="184" t="s">
        <v>11089</v>
      </c>
      <c r="Z465" s="275" t="s">
        <v>11302</v>
      </c>
      <c r="AA465" s="276"/>
      <c r="AB465" s="277"/>
      <c r="AC465" s="277"/>
      <c r="AD465" s="277"/>
    </row>
    <row r="466" ht="15.75" hidden="1" customHeight="1" outlineLevel="1">
      <c r="A466" s="228" t="s">
        <v>10833</v>
      </c>
      <c r="B466" s="270" t="s">
        <v>77</v>
      </c>
      <c r="C466" s="270" t="s">
        <v>33</v>
      </c>
      <c r="D466" s="209" t="s">
        <v>89</v>
      </c>
      <c r="E466" s="271" t="s">
        <v>35</v>
      </c>
      <c r="F466" s="182" t="s">
        <v>11167</v>
      </c>
      <c r="G466" s="209" t="s">
        <v>33</v>
      </c>
      <c r="H466" s="212" t="s">
        <v>11288</v>
      </c>
      <c r="I466" s="182" t="s">
        <v>35</v>
      </c>
      <c r="J466" s="303" t="s">
        <v>158</v>
      </c>
      <c r="K466" s="228" t="s">
        <v>33</v>
      </c>
      <c r="L466" s="303" t="s">
        <v>11192</v>
      </c>
      <c r="M466" s="209" t="s">
        <v>33</v>
      </c>
      <c r="N466" s="181" t="s">
        <v>10499</v>
      </c>
      <c r="O466" s="58" t="str">
        <f t="shared" si="14"/>
        <v>L2.02.03.02.03.02</v>
      </c>
      <c r="P466" s="272" t="str">
        <f t="shared" si="16"/>
        <v>L2.02.03.02.03.02.02</v>
      </c>
      <c r="Q466" s="185" t="s">
        <v>10530</v>
      </c>
      <c r="R466" s="273" t="str">
        <f t="shared" si="17"/>
        <v>Nhóm KD MISA AMIS Kế toán 02</v>
      </c>
      <c r="S466" s="274" t="str">
        <f>P464</f>
        <v>L2.02.03.02.03.00.02</v>
      </c>
      <c r="T466" s="183"/>
      <c r="U466" s="183"/>
      <c r="V466" s="183"/>
      <c r="W466" s="183"/>
      <c r="X466" s="183"/>
      <c r="Y466" s="184" t="s">
        <v>11089</v>
      </c>
      <c r="Z466" s="275" t="s">
        <v>11303</v>
      </c>
      <c r="AA466" s="276"/>
      <c r="AB466" s="277"/>
      <c r="AC466" s="277"/>
      <c r="AD466" s="277"/>
    </row>
    <row r="467" ht="15.75" hidden="1" customHeight="1" outlineLevel="1">
      <c r="A467" s="228" t="s">
        <v>10833</v>
      </c>
      <c r="B467" s="270" t="s">
        <v>77</v>
      </c>
      <c r="C467" s="270" t="s">
        <v>33</v>
      </c>
      <c r="D467" s="209" t="s">
        <v>89</v>
      </c>
      <c r="E467" s="271" t="s">
        <v>35</v>
      </c>
      <c r="F467" s="182" t="s">
        <v>11167</v>
      </c>
      <c r="G467" s="209" t="s">
        <v>33</v>
      </c>
      <c r="H467" s="212" t="s">
        <v>11288</v>
      </c>
      <c r="I467" s="182" t="s">
        <v>35</v>
      </c>
      <c r="J467" s="303" t="s">
        <v>158</v>
      </c>
      <c r="K467" s="228" t="s">
        <v>35</v>
      </c>
      <c r="L467" s="303" t="s">
        <v>11194</v>
      </c>
      <c r="M467" s="209" t="s">
        <v>33</v>
      </c>
      <c r="N467" s="181" t="s">
        <v>10499</v>
      </c>
      <c r="O467" s="58" t="str">
        <f t="shared" si="14"/>
        <v>L2.02.03.02.03.03</v>
      </c>
      <c r="P467" s="272" t="str">
        <f t="shared" si="16"/>
        <v>L2.02.03.02.03.03.02</v>
      </c>
      <c r="Q467" s="185" t="s">
        <v>10530</v>
      </c>
      <c r="R467" s="273" t="str">
        <f t="shared" si="17"/>
        <v>Nhóm KD MISA AMIS Điều hành 02</v>
      </c>
      <c r="S467" s="274" t="str">
        <f>P464</f>
        <v>L2.02.03.02.03.00.02</v>
      </c>
      <c r="T467" s="183"/>
      <c r="U467" s="183"/>
      <c r="V467" s="183"/>
      <c r="W467" s="183"/>
      <c r="X467" s="183"/>
      <c r="Y467" s="184" t="s">
        <v>11089</v>
      </c>
      <c r="Z467" s="275" t="s">
        <v>11304</v>
      </c>
      <c r="AA467" s="276"/>
      <c r="AB467" s="277"/>
      <c r="AC467" s="277"/>
      <c r="AD467" s="277"/>
    </row>
    <row r="468" ht="15.75" hidden="1" customHeight="1" outlineLevel="1">
      <c r="A468" s="228" t="s">
        <v>10833</v>
      </c>
      <c r="B468" s="270" t="s">
        <v>77</v>
      </c>
      <c r="C468" s="270" t="s">
        <v>33</v>
      </c>
      <c r="D468" s="209" t="s">
        <v>89</v>
      </c>
      <c r="E468" s="271" t="s">
        <v>35</v>
      </c>
      <c r="F468" s="182" t="s">
        <v>11167</v>
      </c>
      <c r="G468" s="209" t="s">
        <v>33</v>
      </c>
      <c r="H468" s="212" t="s">
        <v>11288</v>
      </c>
      <c r="I468" s="182" t="s">
        <v>35</v>
      </c>
      <c r="J468" s="303" t="s">
        <v>158</v>
      </c>
      <c r="K468" s="228" t="s">
        <v>37</v>
      </c>
      <c r="L468" s="390" t="s">
        <v>11196</v>
      </c>
      <c r="M468" s="209" t="s">
        <v>33</v>
      </c>
      <c r="N468" s="181" t="s">
        <v>10499</v>
      </c>
      <c r="O468" s="58" t="str">
        <f t="shared" si="14"/>
        <v>L2.02.03.02.03.04</v>
      </c>
      <c r="P468" s="272" t="str">
        <f t="shared" si="16"/>
        <v>L2.02.03.02.03.04.02</v>
      </c>
      <c r="Q468" s="185" t="s">
        <v>10530</v>
      </c>
      <c r="R468" s="273" t="str">
        <f t="shared" si="17"/>
        <v>Nhóm KD MISA AMIS Nhân sự 02</v>
      </c>
      <c r="S468" s="274" t="str">
        <f>P464</f>
        <v>L2.02.03.02.03.00.02</v>
      </c>
      <c r="T468" s="183"/>
      <c r="U468" s="183"/>
      <c r="V468" s="183"/>
      <c r="W468" s="183"/>
      <c r="X468" s="183"/>
      <c r="Y468" s="184" t="s">
        <v>11089</v>
      </c>
      <c r="Z468" s="275" t="s">
        <v>11305</v>
      </c>
      <c r="AA468" s="276"/>
      <c r="AB468" s="277"/>
      <c r="AC468" s="277"/>
      <c r="AD468" s="277"/>
    </row>
    <row r="469" ht="15.75" hidden="1" customHeight="1" outlineLevel="1">
      <c r="A469" s="228" t="s">
        <v>10833</v>
      </c>
      <c r="B469" s="270" t="s">
        <v>77</v>
      </c>
      <c r="C469" s="270" t="s">
        <v>33</v>
      </c>
      <c r="D469" s="209" t="s">
        <v>89</v>
      </c>
      <c r="E469" s="271" t="s">
        <v>35</v>
      </c>
      <c r="F469" s="182" t="s">
        <v>11167</v>
      </c>
      <c r="G469" s="209" t="s">
        <v>33</v>
      </c>
      <c r="H469" s="212" t="s">
        <v>11288</v>
      </c>
      <c r="I469" s="182" t="s">
        <v>35</v>
      </c>
      <c r="J469" s="303" t="s">
        <v>158</v>
      </c>
      <c r="K469" s="228" t="s">
        <v>42</v>
      </c>
      <c r="L469" s="390" t="s">
        <v>11198</v>
      </c>
      <c r="M469" s="209" t="s">
        <v>33</v>
      </c>
      <c r="N469" s="181" t="s">
        <v>10499</v>
      </c>
      <c r="O469" s="58" t="str">
        <f t="shared" si="14"/>
        <v>L2.02.03.02.03.05</v>
      </c>
      <c r="P469" s="272" t="str">
        <f t="shared" si="16"/>
        <v>L2.02.03.02.03.05.02</v>
      </c>
      <c r="Q469" s="185" t="s">
        <v>10530</v>
      </c>
      <c r="R469" s="273" t="str">
        <f t="shared" si="17"/>
        <v>Nhóm KD MISA AMIS Bán hàng 02</v>
      </c>
      <c r="S469" s="274" t="str">
        <f>P464</f>
        <v>L2.02.03.02.03.00.02</v>
      </c>
      <c r="T469" s="183"/>
      <c r="U469" s="183"/>
      <c r="V469" s="183"/>
      <c r="W469" s="183"/>
      <c r="X469" s="183"/>
      <c r="Y469" s="184" t="s">
        <v>11089</v>
      </c>
      <c r="Z469" s="275" t="s">
        <v>11306</v>
      </c>
      <c r="AA469" s="276"/>
      <c r="AB469" s="277"/>
      <c r="AC469" s="277"/>
      <c r="AD469" s="277"/>
    </row>
    <row r="470" ht="15.75" hidden="1" customHeight="1" outlineLevel="1">
      <c r="A470" s="228" t="s">
        <v>10833</v>
      </c>
      <c r="B470" s="270" t="s">
        <v>77</v>
      </c>
      <c r="C470" s="270" t="s">
        <v>33</v>
      </c>
      <c r="D470" s="209" t="s">
        <v>89</v>
      </c>
      <c r="E470" s="271" t="s">
        <v>35</v>
      </c>
      <c r="F470" s="182" t="s">
        <v>11167</v>
      </c>
      <c r="G470" s="209" t="s">
        <v>33</v>
      </c>
      <c r="H470" s="212" t="s">
        <v>11288</v>
      </c>
      <c r="I470" s="182" t="s">
        <v>49</v>
      </c>
      <c r="J470" s="303" t="s">
        <v>11200</v>
      </c>
      <c r="K470" s="182" t="s">
        <v>27</v>
      </c>
      <c r="L470" s="209" t="s">
        <v>4</v>
      </c>
      <c r="M470" s="209" t="s">
        <v>33</v>
      </c>
      <c r="N470" s="181" t="s">
        <v>10499</v>
      </c>
      <c r="O470" s="58" t="str">
        <f t="shared" si="14"/>
        <v>L2.02.03.02.08.00</v>
      </c>
      <c r="P470" s="272" t="str">
        <f t="shared" si="16"/>
        <v>L2.02.03.02.08.00.02</v>
      </c>
      <c r="Q470" s="185" t="s">
        <v>10530</v>
      </c>
      <c r="R470" s="273" t="str">
        <f t="shared" si="17"/>
        <v>Phòng KD Bán mới 03</v>
      </c>
      <c r="S470" s="274" t="s">
        <v>11292</v>
      </c>
      <c r="T470" s="183"/>
      <c r="U470" s="183"/>
      <c r="V470" s="183"/>
      <c r="W470" s="183"/>
      <c r="X470" s="183"/>
      <c r="Y470" s="184" t="s">
        <v>11089</v>
      </c>
      <c r="Z470" s="275" t="s">
        <v>11307</v>
      </c>
      <c r="AA470" s="276"/>
      <c r="AB470" s="277"/>
      <c r="AC470" s="277"/>
      <c r="AD470" s="277"/>
    </row>
    <row r="471" ht="15.75" hidden="1" customHeight="1" outlineLevel="1">
      <c r="A471" s="228" t="s">
        <v>10833</v>
      </c>
      <c r="B471" s="270" t="s">
        <v>77</v>
      </c>
      <c r="C471" s="270" t="s">
        <v>33</v>
      </c>
      <c r="D471" s="209" t="s">
        <v>89</v>
      </c>
      <c r="E471" s="271" t="s">
        <v>35</v>
      </c>
      <c r="F471" s="182" t="s">
        <v>11167</v>
      </c>
      <c r="G471" s="209" t="s">
        <v>33</v>
      </c>
      <c r="H471" s="212" t="s">
        <v>11288</v>
      </c>
      <c r="I471" s="182" t="s">
        <v>49</v>
      </c>
      <c r="J471" s="303" t="s">
        <v>11200</v>
      </c>
      <c r="K471" s="182" t="s">
        <v>29</v>
      </c>
      <c r="L471" s="212" t="s">
        <v>11202</v>
      </c>
      <c r="M471" s="209" t="s">
        <v>33</v>
      </c>
      <c r="N471" s="181" t="s">
        <v>10499</v>
      </c>
      <c r="O471" s="58" t="str">
        <f t="shared" si="14"/>
        <v>L2.02.03.02.08.01</v>
      </c>
      <c r="P471" s="272" t="str">
        <f t="shared" si="16"/>
        <v>L2.02.03.02.08.01.02</v>
      </c>
      <c r="Q471" s="185" t="s">
        <v>10530</v>
      </c>
      <c r="R471" s="273" t="str">
        <f t="shared" si="17"/>
        <v>Nhóm Quản lý 03</v>
      </c>
      <c r="S471" s="274" t="str">
        <f>P470</f>
        <v>L2.02.03.02.08.00.02</v>
      </c>
      <c r="T471" s="183"/>
      <c r="U471" s="183"/>
      <c r="V471" s="183"/>
      <c r="W471" s="183"/>
      <c r="X471" s="183"/>
      <c r="Y471" s="184" t="s">
        <v>11089</v>
      </c>
      <c r="Z471" s="275" t="s">
        <v>11308</v>
      </c>
      <c r="AA471" s="276"/>
      <c r="AB471" s="277"/>
      <c r="AC471" s="277"/>
      <c r="AD471" s="277"/>
    </row>
    <row r="472" ht="15.75" hidden="1" customHeight="1" outlineLevel="1">
      <c r="A472" s="228" t="s">
        <v>10833</v>
      </c>
      <c r="B472" s="270" t="s">
        <v>77</v>
      </c>
      <c r="C472" s="270" t="s">
        <v>33</v>
      </c>
      <c r="D472" s="209" t="s">
        <v>89</v>
      </c>
      <c r="E472" s="271" t="s">
        <v>35</v>
      </c>
      <c r="F472" s="182" t="s">
        <v>11167</v>
      </c>
      <c r="G472" s="209" t="s">
        <v>33</v>
      </c>
      <c r="H472" s="212" t="s">
        <v>11288</v>
      </c>
      <c r="I472" s="182" t="s">
        <v>49</v>
      </c>
      <c r="J472" s="303" t="s">
        <v>11200</v>
      </c>
      <c r="K472" s="228" t="s">
        <v>33</v>
      </c>
      <c r="L472" s="303" t="s">
        <v>11204</v>
      </c>
      <c r="M472" s="209" t="s">
        <v>33</v>
      </c>
      <c r="N472" s="181" t="s">
        <v>10499</v>
      </c>
      <c r="O472" s="58" t="str">
        <f t="shared" si="14"/>
        <v>L2.02.03.02.08.02</v>
      </c>
      <c r="P472" s="272" t="str">
        <f t="shared" si="16"/>
        <v>L2.02.03.02.08.02.02</v>
      </c>
      <c r="Q472" s="185" t="s">
        <v>10530</v>
      </c>
      <c r="R472" s="273" t="str">
        <f t="shared" si="17"/>
        <v>Nhóm KD MISA AMIS Kế toán 03</v>
      </c>
      <c r="S472" s="274" t="str">
        <f>P470</f>
        <v>L2.02.03.02.08.00.02</v>
      </c>
      <c r="T472" s="183"/>
      <c r="U472" s="183"/>
      <c r="V472" s="183"/>
      <c r="W472" s="183"/>
      <c r="X472" s="183"/>
      <c r="Y472" s="184" t="s">
        <v>11089</v>
      </c>
      <c r="Z472" s="275" t="s">
        <v>11309</v>
      </c>
      <c r="AA472" s="276"/>
      <c r="AB472" s="277"/>
      <c r="AC472" s="277"/>
      <c r="AD472" s="277"/>
    </row>
    <row r="473" ht="15.75" hidden="1" customHeight="1" outlineLevel="1">
      <c r="A473" s="228" t="s">
        <v>10833</v>
      </c>
      <c r="B473" s="270" t="s">
        <v>77</v>
      </c>
      <c r="C473" s="270" t="s">
        <v>33</v>
      </c>
      <c r="D473" s="209" t="s">
        <v>89</v>
      </c>
      <c r="E473" s="271" t="s">
        <v>35</v>
      </c>
      <c r="F473" s="182" t="s">
        <v>11167</v>
      </c>
      <c r="G473" s="209" t="s">
        <v>33</v>
      </c>
      <c r="H473" s="212" t="s">
        <v>11288</v>
      </c>
      <c r="I473" s="182" t="s">
        <v>49</v>
      </c>
      <c r="J473" s="303" t="s">
        <v>11200</v>
      </c>
      <c r="K473" s="228" t="s">
        <v>35</v>
      </c>
      <c r="L473" s="303" t="s">
        <v>11206</v>
      </c>
      <c r="M473" s="209" t="s">
        <v>33</v>
      </c>
      <c r="N473" s="181" t="s">
        <v>10499</v>
      </c>
      <c r="O473" s="58" t="str">
        <f t="shared" si="14"/>
        <v>L2.02.03.02.08.03</v>
      </c>
      <c r="P473" s="272" t="str">
        <f t="shared" si="16"/>
        <v>L2.02.03.02.08.03.02</v>
      </c>
      <c r="Q473" s="185" t="s">
        <v>10530</v>
      </c>
      <c r="R473" s="273" t="str">
        <f t="shared" si="17"/>
        <v>Nhóm KD MISA AMIS Điều hành 03</v>
      </c>
      <c r="S473" s="274" t="str">
        <f>P470</f>
        <v>L2.02.03.02.08.00.02</v>
      </c>
      <c r="T473" s="183"/>
      <c r="U473" s="183"/>
      <c r="V473" s="183"/>
      <c r="W473" s="183"/>
      <c r="X473" s="183"/>
      <c r="Y473" s="184" t="s">
        <v>11089</v>
      </c>
      <c r="Z473" s="275" t="s">
        <v>11310</v>
      </c>
      <c r="AA473" s="276"/>
      <c r="AB473" s="277"/>
      <c r="AC473" s="277"/>
      <c r="AD473" s="277"/>
    </row>
    <row r="474" ht="15.75" hidden="1" customHeight="1" outlineLevel="1">
      <c r="A474" s="228" t="s">
        <v>10833</v>
      </c>
      <c r="B474" s="270" t="s">
        <v>77</v>
      </c>
      <c r="C474" s="270" t="s">
        <v>33</v>
      </c>
      <c r="D474" s="209" t="s">
        <v>89</v>
      </c>
      <c r="E474" s="271" t="s">
        <v>35</v>
      </c>
      <c r="F474" s="182" t="s">
        <v>11167</v>
      </c>
      <c r="G474" s="209" t="s">
        <v>33</v>
      </c>
      <c r="H474" s="212" t="s">
        <v>11288</v>
      </c>
      <c r="I474" s="182" t="s">
        <v>49</v>
      </c>
      <c r="J474" s="303" t="s">
        <v>11200</v>
      </c>
      <c r="K474" s="228" t="s">
        <v>37</v>
      </c>
      <c r="L474" s="390" t="s">
        <v>11208</v>
      </c>
      <c r="M474" s="209" t="s">
        <v>33</v>
      </c>
      <c r="N474" s="181" t="s">
        <v>10499</v>
      </c>
      <c r="O474" s="58" t="str">
        <f t="shared" si="14"/>
        <v>L2.02.03.02.08.04</v>
      </c>
      <c r="P474" s="272" t="str">
        <f t="shared" si="16"/>
        <v>L2.02.03.02.08.04.02</v>
      </c>
      <c r="Q474" s="185" t="s">
        <v>10530</v>
      </c>
      <c r="R474" s="273" t="str">
        <f t="shared" si="17"/>
        <v>Nhóm KD MISA AMIS Nhân sự 03</v>
      </c>
      <c r="S474" s="274" t="str">
        <f>P470</f>
        <v>L2.02.03.02.08.00.02</v>
      </c>
      <c r="T474" s="183"/>
      <c r="U474" s="183"/>
      <c r="V474" s="183"/>
      <c r="W474" s="183"/>
      <c r="X474" s="183"/>
      <c r="Y474" s="184" t="s">
        <v>11089</v>
      </c>
      <c r="Z474" s="275" t="s">
        <v>11311</v>
      </c>
      <c r="AA474" s="276"/>
      <c r="AB474" s="277"/>
      <c r="AC474" s="277"/>
      <c r="AD474" s="277"/>
    </row>
    <row r="475" ht="15.75" hidden="1" customHeight="1" outlineLevel="1">
      <c r="A475" s="228" t="s">
        <v>10833</v>
      </c>
      <c r="B475" s="270" t="s">
        <v>77</v>
      </c>
      <c r="C475" s="270" t="s">
        <v>33</v>
      </c>
      <c r="D475" s="209" t="s">
        <v>89</v>
      </c>
      <c r="E475" s="271" t="s">
        <v>35</v>
      </c>
      <c r="F475" s="182" t="s">
        <v>11167</v>
      </c>
      <c r="G475" s="209" t="s">
        <v>33</v>
      </c>
      <c r="H475" s="212" t="s">
        <v>11288</v>
      </c>
      <c r="I475" s="182" t="s">
        <v>49</v>
      </c>
      <c r="J475" s="303" t="s">
        <v>11200</v>
      </c>
      <c r="K475" s="228" t="s">
        <v>42</v>
      </c>
      <c r="L475" s="390" t="s">
        <v>11210</v>
      </c>
      <c r="M475" s="209" t="s">
        <v>33</v>
      </c>
      <c r="N475" s="181" t="s">
        <v>10499</v>
      </c>
      <c r="O475" s="58" t="str">
        <f t="shared" si="14"/>
        <v>L2.02.03.02.08.05</v>
      </c>
      <c r="P475" s="272" t="str">
        <f t="shared" si="16"/>
        <v>L2.02.03.02.08.05.02</v>
      </c>
      <c r="Q475" s="185" t="s">
        <v>10530</v>
      </c>
      <c r="R475" s="273" t="str">
        <f t="shared" si="17"/>
        <v>Nhóm KD MISA AMIS Bán hàng 03</v>
      </c>
      <c r="S475" s="274" t="str">
        <f>P470</f>
        <v>L2.02.03.02.08.00.02</v>
      </c>
      <c r="T475" s="183"/>
      <c r="U475" s="183"/>
      <c r="V475" s="183"/>
      <c r="W475" s="183"/>
      <c r="X475" s="183"/>
      <c r="Y475" s="184" t="s">
        <v>11089</v>
      </c>
      <c r="Z475" s="275" t="s">
        <v>11312</v>
      </c>
      <c r="AA475" s="276"/>
      <c r="AB475" s="277"/>
      <c r="AC475" s="277"/>
      <c r="AD475" s="277"/>
    </row>
    <row r="476" ht="15.75" hidden="1" customHeight="1" outlineLevel="1">
      <c r="A476" s="228" t="s">
        <v>10833</v>
      </c>
      <c r="B476" s="270" t="s">
        <v>77</v>
      </c>
      <c r="C476" s="270" t="s">
        <v>33</v>
      </c>
      <c r="D476" s="209" t="s">
        <v>89</v>
      </c>
      <c r="E476" s="271" t="s">
        <v>35</v>
      </c>
      <c r="F476" s="182" t="s">
        <v>11167</v>
      </c>
      <c r="G476" s="209" t="s">
        <v>33</v>
      </c>
      <c r="H476" s="212" t="s">
        <v>11288</v>
      </c>
      <c r="I476" s="182" t="s">
        <v>51</v>
      </c>
      <c r="J476" s="303" t="s">
        <v>11212</v>
      </c>
      <c r="K476" s="182" t="s">
        <v>27</v>
      </c>
      <c r="L476" s="209" t="s">
        <v>4</v>
      </c>
      <c r="M476" s="209" t="s">
        <v>33</v>
      </c>
      <c r="N476" s="181" t="s">
        <v>10499</v>
      </c>
      <c r="O476" s="58" t="str">
        <f t="shared" si="14"/>
        <v>L2.02.03.02.09.00</v>
      </c>
      <c r="P476" s="272" t="str">
        <f t="shared" si="16"/>
        <v>L2.02.03.02.09.00.02</v>
      </c>
      <c r="Q476" s="185" t="s">
        <v>10530</v>
      </c>
      <c r="R476" s="273" t="str">
        <f t="shared" si="17"/>
        <v>Phòng KD Bán mới 04</v>
      </c>
      <c r="S476" s="274" t="s">
        <v>11292</v>
      </c>
      <c r="T476" s="183"/>
      <c r="U476" s="183"/>
      <c r="V476" s="183"/>
      <c r="W476" s="183"/>
      <c r="X476" s="183"/>
      <c r="Y476" s="184" t="s">
        <v>11089</v>
      </c>
      <c r="Z476" s="275" t="s">
        <v>11313</v>
      </c>
      <c r="AA476" s="276"/>
      <c r="AB476" s="277"/>
      <c r="AC476" s="277"/>
      <c r="AD476" s="277"/>
    </row>
    <row r="477" ht="15.75" hidden="1" customHeight="1" outlineLevel="1">
      <c r="A477" s="228" t="s">
        <v>10833</v>
      </c>
      <c r="B477" s="270" t="s">
        <v>77</v>
      </c>
      <c r="C477" s="270" t="s">
        <v>33</v>
      </c>
      <c r="D477" s="209" t="s">
        <v>89</v>
      </c>
      <c r="E477" s="271" t="s">
        <v>35</v>
      </c>
      <c r="F477" s="182" t="s">
        <v>11167</v>
      </c>
      <c r="G477" s="209" t="s">
        <v>33</v>
      </c>
      <c r="H477" s="212" t="s">
        <v>11288</v>
      </c>
      <c r="I477" s="182" t="s">
        <v>51</v>
      </c>
      <c r="J477" s="303" t="s">
        <v>11212</v>
      </c>
      <c r="K477" s="182" t="s">
        <v>29</v>
      </c>
      <c r="L477" s="212" t="s">
        <v>11214</v>
      </c>
      <c r="M477" s="209" t="s">
        <v>33</v>
      </c>
      <c r="N477" s="181" t="s">
        <v>10499</v>
      </c>
      <c r="O477" s="58" t="str">
        <f t="shared" si="14"/>
        <v>L2.02.03.02.09.01</v>
      </c>
      <c r="P477" s="272" t="str">
        <f t="shared" si="16"/>
        <v>L2.02.03.02.09.01.02</v>
      </c>
      <c r="Q477" s="185" t="s">
        <v>10530</v>
      </c>
      <c r="R477" s="273" t="str">
        <f t="shared" si="17"/>
        <v>Nhóm Quản lý 04</v>
      </c>
      <c r="S477" s="274" t="str">
        <f>P476</f>
        <v>L2.02.03.02.09.00.02</v>
      </c>
      <c r="T477" s="183"/>
      <c r="U477" s="183"/>
      <c r="V477" s="183"/>
      <c r="W477" s="183"/>
      <c r="X477" s="183"/>
      <c r="Y477" s="184" t="s">
        <v>11089</v>
      </c>
      <c r="Z477" s="275" t="s">
        <v>11314</v>
      </c>
      <c r="AA477" s="276"/>
      <c r="AB477" s="277"/>
      <c r="AC477" s="277"/>
      <c r="AD477" s="277"/>
    </row>
    <row r="478" ht="15.75" hidden="1" customHeight="1" outlineLevel="1">
      <c r="A478" s="228" t="s">
        <v>10833</v>
      </c>
      <c r="B478" s="270" t="s">
        <v>77</v>
      </c>
      <c r="C478" s="270" t="s">
        <v>33</v>
      </c>
      <c r="D478" s="209" t="s">
        <v>89</v>
      </c>
      <c r="E478" s="271" t="s">
        <v>35</v>
      </c>
      <c r="F478" s="182" t="s">
        <v>11167</v>
      </c>
      <c r="G478" s="209" t="s">
        <v>33</v>
      </c>
      <c r="H478" s="212" t="s">
        <v>11288</v>
      </c>
      <c r="I478" s="182" t="s">
        <v>51</v>
      </c>
      <c r="J478" s="303" t="s">
        <v>11212</v>
      </c>
      <c r="K478" s="228" t="s">
        <v>33</v>
      </c>
      <c r="L478" s="303" t="s">
        <v>11216</v>
      </c>
      <c r="M478" s="209" t="s">
        <v>33</v>
      </c>
      <c r="N478" s="181" t="s">
        <v>10499</v>
      </c>
      <c r="O478" s="58" t="str">
        <f t="shared" si="14"/>
        <v>L2.02.03.02.09.02</v>
      </c>
      <c r="P478" s="272" t="str">
        <f t="shared" si="16"/>
        <v>L2.02.03.02.09.02.02</v>
      </c>
      <c r="Q478" s="185" t="s">
        <v>10530</v>
      </c>
      <c r="R478" s="273" t="str">
        <f t="shared" si="17"/>
        <v>Nhóm KD MISA AMIS Kế toán 04</v>
      </c>
      <c r="S478" s="274" t="str">
        <f>P476</f>
        <v>L2.02.03.02.09.00.02</v>
      </c>
      <c r="T478" s="183"/>
      <c r="U478" s="183"/>
      <c r="V478" s="183"/>
      <c r="W478" s="183"/>
      <c r="X478" s="183"/>
      <c r="Y478" s="184" t="s">
        <v>11089</v>
      </c>
      <c r="Z478" s="275" t="s">
        <v>11315</v>
      </c>
      <c r="AA478" s="276"/>
      <c r="AB478" s="277"/>
      <c r="AC478" s="277"/>
      <c r="AD478" s="277"/>
    </row>
    <row r="479" ht="15.75" hidden="1" customHeight="1" outlineLevel="1">
      <c r="A479" s="228" t="s">
        <v>10833</v>
      </c>
      <c r="B479" s="270" t="s">
        <v>77</v>
      </c>
      <c r="C479" s="270" t="s">
        <v>33</v>
      </c>
      <c r="D479" s="209" t="s">
        <v>89</v>
      </c>
      <c r="E479" s="271" t="s">
        <v>35</v>
      </c>
      <c r="F479" s="182" t="s">
        <v>11167</v>
      </c>
      <c r="G479" s="209" t="s">
        <v>33</v>
      </c>
      <c r="H479" s="212" t="s">
        <v>11288</v>
      </c>
      <c r="I479" s="182" t="s">
        <v>51</v>
      </c>
      <c r="J479" s="303" t="s">
        <v>11212</v>
      </c>
      <c r="K479" s="228" t="s">
        <v>35</v>
      </c>
      <c r="L479" s="303" t="s">
        <v>11218</v>
      </c>
      <c r="M479" s="209" t="s">
        <v>33</v>
      </c>
      <c r="N479" s="181" t="s">
        <v>10499</v>
      </c>
      <c r="O479" s="58" t="str">
        <f t="shared" si="14"/>
        <v>L2.02.03.02.09.03</v>
      </c>
      <c r="P479" s="272" t="str">
        <f t="shared" si="16"/>
        <v>L2.02.03.02.09.03.02</v>
      </c>
      <c r="Q479" s="185" t="s">
        <v>10530</v>
      </c>
      <c r="R479" s="273" t="str">
        <f t="shared" si="17"/>
        <v>Nhóm KD MISA AMIS Điều hành 04</v>
      </c>
      <c r="S479" s="274" t="str">
        <f>P476</f>
        <v>L2.02.03.02.09.00.02</v>
      </c>
      <c r="T479" s="183"/>
      <c r="U479" s="183"/>
      <c r="V479" s="183"/>
      <c r="W479" s="183"/>
      <c r="X479" s="183"/>
      <c r="Y479" s="184" t="s">
        <v>11089</v>
      </c>
      <c r="Z479" s="275" t="s">
        <v>11316</v>
      </c>
      <c r="AA479" s="276"/>
      <c r="AB479" s="277"/>
      <c r="AC479" s="277"/>
      <c r="AD479" s="277"/>
    </row>
    <row r="480" ht="15.75" hidden="1" customHeight="1" outlineLevel="1">
      <c r="A480" s="228" t="s">
        <v>10833</v>
      </c>
      <c r="B480" s="270" t="s">
        <v>77</v>
      </c>
      <c r="C480" s="270" t="s">
        <v>33</v>
      </c>
      <c r="D480" s="209" t="s">
        <v>89</v>
      </c>
      <c r="E480" s="271" t="s">
        <v>35</v>
      </c>
      <c r="F480" s="182" t="s">
        <v>11167</v>
      </c>
      <c r="G480" s="209" t="s">
        <v>33</v>
      </c>
      <c r="H480" s="212" t="s">
        <v>11288</v>
      </c>
      <c r="I480" s="182" t="s">
        <v>51</v>
      </c>
      <c r="J480" s="303" t="s">
        <v>11212</v>
      </c>
      <c r="K480" s="228" t="s">
        <v>37</v>
      </c>
      <c r="L480" s="390" t="s">
        <v>11220</v>
      </c>
      <c r="M480" s="209" t="s">
        <v>33</v>
      </c>
      <c r="N480" s="181" t="s">
        <v>10499</v>
      </c>
      <c r="O480" s="58" t="str">
        <f t="shared" si="14"/>
        <v>L2.02.03.02.09.04</v>
      </c>
      <c r="P480" s="272" t="str">
        <f t="shared" si="16"/>
        <v>L2.02.03.02.09.04.02</v>
      </c>
      <c r="Q480" s="185" t="s">
        <v>10530</v>
      </c>
      <c r="R480" s="273" t="str">
        <f t="shared" si="17"/>
        <v>Nhóm KD MISA AMIS Nhân sự 04</v>
      </c>
      <c r="S480" s="274" t="str">
        <f>P476</f>
        <v>L2.02.03.02.09.00.02</v>
      </c>
      <c r="T480" s="183"/>
      <c r="U480" s="183"/>
      <c r="V480" s="183"/>
      <c r="W480" s="183"/>
      <c r="X480" s="183"/>
      <c r="Y480" s="184" t="s">
        <v>11089</v>
      </c>
      <c r="Z480" s="275" t="s">
        <v>11317</v>
      </c>
      <c r="AA480" s="276"/>
      <c r="AB480" s="277"/>
      <c r="AC480" s="277"/>
      <c r="AD480" s="277"/>
    </row>
    <row r="481" ht="15.75" hidden="1" customHeight="1" outlineLevel="1">
      <c r="A481" s="228" t="s">
        <v>10833</v>
      </c>
      <c r="B481" s="270" t="s">
        <v>77</v>
      </c>
      <c r="C481" s="270" t="s">
        <v>33</v>
      </c>
      <c r="D481" s="209" t="s">
        <v>89</v>
      </c>
      <c r="E481" s="271" t="s">
        <v>35</v>
      </c>
      <c r="F481" s="182" t="s">
        <v>11167</v>
      </c>
      <c r="G481" s="209" t="s">
        <v>33</v>
      </c>
      <c r="H481" s="212" t="s">
        <v>11288</v>
      </c>
      <c r="I481" s="182" t="s">
        <v>51</v>
      </c>
      <c r="J481" s="303" t="s">
        <v>11212</v>
      </c>
      <c r="K481" s="228" t="s">
        <v>42</v>
      </c>
      <c r="L481" s="390" t="s">
        <v>11222</v>
      </c>
      <c r="M481" s="209" t="s">
        <v>33</v>
      </c>
      <c r="N481" s="181" t="s">
        <v>10499</v>
      </c>
      <c r="O481" s="58" t="str">
        <f t="shared" si="14"/>
        <v>L2.02.03.02.09.05</v>
      </c>
      <c r="P481" s="272" t="str">
        <f t="shared" si="16"/>
        <v>L2.02.03.02.09.05.02</v>
      </c>
      <c r="Q481" s="185" t="s">
        <v>10530</v>
      </c>
      <c r="R481" s="273" t="str">
        <f t="shared" si="17"/>
        <v>Nhóm KD MISA AMIS Bán hàng 04</v>
      </c>
      <c r="S481" s="274" t="str">
        <f>P476</f>
        <v>L2.02.03.02.09.00.02</v>
      </c>
      <c r="T481" s="183"/>
      <c r="U481" s="183"/>
      <c r="V481" s="183"/>
      <c r="W481" s="183"/>
      <c r="X481" s="183"/>
      <c r="Y481" s="184" t="s">
        <v>11089</v>
      </c>
      <c r="Z481" s="275" t="s">
        <v>11318</v>
      </c>
      <c r="AA481" s="276"/>
      <c r="AB481" s="277"/>
      <c r="AC481" s="277"/>
      <c r="AD481" s="277"/>
    </row>
    <row r="482" ht="15.75" hidden="1" customHeight="1" outlineLevel="1">
      <c r="A482" s="228" t="s">
        <v>10833</v>
      </c>
      <c r="B482" s="270" t="s">
        <v>77</v>
      </c>
      <c r="C482" s="270" t="s">
        <v>33</v>
      </c>
      <c r="D482" s="209" t="s">
        <v>89</v>
      </c>
      <c r="E482" s="271" t="s">
        <v>35</v>
      </c>
      <c r="F482" s="182" t="s">
        <v>11167</v>
      </c>
      <c r="G482" s="209" t="s">
        <v>33</v>
      </c>
      <c r="H482" s="212" t="s">
        <v>11288</v>
      </c>
      <c r="I482" s="182" t="s">
        <v>55</v>
      </c>
      <c r="J482" s="303" t="s">
        <v>11224</v>
      </c>
      <c r="K482" s="182" t="s">
        <v>27</v>
      </c>
      <c r="L482" s="209" t="s">
        <v>4</v>
      </c>
      <c r="M482" s="209" t="s">
        <v>33</v>
      </c>
      <c r="N482" s="181" t="s">
        <v>10499</v>
      </c>
      <c r="O482" s="58" t="str">
        <f t="shared" si="14"/>
        <v>L2.02.03.02.10.00</v>
      </c>
      <c r="P482" s="272" t="str">
        <f t="shared" si="16"/>
        <v>L2.02.03.02.10.00.02</v>
      </c>
      <c r="Q482" s="185" t="s">
        <v>10530</v>
      </c>
      <c r="R482" s="273" t="str">
        <f t="shared" si="17"/>
        <v>Phòng KD Bán mới 05</v>
      </c>
      <c r="S482" s="274" t="s">
        <v>11292</v>
      </c>
      <c r="T482" s="183"/>
      <c r="U482" s="183"/>
      <c r="V482" s="183"/>
      <c r="W482" s="183"/>
      <c r="X482" s="183"/>
      <c r="Y482" s="184" t="s">
        <v>11089</v>
      </c>
      <c r="Z482" s="275" t="s">
        <v>11319</v>
      </c>
      <c r="AA482" s="276"/>
      <c r="AB482" s="277"/>
      <c r="AC482" s="277"/>
      <c r="AD482" s="277"/>
    </row>
    <row r="483" ht="15.75" hidden="1" customHeight="1" outlineLevel="1">
      <c r="A483" s="228" t="s">
        <v>10833</v>
      </c>
      <c r="B483" s="270" t="s">
        <v>77</v>
      </c>
      <c r="C483" s="270" t="s">
        <v>33</v>
      </c>
      <c r="D483" s="209" t="s">
        <v>89</v>
      </c>
      <c r="E483" s="271" t="s">
        <v>35</v>
      </c>
      <c r="F483" s="182" t="s">
        <v>11167</v>
      </c>
      <c r="G483" s="209" t="s">
        <v>33</v>
      </c>
      <c r="H483" s="212" t="s">
        <v>11288</v>
      </c>
      <c r="I483" s="182" t="s">
        <v>55</v>
      </c>
      <c r="J483" s="303" t="s">
        <v>11224</v>
      </c>
      <c r="K483" s="182" t="s">
        <v>29</v>
      </c>
      <c r="L483" s="212" t="s">
        <v>11226</v>
      </c>
      <c r="M483" s="209" t="s">
        <v>33</v>
      </c>
      <c r="N483" s="181" t="s">
        <v>10499</v>
      </c>
      <c r="O483" s="58" t="str">
        <f t="shared" si="14"/>
        <v>L2.02.03.02.10.01</v>
      </c>
      <c r="P483" s="272" t="str">
        <f t="shared" si="16"/>
        <v>L2.02.03.02.10.01.02</v>
      </c>
      <c r="Q483" s="185" t="s">
        <v>10530</v>
      </c>
      <c r="R483" s="273" t="str">
        <f t="shared" si="17"/>
        <v>Nhóm Quản lý 05</v>
      </c>
      <c r="S483" s="274" t="str">
        <f>P482</f>
        <v>L2.02.03.02.10.00.02</v>
      </c>
      <c r="T483" s="183"/>
      <c r="U483" s="183"/>
      <c r="V483" s="183"/>
      <c r="W483" s="183"/>
      <c r="X483" s="183"/>
      <c r="Y483" s="184" t="s">
        <v>11089</v>
      </c>
      <c r="Z483" s="275" t="s">
        <v>11320</v>
      </c>
      <c r="AA483" s="276"/>
      <c r="AB483" s="277"/>
      <c r="AC483" s="277"/>
      <c r="AD483" s="277"/>
    </row>
    <row r="484" ht="15.75" hidden="1" customHeight="1" outlineLevel="1">
      <c r="A484" s="228" t="s">
        <v>10833</v>
      </c>
      <c r="B484" s="270" t="s">
        <v>77</v>
      </c>
      <c r="C484" s="270" t="s">
        <v>33</v>
      </c>
      <c r="D484" s="209" t="s">
        <v>89</v>
      </c>
      <c r="E484" s="271" t="s">
        <v>35</v>
      </c>
      <c r="F484" s="182" t="s">
        <v>11167</v>
      </c>
      <c r="G484" s="209" t="s">
        <v>33</v>
      </c>
      <c r="H484" s="212" t="s">
        <v>11288</v>
      </c>
      <c r="I484" s="182" t="s">
        <v>55</v>
      </c>
      <c r="J484" s="303" t="s">
        <v>11224</v>
      </c>
      <c r="K484" s="228" t="s">
        <v>33</v>
      </c>
      <c r="L484" s="303" t="s">
        <v>11228</v>
      </c>
      <c r="M484" s="209" t="s">
        <v>33</v>
      </c>
      <c r="N484" s="181" t="s">
        <v>10499</v>
      </c>
      <c r="O484" s="58" t="str">
        <f t="shared" si="14"/>
        <v>L2.02.03.02.10.02</v>
      </c>
      <c r="P484" s="272" t="str">
        <f t="shared" si="16"/>
        <v>L2.02.03.02.10.02.02</v>
      </c>
      <c r="Q484" s="185" t="s">
        <v>10530</v>
      </c>
      <c r="R484" s="273" t="str">
        <f t="shared" si="17"/>
        <v>Nhóm KD MISA AMIS Kế toán 05</v>
      </c>
      <c r="S484" s="274" t="str">
        <f>P482</f>
        <v>L2.02.03.02.10.00.02</v>
      </c>
      <c r="T484" s="183"/>
      <c r="U484" s="183"/>
      <c r="V484" s="183"/>
      <c r="W484" s="183"/>
      <c r="X484" s="183"/>
      <c r="Y484" s="184" t="s">
        <v>11089</v>
      </c>
      <c r="Z484" s="275" t="s">
        <v>11321</v>
      </c>
      <c r="AA484" s="276"/>
      <c r="AB484" s="277"/>
      <c r="AC484" s="277"/>
      <c r="AD484" s="277"/>
    </row>
    <row r="485" ht="15.75" hidden="1" customHeight="1" outlineLevel="1">
      <c r="A485" s="228" t="s">
        <v>10833</v>
      </c>
      <c r="B485" s="270" t="s">
        <v>77</v>
      </c>
      <c r="C485" s="270" t="s">
        <v>33</v>
      </c>
      <c r="D485" s="209" t="s">
        <v>89</v>
      </c>
      <c r="E485" s="271" t="s">
        <v>35</v>
      </c>
      <c r="F485" s="182" t="s">
        <v>11167</v>
      </c>
      <c r="G485" s="209" t="s">
        <v>33</v>
      </c>
      <c r="H485" s="212" t="s">
        <v>11288</v>
      </c>
      <c r="I485" s="182" t="s">
        <v>55</v>
      </c>
      <c r="J485" s="303" t="s">
        <v>11224</v>
      </c>
      <c r="K485" s="228" t="s">
        <v>35</v>
      </c>
      <c r="L485" s="303" t="s">
        <v>11230</v>
      </c>
      <c r="M485" s="209" t="s">
        <v>33</v>
      </c>
      <c r="N485" s="181" t="s">
        <v>10499</v>
      </c>
      <c r="O485" s="58" t="str">
        <f t="shared" si="14"/>
        <v>L2.02.03.02.10.03</v>
      </c>
      <c r="P485" s="272" t="str">
        <f t="shared" si="16"/>
        <v>L2.02.03.02.10.03.02</v>
      </c>
      <c r="Q485" s="185" t="s">
        <v>10530</v>
      </c>
      <c r="R485" s="273" t="str">
        <f t="shared" si="17"/>
        <v>Nhóm KD MISA AMIS Điều hành 05</v>
      </c>
      <c r="S485" s="274" t="str">
        <f>P482</f>
        <v>L2.02.03.02.10.00.02</v>
      </c>
      <c r="T485" s="183"/>
      <c r="U485" s="183"/>
      <c r="V485" s="183"/>
      <c r="W485" s="183"/>
      <c r="X485" s="183"/>
      <c r="Y485" s="184" t="s">
        <v>11089</v>
      </c>
      <c r="Z485" s="275" t="s">
        <v>11322</v>
      </c>
      <c r="AA485" s="276"/>
      <c r="AB485" s="277"/>
      <c r="AC485" s="277"/>
      <c r="AD485" s="277"/>
    </row>
    <row r="486" ht="15.75" hidden="1" customHeight="1" outlineLevel="1">
      <c r="A486" s="228" t="s">
        <v>10833</v>
      </c>
      <c r="B486" s="270" t="s">
        <v>77</v>
      </c>
      <c r="C486" s="270" t="s">
        <v>33</v>
      </c>
      <c r="D486" s="209" t="s">
        <v>89</v>
      </c>
      <c r="E486" s="271" t="s">
        <v>35</v>
      </c>
      <c r="F486" s="182" t="s">
        <v>11167</v>
      </c>
      <c r="G486" s="209" t="s">
        <v>33</v>
      </c>
      <c r="H486" s="212" t="s">
        <v>11288</v>
      </c>
      <c r="I486" s="182" t="s">
        <v>55</v>
      </c>
      <c r="J486" s="303" t="s">
        <v>11224</v>
      </c>
      <c r="K486" s="228" t="s">
        <v>37</v>
      </c>
      <c r="L486" s="390" t="s">
        <v>11232</v>
      </c>
      <c r="M486" s="209" t="s">
        <v>33</v>
      </c>
      <c r="N486" s="181" t="s">
        <v>10499</v>
      </c>
      <c r="O486" s="58" t="str">
        <f t="shared" si="14"/>
        <v>L2.02.03.02.10.04</v>
      </c>
      <c r="P486" s="272" t="str">
        <f t="shared" si="16"/>
        <v>L2.02.03.02.10.04.02</v>
      </c>
      <c r="Q486" s="185" t="s">
        <v>10530</v>
      </c>
      <c r="R486" s="273" t="str">
        <f t="shared" si="17"/>
        <v>Nhóm KD MISA AMIS Nhân sự 05</v>
      </c>
      <c r="S486" s="274" t="str">
        <f>P482</f>
        <v>L2.02.03.02.10.00.02</v>
      </c>
      <c r="T486" s="183"/>
      <c r="U486" s="183"/>
      <c r="V486" s="183"/>
      <c r="W486" s="183"/>
      <c r="X486" s="183"/>
      <c r="Y486" s="184" t="s">
        <v>11089</v>
      </c>
      <c r="Z486" s="275" t="s">
        <v>11323</v>
      </c>
      <c r="AA486" s="276"/>
      <c r="AB486" s="277"/>
      <c r="AC486" s="277"/>
      <c r="AD486" s="277"/>
    </row>
    <row r="487" ht="15.75" hidden="1" customHeight="1" outlineLevel="1">
      <c r="A487" s="228" t="s">
        <v>10833</v>
      </c>
      <c r="B487" s="270" t="s">
        <v>77</v>
      </c>
      <c r="C487" s="270" t="s">
        <v>33</v>
      </c>
      <c r="D487" s="209" t="s">
        <v>89</v>
      </c>
      <c r="E487" s="271" t="s">
        <v>35</v>
      </c>
      <c r="F487" s="182" t="s">
        <v>11167</v>
      </c>
      <c r="G487" s="209" t="s">
        <v>33</v>
      </c>
      <c r="H487" s="212" t="s">
        <v>11288</v>
      </c>
      <c r="I487" s="182" t="s">
        <v>55</v>
      </c>
      <c r="J487" s="303" t="s">
        <v>11224</v>
      </c>
      <c r="K487" s="228" t="s">
        <v>42</v>
      </c>
      <c r="L487" s="390" t="s">
        <v>11234</v>
      </c>
      <c r="M487" s="209" t="s">
        <v>33</v>
      </c>
      <c r="N487" s="181" t="s">
        <v>10499</v>
      </c>
      <c r="O487" s="58" t="str">
        <f t="shared" si="14"/>
        <v>L2.02.03.02.10.05</v>
      </c>
      <c r="P487" s="272" t="str">
        <f t="shared" si="16"/>
        <v>L2.02.03.02.10.05.02</v>
      </c>
      <c r="Q487" s="185" t="s">
        <v>10530</v>
      </c>
      <c r="R487" s="273" t="str">
        <f t="shared" si="17"/>
        <v>Nhóm KD MISA AMIS Bán hàng 05</v>
      </c>
      <c r="S487" s="274" t="str">
        <f>P482</f>
        <v>L2.02.03.02.10.00.02</v>
      </c>
      <c r="T487" s="183"/>
      <c r="U487" s="183"/>
      <c r="V487" s="183"/>
      <c r="W487" s="183"/>
      <c r="X487" s="183"/>
      <c r="Y487" s="184" t="s">
        <v>11089</v>
      </c>
      <c r="Z487" s="275" t="s">
        <v>11324</v>
      </c>
      <c r="AA487" s="276"/>
      <c r="AB487" s="277"/>
      <c r="AC487" s="277"/>
      <c r="AD487" s="277"/>
    </row>
    <row r="488" ht="15.75" hidden="1" customHeight="1" outlineLevel="1">
      <c r="A488" s="228" t="s">
        <v>10833</v>
      </c>
      <c r="B488" s="270" t="s">
        <v>77</v>
      </c>
      <c r="C488" s="270" t="s">
        <v>33</v>
      </c>
      <c r="D488" s="209" t="s">
        <v>89</v>
      </c>
      <c r="E488" s="271" t="s">
        <v>35</v>
      </c>
      <c r="F488" s="182" t="s">
        <v>11167</v>
      </c>
      <c r="G488" s="209" t="s">
        <v>33</v>
      </c>
      <c r="H488" s="212" t="s">
        <v>11288</v>
      </c>
      <c r="I488" s="182" t="s">
        <v>61</v>
      </c>
      <c r="J488" s="303" t="s">
        <v>11236</v>
      </c>
      <c r="K488" s="182" t="s">
        <v>27</v>
      </c>
      <c r="L488" s="209" t="s">
        <v>4</v>
      </c>
      <c r="M488" s="209" t="s">
        <v>33</v>
      </c>
      <c r="N488" s="181" t="s">
        <v>10499</v>
      </c>
      <c r="O488" s="58" t="str">
        <f t="shared" si="14"/>
        <v>L2.02.03.02.11.00</v>
      </c>
      <c r="P488" s="272" t="str">
        <f t="shared" si="16"/>
        <v>L2.02.03.02.11.00.02</v>
      </c>
      <c r="Q488" s="185" t="s">
        <v>10530</v>
      </c>
      <c r="R488" s="273" t="str">
        <f t="shared" si="17"/>
        <v>Phòng KD Bán mới 06</v>
      </c>
      <c r="S488" s="274" t="s">
        <v>11292</v>
      </c>
      <c r="T488" s="183"/>
      <c r="U488" s="183"/>
      <c r="V488" s="183"/>
      <c r="W488" s="183"/>
      <c r="X488" s="183"/>
      <c r="Y488" s="184" t="s">
        <v>11089</v>
      </c>
      <c r="Z488" s="275" t="s">
        <v>11325</v>
      </c>
      <c r="AA488" s="276"/>
      <c r="AB488" s="277"/>
      <c r="AC488" s="277"/>
      <c r="AD488" s="277"/>
    </row>
    <row r="489" ht="15.75" hidden="1" customHeight="1" outlineLevel="1">
      <c r="A489" s="228" t="s">
        <v>10833</v>
      </c>
      <c r="B489" s="270" t="s">
        <v>77</v>
      </c>
      <c r="C489" s="270" t="s">
        <v>33</v>
      </c>
      <c r="D489" s="209" t="s">
        <v>89</v>
      </c>
      <c r="E489" s="271" t="s">
        <v>35</v>
      </c>
      <c r="F489" s="182" t="s">
        <v>11167</v>
      </c>
      <c r="G489" s="209" t="s">
        <v>33</v>
      </c>
      <c r="H489" s="212" t="s">
        <v>11288</v>
      </c>
      <c r="I489" s="182" t="s">
        <v>61</v>
      </c>
      <c r="J489" s="303" t="s">
        <v>11236</v>
      </c>
      <c r="K489" s="182" t="s">
        <v>29</v>
      </c>
      <c r="L489" s="212" t="s">
        <v>11238</v>
      </c>
      <c r="M489" s="209" t="s">
        <v>33</v>
      </c>
      <c r="N489" s="181" t="s">
        <v>10499</v>
      </c>
      <c r="O489" s="58" t="str">
        <f t="shared" si="14"/>
        <v>L2.02.03.02.11.01</v>
      </c>
      <c r="P489" s="272" t="str">
        <f t="shared" si="16"/>
        <v>L2.02.03.02.11.01.02</v>
      </c>
      <c r="Q489" s="185" t="s">
        <v>10530</v>
      </c>
      <c r="R489" s="273" t="str">
        <f t="shared" si="17"/>
        <v>Nhóm Quản lý 06</v>
      </c>
      <c r="S489" s="274" t="str">
        <f>P488</f>
        <v>L2.02.03.02.11.00.02</v>
      </c>
      <c r="T489" s="183"/>
      <c r="U489" s="183"/>
      <c r="V489" s="183"/>
      <c r="W489" s="183"/>
      <c r="X489" s="183"/>
      <c r="Y489" s="184" t="s">
        <v>11089</v>
      </c>
      <c r="Z489" s="275" t="s">
        <v>11326</v>
      </c>
      <c r="AA489" s="276"/>
      <c r="AB489" s="277"/>
      <c r="AC489" s="277"/>
      <c r="AD489" s="277"/>
    </row>
    <row r="490" ht="15.75" hidden="1" customHeight="1" outlineLevel="1">
      <c r="A490" s="228" t="s">
        <v>10833</v>
      </c>
      <c r="B490" s="270" t="s">
        <v>77</v>
      </c>
      <c r="C490" s="270" t="s">
        <v>33</v>
      </c>
      <c r="D490" s="209" t="s">
        <v>89</v>
      </c>
      <c r="E490" s="271" t="s">
        <v>35</v>
      </c>
      <c r="F490" s="182" t="s">
        <v>11167</v>
      </c>
      <c r="G490" s="209" t="s">
        <v>33</v>
      </c>
      <c r="H490" s="212" t="s">
        <v>11288</v>
      </c>
      <c r="I490" s="182" t="s">
        <v>61</v>
      </c>
      <c r="J490" s="303" t="s">
        <v>11236</v>
      </c>
      <c r="K490" s="228" t="s">
        <v>33</v>
      </c>
      <c r="L490" s="303" t="s">
        <v>11228</v>
      </c>
      <c r="M490" s="209" t="s">
        <v>33</v>
      </c>
      <c r="N490" s="181" t="s">
        <v>10499</v>
      </c>
      <c r="O490" s="58" t="str">
        <f t="shared" si="14"/>
        <v>L2.02.03.02.11.02</v>
      </c>
      <c r="P490" s="272" t="str">
        <f t="shared" si="16"/>
        <v>L2.02.03.02.11.02.02</v>
      </c>
      <c r="Q490" s="185" t="s">
        <v>10530</v>
      </c>
      <c r="R490" s="273" t="str">
        <f t="shared" si="17"/>
        <v>Nhóm KD MISA AMIS Kế toán 05</v>
      </c>
      <c r="S490" s="274" t="str">
        <f>P488</f>
        <v>L2.02.03.02.11.00.02</v>
      </c>
      <c r="T490" s="183"/>
      <c r="U490" s="183"/>
      <c r="V490" s="183"/>
      <c r="W490" s="183"/>
      <c r="X490" s="183"/>
      <c r="Y490" s="184" t="s">
        <v>11089</v>
      </c>
      <c r="Z490" s="275" t="s">
        <v>11327</v>
      </c>
      <c r="AA490" s="276"/>
      <c r="AB490" s="277"/>
      <c r="AC490" s="277"/>
      <c r="AD490" s="277"/>
    </row>
    <row r="491" ht="15.75" hidden="1" customHeight="1" outlineLevel="1">
      <c r="A491" s="228" t="s">
        <v>10833</v>
      </c>
      <c r="B491" s="270" t="s">
        <v>77</v>
      </c>
      <c r="C491" s="270" t="s">
        <v>33</v>
      </c>
      <c r="D491" s="209" t="s">
        <v>89</v>
      </c>
      <c r="E491" s="271" t="s">
        <v>35</v>
      </c>
      <c r="F491" s="182" t="s">
        <v>11167</v>
      </c>
      <c r="G491" s="209" t="s">
        <v>33</v>
      </c>
      <c r="H491" s="212" t="s">
        <v>11288</v>
      </c>
      <c r="I491" s="182" t="s">
        <v>61</v>
      </c>
      <c r="J491" s="303" t="s">
        <v>11236</v>
      </c>
      <c r="K491" s="228" t="s">
        <v>35</v>
      </c>
      <c r="L491" s="303" t="s">
        <v>11230</v>
      </c>
      <c r="M491" s="209" t="s">
        <v>33</v>
      </c>
      <c r="N491" s="181" t="s">
        <v>10499</v>
      </c>
      <c r="O491" s="58" t="str">
        <f t="shared" si="14"/>
        <v>L2.02.03.02.11.03</v>
      </c>
      <c r="P491" s="272" t="str">
        <f t="shared" si="16"/>
        <v>L2.02.03.02.11.03.02</v>
      </c>
      <c r="Q491" s="185" t="s">
        <v>10530</v>
      </c>
      <c r="R491" s="273" t="str">
        <f t="shared" si="17"/>
        <v>Nhóm KD MISA AMIS Điều hành 05</v>
      </c>
      <c r="S491" s="274" t="str">
        <f>P488</f>
        <v>L2.02.03.02.11.00.02</v>
      </c>
      <c r="T491" s="183"/>
      <c r="U491" s="183"/>
      <c r="V491" s="183"/>
      <c r="W491" s="183"/>
      <c r="X491" s="183"/>
      <c r="Y491" s="184" t="s">
        <v>11089</v>
      </c>
      <c r="Z491" s="275" t="s">
        <v>11328</v>
      </c>
      <c r="AA491" s="276"/>
      <c r="AB491" s="277"/>
      <c r="AC491" s="277"/>
      <c r="AD491" s="277"/>
    </row>
    <row r="492" ht="15.75" hidden="1" customHeight="1" outlineLevel="1">
      <c r="A492" s="228" t="s">
        <v>10833</v>
      </c>
      <c r="B492" s="270" t="s">
        <v>77</v>
      </c>
      <c r="C492" s="270" t="s">
        <v>33</v>
      </c>
      <c r="D492" s="209" t="s">
        <v>89</v>
      </c>
      <c r="E492" s="271" t="s">
        <v>35</v>
      </c>
      <c r="F492" s="182" t="s">
        <v>11167</v>
      </c>
      <c r="G492" s="209" t="s">
        <v>33</v>
      </c>
      <c r="H492" s="212" t="s">
        <v>11288</v>
      </c>
      <c r="I492" s="182" t="s">
        <v>61</v>
      </c>
      <c r="J492" s="303" t="s">
        <v>11236</v>
      </c>
      <c r="K492" s="228" t="s">
        <v>37</v>
      </c>
      <c r="L492" s="390" t="s">
        <v>11232</v>
      </c>
      <c r="M492" s="209" t="s">
        <v>33</v>
      </c>
      <c r="N492" s="181" t="s">
        <v>10499</v>
      </c>
      <c r="O492" s="58" t="str">
        <f t="shared" si="14"/>
        <v>L2.02.03.02.11.04</v>
      </c>
      <c r="P492" s="272" t="str">
        <f t="shared" si="16"/>
        <v>L2.02.03.02.11.04.02</v>
      </c>
      <c r="Q492" s="185" t="s">
        <v>10530</v>
      </c>
      <c r="R492" s="273" t="str">
        <f t="shared" si="17"/>
        <v>Nhóm KD MISA AMIS Nhân sự 05</v>
      </c>
      <c r="S492" s="274" t="str">
        <f>P488</f>
        <v>L2.02.03.02.11.00.02</v>
      </c>
      <c r="T492" s="183"/>
      <c r="U492" s="183"/>
      <c r="V492" s="183"/>
      <c r="W492" s="183"/>
      <c r="X492" s="183"/>
      <c r="Y492" s="184" t="s">
        <v>11089</v>
      </c>
      <c r="Z492" s="275" t="s">
        <v>11329</v>
      </c>
      <c r="AA492" s="276"/>
      <c r="AB492" s="277"/>
      <c r="AC492" s="277"/>
      <c r="AD492" s="277"/>
    </row>
    <row r="493" ht="15.75" hidden="1" customHeight="1" outlineLevel="1">
      <c r="A493" s="228" t="s">
        <v>10833</v>
      </c>
      <c r="B493" s="270" t="s">
        <v>77</v>
      </c>
      <c r="C493" s="270" t="s">
        <v>33</v>
      </c>
      <c r="D493" s="209" t="s">
        <v>89</v>
      </c>
      <c r="E493" s="271" t="s">
        <v>35</v>
      </c>
      <c r="F493" s="182" t="s">
        <v>11167</v>
      </c>
      <c r="G493" s="209" t="s">
        <v>33</v>
      </c>
      <c r="H493" s="212" t="s">
        <v>11288</v>
      </c>
      <c r="I493" s="182" t="s">
        <v>61</v>
      </c>
      <c r="J493" s="303" t="s">
        <v>11236</v>
      </c>
      <c r="K493" s="228" t="s">
        <v>42</v>
      </c>
      <c r="L493" s="390" t="s">
        <v>11234</v>
      </c>
      <c r="M493" s="209" t="s">
        <v>33</v>
      </c>
      <c r="N493" s="181" t="s">
        <v>10499</v>
      </c>
      <c r="O493" s="58" t="str">
        <f t="shared" si="14"/>
        <v>L2.02.03.02.11.05</v>
      </c>
      <c r="P493" s="272" t="str">
        <f t="shared" si="16"/>
        <v>L2.02.03.02.11.05.02</v>
      </c>
      <c r="Q493" s="185" t="s">
        <v>10530</v>
      </c>
      <c r="R493" s="273" t="str">
        <f t="shared" si="17"/>
        <v>Nhóm KD MISA AMIS Bán hàng 05</v>
      </c>
      <c r="S493" s="274" t="str">
        <f>P488</f>
        <v>L2.02.03.02.11.00.02</v>
      </c>
      <c r="T493" s="183"/>
      <c r="U493" s="183"/>
      <c r="V493" s="183"/>
      <c r="W493" s="183"/>
      <c r="X493" s="183"/>
      <c r="Y493" s="184" t="s">
        <v>11089</v>
      </c>
      <c r="Z493" s="275" t="s">
        <v>11330</v>
      </c>
      <c r="AA493" s="276"/>
      <c r="AB493" s="277"/>
      <c r="AC493" s="277"/>
      <c r="AD493" s="277"/>
    </row>
    <row r="494" ht="15.75" hidden="1" customHeight="1" outlineLevel="1">
      <c r="A494" s="261" t="s">
        <v>10833</v>
      </c>
      <c r="B494" s="231" t="s">
        <v>77</v>
      </c>
      <c r="C494" s="231" t="s">
        <v>33</v>
      </c>
      <c r="D494" s="157" t="s">
        <v>89</v>
      </c>
      <c r="E494" s="297" t="s">
        <v>35</v>
      </c>
      <c r="F494" s="168" t="s">
        <v>11167</v>
      </c>
      <c r="G494" s="157" t="s">
        <v>33</v>
      </c>
      <c r="H494" s="212" t="s">
        <v>11288</v>
      </c>
      <c r="I494" s="168" t="s">
        <v>37</v>
      </c>
      <c r="J494" s="264" t="s">
        <v>1067</v>
      </c>
      <c r="K494" s="297" t="s">
        <v>27</v>
      </c>
      <c r="L494" s="305" t="s">
        <v>4</v>
      </c>
      <c r="M494" s="157" t="s">
        <v>33</v>
      </c>
      <c r="N494" s="167" t="s">
        <v>10499</v>
      </c>
      <c r="O494" s="55" t="str">
        <f t="shared" si="14"/>
        <v>L2.02.03.02.04.00</v>
      </c>
      <c r="P494" s="257" t="str">
        <f t="shared" si="16"/>
        <v>L2.02.03.02.04.00.02</v>
      </c>
      <c r="Q494" s="161" t="s">
        <v>10530</v>
      </c>
      <c r="R494" s="299" t="str">
        <f t="shared" si="17"/>
        <v>Phòng KD bán thêm 01</v>
      </c>
      <c r="S494" s="269" t="s">
        <v>11292</v>
      </c>
      <c r="T494" s="265" t="s">
        <v>7466</v>
      </c>
      <c r="U494" s="265" t="s">
        <v>262</v>
      </c>
      <c r="V494" s="265" t="s">
        <v>275</v>
      </c>
      <c r="W494" s="265" t="s">
        <v>2029</v>
      </c>
      <c r="X494" s="265" t="s">
        <v>11331</v>
      </c>
      <c r="Y494" s="265"/>
      <c r="Z494" s="225" t="s">
        <v>11332</v>
      </c>
      <c r="AA494" s="300" t="s">
        <v>10530</v>
      </c>
      <c r="AB494" s="267"/>
      <c r="AC494" s="267"/>
      <c r="AD494" s="267"/>
    </row>
    <row r="495" ht="15.75" hidden="1" customHeight="1" outlineLevel="1">
      <c r="A495" s="261" t="s">
        <v>10833</v>
      </c>
      <c r="B495" s="231" t="s">
        <v>77</v>
      </c>
      <c r="C495" s="231" t="s">
        <v>33</v>
      </c>
      <c r="D495" s="157" t="s">
        <v>89</v>
      </c>
      <c r="E495" s="297" t="s">
        <v>35</v>
      </c>
      <c r="F495" s="168" t="s">
        <v>11167</v>
      </c>
      <c r="G495" s="157" t="s">
        <v>33</v>
      </c>
      <c r="H495" s="212" t="s">
        <v>11288</v>
      </c>
      <c r="I495" s="168" t="s">
        <v>37</v>
      </c>
      <c r="J495" s="264" t="s">
        <v>1067</v>
      </c>
      <c r="K495" s="168" t="s">
        <v>29</v>
      </c>
      <c r="L495" s="184" t="s">
        <v>11178</v>
      </c>
      <c r="M495" s="157" t="s">
        <v>33</v>
      </c>
      <c r="N495" s="167" t="s">
        <v>10499</v>
      </c>
      <c r="O495" s="55" t="str">
        <f t="shared" si="14"/>
        <v>L2.02.03.02.04.01</v>
      </c>
      <c r="P495" s="257" t="str">
        <f t="shared" si="16"/>
        <v>L2.02.03.02.04.01.02</v>
      </c>
      <c r="Q495" s="161" t="s">
        <v>10530</v>
      </c>
      <c r="R495" s="273" t="str">
        <f t="shared" si="17"/>
        <v>Nhóm Quản lý 01</v>
      </c>
      <c r="S495" s="269" t="s">
        <v>11333</v>
      </c>
      <c r="T495" s="265"/>
      <c r="U495" s="265"/>
      <c r="V495" s="265"/>
      <c r="W495" s="265"/>
      <c r="X495" s="265"/>
      <c r="Y495" s="264" t="s">
        <v>11089</v>
      </c>
      <c r="Z495" s="225" t="s">
        <v>11334</v>
      </c>
      <c r="AA495" s="300" t="s">
        <v>10530</v>
      </c>
      <c r="AB495" s="267"/>
      <c r="AC495" s="267"/>
      <c r="AD495" s="267"/>
    </row>
    <row r="496" ht="15.75" hidden="1" customHeight="1" outlineLevel="1">
      <c r="A496" s="261" t="s">
        <v>10833</v>
      </c>
      <c r="B496" s="231" t="s">
        <v>77</v>
      </c>
      <c r="C496" s="231" t="s">
        <v>33</v>
      </c>
      <c r="D496" s="157" t="s">
        <v>89</v>
      </c>
      <c r="E496" s="297" t="s">
        <v>35</v>
      </c>
      <c r="F496" s="168" t="s">
        <v>11167</v>
      </c>
      <c r="G496" s="157" t="s">
        <v>33</v>
      </c>
      <c r="H496" s="212" t="s">
        <v>11288</v>
      </c>
      <c r="I496" s="168" t="s">
        <v>37</v>
      </c>
      <c r="J496" s="264" t="s">
        <v>1067</v>
      </c>
      <c r="K496" s="261" t="s">
        <v>33</v>
      </c>
      <c r="L496" s="184" t="s">
        <v>11251</v>
      </c>
      <c r="M496" s="157" t="s">
        <v>33</v>
      </c>
      <c r="N496" s="167" t="s">
        <v>10499</v>
      </c>
      <c r="O496" s="55" t="str">
        <f t="shared" si="14"/>
        <v>L2.02.03.02.04.02</v>
      </c>
      <c r="P496" s="257" t="str">
        <f t="shared" si="16"/>
        <v>L2.02.03.02.04.02.02</v>
      </c>
      <c r="Q496" s="161" t="s">
        <v>10530</v>
      </c>
      <c r="R496" s="299" t="str">
        <f t="shared" si="17"/>
        <v>Nhóm Quản lý khách hàng 01</v>
      </c>
      <c r="S496" s="269" t="s">
        <v>11333</v>
      </c>
      <c r="T496" s="265" t="s">
        <v>2070</v>
      </c>
      <c r="U496" s="265" t="s">
        <v>262</v>
      </c>
      <c r="V496" s="265" t="s">
        <v>275</v>
      </c>
      <c r="W496" s="265" t="s">
        <v>2029</v>
      </c>
      <c r="X496" s="265" t="s">
        <v>1985</v>
      </c>
      <c r="Y496" s="265"/>
      <c r="Z496" s="225" t="s">
        <v>11335</v>
      </c>
      <c r="AA496" s="300" t="s">
        <v>10530</v>
      </c>
      <c r="AB496" s="267"/>
      <c r="AC496" s="267"/>
      <c r="AD496" s="267"/>
    </row>
    <row r="497" ht="15.75" hidden="1" customHeight="1" outlineLevel="1">
      <c r="A497" s="261" t="s">
        <v>10833</v>
      </c>
      <c r="B497" s="231" t="s">
        <v>77</v>
      </c>
      <c r="C497" s="231" t="s">
        <v>33</v>
      </c>
      <c r="D497" s="157" t="s">
        <v>89</v>
      </c>
      <c r="E497" s="297" t="s">
        <v>35</v>
      </c>
      <c r="F497" s="168" t="s">
        <v>11167</v>
      </c>
      <c r="G497" s="157" t="s">
        <v>33</v>
      </c>
      <c r="H497" s="212" t="s">
        <v>11288</v>
      </c>
      <c r="I497" s="168" t="s">
        <v>37</v>
      </c>
      <c r="J497" s="264" t="s">
        <v>1067</v>
      </c>
      <c r="K497" s="261" t="s">
        <v>35</v>
      </c>
      <c r="L497" s="184" t="s">
        <v>11253</v>
      </c>
      <c r="M497" s="157" t="s">
        <v>33</v>
      </c>
      <c r="N497" s="167" t="s">
        <v>10499</v>
      </c>
      <c r="O497" s="55" t="str">
        <f t="shared" si="14"/>
        <v>L2.02.03.02.04.03</v>
      </c>
      <c r="P497" s="257" t="str">
        <f t="shared" si="16"/>
        <v>L2.02.03.02.04.03.02</v>
      </c>
      <c r="Q497" s="161" t="s">
        <v>10530</v>
      </c>
      <c r="R497" s="299" t="str">
        <f t="shared" si="17"/>
        <v>Nhóm Bán thêm AMIS Kế toán 01</v>
      </c>
      <c r="S497" s="269" t="s">
        <v>11333</v>
      </c>
      <c r="T497" s="265" t="s">
        <v>8883</v>
      </c>
      <c r="U497" s="265" t="s">
        <v>262</v>
      </c>
      <c r="V497" s="265" t="s">
        <v>275</v>
      </c>
      <c r="W497" s="265" t="s">
        <v>2029</v>
      </c>
      <c r="X497" s="265" t="s">
        <v>2034</v>
      </c>
      <c r="Y497" s="265"/>
      <c r="Z497" s="225" t="s">
        <v>11336</v>
      </c>
      <c r="AA497" s="300" t="s">
        <v>10530</v>
      </c>
      <c r="AB497" s="267"/>
      <c r="AC497" s="267"/>
      <c r="AD497" s="267"/>
    </row>
    <row r="498" ht="15.75" hidden="1" customHeight="1" outlineLevel="1">
      <c r="A498" s="261" t="s">
        <v>10833</v>
      </c>
      <c r="B498" s="231" t="s">
        <v>77</v>
      </c>
      <c r="C498" s="231" t="s">
        <v>33</v>
      </c>
      <c r="D498" s="157" t="s">
        <v>89</v>
      </c>
      <c r="E498" s="297" t="s">
        <v>35</v>
      </c>
      <c r="F498" s="168" t="s">
        <v>11167</v>
      </c>
      <c r="G498" s="157" t="s">
        <v>33</v>
      </c>
      <c r="H498" s="212" t="s">
        <v>11288</v>
      </c>
      <c r="I498" s="168" t="s">
        <v>37</v>
      </c>
      <c r="J498" s="264" t="s">
        <v>1067</v>
      </c>
      <c r="K498" s="261" t="s">
        <v>37</v>
      </c>
      <c r="L498" s="184" t="s">
        <v>11255</v>
      </c>
      <c r="M498" s="157" t="s">
        <v>33</v>
      </c>
      <c r="N498" s="167" t="s">
        <v>10499</v>
      </c>
      <c r="O498" s="55" t="str">
        <f t="shared" si="14"/>
        <v>L2.02.03.02.04.04</v>
      </c>
      <c r="P498" s="257" t="str">
        <f t="shared" si="16"/>
        <v>L2.02.03.02.04.04.02</v>
      </c>
      <c r="Q498" s="161" t="s">
        <v>10530</v>
      </c>
      <c r="R498" s="299" t="str">
        <f t="shared" si="17"/>
        <v>Nhóm Bán thêm AMIS Bán hàng 01</v>
      </c>
      <c r="S498" s="269" t="s">
        <v>11333</v>
      </c>
      <c r="T498" s="265" t="s">
        <v>2131</v>
      </c>
      <c r="U498" s="265" t="s">
        <v>262</v>
      </c>
      <c r="V498" s="265" t="s">
        <v>275</v>
      </c>
      <c r="W498" s="265" t="s">
        <v>2029</v>
      </c>
      <c r="X498" s="265" t="s">
        <v>2051</v>
      </c>
      <c r="Y498" s="265"/>
      <c r="Z498" s="225" t="s">
        <v>11337</v>
      </c>
      <c r="AA498" s="300" t="s">
        <v>10530</v>
      </c>
      <c r="AB498" s="267"/>
      <c r="AC498" s="267"/>
      <c r="AD498" s="267"/>
    </row>
    <row r="499" ht="15.75" hidden="1" customHeight="1" outlineLevel="1">
      <c r="A499" s="261" t="s">
        <v>10833</v>
      </c>
      <c r="B499" s="231" t="s">
        <v>77</v>
      </c>
      <c r="C499" s="231" t="s">
        <v>33</v>
      </c>
      <c r="D499" s="157" t="s">
        <v>89</v>
      </c>
      <c r="E499" s="297" t="s">
        <v>35</v>
      </c>
      <c r="F499" s="168" t="s">
        <v>11167</v>
      </c>
      <c r="G499" s="157" t="s">
        <v>33</v>
      </c>
      <c r="H499" s="212" t="s">
        <v>11288</v>
      </c>
      <c r="I499" s="168" t="s">
        <v>37</v>
      </c>
      <c r="J499" s="264" t="s">
        <v>1067</v>
      </c>
      <c r="K499" s="261" t="s">
        <v>42</v>
      </c>
      <c r="L499" s="184" t="s">
        <v>11257</v>
      </c>
      <c r="M499" s="157" t="s">
        <v>33</v>
      </c>
      <c r="N499" s="167" t="s">
        <v>10499</v>
      </c>
      <c r="O499" s="55" t="str">
        <f t="shared" si="14"/>
        <v>L2.02.03.02.04.05</v>
      </c>
      <c r="P499" s="257" t="str">
        <f t="shared" si="16"/>
        <v>L2.02.03.02.04.05.02</v>
      </c>
      <c r="Q499" s="161" t="s">
        <v>10530</v>
      </c>
      <c r="R499" s="299" t="str">
        <f t="shared" si="17"/>
        <v>Nhóm Bán thêm AMIS Nhân sự 01</v>
      </c>
      <c r="S499" s="269" t="s">
        <v>11333</v>
      </c>
      <c r="T499" s="265" t="s">
        <v>2030</v>
      </c>
      <c r="U499" s="265" t="s">
        <v>262</v>
      </c>
      <c r="V499" s="265" t="s">
        <v>275</v>
      </c>
      <c r="W499" s="265" t="s">
        <v>2029</v>
      </c>
      <c r="X499" s="265" t="s">
        <v>2021</v>
      </c>
      <c r="Y499" s="265"/>
      <c r="Z499" s="225" t="s">
        <v>11338</v>
      </c>
      <c r="AA499" s="300" t="s">
        <v>10530</v>
      </c>
      <c r="AB499" s="267"/>
      <c r="AC499" s="267"/>
      <c r="AD499" s="267"/>
    </row>
    <row r="500" ht="15.75" hidden="1" customHeight="1" outlineLevel="1">
      <c r="A500" s="261" t="s">
        <v>10833</v>
      </c>
      <c r="B500" s="231" t="s">
        <v>77</v>
      </c>
      <c r="C500" s="231" t="s">
        <v>33</v>
      </c>
      <c r="D500" s="157" t="s">
        <v>89</v>
      </c>
      <c r="E500" s="297" t="s">
        <v>35</v>
      </c>
      <c r="F500" s="168" t="s">
        <v>11167</v>
      </c>
      <c r="G500" s="157" t="s">
        <v>33</v>
      </c>
      <c r="H500" s="212" t="s">
        <v>11288</v>
      </c>
      <c r="I500" s="168" t="s">
        <v>37</v>
      </c>
      <c r="J500" s="264" t="s">
        <v>1067</v>
      </c>
      <c r="K500" s="261" t="s">
        <v>44</v>
      </c>
      <c r="L500" s="184" t="s">
        <v>11259</v>
      </c>
      <c r="M500" s="157" t="s">
        <v>33</v>
      </c>
      <c r="N500" s="167" t="s">
        <v>10499</v>
      </c>
      <c r="O500" s="55" t="str">
        <f t="shared" si="14"/>
        <v>L2.02.03.02.04.06</v>
      </c>
      <c r="P500" s="257" t="str">
        <f t="shared" si="16"/>
        <v>L2.02.03.02.04.06.02</v>
      </c>
      <c r="Q500" s="161" t="s">
        <v>10530</v>
      </c>
      <c r="R500" s="299" t="str">
        <f t="shared" si="17"/>
        <v>Nhóm Bán thêm AMIS Điều hành 01</v>
      </c>
      <c r="S500" s="269" t="s">
        <v>11333</v>
      </c>
      <c r="T500" s="265" t="s">
        <v>8873</v>
      </c>
      <c r="U500" s="265" t="s">
        <v>262</v>
      </c>
      <c r="V500" s="265" t="s">
        <v>275</v>
      </c>
      <c r="W500" s="265" t="s">
        <v>2029</v>
      </c>
      <c r="X500" s="265" t="s">
        <v>2060</v>
      </c>
      <c r="Y500" s="265"/>
      <c r="Z500" s="225" t="s">
        <v>11339</v>
      </c>
      <c r="AA500" s="300" t="s">
        <v>10530</v>
      </c>
      <c r="AB500" s="267"/>
      <c r="AC500" s="267"/>
      <c r="AD500" s="267"/>
    </row>
    <row r="501" ht="15.75" hidden="1" customHeight="1" outlineLevel="1">
      <c r="A501" s="261" t="s">
        <v>10833</v>
      </c>
      <c r="B501" s="231" t="s">
        <v>77</v>
      </c>
      <c r="C501" s="231" t="s">
        <v>33</v>
      </c>
      <c r="D501" s="157" t="s">
        <v>89</v>
      </c>
      <c r="E501" s="297" t="s">
        <v>35</v>
      </c>
      <c r="F501" s="168" t="s">
        <v>11167</v>
      </c>
      <c r="G501" s="157" t="s">
        <v>33</v>
      </c>
      <c r="H501" s="212" t="s">
        <v>11288</v>
      </c>
      <c r="I501" s="168" t="s">
        <v>42</v>
      </c>
      <c r="J501" s="264" t="s">
        <v>927</v>
      </c>
      <c r="K501" s="297" t="s">
        <v>27</v>
      </c>
      <c r="L501" s="305" t="s">
        <v>4</v>
      </c>
      <c r="M501" s="157" t="s">
        <v>33</v>
      </c>
      <c r="N501" s="167" t="s">
        <v>10499</v>
      </c>
      <c r="O501" s="55" t="str">
        <f t="shared" si="14"/>
        <v>L2.02.03.02.05.00</v>
      </c>
      <c r="P501" s="257" t="str">
        <f t="shared" si="16"/>
        <v>L2.02.03.02.05.00.02</v>
      </c>
      <c r="Q501" s="161" t="s">
        <v>10530</v>
      </c>
      <c r="R501" s="299" t="str">
        <f t="shared" si="17"/>
        <v>Phòng KD bán thêm 02</v>
      </c>
      <c r="S501" s="269" t="s">
        <v>11292</v>
      </c>
      <c r="T501" s="265" t="s">
        <v>8912</v>
      </c>
      <c r="U501" s="265" t="s">
        <v>262</v>
      </c>
      <c r="V501" s="265" t="s">
        <v>275</v>
      </c>
      <c r="W501" s="265" t="s">
        <v>1986</v>
      </c>
      <c r="X501" s="265" t="s">
        <v>11331</v>
      </c>
      <c r="Y501" s="265"/>
      <c r="Z501" s="225" t="s">
        <v>11340</v>
      </c>
      <c r="AA501" s="300" t="s">
        <v>10530</v>
      </c>
      <c r="AB501" s="267"/>
      <c r="AC501" s="267"/>
      <c r="AD501" s="267"/>
    </row>
    <row r="502" ht="15.75" hidden="1" customHeight="1" outlineLevel="1">
      <c r="A502" s="261" t="s">
        <v>10833</v>
      </c>
      <c r="B502" s="231" t="s">
        <v>77</v>
      </c>
      <c r="C502" s="231" t="s">
        <v>33</v>
      </c>
      <c r="D502" s="157" t="s">
        <v>89</v>
      </c>
      <c r="E502" s="297" t="s">
        <v>35</v>
      </c>
      <c r="F502" s="168" t="s">
        <v>11167</v>
      </c>
      <c r="G502" s="157" t="s">
        <v>33</v>
      </c>
      <c r="H502" s="212" t="s">
        <v>11288</v>
      </c>
      <c r="I502" s="168" t="s">
        <v>42</v>
      </c>
      <c r="J502" s="264" t="s">
        <v>927</v>
      </c>
      <c r="K502" s="168" t="s">
        <v>29</v>
      </c>
      <c r="L502" s="184" t="s">
        <v>11190</v>
      </c>
      <c r="M502" s="157" t="s">
        <v>33</v>
      </c>
      <c r="N502" s="167" t="s">
        <v>10499</v>
      </c>
      <c r="O502" s="55" t="str">
        <f t="shared" si="14"/>
        <v>L2.02.03.02.05.01</v>
      </c>
      <c r="P502" s="257" t="str">
        <f t="shared" si="16"/>
        <v>L2.02.03.02.05.01.02</v>
      </c>
      <c r="Q502" s="161" t="s">
        <v>10530</v>
      </c>
      <c r="R502" s="299" t="str">
        <f t="shared" si="17"/>
        <v>Nhóm Quản lý 02</v>
      </c>
      <c r="S502" s="257" t="s">
        <v>11341</v>
      </c>
      <c r="T502" s="265"/>
      <c r="U502" s="265"/>
      <c r="V502" s="265"/>
      <c r="W502" s="265"/>
      <c r="X502" s="265"/>
      <c r="Y502" s="264" t="s">
        <v>11089</v>
      </c>
      <c r="Z502" s="225" t="s">
        <v>11342</v>
      </c>
      <c r="AA502" s="300" t="s">
        <v>10530</v>
      </c>
      <c r="AB502" s="267"/>
      <c r="AC502" s="267"/>
      <c r="AD502" s="267"/>
    </row>
    <row r="503" ht="15.75" hidden="1" customHeight="1" outlineLevel="1">
      <c r="A503" s="261" t="s">
        <v>10833</v>
      </c>
      <c r="B503" s="231" t="s">
        <v>77</v>
      </c>
      <c r="C503" s="231" t="s">
        <v>33</v>
      </c>
      <c r="D503" s="157" t="s">
        <v>89</v>
      </c>
      <c r="E503" s="297" t="s">
        <v>35</v>
      </c>
      <c r="F503" s="168" t="s">
        <v>11167</v>
      </c>
      <c r="G503" s="157" t="s">
        <v>33</v>
      </c>
      <c r="H503" s="212" t="s">
        <v>11288</v>
      </c>
      <c r="I503" s="168" t="s">
        <v>42</v>
      </c>
      <c r="J503" s="264" t="s">
        <v>927</v>
      </c>
      <c r="K503" s="261" t="s">
        <v>33</v>
      </c>
      <c r="L503" s="184" t="s">
        <v>11264</v>
      </c>
      <c r="M503" s="157" t="s">
        <v>33</v>
      </c>
      <c r="N503" s="167" t="s">
        <v>10499</v>
      </c>
      <c r="O503" s="55" t="str">
        <f t="shared" si="14"/>
        <v>L2.02.03.02.05.02</v>
      </c>
      <c r="P503" s="257" t="str">
        <f t="shared" si="16"/>
        <v>L2.02.03.02.05.02.02</v>
      </c>
      <c r="Q503" s="161" t="s">
        <v>10530</v>
      </c>
      <c r="R503" s="299" t="str">
        <f t="shared" si="17"/>
        <v>Nhóm Quản lý khách hàng 02</v>
      </c>
      <c r="S503" s="257" t="s">
        <v>11341</v>
      </c>
      <c r="T503" s="265" t="s">
        <v>1987</v>
      </c>
      <c r="U503" s="265" t="s">
        <v>262</v>
      </c>
      <c r="V503" s="265" t="s">
        <v>275</v>
      </c>
      <c r="W503" s="265" t="s">
        <v>1986</v>
      </c>
      <c r="X503" s="265" t="s">
        <v>1985</v>
      </c>
      <c r="Y503" s="265"/>
      <c r="Z503" s="225" t="s">
        <v>11343</v>
      </c>
      <c r="AA503" s="300" t="s">
        <v>10530</v>
      </c>
      <c r="AB503" s="267"/>
      <c r="AC503" s="267"/>
      <c r="AD503" s="267"/>
    </row>
    <row r="504" ht="15.75" hidden="1" customHeight="1" outlineLevel="1">
      <c r="A504" s="261" t="s">
        <v>10833</v>
      </c>
      <c r="B504" s="231" t="s">
        <v>77</v>
      </c>
      <c r="C504" s="231" t="s">
        <v>33</v>
      </c>
      <c r="D504" s="157" t="s">
        <v>89</v>
      </c>
      <c r="E504" s="297" t="s">
        <v>35</v>
      </c>
      <c r="F504" s="168" t="s">
        <v>11167</v>
      </c>
      <c r="G504" s="157" t="s">
        <v>33</v>
      </c>
      <c r="H504" s="212" t="s">
        <v>11288</v>
      </c>
      <c r="I504" s="168" t="s">
        <v>42</v>
      </c>
      <c r="J504" s="264" t="s">
        <v>927</v>
      </c>
      <c r="K504" s="261" t="s">
        <v>35</v>
      </c>
      <c r="L504" s="184" t="s">
        <v>11266</v>
      </c>
      <c r="M504" s="157" t="s">
        <v>33</v>
      </c>
      <c r="N504" s="167" t="s">
        <v>10499</v>
      </c>
      <c r="O504" s="55" t="str">
        <f t="shared" si="14"/>
        <v>L2.02.03.02.05.03</v>
      </c>
      <c r="P504" s="257" t="str">
        <f t="shared" si="16"/>
        <v>L2.02.03.02.05.03.02</v>
      </c>
      <c r="Q504" s="161" t="s">
        <v>10530</v>
      </c>
      <c r="R504" s="299" t="str">
        <f t="shared" si="17"/>
        <v>Nhóm Bán thêm AMIS Kế toán 02</v>
      </c>
      <c r="S504" s="257" t="s">
        <v>11341</v>
      </c>
      <c r="T504" s="265" t="s">
        <v>2035</v>
      </c>
      <c r="U504" s="265" t="s">
        <v>262</v>
      </c>
      <c r="V504" s="265" t="s">
        <v>275</v>
      </c>
      <c r="W504" s="265" t="s">
        <v>1986</v>
      </c>
      <c r="X504" s="265" t="s">
        <v>2034</v>
      </c>
      <c r="Y504" s="265"/>
      <c r="Z504" s="225" t="s">
        <v>11344</v>
      </c>
      <c r="AA504" s="300" t="s">
        <v>10530</v>
      </c>
      <c r="AB504" s="267"/>
      <c r="AC504" s="267"/>
      <c r="AD504" s="267"/>
    </row>
    <row r="505" ht="15.75" hidden="1" customHeight="1" outlineLevel="1">
      <c r="A505" s="261" t="s">
        <v>10833</v>
      </c>
      <c r="B505" s="231" t="s">
        <v>77</v>
      </c>
      <c r="C505" s="231" t="s">
        <v>33</v>
      </c>
      <c r="D505" s="157" t="s">
        <v>89</v>
      </c>
      <c r="E505" s="297" t="s">
        <v>35</v>
      </c>
      <c r="F505" s="168" t="s">
        <v>11167</v>
      </c>
      <c r="G505" s="157" t="s">
        <v>33</v>
      </c>
      <c r="H505" s="212" t="s">
        <v>11288</v>
      </c>
      <c r="I505" s="168" t="s">
        <v>42</v>
      </c>
      <c r="J505" s="264" t="s">
        <v>927</v>
      </c>
      <c r="K505" s="261" t="s">
        <v>37</v>
      </c>
      <c r="L505" s="184" t="s">
        <v>11268</v>
      </c>
      <c r="M505" s="157" t="s">
        <v>33</v>
      </c>
      <c r="N505" s="167" t="s">
        <v>10499</v>
      </c>
      <c r="O505" s="55" t="str">
        <f t="shared" si="14"/>
        <v>L2.02.03.02.05.04</v>
      </c>
      <c r="P505" s="257" t="str">
        <f t="shared" si="16"/>
        <v>L2.02.03.02.05.04.02</v>
      </c>
      <c r="Q505" s="161" t="s">
        <v>10530</v>
      </c>
      <c r="R505" s="299" t="str">
        <f t="shared" si="17"/>
        <v>Nhóm Bán thêm AMIS Bán hàng 02</v>
      </c>
      <c r="S505" s="257" t="s">
        <v>11341</v>
      </c>
      <c r="T505" s="265" t="s">
        <v>2052</v>
      </c>
      <c r="U505" s="265" t="s">
        <v>262</v>
      </c>
      <c r="V505" s="265" t="s">
        <v>275</v>
      </c>
      <c r="W505" s="265" t="s">
        <v>1986</v>
      </c>
      <c r="X505" s="265" t="s">
        <v>2051</v>
      </c>
      <c r="Y505" s="265"/>
      <c r="Z505" s="225" t="s">
        <v>11345</v>
      </c>
      <c r="AA505" s="300" t="s">
        <v>10530</v>
      </c>
      <c r="AB505" s="267"/>
      <c r="AC505" s="267"/>
      <c r="AD505" s="267"/>
    </row>
    <row r="506" ht="15.75" hidden="1" customHeight="1" outlineLevel="1">
      <c r="A506" s="261" t="s">
        <v>10833</v>
      </c>
      <c r="B506" s="231" t="s">
        <v>77</v>
      </c>
      <c r="C506" s="231" t="s">
        <v>33</v>
      </c>
      <c r="D506" s="157" t="s">
        <v>89</v>
      </c>
      <c r="E506" s="297" t="s">
        <v>35</v>
      </c>
      <c r="F506" s="168" t="s">
        <v>11167</v>
      </c>
      <c r="G506" s="157" t="s">
        <v>33</v>
      </c>
      <c r="H506" s="212" t="s">
        <v>11288</v>
      </c>
      <c r="I506" s="168" t="s">
        <v>42</v>
      </c>
      <c r="J506" s="264" t="s">
        <v>927</v>
      </c>
      <c r="K506" s="261" t="s">
        <v>42</v>
      </c>
      <c r="L506" s="184" t="s">
        <v>11270</v>
      </c>
      <c r="M506" s="157" t="s">
        <v>33</v>
      </c>
      <c r="N506" s="167" t="s">
        <v>10499</v>
      </c>
      <c r="O506" s="55" t="str">
        <f t="shared" si="14"/>
        <v>L2.02.03.02.05.05</v>
      </c>
      <c r="P506" s="257" t="str">
        <f t="shared" si="16"/>
        <v>L2.02.03.02.05.05.02</v>
      </c>
      <c r="Q506" s="161" t="s">
        <v>10530</v>
      </c>
      <c r="R506" s="299" t="str">
        <f t="shared" si="17"/>
        <v>Nhóm Bán thêm AMIS Nhân sự 02</v>
      </c>
      <c r="S506" s="257" t="s">
        <v>11341</v>
      </c>
      <c r="T506" s="265" t="s">
        <v>2022</v>
      </c>
      <c r="U506" s="265" t="s">
        <v>262</v>
      </c>
      <c r="V506" s="265" t="s">
        <v>275</v>
      </c>
      <c r="W506" s="265" t="s">
        <v>1986</v>
      </c>
      <c r="X506" s="265" t="s">
        <v>2021</v>
      </c>
      <c r="Y506" s="265"/>
      <c r="Z506" s="225" t="s">
        <v>11346</v>
      </c>
      <c r="AA506" s="300" t="s">
        <v>10530</v>
      </c>
      <c r="AB506" s="267"/>
      <c r="AC506" s="267"/>
      <c r="AD506" s="267"/>
    </row>
    <row r="507" ht="15.75" hidden="1" customHeight="1" outlineLevel="1">
      <c r="A507" s="261" t="s">
        <v>10833</v>
      </c>
      <c r="B507" s="231" t="s">
        <v>77</v>
      </c>
      <c r="C507" s="231" t="s">
        <v>33</v>
      </c>
      <c r="D507" s="157" t="s">
        <v>89</v>
      </c>
      <c r="E507" s="297" t="s">
        <v>35</v>
      </c>
      <c r="F507" s="168" t="s">
        <v>11167</v>
      </c>
      <c r="G507" s="157" t="s">
        <v>33</v>
      </c>
      <c r="H507" s="212" t="s">
        <v>11288</v>
      </c>
      <c r="I507" s="168" t="s">
        <v>42</v>
      </c>
      <c r="J507" s="264" t="s">
        <v>927</v>
      </c>
      <c r="K507" s="261" t="s">
        <v>44</v>
      </c>
      <c r="L507" s="184" t="s">
        <v>11272</v>
      </c>
      <c r="M507" s="157" t="s">
        <v>33</v>
      </c>
      <c r="N507" s="167" t="s">
        <v>10499</v>
      </c>
      <c r="O507" s="55" t="str">
        <f t="shared" si="14"/>
        <v>L2.02.03.02.05.06</v>
      </c>
      <c r="P507" s="257" t="str">
        <f t="shared" si="16"/>
        <v>L2.02.03.02.05.06.02</v>
      </c>
      <c r="Q507" s="161" t="s">
        <v>10530</v>
      </c>
      <c r="R507" s="299" t="str">
        <f t="shared" si="17"/>
        <v>Nhóm Bán thêm AMIS Điều hành 02</v>
      </c>
      <c r="S507" s="257" t="s">
        <v>11341</v>
      </c>
      <c r="T507" s="265" t="s">
        <v>2061</v>
      </c>
      <c r="U507" s="265" t="s">
        <v>262</v>
      </c>
      <c r="V507" s="265" t="s">
        <v>275</v>
      </c>
      <c r="W507" s="265" t="s">
        <v>1986</v>
      </c>
      <c r="X507" s="265" t="s">
        <v>2060</v>
      </c>
      <c r="Y507" s="265"/>
      <c r="Z507" s="225" t="s">
        <v>11347</v>
      </c>
      <c r="AA507" s="300" t="s">
        <v>10530</v>
      </c>
      <c r="AB507" s="267"/>
      <c r="AC507" s="267"/>
      <c r="AD507" s="267"/>
    </row>
    <row r="508" ht="15.75" hidden="1" customHeight="1" outlineLevel="1">
      <c r="A508" s="228" t="s">
        <v>10833</v>
      </c>
      <c r="B508" s="270" t="s">
        <v>77</v>
      </c>
      <c r="C508" s="270" t="s">
        <v>33</v>
      </c>
      <c r="D508" s="209" t="s">
        <v>89</v>
      </c>
      <c r="E508" s="271" t="s">
        <v>35</v>
      </c>
      <c r="F508" s="182" t="s">
        <v>11167</v>
      </c>
      <c r="G508" s="209" t="s">
        <v>33</v>
      </c>
      <c r="H508" s="212" t="s">
        <v>11288</v>
      </c>
      <c r="I508" s="182" t="s">
        <v>46</v>
      </c>
      <c r="J508" s="184" t="s">
        <v>1012</v>
      </c>
      <c r="K508" s="271" t="s">
        <v>27</v>
      </c>
      <c r="L508" s="415" t="s">
        <v>4</v>
      </c>
      <c r="M508" s="209" t="s">
        <v>33</v>
      </c>
      <c r="N508" s="181" t="s">
        <v>10499</v>
      </c>
      <c r="O508" s="58" t="str">
        <f t="shared" si="14"/>
        <v>L2.02.03.02.07.00</v>
      </c>
      <c r="P508" s="272" t="str">
        <f t="shared" si="16"/>
        <v>L2.02.03.02.07.00.02</v>
      </c>
      <c r="Q508" s="185" t="s">
        <v>10530</v>
      </c>
      <c r="R508" s="273" t="str">
        <f t="shared" si="17"/>
        <v>Phòng KD bán thêm 03</v>
      </c>
      <c r="S508" s="274" t="s">
        <v>11292</v>
      </c>
      <c r="T508" s="211" t="s">
        <v>11348</v>
      </c>
      <c r="U508" s="183" t="s">
        <v>262</v>
      </c>
      <c r="V508" s="183" t="s">
        <v>275</v>
      </c>
      <c r="W508" s="184" t="s">
        <v>11349</v>
      </c>
      <c r="X508" s="183" t="s">
        <v>11331</v>
      </c>
      <c r="Y508" s="183"/>
      <c r="Z508" s="275" t="s">
        <v>11350</v>
      </c>
      <c r="AA508" s="304" t="s">
        <v>10530</v>
      </c>
      <c r="AB508" s="277"/>
      <c r="AC508" s="277"/>
      <c r="AD508" s="277"/>
    </row>
    <row r="509" ht="15.75" hidden="1" customHeight="1" outlineLevel="1">
      <c r="A509" s="228" t="s">
        <v>10833</v>
      </c>
      <c r="B509" s="270" t="s">
        <v>77</v>
      </c>
      <c r="C509" s="270" t="s">
        <v>33</v>
      </c>
      <c r="D509" s="209" t="s">
        <v>89</v>
      </c>
      <c r="E509" s="271" t="s">
        <v>35</v>
      </c>
      <c r="F509" s="182" t="s">
        <v>11167</v>
      </c>
      <c r="G509" s="209" t="s">
        <v>33</v>
      </c>
      <c r="H509" s="212" t="s">
        <v>11288</v>
      </c>
      <c r="I509" s="182" t="s">
        <v>46</v>
      </c>
      <c r="J509" s="184" t="s">
        <v>1012</v>
      </c>
      <c r="K509" s="182" t="s">
        <v>29</v>
      </c>
      <c r="L509" s="184" t="s">
        <v>11202</v>
      </c>
      <c r="M509" s="209" t="s">
        <v>33</v>
      </c>
      <c r="N509" s="181" t="s">
        <v>10499</v>
      </c>
      <c r="O509" s="58" t="str">
        <f t="shared" si="14"/>
        <v>L2.02.03.02.07.01</v>
      </c>
      <c r="P509" s="272" t="str">
        <f t="shared" si="16"/>
        <v>L2.02.03.02.07.01.02</v>
      </c>
      <c r="Q509" s="185" t="s">
        <v>10530</v>
      </c>
      <c r="R509" s="273" t="str">
        <f t="shared" si="17"/>
        <v>Nhóm Quản lý 03</v>
      </c>
      <c r="S509" s="272" t="str">
        <f>P508</f>
        <v>L2.02.03.02.07.00.02</v>
      </c>
      <c r="T509" s="183"/>
      <c r="U509" s="183"/>
      <c r="V509" s="183"/>
      <c r="W509" s="183"/>
      <c r="X509" s="183"/>
      <c r="Y509" s="184" t="s">
        <v>11089</v>
      </c>
      <c r="Z509" s="275" t="s">
        <v>11351</v>
      </c>
      <c r="AA509" s="304" t="s">
        <v>10530</v>
      </c>
      <c r="AB509" s="277"/>
      <c r="AC509" s="277"/>
      <c r="AD509" s="277"/>
    </row>
    <row r="510" ht="15.75" hidden="1" customHeight="1" outlineLevel="1">
      <c r="A510" s="228" t="s">
        <v>10833</v>
      </c>
      <c r="B510" s="270" t="s">
        <v>77</v>
      </c>
      <c r="C510" s="270" t="s">
        <v>33</v>
      </c>
      <c r="D510" s="209" t="s">
        <v>89</v>
      </c>
      <c r="E510" s="271" t="s">
        <v>35</v>
      </c>
      <c r="F510" s="182" t="s">
        <v>11167</v>
      </c>
      <c r="G510" s="209" t="s">
        <v>33</v>
      </c>
      <c r="H510" s="212" t="s">
        <v>11288</v>
      </c>
      <c r="I510" s="182" t="s">
        <v>46</v>
      </c>
      <c r="J510" s="184" t="s">
        <v>1012</v>
      </c>
      <c r="K510" s="228" t="s">
        <v>33</v>
      </c>
      <c r="L510" s="184" t="s">
        <v>11277</v>
      </c>
      <c r="M510" s="209" t="s">
        <v>33</v>
      </c>
      <c r="N510" s="181" t="s">
        <v>10499</v>
      </c>
      <c r="O510" s="58" t="str">
        <f t="shared" si="14"/>
        <v>L2.02.03.02.07.02</v>
      </c>
      <c r="P510" s="272" t="str">
        <f t="shared" si="16"/>
        <v>L2.02.03.02.07.02.02</v>
      </c>
      <c r="Q510" s="185" t="s">
        <v>10530</v>
      </c>
      <c r="R510" s="273" t="str">
        <f t="shared" si="17"/>
        <v>Nhóm Quản lý khách hàng 03</v>
      </c>
      <c r="S510" s="272" t="str">
        <f>P508</f>
        <v>L2.02.03.02.07.00.02</v>
      </c>
      <c r="T510" s="188" t="s">
        <v>11352</v>
      </c>
      <c r="U510" s="183" t="s">
        <v>262</v>
      </c>
      <c r="V510" s="183" t="s">
        <v>275</v>
      </c>
      <c r="W510" s="184" t="s">
        <v>11349</v>
      </c>
      <c r="X510" s="183" t="s">
        <v>1985</v>
      </c>
      <c r="Y510" s="183"/>
      <c r="Z510" s="275" t="s">
        <v>11353</v>
      </c>
      <c r="AA510" s="304" t="s">
        <v>10530</v>
      </c>
      <c r="AB510" s="277"/>
      <c r="AC510" s="277"/>
      <c r="AD510" s="277"/>
    </row>
    <row r="511" ht="15.75" hidden="1" customHeight="1" outlineLevel="1">
      <c r="A511" s="228" t="s">
        <v>10833</v>
      </c>
      <c r="B511" s="270" t="s">
        <v>77</v>
      </c>
      <c r="C511" s="270" t="s">
        <v>33</v>
      </c>
      <c r="D511" s="209" t="s">
        <v>89</v>
      </c>
      <c r="E511" s="271" t="s">
        <v>35</v>
      </c>
      <c r="F511" s="182" t="s">
        <v>11167</v>
      </c>
      <c r="G511" s="209" t="s">
        <v>33</v>
      </c>
      <c r="H511" s="212" t="s">
        <v>11288</v>
      </c>
      <c r="I511" s="182" t="s">
        <v>46</v>
      </c>
      <c r="J511" s="184" t="s">
        <v>1012</v>
      </c>
      <c r="K511" s="228" t="s">
        <v>35</v>
      </c>
      <c r="L511" s="184" t="s">
        <v>11279</v>
      </c>
      <c r="M511" s="209" t="s">
        <v>33</v>
      </c>
      <c r="N511" s="181" t="s">
        <v>10499</v>
      </c>
      <c r="O511" s="58" t="str">
        <f t="shared" si="14"/>
        <v>L2.02.03.02.07.03</v>
      </c>
      <c r="P511" s="272" t="str">
        <f t="shared" si="16"/>
        <v>L2.02.03.02.07.03.02</v>
      </c>
      <c r="Q511" s="185" t="s">
        <v>10530</v>
      </c>
      <c r="R511" s="273" t="str">
        <f t="shared" si="17"/>
        <v>Nhóm Bán thêm AMIS Kế toán 03</v>
      </c>
      <c r="S511" s="272" t="str">
        <f>P508</f>
        <v>L2.02.03.02.07.00.02</v>
      </c>
      <c r="T511" s="416" t="s">
        <v>11354</v>
      </c>
      <c r="U511" s="183" t="s">
        <v>262</v>
      </c>
      <c r="V511" s="183" t="s">
        <v>275</v>
      </c>
      <c r="W511" s="184" t="s">
        <v>11349</v>
      </c>
      <c r="X511" s="183" t="s">
        <v>2034</v>
      </c>
      <c r="Y511" s="183"/>
      <c r="Z511" s="275" t="s">
        <v>11355</v>
      </c>
      <c r="AA511" s="304" t="s">
        <v>10530</v>
      </c>
      <c r="AB511" s="277"/>
      <c r="AC511" s="277"/>
      <c r="AD511" s="277"/>
    </row>
    <row r="512" ht="15.75" hidden="1" customHeight="1" outlineLevel="1">
      <c r="A512" s="228" t="s">
        <v>10833</v>
      </c>
      <c r="B512" s="270" t="s">
        <v>77</v>
      </c>
      <c r="C512" s="270" t="s">
        <v>33</v>
      </c>
      <c r="D512" s="209" t="s">
        <v>89</v>
      </c>
      <c r="E512" s="271" t="s">
        <v>35</v>
      </c>
      <c r="F512" s="182" t="s">
        <v>11167</v>
      </c>
      <c r="G512" s="209" t="s">
        <v>33</v>
      </c>
      <c r="H512" s="212" t="s">
        <v>11288</v>
      </c>
      <c r="I512" s="182" t="s">
        <v>46</v>
      </c>
      <c r="J512" s="184" t="s">
        <v>1012</v>
      </c>
      <c r="K512" s="228" t="s">
        <v>37</v>
      </c>
      <c r="L512" s="184" t="s">
        <v>11281</v>
      </c>
      <c r="M512" s="209" t="s">
        <v>33</v>
      </c>
      <c r="N512" s="181" t="s">
        <v>10499</v>
      </c>
      <c r="O512" s="58" t="str">
        <f t="shared" si="14"/>
        <v>L2.02.03.02.07.04</v>
      </c>
      <c r="P512" s="272" t="str">
        <f t="shared" si="16"/>
        <v>L2.02.03.02.07.04.02</v>
      </c>
      <c r="Q512" s="185" t="s">
        <v>10530</v>
      </c>
      <c r="R512" s="273" t="str">
        <f t="shared" si="17"/>
        <v>Nhóm Bán thêm AMIS Bán hàng 03</v>
      </c>
      <c r="S512" s="272" t="str">
        <f>P508</f>
        <v>L2.02.03.02.07.00.02</v>
      </c>
      <c r="T512" s="416" t="s">
        <v>11356</v>
      </c>
      <c r="U512" s="183" t="s">
        <v>262</v>
      </c>
      <c r="V512" s="183" t="s">
        <v>275</v>
      </c>
      <c r="W512" s="184" t="s">
        <v>11349</v>
      </c>
      <c r="X512" s="183" t="s">
        <v>2051</v>
      </c>
      <c r="Y512" s="183"/>
      <c r="Z512" s="275" t="s">
        <v>11357</v>
      </c>
      <c r="AA512" s="304" t="s">
        <v>10530</v>
      </c>
      <c r="AB512" s="277"/>
      <c r="AC512" s="277"/>
      <c r="AD512" s="277"/>
    </row>
    <row r="513" ht="15.75" hidden="1" customHeight="1" outlineLevel="1">
      <c r="A513" s="228" t="s">
        <v>10833</v>
      </c>
      <c r="B513" s="270" t="s">
        <v>77</v>
      </c>
      <c r="C513" s="270" t="s">
        <v>33</v>
      </c>
      <c r="D513" s="209" t="s">
        <v>89</v>
      </c>
      <c r="E513" s="271" t="s">
        <v>35</v>
      </c>
      <c r="F513" s="182" t="s">
        <v>11167</v>
      </c>
      <c r="G513" s="209" t="s">
        <v>33</v>
      </c>
      <c r="H513" s="212" t="s">
        <v>11288</v>
      </c>
      <c r="I513" s="182" t="s">
        <v>46</v>
      </c>
      <c r="J513" s="184" t="s">
        <v>1012</v>
      </c>
      <c r="K513" s="228" t="s">
        <v>42</v>
      </c>
      <c r="L513" s="184" t="s">
        <v>11283</v>
      </c>
      <c r="M513" s="209" t="s">
        <v>33</v>
      </c>
      <c r="N513" s="181" t="s">
        <v>10499</v>
      </c>
      <c r="O513" s="58" t="str">
        <f t="shared" si="14"/>
        <v>L2.02.03.02.07.05</v>
      </c>
      <c r="P513" s="272" t="str">
        <f t="shared" si="16"/>
        <v>L2.02.03.02.07.05.02</v>
      </c>
      <c r="Q513" s="185" t="s">
        <v>10530</v>
      </c>
      <c r="R513" s="273" t="str">
        <f t="shared" si="17"/>
        <v>Nhóm Bán thêm AMIS Nhân sự 03</v>
      </c>
      <c r="S513" s="272" t="str">
        <f>P508</f>
        <v>L2.02.03.02.07.00.02</v>
      </c>
      <c r="T513" s="416" t="s">
        <v>11358</v>
      </c>
      <c r="U513" s="183" t="s">
        <v>262</v>
      </c>
      <c r="V513" s="183" t="s">
        <v>275</v>
      </c>
      <c r="W513" s="184" t="s">
        <v>11349</v>
      </c>
      <c r="X513" s="183" t="s">
        <v>2021</v>
      </c>
      <c r="Y513" s="183"/>
      <c r="Z513" s="275" t="s">
        <v>11359</v>
      </c>
      <c r="AA513" s="304" t="s">
        <v>10530</v>
      </c>
      <c r="AB513" s="277"/>
      <c r="AC513" s="277"/>
      <c r="AD513" s="277"/>
    </row>
    <row r="514" ht="15.75" hidden="1" customHeight="1" outlineLevel="1">
      <c r="A514" s="228" t="s">
        <v>10833</v>
      </c>
      <c r="B514" s="270" t="s">
        <v>77</v>
      </c>
      <c r="C514" s="270" t="s">
        <v>33</v>
      </c>
      <c r="D514" s="209" t="s">
        <v>89</v>
      </c>
      <c r="E514" s="271" t="s">
        <v>35</v>
      </c>
      <c r="F514" s="182" t="s">
        <v>11167</v>
      </c>
      <c r="G514" s="209" t="s">
        <v>33</v>
      </c>
      <c r="H514" s="212" t="s">
        <v>11288</v>
      </c>
      <c r="I514" s="182" t="s">
        <v>46</v>
      </c>
      <c r="J514" s="184" t="s">
        <v>1012</v>
      </c>
      <c r="K514" s="228" t="s">
        <v>44</v>
      </c>
      <c r="L514" s="184" t="s">
        <v>11285</v>
      </c>
      <c r="M514" s="209" t="s">
        <v>33</v>
      </c>
      <c r="N514" s="181" t="s">
        <v>10499</v>
      </c>
      <c r="O514" s="58" t="str">
        <f t="shared" si="14"/>
        <v>L2.02.03.02.07.06</v>
      </c>
      <c r="P514" s="272" t="str">
        <f t="shared" si="16"/>
        <v>L2.02.03.02.07.06.02</v>
      </c>
      <c r="Q514" s="185" t="s">
        <v>10530</v>
      </c>
      <c r="R514" s="273" t="str">
        <f t="shared" si="17"/>
        <v>Nhóm Bán thêm AMIS Điều hành 03</v>
      </c>
      <c r="S514" s="272" t="str">
        <f>P508</f>
        <v>L2.02.03.02.07.00.02</v>
      </c>
      <c r="T514" s="416" t="s">
        <v>11360</v>
      </c>
      <c r="U514" s="183" t="s">
        <v>262</v>
      </c>
      <c r="V514" s="183" t="s">
        <v>275</v>
      </c>
      <c r="W514" s="184" t="s">
        <v>11349</v>
      </c>
      <c r="X514" s="183" t="s">
        <v>2060</v>
      </c>
      <c r="Y514" s="183"/>
      <c r="Z514" s="275" t="s">
        <v>11361</v>
      </c>
      <c r="AA514" s="304" t="s">
        <v>10530</v>
      </c>
      <c r="AB514" s="277"/>
      <c r="AC514" s="277"/>
      <c r="AD514" s="277"/>
    </row>
    <row r="515" ht="15.75" hidden="1" customHeight="1" outlineLevel="1">
      <c r="A515" s="261" t="s">
        <v>10833</v>
      </c>
      <c r="B515" s="231" t="s">
        <v>77</v>
      </c>
      <c r="C515" s="231" t="s">
        <v>33</v>
      </c>
      <c r="D515" s="157" t="s">
        <v>89</v>
      </c>
      <c r="E515" s="297" t="s">
        <v>35</v>
      </c>
      <c r="F515" s="168" t="s">
        <v>11167</v>
      </c>
      <c r="G515" s="157" t="s">
        <v>33</v>
      </c>
      <c r="H515" s="298" t="s">
        <v>11288</v>
      </c>
      <c r="I515" s="168" t="s">
        <v>44</v>
      </c>
      <c r="J515" s="257" t="s">
        <v>101</v>
      </c>
      <c r="K515" s="297" t="s">
        <v>27</v>
      </c>
      <c r="L515" s="157" t="s">
        <v>4</v>
      </c>
      <c r="M515" s="157" t="s">
        <v>33</v>
      </c>
      <c r="N515" s="167" t="s">
        <v>10499</v>
      </c>
      <c r="O515" s="55" t="str">
        <f t="shared" si="14"/>
        <v>L2.02.03.02.06.00</v>
      </c>
      <c r="P515" s="257" t="str">
        <f t="shared" si="16"/>
        <v>L2.02.03.02.06.00.02</v>
      </c>
      <c r="Q515" s="161" t="s">
        <v>10530</v>
      </c>
      <c r="R515" s="299" t="str">
        <f t="shared" si="17"/>
        <v>Phòng chuyển giao</v>
      </c>
      <c r="S515" s="269" t="s">
        <v>11292</v>
      </c>
      <c r="T515" s="265" t="s">
        <v>2080</v>
      </c>
      <c r="U515" s="265" t="s">
        <v>262</v>
      </c>
      <c r="V515" s="265" t="s">
        <v>275</v>
      </c>
      <c r="W515" s="265" t="s">
        <v>2079</v>
      </c>
      <c r="X515" s="265"/>
      <c r="Y515" s="265"/>
      <c r="Z515" s="225" t="s">
        <v>11362</v>
      </c>
      <c r="AA515" s="300" t="s">
        <v>10530</v>
      </c>
      <c r="AB515" s="267"/>
      <c r="AC515" s="267"/>
      <c r="AD515" s="267"/>
    </row>
    <row r="516" ht="15.75" hidden="1" customHeight="1" outlineLevel="1">
      <c r="A516" s="261" t="s">
        <v>10833</v>
      </c>
      <c r="B516" s="231" t="s">
        <v>77</v>
      </c>
      <c r="C516" s="231" t="s">
        <v>33</v>
      </c>
      <c r="D516" s="157" t="s">
        <v>89</v>
      </c>
      <c r="E516" s="297" t="s">
        <v>35</v>
      </c>
      <c r="F516" s="168" t="s">
        <v>11167</v>
      </c>
      <c r="G516" s="157" t="s">
        <v>33</v>
      </c>
      <c r="H516" s="212" t="s">
        <v>11363</v>
      </c>
      <c r="I516" s="168" t="s">
        <v>27</v>
      </c>
      <c r="J516" s="258" t="s">
        <v>4</v>
      </c>
      <c r="K516" s="297" t="s">
        <v>27</v>
      </c>
      <c r="L516" s="157" t="s">
        <v>4</v>
      </c>
      <c r="M516" s="157" t="s">
        <v>35</v>
      </c>
      <c r="N516" s="167" t="s">
        <v>10500</v>
      </c>
      <c r="O516" s="55" t="str">
        <f t="shared" si="14"/>
        <v>L2.02.03.02.00.00</v>
      </c>
      <c r="P516" s="257" t="str">
        <f t="shared" si="16"/>
        <v>L2.02.03.02.00.00.03</v>
      </c>
      <c r="Q516" s="161" t="s">
        <v>10530</v>
      </c>
      <c r="R516" s="273" t="str">
        <f t="shared" si="17"/>
        <v>Phòng KD giải pháp DN Vừa - Đà Nẵng</v>
      </c>
      <c r="S516" s="269" t="s">
        <v>11170</v>
      </c>
      <c r="T516" s="265"/>
      <c r="U516" s="265"/>
      <c r="V516" s="265"/>
      <c r="W516" s="265"/>
      <c r="X516" s="265"/>
      <c r="Y516" s="264" t="s">
        <v>11364</v>
      </c>
      <c r="Z516" s="225" t="s">
        <v>11365</v>
      </c>
      <c r="AA516" s="300" t="s">
        <v>10530</v>
      </c>
      <c r="AB516" s="267"/>
      <c r="AC516" s="267"/>
      <c r="AD516" s="267"/>
    </row>
    <row r="517" ht="15.75" hidden="1" customHeight="1" outlineLevel="1">
      <c r="A517" s="261" t="s">
        <v>10833</v>
      </c>
      <c r="B517" s="231" t="s">
        <v>77</v>
      </c>
      <c r="C517" s="231" t="s">
        <v>33</v>
      </c>
      <c r="D517" s="157" t="s">
        <v>89</v>
      </c>
      <c r="E517" s="297" t="s">
        <v>35</v>
      </c>
      <c r="F517" s="168" t="s">
        <v>11167</v>
      </c>
      <c r="G517" s="157" t="s">
        <v>33</v>
      </c>
      <c r="H517" s="212" t="s">
        <v>11363</v>
      </c>
      <c r="I517" s="157" t="s">
        <v>29</v>
      </c>
      <c r="J517" s="303" t="s">
        <v>11366</v>
      </c>
      <c r="K517" s="297" t="s">
        <v>27</v>
      </c>
      <c r="L517" s="157" t="s">
        <v>4</v>
      </c>
      <c r="M517" s="157" t="s">
        <v>35</v>
      </c>
      <c r="N517" s="167" t="s">
        <v>10500</v>
      </c>
      <c r="O517" s="55" t="str">
        <f t="shared" si="14"/>
        <v>L2.02.03.02.01.00</v>
      </c>
      <c r="P517" s="257" t="str">
        <f t="shared" si="16"/>
        <v>L2.02.03.02.01.00.03</v>
      </c>
      <c r="Q517" s="161" t="s">
        <v>10530</v>
      </c>
      <c r="R517" s="273" t="str">
        <f t="shared" si="17"/>
        <v>Nhóm KD giải pháp DN Vừa</v>
      </c>
      <c r="S517" s="269" t="s">
        <v>11367</v>
      </c>
      <c r="T517" s="265" t="s">
        <v>2812</v>
      </c>
      <c r="U517" s="265" t="s">
        <v>2811</v>
      </c>
      <c r="V517" s="265" t="s">
        <v>2810</v>
      </c>
      <c r="W517" s="265"/>
      <c r="X517" s="265"/>
      <c r="Y517" s="265"/>
      <c r="Z517" s="225" t="s">
        <v>11368</v>
      </c>
      <c r="AA517" s="300" t="s">
        <v>10530</v>
      </c>
      <c r="AB517" s="267"/>
      <c r="AC517" s="267"/>
      <c r="AD517" s="267"/>
    </row>
    <row r="518" ht="15.75" hidden="1" customHeight="1" outlineLevel="1">
      <c r="A518" s="261" t="s">
        <v>10833</v>
      </c>
      <c r="B518" s="231" t="s">
        <v>77</v>
      </c>
      <c r="C518" s="231" t="s">
        <v>33</v>
      </c>
      <c r="D518" s="157" t="s">
        <v>89</v>
      </c>
      <c r="E518" s="297" t="s">
        <v>35</v>
      </c>
      <c r="F518" s="168" t="s">
        <v>11167</v>
      </c>
      <c r="G518" s="157" t="s">
        <v>33</v>
      </c>
      <c r="H518" s="212" t="s">
        <v>11363</v>
      </c>
      <c r="I518" s="157" t="s">
        <v>33</v>
      </c>
      <c r="J518" s="257" t="s">
        <v>153</v>
      </c>
      <c r="K518" s="297" t="s">
        <v>27</v>
      </c>
      <c r="L518" s="157" t="s">
        <v>4</v>
      </c>
      <c r="M518" s="157" t="s">
        <v>35</v>
      </c>
      <c r="N518" s="167" t="s">
        <v>10500</v>
      </c>
      <c r="O518" s="55" t="str">
        <f t="shared" si="14"/>
        <v>L2.02.03.02.02.00</v>
      </c>
      <c r="P518" s="257" t="str">
        <f t="shared" si="16"/>
        <v>L2.02.03.02.02.00.03</v>
      </c>
      <c r="Q518" s="161" t="s">
        <v>10530</v>
      </c>
      <c r="R518" s="299" t="str">
        <f t="shared" si="17"/>
        <v>Nhóm chuyển giao</v>
      </c>
      <c r="S518" s="269" t="s">
        <v>11367</v>
      </c>
      <c r="T518" s="265"/>
      <c r="U518" s="265"/>
      <c r="V518" s="265"/>
      <c r="W518" s="265"/>
      <c r="X518" s="265"/>
      <c r="Y518" s="264" t="s">
        <v>11364</v>
      </c>
      <c r="Z518" s="225" t="s">
        <v>11369</v>
      </c>
      <c r="AA518" s="266"/>
      <c r="AB518" s="267"/>
      <c r="AC518" s="267"/>
      <c r="AD518" s="267"/>
    </row>
    <row r="519" ht="15.75" hidden="1" customHeight="1" outlineLevel="1">
      <c r="A519" s="261" t="s">
        <v>10833</v>
      </c>
      <c r="B519" s="231" t="s">
        <v>77</v>
      </c>
      <c r="C519" s="231" t="s">
        <v>33</v>
      </c>
      <c r="D519" s="157" t="s">
        <v>89</v>
      </c>
      <c r="E519" s="297" t="s">
        <v>35</v>
      </c>
      <c r="F519" s="168" t="s">
        <v>11167</v>
      </c>
      <c r="G519" s="157" t="s">
        <v>33</v>
      </c>
      <c r="H519" s="212" t="s">
        <v>11370</v>
      </c>
      <c r="I519" s="168" t="s">
        <v>27</v>
      </c>
      <c r="J519" s="258" t="s">
        <v>4</v>
      </c>
      <c r="K519" s="297" t="s">
        <v>27</v>
      </c>
      <c r="L519" s="157" t="s">
        <v>4</v>
      </c>
      <c r="M519" s="157" t="s">
        <v>37</v>
      </c>
      <c r="N519" s="298" t="s">
        <v>10900</v>
      </c>
      <c r="O519" s="55" t="str">
        <f t="shared" si="14"/>
        <v>L2.02.03.02.00.00</v>
      </c>
      <c r="P519" s="257" t="str">
        <f t="shared" si="16"/>
        <v>L2.02.03.02.00.00.04</v>
      </c>
      <c r="Q519" s="161" t="s">
        <v>10530</v>
      </c>
      <c r="R519" s="273" t="str">
        <f t="shared" si="17"/>
        <v>Phòng KD giải pháp DN Vừa - Buôn Ma Thuột</v>
      </c>
      <c r="S519" s="417" t="s">
        <v>11170</v>
      </c>
      <c r="T519" s="418"/>
      <c r="U519" s="418"/>
      <c r="V519" s="418"/>
      <c r="W519" s="418"/>
      <c r="X519" s="265"/>
      <c r="Y519" s="264" t="s">
        <v>11364</v>
      </c>
      <c r="Z519" s="225" t="s">
        <v>11371</v>
      </c>
      <c r="AA519" s="300" t="s">
        <v>10530</v>
      </c>
      <c r="AB519" s="267"/>
      <c r="AC519" s="267"/>
      <c r="AD519" s="267"/>
    </row>
    <row r="520" ht="15.75" hidden="1" customHeight="1" outlineLevel="1">
      <c r="A520" s="261" t="s">
        <v>10833</v>
      </c>
      <c r="B520" s="231" t="s">
        <v>77</v>
      </c>
      <c r="C520" s="231" t="s">
        <v>33</v>
      </c>
      <c r="D520" s="157" t="s">
        <v>89</v>
      </c>
      <c r="E520" s="297" t="s">
        <v>35</v>
      </c>
      <c r="F520" s="168" t="s">
        <v>11167</v>
      </c>
      <c r="G520" s="157" t="s">
        <v>33</v>
      </c>
      <c r="H520" s="212" t="s">
        <v>11370</v>
      </c>
      <c r="I520" s="157" t="s">
        <v>29</v>
      </c>
      <c r="J520" s="303" t="s">
        <v>11366</v>
      </c>
      <c r="K520" s="297" t="s">
        <v>27</v>
      </c>
      <c r="L520" s="157" t="s">
        <v>4</v>
      </c>
      <c r="M520" s="157" t="s">
        <v>37</v>
      </c>
      <c r="N520" s="298" t="s">
        <v>10900</v>
      </c>
      <c r="O520" s="55" t="str">
        <f t="shared" si="14"/>
        <v>L2.02.03.02.01.00</v>
      </c>
      <c r="P520" s="257" t="str">
        <f t="shared" si="16"/>
        <v>L2.02.03.02.01.00.04</v>
      </c>
      <c r="Q520" s="161" t="s">
        <v>10530</v>
      </c>
      <c r="R520" s="273" t="str">
        <f t="shared" si="17"/>
        <v>Nhóm KD giải pháp DN Vừa</v>
      </c>
      <c r="S520" s="417" t="s">
        <v>11372</v>
      </c>
      <c r="T520" s="418" t="s">
        <v>2964</v>
      </c>
      <c r="U520" s="418" t="s">
        <v>2732</v>
      </c>
      <c r="V520" s="418" t="s">
        <v>2810</v>
      </c>
      <c r="W520" s="418" t="s">
        <v>2810</v>
      </c>
      <c r="X520" s="265"/>
      <c r="Y520" s="265"/>
      <c r="Z520" s="225" t="s">
        <v>11373</v>
      </c>
      <c r="AA520" s="300" t="s">
        <v>10530</v>
      </c>
      <c r="AB520" s="267"/>
      <c r="AC520" s="267"/>
      <c r="AD520" s="267"/>
    </row>
    <row r="521" ht="15.75" hidden="1" customHeight="1" outlineLevel="1">
      <c r="A521" s="261" t="s">
        <v>10833</v>
      </c>
      <c r="B521" s="231" t="s">
        <v>77</v>
      </c>
      <c r="C521" s="231" t="s">
        <v>33</v>
      </c>
      <c r="D521" s="157" t="s">
        <v>89</v>
      </c>
      <c r="E521" s="297" t="s">
        <v>35</v>
      </c>
      <c r="F521" s="168" t="s">
        <v>11167</v>
      </c>
      <c r="G521" s="157" t="s">
        <v>33</v>
      </c>
      <c r="H521" s="212" t="s">
        <v>11370</v>
      </c>
      <c r="I521" s="157" t="s">
        <v>33</v>
      </c>
      <c r="J521" s="257" t="s">
        <v>153</v>
      </c>
      <c r="K521" s="297" t="s">
        <v>27</v>
      </c>
      <c r="L521" s="157" t="s">
        <v>4</v>
      </c>
      <c r="M521" s="157" t="s">
        <v>37</v>
      </c>
      <c r="N521" s="298" t="s">
        <v>10900</v>
      </c>
      <c r="O521" s="55" t="str">
        <f t="shared" si="14"/>
        <v>L2.02.03.02.02.00</v>
      </c>
      <c r="P521" s="257" t="str">
        <f t="shared" si="16"/>
        <v>L2.02.03.02.02.00.04</v>
      </c>
      <c r="Q521" s="161" t="s">
        <v>10530</v>
      </c>
      <c r="R521" s="299" t="str">
        <f t="shared" si="17"/>
        <v>Nhóm chuyển giao</v>
      </c>
      <c r="S521" s="269" t="s">
        <v>11372</v>
      </c>
      <c r="T521" s="265"/>
      <c r="U521" s="265"/>
      <c r="V521" s="265"/>
      <c r="W521" s="265"/>
      <c r="X521" s="265"/>
      <c r="Y521" s="264" t="s">
        <v>11364</v>
      </c>
      <c r="Z521" s="225" t="s">
        <v>11374</v>
      </c>
      <c r="AA521" s="266"/>
      <c r="AB521" s="267"/>
      <c r="AC521" s="267"/>
      <c r="AD521" s="267"/>
    </row>
    <row r="522" ht="15.75" hidden="1" customHeight="1" outlineLevel="1">
      <c r="A522" s="261" t="s">
        <v>10833</v>
      </c>
      <c r="B522" s="231" t="s">
        <v>77</v>
      </c>
      <c r="C522" s="231" t="s">
        <v>33</v>
      </c>
      <c r="D522" s="157" t="s">
        <v>89</v>
      </c>
      <c r="E522" s="297" t="s">
        <v>35</v>
      </c>
      <c r="F522" s="168" t="s">
        <v>11167</v>
      </c>
      <c r="G522" s="157" t="s">
        <v>33</v>
      </c>
      <c r="H522" s="212" t="s">
        <v>11375</v>
      </c>
      <c r="I522" s="168" t="s">
        <v>27</v>
      </c>
      <c r="J522" s="258" t="s">
        <v>4</v>
      </c>
      <c r="K522" s="297" t="s">
        <v>27</v>
      </c>
      <c r="L522" s="157" t="s">
        <v>4</v>
      </c>
      <c r="M522" s="157" t="s">
        <v>42</v>
      </c>
      <c r="N522" s="167" t="s">
        <v>10502</v>
      </c>
      <c r="O522" s="55" t="str">
        <f t="shared" si="14"/>
        <v>L2.02.03.02.00.00</v>
      </c>
      <c r="P522" s="257" t="str">
        <f t="shared" si="16"/>
        <v>L2.02.03.02.00.00.05</v>
      </c>
      <c r="Q522" s="161" t="s">
        <v>10530</v>
      </c>
      <c r="R522" s="273" t="str">
        <f t="shared" si="17"/>
        <v>Phòng KD giải pháp DN Vừa - Cần Thơ</v>
      </c>
      <c r="S522" s="269" t="s">
        <v>11170</v>
      </c>
      <c r="T522" s="265"/>
      <c r="U522" s="265"/>
      <c r="V522" s="265"/>
      <c r="W522" s="265"/>
      <c r="X522" s="265"/>
      <c r="Y522" s="264" t="s">
        <v>11364</v>
      </c>
      <c r="Z522" s="225" t="s">
        <v>11376</v>
      </c>
      <c r="AA522" s="300" t="s">
        <v>10530</v>
      </c>
      <c r="AB522" s="267"/>
      <c r="AC522" s="267"/>
      <c r="AD522" s="267"/>
    </row>
    <row r="523" ht="15.75" hidden="1" customHeight="1" outlineLevel="1">
      <c r="A523" s="261" t="s">
        <v>10833</v>
      </c>
      <c r="B523" s="231" t="s">
        <v>77</v>
      </c>
      <c r="C523" s="231" t="s">
        <v>33</v>
      </c>
      <c r="D523" s="157" t="s">
        <v>89</v>
      </c>
      <c r="E523" s="297" t="s">
        <v>35</v>
      </c>
      <c r="F523" s="168" t="s">
        <v>11167</v>
      </c>
      <c r="G523" s="157" t="s">
        <v>33</v>
      </c>
      <c r="H523" s="212" t="s">
        <v>11375</v>
      </c>
      <c r="I523" s="157" t="s">
        <v>29</v>
      </c>
      <c r="J523" s="303" t="s">
        <v>11366</v>
      </c>
      <c r="K523" s="297" t="s">
        <v>27</v>
      </c>
      <c r="L523" s="157" t="s">
        <v>4</v>
      </c>
      <c r="M523" s="157" t="s">
        <v>42</v>
      </c>
      <c r="N523" s="167" t="s">
        <v>10502</v>
      </c>
      <c r="O523" s="55" t="str">
        <f t="shared" si="14"/>
        <v>L2.02.03.02.01.00</v>
      </c>
      <c r="P523" s="257" t="str">
        <f t="shared" si="16"/>
        <v>L2.02.03.02.01.00.05</v>
      </c>
      <c r="Q523" s="161" t="s">
        <v>10530</v>
      </c>
      <c r="R523" s="273" t="str">
        <f t="shared" si="17"/>
        <v>Nhóm KD giải pháp DN Vừa</v>
      </c>
      <c r="S523" s="269" t="s">
        <v>11377</v>
      </c>
      <c r="T523" s="265" t="s">
        <v>7631</v>
      </c>
      <c r="U523" s="265" t="s">
        <v>325</v>
      </c>
      <c r="V523" s="265" t="s">
        <v>2810</v>
      </c>
      <c r="W523" s="265"/>
      <c r="X523" s="265"/>
      <c r="Y523" s="265"/>
      <c r="Z523" s="225" t="s">
        <v>11378</v>
      </c>
      <c r="AA523" s="300" t="s">
        <v>10530</v>
      </c>
      <c r="AB523" s="267"/>
      <c r="AC523" s="267"/>
      <c r="AD523" s="267"/>
    </row>
    <row r="524" ht="15.75" hidden="1" customHeight="1" outlineLevel="1">
      <c r="A524" s="261" t="s">
        <v>10833</v>
      </c>
      <c r="B524" s="231" t="s">
        <v>77</v>
      </c>
      <c r="C524" s="231" t="s">
        <v>33</v>
      </c>
      <c r="D524" s="157" t="s">
        <v>89</v>
      </c>
      <c r="E524" s="297" t="s">
        <v>35</v>
      </c>
      <c r="F524" s="168" t="s">
        <v>11167</v>
      </c>
      <c r="G524" s="157" t="s">
        <v>33</v>
      </c>
      <c r="H524" s="212" t="s">
        <v>11375</v>
      </c>
      <c r="I524" s="157" t="s">
        <v>33</v>
      </c>
      <c r="J524" s="257" t="s">
        <v>153</v>
      </c>
      <c r="K524" s="297" t="s">
        <v>27</v>
      </c>
      <c r="L524" s="157" t="s">
        <v>4</v>
      </c>
      <c r="M524" s="157" t="s">
        <v>42</v>
      </c>
      <c r="N524" s="167" t="s">
        <v>10502</v>
      </c>
      <c r="O524" s="55" t="str">
        <f t="shared" si="14"/>
        <v>L2.02.03.02.02.00</v>
      </c>
      <c r="P524" s="257" t="str">
        <f t="shared" si="16"/>
        <v>L2.02.03.02.02.00.05</v>
      </c>
      <c r="Q524" s="161" t="s">
        <v>10530</v>
      </c>
      <c r="R524" s="299" t="str">
        <f t="shared" si="17"/>
        <v>Nhóm chuyển giao</v>
      </c>
      <c r="S524" s="269" t="s">
        <v>11377</v>
      </c>
      <c r="T524" s="265"/>
      <c r="U524" s="265"/>
      <c r="V524" s="265"/>
      <c r="W524" s="265"/>
      <c r="X524" s="265"/>
      <c r="Y524" s="264" t="s">
        <v>11364</v>
      </c>
      <c r="Z524" s="225" t="s">
        <v>11379</v>
      </c>
      <c r="AA524" s="266"/>
      <c r="AB524" s="267"/>
      <c r="AC524" s="267"/>
      <c r="AD524" s="267"/>
    </row>
    <row r="525" ht="15.75" hidden="1" customHeight="1" outlineLevel="1">
      <c r="A525" s="261" t="s">
        <v>10833</v>
      </c>
      <c r="B525" s="231" t="s">
        <v>77</v>
      </c>
      <c r="C525" s="231" t="s">
        <v>33</v>
      </c>
      <c r="D525" s="157" t="s">
        <v>89</v>
      </c>
      <c r="E525" s="297" t="s">
        <v>35</v>
      </c>
      <c r="F525" s="168" t="s">
        <v>11167</v>
      </c>
      <c r="G525" s="157" t="s">
        <v>35</v>
      </c>
      <c r="H525" s="419" t="s">
        <v>161</v>
      </c>
      <c r="I525" s="168" t="s">
        <v>27</v>
      </c>
      <c r="J525" s="262" t="s">
        <v>4</v>
      </c>
      <c r="K525" s="297" t="s">
        <v>27</v>
      </c>
      <c r="L525" s="157" t="s">
        <v>4</v>
      </c>
      <c r="M525" s="157" t="s">
        <v>44</v>
      </c>
      <c r="N525" s="167" t="s">
        <v>10505</v>
      </c>
      <c r="O525" s="55" t="str">
        <f t="shared" si="14"/>
        <v>L2.02.03.03.00.00</v>
      </c>
      <c r="P525" s="257" t="str">
        <f t="shared" si="16"/>
        <v>L2.02.03.03.00.00.06</v>
      </c>
      <c r="Q525" s="161" t="s">
        <v>10530</v>
      </c>
      <c r="R525" s="420" t="str">
        <f t="shared" si="17"/>
        <v>Nhóm MKT sản phẩm Quản trị doanh nghiệp</v>
      </c>
      <c r="S525" s="269" t="s">
        <v>11170</v>
      </c>
      <c r="T525" s="265"/>
      <c r="U525" s="265"/>
      <c r="V525" s="265"/>
      <c r="W525" s="265"/>
      <c r="X525" s="265"/>
      <c r="Y525" s="264" t="s">
        <v>11364</v>
      </c>
      <c r="Z525" s="225" t="s">
        <v>11380</v>
      </c>
      <c r="AA525" s="266"/>
      <c r="AB525" s="267"/>
      <c r="AC525" s="267"/>
      <c r="AD525" s="267"/>
    </row>
    <row r="526" ht="15.75" hidden="1" customHeight="1" outlineLevel="1">
      <c r="A526" s="261" t="s">
        <v>10833</v>
      </c>
      <c r="B526" s="231" t="s">
        <v>77</v>
      </c>
      <c r="C526" s="231" t="s">
        <v>33</v>
      </c>
      <c r="D526" s="157" t="s">
        <v>89</v>
      </c>
      <c r="E526" s="297" t="s">
        <v>35</v>
      </c>
      <c r="F526" s="168" t="s">
        <v>11167</v>
      </c>
      <c r="G526" s="157" t="s">
        <v>35</v>
      </c>
      <c r="H526" s="419" t="s">
        <v>161</v>
      </c>
      <c r="I526" s="297" t="s">
        <v>29</v>
      </c>
      <c r="J526" s="419" t="s">
        <v>162</v>
      </c>
      <c r="K526" s="297" t="s">
        <v>27</v>
      </c>
      <c r="L526" s="157" t="s">
        <v>4</v>
      </c>
      <c r="M526" s="157" t="s">
        <v>44</v>
      </c>
      <c r="N526" s="167" t="s">
        <v>10505</v>
      </c>
      <c r="O526" s="55" t="str">
        <f t="shared" si="14"/>
        <v>L2.02.03.03.01.00</v>
      </c>
      <c r="P526" s="257" t="str">
        <f t="shared" si="16"/>
        <v>L2.02.03.03.01.00.06</v>
      </c>
      <c r="Q526" s="161" t="s">
        <v>10530</v>
      </c>
      <c r="R526" s="420" t="str">
        <f t="shared" si="17"/>
        <v>Nhóm MKT sản phẩm bán hàng</v>
      </c>
      <c r="S526" s="269" t="s">
        <v>11381</v>
      </c>
      <c r="T526" s="265" t="s">
        <v>7686</v>
      </c>
      <c r="U526" s="265" t="s">
        <v>303</v>
      </c>
      <c r="V526" s="265" t="s">
        <v>335</v>
      </c>
      <c r="W526" s="265" t="s">
        <v>336</v>
      </c>
      <c r="X526" s="265" t="s">
        <v>7685</v>
      </c>
      <c r="Y526" s="265"/>
      <c r="Z526" s="225" t="s">
        <v>11382</v>
      </c>
      <c r="AA526" s="266"/>
      <c r="AB526" s="267"/>
      <c r="AC526" s="267"/>
      <c r="AD526" s="267"/>
    </row>
    <row r="527" ht="15.75" hidden="1" customHeight="1" outlineLevel="1">
      <c r="A527" s="261" t="s">
        <v>10833</v>
      </c>
      <c r="B527" s="231" t="s">
        <v>77</v>
      </c>
      <c r="C527" s="231" t="s">
        <v>33</v>
      </c>
      <c r="D527" s="157" t="s">
        <v>89</v>
      </c>
      <c r="E527" s="297" t="s">
        <v>35</v>
      </c>
      <c r="F527" s="168" t="s">
        <v>11167</v>
      </c>
      <c r="G527" s="157" t="s">
        <v>35</v>
      </c>
      <c r="H527" s="419" t="s">
        <v>161</v>
      </c>
      <c r="I527" s="297" t="s">
        <v>33</v>
      </c>
      <c r="J527" s="419" t="s">
        <v>163</v>
      </c>
      <c r="K527" s="297" t="s">
        <v>27</v>
      </c>
      <c r="L527" s="157" t="s">
        <v>4</v>
      </c>
      <c r="M527" s="157" t="s">
        <v>44</v>
      </c>
      <c r="N527" s="167" t="s">
        <v>10505</v>
      </c>
      <c r="O527" s="55" t="str">
        <f t="shared" si="14"/>
        <v>L2.02.03.03.02.00</v>
      </c>
      <c r="P527" s="257" t="str">
        <f t="shared" si="16"/>
        <v>L2.02.03.03.02.00.06</v>
      </c>
      <c r="Q527" s="161" t="s">
        <v>10530</v>
      </c>
      <c r="R527" s="420" t="str">
        <f t="shared" si="17"/>
        <v>Nhóm MKT sản phẩm nhân sự</v>
      </c>
      <c r="S527" s="269" t="s">
        <v>11381</v>
      </c>
      <c r="T527" s="265" t="s">
        <v>9324</v>
      </c>
      <c r="U527" s="265" t="s">
        <v>303</v>
      </c>
      <c r="V527" s="265" t="s">
        <v>335</v>
      </c>
      <c r="W527" s="265" t="s">
        <v>336</v>
      </c>
      <c r="X527" s="265" t="s">
        <v>9323</v>
      </c>
      <c r="Y527" s="265"/>
      <c r="Z527" s="225" t="s">
        <v>11383</v>
      </c>
      <c r="AA527" s="266"/>
      <c r="AB527" s="267"/>
      <c r="AC527" s="267"/>
      <c r="AD527" s="267"/>
    </row>
    <row r="528" ht="15.75" hidden="1" customHeight="1" outlineLevel="1">
      <c r="A528" s="261" t="s">
        <v>10833</v>
      </c>
      <c r="B528" s="231" t="s">
        <v>77</v>
      </c>
      <c r="C528" s="231" t="s">
        <v>33</v>
      </c>
      <c r="D528" s="157" t="s">
        <v>89</v>
      </c>
      <c r="E528" s="297" t="s">
        <v>35</v>
      </c>
      <c r="F528" s="168" t="s">
        <v>11167</v>
      </c>
      <c r="G528" s="157" t="s">
        <v>35</v>
      </c>
      <c r="H528" s="419" t="s">
        <v>161</v>
      </c>
      <c r="I528" s="297" t="s">
        <v>35</v>
      </c>
      <c r="J528" s="419" t="s">
        <v>164</v>
      </c>
      <c r="K528" s="297" t="s">
        <v>27</v>
      </c>
      <c r="L528" s="157" t="s">
        <v>4</v>
      </c>
      <c r="M528" s="157" t="s">
        <v>44</v>
      </c>
      <c r="N528" s="167" t="s">
        <v>10505</v>
      </c>
      <c r="O528" s="55" t="str">
        <f t="shared" si="14"/>
        <v>L2.02.03.03.03.00</v>
      </c>
      <c r="P528" s="257" t="str">
        <f t="shared" si="16"/>
        <v>L2.02.03.03.03.00.06</v>
      </c>
      <c r="Q528" s="161" t="s">
        <v>10530</v>
      </c>
      <c r="R528" s="420" t="str">
        <f t="shared" si="17"/>
        <v>Nhóm MKT sản phẩm VPS</v>
      </c>
      <c r="S528" s="269" t="s">
        <v>11381</v>
      </c>
      <c r="T528" s="265" t="s">
        <v>9181</v>
      </c>
      <c r="U528" s="265" t="s">
        <v>303</v>
      </c>
      <c r="V528" s="265" t="s">
        <v>335</v>
      </c>
      <c r="W528" s="265" t="s">
        <v>336</v>
      </c>
      <c r="X528" s="265" t="s">
        <v>9180</v>
      </c>
      <c r="Y528" s="265"/>
      <c r="Z528" s="225" t="s">
        <v>11384</v>
      </c>
      <c r="AA528" s="266"/>
      <c r="AB528" s="267"/>
      <c r="AC528" s="267"/>
      <c r="AD528" s="267"/>
    </row>
    <row r="529" ht="15.75" hidden="1" customHeight="1" outlineLevel="1">
      <c r="A529" s="261" t="s">
        <v>10833</v>
      </c>
      <c r="B529" s="231" t="s">
        <v>77</v>
      </c>
      <c r="C529" s="231" t="s">
        <v>33</v>
      </c>
      <c r="D529" s="157" t="s">
        <v>89</v>
      </c>
      <c r="E529" s="297" t="s">
        <v>35</v>
      </c>
      <c r="F529" s="168" t="s">
        <v>11167</v>
      </c>
      <c r="G529" s="157" t="s">
        <v>35</v>
      </c>
      <c r="H529" s="419" t="s">
        <v>161</v>
      </c>
      <c r="I529" s="297" t="s">
        <v>37</v>
      </c>
      <c r="J529" s="419" t="s">
        <v>148</v>
      </c>
      <c r="K529" s="297" t="s">
        <v>27</v>
      </c>
      <c r="L529" s="157" t="s">
        <v>4</v>
      </c>
      <c r="M529" s="157" t="s">
        <v>44</v>
      </c>
      <c r="N529" s="167" t="s">
        <v>10505</v>
      </c>
      <c r="O529" s="55" t="str">
        <f t="shared" si="14"/>
        <v>L2.02.03.03.04.00</v>
      </c>
      <c r="P529" s="257" t="str">
        <f t="shared" si="16"/>
        <v>L2.02.03.03.04.00.06</v>
      </c>
      <c r="Q529" s="161" t="s">
        <v>10530</v>
      </c>
      <c r="R529" s="420" t="str">
        <f t="shared" si="17"/>
        <v>Nhóm MDR</v>
      </c>
      <c r="S529" s="269" t="s">
        <v>11381</v>
      </c>
      <c r="T529" s="265"/>
      <c r="U529" s="265"/>
      <c r="V529" s="265"/>
      <c r="W529" s="265"/>
      <c r="X529" s="265"/>
      <c r="Y529" s="264" t="s">
        <v>11364</v>
      </c>
      <c r="Z529" s="225" t="s">
        <v>11385</v>
      </c>
      <c r="AA529" s="266"/>
      <c r="AB529" s="267"/>
      <c r="AC529" s="267"/>
      <c r="AD529" s="267"/>
    </row>
    <row r="530" ht="15.75" customHeight="1">
      <c r="A530" s="268" t="s">
        <v>11386</v>
      </c>
      <c r="B530" s="66"/>
      <c r="C530" s="66"/>
      <c r="D530" s="66"/>
      <c r="E530" s="67"/>
      <c r="F530" s="66"/>
      <c r="G530" s="66"/>
      <c r="H530" s="68"/>
      <c r="I530" s="66"/>
      <c r="J530" s="382"/>
      <c r="K530" s="383"/>
      <c r="L530" s="384"/>
      <c r="M530" s="383"/>
      <c r="N530" s="384"/>
      <c r="O530" s="55" t="str">
        <f t="shared" si="14"/>
        <v>Khối doanh nghiệp lớn.....</v>
      </c>
      <c r="P530" s="69"/>
      <c r="Q530" s="169"/>
      <c r="R530" s="169" t="str">
        <f t="shared" si="17"/>
        <v/>
      </c>
      <c r="S530" s="96"/>
      <c r="T530" s="96"/>
      <c r="U530" s="96"/>
      <c r="V530" s="96"/>
      <c r="W530" s="96"/>
      <c r="X530" s="96"/>
      <c r="Y530" s="96"/>
      <c r="Z530" s="152"/>
      <c r="AA530" s="99"/>
      <c r="AB530" s="91"/>
      <c r="AC530" s="91"/>
      <c r="AD530" s="91"/>
    </row>
    <row r="531" ht="15.75" hidden="1" customHeight="1" outlineLevel="1">
      <c r="A531" s="170" t="s">
        <v>10833</v>
      </c>
      <c r="B531" s="57" t="s">
        <v>77</v>
      </c>
      <c r="C531" s="51" t="s">
        <v>33</v>
      </c>
      <c r="D531" s="52" t="s">
        <v>89</v>
      </c>
      <c r="E531" s="53" t="s">
        <v>37</v>
      </c>
      <c r="F531" s="250" t="s">
        <v>11387</v>
      </c>
      <c r="G531" s="325" t="s">
        <v>27</v>
      </c>
      <c r="H531" s="155" t="s">
        <v>4</v>
      </c>
      <c r="I531" s="53" t="s">
        <v>27</v>
      </c>
      <c r="J531" s="155" t="s">
        <v>4</v>
      </c>
      <c r="K531" s="166" t="s">
        <v>27</v>
      </c>
      <c r="L531" s="155" t="s">
        <v>4</v>
      </c>
      <c r="M531" s="326" t="s">
        <v>27</v>
      </c>
      <c r="N531" s="155" t="s">
        <v>4</v>
      </c>
      <c r="O531" s="55" t="str">
        <f t="shared" si="14"/>
        <v>L2.02.04.00.00.00</v>
      </c>
      <c r="P531" s="55" t="str">
        <f t="shared" ref="P531:P537" si="18">A531&amp;"."&amp;C531&amp;"."&amp;E531&amp;"."&amp;G531&amp;"."&amp;I531&amp;"."&amp;K531&amp;"."&amp;M531</f>
        <v>L2.02.04.00.00.00.00</v>
      </c>
      <c r="Q531" s="161" t="s">
        <v>10530</v>
      </c>
      <c r="R531" s="259" t="s">
        <v>11387</v>
      </c>
      <c r="S531" s="227" t="s">
        <v>10916</v>
      </c>
      <c r="T531" s="421" t="s">
        <v>11388</v>
      </c>
      <c r="U531" s="421" t="s">
        <v>303</v>
      </c>
      <c r="V531" s="421" t="s">
        <v>11389</v>
      </c>
      <c r="W531" s="96" t="s">
        <v>9786</v>
      </c>
      <c r="X531" s="96"/>
      <c r="Y531" s="96"/>
      <c r="Z531" s="98" t="s">
        <v>11390</v>
      </c>
      <c r="AA531" s="99"/>
      <c r="AB531" s="91"/>
      <c r="AC531" s="91"/>
      <c r="AD531" s="91"/>
    </row>
    <row r="532" ht="15.75" hidden="1" customHeight="1" outlineLevel="1">
      <c r="A532" s="170" t="s">
        <v>10833</v>
      </c>
      <c r="B532" s="57" t="s">
        <v>77</v>
      </c>
      <c r="C532" s="51" t="s">
        <v>33</v>
      </c>
      <c r="D532" s="52" t="s">
        <v>89</v>
      </c>
      <c r="E532" s="53" t="s">
        <v>37</v>
      </c>
      <c r="F532" s="250" t="s">
        <v>11387</v>
      </c>
      <c r="G532" s="62" t="s">
        <v>29</v>
      </c>
      <c r="H532" s="54" t="s">
        <v>166</v>
      </c>
      <c r="I532" s="53" t="s">
        <v>27</v>
      </c>
      <c r="J532" s="155" t="s">
        <v>4</v>
      </c>
      <c r="K532" s="166" t="s">
        <v>27</v>
      </c>
      <c r="L532" s="155" t="s">
        <v>4</v>
      </c>
      <c r="M532" s="422" t="s">
        <v>44</v>
      </c>
      <c r="N532" s="158" t="s">
        <v>10505</v>
      </c>
      <c r="O532" s="55" t="str">
        <f t="shared" si="14"/>
        <v>L2.02.04.01.00.00</v>
      </c>
      <c r="P532" s="55" t="str">
        <f t="shared" si="18"/>
        <v>L2.02.04.01.00.00.06</v>
      </c>
      <c r="Q532" s="161" t="s">
        <v>10530</v>
      </c>
      <c r="R532" s="169" t="str">
        <f t="shared" ref="R532:R538" si="19">if(L532&lt;&gt;"-",L532,if(AND(L532="-",J532&lt;&gt;"-"),J532,if(AND(J532="-",H532&lt;&gt;"-"),H532,"NA")))</f>
        <v>Ban Giám đốc khối DN Lớn</v>
      </c>
      <c r="S532" s="227" t="s">
        <v>11391</v>
      </c>
      <c r="T532" s="96" t="s">
        <v>9787</v>
      </c>
      <c r="U532" s="96" t="s">
        <v>303</v>
      </c>
      <c r="V532" s="96" t="s">
        <v>3877</v>
      </c>
      <c r="W532" s="96" t="s">
        <v>9786</v>
      </c>
      <c r="X532" s="96"/>
      <c r="Y532" s="96"/>
      <c r="Z532" s="98" t="s">
        <v>11392</v>
      </c>
      <c r="AA532" s="153" t="s">
        <v>10530</v>
      </c>
      <c r="AB532" s="91"/>
      <c r="AC532" s="91"/>
      <c r="AD532" s="91"/>
    </row>
    <row r="533" ht="15.75" hidden="1" customHeight="1" outlineLevel="1">
      <c r="A533" s="131" t="s">
        <v>10833</v>
      </c>
      <c r="B533" s="132" t="s">
        <v>77</v>
      </c>
      <c r="C533" s="132" t="s">
        <v>33</v>
      </c>
      <c r="D533" s="133" t="s">
        <v>89</v>
      </c>
      <c r="E533" s="134" t="s">
        <v>37</v>
      </c>
      <c r="F533" s="423" t="s">
        <v>11387</v>
      </c>
      <c r="G533" s="133" t="s">
        <v>33</v>
      </c>
      <c r="H533" s="135" t="s">
        <v>167</v>
      </c>
      <c r="I533" s="134" t="s">
        <v>27</v>
      </c>
      <c r="J533" s="102" t="s">
        <v>4</v>
      </c>
      <c r="K533" s="103" t="s">
        <v>27</v>
      </c>
      <c r="L533" s="102" t="s">
        <v>4</v>
      </c>
      <c r="M533" s="106" t="s">
        <v>27</v>
      </c>
      <c r="N533" s="102" t="s">
        <v>4</v>
      </c>
      <c r="O533" s="136" t="str">
        <f t="shared" si="14"/>
        <v>L2.02.04.02.00.00</v>
      </c>
      <c r="P533" s="136" t="str">
        <f t="shared" si="18"/>
        <v>L2.02.04.02.00.00.00</v>
      </c>
      <c r="Q533" s="424" t="s">
        <v>10530</v>
      </c>
      <c r="R533" s="109" t="str">
        <f t="shared" si="19"/>
        <v>Phòng KD GP DN lớn</v>
      </c>
      <c r="S533" s="425" t="s">
        <v>11391</v>
      </c>
      <c r="T533" s="111" t="s">
        <v>3878</v>
      </c>
      <c r="U533" s="111" t="s">
        <v>303</v>
      </c>
      <c r="V533" s="111" t="s">
        <v>3877</v>
      </c>
      <c r="W533" s="111" t="s">
        <v>167</v>
      </c>
      <c r="X533" s="111"/>
      <c r="Y533" s="111"/>
      <c r="Z533" s="112" t="s">
        <v>11393</v>
      </c>
      <c r="AA533" s="113" t="s">
        <v>10530</v>
      </c>
      <c r="AB533" s="114"/>
      <c r="AC533" s="114"/>
      <c r="AD533" s="114"/>
    </row>
    <row r="534" ht="15.75" hidden="1" customHeight="1" outlineLevel="1">
      <c r="A534" s="137" t="s">
        <v>10833</v>
      </c>
      <c r="B534" s="138" t="s">
        <v>77</v>
      </c>
      <c r="C534" s="139" t="s">
        <v>33</v>
      </c>
      <c r="D534" s="140" t="s">
        <v>89</v>
      </c>
      <c r="E534" s="141" t="s">
        <v>37</v>
      </c>
      <c r="F534" s="250" t="s">
        <v>11387</v>
      </c>
      <c r="G534" s="142" t="s">
        <v>33</v>
      </c>
      <c r="H534" s="143" t="s">
        <v>167</v>
      </c>
      <c r="I534" s="141" t="s">
        <v>27</v>
      </c>
      <c r="J534" s="146" t="s">
        <v>4</v>
      </c>
      <c r="K534" s="145" t="s">
        <v>27</v>
      </c>
      <c r="L534" s="146" t="s">
        <v>4</v>
      </c>
      <c r="M534" s="147" t="s">
        <v>44</v>
      </c>
      <c r="N534" s="148" t="s">
        <v>10505</v>
      </c>
      <c r="O534" s="149" t="str">
        <f t="shared" si="14"/>
        <v>L2.02.04.02.00.00</v>
      </c>
      <c r="P534" s="149" t="str">
        <f t="shared" si="18"/>
        <v>L2.02.04.02.00.00.06</v>
      </c>
      <c r="Q534" s="426"/>
      <c r="R534" s="125" t="str">
        <f t="shared" si="19"/>
        <v>Phòng KD GP DN lớn</v>
      </c>
      <c r="S534" s="126" t="s">
        <v>11394</v>
      </c>
      <c r="T534" s="127"/>
      <c r="U534" s="127"/>
      <c r="V534" s="127"/>
      <c r="W534" s="127" t="s">
        <v>167</v>
      </c>
      <c r="X534" s="127"/>
      <c r="Y534" s="127"/>
      <c r="Z534" s="128"/>
      <c r="AA534" s="129"/>
      <c r="AB534" s="130"/>
      <c r="AC534" s="130"/>
      <c r="AD534" s="130"/>
    </row>
    <row r="535" ht="15.75" hidden="1" customHeight="1" outlineLevel="1">
      <c r="A535" s="137" t="s">
        <v>10833</v>
      </c>
      <c r="B535" s="138" t="s">
        <v>77</v>
      </c>
      <c r="C535" s="139" t="s">
        <v>33</v>
      </c>
      <c r="D535" s="140" t="s">
        <v>89</v>
      </c>
      <c r="E535" s="141" t="s">
        <v>37</v>
      </c>
      <c r="F535" s="250" t="s">
        <v>11387</v>
      </c>
      <c r="G535" s="142" t="s">
        <v>33</v>
      </c>
      <c r="H535" s="143" t="s">
        <v>167</v>
      </c>
      <c r="I535" s="141" t="s">
        <v>27</v>
      </c>
      <c r="J535" s="146" t="s">
        <v>4</v>
      </c>
      <c r="K535" s="145" t="s">
        <v>27</v>
      </c>
      <c r="L535" s="146" t="s">
        <v>4</v>
      </c>
      <c r="M535" s="147" t="s">
        <v>33</v>
      </c>
      <c r="N535" s="148" t="s">
        <v>10499</v>
      </c>
      <c r="O535" s="149" t="str">
        <f t="shared" si="14"/>
        <v>L2.02.04.02.00.00</v>
      </c>
      <c r="P535" s="149" t="str">
        <f t="shared" si="18"/>
        <v>L2.02.04.02.00.00.02</v>
      </c>
      <c r="Q535" s="125"/>
      <c r="R535" s="125" t="str">
        <f t="shared" si="19"/>
        <v>Phòng KD GP DN lớn</v>
      </c>
      <c r="S535" s="126" t="s">
        <v>11394</v>
      </c>
      <c r="T535" s="127"/>
      <c r="U535" s="127"/>
      <c r="V535" s="127"/>
      <c r="W535" s="127" t="s">
        <v>167</v>
      </c>
      <c r="X535" s="127"/>
      <c r="Y535" s="127"/>
      <c r="Z535" s="128"/>
      <c r="AA535" s="129"/>
      <c r="AB535" s="130"/>
      <c r="AC535" s="130"/>
      <c r="AD535" s="130"/>
    </row>
    <row r="536" ht="15.75" hidden="1" customHeight="1" outlineLevel="1">
      <c r="A536" s="170" t="s">
        <v>10833</v>
      </c>
      <c r="B536" s="57" t="s">
        <v>77</v>
      </c>
      <c r="C536" s="51" t="s">
        <v>33</v>
      </c>
      <c r="D536" s="52" t="s">
        <v>89</v>
      </c>
      <c r="E536" s="53" t="s">
        <v>37</v>
      </c>
      <c r="F536" s="250" t="s">
        <v>11387</v>
      </c>
      <c r="G536" s="62" t="s">
        <v>35</v>
      </c>
      <c r="H536" s="54" t="s">
        <v>168</v>
      </c>
      <c r="I536" s="53" t="s">
        <v>27</v>
      </c>
      <c r="J536" s="155" t="s">
        <v>4</v>
      </c>
      <c r="K536" s="166" t="s">
        <v>27</v>
      </c>
      <c r="L536" s="155" t="s">
        <v>4</v>
      </c>
      <c r="M536" s="422" t="s">
        <v>44</v>
      </c>
      <c r="N536" s="158" t="s">
        <v>10505</v>
      </c>
      <c r="O536" s="55" t="str">
        <f t="shared" si="14"/>
        <v>L2.02.04.03.00.00</v>
      </c>
      <c r="P536" s="55" t="str">
        <f t="shared" si="18"/>
        <v>L2.02.04.03.00.00.06</v>
      </c>
      <c r="Q536" s="161" t="s">
        <v>10530</v>
      </c>
      <c r="R536" s="169" t="str">
        <f t="shared" si="19"/>
        <v>Phòng Tư vấn giải pháp</v>
      </c>
      <c r="S536" s="227" t="s">
        <v>11391</v>
      </c>
      <c r="T536" s="96"/>
      <c r="U536" s="96"/>
      <c r="V536" s="96"/>
      <c r="W536" s="96"/>
      <c r="X536" s="96"/>
      <c r="Y536" s="97" t="s">
        <v>11395</v>
      </c>
      <c r="Z536" s="98" t="s">
        <v>11396</v>
      </c>
      <c r="AA536" s="99"/>
      <c r="AB536" s="91"/>
      <c r="AC536" s="91"/>
      <c r="AD536" s="91"/>
    </row>
    <row r="537" ht="15.75" hidden="1" customHeight="1" outlineLevel="1">
      <c r="A537" s="170" t="s">
        <v>10833</v>
      </c>
      <c r="B537" s="57" t="s">
        <v>77</v>
      </c>
      <c r="C537" s="51" t="s">
        <v>33</v>
      </c>
      <c r="D537" s="52" t="s">
        <v>89</v>
      </c>
      <c r="E537" s="53" t="s">
        <v>37</v>
      </c>
      <c r="F537" s="250" t="s">
        <v>11387</v>
      </c>
      <c r="G537" s="62" t="s">
        <v>37</v>
      </c>
      <c r="H537" s="54" t="s">
        <v>169</v>
      </c>
      <c r="I537" s="53" t="s">
        <v>27</v>
      </c>
      <c r="J537" s="155" t="s">
        <v>4</v>
      </c>
      <c r="K537" s="166" t="s">
        <v>27</v>
      </c>
      <c r="L537" s="155" t="s">
        <v>4</v>
      </c>
      <c r="M537" s="422" t="s">
        <v>44</v>
      </c>
      <c r="N537" s="158" t="s">
        <v>10505</v>
      </c>
      <c r="O537" s="55" t="str">
        <f t="shared" si="14"/>
        <v>L2.02.04.04.00.00</v>
      </c>
      <c r="P537" s="55" t="str">
        <f t="shared" si="18"/>
        <v>L2.02.04.04.00.00.06</v>
      </c>
      <c r="Q537" s="161" t="s">
        <v>10530</v>
      </c>
      <c r="R537" s="169" t="str">
        <f t="shared" si="19"/>
        <v>Phòng triển khai</v>
      </c>
      <c r="S537" s="227" t="s">
        <v>11391</v>
      </c>
      <c r="T537" s="96"/>
      <c r="U537" s="96"/>
      <c r="V537" s="96"/>
      <c r="W537" s="96"/>
      <c r="X537" s="96"/>
      <c r="Y537" s="97" t="s">
        <v>11395</v>
      </c>
      <c r="Z537" s="98" t="s">
        <v>11397</v>
      </c>
      <c r="AA537" s="153" t="s">
        <v>10530</v>
      </c>
      <c r="AB537" s="91"/>
      <c r="AC537" s="91"/>
      <c r="AD537" s="91"/>
    </row>
    <row r="538" ht="15.75" customHeight="1" collapsed="1">
      <c r="A538" s="268" t="s">
        <v>11398</v>
      </c>
      <c r="B538" s="66"/>
      <c r="C538" s="66"/>
      <c r="D538" s="66"/>
      <c r="E538" s="67"/>
      <c r="F538" s="66"/>
      <c r="G538" s="66"/>
      <c r="H538" s="68"/>
      <c r="I538" s="66"/>
      <c r="J538" s="382"/>
      <c r="K538" s="383"/>
      <c r="L538" s="384"/>
      <c r="M538" s="383"/>
      <c r="N538" s="384"/>
      <c r="O538" s="55" t="str">
        <f t="shared" si="14"/>
        <v>Khối Kế toán dịch vụ.....</v>
      </c>
      <c r="P538" s="69"/>
      <c r="Q538" s="169"/>
      <c r="R538" s="169" t="str">
        <f t="shared" si="19"/>
        <v/>
      </c>
      <c r="S538" s="96"/>
      <c r="T538" s="96"/>
      <c r="U538" s="96"/>
      <c r="V538" s="96"/>
      <c r="W538" s="96"/>
      <c r="X538" s="96"/>
      <c r="Y538" s="96"/>
      <c r="Z538" s="152"/>
      <c r="AA538" s="99"/>
      <c r="AB538" s="91"/>
      <c r="AC538" s="91"/>
      <c r="AD538" s="91"/>
    </row>
    <row r="539" ht="15.75" hidden="1" customHeight="1" outlineLevel="1">
      <c r="A539" s="177" t="s">
        <v>10833</v>
      </c>
      <c r="B539" s="221" t="s">
        <v>77</v>
      </c>
      <c r="C539" s="221" t="s">
        <v>33</v>
      </c>
      <c r="D539" s="172" t="s">
        <v>89</v>
      </c>
      <c r="E539" s="222" t="s">
        <v>42</v>
      </c>
      <c r="F539" s="175" t="s">
        <v>11398</v>
      </c>
      <c r="G539" s="175" t="s">
        <v>27</v>
      </c>
      <c r="H539" s="427" t="s">
        <v>4</v>
      </c>
      <c r="I539" s="222" t="s">
        <v>27</v>
      </c>
      <c r="J539" s="157" t="s">
        <v>4</v>
      </c>
      <c r="K539" s="297" t="s">
        <v>27</v>
      </c>
      <c r="L539" s="157" t="s">
        <v>4</v>
      </c>
      <c r="M539" s="168" t="s">
        <v>27</v>
      </c>
      <c r="N539" s="167"/>
      <c r="O539" s="55" t="str">
        <f t="shared" si="14"/>
        <v>L2.02.05.00.00.00</v>
      </c>
      <c r="P539" s="173" t="str">
        <f t="shared" ref="P539:P551" si="20">A539&amp;"."&amp;C539&amp;"."&amp;E539&amp;"."&amp;G539&amp;"."&amp;I539&amp;"."&amp;K539&amp;"."&amp;M539</f>
        <v>L2.02.05.00.00.00.00</v>
      </c>
      <c r="Q539" s="161" t="s">
        <v>10530</v>
      </c>
      <c r="R539" s="428" t="s">
        <v>11398</v>
      </c>
      <c r="S539" s="429" t="s">
        <v>10916</v>
      </c>
      <c r="T539" s="430" t="s">
        <v>2979</v>
      </c>
      <c r="U539" s="430" t="s">
        <v>303</v>
      </c>
      <c r="V539" s="430" t="s">
        <v>2978</v>
      </c>
      <c r="W539" s="176"/>
      <c r="X539" s="176"/>
      <c r="Y539" s="176"/>
      <c r="Z539" s="225" t="s">
        <v>11399</v>
      </c>
      <c r="AA539" s="266"/>
      <c r="AB539" s="226"/>
      <c r="AC539" s="226"/>
      <c r="AD539" s="226"/>
    </row>
    <row r="540" ht="15.75" hidden="1" customHeight="1" outlineLevel="1">
      <c r="A540" s="177" t="s">
        <v>10833</v>
      </c>
      <c r="B540" s="221" t="s">
        <v>77</v>
      </c>
      <c r="C540" s="221" t="s">
        <v>33</v>
      </c>
      <c r="D540" s="172" t="s">
        <v>89</v>
      </c>
      <c r="E540" s="222" t="s">
        <v>42</v>
      </c>
      <c r="F540" s="175" t="s">
        <v>11398</v>
      </c>
      <c r="G540" s="172" t="s">
        <v>29</v>
      </c>
      <c r="H540" s="171" t="s">
        <v>171</v>
      </c>
      <c r="I540" s="222" t="s">
        <v>27</v>
      </c>
      <c r="J540" s="157" t="s">
        <v>4</v>
      </c>
      <c r="K540" s="297" t="s">
        <v>27</v>
      </c>
      <c r="L540" s="157" t="s">
        <v>4</v>
      </c>
      <c r="M540" s="157" t="s">
        <v>44</v>
      </c>
      <c r="N540" s="167" t="s">
        <v>10505</v>
      </c>
      <c r="O540" s="55" t="str">
        <f t="shared" si="14"/>
        <v>L2.02.05.01.00.00</v>
      </c>
      <c r="P540" s="173" t="str">
        <f t="shared" si="20"/>
        <v>L2.02.05.01.00.00.06</v>
      </c>
      <c r="Q540" s="161" t="s">
        <v>10530</v>
      </c>
      <c r="R540" s="223" t="str">
        <f t="shared" ref="R540:R552" si="21">if(L540&lt;&gt;"-",L540,if(AND(L540="-",J540&lt;&gt;"-"),J540,if(AND(J540="-",H540&lt;&gt;"-"),H540,"NA")))</f>
        <v>Ban Giám đốc khối KTDV</v>
      </c>
      <c r="S540" s="429" t="s">
        <v>11400</v>
      </c>
      <c r="T540" s="176"/>
      <c r="U540" s="176"/>
      <c r="V540" s="176"/>
      <c r="W540" s="176"/>
      <c r="X540" s="176"/>
      <c r="Y540" s="224" t="s">
        <v>11364</v>
      </c>
      <c r="Z540" s="225" t="s">
        <v>11401</v>
      </c>
      <c r="AA540" s="266"/>
      <c r="AB540" s="226"/>
      <c r="AC540" s="226"/>
      <c r="AD540" s="226"/>
    </row>
    <row r="541" ht="15.75" hidden="1" customHeight="1" outlineLevel="1">
      <c r="A541" s="131" t="s">
        <v>10833</v>
      </c>
      <c r="B541" s="132" t="s">
        <v>77</v>
      </c>
      <c r="C541" s="132" t="s">
        <v>33</v>
      </c>
      <c r="D541" s="133" t="s">
        <v>89</v>
      </c>
      <c r="E541" s="134" t="s">
        <v>42</v>
      </c>
      <c r="F541" s="423" t="s">
        <v>11398</v>
      </c>
      <c r="G541" s="133" t="s">
        <v>33</v>
      </c>
      <c r="H541" s="135" t="s">
        <v>172</v>
      </c>
      <c r="I541" s="134" t="s">
        <v>27</v>
      </c>
      <c r="J541" s="102" t="s">
        <v>4</v>
      </c>
      <c r="K541" s="103" t="s">
        <v>27</v>
      </c>
      <c r="L541" s="102" t="s">
        <v>4</v>
      </c>
      <c r="M541" s="106" t="s">
        <v>27</v>
      </c>
      <c r="N541" s="104"/>
      <c r="O541" s="136" t="str">
        <f t="shared" si="14"/>
        <v>L2.02.05.02.00.00</v>
      </c>
      <c r="P541" s="136" t="str">
        <f t="shared" si="20"/>
        <v>L2.02.05.02.00.00.00</v>
      </c>
      <c r="Q541" s="108" t="s">
        <v>10530</v>
      </c>
      <c r="R541" s="109" t="str">
        <f t="shared" si="21"/>
        <v>Phòng phát triển đối tác MISA ASP</v>
      </c>
      <c r="S541" s="425" t="s">
        <v>11400</v>
      </c>
      <c r="T541" s="111"/>
      <c r="U541" s="111"/>
      <c r="V541" s="111"/>
      <c r="W541" s="111"/>
      <c r="X541" s="111"/>
      <c r="Y541" s="110" t="s">
        <v>11402</v>
      </c>
      <c r="Z541" s="112" t="s">
        <v>11403</v>
      </c>
      <c r="AA541" s="312"/>
      <c r="AB541" s="114"/>
      <c r="AC541" s="114"/>
      <c r="AD541" s="114"/>
    </row>
    <row r="542" ht="15.75" hidden="1" customHeight="1" outlineLevel="1">
      <c r="A542" s="115" t="s">
        <v>10833</v>
      </c>
      <c r="B542" s="116" t="s">
        <v>77</v>
      </c>
      <c r="C542" s="116" t="s">
        <v>33</v>
      </c>
      <c r="D542" s="117" t="s">
        <v>89</v>
      </c>
      <c r="E542" s="118" t="s">
        <v>42</v>
      </c>
      <c r="F542" s="431" t="s">
        <v>11398</v>
      </c>
      <c r="G542" s="117" t="s">
        <v>33</v>
      </c>
      <c r="H542" s="119" t="s">
        <v>172</v>
      </c>
      <c r="I542" s="118" t="s">
        <v>27</v>
      </c>
      <c r="J542" s="122" t="s">
        <v>4</v>
      </c>
      <c r="K542" s="121" t="s">
        <v>27</v>
      </c>
      <c r="L542" s="122" t="s">
        <v>4</v>
      </c>
      <c r="M542" s="122" t="s">
        <v>44</v>
      </c>
      <c r="N542" s="123" t="s">
        <v>10505</v>
      </c>
      <c r="O542" s="149" t="str">
        <f t="shared" si="14"/>
        <v>L2.02.05.02.00.00</v>
      </c>
      <c r="P542" s="124" t="str">
        <f t="shared" si="20"/>
        <v>L2.02.05.02.00.00.06</v>
      </c>
      <c r="Q542" s="432"/>
      <c r="R542" s="432" t="str">
        <f t="shared" si="21"/>
        <v>Phòng phát triển đối tác MISA ASP</v>
      </c>
      <c r="S542" s="433" t="s">
        <v>11404</v>
      </c>
      <c r="T542" s="434"/>
      <c r="U542" s="434"/>
      <c r="V542" s="434"/>
      <c r="W542" s="434"/>
      <c r="X542" s="434"/>
      <c r="Y542" s="435" t="s">
        <v>11402</v>
      </c>
      <c r="Z542" s="322"/>
      <c r="AA542" s="323"/>
      <c r="AB542" s="436"/>
      <c r="AC542" s="436"/>
      <c r="AD542" s="436"/>
    </row>
    <row r="543" ht="15.75" hidden="1" customHeight="1" outlineLevel="1">
      <c r="A543" s="115" t="s">
        <v>10833</v>
      </c>
      <c r="B543" s="116" t="s">
        <v>77</v>
      </c>
      <c r="C543" s="116" t="s">
        <v>33</v>
      </c>
      <c r="D543" s="117" t="s">
        <v>89</v>
      </c>
      <c r="E543" s="118" t="s">
        <v>42</v>
      </c>
      <c r="F543" s="431" t="s">
        <v>11398</v>
      </c>
      <c r="G543" s="117" t="s">
        <v>33</v>
      </c>
      <c r="H543" s="119" t="s">
        <v>172</v>
      </c>
      <c r="I543" s="118" t="s">
        <v>27</v>
      </c>
      <c r="J543" s="122" t="s">
        <v>4</v>
      </c>
      <c r="K543" s="121" t="s">
        <v>27</v>
      </c>
      <c r="L543" s="122" t="s">
        <v>4</v>
      </c>
      <c r="M543" s="122" t="s">
        <v>33</v>
      </c>
      <c r="N543" s="123" t="s">
        <v>10499</v>
      </c>
      <c r="O543" s="149" t="str">
        <f t="shared" si="14"/>
        <v>L2.02.05.02.00.00</v>
      </c>
      <c r="P543" s="124" t="str">
        <f t="shared" si="20"/>
        <v>L2.02.05.02.00.00.02</v>
      </c>
      <c r="Q543" s="432"/>
      <c r="R543" s="432" t="str">
        <f t="shared" si="21"/>
        <v>Phòng phát triển đối tác MISA ASP</v>
      </c>
      <c r="S543" s="433" t="s">
        <v>11404</v>
      </c>
      <c r="T543" s="434"/>
      <c r="U543" s="434"/>
      <c r="V543" s="434"/>
      <c r="W543" s="434"/>
      <c r="X543" s="434"/>
      <c r="Y543" s="435" t="s">
        <v>11402</v>
      </c>
      <c r="Z543" s="322"/>
      <c r="AA543" s="323"/>
      <c r="AB543" s="436"/>
      <c r="AC543" s="436"/>
      <c r="AD543" s="436"/>
    </row>
    <row r="544" ht="15.75" hidden="1" customHeight="1" outlineLevel="1">
      <c r="A544" s="177" t="s">
        <v>10833</v>
      </c>
      <c r="B544" s="221" t="s">
        <v>77</v>
      </c>
      <c r="C544" s="221" t="s">
        <v>33</v>
      </c>
      <c r="D544" s="172" t="s">
        <v>89</v>
      </c>
      <c r="E544" s="222" t="s">
        <v>42</v>
      </c>
      <c r="F544" s="175" t="s">
        <v>11398</v>
      </c>
      <c r="G544" s="172" t="s">
        <v>35</v>
      </c>
      <c r="H544" s="171" t="s">
        <v>173</v>
      </c>
      <c r="I544" s="222" t="s">
        <v>27</v>
      </c>
      <c r="J544" s="157" t="s">
        <v>4</v>
      </c>
      <c r="K544" s="297" t="s">
        <v>27</v>
      </c>
      <c r="L544" s="157" t="s">
        <v>4</v>
      </c>
      <c r="M544" s="157" t="s">
        <v>44</v>
      </c>
      <c r="N544" s="167" t="s">
        <v>10505</v>
      </c>
      <c r="O544" s="55" t="str">
        <f t="shared" si="14"/>
        <v>L2.02.05.03.00.00</v>
      </c>
      <c r="P544" s="173" t="str">
        <f t="shared" si="20"/>
        <v>L2.02.05.03.00.00.06</v>
      </c>
      <c r="Q544" s="428" t="s">
        <v>10530</v>
      </c>
      <c r="R544" s="223" t="str">
        <f t="shared" si="21"/>
        <v>Phòng chăm sóc đối tác MISA ASP</v>
      </c>
      <c r="S544" s="429" t="s">
        <v>11400</v>
      </c>
      <c r="T544" s="176"/>
      <c r="U544" s="176"/>
      <c r="V544" s="176"/>
      <c r="W544" s="176"/>
      <c r="X544" s="176"/>
      <c r="Y544" s="224" t="s">
        <v>11402</v>
      </c>
      <c r="Z544" s="225" t="s">
        <v>11405</v>
      </c>
      <c r="AA544" s="266"/>
      <c r="AB544" s="226"/>
      <c r="AC544" s="226"/>
      <c r="AD544" s="226"/>
    </row>
    <row r="545" ht="15.75" hidden="1" customHeight="1" outlineLevel="1">
      <c r="A545" s="131" t="s">
        <v>10833</v>
      </c>
      <c r="B545" s="132" t="s">
        <v>77</v>
      </c>
      <c r="C545" s="132" t="s">
        <v>33</v>
      </c>
      <c r="D545" s="133" t="s">
        <v>89</v>
      </c>
      <c r="E545" s="134" t="s">
        <v>42</v>
      </c>
      <c r="F545" s="423" t="s">
        <v>11398</v>
      </c>
      <c r="G545" s="133" t="s">
        <v>37</v>
      </c>
      <c r="H545" s="135" t="s">
        <v>174</v>
      </c>
      <c r="I545" s="134" t="s">
        <v>27</v>
      </c>
      <c r="J545" s="102" t="s">
        <v>4</v>
      </c>
      <c r="K545" s="103" t="s">
        <v>27</v>
      </c>
      <c r="L545" s="102" t="s">
        <v>4</v>
      </c>
      <c r="M545" s="106" t="s">
        <v>27</v>
      </c>
      <c r="N545" s="104"/>
      <c r="O545" s="136" t="str">
        <f t="shared" si="14"/>
        <v>L2.02.05.04.00.00</v>
      </c>
      <c r="P545" s="136" t="str">
        <f t="shared" si="20"/>
        <v>L2.02.05.04.00.00.00</v>
      </c>
      <c r="Q545" s="108" t="s">
        <v>10530</v>
      </c>
      <c r="R545" s="109" t="str">
        <f t="shared" si="21"/>
        <v>Phòng phát triển đối tác GPKT HKD</v>
      </c>
      <c r="S545" s="425" t="s">
        <v>11400</v>
      </c>
      <c r="T545" s="110" t="s">
        <v>11406</v>
      </c>
      <c r="U545" s="110" t="s">
        <v>303</v>
      </c>
      <c r="V545" s="110" t="s">
        <v>2978</v>
      </c>
      <c r="W545" s="110" t="s">
        <v>174</v>
      </c>
      <c r="X545" s="111"/>
      <c r="Y545" s="111"/>
      <c r="Z545" s="112" t="s">
        <v>11407</v>
      </c>
      <c r="AA545" s="312"/>
      <c r="AB545" s="114"/>
      <c r="AC545" s="114"/>
      <c r="AD545" s="114"/>
    </row>
    <row r="546" ht="15.75" hidden="1" customHeight="1" outlineLevel="1">
      <c r="A546" s="115" t="s">
        <v>10833</v>
      </c>
      <c r="B546" s="116" t="s">
        <v>77</v>
      </c>
      <c r="C546" s="116" t="s">
        <v>33</v>
      </c>
      <c r="D546" s="117" t="s">
        <v>89</v>
      </c>
      <c r="E546" s="118" t="s">
        <v>42</v>
      </c>
      <c r="F546" s="431" t="s">
        <v>11398</v>
      </c>
      <c r="G546" s="117" t="s">
        <v>37</v>
      </c>
      <c r="H546" s="119" t="s">
        <v>174</v>
      </c>
      <c r="I546" s="118" t="s">
        <v>27</v>
      </c>
      <c r="J546" s="122" t="s">
        <v>4</v>
      </c>
      <c r="K546" s="121" t="s">
        <v>27</v>
      </c>
      <c r="L546" s="122" t="s">
        <v>4</v>
      </c>
      <c r="M546" s="122" t="s">
        <v>29</v>
      </c>
      <c r="N546" s="123" t="s">
        <v>10498</v>
      </c>
      <c r="O546" s="149" t="str">
        <f t="shared" si="14"/>
        <v>L2.02.05.04.00.00</v>
      </c>
      <c r="P546" s="124" t="str">
        <f t="shared" si="20"/>
        <v>L2.02.05.04.00.00.01</v>
      </c>
      <c r="Q546" s="432"/>
      <c r="R546" s="432" t="str">
        <f t="shared" si="21"/>
        <v>Phòng phát triển đối tác GPKT HKD</v>
      </c>
      <c r="S546" s="433" t="s">
        <v>11408</v>
      </c>
      <c r="T546" s="435"/>
      <c r="U546" s="435"/>
      <c r="V546" s="435"/>
      <c r="W546" s="435"/>
      <c r="X546" s="434"/>
      <c r="Y546" s="434"/>
      <c r="Z546" s="322"/>
      <c r="AA546" s="323"/>
      <c r="AB546" s="436"/>
      <c r="AC546" s="436"/>
      <c r="AD546" s="436"/>
    </row>
    <row r="547" ht="15.75" hidden="1" customHeight="1" outlineLevel="1">
      <c r="A547" s="115" t="s">
        <v>10833</v>
      </c>
      <c r="B547" s="116" t="s">
        <v>77</v>
      </c>
      <c r="C547" s="116" t="s">
        <v>33</v>
      </c>
      <c r="D547" s="117" t="s">
        <v>89</v>
      </c>
      <c r="E547" s="118" t="s">
        <v>42</v>
      </c>
      <c r="F547" s="431" t="s">
        <v>11398</v>
      </c>
      <c r="G547" s="117" t="s">
        <v>37</v>
      </c>
      <c r="H547" s="119" t="s">
        <v>174</v>
      </c>
      <c r="I547" s="118" t="s">
        <v>27</v>
      </c>
      <c r="J547" s="122" t="s">
        <v>4</v>
      </c>
      <c r="K547" s="121" t="s">
        <v>27</v>
      </c>
      <c r="L547" s="122" t="s">
        <v>4</v>
      </c>
      <c r="M547" s="122" t="s">
        <v>33</v>
      </c>
      <c r="N547" s="123" t="s">
        <v>10499</v>
      </c>
      <c r="O547" s="149" t="str">
        <f t="shared" si="14"/>
        <v>L2.02.05.04.00.00</v>
      </c>
      <c r="P547" s="124" t="str">
        <f t="shared" si="20"/>
        <v>L2.02.05.04.00.00.02</v>
      </c>
      <c r="Q547" s="432"/>
      <c r="R547" s="432" t="str">
        <f t="shared" si="21"/>
        <v>Phòng phát triển đối tác GPKT HKD</v>
      </c>
      <c r="S547" s="433" t="s">
        <v>11408</v>
      </c>
      <c r="T547" s="435"/>
      <c r="U547" s="435"/>
      <c r="V547" s="435"/>
      <c r="W547" s="435"/>
      <c r="X547" s="434"/>
      <c r="Y547" s="434"/>
      <c r="Z547" s="322"/>
      <c r="AA547" s="323"/>
      <c r="AB547" s="436"/>
      <c r="AC547" s="436"/>
      <c r="AD547" s="436"/>
    </row>
    <row r="548" ht="15.75" hidden="1" customHeight="1" outlineLevel="1">
      <c r="A548" s="115" t="s">
        <v>10833</v>
      </c>
      <c r="B548" s="116" t="s">
        <v>77</v>
      </c>
      <c r="C548" s="116" t="s">
        <v>33</v>
      </c>
      <c r="D548" s="117" t="s">
        <v>89</v>
      </c>
      <c r="E548" s="118" t="s">
        <v>42</v>
      </c>
      <c r="F548" s="431" t="s">
        <v>11398</v>
      </c>
      <c r="G548" s="117" t="s">
        <v>37</v>
      </c>
      <c r="H548" s="119" t="s">
        <v>174</v>
      </c>
      <c r="I548" s="118" t="s">
        <v>27</v>
      </c>
      <c r="J548" s="122" t="s">
        <v>4</v>
      </c>
      <c r="K548" s="121" t="s">
        <v>27</v>
      </c>
      <c r="L548" s="122" t="s">
        <v>4</v>
      </c>
      <c r="M548" s="122" t="s">
        <v>35</v>
      </c>
      <c r="N548" s="123" t="s">
        <v>10500</v>
      </c>
      <c r="O548" s="149" t="str">
        <f t="shared" si="14"/>
        <v>L2.02.05.04.00.00</v>
      </c>
      <c r="P548" s="124" t="str">
        <f t="shared" si="20"/>
        <v>L2.02.05.04.00.00.03</v>
      </c>
      <c r="Q548" s="432"/>
      <c r="R548" s="432" t="str">
        <f t="shared" si="21"/>
        <v>Phòng phát triển đối tác GPKT HKD</v>
      </c>
      <c r="S548" s="433" t="s">
        <v>11408</v>
      </c>
      <c r="T548" s="435"/>
      <c r="U548" s="435"/>
      <c r="V548" s="435"/>
      <c r="W548" s="435"/>
      <c r="X548" s="434"/>
      <c r="Y548" s="434"/>
      <c r="Z548" s="322"/>
      <c r="AA548" s="323"/>
      <c r="AB548" s="436"/>
      <c r="AC548" s="436"/>
      <c r="AD548" s="436"/>
    </row>
    <row r="549" ht="15.75" hidden="1" customHeight="1" outlineLevel="1">
      <c r="A549" s="115" t="s">
        <v>10833</v>
      </c>
      <c r="B549" s="116" t="s">
        <v>77</v>
      </c>
      <c r="C549" s="116" t="s">
        <v>33</v>
      </c>
      <c r="D549" s="117" t="s">
        <v>89</v>
      </c>
      <c r="E549" s="118" t="s">
        <v>42</v>
      </c>
      <c r="F549" s="431" t="s">
        <v>11398</v>
      </c>
      <c r="G549" s="117" t="s">
        <v>37</v>
      </c>
      <c r="H549" s="119" t="s">
        <v>174</v>
      </c>
      <c r="I549" s="118" t="s">
        <v>27</v>
      </c>
      <c r="J549" s="122" t="s">
        <v>4</v>
      </c>
      <c r="K549" s="121" t="s">
        <v>27</v>
      </c>
      <c r="L549" s="122" t="s">
        <v>4</v>
      </c>
      <c r="M549" s="122" t="s">
        <v>37</v>
      </c>
      <c r="N549" s="316" t="s">
        <v>10900</v>
      </c>
      <c r="O549" s="149" t="str">
        <f t="shared" si="14"/>
        <v>L2.02.05.04.00.00</v>
      </c>
      <c r="P549" s="124" t="str">
        <f t="shared" si="20"/>
        <v>L2.02.05.04.00.00.04</v>
      </c>
      <c r="Q549" s="432"/>
      <c r="R549" s="432" t="str">
        <f t="shared" si="21"/>
        <v>Phòng phát triển đối tác GPKT HKD</v>
      </c>
      <c r="S549" s="433" t="s">
        <v>11408</v>
      </c>
      <c r="T549" s="435"/>
      <c r="U549" s="435"/>
      <c r="V549" s="435"/>
      <c r="W549" s="435"/>
      <c r="X549" s="434"/>
      <c r="Y549" s="434"/>
      <c r="Z549" s="322"/>
      <c r="AA549" s="323"/>
      <c r="AB549" s="436"/>
      <c r="AC549" s="436"/>
      <c r="AD549" s="436"/>
    </row>
    <row r="550" ht="15.75" hidden="1" customHeight="1" outlineLevel="1">
      <c r="A550" s="177" t="s">
        <v>10833</v>
      </c>
      <c r="B550" s="221" t="s">
        <v>77</v>
      </c>
      <c r="C550" s="221" t="s">
        <v>33</v>
      </c>
      <c r="D550" s="172" t="s">
        <v>89</v>
      </c>
      <c r="E550" s="222" t="s">
        <v>42</v>
      </c>
      <c r="F550" s="175" t="s">
        <v>11398</v>
      </c>
      <c r="G550" s="172" t="s">
        <v>42</v>
      </c>
      <c r="H550" s="171" t="s">
        <v>101</v>
      </c>
      <c r="I550" s="222" t="s">
        <v>27</v>
      </c>
      <c r="J550" s="157" t="s">
        <v>4</v>
      </c>
      <c r="K550" s="297" t="s">
        <v>27</v>
      </c>
      <c r="L550" s="157" t="s">
        <v>4</v>
      </c>
      <c r="M550" s="157" t="s">
        <v>44</v>
      </c>
      <c r="N550" s="167" t="s">
        <v>10505</v>
      </c>
      <c r="O550" s="55" t="str">
        <f t="shared" si="14"/>
        <v>L2.02.05.05.00.00</v>
      </c>
      <c r="P550" s="173" t="str">
        <f t="shared" si="20"/>
        <v>L2.02.05.05.00.00.06</v>
      </c>
      <c r="Q550" s="428" t="s">
        <v>10530</v>
      </c>
      <c r="R550" s="223" t="str">
        <f t="shared" si="21"/>
        <v>Phòng chuyển giao</v>
      </c>
      <c r="S550" s="429" t="s">
        <v>11400</v>
      </c>
      <c r="T550" s="176"/>
      <c r="U550" s="176"/>
      <c r="V550" s="176"/>
      <c r="W550" s="176"/>
      <c r="X550" s="176"/>
      <c r="Y550" s="224" t="s">
        <v>11089</v>
      </c>
      <c r="Z550" s="225" t="s">
        <v>11409</v>
      </c>
      <c r="AA550" s="266"/>
      <c r="AB550" s="226"/>
      <c r="AC550" s="226"/>
      <c r="AD550" s="226"/>
    </row>
    <row r="551" ht="15.75" hidden="1" customHeight="1" outlineLevel="1">
      <c r="A551" s="177" t="s">
        <v>10833</v>
      </c>
      <c r="B551" s="221" t="s">
        <v>77</v>
      </c>
      <c r="C551" s="221" t="s">
        <v>33</v>
      </c>
      <c r="D551" s="172" t="s">
        <v>89</v>
      </c>
      <c r="E551" s="222" t="s">
        <v>42</v>
      </c>
      <c r="F551" s="175" t="s">
        <v>11398</v>
      </c>
      <c r="G551" s="172" t="s">
        <v>44</v>
      </c>
      <c r="H551" s="171" t="s">
        <v>175</v>
      </c>
      <c r="I551" s="222" t="s">
        <v>27</v>
      </c>
      <c r="J551" s="157" t="s">
        <v>4</v>
      </c>
      <c r="K551" s="297" t="s">
        <v>27</v>
      </c>
      <c r="L551" s="157" t="s">
        <v>4</v>
      </c>
      <c r="M551" s="157" t="s">
        <v>44</v>
      </c>
      <c r="N551" s="167" t="s">
        <v>10505</v>
      </c>
      <c r="O551" s="55" t="str">
        <f t="shared" si="14"/>
        <v>L2.02.05.06.00.00</v>
      </c>
      <c r="P551" s="173" t="str">
        <f t="shared" si="20"/>
        <v>L2.02.05.06.00.00.06</v>
      </c>
      <c r="Q551" s="428" t="s">
        <v>10530</v>
      </c>
      <c r="R551" s="223" t="str">
        <f t="shared" si="21"/>
        <v>Nhóm Marketing</v>
      </c>
      <c r="S551" s="429" t="s">
        <v>11400</v>
      </c>
      <c r="T551" s="176"/>
      <c r="U551" s="176"/>
      <c r="V551" s="176"/>
      <c r="W551" s="176"/>
      <c r="X551" s="176"/>
      <c r="Y551" s="224" t="s">
        <v>11089</v>
      </c>
      <c r="Z551" s="225" t="s">
        <v>11410</v>
      </c>
      <c r="AA551" s="266"/>
      <c r="AB551" s="226"/>
      <c r="AC551" s="226"/>
      <c r="AD551" s="226"/>
    </row>
    <row r="552" ht="15.75" customHeight="1">
      <c r="A552" s="268" t="s">
        <v>11411</v>
      </c>
      <c r="B552" s="66"/>
      <c r="C552" s="66"/>
      <c r="D552" s="66"/>
      <c r="E552" s="67"/>
      <c r="F552" s="66"/>
      <c r="G552" s="66"/>
      <c r="H552" s="68"/>
      <c r="I552" s="66"/>
      <c r="J552" s="382"/>
      <c r="K552" s="383"/>
      <c r="L552" s="384"/>
      <c r="M552" s="383"/>
      <c r="N552" s="384"/>
      <c r="O552" s="55" t="str">
        <f t="shared" si="14"/>
        <v>Khối giáo dục tư thục.....</v>
      </c>
      <c r="P552" s="69"/>
      <c r="Q552" s="169"/>
      <c r="R552" s="169" t="str">
        <f t="shared" si="21"/>
        <v/>
      </c>
      <c r="S552" s="96"/>
      <c r="T552" s="96"/>
      <c r="U552" s="96"/>
      <c r="V552" s="96"/>
      <c r="W552" s="96"/>
      <c r="X552" s="96"/>
      <c r="Y552" s="96"/>
      <c r="Z552" s="152"/>
      <c r="AA552" s="99"/>
      <c r="AB552" s="91"/>
      <c r="AC552" s="91"/>
      <c r="AD552" s="91"/>
    </row>
    <row r="553" ht="15.75" hidden="1" customHeight="1" outlineLevel="1">
      <c r="A553" s="170" t="s">
        <v>10833</v>
      </c>
      <c r="B553" s="57" t="s">
        <v>77</v>
      </c>
      <c r="C553" s="51" t="s">
        <v>33</v>
      </c>
      <c r="D553" s="52" t="s">
        <v>89</v>
      </c>
      <c r="E553" s="53" t="s">
        <v>44</v>
      </c>
      <c r="F553" s="52" t="s">
        <v>176</v>
      </c>
      <c r="G553" s="325" t="s">
        <v>27</v>
      </c>
      <c r="H553" s="259" t="s">
        <v>4</v>
      </c>
      <c r="I553" s="53" t="s">
        <v>27</v>
      </c>
      <c r="J553" s="155" t="s">
        <v>4</v>
      </c>
      <c r="K553" s="166" t="s">
        <v>27</v>
      </c>
      <c r="L553" s="155" t="s">
        <v>4</v>
      </c>
      <c r="M553" s="326" t="s">
        <v>27</v>
      </c>
      <c r="N553" s="158" t="s">
        <v>10496</v>
      </c>
      <c r="O553" s="55" t="str">
        <f t="shared" si="14"/>
        <v>L2.02.06.00.00.00</v>
      </c>
      <c r="P553" s="55" t="str">
        <f t="shared" ref="P553:P558" si="22">A553&amp;"."&amp;C553&amp;"."&amp;E553&amp;"."&amp;G553&amp;"."&amp;I553&amp;"."&amp;K553&amp;"."&amp;M553</f>
        <v>L2.02.06.00.00.00.00</v>
      </c>
      <c r="Q553" s="428" t="s">
        <v>10530</v>
      </c>
      <c r="R553" s="437" t="s">
        <v>11412</v>
      </c>
      <c r="S553" s="227" t="s">
        <v>10916</v>
      </c>
      <c r="T553" s="2" t="s">
        <v>2972</v>
      </c>
      <c r="U553" s="96" t="s">
        <v>303</v>
      </c>
      <c r="V553" s="96" t="s">
        <v>2971</v>
      </c>
      <c r="W553" s="96"/>
      <c r="X553" s="96"/>
      <c r="Y553" s="96"/>
      <c r="Z553" s="98" t="s">
        <v>11413</v>
      </c>
      <c r="AA553" s="99"/>
      <c r="AB553" s="91"/>
      <c r="AC553" s="91"/>
      <c r="AD553" s="91"/>
    </row>
    <row r="554" ht="15.75" hidden="1" customHeight="1" outlineLevel="1">
      <c r="A554" s="170" t="s">
        <v>10833</v>
      </c>
      <c r="B554" s="57" t="s">
        <v>77</v>
      </c>
      <c r="C554" s="51" t="s">
        <v>33</v>
      </c>
      <c r="D554" s="52" t="s">
        <v>89</v>
      </c>
      <c r="E554" s="53" t="s">
        <v>44</v>
      </c>
      <c r="F554" s="52" t="s">
        <v>176</v>
      </c>
      <c r="G554" s="62" t="s">
        <v>29</v>
      </c>
      <c r="H554" s="54" t="s">
        <v>177</v>
      </c>
      <c r="I554" s="53" t="s">
        <v>27</v>
      </c>
      <c r="J554" s="155" t="s">
        <v>4</v>
      </c>
      <c r="K554" s="166" t="s">
        <v>27</v>
      </c>
      <c r="L554" s="155" t="s">
        <v>4</v>
      </c>
      <c r="M554" s="422" t="s">
        <v>46</v>
      </c>
      <c r="N554" s="158" t="s">
        <v>10496</v>
      </c>
      <c r="O554" s="55" t="str">
        <f t="shared" si="14"/>
        <v>L2.02.06.01.00.00</v>
      </c>
      <c r="P554" s="55" t="str">
        <f t="shared" si="22"/>
        <v>L2.02.06.01.00.00.07</v>
      </c>
      <c r="Q554" s="428" t="s">
        <v>10530</v>
      </c>
      <c r="R554" s="169" t="str">
        <f t="shared" ref="R554:R559" si="23">if(L554&lt;&gt;"-",L554,if(AND(L554="-",J554&lt;&gt;"-"),J554,if(AND(J554="-",H554&lt;&gt;"-"),H554,"NA")))</f>
        <v>Ban Giám đốc khối GD Tư thục</v>
      </c>
      <c r="S554" s="227" t="s">
        <v>11414</v>
      </c>
      <c r="T554" s="96"/>
      <c r="U554" s="96"/>
      <c r="V554" s="96"/>
      <c r="W554" s="96"/>
      <c r="X554" s="96"/>
      <c r="Y554" s="97" t="s">
        <v>11089</v>
      </c>
      <c r="Z554" s="98" t="s">
        <v>11415</v>
      </c>
      <c r="AA554" s="438" t="s">
        <v>10530</v>
      </c>
      <c r="AB554" s="91"/>
      <c r="AC554" s="91"/>
      <c r="AD554" s="91"/>
    </row>
    <row r="555" ht="15.75" hidden="1" customHeight="1" outlineLevel="1">
      <c r="A555" s="131" t="s">
        <v>10833</v>
      </c>
      <c r="B555" s="132" t="s">
        <v>77</v>
      </c>
      <c r="C555" s="132" t="s">
        <v>33</v>
      </c>
      <c r="D555" s="133" t="s">
        <v>89</v>
      </c>
      <c r="E555" s="134" t="s">
        <v>44</v>
      </c>
      <c r="F555" s="133" t="s">
        <v>176</v>
      </c>
      <c r="G555" s="133" t="s">
        <v>33</v>
      </c>
      <c r="H555" s="135" t="s">
        <v>178</v>
      </c>
      <c r="I555" s="134" t="s">
        <v>27</v>
      </c>
      <c r="J555" s="102" t="s">
        <v>4</v>
      </c>
      <c r="K555" s="103" t="s">
        <v>27</v>
      </c>
      <c r="L555" s="102" t="s">
        <v>4</v>
      </c>
      <c r="M555" s="106" t="s">
        <v>27</v>
      </c>
      <c r="N555" s="104"/>
      <c r="O555" s="136" t="str">
        <f t="shared" si="14"/>
        <v>L2.02.06.02.00.00</v>
      </c>
      <c r="P555" s="136" t="str">
        <f t="shared" si="22"/>
        <v>L2.02.06.02.00.00.00</v>
      </c>
      <c r="Q555" s="108" t="s">
        <v>10530</v>
      </c>
      <c r="R555" s="109" t="str">
        <f t="shared" si="23"/>
        <v>Phòng phát triển đối tác</v>
      </c>
      <c r="S555" s="425" t="s">
        <v>11414</v>
      </c>
      <c r="T555" s="111"/>
      <c r="U555" s="111"/>
      <c r="V555" s="111"/>
      <c r="W555" s="111"/>
      <c r="X555" s="111"/>
      <c r="Y555" s="110" t="s">
        <v>11089</v>
      </c>
      <c r="Z555" s="112" t="s">
        <v>11416</v>
      </c>
      <c r="AA555" s="113" t="s">
        <v>10530</v>
      </c>
      <c r="AB555" s="114"/>
      <c r="AC555" s="114"/>
      <c r="AD555" s="114"/>
    </row>
    <row r="556" ht="15.75" hidden="1" customHeight="1" outlineLevel="1">
      <c r="A556" s="170" t="s">
        <v>10833</v>
      </c>
      <c r="B556" s="57" t="s">
        <v>77</v>
      </c>
      <c r="C556" s="51" t="s">
        <v>33</v>
      </c>
      <c r="D556" s="52" t="s">
        <v>89</v>
      </c>
      <c r="E556" s="53" t="s">
        <v>44</v>
      </c>
      <c r="F556" s="52" t="s">
        <v>176</v>
      </c>
      <c r="G556" s="62" t="s">
        <v>33</v>
      </c>
      <c r="H556" s="54" t="s">
        <v>178</v>
      </c>
      <c r="I556" s="53" t="s">
        <v>27</v>
      </c>
      <c r="J556" s="155" t="s">
        <v>4</v>
      </c>
      <c r="K556" s="166" t="s">
        <v>27</v>
      </c>
      <c r="L556" s="155" t="s">
        <v>4</v>
      </c>
      <c r="M556" s="422" t="s">
        <v>46</v>
      </c>
      <c r="N556" s="158" t="s">
        <v>10496</v>
      </c>
      <c r="O556" s="55" t="str">
        <f t="shared" si="14"/>
        <v>L2.02.06.02.00.00</v>
      </c>
      <c r="P556" s="55" t="str">
        <f t="shared" si="22"/>
        <v>L2.02.06.02.00.00.07</v>
      </c>
      <c r="Q556" s="169"/>
      <c r="R556" s="169" t="str">
        <f t="shared" si="23"/>
        <v>Phòng phát triển đối tác</v>
      </c>
      <c r="S556" s="227" t="s">
        <v>11417</v>
      </c>
      <c r="T556" s="96"/>
      <c r="U556" s="96"/>
      <c r="V556" s="96"/>
      <c r="W556" s="96"/>
      <c r="X556" s="96"/>
      <c r="Y556" s="97" t="s">
        <v>11089</v>
      </c>
      <c r="Z556" s="152"/>
      <c r="AA556" s="99"/>
      <c r="AB556" s="91"/>
      <c r="AC556" s="91"/>
      <c r="AD556" s="91"/>
    </row>
    <row r="557" ht="15.75" hidden="1" customHeight="1" outlineLevel="1">
      <c r="A557" s="170" t="s">
        <v>10833</v>
      </c>
      <c r="B557" s="57" t="s">
        <v>77</v>
      </c>
      <c r="C557" s="51" t="s">
        <v>33</v>
      </c>
      <c r="D557" s="52" t="s">
        <v>89</v>
      </c>
      <c r="E557" s="53" t="s">
        <v>44</v>
      </c>
      <c r="F557" s="52" t="s">
        <v>176</v>
      </c>
      <c r="G557" s="62" t="s">
        <v>33</v>
      </c>
      <c r="H557" s="54" t="s">
        <v>178</v>
      </c>
      <c r="I557" s="53" t="s">
        <v>27</v>
      </c>
      <c r="J557" s="155" t="s">
        <v>4</v>
      </c>
      <c r="K557" s="166" t="s">
        <v>27</v>
      </c>
      <c r="L557" s="155" t="s">
        <v>4</v>
      </c>
      <c r="M557" s="422" t="s">
        <v>33</v>
      </c>
      <c r="N557" s="158" t="s">
        <v>10499</v>
      </c>
      <c r="O557" s="55" t="str">
        <f t="shared" si="14"/>
        <v>L2.02.06.02.00.00</v>
      </c>
      <c r="P557" s="55" t="str">
        <f t="shared" si="22"/>
        <v>L2.02.06.02.00.00.02</v>
      </c>
      <c r="Q557" s="169"/>
      <c r="R557" s="169" t="str">
        <f t="shared" si="23"/>
        <v>Phòng phát triển đối tác</v>
      </c>
      <c r="S557" s="227" t="s">
        <v>11417</v>
      </c>
      <c r="T557" s="96"/>
      <c r="U557" s="96"/>
      <c r="V557" s="96"/>
      <c r="W557" s="96"/>
      <c r="X557" s="96"/>
      <c r="Y557" s="97" t="s">
        <v>11089</v>
      </c>
      <c r="Z557" s="152"/>
      <c r="AA557" s="99"/>
      <c r="AB557" s="91"/>
      <c r="AC557" s="91"/>
      <c r="AD557" s="91"/>
    </row>
    <row r="558" ht="15.75" hidden="1" customHeight="1" outlineLevel="1">
      <c r="A558" s="170" t="s">
        <v>10833</v>
      </c>
      <c r="B558" s="57" t="s">
        <v>77</v>
      </c>
      <c r="C558" s="51" t="s">
        <v>33</v>
      </c>
      <c r="D558" s="52" t="s">
        <v>89</v>
      </c>
      <c r="E558" s="53" t="s">
        <v>44</v>
      </c>
      <c r="F558" s="52" t="s">
        <v>176</v>
      </c>
      <c r="G558" s="62" t="s">
        <v>35</v>
      </c>
      <c r="H558" s="54" t="s">
        <v>175</v>
      </c>
      <c r="I558" s="53" t="s">
        <v>27</v>
      </c>
      <c r="J558" s="155" t="s">
        <v>4</v>
      </c>
      <c r="K558" s="166" t="s">
        <v>27</v>
      </c>
      <c r="L558" s="155" t="s">
        <v>4</v>
      </c>
      <c r="M558" s="422" t="s">
        <v>46</v>
      </c>
      <c r="N558" s="158" t="s">
        <v>10496</v>
      </c>
      <c r="O558" s="55" t="str">
        <f t="shared" si="14"/>
        <v>L2.02.06.03.00.00</v>
      </c>
      <c r="P558" s="55" t="str">
        <f t="shared" si="22"/>
        <v>L2.02.06.03.00.00.07</v>
      </c>
      <c r="Q558" s="161" t="s">
        <v>10530</v>
      </c>
      <c r="R558" s="169" t="str">
        <f t="shared" si="23"/>
        <v>Nhóm Marketing</v>
      </c>
      <c r="S558" s="227" t="s">
        <v>11414</v>
      </c>
      <c r="T558" s="96"/>
      <c r="U558" s="96"/>
      <c r="V558" s="96"/>
      <c r="W558" s="96"/>
      <c r="X558" s="96"/>
      <c r="Y558" s="97" t="s">
        <v>11089</v>
      </c>
      <c r="Z558" s="98" t="s">
        <v>11418</v>
      </c>
      <c r="AA558" s="99"/>
      <c r="AB558" s="91"/>
      <c r="AC558" s="91"/>
      <c r="AD558" s="91"/>
    </row>
    <row r="559" ht="15.75" customHeight="1" collapsed="1">
      <c r="A559" s="50" t="s">
        <v>10511</v>
      </c>
      <c r="B559" s="47"/>
      <c r="C559" s="47"/>
      <c r="D559" s="47"/>
      <c r="E559" s="47"/>
      <c r="F559" s="47"/>
      <c r="G559" s="48"/>
      <c r="H559" s="49"/>
      <c r="I559" s="48"/>
      <c r="J559" s="439"/>
      <c r="K559" s="439"/>
      <c r="L559" s="439"/>
      <c r="M559" s="439"/>
      <c r="N559" s="440"/>
      <c r="O559" s="55" t="str">
        <f t="shared" si="14"/>
        <v>KHỐI KD THỊ TRƯỜNG TOÀN CẦU.....</v>
      </c>
      <c r="P559" s="48"/>
      <c r="Q559" s="169"/>
      <c r="R559" s="169" t="str">
        <f t="shared" si="23"/>
        <v/>
      </c>
      <c r="S559" s="96"/>
      <c r="T559" s="96"/>
      <c r="U559" s="96"/>
      <c r="V559" s="96"/>
      <c r="W559" s="96"/>
      <c r="X559" s="96"/>
      <c r="Y559" s="96"/>
      <c r="Z559" s="152"/>
      <c r="AA559" s="99"/>
      <c r="AB559" s="91"/>
      <c r="AC559" s="91"/>
      <c r="AD559" s="91"/>
    </row>
    <row r="560" ht="15.75" hidden="1" customHeight="1" outlineLevel="1">
      <c r="A560" s="177" t="s">
        <v>10833</v>
      </c>
      <c r="B560" s="221" t="s">
        <v>77</v>
      </c>
      <c r="C560" s="172" t="s">
        <v>35</v>
      </c>
      <c r="D560" s="172" t="s">
        <v>179</v>
      </c>
      <c r="E560" s="222" t="s">
        <v>27</v>
      </c>
      <c r="F560" s="172" t="s">
        <v>4</v>
      </c>
      <c r="G560" s="175" t="s">
        <v>27</v>
      </c>
      <c r="H560" s="427" t="s">
        <v>4</v>
      </c>
      <c r="I560" s="222" t="s">
        <v>27</v>
      </c>
      <c r="J560" s="157" t="s">
        <v>4</v>
      </c>
      <c r="K560" s="297" t="s">
        <v>27</v>
      </c>
      <c r="L560" s="157" t="s">
        <v>4</v>
      </c>
      <c r="M560" s="168" t="s">
        <v>27</v>
      </c>
      <c r="N560" s="167"/>
      <c r="O560" s="55" t="str">
        <f t="shared" si="14"/>
        <v>L2.03.00.00.00.00</v>
      </c>
      <c r="P560" s="173" t="str">
        <f t="shared" ref="P560:P564" si="24">A560&amp;"."&amp;C560&amp;"."&amp;E560&amp;"."&amp;G560&amp;"."&amp;I560&amp;"."&amp;K560&amp;"."&amp;M560</f>
        <v>L2.03.00.00.00.00.00</v>
      </c>
      <c r="Q560" s="428" t="s">
        <v>10530</v>
      </c>
      <c r="R560" s="428" t="s">
        <v>11419</v>
      </c>
      <c r="S560" s="429" t="s">
        <v>22</v>
      </c>
      <c r="T560" s="430" t="s">
        <v>4387</v>
      </c>
      <c r="U560" s="430" t="s">
        <v>303</v>
      </c>
      <c r="V560" s="430" t="s">
        <v>4386</v>
      </c>
      <c r="W560" s="176"/>
      <c r="X560" s="176"/>
      <c r="Y560" s="176"/>
      <c r="Z560" s="225" t="s">
        <v>11420</v>
      </c>
      <c r="AA560" s="266"/>
      <c r="AB560" s="226"/>
      <c r="AC560" s="226"/>
      <c r="AD560" s="226"/>
    </row>
    <row r="561" ht="15.75" hidden="1" customHeight="1" outlineLevel="1">
      <c r="A561" s="170" t="s">
        <v>10833</v>
      </c>
      <c r="B561" s="57" t="s">
        <v>77</v>
      </c>
      <c r="C561" s="52" t="s">
        <v>35</v>
      </c>
      <c r="D561" s="52" t="s">
        <v>179</v>
      </c>
      <c r="E561" s="53" t="s">
        <v>27</v>
      </c>
      <c r="F561" s="52" t="s">
        <v>4</v>
      </c>
      <c r="G561" s="62" t="s">
        <v>29</v>
      </c>
      <c r="H561" s="54" t="s">
        <v>180</v>
      </c>
      <c r="I561" s="53" t="s">
        <v>27</v>
      </c>
      <c r="J561" s="155" t="s">
        <v>4</v>
      </c>
      <c r="K561" s="166" t="s">
        <v>27</v>
      </c>
      <c r="L561" s="155" t="s">
        <v>4</v>
      </c>
      <c r="M561" s="422" t="s">
        <v>33</v>
      </c>
      <c r="N561" s="158" t="s">
        <v>10499</v>
      </c>
      <c r="O561" s="55" t="str">
        <f t="shared" si="14"/>
        <v>L2.03.00.01.00.00</v>
      </c>
      <c r="P561" s="55" t="str">
        <f t="shared" si="24"/>
        <v>L2.03.00.01.00.00.02</v>
      </c>
      <c r="Q561" s="428" t="s">
        <v>10530</v>
      </c>
      <c r="R561" s="169" t="str">
        <f t="shared" ref="R561:R565" si="25">if(L561&lt;&gt;"-",L561,if(AND(L561="-",J561&lt;&gt;"-"),J561,if(AND(J561="-",H561&lt;&gt;"-"),H561,"NA")))</f>
        <v>Ban Giám đốc khối thị trường toàn cầu</v>
      </c>
      <c r="S561" s="96" t="str">
        <f t="shared" ref="S561:S564" si="26">$P$560</f>
        <v>L2.03.00.00.00.00.00</v>
      </c>
      <c r="T561" s="96"/>
      <c r="U561" s="96"/>
      <c r="V561" s="96"/>
      <c r="W561" s="96"/>
      <c r="X561" s="96"/>
      <c r="Y561" s="97" t="s">
        <v>11421</v>
      </c>
      <c r="Z561" s="98" t="s">
        <v>11422</v>
      </c>
      <c r="AA561" s="99"/>
      <c r="AB561" s="91"/>
      <c r="AC561" s="91"/>
      <c r="AD561" s="91"/>
    </row>
    <row r="562" ht="15.75" hidden="1" customHeight="1" outlineLevel="1">
      <c r="A562" s="170" t="s">
        <v>10833</v>
      </c>
      <c r="B562" s="57" t="s">
        <v>77</v>
      </c>
      <c r="C562" s="52" t="s">
        <v>35</v>
      </c>
      <c r="D562" s="52" t="s">
        <v>179</v>
      </c>
      <c r="E562" s="53" t="s">
        <v>27</v>
      </c>
      <c r="F562" s="52" t="s">
        <v>4</v>
      </c>
      <c r="G562" s="62" t="s">
        <v>33</v>
      </c>
      <c r="H562" s="60" t="s">
        <v>181</v>
      </c>
      <c r="I562" s="53" t="s">
        <v>27</v>
      </c>
      <c r="J562" s="155" t="s">
        <v>4</v>
      </c>
      <c r="K562" s="166" t="s">
        <v>27</v>
      </c>
      <c r="L562" s="155" t="s">
        <v>4</v>
      </c>
      <c r="M562" s="422" t="s">
        <v>33</v>
      </c>
      <c r="N562" s="158" t="s">
        <v>10499</v>
      </c>
      <c r="O562" s="55" t="str">
        <f t="shared" si="14"/>
        <v>L2.03.00.02.00.00</v>
      </c>
      <c r="P562" s="55" t="str">
        <f t="shared" si="24"/>
        <v>L2.03.00.02.00.00.02</v>
      </c>
      <c r="Q562" s="428" t="s">
        <v>10530</v>
      </c>
      <c r="R562" s="169" t="str">
        <f t="shared" si="25"/>
        <v>Phòng phát triển đối tác PDR</v>
      </c>
      <c r="S562" s="96" t="str">
        <f t="shared" si="26"/>
        <v>L2.03.00.00.00.00.00</v>
      </c>
      <c r="T562" s="441"/>
      <c r="U562" s="441"/>
      <c r="V562" s="441"/>
      <c r="W562" s="441"/>
      <c r="X562" s="96"/>
      <c r="Y562" s="97" t="s">
        <v>11421</v>
      </c>
      <c r="Z562" s="98" t="s">
        <v>11423</v>
      </c>
      <c r="AA562" s="153" t="s">
        <v>10530</v>
      </c>
      <c r="AB562" s="91"/>
      <c r="AC562" s="91"/>
      <c r="AD562" s="91"/>
    </row>
    <row r="563" ht="15.75" hidden="1" customHeight="1" outlineLevel="1">
      <c r="A563" s="170" t="s">
        <v>10833</v>
      </c>
      <c r="B563" s="57" t="s">
        <v>77</v>
      </c>
      <c r="C563" s="52" t="s">
        <v>35</v>
      </c>
      <c r="D563" s="52" t="s">
        <v>179</v>
      </c>
      <c r="E563" s="53" t="s">
        <v>27</v>
      </c>
      <c r="F563" s="52" t="s">
        <v>4</v>
      </c>
      <c r="G563" s="62" t="s">
        <v>35</v>
      </c>
      <c r="H563" s="60" t="s">
        <v>182</v>
      </c>
      <c r="I563" s="53" t="s">
        <v>27</v>
      </c>
      <c r="J563" s="155" t="s">
        <v>4</v>
      </c>
      <c r="K563" s="166" t="s">
        <v>27</v>
      </c>
      <c r="L563" s="155" t="s">
        <v>4</v>
      </c>
      <c r="M563" s="422" t="s">
        <v>33</v>
      </c>
      <c r="N563" s="158" t="s">
        <v>10499</v>
      </c>
      <c r="O563" s="55" t="str">
        <f t="shared" si="14"/>
        <v>L2.03.00.03.00.00</v>
      </c>
      <c r="P563" s="55" t="str">
        <f t="shared" si="24"/>
        <v>L2.03.00.03.00.00.02</v>
      </c>
      <c r="Q563" s="428" t="s">
        <v>10530</v>
      </c>
      <c r="R563" s="169" t="str">
        <f t="shared" si="25"/>
        <v>Phòng triển khai ONB</v>
      </c>
      <c r="S563" s="96" t="str">
        <f t="shared" si="26"/>
        <v>L2.03.00.00.00.00.00</v>
      </c>
      <c r="T563" s="96"/>
      <c r="U563" s="96"/>
      <c r="V563" s="96"/>
      <c r="W563" s="96"/>
      <c r="X563" s="96"/>
      <c r="Y563" s="97" t="s">
        <v>11421</v>
      </c>
      <c r="Z563" s="98" t="s">
        <v>11424</v>
      </c>
      <c r="AA563" s="153" t="s">
        <v>10530</v>
      </c>
      <c r="AB563" s="91"/>
      <c r="AC563" s="91"/>
      <c r="AD563" s="91"/>
    </row>
    <row r="564" ht="15.75" hidden="1" customHeight="1" outlineLevel="1">
      <c r="A564" s="170" t="s">
        <v>10833</v>
      </c>
      <c r="B564" s="57" t="s">
        <v>77</v>
      </c>
      <c r="C564" s="52" t="s">
        <v>35</v>
      </c>
      <c r="D564" s="52" t="s">
        <v>179</v>
      </c>
      <c r="E564" s="53" t="s">
        <v>27</v>
      </c>
      <c r="F564" s="52" t="s">
        <v>4</v>
      </c>
      <c r="G564" s="62" t="s">
        <v>37</v>
      </c>
      <c r="H564" s="60" t="s">
        <v>183</v>
      </c>
      <c r="I564" s="53" t="s">
        <v>27</v>
      </c>
      <c r="J564" s="155" t="s">
        <v>4</v>
      </c>
      <c r="K564" s="166" t="s">
        <v>27</v>
      </c>
      <c r="L564" s="155" t="s">
        <v>4</v>
      </c>
      <c r="M564" s="422" t="s">
        <v>33</v>
      </c>
      <c r="N564" s="158" t="s">
        <v>10499</v>
      </c>
      <c r="O564" s="55" t="str">
        <f t="shared" si="14"/>
        <v>L2.03.00.04.00.00</v>
      </c>
      <c r="P564" s="55" t="str">
        <f t="shared" si="24"/>
        <v>L2.03.00.04.00.00.02</v>
      </c>
      <c r="Q564" s="428" t="s">
        <v>10530</v>
      </c>
      <c r="R564" s="169" t="str">
        <f t="shared" si="25"/>
        <v>Nhóm Marketing Support</v>
      </c>
      <c r="S564" s="96" t="str">
        <f t="shared" si="26"/>
        <v>L2.03.00.00.00.00.00</v>
      </c>
      <c r="T564" s="96"/>
      <c r="U564" s="96"/>
      <c r="V564" s="96"/>
      <c r="W564" s="96"/>
      <c r="X564" s="96"/>
      <c r="Y564" s="97" t="s">
        <v>11421</v>
      </c>
      <c r="Z564" s="98" t="s">
        <v>11425</v>
      </c>
      <c r="AA564" s="99"/>
      <c r="AB564" s="91"/>
      <c r="AC564" s="91"/>
      <c r="AD564" s="91"/>
    </row>
    <row r="565" ht="15.75" customHeight="1" collapsed="1">
      <c r="A565" s="50" t="s">
        <v>10512</v>
      </c>
      <c r="B565" s="47"/>
      <c r="C565" s="47"/>
      <c r="D565" s="47"/>
      <c r="E565" s="47"/>
      <c r="F565" s="47"/>
      <c r="G565" s="48"/>
      <c r="H565" s="49"/>
      <c r="I565" s="48"/>
      <c r="J565" s="439"/>
      <c r="K565" s="439"/>
      <c r="L565" s="439"/>
      <c r="M565" s="439"/>
      <c r="N565" s="440"/>
      <c r="O565" s="55" t="str">
        <f t="shared" si="14"/>
        <v>KHỐI KD THỊ TRƯỜNG KHÁCH HÀNG CÁ NHÂN.....</v>
      </c>
      <c r="P565" s="48"/>
      <c r="Q565" s="169"/>
      <c r="R565" s="169" t="str">
        <f t="shared" si="25"/>
        <v/>
      </c>
      <c r="S565" s="96"/>
      <c r="T565" s="96"/>
      <c r="U565" s="96"/>
      <c r="V565" s="96"/>
      <c r="W565" s="96"/>
      <c r="X565" s="96"/>
      <c r="Y565" s="96"/>
      <c r="Z565" s="152"/>
      <c r="AA565" s="99"/>
      <c r="AB565" s="91"/>
      <c r="AC565" s="91"/>
      <c r="AD565" s="91"/>
    </row>
    <row r="566" ht="15.75" hidden="1" customHeight="1" outlineLevel="1">
      <c r="A566" s="170" t="s">
        <v>10833</v>
      </c>
      <c r="B566" s="57" t="s">
        <v>77</v>
      </c>
      <c r="C566" s="52" t="s">
        <v>37</v>
      </c>
      <c r="D566" s="52" t="s">
        <v>184</v>
      </c>
      <c r="E566" s="53" t="s">
        <v>27</v>
      </c>
      <c r="F566" s="52" t="s">
        <v>4</v>
      </c>
      <c r="G566" s="325" t="s">
        <v>27</v>
      </c>
      <c r="H566" s="259" t="s">
        <v>4</v>
      </c>
      <c r="I566" s="53" t="s">
        <v>27</v>
      </c>
      <c r="J566" s="155" t="s">
        <v>4</v>
      </c>
      <c r="K566" s="166" t="s">
        <v>27</v>
      </c>
      <c r="L566" s="155" t="s">
        <v>4</v>
      </c>
      <c r="M566" s="168" t="s">
        <v>27</v>
      </c>
      <c r="N566" s="167"/>
      <c r="O566" s="55" t="str">
        <f t="shared" si="14"/>
        <v>L2.04.00.00.00.00</v>
      </c>
      <c r="P566" s="55" t="str">
        <f t="shared" ref="P566:P567" si="27">A566&amp;"."&amp;C566&amp;"."&amp;E566&amp;"."&amp;G566&amp;"."&amp;I566&amp;"."&amp;K566&amp;"."&amp;M566</f>
        <v>L2.04.00.00.00.00.00</v>
      </c>
      <c r="Q566" s="428" t="s">
        <v>10530</v>
      </c>
      <c r="R566" s="161" t="s">
        <v>11426</v>
      </c>
      <c r="S566" s="227" t="s">
        <v>22</v>
      </c>
      <c r="T566" s="96" t="s">
        <v>9508</v>
      </c>
      <c r="U566" s="96" t="s">
        <v>303</v>
      </c>
      <c r="V566" s="96" t="s">
        <v>9507</v>
      </c>
      <c r="W566" s="96"/>
      <c r="X566" s="96"/>
      <c r="Y566" s="96"/>
      <c r="Z566" s="98" t="s">
        <v>11427</v>
      </c>
      <c r="AA566" s="99"/>
      <c r="AB566" s="91"/>
      <c r="AC566" s="91"/>
      <c r="AD566" s="91"/>
    </row>
    <row r="567" ht="15.75" hidden="1" customHeight="1" outlineLevel="1">
      <c r="A567" s="170" t="s">
        <v>10833</v>
      </c>
      <c r="B567" s="57" t="s">
        <v>77</v>
      </c>
      <c r="C567" s="52" t="s">
        <v>37</v>
      </c>
      <c r="D567" s="52" t="s">
        <v>184</v>
      </c>
      <c r="E567" s="53" t="s">
        <v>27</v>
      </c>
      <c r="F567" s="52" t="s">
        <v>4</v>
      </c>
      <c r="G567" s="62" t="s">
        <v>29</v>
      </c>
      <c r="H567" s="54" t="s">
        <v>185</v>
      </c>
      <c r="I567" s="53" t="s">
        <v>27</v>
      </c>
      <c r="J567" s="155" t="s">
        <v>4</v>
      </c>
      <c r="K567" s="166" t="s">
        <v>27</v>
      </c>
      <c r="L567" s="155" t="s">
        <v>4</v>
      </c>
      <c r="M567" s="422" t="s">
        <v>46</v>
      </c>
      <c r="N567" s="158" t="s">
        <v>10496</v>
      </c>
      <c r="O567" s="55" t="str">
        <f t="shared" si="14"/>
        <v>L2.04.00.01.00.00</v>
      </c>
      <c r="P567" s="55" t="str">
        <f t="shared" si="27"/>
        <v>L2.04.00.01.00.00.07</v>
      </c>
      <c r="Q567" s="428" t="s">
        <v>10530</v>
      </c>
      <c r="R567" s="169" t="str">
        <f t="shared" ref="R567:R568" si="28">if(L567&lt;&gt;"-",L567,if(AND(L567="-",J567&lt;&gt;"-"),J567,if(AND(J567="-",H567&lt;&gt;"-"),H567,"NA")))</f>
        <v>Ban Giám đốc khối thị trường KH cá nhân</v>
      </c>
      <c r="S567" s="96" t="str">
        <f>$P$566</f>
        <v>L2.04.00.00.00.00.00</v>
      </c>
      <c r="T567" s="96" t="s">
        <v>9508</v>
      </c>
      <c r="U567" s="96" t="s">
        <v>303</v>
      </c>
      <c r="V567" s="96" t="s">
        <v>9507</v>
      </c>
      <c r="W567" s="96"/>
      <c r="X567" s="96"/>
      <c r="Y567" s="96"/>
      <c r="Z567" s="98" t="s">
        <v>11428</v>
      </c>
      <c r="AA567" s="153" t="s">
        <v>10530</v>
      </c>
      <c r="AB567" s="91"/>
      <c r="AC567" s="91"/>
      <c r="AD567" s="91"/>
    </row>
    <row r="568" ht="15.75" customHeight="1" collapsed="1">
      <c r="A568" s="442" t="s">
        <v>10513</v>
      </c>
      <c r="B568" s="47"/>
      <c r="C568" s="47"/>
      <c r="D568" s="47"/>
      <c r="E568" s="47"/>
      <c r="F568" s="47"/>
      <c r="G568" s="48"/>
      <c r="H568" s="49"/>
      <c r="I568" s="48"/>
      <c r="J568" s="439"/>
      <c r="K568" s="439"/>
      <c r="L568" s="439"/>
      <c r="M568" s="439"/>
      <c r="N568" s="440"/>
      <c r="O568" s="55" t="str">
        <f t="shared" si="14"/>
        <v>KHỐI HỖ TRỢ VÀ CHĂM SÓC KHÁCH HÀNG.....</v>
      </c>
      <c r="P568" s="48"/>
      <c r="Q568" s="169"/>
      <c r="R568" s="169" t="str">
        <f t="shared" si="28"/>
        <v/>
      </c>
      <c r="S568" s="96"/>
      <c r="T568" s="96"/>
      <c r="U568" s="96"/>
      <c r="V568" s="96"/>
      <c r="W568" s="96"/>
      <c r="X568" s="96"/>
      <c r="Y568" s="96"/>
      <c r="Z568" s="152"/>
      <c r="AA568" s="99"/>
      <c r="AB568" s="91"/>
      <c r="AC568" s="91"/>
      <c r="AD568" s="91"/>
    </row>
    <row r="569" ht="15.75" customHeight="1" outlineLevel="1">
      <c r="A569" s="170" t="s">
        <v>11429</v>
      </c>
      <c r="B569" s="57" t="s">
        <v>189</v>
      </c>
      <c r="C569" s="51" t="s">
        <v>27</v>
      </c>
      <c r="D569" s="52" t="s">
        <v>4</v>
      </c>
      <c r="E569" s="53" t="s">
        <v>27</v>
      </c>
      <c r="F569" s="52" t="s">
        <v>4</v>
      </c>
      <c r="G569" s="325" t="s">
        <v>27</v>
      </c>
      <c r="H569" s="259" t="s">
        <v>4</v>
      </c>
      <c r="I569" s="53" t="s">
        <v>27</v>
      </c>
      <c r="J569" s="155" t="s">
        <v>4</v>
      </c>
      <c r="K569" s="166" t="s">
        <v>27</v>
      </c>
      <c r="L569" s="155" t="s">
        <v>4</v>
      </c>
      <c r="M569" s="326" t="s">
        <v>27</v>
      </c>
      <c r="N569" s="158"/>
      <c r="O569" s="55" t="str">
        <f t="shared" si="14"/>
        <v>L3.00.00.00.00.00</v>
      </c>
      <c r="P569" s="55" t="str">
        <f t="shared" ref="P569:P611" si="29">A569&amp;"."&amp;C569&amp;"."&amp;E569&amp;"."&amp;G569&amp;"."&amp;I569&amp;"."&amp;K569&amp;"."&amp;M569</f>
        <v>L3.00.00.00.00.00.00</v>
      </c>
      <c r="Q569" s="428" t="s">
        <v>10530</v>
      </c>
      <c r="R569" s="437" t="s">
        <v>11430</v>
      </c>
      <c r="S569" s="443" t="s">
        <v>22</v>
      </c>
      <c r="T569" s="444" t="s">
        <v>76</v>
      </c>
      <c r="U569" s="441" t="s">
        <v>576</v>
      </c>
      <c r="V569" s="441"/>
      <c r="W569" s="441"/>
      <c r="X569" s="96"/>
      <c r="Y569" s="96"/>
      <c r="Z569" s="98" t="s">
        <v>11431</v>
      </c>
      <c r="AA569" s="99"/>
      <c r="AB569" s="91"/>
      <c r="AC569" s="91"/>
      <c r="AD569" s="91"/>
    </row>
    <row r="570" ht="15.75" customHeight="1" outlineLevel="1">
      <c r="A570" s="170" t="s">
        <v>11429</v>
      </c>
      <c r="B570" s="57" t="s">
        <v>189</v>
      </c>
      <c r="C570" s="51" t="s">
        <v>27</v>
      </c>
      <c r="D570" s="52" t="s">
        <v>4</v>
      </c>
      <c r="E570" s="53" t="s">
        <v>27</v>
      </c>
      <c r="F570" s="52" t="s">
        <v>4</v>
      </c>
      <c r="G570" s="62" t="s">
        <v>29</v>
      </c>
      <c r="H570" s="54" t="s">
        <v>190</v>
      </c>
      <c r="I570" s="53" t="s">
        <v>27</v>
      </c>
      <c r="J570" s="155" t="s">
        <v>4</v>
      </c>
      <c r="K570" s="166" t="s">
        <v>27</v>
      </c>
      <c r="L570" s="155" t="s">
        <v>4</v>
      </c>
      <c r="M570" s="422" t="s">
        <v>49</v>
      </c>
      <c r="N570" s="158" t="s">
        <v>10514</v>
      </c>
      <c r="O570" s="55" t="str">
        <f t="shared" si="14"/>
        <v>L3.00.00.01.00.00</v>
      </c>
      <c r="P570" s="55" t="str">
        <f t="shared" si="29"/>
        <v>L3.00.00.01.00.00.08</v>
      </c>
      <c r="Q570" s="428" t="s">
        <v>10530</v>
      </c>
      <c r="R570" s="169" t="str">
        <f t="shared" ref="R570:R595" si="30">if(L570&lt;&gt;"-",L570,if(AND(L570="-",J570&lt;&gt;"-"),J570,if(AND(J570="-",H570&lt;&gt;"-"),H570,"NA")))</f>
        <v>Ban Giám đốc Khối HT &amp; CSKH</v>
      </c>
      <c r="S570" s="443" t="s">
        <v>11432</v>
      </c>
      <c r="T570" s="441" t="s">
        <v>9986</v>
      </c>
      <c r="U570" s="441" t="s">
        <v>576</v>
      </c>
      <c r="V570" s="441" t="s">
        <v>9985</v>
      </c>
      <c r="W570" s="441" t="s">
        <v>9985</v>
      </c>
      <c r="X570" s="96"/>
      <c r="Y570" s="96"/>
      <c r="Z570" s="98" t="s">
        <v>11433</v>
      </c>
      <c r="AA570" s="153" t="s">
        <v>10530</v>
      </c>
      <c r="AB570" s="91"/>
      <c r="AC570" s="91"/>
      <c r="AD570" s="91"/>
    </row>
    <row r="571" ht="15.75" customHeight="1" outlineLevel="1">
      <c r="A571" s="131" t="s">
        <v>11429</v>
      </c>
      <c r="B571" s="132" t="s">
        <v>189</v>
      </c>
      <c r="C571" s="132" t="s">
        <v>27</v>
      </c>
      <c r="D571" s="133" t="s">
        <v>4</v>
      </c>
      <c r="E571" s="134" t="s">
        <v>27</v>
      </c>
      <c r="F571" s="133" t="s">
        <v>4</v>
      </c>
      <c r="G571" s="133" t="s">
        <v>33</v>
      </c>
      <c r="H571" s="135" t="s">
        <v>34</v>
      </c>
      <c r="I571" s="134" t="s">
        <v>27</v>
      </c>
      <c r="J571" s="102" t="s">
        <v>4</v>
      </c>
      <c r="K571" s="103" t="s">
        <v>27</v>
      </c>
      <c r="L571" s="102" t="s">
        <v>4</v>
      </c>
      <c r="M571" s="106" t="s">
        <v>27</v>
      </c>
      <c r="N571" s="104"/>
      <c r="O571" s="136" t="str">
        <f t="shared" si="14"/>
        <v>L3.00.00.02.00.00</v>
      </c>
      <c r="P571" s="136" t="str">
        <f t="shared" si="29"/>
        <v>L3.00.00.02.00.00.00</v>
      </c>
      <c r="Q571" s="108" t="s">
        <v>10530</v>
      </c>
      <c r="R571" s="109" t="str">
        <f t="shared" si="30"/>
        <v>Phòng HCTH</v>
      </c>
      <c r="S571" s="445" t="s">
        <v>11432</v>
      </c>
      <c r="T571" s="111" t="s">
        <v>7335</v>
      </c>
      <c r="U571" s="111" t="s">
        <v>576</v>
      </c>
      <c r="V571" s="111" t="s">
        <v>2463</v>
      </c>
      <c r="W571" s="111"/>
      <c r="X571" s="111"/>
      <c r="Y571" s="111"/>
      <c r="Z571" s="112" t="s">
        <v>11434</v>
      </c>
      <c r="AA571" s="113" t="s">
        <v>10530</v>
      </c>
      <c r="AB571" s="114"/>
      <c r="AC571" s="114"/>
      <c r="AD571" s="114"/>
    </row>
    <row r="572" ht="15.75" customHeight="1" outlineLevel="1">
      <c r="A572" s="137" t="s">
        <v>11429</v>
      </c>
      <c r="B572" s="138" t="s">
        <v>189</v>
      </c>
      <c r="C572" s="139" t="s">
        <v>27</v>
      </c>
      <c r="D572" s="140" t="s">
        <v>4</v>
      </c>
      <c r="E572" s="141" t="s">
        <v>27</v>
      </c>
      <c r="F572" s="140" t="s">
        <v>4</v>
      </c>
      <c r="G572" s="142" t="s">
        <v>33</v>
      </c>
      <c r="H572" s="143" t="s">
        <v>34</v>
      </c>
      <c r="I572" s="141" t="s">
        <v>27</v>
      </c>
      <c r="J572" s="146" t="s">
        <v>4</v>
      </c>
      <c r="K572" s="145" t="s">
        <v>27</v>
      </c>
      <c r="L572" s="146" t="s">
        <v>4</v>
      </c>
      <c r="M572" s="147" t="s">
        <v>49</v>
      </c>
      <c r="N572" s="148" t="s">
        <v>10514</v>
      </c>
      <c r="O572" s="149" t="str">
        <f t="shared" si="14"/>
        <v>L3.00.00.02.00.00</v>
      </c>
      <c r="P572" s="149" t="str">
        <f t="shared" si="29"/>
        <v>L3.00.00.02.00.00.08</v>
      </c>
      <c r="Q572" s="125"/>
      <c r="R572" s="223" t="str">
        <f t="shared" si="30"/>
        <v>Phòng HCTH</v>
      </c>
      <c r="S572" s="446" t="s">
        <v>11435</v>
      </c>
      <c r="T572" s="127"/>
      <c r="U572" s="127"/>
      <c r="V572" s="127"/>
      <c r="W572" s="127"/>
      <c r="X572" s="127"/>
      <c r="Y572" s="127"/>
      <c r="Z572" s="128"/>
      <c r="AA572" s="129"/>
      <c r="AB572" s="130"/>
      <c r="AC572" s="130"/>
      <c r="AD572" s="130"/>
    </row>
    <row r="573" ht="15.75" customHeight="1" outlineLevel="1">
      <c r="A573" s="137" t="s">
        <v>11429</v>
      </c>
      <c r="B573" s="138" t="s">
        <v>189</v>
      </c>
      <c r="C573" s="139" t="s">
        <v>27</v>
      </c>
      <c r="D573" s="140" t="s">
        <v>4</v>
      </c>
      <c r="E573" s="141" t="s">
        <v>27</v>
      </c>
      <c r="F573" s="140" t="s">
        <v>4</v>
      </c>
      <c r="G573" s="142" t="s">
        <v>33</v>
      </c>
      <c r="H573" s="143" t="s">
        <v>34</v>
      </c>
      <c r="I573" s="141" t="s">
        <v>27</v>
      </c>
      <c r="J573" s="146" t="s">
        <v>4</v>
      </c>
      <c r="K573" s="145" t="s">
        <v>27</v>
      </c>
      <c r="L573" s="146" t="s">
        <v>4</v>
      </c>
      <c r="M573" s="147" t="s">
        <v>51</v>
      </c>
      <c r="N573" s="148" t="s">
        <v>10515</v>
      </c>
      <c r="O573" s="149" t="str">
        <f t="shared" si="14"/>
        <v>L3.00.00.02.00.00</v>
      </c>
      <c r="P573" s="149" t="str">
        <f t="shared" si="29"/>
        <v>L3.00.00.02.00.00.09</v>
      </c>
      <c r="Q573" s="125"/>
      <c r="R573" s="223" t="str">
        <f t="shared" si="30"/>
        <v>Phòng HCTH</v>
      </c>
      <c r="S573" s="446" t="s">
        <v>11435</v>
      </c>
      <c r="T573" s="127"/>
      <c r="U573" s="127"/>
      <c r="V573" s="127"/>
      <c r="W573" s="127"/>
      <c r="X573" s="127"/>
      <c r="Y573" s="127"/>
      <c r="Z573" s="128"/>
      <c r="AA573" s="129"/>
      <c r="AB573" s="130"/>
      <c r="AC573" s="130"/>
      <c r="AD573" s="130"/>
    </row>
    <row r="574" ht="15.75" customHeight="1" outlineLevel="1">
      <c r="A574" s="177" t="s">
        <v>11429</v>
      </c>
      <c r="B574" s="221" t="s">
        <v>189</v>
      </c>
      <c r="C574" s="221" t="s">
        <v>27</v>
      </c>
      <c r="D574" s="172" t="s">
        <v>4</v>
      </c>
      <c r="E574" s="222" t="s">
        <v>27</v>
      </c>
      <c r="F574" s="172" t="s">
        <v>4</v>
      </c>
      <c r="G574" s="172" t="s">
        <v>35</v>
      </c>
      <c r="H574" s="171" t="s">
        <v>191</v>
      </c>
      <c r="I574" s="222" t="s">
        <v>27</v>
      </c>
      <c r="J574" s="157" t="s">
        <v>4</v>
      </c>
      <c r="K574" s="297" t="s">
        <v>27</v>
      </c>
      <c r="L574" s="157" t="s">
        <v>4</v>
      </c>
      <c r="M574" s="168" t="s">
        <v>27</v>
      </c>
      <c r="N574" s="167"/>
      <c r="O574" s="173" t="str">
        <f t="shared" si="14"/>
        <v>L3.00.00.03.00.00</v>
      </c>
      <c r="P574" s="173" t="str">
        <f t="shared" si="29"/>
        <v>L3.00.00.03.00.00.00</v>
      </c>
      <c r="Q574" s="428" t="s">
        <v>10530</v>
      </c>
      <c r="R574" s="223" t="str">
        <f t="shared" si="30"/>
        <v>Phòng hỗ trợ giải pháp TCKT DN</v>
      </c>
      <c r="S574" s="217" t="s">
        <v>11432</v>
      </c>
      <c r="T574" s="176"/>
      <c r="U574" s="176"/>
      <c r="V574" s="176"/>
      <c r="W574" s="176"/>
      <c r="X574" s="176"/>
      <c r="Y574" s="224" t="s">
        <v>11436</v>
      </c>
      <c r="Z574" s="225" t="s">
        <v>11437</v>
      </c>
      <c r="AA574" s="266"/>
      <c r="AB574" s="226"/>
      <c r="AC574" s="226"/>
      <c r="AD574" s="226"/>
    </row>
    <row r="575" ht="15.75" customHeight="1" outlineLevel="1">
      <c r="A575" s="228" t="s">
        <v>11429</v>
      </c>
      <c r="B575" s="270" t="s">
        <v>189</v>
      </c>
      <c r="C575" s="270" t="s">
        <v>27</v>
      </c>
      <c r="D575" s="209" t="s">
        <v>4</v>
      </c>
      <c r="E575" s="271" t="s">
        <v>27</v>
      </c>
      <c r="F575" s="209" t="s">
        <v>4</v>
      </c>
      <c r="G575" s="209" t="s">
        <v>35</v>
      </c>
      <c r="H575" s="181" t="s">
        <v>191</v>
      </c>
      <c r="I575" s="182" t="s">
        <v>29</v>
      </c>
      <c r="J575" s="212" t="s">
        <v>11438</v>
      </c>
      <c r="K575" s="271" t="s">
        <v>27</v>
      </c>
      <c r="L575" s="209" t="s">
        <v>4</v>
      </c>
      <c r="M575" s="209" t="s">
        <v>49</v>
      </c>
      <c r="N575" s="181" t="s">
        <v>10514</v>
      </c>
      <c r="O575" s="272" t="str">
        <f t="shared" si="14"/>
        <v>L3.00.00.03.01.00</v>
      </c>
      <c r="P575" s="272" t="str">
        <f t="shared" si="29"/>
        <v>L3.00.00.03.01.00.08</v>
      </c>
      <c r="Q575" s="447" t="s">
        <v>10530</v>
      </c>
      <c r="R575" s="273" t="str">
        <f t="shared" si="30"/>
        <v>Nhóm TCKT DN 01</v>
      </c>
      <c r="S575" s="448" t="str">
        <f>P574</f>
        <v>L3.00.00.03.00.00.00</v>
      </c>
      <c r="T575" s="2" t="s">
        <v>3240</v>
      </c>
      <c r="U575" s="2" t="s">
        <v>576</v>
      </c>
      <c r="V575" s="2" t="s">
        <v>3239</v>
      </c>
      <c r="W575" s="2" t="s">
        <v>3238</v>
      </c>
      <c r="X575" s="183"/>
      <c r="Y575" s="184"/>
      <c r="Z575" s="275" t="s">
        <v>11439</v>
      </c>
      <c r="AA575" s="276"/>
      <c r="AB575" s="277"/>
      <c r="AC575" s="277"/>
      <c r="AD575" s="277"/>
    </row>
    <row r="576" ht="15.75" customHeight="1" outlineLevel="1">
      <c r="A576" s="228" t="s">
        <v>11429</v>
      </c>
      <c r="B576" s="270" t="s">
        <v>189</v>
      </c>
      <c r="C576" s="270" t="s">
        <v>27</v>
      </c>
      <c r="D576" s="209" t="s">
        <v>4</v>
      </c>
      <c r="E576" s="271" t="s">
        <v>27</v>
      </c>
      <c r="F576" s="209" t="s">
        <v>4</v>
      </c>
      <c r="G576" s="209" t="s">
        <v>35</v>
      </c>
      <c r="H576" s="181" t="s">
        <v>191</v>
      </c>
      <c r="I576" s="182" t="s">
        <v>33</v>
      </c>
      <c r="J576" s="212" t="s">
        <v>11440</v>
      </c>
      <c r="K576" s="271" t="s">
        <v>27</v>
      </c>
      <c r="L576" s="209" t="s">
        <v>4</v>
      </c>
      <c r="M576" s="182" t="s">
        <v>27</v>
      </c>
      <c r="N576" s="181"/>
      <c r="O576" s="272" t="str">
        <f t="shared" si="14"/>
        <v>L3.00.00.03.02.00</v>
      </c>
      <c r="P576" s="272" t="str">
        <f t="shared" si="29"/>
        <v>L3.00.00.03.02.00.00</v>
      </c>
      <c r="Q576" s="447" t="s">
        <v>10530</v>
      </c>
      <c r="R576" s="273" t="str">
        <f t="shared" si="30"/>
        <v>Nhóm TCKT DN 02</v>
      </c>
      <c r="S576" s="448" t="str">
        <f>P574</f>
        <v>L3.00.00.03.00.00.00</v>
      </c>
      <c r="T576" s="2" t="s">
        <v>2849</v>
      </c>
      <c r="U576" s="2" t="s">
        <v>576</v>
      </c>
      <c r="V576" s="2" t="s">
        <v>2817</v>
      </c>
      <c r="W576" s="2" t="s">
        <v>2848</v>
      </c>
      <c r="X576" s="183"/>
      <c r="Y576" s="184"/>
      <c r="Z576" s="275" t="s">
        <v>11441</v>
      </c>
      <c r="AA576" s="276"/>
      <c r="AB576" s="277"/>
      <c r="AC576" s="277"/>
      <c r="AD576" s="277"/>
    </row>
    <row r="577" ht="15.75" customHeight="1" outlineLevel="1">
      <c r="A577" s="228" t="s">
        <v>11429</v>
      </c>
      <c r="B577" s="270" t="s">
        <v>189</v>
      </c>
      <c r="C577" s="270" t="s">
        <v>27</v>
      </c>
      <c r="D577" s="209" t="s">
        <v>4</v>
      </c>
      <c r="E577" s="271" t="s">
        <v>27</v>
      </c>
      <c r="F577" s="209" t="s">
        <v>4</v>
      </c>
      <c r="G577" s="209" t="s">
        <v>35</v>
      </c>
      <c r="H577" s="181" t="s">
        <v>191</v>
      </c>
      <c r="I577" s="182" t="s">
        <v>33</v>
      </c>
      <c r="J577" s="212" t="s">
        <v>11440</v>
      </c>
      <c r="K577" s="271" t="s">
        <v>27</v>
      </c>
      <c r="L577" s="209" t="s">
        <v>4</v>
      </c>
      <c r="M577" s="209" t="s">
        <v>42</v>
      </c>
      <c r="N577" s="181" t="s">
        <v>10502</v>
      </c>
      <c r="O577" s="272" t="str">
        <f t="shared" si="14"/>
        <v>L3.00.00.03.02.00</v>
      </c>
      <c r="P577" s="272" t="str">
        <f t="shared" si="29"/>
        <v>L3.00.00.03.02.00.05</v>
      </c>
      <c r="Q577" s="447"/>
      <c r="R577" s="273" t="str">
        <f t="shared" si="30"/>
        <v>Nhóm TCKT DN 02</v>
      </c>
      <c r="S577" s="448" t="str">
        <f>P576</f>
        <v>L3.00.00.03.02.00.00</v>
      </c>
      <c r="T577" s="183"/>
      <c r="U577" s="183"/>
      <c r="V577" s="183"/>
      <c r="W577" s="183"/>
      <c r="X577" s="183"/>
      <c r="Y577" s="184"/>
      <c r="Z577" s="275"/>
      <c r="AA577" s="276"/>
      <c r="AB577" s="277"/>
      <c r="AC577" s="277"/>
      <c r="AD577" s="277"/>
    </row>
    <row r="578" ht="15.75" customHeight="1" outlineLevel="1">
      <c r="A578" s="228" t="s">
        <v>11429</v>
      </c>
      <c r="B578" s="270" t="s">
        <v>189</v>
      </c>
      <c r="C578" s="270" t="s">
        <v>27</v>
      </c>
      <c r="D578" s="209" t="s">
        <v>4</v>
      </c>
      <c r="E578" s="271" t="s">
        <v>27</v>
      </c>
      <c r="F578" s="209" t="s">
        <v>4</v>
      </c>
      <c r="G578" s="209" t="s">
        <v>35</v>
      </c>
      <c r="H578" s="181" t="s">
        <v>191</v>
      </c>
      <c r="I578" s="182" t="s">
        <v>33</v>
      </c>
      <c r="J578" s="212" t="s">
        <v>11440</v>
      </c>
      <c r="K578" s="271" t="s">
        <v>27</v>
      </c>
      <c r="L578" s="209" t="s">
        <v>4</v>
      </c>
      <c r="M578" s="209" t="s">
        <v>49</v>
      </c>
      <c r="N578" s="181" t="s">
        <v>10514</v>
      </c>
      <c r="O578" s="272" t="str">
        <f t="shared" si="14"/>
        <v>L3.00.00.03.02.00</v>
      </c>
      <c r="P578" s="272" t="str">
        <f t="shared" si="29"/>
        <v>L3.00.00.03.02.00.08</v>
      </c>
      <c r="Q578" s="447"/>
      <c r="R578" s="273" t="str">
        <f t="shared" si="30"/>
        <v>Nhóm TCKT DN 02</v>
      </c>
      <c r="S578" s="448" t="str">
        <f>P576</f>
        <v>L3.00.00.03.02.00.00</v>
      </c>
      <c r="T578" s="183"/>
      <c r="U578" s="183"/>
      <c r="V578" s="183"/>
      <c r="W578" s="183"/>
      <c r="X578" s="183"/>
      <c r="Y578" s="184"/>
      <c r="Z578" s="275"/>
      <c r="AA578" s="276"/>
      <c r="AB578" s="277"/>
      <c r="AC578" s="277"/>
      <c r="AD578" s="277"/>
    </row>
    <row r="579" ht="15.75" customHeight="1" outlineLevel="1">
      <c r="A579" s="228" t="s">
        <v>11429</v>
      </c>
      <c r="B579" s="270" t="s">
        <v>189</v>
      </c>
      <c r="C579" s="270" t="s">
        <v>27</v>
      </c>
      <c r="D579" s="209" t="s">
        <v>4</v>
      </c>
      <c r="E579" s="271" t="s">
        <v>27</v>
      </c>
      <c r="F579" s="209" t="s">
        <v>4</v>
      </c>
      <c r="G579" s="209" t="s">
        <v>35</v>
      </c>
      <c r="H579" s="181" t="s">
        <v>191</v>
      </c>
      <c r="I579" s="182" t="s">
        <v>35</v>
      </c>
      <c r="J579" s="212" t="s">
        <v>11442</v>
      </c>
      <c r="K579" s="271" t="s">
        <v>27</v>
      </c>
      <c r="L579" s="209" t="s">
        <v>4</v>
      </c>
      <c r="M579" s="182" t="s">
        <v>27</v>
      </c>
      <c r="N579" s="181"/>
      <c r="O579" s="272" t="str">
        <f t="shared" si="14"/>
        <v>L3.00.00.03.03.00</v>
      </c>
      <c r="P579" s="272" t="str">
        <f t="shared" si="29"/>
        <v>L3.00.00.03.03.00.00</v>
      </c>
      <c r="Q579" s="447" t="s">
        <v>10530</v>
      </c>
      <c r="R579" s="273" t="str">
        <f t="shared" si="30"/>
        <v>Nhóm TCKT DN 03</v>
      </c>
      <c r="S579" s="448" t="str">
        <f>P574</f>
        <v>L3.00.00.03.00.00.00</v>
      </c>
      <c r="T579" s="2" t="s">
        <v>4302</v>
      </c>
      <c r="U579" s="2" t="s">
        <v>576</v>
      </c>
      <c r="V579" s="2" t="s">
        <v>2817</v>
      </c>
      <c r="W579" s="2" t="s">
        <v>4301</v>
      </c>
      <c r="X579" s="183"/>
      <c r="Y579" s="184"/>
      <c r="Z579" s="275" t="s">
        <v>11443</v>
      </c>
      <c r="AA579" s="276"/>
      <c r="AB579" s="277"/>
      <c r="AC579" s="277"/>
      <c r="AD579" s="277"/>
    </row>
    <row r="580" ht="15.75" customHeight="1" outlineLevel="1">
      <c r="A580" s="228" t="s">
        <v>11429</v>
      </c>
      <c r="B580" s="270" t="s">
        <v>189</v>
      </c>
      <c r="C580" s="270" t="s">
        <v>27</v>
      </c>
      <c r="D580" s="209" t="s">
        <v>4</v>
      </c>
      <c r="E580" s="271" t="s">
        <v>27</v>
      </c>
      <c r="F580" s="209" t="s">
        <v>4</v>
      </c>
      <c r="G580" s="209" t="s">
        <v>35</v>
      </c>
      <c r="H580" s="181" t="s">
        <v>191</v>
      </c>
      <c r="I580" s="182" t="s">
        <v>35</v>
      </c>
      <c r="J580" s="212" t="s">
        <v>11442</v>
      </c>
      <c r="K580" s="271" t="s">
        <v>27</v>
      </c>
      <c r="L580" s="209" t="s">
        <v>4</v>
      </c>
      <c r="M580" s="209" t="s">
        <v>49</v>
      </c>
      <c r="N580" s="181" t="s">
        <v>10514</v>
      </c>
      <c r="O580" s="272" t="str">
        <f t="shared" si="14"/>
        <v>L3.00.00.03.03.00</v>
      </c>
      <c r="P580" s="272" t="str">
        <f t="shared" si="29"/>
        <v>L3.00.00.03.03.00.08</v>
      </c>
      <c r="Q580" s="447"/>
      <c r="R580" s="273" t="str">
        <f t="shared" si="30"/>
        <v>Nhóm TCKT DN 03</v>
      </c>
      <c r="S580" s="448" t="s">
        <v>11444</v>
      </c>
      <c r="T580" s="183"/>
      <c r="U580" s="183"/>
      <c r="V580" s="183"/>
      <c r="W580" s="183"/>
      <c r="X580" s="183"/>
      <c r="Y580" s="184"/>
      <c r="Z580" s="275"/>
      <c r="AA580" s="276"/>
      <c r="AB580" s="277"/>
      <c r="AC580" s="277"/>
      <c r="AD580" s="277"/>
    </row>
    <row r="581" ht="15.75" customHeight="1" outlineLevel="1">
      <c r="A581" s="228" t="s">
        <v>11429</v>
      </c>
      <c r="B581" s="270" t="s">
        <v>189</v>
      </c>
      <c r="C581" s="270" t="s">
        <v>27</v>
      </c>
      <c r="D581" s="209" t="s">
        <v>4</v>
      </c>
      <c r="E581" s="271" t="s">
        <v>27</v>
      </c>
      <c r="F581" s="209" t="s">
        <v>4</v>
      </c>
      <c r="G581" s="209" t="s">
        <v>35</v>
      </c>
      <c r="H581" s="181" t="s">
        <v>191</v>
      </c>
      <c r="I581" s="182" t="s">
        <v>35</v>
      </c>
      <c r="J581" s="212" t="s">
        <v>11442</v>
      </c>
      <c r="K581" s="271" t="s">
        <v>27</v>
      </c>
      <c r="L581" s="209" t="s">
        <v>4</v>
      </c>
      <c r="M581" s="353" t="s">
        <v>37</v>
      </c>
      <c r="N581" s="370" t="s">
        <v>10900</v>
      </c>
      <c r="O581" s="272" t="str">
        <f t="shared" si="14"/>
        <v>L3.00.00.03.03.00</v>
      </c>
      <c r="P581" s="272" t="str">
        <f t="shared" si="29"/>
        <v>L3.00.00.03.03.00.04</v>
      </c>
      <c r="Q581" s="447"/>
      <c r="R581" s="273" t="str">
        <f t="shared" si="30"/>
        <v>Nhóm TCKT DN 03</v>
      </c>
      <c r="S581" s="448" t="s">
        <v>11444</v>
      </c>
      <c r="T581" s="183"/>
      <c r="U581" s="183"/>
      <c r="V581" s="183"/>
      <c r="W581" s="183"/>
      <c r="X581" s="183"/>
      <c r="Y581" s="184"/>
      <c r="Z581" s="275"/>
      <c r="AA581" s="276"/>
      <c r="AB581" s="277"/>
      <c r="AC581" s="277"/>
      <c r="AD581" s="277"/>
    </row>
    <row r="582" ht="15.75" customHeight="1" outlineLevel="1">
      <c r="A582" s="228" t="s">
        <v>11429</v>
      </c>
      <c r="B582" s="270" t="s">
        <v>189</v>
      </c>
      <c r="C582" s="270" t="s">
        <v>27</v>
      </c>
      <c r="D582" s="209" t="s">
        <v>4</v>
      </c>
      <c r="E582" s="271" t="s">
        <v>27</v>
      </c>
      <c r="F582" s="209" t="s">
        <v>4</v>
      </c>
      <c r="G582" s="209" t="s">
        <v>35</v>
      </c>
      <c r="H582" s="181" t="s">
        <v>191</v>
      </c>
      <c r="I582" s="182" t="s">
        <v>37</v>
      </c>
      <c r="J582" s="212" t="s">
        <v>11445</v>
      </c>
      <c r="K582" s="271" t="s">
        <v>27</v>
      </c>
      <c r="L582" s="209" t="s">
        <v>4</v>
      </c>
      <c r="M582" s="209" t="s">
        <v>49</v>
      </c>
      <c r="N582" s="181" t="s">
        <v>10514</v>
      </c>
      <c r="O582" s="272" t="str">
        <f t="shared" si="14"/>
        <v>L3.00.00.03.04.00</v>
      </c>
      <c r="P582" s="272" t="str">
        <f t="shared" si="29"/>
        <v>L3.00.00.03.04.00.08</v>
      </c>
      <c r="Q582" s="447" t="s">
        <v>10530</v>
      </c>
      <c r="R582" s="273" t="str">
        <f t="shared" si="30"/>
        <v>Nhóm TCKT DN 04</v>
      </c>
      <c r="S582" s="448" t="str">
        <f>P574</f>
        <v>L3.00.00.03.00.00.00</v>
      </c>
      <c r="T582" s="183"/>
      <c r="U582" s="183"/>
      <c r="V582" s="183"/>
      <c r="W582" s="183"/>
      <c r="X582" s="183"/>
      <c r="Y582" s="184"/>
      <c r="Z582" s="275" t="s">
        <v>11446</v>
      </c>
      <c r="AA582" s="276"/>
      <c r="AB582" s="277"/>
      <c r="AC582" s="277"/>
      <c r="AD582" s="277"/>
    </row>
    <row r="583" ht="15.75" customHeight="1" outlineLevel="1">
      <c r="A583" s="228" t="s">
        <v>11429</v>
      </c>
      <c r="B583" s="270" t="s">
        <v>189</v>
      </c>
      <c r="C583" s="270" t="s">
        <v>27</v>
      </c>
      <c r="D583" s="209" t="s">
        <v>4</v>
      </c>
      <c r="E583" s="271" t="s">
        <v>27</v>
      </c>
      <c r="F583" s="209" t="s">
        <v>4</v>
      </c>
      <c r="G583" s="209" t="s">
        <v>35</v>
      </c>
      <c r="H583" s="181" t="s">
        <v>191</v>
      </c>
      <c r="I583" s="182" t="s">
        <v>42</v>
      </c>
      <c r="J583" s="212" t="s">
        <v>11447</v>
      </c>
      <c r="K583" s="271" t="s">
        <v>27</v>
      </c>
      <c r="L583" s="209" t="s">
        <v>4</v>
      </c>
      <c r="M583" s="209" t="s">
        <v>49</v>
      </c>
      <c r="N583" s="181" t="s">
        <v>10514</v>
      </c>
      <c r="O583" s="272" t="str">
        <f t="shared" si="14"/>
        <v>L3.00.00.03.05.00</v>
      </c>
      <c r="P583" s="272" t="str">
        <f t="shared" si="29"/>
        <v>L3.00.00.03.05.00.08</v>
      </c>
      <c r="Q583" s="447" t="s">
        <v>10530</v>
      </c>
      <c r="R583" s="273" t="str">
        <f t="shared" si="30"/>
        <v>Nhóm TCKT DN 05</v>
      </c>
      <c r="S583" s="448" t="str">
        <f>P574</f>
        <v>L3.00.00.03.00.00.00</v>
      </c>
      <c r="T583" s="2" t="s">
        <v>2818</v>
      </c>
      <c r="U583" s="2" t="s">
        <v>576</v>
      </c>
      <c r="V583" s="2" t="s">
        <v>2817</v>
      </c>
      <c r="W583" s="2" t="s">
        <v>2816</v>
      </c>
      <c r="X583" s="183"/>
      <c r="Y583" s="184"/>
      <c r="Z583" s="275" t="s">
        <v>11448</v>
      </c>
      <c r="AA583" s="276"/>
      <c r="AB583" s="277"/>
      <c r="AC583" s="277"/>
      <c r="AD583" s="277"/>
    </row>
    <row r="584" ht="15.75" customHeight="1" outlineLevel="1">
      <c r="A584" s="228" t="s">
        <v>11429</v>
      </c>
      <c r="B584" s="270" t="s">
        <v>189</v>
      </c>
      <c r="C584" s="270" t="s">
        <v>27</v>
      </c>
      <c r="D584" s="209" t="s">
        <v>4</v>
      </c>
      <c r="E584" s="271" t="s">
        <v>27</v>
      </c>
      <c r="F584" s="209" t="s">
        <v>4</v>
      </c>
      <c r="G584" s="209" t="s">
        <v>35</v>
      </c>
      <c r="H584" s="181" t="s">
        <v>191</v>
      </c>
      <c r="I584" s="182" t="s">
        <v>44</v>
      </c>
      <c r="J584" s="212" t="s">
        <v>11449</v>
      </c>
      <c r="K584" s="271" t="s">
        <v>27</v>
      </c>
      <c r="L584" s="209" t="s">
        <v>4</v>
      </c>
      <c r="M584" s="353" t="s">
        <v>51</v>
      </c>
      <c r="N584" s="356" t="s">
        <v>10515</v>
      </c>
      <c r="O584" s="272" t="str">
        <f t="shared" si="14"/>
        <v>L3.00.00.03.06.00</v>
      </c>
      <c r="P584" s="272" t="str">
        <f t="shared" si="29"/>
        <v>L3.00.00.03.06.00.09</v>
      </c>
      <c r="Q584" s="447" t="s">
        <v>10530</v>
      </c>
      <c r="R584" s="273" t="str">
        <f t="shared" si="30"/>
        <v>Nhóm TCKT DN 06</v>
      </c>
      <c r="S584" s="448" t="str">
        <f>P574</f>
        <v>L3.00.00.03.00.00.00</v>
      </c>
      <c r="T584" s="2" t="s">
        <v>4653</v>
      </c>
      <c r="U584" s="2" t="s">
        <v>576</v>
      </c>
      <c r="V584" s="2" t="s">
        <v>2817</v>
      </c>
      <c r="W584" s="2" t="s">
        <v>4652</v>
      </c>
      <c r="X584" s="183"/>
      <c r="Y584" s="184"/>
      <c r="Z584" s="275" t="s">
        <v>11450</v>
      </c>
      <c r="AA584" s="276"/>
      <c r="AB584" s="277"/>
      <c r="AC584" s="277"/>
      <c r="AD584" s="277"/>
    </row>
    <row r="585" ht="15.75" customHeight="1" outlineLevel="1">
      <c r="A585" s="228" t="s">
        <v>11429</v>
      </c>
      <c r="B585" s="270" t="s">
        <v>189</v>
      </c>
      <c r="C585" s="270" t="s">
        <v>27</v>
      </c>
      <c r="D585" s="209" t="s">
        <v>4</v>
      </c>
      <c r="E585" s="271" t="s">
        <v>27</v>
      </c>
      <c r="F585" s="209" t="s">
        <v>4</v>
      </c>
      <c r="G585" s="209" t="s">
        <v>35</v>
      </c>
      <c r="H585" s="181" t="s">
        <v>191</v>
      </c>
      <c r="I585" s="182" t="s">
        <v>46</v>
      </c>
      <c r="J585" s="212" t="s">
        <v>11451</v>
      </c>
      <c r="K585" s="271" t="s">
        <v>27</v>
      </c>
      <c r="L585" s="209" t="s">
        <v>4</v>
      </c>
      <c r="M585" s="353" t="s">
        <v>51</v>
      </c>
      <c r="N585" s="356" t="s">
        <v>10515</v>
      </c>
      <c r="O585" s="272" t="str">
        <f t="shared" si="14"/>
        <v>L3.00.00.03.07.00</v>
      </c>
      <c r="P585" s="272" t="str">
        <f t="shared" si="29"/>
        <v>L3.00.00.03.07.00.09</v>
      </c>
      <c r="Q585" s="447" t="s">
        <v>10530</v>
      </c>
      <c r="R585" s="273" t="str">
        <f t="shared" si="30"/>
        <v>Nhóm TCKT DN 07</v>
      </c>
      <c r="S585" s="448" t="str">
        <f>P574</f>
        <v>L3.00.00.03.00.00.00</v>
      </c>
      <c r="T585" s="2" t="s">
        <v>3326</v>
      </c>
      <c r="U585" s="2" t="s">
        <v>576</v>
      </c>
      <c r="V585" s="2" t="s">
        <v>577</v>
      </c>
      <c r="W585" s="2" t="s">
        <v>3325</v>
      </c>
      <c r="X585" s="183"/>
      <c r="Y585" s="184"/>
      <c r="Z585" s="275" t="s">
        <v>11452</v>
      </c>
      <c r="AA585" s="276"/>
      <c r="AB585" s="277"/>
      <c r="AC585" s="277"/>
      <c r="AD585" s="277"/>
    </row>
    <row r="586" ht="15.75" customHeight="1" outlineLevel="1">
      <c r="A586" s="228" t="s">
        <v>11429</v>
      </c>
      <c r="B586" s="270" t="s">
        <v>189</v>
      </c>
      <c r="C586" s="270" t="s">
        <v>27</v>
      </c>
      <c r="D586" s="209" t="s">
        <v>4</v>
      </c>
      <c r="E586" s="271" t="s">
        <v>27</v>
      </c>
      <c r="F586" s="209" t="s">
        <v>4</v>
      </c>
      <c r="G586" s="209" t="s">
        <v>35</v>
      </c>
      <c r="H586" s="181" t="s">
        <v>191</v>
      </c>
      <c r="I586" s="182" t="s">
        <v>49</v>
      </c>
      <c r="J586" s="212" t="s">
        <v>11453</v>
      </c>
      <c r="K586" s="271" t="s">
        <v>27</v>
      </c>
      <c r="L586" s="209" t="s">
        <v>4</v>
      </c>
      <c r="M586" s="353" t="s">
        <v>51</v>
      </c>
      <c r="N586" s="356" t="s">
        <v>10515</v>
      </c>
      <c r="O586" s="272" t="str">
        <f t="shared" si="14"/>
        <v>L3.00.00.03.08.00</v>
      </c>
      <c r="P586" s="272" t="str">
        <f t="shared" si="29"/>
        <v>L3.00.00.03.08.00.09</v>
      </c>
      <c r="Q586" s="447" t="s">
        <v>10530</v>
      </c>
      <c r="R586" s="273" t="str">
        <f t="shared" si="30"/>
        <v>Nhóm TCKT DN 08</v>
      </c>
      <c r="S586" s="448" t="str">
        <f>P574</f>
        <v>L3.00.00.03.00.00.00</v>
      </c>
      <c r="T586" s="2" t="s">
        <v>3314</v>
      </c>
      <c r="U586" s="2" t="s">
        <v>576</v>
      </c>
      <c r="V586" s="2" t="s">
        <v>577</v>
      </c>
      <c r="W586" s="2" t="s">
        <v>3313</v>
      </c>
      <c r="X586" s="183"/>
      <c r="Y586" s="184"/>
      <c r="Z586" s="275" t="s">
        <v>11454</v>
      </c>
      <c r="AA586" s="276"/>
      <c r="AB586" s="277"/>
      <c r="AC586" s="277"/>
      <c r="AD586" s="277"/>
    </row>
    <row r="587" ht="15.75" customHeight="1" outlineLevel="1">
      <c r="A587" s="228" t="s">
        <v>11429</v>
      </c>
      <c r="B587" s="270" t="s">
        <v>189</v>
      </c>
      <c r="C587" s="270" t="s">
        <v>27</v>
      </c>
      <c r="D587" s="209" t="s">
        <v>4</v>
      </c>
      <c r="E587" s="271" t="s">
        <v>27</v>
      </c>
      <c r="F587" s="209" t="s">
        <v>4</v>
      </c>
      <c r="G587" s="209" t="s">
        <v>35</v>
      </c>
      <c r="H587" s="181" t="s">
        <v>191</v>
      </c>
      <c r="I587" s="182" t="s">
        <v>51</v>
      </c>
      <c r="J587" s="212" t="s">
        <v>11455</v>
      </c>
      <c r="K587" s="271" t="s">
        <v>27</v>
      </c>
      <c r="L587" s="209" t="s">
        <v>4</v>
      </c>
      <c r="M587" s="353" t="s">
        <v>51</v>
      </c>
      <c r="N587" s="356" t="s">
        <v>10515</v>
      </c>
      <c r="O587" s="272" t="str">
        <f t="shared" si="14"/>
        <v>L3.00.00.03.09.00</v>
      </c>
      <c r="P587" s="272" t="str">
        <f t="shared" si="29"/>
        <v>L3.00.00.03.09.00.09</v>
      </c>
      <c r="Q587" s="447" t="s">
        <v>10530</v>
      </c>
      <c r="R587" s="273" t="str">
        <f t="shared" si="30"/>
        <v>Nhóm TCKT DN 09</v>
      </c>
      <c r="S587" s="448" t="str">
        <f>P574</f>
        <v>L3.00.00.03.00.00.00</v>
      </c>
      <c r="T587" s="2" t="s">
        <v>578</v>
      </c>
      <c r="U587" s="2" t="s">
        <v>576</v>
      </c>
      <c r="V587" s="2" t="s">
        <v>577</v>
      </c>
      <c r="W587" s="2" t="s">
        <v>575</v>
      </c>
      <c r="X587" s="183"/>
      <c r="Y587" s="184" t="s">
        <v>11436</v>
      </c>
      <c r="Z587" s="275" t="s">
        <v>11456</v>
      </c>
      <c r="AA587" s="276"/>
      <c r="AB587" s="277"/>
      <c r="AC587" s="277"/>
      <c r="AD587" s="277"/>
    </row>
    <row r="588" ht="15.75" customHeight="1" outlineLevel="1">
      <c r="A588" s="228" t="s">
        <v>11429</v>
      </c>
      <c r="B588" s="270" t="s">
        <v>189</v>
      </c>
      <c r="C588" s="270" t="s">
        <v>27</v>
      </c>
      <c r="D588" s="209" t="s">
        <v>4</v>
      </c>
      <c r="E588" s="271" t="s">
        <v>27</v>
      </c>
      <c r="F588" s="209" t="s">
        <v>4</v>
      </c>
      <c r="G588" s="209" t="s">
        <v>35</v>
      </c>
      <c r="H588" s="181" t="s">
        <v>191</v>
      </c>
      <c r="I588" s="182" t="s">
        <v>55</v>
      </c>
      <c r="J588" s="212" t="s">
        <v>11457</v>
      </c>
      <c r="K588" s="271" t="s">
        <v>27</v>
      </c>
      <c r="L588" s="209" t="s">
        <v>4</v>
      </c>
      <c r="M588" s="353" t="s">
        <v>51</v>
      </c>
      <c r="N588" s="356" t="s">
        <v>10515</v>
      </c>
      <c r="O588" s="272" t="str">
        <f t="shared" si="14"/>
        <v>L3.00.00.03.10.00</v>
      </c>
      <c r="P588" s="272" t="str">
        <f t="shared" si="29"/>
        <v>L3.00.00.03.10.00.09</v>
      </c>
      <c r="Q588" s="447" t="s">
        <v>10530</v>
      </c>
      <c r="R588" s="273" t="str">
        <f t="shared" si="30"/>
        <v>Nhóm TCKT DN 10</v>
      </c>
      <c r="S588" s="448" t="str">
        <f>P574</f>
        <v>L3.00.00.03.00.00.00</v>
      </c>
      <c r="T588" s="2" t="s">
        <v>3028</v>
      </c>
      <c r="U588" s="2" t="s">
        <v>576</v>
      </c>
      <c r="V588" s="2" t="s">
        <v>577</v>
      </c>
      <c r="W588" s="2" t="s">
        <v>3027</v>
      </c>
      <c r="X588" s="183"/>
      <c r="Y588" s="184"/>
      <c r="Z588" s="275" t="s">
        <v>11456</v>
      </c>
      <c r="AA588" s="276"/>
      <c r="AB588" s="277"/>
      <c r="AC588" s="277"/>
      <c r="AD588" s="277"/>
    </row>
    <row r="589" ht="15.75" customHeight="1" outlineLevel="1">
      <c r="A589" s="228" t="s">
        <v>11429</v>
      </c>
      <c r="B589" s="270" t="s">
        <v>189</v>
      </c>
      <c r="C589" s="270" t="s">
        <v>27</v>
      </c>
      <c r="D589" s="209" t="s">
        <v>4</v>
      </c>
      <c r="E589" s="271" t="s">
        <v>27</v>
      </c>
      <c r="F589" s="209" t="s">
        <v>4</v>
      </c>
      <c r="G589" s="209" t="s">
        <v>37</v>
      </c>
      <c r="H589" s="212" t="s">
        <v>11458</v>
      </c>
      <c r="I589" s="182" t="s">
        <v>27</v>
      </c>
      <c r="J589" s="449" t="s">
        <v>4</v>
      </c>
      <c r="K589" s="271" t="s">
        <v>27</v>
      </c>
      <c r="L589" s="209" t="s">
        <v>4</v>
      </c>
      <c r="M589" s="182" t="s">
        <v>27</v>
      </c>
      <c r="N589" s="181"/>
      <c r="O589" s="272" t="str">
        <f t="shared" si="14"/>
        <v>L3.00.00.04.00.00</v>
      </c>
      <c r="P589" s="272" t="str">
        <f t="shared" si="29"/>
        <v>L3.00.00.04.00.00.00</v>
      </c>
      <c r="Q589" s="447" t="s">
        <v>10530</v>
      </c>
      <c r="R589" s="273" t="str">
        <f t="shared" si="30"/>
        <v>Phòng hỗ trợ giải pháp quản trị DN &amp; Bán lẻ</v>
      </c>
      <c r="S589" s="448" t="str">
        <f>P569</f>
        <v>L3.00.00.00.00.00.00</v>
      </c>
      <c r="T589" s="2" t="s">
        <v>8204</v>
      </c>
      <c r="U589" s="2" t="s">
        <v>576</v>
      </c>
      <c r="V589" s="2" t="s">
        <v>3431</v>
      </c>
      <c r="W589" s="183"/>
      <c r="X589" s="183"/>
      <c r="Y589" s="184" t="s">
        <v>11436</v>
      </c>
      <c r="Z589" s="275" t="s">
        <v>11459</v>
      </c>
      <c r="AA589" s="276"/>
      <c r="AB589" s="277"/>
      <c r="AC589" s="277"/>
      <c r="AD589" s="277"/>
    </row>
    <row r="590" ht="15.75" customHeight="1" outlineLevel="1">
      <c r="A590" s="228" t="s">
        <v>11429</v>
      </c>
      <c r="B590" s="270" t="s">
        <v>189</v>
      </c>
      <c r="C590" s="270" t="s">
        <v>27</v>
      </c>
      <c r="D590" s="209" t="s">
        <v>4</v>
      </c>
      <c r="E590" s="271" t="s">
        <v>27</v>
      </c>
      <c r="F590" s="209" t="s">
        <v>4</v>
      </c>
      <c r="G590" s="209" t="s">
        <v>37</v>
      </c>
      <c r="H590" s="212" t="s">
        <v>11458</v>
      </c>
      <c r="I590" s="209" t="s">
        <v>29</v>
      </c>
      <c r="J590" s="212" t="s">
        <v>11460</v>
      </c>
      <c r="K590" s="271" t="s">
        <v>27</v>
      </c>
      <c r="L590" s="209" t="s">
        <v>4</v>
      </c>
      <c r="M590" s="182" t="s">
        <v>27</v>
      </c>
      <c r="N590" s="181"/>
      <c r="O590" s="272" t="str">
        <f t="shared" si="14"/>
        <v>L3.00.00.04.01.00</v>
      </c>
      <c r="P590" s="272" t="str">
        <f t="shared" si="29"/>
        <v>L3.00.00.04.01.00.00</v>
      </c>
      <c r="Q590" s="447" t="s">
        <v>10530</v>
      </c>
      <c r="R590" s="273" t="str">
        <f t="shared" si="30"/>
        <v>Nhóm hỗ trợ giải pháp Quản trị điều hành DN</v>
      </c>
      <c r="S590" s="274" t="str">
        <f t="shared" ref="S590:S591" si="31">P589</f>
        <v>L3.00.00.04.00.00.00</v>
      </c>
      <c r="T590" s="2" t="s">
        <v>4720</v>
      </c>
      <c r="U590" s="2" t="s">
        <v>576</v>
      </c>
      <c r="V590" s="2" t="s">
        <v>3431</v>
      </c>
      <c r="W590" s="2" t="s">
        <v>4719</v>
      </c>
      <c r="X590" s="183"/>
      <c r="Y590" s="184"/>
      <c r="Z590" s="275" t="s">
        <v>11461</v>
      </c>
      <c r="AA590" s="276"/>
      <c r="AB590" s="277"/>
      <c r="AC590" s="277"/>
      <c r="AD590" s="277"/>
    </row>
    <row r="591" ht="15.75" customHeight="1" outlineLevel="1">
      <c r="A591" s="228" t="s">
        <v>11429</v>
      </c>
      <c r="B591" s="270" t="s">
        <v>189</v>
      </c>
      <c r="C591" s="270" t="s">
        <v>27</v>
      </c>
      <c r="D591" s="209" t="s">
        <v>4</v>
      </c>
      <c r="E591" s="271" t="s">
        <v>27</v>
      </c>
      <c r="F591" s="209" t="s">
        <v>4</v>
      </c>
      <c r="G591" s="209" t="s">
        <v>37</v>
      </c>
      <c r="H591" s="212" t="s">
        <v>11458</v>
      </c>
      <c r="I591" s="209" t="s">
        <v>29</v>
      </c>
      <c r="J591" s="212" t="s">
        <v>11460</v>
      </c>
      <c r="K591" s="271" t="s">
        <v>27</v>
      </c>
      <c r="L591" s="209" t="s">
        <v>4</v>
      </c>
      <c r="M591" s="209" t="s">
        <v>49</v>
      </c>
      <c r="N591" s="181" t="s">
        <v>10514</v>
      </c>
      <c r="O591" s="272" t="str">
        <f t="shared" si="14"/>
        <v>L3.00.00.04.01.00</v>
      </c>
      <c r="P591" s="272" t="str">
        <f t="shared" si="29"/>
        <v>L3.00.00.04.01.00.08</v>
      </c>
      <c r="Q591" s="447"/>
      <c r="R591" s="273" t="str">
        <f t="shared" si="30"/>
        <v>Nhóm hỗ trợ giải pháp Quản trị điều hành DN</v>
      </c>
      <c r="S591" s="274" t="str">
        <f t="shared" si="31"/>
        <v>L3.00.00.04.01.00.00</v>
      </c>
      <c r="T591" s="183"/>
      <c r="U591" s="183"/>
      <c r="V591" s="183"/>
      <c r="W591" s="183"/>
      <c r="X591" s="183"/>
      <c r="Y591" s="184" t="s">
        <v>11436</v>
      </c>
      <c r="Z591" s="275"/>
      <c r="AA591" s="276"/>
      <c r="AB591" s="277"/>
      <c r="AC591" s="277"/>
      <c r="AD591" s="277"/>
    </row>
    <row r="592" ht="15.75" customHeight="1" outlineLevel="1">
      <c r="A592" s="228" t="s">
        <v>11429</v>
      </c>
      <c r="B592" s="270" t="s">
        <v>189</v>
      </c>
      <c r="C592" s="270" t="s">
        <v>27</v>
      </c>
      <c r="D592" s="209" t="s">
        <v>4</v>
      </c>
      <c r="E592" s="271" t="s">
        <v>27</v>
      </c>
      <c r="F592" s="209" t="s">
        <v>4</v>
      </c>
      <c r="G592" s="209" t="s">
        <v>37</v>
      </c>
      <c r="H592" s="212" t="s">
        <v>11458</v>
      </c>
      <c r="I592" s="209" t="s">
        <v>29</v>
      </c>
      <c r="J592" s="212" t="s">
        <v>11460</v>
      </c>
      <c r="K592" s="271" t="s">
        <v>27</v>
      </c>
      <c r="L592" s="209" t="s">
        <v>4</v>
      </c>
      <c r="M592" s="209" t="s">
        <v>35</v>
      </c>
      <c r="N592" s="181" t="s">
        <v>10500</v>
      </c>
      <c r="O592" s="272" t="str">
        <f t="shared" si="14"/>
        <v>L3.00.00.04.01.00</v>
      </c>
      <c r="P592" s="272" t="str">
        <f t="shared" si="29"/>
        <v>L3.00.00.04.01.00.03</v>
      </c>
      <c r="Q592" s="447"/>
      <c r="R592" s="273" t="str">
        <f t="shared" si="30"/>
        <v>Nhóm hỗ trợ giải pháp Quản trị điều hành DN</v>
      </c>
      <c r="S592" s="274" t="str">
        <f>P590</f>
        <v>L3.00.00.04.01.00.00</v>
      </c>
      <c r="T592" s="183"/>
      <c r="U592" s="183"/>
      <c r="V592" s="183"/>
      <c r="W592" s="183"/>
      <c r="X592" s="183"/>
      <c r="Y592" s="184" t="s">
        <v>11436</v>
      </c>
      <c r="Z592" s="275"/>
      <c r="AA592" s="276"/>
      <c r="AB592" s="277"/>
      <c r="AC592" s="277"/>
      <c r="AD592" s="277"/>
    </row>
    <row r="593" ht="15.75" customHeight="1" outlineLevel="1">
      <c r="A593" s="228" t="s">
        <v>11429</v>
      </c>
      <c r="B593" s="270" t="s">
        <v>189</v>
      </c>
      <c r="C593" s="270" t="s">
        <v>27</v>
      </c>
      <c r="D593" s="209" t="s">
        <v>4</v>
      </c>
      <c r="E593" s="271" t="s">
        <v>27</v>
      </c>
      <c r="F593" s="209" t="s">
        <v>4</v>
      </c>
      <c r="G593" s="209" t="s">
        <v>37</v>
      </c>
      <c r="H593" s="212" t="s">
        <v>11458</v>
      </c>
      <c r="I593" s="209" t="s">
        <v>33</v>
      </c>
      <c r="J593" s="303" t="s">
        <v>11462</v>
      </c>
      <c r="K593" s="271" t="s">
        <v>27</v>
      </c>
      <c r="L593" s="209" t="s">
        <v>4</v>
      </c>
      <c r="M593" s="182" t="s">
        <v>27</v>
      </c>
      <c r="N593" s="181"/>
      <c r="O593" s="272" t="str">
        <f t="shared" si="14"/>
        <v>L3.00.00.04.02.00</v>
      </c>
      <c r="P593" s="272" t="str">
        <f t="shared" si="29"/>
        <v>L3.00.00.04.02.00.00</v>
      </c>
      <c r="Q593" s="447" t="s">
        <v>10530</v>
      </c>
      <c r="R593" s="273" t="str">
        <f t="shared" si="30"/>
        <v>Nhóm hỗ trợ giải pháp Bán lẻ</v>
      </c>
      <c r="S593" s="274" t="str">
        <f>P589</f>
        <v>L3.00.00.04.00.00.00</v>
      </c>
      <c r="T593" s="2" t="s">
        <v>3432</v>
      </c>
      <c r="U593" s="2" t="s">
        <v>576</v>
      </c>
      <c r="V593" s="2" t="s">
        <v>3431</v>
      </c>
      <c r="W593" s="2" t="s">
        <v>3430</v>
      </c>
      <c r="X593" s="183"/>
      <c r="Y593" s="184"/>
      <c r="Z593" s="275" t="s">
        <v>11463</v>
      </c>
      <c r="AA593" s="276"/>
      <c r="AB593" s="277"/>
      <c r="AC593" s="277"/>
      <c r="AD593" s="277"/>
    </row>
    <row r="594" ht="15.75" customHeight="1" outlineLevel="1">
      <c r="A594" s="228" t="s">
        <v>11429</v>
      </c>
      <c r="B594" s="270" t="s">
        <v>189</v>
      </c>
      <c r="C594" s="270" t="s">
        <v>27</v>
      </c>
      <c r="D594" s="209" t="s">
        <v>4</v>
      </c>
      <c r="E594" s="271" t="s">
        <v>27</v>
      </c>
      <c r="F594" s="209" t="s">
        <v>4</v>
      </c>
      <c r="G594" s="209" t="s">
        <v>37</v>
      </c>
      <c r="H594" s="212" t="s">
        <v>11458</v>
      </c>
      <c r="I594" s="209" t="s">
        <v>33</v>
      </c>
      <c r="J594" s="303" t="s">
        <v>11462</v>
      </c>
      <c r="K594" s="271" t="s">
        <v>27</v>
      </c>
      <c r="L594" s="209" t="s">
        <v>4</v>
      </c>
      <c r="M594" s="209" t="s">
        <v>49</v>
      </c>
      <c r="N594" s="181" t="s">
        <v>10514</v>
      </c>
      <c r="O594" s="272" t="str">
        <f t="shared" si="14"/>
        <v>L3.00.00.04.02.00</v>
      </c>
      <c r="P594" s="272" t="str">
        <f t="shared" si="29"/>
        <v>L3.00.00.04.02.00.08</v>
      </c>
      <c r="Q594" s="447"/>
      <c r="R594" s="273" t="str">
        <f t="shared" si="30"/>
        <v>Nhóm hỗ trợ giải pháp Bán lẻ</v>
      </c>
      <c r="S594" s="274" t="str">
        <f>P593</f>
        <v>L3.00.00.04.02.00.00</v>
      </c>
      <c r="T594" s="183"/>
      <c r="U594" s="183"/>
      <c r="V594" s="183"/>
      <c r="W594" s="183"/>
      <c r="X594" s="183"/>
      <c r="Y594" s="184" t="s">
        <v>11436</v>
      </c>
      <c r="Z594" s="275"/>
      <c r="AA594" s="276"/>
      <c r="AB594" s="277"/>
      <c r="AC594" s="277"/>
      <c r="AD594" s="277"/>
    </row>
    <row r="595" ht="15.75" customHeight="1" outlineLevel="1">
      <c r="A595" s="228" t="s">
        <v>11429</v>
      </c>
      <c r="B595" s="270" t="s">
        <v>189</v>
      </c>
      <c r="C595" s="270" t="s">
        <v>27</v>
      </c>
      <c r="D595" s="209" t="s">
        <v>4</v>
      </c>
      <c r="E595" s="271" t="s">
        <v>27</v>
      </c>
      <c r="F595" s="209" t="s">
        <v>4</v>
      </c>
      <c r="G595" s="209" t="s">
        <v>37</v>
      </c>
      <c r="H595" s="212" t="s">
        <v>11458</v>
      </c>
      <c r="I595" s="209" t="s">
        <v>33</v>
      </c>
      <c r="J595" s="303" t="s">
        <v>11462</v>
      </c>
      <c r="K595" s="271" t="s">
        <v>27</v>
      </c>
      <c r="L595" s="209" t="s">
        <v>4</v>
      </c>
      <c r="M595" s="209" t="s">
        <v>42</v>
      </c>
      <c r="N595" s="181" t="s">
        <v>10502</v>
      </c>
      <c r="O595" s="272" t="str">
        <f t="shared" si="14"/>
        <v>L3.00.00.04.02.00</v>
      </c>
      <c r="P595" s="272" t="str">
        <f t="shared" si="29"/>
        <v>L3.00.00.04.02.00.05</v>
      </c>
      <c r="Q595" s="447"/>
      <c r="R595" s="273" t="str">
        <f t="shared" si="30"/>
        <v>Nhóm hỗ trợ giải pháp Bán lẻ</v>
      </c>
      <c r="S595" s="274" t="str">
        <f>P593</f>
        <v>L3.00.00.04.02.00.00</v>
      </c>
      <c r="T595" s="183"/>
      <c r="U595" s="183"/>
      <c r="V595" s="183"/>
      <c r="W595" s="183"/>
      <c r="X595" s="183"/>
      <c r="Y595" s="184" t="s">
        <v>11436</v>
      </c>
      <c r="Z595" s="275"/>
      <c r="AA595" s="276"/>
      <c r="AB595" s="277"/>
      <c r="AC595" s="277"/>
      <c r="AD595" s="277"/>
    </row>
    <row r="596" ht="15.75" customHeight="1" outlineLevel="1">
      <c r="A596" s="450" t="s">
        <v>11429</v>
      </c>
      <c r="B596" s="451" t="s">
        <v>189</v>
      </c>
      <c r="C596" s="451" t="s">
        <v>27</v>
      </c>
      <c r="D596" s="452" t="s">
        <v>4</v>
      </c>
      <c r="E596" s="453" t="s">
        <v>27</v>
      </c>
      <c r="F596" s="452" t="s">
        <v>4</v>
      </c>
      <c r="G596" s="452" t="s">
        <v>37</v>
      </c>
      <c r="H596" s="454" t="s">
        <v>11464</v>
      </c>
      <c r="I596" s="452" t="s">
        <v>35</v>
      </c>
      <c r="J596" s="455" t="s">
        <v>195</v>
      </c>
      <c r="K596" s="456" t="s">
        <v>27</v>
      </c>
      <c r="L596" s="457" t="s">
        <v>4</v>
      </c>
      <c r="M596" s="458" t="s">
        <v>27</v>
      </c>
      <c r="N596" s="459"/>
      <c r="O596" s="460" t="str">
        <f t="shared" si="14"/>
        <v>L3.00.00.04.03.00</v>
      </c>
      <c r="P596" s="460" t="str">
        <f t="shared" si="29"/>
        <v>L3.00.00.04.03.00.00</v>
      </c>
      <c r="Q596" s="461"/>
      <c r="R596" s="462"/>
      <c r="S596" s="463"/>
      <c r="T596" s="464"/>
      <c r="U596" s="464"/>
      <c r="V596" s="464"/>
      <c r="W596" s="464"/>
      <c r="X596" s="464"/>
      <c r="Y596" s="465"/>
      <c r="Z596" s="466"/>
      <c r="AA596" s="467"/>
      <c r="AB596" s="468"/>
      <c r="AC596" s="468"/>
      <c r="AD596" s="468"/>
    </row>
    <row r="597" ht="15.75" customHeight="1" outlineLevel="1">
      <c r="A597" s="450" t="s">
        <v>11429</v>
      </c>
      <c r="B597" s="451" t="s">
        <v>189</v>
      </c>
      <c r="C597" s="451" t="s">
        <v>27</v>
      </c>
      <c r="D597" s="452" t="s">
        <v>4</v>
      </c>
      <c r="E597" s="453" t="s">
        <v>27</v>
      </c>
      <c r="F597" s="452" t="s">
        <v>4</v>
      </c>
      <c r="G597" s="452" t="s">
        <v>42</v>
      </c>
      <c r="H597" s="454" t="s">
        <v>11465</v>
      </c>
      <c r="I597" s="453" t="s">
        <v>27</v>
      </c>
      <c r="J597" s="457" t="s">
        <v>4</v>
      </c>
      <c r="K597" s="456" t="s">
        <v>27</v>
      </c>
      <c r="L597" s="457" t="s">
        <v>4</v>
      </c>
      <c r="M597" s="458" t="s">
        <v>27</v>
      </c>
      <c r="N597" s="459"/>
      <c r="O597" s="460" t="str">
        <f t="shared" si="14"/>
        <v>L3.00.00.05.00.00</v>
      </c>
      <c r="P597" s="460" t="str">
        <f t="shared" si="29"/>
        <v>L3.00.00.05.00.00.00</v>
      </c>
      <c r="Q597" s="461"/>
      <c r="R597" s="462"/>
      <c r="S597" s="463"/>
      <c r="T597" s="464"/>
      <c r="U597" s="464"/>
      <c r="V597" s="464"/>
      <c r="W597" s="464"/>
      <c r="X597" s="464"/>
      <c r="Y597" s="465"/>
      <c r="Z597" s="466"/>
      <c r="AA597" s="467"/>
      <c r="AB597" s="468"/>
      <c r="AC597" s="468"/>
      <c r="AD597" s="468"/>
    </row>
    <row r="598" ht="15.75" customHeight="1" outlineLevel="1">
      <c r="A598" s="177" t="s">
        <v>11429</v>
      </c>
      <c r="B598" s="221" t="s">
        <v>189</v>
      </c>
      <c r="C598" s="221" t="s">
        <v>27</v>
      </c>
      <c r="D598" s="172" t="s">
        <v>4</v>
      </c>
      <c r="E598" s="222" t="s">
        <v>27</v>
      </c>
      <c r="F598" s="172" t="s">
        <v>4</v>
      </c>
      <c r="G598" s="172" t="s">
        <v>44</v>
      </c>
      <c r="H598" s="171" t="s">
        <v>197</v>
      </c>
      <c r="I598" s="175" t="s">
        <v>27</v>
      </c>
      <c r="J598" s="262" t="s">
        <v>4</v>
      </c>
      <c r="K598" s="297" t="s">
        <v>27</v>
      </c>
      <c r="L598" s="157" t="s">
        <v>4</v>
      </c>
      <c r="M598" s="168" t="s">
        <v>27</v>
      </c>
      <c r="N598" s="167"/>
      <c r="O598" s="173" t="str">
        <f t="shared" si="14"/>
        <v>L3.00.00.06.00.00</v>
      </c>
      <c r="P598" s="173" t="str">
        <f t="shared" si="29"/>
        <v>L3.00.00.06.00.00.00</v>
      </c>
      <c r="Q598" s="428" t="s">
        <v>10530</v>
      </c>
      <c r="R598" s="273" t="str">
        <f t="shared" ref="R598:R617" si="32">if(L598&lt;&gt;"-",L598,if(AND(L598="-",J598&lt;&gt;"-"),J598,if(AND(J598="-",H598&lt;&gt;"-"),H598,"NA")))</f>
        <v>Phòng hỗ trợ khách hàng HCSN</v>
      </c>
      <c r="S598" s="429" t="str">
        <f>P569</f>
        <v>L3.00.00.00.00.00.00</v>
      </c>
      <c r="T598" s="176"/>
      <c r="U598" s="176"/>
      <c r="V598" s="176"/>
      <c r="W598" s="176"/>
      <c r="X598" s="176"/>
      <c r="Y598" s="224"/>
      <c r="Z598" s="275" t="s">
        <v>11466</v>
      </c>
      <c r="AA598" s="266"/>
      <c r="AB598" s="226"/>
      <c r="AC598" s="226"/>
      <c r="AD598" s="226"/>
    </row>
    <row r="599" ht="15.75" customHeight="1" outlineLevel="1">
      <c r="A599" s="228" t="s">
        <v>11429</v>
      </c>
      <c r="B599" s="270" t="s">
        <v>189</v>
      </c>
      <c r="C599" s="270" t="s">
        <v>27</v>
      </c>
      <c r="D599" s="209" t="s">
        <v>4</v>
      </c>
      <c r="E599" s="271" t="s">
        <v>27</v>
      </c>
      <c r="F599" s="209" t="s">
        <v>4</v>
      </c>
      <c r="G599" s="209" t="s">
        <v>44</v>
      </c>
      <c r="H599" s="181" t="s">
        <v>197</v>
      </c>
      <c r="I599" s="209" t="s">
        <v>29</v>
      </c>
      <c r="J599" s="212" t="s">
        <v>11467</v>
      </c>
      <c r="K599" s="271" t="s">
        <v>27</v>
      </c>
      <c r="L599" s="209" t="s">
        <v>4</v>
      </c>
      <c r="M599" s="209" t="s">
        <v>49</v>
      </c>
      <c r="N599" s="181" t="s">
        <v>10514</v>
      </c>
      <c r="O599" s="272" t="str">
        <f t="shared" si="14"/>
        <v>L3.00.00.06.01.00</v>
      </c>
      <c r="P599" s="272" t="str">
        <f t="shared" si="29"/>
        <v>L3.00.00.06.01.00.08</v>
      </c>
      <c r="Q599" s="447" t="s">
        <v>10530</v>
      </c>
      <c r="R599" s="273" t="str">
        <f t="shared" si="32"/>
        <v>Nhóm hỗ trợ giải pháp TCKT HCSN 01</v>
      </c>
      <c r="S599" s="274" t="str">
        <f>P598</f>
        <v>L3.00.00.06.00.00.00</v>
      </c>
      <c r="T599" s="2" t="s">
        <v>7471</v>
      </c>
      <c r="U599" s="2" t="s">
        <v>576</v>
      </c>
      <c r="V599" s="2" t="s">
        <v>2817</v>
      </c>
      <c r="W599" s="2" t="s">
        <v>7470</v>
      </c>
      <c r="X599" s="183"/>
      <c r="Y599" s="184"/>
      <c r="Z599" s="275" t="s">
        <v>11468</v>
      </c>
      <c r="AA599" s="276"/>
      <c r="AB599" s="277"/>
      <c r="AC599" s="277"/>
      <c r="AD599" s="277"/>
    </row>
    <row r="600" ht="15.75" customHeight="1" outlineLevel="1">
      <c r="A600" s="228" t="s">
        <v>11429</v>
      </c>
      <c r="B600" s="270" t="s">
        <v>189</v>
      </c>
      <c r="C600" s="270" t="s">
        <v>27</v>
      </c>
      <c r="D600" s="209" t="s">
        <v>4</v>
      </c>
      <c r="E600" s="271" t="s">
        <v>27</v>
      </c>
      <c r="F600" s="209" t="s">
        <v>4</v>
      </c>
      <c r="G600" s="209" t="s">
        <v>44</v>
      </c>
      <c r="H600" s="181" t="s">
        <v>197</v>
      </c>
      <c r="I600" s="182" t="s">
        <v>35</v>
      </c>
      <c r="J600" s="212" t="s">
        <v>11469</v>
      </c>
      <c r="K600" s="271" t="s">
        <v>27</v>
      </c>
      <c r="L600" s="209" t="s">
        <v>4</v>
      </c>
      <c r="M600" s="209" t="s">
        <v>49</v>
      </c>
      <c r="N600" s="181" t="s">
        <v>10514</v>
      </c>
      <c r="O600" s="272" t="str">
        <f t="shared" si="14"/>
        <v>L3.00.00.06.03.00</v>
      </c>
      <c r="P600" s="272" t="str">
        <f t="shared" si="29"/>
        <v>L3.00.00.06.03.00.08</v>
      </c>
      <c r="Q600" s="447" t="s">
        <v>10530</v>
      </c>
      <c r="R600" s="273" t="str">
        <f t="shared" si="32"/>
        <v>Nhóm hỗ trợ giải pháp TCKT HCSN 02</v>
      </c>
      <c r="S600" s="274" t="str">
        <f>P598</f>
        <v>L3.00.00.06.00.00.00</v>
      </c>
      <c r="T600" s="183"/>
      <c r="U600" s="183"/>
      <c r="V600" s="183"/>
      <c r="W600" s="183"/>
      <c r="X600" s="183"/>
      <c r="Y600" s="184" t="s">
        <v>11436</v>
      </c>
      <c r="Z600" s="275" t="s">
        <v>11470</v>
      </c>
      <c r="AA600" s="276"/>
      <c r="AB600" s="277"/>
      <c r="AC600" s="277"/>
      <c r="AD600" s="277"/>
    </row>
    <row r="601" ht="15.75" customHeight="1" outlineLevel="1">
      <c r="A601" s="228" t="s">
        <v>11429</v>
      </c>
      <c r="B601" s="270" t="s">
        <v>189</v>
      </c>
      <c r="C601" s="270" t="s">
        <v>27</v>
      </c>
      <c r="D601" s="209" t="s">
        <v>4</v>
      </c>
      <c r="E601" s="271" t="s">
        <v>27</v>
      </c>
      <c r="F601" s="209" t="s">
        <v>4</v>
      </c>
      <c r="G601" s="209" t="s">
        <v>44</v>
      </c>
      <c r="H601" s="181" t="s">
        <v>197</v>
      </c>
      <c r="I601" s="209" t="s">
        <v>33</v>
      </c>
      <c r="J601" s="181" t="s">
        <v>199</v>
      </c>
      <c r="K601" s="271" t="s">
        <v>27</v>
      </c>
      <c r="L601" s="209" t="s">
        <v>4</v>
      </c>
      <c r="M601" s="209" t="s">
        <v>49</v>
      </c>
      <c r="N601" s="181" t="s">
        <v>10514</v>
      </c>
      <c r="O601" s="272" t="str">
        <f t="shared" si="14"/>
        <v>L3.00.00.06.02.00</v>
      </c>
      <c r="P601" s="272" t="str">
        <f t="shared" si="29"/>
        <v>L3.00.00.06.02.00.08</v>
      </c>
      <c r="Q601" s="447" t="s">
        <v>10530</v>
      </c>
      <c r="R601" s="273" t="str">
        <f t="shared" si="32"/>
        <v>Nhóm hỗ trợ giải pháp điều hành HCSN</v>
      </c>
      <c r="S601" s="274" t="str">
        <f>P598</f>
        <v>L3.00.00.06.00.00.00</v>
      </c>
      <c r="T601" s="183"/>
      <c r="U601" s="183"/>
      <c r="V601" s="183"/>
      <c r="W601" s="183"/>
      <c r="X601" s="183"/>
      <c r="Y601" s="184" t="s">
        <v>11436</v>
      </c>
      <c r="Z601" s="275" t="s">
        <v>11471</v>
      </c>
      <c r="AA601" s="276"/>
      <c r="AB601" s="277"/>
      <c r="AC601" s="277"/>
      <c r="AD601" s="277"/>
    </row>
    <row r="602" ht="15.75" customHeight="1" outlineLevel="1">
      <c r="A602" s="228" t="s">
        <v>11429</v>
      </c>
      <c r="B602" s="270" t="s">
        <v>189</v>
      </c>
      <c r="C602" s="270" t="s">
        <v>27</v>
      </c>
      <c r="D602" s="209" t="s">
        <v>4</v>
      </c>
      <c r="E602" s="271" t="s">
        <v>27</v>
      </c>
      <c r="F602" s="209" t="s">
        <v>4</v>
      </c>
      <c r="G602" s="209" t="s">
        <v>46</v>
      </c>
      <c r="H602" s="181" t="s">
        <v>200</v>
      </c>
      <c r="I602" s="271" t="s">
        <v>27</v>
      </c>
      <c r="J602" s="209" t="s">
        <v>4</v>
      </c>
      <c r="K602" s="271" t="s">
        <v>27</v>
      </c>
      <c r="L602" s="209" t="s">
        <v>4</v>
      </c>
      <c r="M602" s="353" t="s">
        <v>51</v>
      </c>
      <c r="N602" s="356" t="s">
        <v>10515</v>
      </c>
      <c r="O602" s="272" t="str">
        <f t="shared" si="14"/>
        <v>L3.00.00.07.00.00</v>
      </c>
      <c r="P602" s="272" t="str">
        <f t="shared" si="29"/>
        <v>L3.00.00.07.00.00.09</v>
      </c>
      <c r="Q602" s="447" t="s">
        <v>10530</v>
      </c>
      <c r="R602" s="273" t="str">
        <f t="shared" si="32"/>
        <v>Phòng hỗ trợ chủ động</v>
      </c>
      <c r="S602" s="274" t="s">
        <v>11432</v>
      </c>
      <c r="T602" s="2" t="s">
        <v>7406</v>
      </c>
      <c r="U602" s="2" t="s">
        <v>576</v>
      </c>
      <c r="V602" s="2" t="s">
        <v>3239</v>
      </c>
      <c r="W602" s="2" t="s">
        <v>7405</v>
      </c>
      <c r="X602" s="183"/>
      <c r="Y602" s="184"/>
      <c r="Z602" s="275" t="s">
        <v>11472</v>
      </c>
      <c r="AA602" s="276"/>
      <c r="AB602" s="277"/>
      <c r="AC602" s="277"/>
      <c r="AD602" s="277"/>
    </row>
    <row r="603" ht="15.75" customHeight="1" outlineLevel="1">
      <c r="A603" s="228" t="s">
        <v>11429</v>
      </c>
      <c r="B603" s="270" t="s">
        <v>189</v>
      </c>
      <c r="C603" s="270" t="s">
        <v>27</v>
      </c>
      <c r="D603" s="209" t="s">
        <v>4</v>
      </c>
      <c r="E603" s="271" t="s">
        <v>27</v>
      </c>
      <c r="F603" s="209" t="s">
        <v>4</v>
      </c>
      <c r="G603" s="209" t="s">
        <v>49</v>
      </c>
      <c r="H603" s="212" t="s">
        <v>11473</v>
      </c>
      <c r="I603" s="182" t="s">
        <v>27</v>
      </c>
      <c r="J603" s="449" t="s">
        <v>4</v>
      </c>
      <c r="K603" s="271" t="s">
        <v>27</v>
      </c>
      <c r="L603" s="209" t="s">
        <v>4</v>
      </c>
      <c r="M603" s="209" t="s">
        <v>49</v>
      </c>
      <c r="N603" s="181" t="s">
        <v>10514</v>
      </c>
      <c r="O603" s="272" t="str">
        <f t="shared" si="14"/>
        <v>L3.00.00.08.00.00</v>
      </c>
      <c r="P603" s="272" t="str">
        <f t="shared" si="29"/>
        <v>L3.00.00.08.00.00.08</v>
      </c>
      <c r="Q603" s="447" t="s">
        <v>10530</v>
      </c>
      <c r="R603" s="273" t="str">
        <f t="shared" si="32"/>
        <v>Phòng CSKH VIP 01</v>
      </c>
      <c r="S603" s="274" t="s">
        <v>11432</v>
      </c>
      <c r="T603" s="430" t="s">
        <v>9760</v>
      </c>
      <c r="U603" s="430" t="s">
        <v>576</v>
      </c>
      <c r="V603" s="430" t="s">
        <v>2934</v>
      </c>
      <c r="W603" s="183"/>
      <c r="X603" s="183"/>
      <c r="Y603" s="184"/>
      <c r="Z603" s="275" t="s">
        <v>11474</v>
      </c>
      <c r="AA603" s="304" t="s">
        <v>10530</v>
      </c>
      <c r="AB603" s="277"/>
      <c r="AC603" s="277"/>
      <c r="AD603" s="277"/>
    </row>
    <row r="604" ht="15.75" customHeight="1" outlineLevel="1">
      <c r="A604" s="228" t="s">
        <v>11429</v>
      </c>
      <c r="B604" s="270" t="s">
        <v>189</v>
      </c>
      <c r="C604" s="270" t="s">
        <v>27</v>
      </c>
      <c r="D604" s="209" t="s">
        <v>4</v>
      </c>
      <c r="E604" s="271" t="s">
        <v>27</v>
      </c>
      <c r="F604" s="209" t="s">
        <v>4</v>
      </c>
      <c r="G604" s="209" t="s">
        <v>49</v>
      </c>
      <c r="H604" s="212" t="s">
        <v>11473</v>
      </c>
      <c r="I604" s="209" t="s">
        <v>29</v>
      </c>
      <c r="J604" s="212" t="s">
        <v>2933</v>
      </c>
      <c r="K604" s="271" t="s">
        <v>27</v>
      </c>
      <c r="L604" s="209" t="s">
        <v>4</v>
      </c>
      <c r="M604" s="209" t="s">
        <v>49</v>
      </c>
      <c r="N604" s="181" t="s">
        <v>10514</v>
      </c>
      <c r="O604" s="272" t="str">
        <f t="shared" si="14"/>
        <v>L3.00.00.08.01.00</v>
      </c>
      <c r="P604" s="272" t="str">
        <f t="shared" si="29"/>
        <v>L3.00.00.08.01.00.08</v>
      </c>
      <c r="Q604" s="447" t="s">
        <v>10530</v>
      </c>
      <c r="R604" s="273" t="str">
        <f t="shared" si="32"/>
        <v>Nhóm CS 01</v>
      </c>
      <c r="S604" s="274" t="str">
        <f>P603</f>
        <v>L3.00.00.08.00.00.08</v>
      </c>
      <c r="T604" s="430" t="s">
        <v>2935</v>
      </c>
      <c r="U604" s="430" t="s">
        <v>576</v>
      </c>
      <c r="V604" s="430" t="s">
        <v>2934</v>
      </c>
      <c r="W604" s="430" t="s">
        <v>2933</v>
      </c>
      <c r="X604" s="183"/>
      <c r="Y604" s="184"/>
      <c r="Z604" s="275" t="s">
        <v>11475</v>
      </c>
      <c r="AA604" s="304" t="s">
        <v>10530</v>
      </c>
      <c r="AB604" s="277"/>
      <c r="AC604" s="277"/>
      <c r="AD604" s="277"/>
    </row>
    <row r="605" ht="15.75" customHeight="1" outlineLevel="1">
      <c r="A605" s="228" t="s">
        <v>11429</v>
      </c>
      <c r="B605" s="270" t="s">
        <v>189</v>
      </c>
      <c r="C605" s="270" t="s">
        <v>27</v>
      </c>
      <c r="D605" s="209" t="s">
        <v>4</v>
      </c>
      <c r="E605" s="271" t="s">
        <v>27</v>
      </c>
      <c r="F605" s="209" t="s">
        <v>4</v>
      </c>
      <c r="G605" s="209" t="s">
        <v>49</v>
      </c>
      <c r="H605" s="212" t="s">
        <v>11473</v>
      </c>
      <c r="I605" s="209" t="s">
        <v>33</v>
      </c>
      <c r="J605" s="212" t="s">
        <v>3598</v>
      </c>
      <c r="K605" s="271" t="s">
        <v>27</v>
      </c>
      <c r="L605" s="209" t="s">
        <v>4</v>
      </c>
      <c r="M605" s="209" t="s">
        <v>49</v>
      </c>
      <c r="N605" s="181" t="s">
        <v>10514</v>
      </c>
      <c r="O605" s="272" t="str">
        <f t="shared" si="14"/>
        <v>L3.00.00.08.02.00</v>
      </c>
      <c r="P605" s="272" t="str">
        <f t="shared" si="29"/>
        <v>L3.00.00.08.02.00.08</v>
      </c>
      <c r="Q605" s="447" t="s">
        <v>10530</v>
      </c>
      <c r="R605" s="273" t="str">
        <f t="shared" si="32"/>
        <v>Nhóm CS 02</v>
      </c>
      <c r="S605" s="274" t="str">
        <f>P603</f>
        <v>L3.00.00.08.00.00.08</v>
      </c>
      <c r="T605" s="430" t="s">
        <v>3599</v>
      </c>
      <c r="U605" s="430" t="s">
        <v>576</v>
      </c>
      <c r="V605" s="430" t="s">
        <v>2934</v>
      </c>
      <c r="W605" s="430" t="s">
        <v>3598</v>
      </c>
      <c r="X605" s="183"/>
      <c r="Y605" s="183"/>
      <c r="Z605" s="275" t="s">
        <v>11476</v>
      </c>
      <c r="AA605" s="304" t="s">
        <v>10530</v>
      </c>
      <c r="AB605" s="277"/>
      <c r="AC605" s="277"/>
      <c r="AD605" s="277"/>
    </row>
    <row r="606" ht="15.75" customHeight="1" outlineLevel="1">
      <c r="A606" s="228" t="s">
        <v>11429</v>
      </c>
      <c r="B606" s="270" t="s">
        <v>189</v>
      </c>
      <c r="C606" s="270" t="s">
        <v>27</v>
      </c>
      <c r="D606" s="209" t="s">
        <v>4</v>
      </c>
      <c r="E606" s="271" t="s">
        <v>27</v>
      </c>
      <c r="F606" s="209" t="s">
        <v>4</v>
      </c>
      <c r="G606" s="182" t="s">
        <v>51</v>
      </c>
      <c r="H606" s="212" t="s">
        <v>11477</v>
      </c>
      <c r="I606" s="182" t="s">
        <v>27</v>
      </c>
      <c r="J606" s="449" t="s">
        <v>4</v>
      </c>
      <c r="K606" s="271" t="s">
        <v>27</v>
      </c>
      <c r="L606" s="209" t="s">
        <v>4</v>
      </c>
      <c r="M606" s="353" t="s">
        <v>51</v>
      </c>
      <c r="N606" s="356" t="s">
        <v>10515</v>
      </c>
      <c r="O606" s="272" t="str">
        <f t="shared" si="14"/>
        <v>L3.00.00.09.00.00</v>
      </c>
      <c r="P606" s="272" t="str">
        <f t="shared" si="29"/>
        <v>L3.00.00.09.00.00.09</v>
      </c>
      <c r="Q606" s="447" t="s">
        <v>10530</v>
      </c>
      <c r="R606" s="273" t="str">
        <f t="shared" si="32"/>
        <v>Phòng CSKH VIP 02</v>
      </c>
      <c r="S606" s="274" t="s">
        <v>11432</v>
      </c>
      <c r="T606" s="430" t="s">
        <v>3442</v>
      </c>
      <c r="U606" s="430" t="s">
        <v>576</v>
      </c>
      <c r="V606" s="430" t="s">
        <v>3299</v>
      </c>
      <c r="W606" s="430"/>
      <c r="X606" s="183"/>
      <c r="Y606" s="184"/>
      <c r="Z606" s="275" t="s">
        <v>11478</v>
      </c>
      <c r="AA606" s="304" t="s">
        <v>10530</v>
      </c>
      <c r="AB606" s="277"/>
      <c r="AC606" s="277"/>
      <c r="AD606" s="277"/>
    </row>
    <row r="607" ht="15.75" customHeight="1" outlineLevel="1">
      <c r="A607" s="228" t="s">
        <v>11429</v>
      </c>
      <c r="B607" s="270" t="s">
        <v>189</v>
      </c>
      <c r="C607" s="270" t="s">
        <v>27</v>
      </c>
      <c r="D607" s="209" t="s">
        <v>4</v>
      </c>
      <c r="E607" s="271" t="s">
        <v>27</v>
      </c>
      <c r="F607" s="209" t="s">
        <v>4</v>
      </c>
      <c r="G607" s="182" t="s">
        <v>51</v>
      </c>
      <c r="H607" s="212" t="s">
        <v>11477</v>
      </c>
      <c r="I607" s="209" t="s">
        <v>29</v>
      </c>
      <c r="J607" s="212" t="s">
        <v>11479</v>
      </c>
      <c r="K607" s="271" t="s">
        <v>27</v>
      </c>
      <c r="L607" s="209" t="s">
        <v>4</v>
      </c>
      <c r="M607" s="353" t="s">
        <v>51</v>
      </c>
      <c r="N607" s="356" t="s">
        <v>10515</v>
      </c>
      <c r="O607" s="272" t="str">
        <f t="shared" si="14"/>
        <v>L3.00.00.09.01.00</v>
      </c>
      <c r="P607" s="272" t="str">
        <f t="shared" si="29"/>
        <v>L3.00.00.09.01.00.09</v>
      </c>
      <c r="Q607" s="447" t="s">
        <v>10530</v>
      </c>
      <c r="R607" s="273" t="str">
        <f t="shared" si="32"/>
        <v>Nhóm CS03</v>
      </c>
      <c r="S607" s="274" t="str">
        <f>P606</f>
        <v>L3.00.00.09.00.00.09</v>
      </c>
      <c r="T607" s="430" t="s">
        <v>3300</v>
      </c>
      <c r="U607" s="430" t="s">
        <v>576</v>
      </c>
      <c r="V607" s="430" t="s">
        <v>3299</v>
      </c>
      <c r="W607" s="430" t="s">
        <v>3298</v>
      </c>
      <c r="X607" s="183"/>
      <c r="Y607" s="184"/>
      <c r="Z607" s="275" t="s">
        <v>11480</v>
      </c>
      <c r="AA607" s="304" t="s">
        <v>10530</v>
      </c>
      <c r="AB607" s="277"/>
      <c r="AC607" s="277"/>
      <c r="AD607" s="277"/>
    </row>
    <row r="608" ht="15.75" customHeight="1" outlineLevel="1">
      <c r="A608" s="228" t="s">
        <v>11429</v>
      </c>
      <c r="B608" s="270" t="s">
        <v>189</v>
      </c>
      <c r="C608" s="270" t="s">
        <v>27</v>
      </c>
      <c r="D608" s="209" t="s">
        <v>4</v>
      </c>
      <c r="E608" s="271" t="s">
        <v>27</v>
      </c>
      <c r="F608" s="209" t="s">
        <v>4</v>
      </c>
      <c r="G608" s="182" t="s">
        <v>51</v>
      </c>
      <c r="H608" s="212" t="s">
        <v>11477</v>
      </c>
      <c r="I608" s="209" t="s">
        <v>33</v>
      </c>
      <c r="J608" s="212" t="s">
        <v>11481</v>
      </c>
      <c r="K608" s="271" t="s">
        <v>27</v>
      </c>
      <c r="L608" s="209" t="s">
        <v>4</v>
      </c>
      <c r="M608" s="353" t="s">
        <v>51</v>
      </c>
      <c r="N608" s="356" t="s">
        <v>10515</v>
      </c>
      <c r="O608" s="272" t="str">
        <f t="shared" si="14"/>
        <v>L3.00.00.09.02.00</v>
      </c>
      <c r="P608" s="272" t="str">
        <f t="shared" si="29"/>
        <v>L3.00.00.09.02.00.09</v>
      </c>
      <c r="Q608" s="447" t="s">
        <v>10530</v>
      </c>
      <c r="R608" s="273" t="str">
        <f t="shared" si="32"/>
        <v>Nhóm CS04</v>
      </c>
      <c r="S608" s="274" t="str">
        <f>P606</f>
        <v>L3.00.00.09.00.00.09</v>
      </c>
      <c r="T608" s="430" t="s">
        <v>3448</v>
      </c>
      <c r="U608" s="430" t="s">
        <v>576</v>
      </c>
      <c r="V608" s="430" t="s">
        <v>3299</v>
      </c>
      <c r="W608" s="430" t="s">
        <v>3447</v>
      </c>
      <c r="X608" s="183"/>
      <c r="Y608" s="183"/>
      <c r="Z608" s="275" t="s">
        <v>11482</v>
      </c>
      <c r="AA608" s="304" t="s">
        <v>10530</v>
      </c>
      <c r="AB608" s="277"/>
      <c r="AC608" s="277"/>
      <c r="AD608" s="277"/>
    </row>
    <row r="609" ht="15.75" customHeight="1" outlineLevel="1">
      <c r="A609" s="228" t="s">
        <v>11429</v>
      </c>
      <c r="B609" s="270" t="s">
        <v>189</v>
      </c>
      <c r="C609" s="270" t="s">
        <v>27</v>
      </c>
      <c r="D609" s="209" t="s">
        <v>4</v>
      </c>
      <c r="E609" s="271" t="s">
        <v>27</v>
      </c>
      <c r="F609" s="209" t="s">
        <v>4</v>
      </c>
      <c r="G609" s="228">
        <v>10.0</v>
      </c>
      <c r="H609" s="212" t="s">
        <v>11483</v>
      </c>
      <c r="I609" s="271" t="s">
        <v>27</v>
      </c>
      <c r="J609" s="209" t="s">
        <v>4</v>
      </c>
      <c r="K609" s="271" t="s">
        <v>27</v>
      </c>
      <c r="L609" s="209" t="s">
        <v>4</v>
      </c>
      <c r="M609" s="182" t="s">
        <v>27</v>
      </c>
      <c r="N609" s="181"/>
      <c r="O609" s="272" t="str">
        <f t="shared" si="14"/>
        <v>L3.00.00.10.00.00</v>
      </c>
      <c r="P609" s="272" t="str">
        <f t="shared" si="29"/>
        <v>L3.00.00.10.00.00.00</v>
      </c>
      <c r="Q609" s="447" t="s">
        <v>10530</v>
      </c>
      <c r="R609" s="273" t="str">
        <f t="shared" si="32"/>
        <v>Phòng gia hạn</v>
      </c>
      <c r="S609" s="274" t="s">
        <v>11432</v>
      </c>
      <c r="T609" s="430" t="s">
        <v>8196</v>
      </c>
      <c r="U609" s="430" t="s">
        <v>576</v>
      </c>
      <c r="V609" s="430" t="s">
        <v>3257</v>
      </c>
      <c r="W609" s="430"/>
      <c r="X609" s="183"/>
      <c r="Y609" s="184"/>
      <c r="Z609" s="275" t="s">
        <v>11484</v>
      </c>
      <c r="AA609" s="304" t="s">
        <v>10530</v>
      </c>
      <c r="AB609" s="277"/>
      <c r="AC609" s="277"/>
      <c r="AD609" s="277"/>
    </row>
    <row r="610" ht="15.75" customHeight="1" outlineLevel="1">
      <c r="A610" s="228" t="s">
        <v>11429</v>
      </c>
      <c r="B610" s="270" t="s">
        <v>189</v>
      </c>
      <c r="C610" s="270" t="s">
        <v>27</v>
      </c>
      <c r="D610" s="209" t="s">
        <v>4</v>
      </c>
      <c r="E610" s="271" t="s">
        <v>27</v>
      </c>
      <c r="F610" s="209" t="s">
        <v>4</v>
      </c>
      <c r="G610" s="228">
        <v>10.0</v>
      </c>
      <c r="H610" s="212" t="s">
        <v>11483</v>
      </c>
      <c r="I610" s="182" t="s">
        <v>29</v>
      </c>
      <c r="J610" s="212" t="s">
        <v>11485</v>
      </c>
      <c r="K610" s="271" t="s">
        <v>27</v>
      </c>
      <c r="L610" s="209" t="s">
        <v>4</v>
      </c>
      <c r="M610" s="209" t="s">
        <v>49</v>
      </c>
      <c r="N610" s="181" t="s">
        <v>10514</v>
      </c>
      <c r="O610" s="272" t="str">
        <f t="shared" si="14"/>
        <v>L3.00.00.10.01.00</v>
      </c>
      <c r="P610" s="272" t="str">
        <f t="shared" si="29"/>
        <v>L3.00.00.10.01.00.08</v>
      </c>
      <c r="Q610" s="447" t="s">
        <v>10530</v>
      </c>
      <c r="R610" s="273" t="str">
        <f t="shared" si="32"/>
        <v>Nhóm gia hạn 01</v>
      </c>
      <c r="S610" s="274" t="str">
        <f>P609</f>
        <v>L3.00.00.10.00.00.00</v>
      </c>
      <c r="T610" s="430" t="s">
        <v>7513</v>
      </c>
      <c r="U610" s="430" t="s">
        <v>576</v>
      </c>
      <c r="V610" s="430" t="s">
        <v>3257</v>
      </c>
      <c r="W610" s="430" t="s">
        <v>7512</v>
      </c>
      <c r="X610" s="183"/>
      <c r="Y610" s="184"/>
      <c r="Z610" s="275" t="s">
        <v>11486</v>
      </c>
      <c r="AA610" s="304" t="s">
        <v>10530</v>
      </c>
      <c r="AB610" s="277"/>
      <c r="AC610" s="277"/>
      <c r="AD610" s="277"/>
    </row>
    <row r="611" ht="15.75" customHeight="1" outlineLevel="1">
      <c r="A611" s="228" t="s">
        <v>11429</v>
      </c>
      <c r="B611" s="270" t="s">
        <v>189</v>
      </c>
      <c r="C611" s="270" t="s">
        <v>27</v>
      </c>
      <c r="D611" s="209" t="s">
        <v>4</v>
      </c>
      <c r="E611" s="271" t="s">
        <v>27</v>
      </c>
      <c r="F611" s="209" t="s">
        <v>4</v>
      </c>
      <c r="G611" s="228">
        <v>10.0</v>
      </c>
      <c r="H611" s="212" t="s">
        <v>11483</v>
      </c>
      <c r="I611" s="182" t="s">
        <v>33</v>
      </c>
      <c r="J611" s="212" t="s">
        <v>11487</v>
      </c>
      <c r="K611" s="271" t="s">
        <v>27</v>
      </c>
      <c r="L611" s="209" t="s">
        <v>4</v>
      </c>
      <c r="M611" s="353" t="s">
        <v>51</v>
      </c>
      <c r="N611" s="356" t="s">
        <v>10515</v>
      </c>
      <c r="O611" s="272" t="str">
        <f t="shared" si="14"/>
        <v>L3.00.00.10.02.00</v>
      </c>
      <c r="P611" s="272" t="str">
        <f t="shared" si="29"/>
        <v>L3.00.00.10.02.00.09</v>
      </c>
      <c r="Q611" s="447" t="s">
        <v>10530</v>
      </c>
      <c r="R611" s="273" t="str">
        <f t="shared" si="32"/>
        <v>Nhóm gia hạn 02</v>
      </c>
      <c r="S611" s="274" t="str">
        <f>P609</f>
        <v>L3.00.00.10.00.00.00</v>
      </c>
      <c r="T611" s="430" t="s">
        <v>3258</v>
      </c>
      <c r="U611" s="430" t="s">
        <v>576</v>
      </c>
      <c r="V611" s="430" t="s">
        <v>3257</v>
      </c>
      <c r="W611" s="430" t="s">
        <v>3256</v>
      </c>
      <c r="X611" s="183"/>
      <c r="Y611" s="184"/>
      <c r="Z611" s="275" t="s">
        <v>11488</v>
      </c>
      <c r="AA611" s="304" t="s">
        <v>10530</v>
      </c>
      <c r="AB611" s="277"/>
      <c r="AC611" s="277"/>
      <c r="AD611" s="277"/>
    </row>
    <row r="612" ht="15.75" customHeight="1" outlineLevel="1">
      <c r="A612" s="196" t="s">
        <v>11429</v>
      </c>
      <c r="B612" s="197" t="s">
        <v>189</v>
      </c>
      <c r="C612" s="197" t="s">
        <v>27</v>
      </c>
      <c r="D612" s="198" t="s">
        <v>4</v>
      </c>
      <c r="E612" s="199" t="s">
        <v>27</v>
      </c>
      <c r="F612" s="198" t="s">
        <v>4</v>
      </c>
      <c r="G612" s="198" t="s">
        <v>35</v>
      </c>
      <c r="H612" s="469" t="s">
        <v>11489</v>
      </c>
      <c r="I612" s="199" t="s">
        <v>27</v>
      </c>
      <c r="J612" s="470" t="s">
        <v>4</v>
      </c>
      <c r="K612" s="471" t="s">
        <v>27</v>
      </c>
      <c r="L612" s="470" t="s">
        <v>4</v>
      </c>
      <c r="M612" s="470" t="s">
        <v>49</v>
      </c>
      <c r="N612" s="472" t="s">
        <v>10514</v>
      </c>
      <c r="O612" s="201" t="str">
        <f t="shared" si="14"/>
        <v>L3.00.00.03.00.00</v>
      </c>
      <c r="P612" s="201"/>
      <c r="Q612" s="204"/>
      <c r="R612" s="204" t="str">
        <f t="shared" si="32"/>
        <v>Phòng hỗ trợ giải pháp TCKT DN (bò)</v>
      </c>
      <c r="S612" s="473" t="s">
        <v>11490</v>
      </c>
      <c r="T612" s="205"/>
      <c r="U612" s="205"/>
      <c r="V612" s="205"/>
      <c r="W612" s="205"/>
      <c r="X612" s="205"/>
      <c r="Y612" s="202"/>
      <c r="Z612" s="474"/>
      <c r="AA612" s="475"/>
      <c r="AB612" s="208"/>
      <c r="AC612" s="208"/>
      <c r="AD612" s="208"/>
    </row>
    <row r="613" ht="15.75" customHeight="1" outlineLevel="1">
      <c r="A613" s="196" t="s">
        <v>11429</v>
      </c>
      <c r="B613" s="197" t="s">
        <v>189</v>
      </c>
      <c r="C613" s="197" t="s">
        <v>27</v>
      </c>
      <c r="D613" s="198" t="s">
        <v>4</v>
      </c>
      <c r="E613" s="199" t="s">
        <v>27</v>
      </c>
      <c r="F613" s="198" t="s">
        <v>4</v>
      </c>
      <c r="G613" s="198" t="s">
        <v>37</v>
      </c>
      <c r="H613" s="469" t="s">
        <v>11491</v>
      </c>
      <c r="I613" s="476" t="s">
        <v>27</v>
      </c>
      <c r="J613" s="477" t="s">
        <v>4</v>
      </c>
      <c r="K613" s="471" t="s">
        <v>27</v>
      </c>
      <c r="L613" s="470" t="s">
        <v>4</v>
      </c>
      <c r="M613" s="470" t="s">
        <v>49</v>
      </c>
      <c r="N613" s="472" t="s">
        <v>10514</v>
      </c>
      <c r="O613" s="201" t="str">
        <f t="shared" si="14"/>
        <v>L3.00.00.04.00.00</v>
      </c>
      <c r="P613" s="201"/>
      <c r="Q613" s="204"/>
      <c r="R613" s="204" t="str">
        <f t="shared" si="32"/>
        <v>Phòng hỗ trợ giải pháp quản trị DN (bò)</v>
      </c>
      <c r="S613" s="473" t="s">
        <v>11492</v>
      </c>
      <c r="T613" s="205"/>
      <c r="U613" s="205"/>
      <c r="V613" s="205"/>
      <c r="W613" s="205"/>
      <c r="X613" s="205"/>
      <c r="Y613" s="202"/>
      <c r="Z613" s="474"/>
      <c r="AA613" s="475"/>
      <c r="AB613" s="208"/>
      <c r="AC613" s="208"/>
      <c r="AD613" s="208"/>
    </row>
    <row r="614" ht="15.75" customHeight="1" outlineLevel="1">
      <c r="A614" s="196" t="s">
        <v>11429</v>
      </c>
      <c r="B614" s="197" t="s">
        <v>189</v>
      </c>
      <c r="C614" s="197" t="s">
        <v>27</v>
      </c>
      <c r="D614" s="198" t="s">
        <v>4</v>
      </c>
      <c r="E614" s="199" t="s">
        <v>27</v>
      </c>
      <c r="F614" s="198" t="s">
        <v>4</v>
      </c>
      <c r="G614" s="198" t="s">
        <v>37</v>
      </c>
      <c r="H614" s="469" t="s">
        <v>11491</v>
      </c>
      <c r="I614" s="198" t="s">
        <v>29</v>
      </c>
      <c r="J614" s="472" t="s">
        <v>193</v>
      </c>
      <c r="K614" s="471" t="s">
        <v>27</v>
      </c>
      <c r="L614" s="470" t="s">
        <v>4</v>
      </c>
      <c r="M614" s="470" t="s">
        <v>49</v>
      </c>
      <c r="N614" s="472" t="s">
        <v>10514</v>
      </c>
      <c r="O614" s="201" t="str">
        <f t="shared" si="14"/>
        <v>L3.00.00.04.01.00</v>
      </c>
      <c r="P614" s="201"/>
      <c r="Q614" s="204"/>
      <c r="R614" s="204" t="str">
        <f t="shared" si="32"/>
        <v>Nhóm hỗ trợ giải pháp Bán hàng</v>
      </c>
      <c r="S614" s="478" t="s">
        <v>11493</v>
      </c>
      <c r="T614" s="205"/>
      <c r="U614" s="205"/>
      <c r="V614" s="205"/>
      <c r="W614" s="205"/>
      <c r="X614" s="205"/>
      <c r="Y614" s="202"/>
      <c r="Z614" s="474"/>
      <c r="AA614" s="475"/>
      <c r="AB614" s="208"/>
      <c r="AC614" s="208"/>
      <c r="AD614" s="208"/>
    </row>
    <row r="615" ht="15.75" customHeight="1" outlineLevel="1">
      <c r="A615" s="196" t="s">
        <v>11429</v>
      </c>
      <c r="B615" s="197" t="s">
        <v>189</v>
      </c>
      <c r="C615" s="197" t="s">
        <v>27</v>
      </c>
      <c r="D615" s="198" t="s">
        <v>4</v>
      </c>
      <c r="E615" s="199" t="s">
        <v>27</v>
      </c>
      <c r="F615" s="198" t="s">
        <v>4</v>
      </c>
      <c r="G615" s="198" t="s">
        <v>37</v>
      </c>
      <c r="H615" s="469" t="s">
        <v>11491</v>
      </c>
      <c r="I615" s="198" t="s">
        <v>33</v>
      </c>
      <c r="J615" s="479" t="s">
        <v>194</v>
      </c>
      <c r="K615" s="471" t="s">
        <v>27</v>
      </c>
      <c r="L615" s="470" t="s">
        <v>4</v>
      </c>
      <c r="M615" s="470" t="s">
        <v>49</v>
      </c>
      <c r="N615" s="472" t="s">
        <v>10514</v>
      </c>
      <c r="O615" s="201" t="str">
        <f t="shared" si="14"/>
        <v>L3.00.00.04.02.00</v>
      </c>
      <c r="P615" s="201"/>
      <c r="Q615" s="204"/>
      <c r="R615" s="204" t="str">
        <f t="shared" si="32"/>
        <v>Nhóm hỗ trợ giải pháp Nhân sự</v>
      </c>
      <c r="S615" s="478" t="s">
        <v>11494</v>
      </c>
      <c r="T615" s="205"/>
      <c r="U615" s="205"/>
      <c r="V615" s="205"/>
      <c r="W615" s="205"/>
      <c r="X615" s="205"/>
      <c r="Y615" s="202"/>
      <c r="Z615" s="474"/>
      <c r="AA615" s="475"/>
      <c r="AB615" s="208"/>
      <c r="AC615" s="208"/>
      <c r="AD615" s="208"/>
    </row>
    <row r="616" ht="15.75" customHeight="1" outlineLevel="1">
      <c r="A616" s="196" t="s">
        <v>11429</v>
      </c>
      <c r="B616" s="197" t="s">
        <v>189</v>
      </c>
      <c r="C616" s="197" t="s">
        <v>27</v>
      </c>
      <c r="D616" s="198" t="s">
        <v>4</v>
      </c>
      <c r="E616" s="199" t="s">
        <v>27</v>
      </c>
      <c r="F616" s="198" t="s">
        <v>4</v>
      </c>
      <c r="G616" s="198" t="s">
        <v>37</v>
      </c>
      <c r="H616" s="469" t="s">
        <v>11491</v>
      </c>
      <c r="I616" s="198" t="s">
        <v>35</v>
      </c>
      <c r="J616" s="479" t="s">
        <v>195</v>
      </c>
      <c r="K616" s="471" t="s">
        <v>27</v>
      </c>
      <c r="L616" s="470" t="s">
        <v>4</v>
      </c>
      <c r="M616" s="470" t="s">
        <v>49</v>
      </c>
      <c r="N616" s="472" t="s">
        <v>10514</v>
      </c>
      <c r="O616" s="201" t="str">
        <f t="shared" si="14"/>
        <v>L3.00.00.04.03.00</v>
      </c>
      <c r="P616" s="201"/>
      <c r="Q616" s="204"/>
      <c r="R616" s="204" t="str">
        <f t="shared" si="32"/>
        <v>Nhóm hỗ trợ giải pháp Văn phòng số</v>
      </c>
      <c r="S616" s="478" t="s">
        <v>11495</v>
      </c>
      <c r="T616" s="205"/>
      <c r="U616" s="205"/>
      <c r="V616" s="205"/>
      <c r="W616" s="205"/>
      <c r="X616" s="205"/>
      <c r="Y616" s="202"/>
      <c r="Z616" s="474"/>
      <c r="AA616" s="475"/>
      <c r="AB616" s="208"/>
      <c r="AC616" s="208"/>
      <c r="AD616" s="208"/>
    </row>
    <row r="617" ht="15.75" customHeight="1" outlineLevel="1">
      <c r="A617" s="196" t="s">
        <v>11429</v>
      </c>
      <c r="B617" s="197" t="s">
        <v>189</v>
      </c>
      <c r="C617" s="197" t="s">
        <v>27</v>
      </c>
      <c r="D617" s="198" t="s">
        <v>4</v>
      </c>
      <c r="E617" s="199" t="s">
        <v>27</v>
      </c>
      <c r="F617" s="198" t="s">
        <v>4</v>
      </c>
      <c r="G617" s="198" t="s">
        <v>42</v>
      </c>
      <c r="H617" s="469" t="s">
        <v>11496</v>
      </c>
      <c r="I617" s="199" t="s">
        <v>27</v>
      </c>
      <c r="J617" s="470" t="s">
        <v>4</v>
      </c>
      <c r="K617" s="471" t="s">
        <v>27</v>
      </c>
      <c r="L617" s="470" t="s">
        <v>4</v>
      </c>
      <c r="M617" s="470" t="s">
        <v>49</v>
      </c>
      <c r="N617" s="472" t="s">
        <v>10514</v>
      </c>
      <c r="O617" s="201" t="str">
        <f t="shared" si="14"/>
        <v>L3.00.00.05.00.00</v>
      </c>
      <c r="P617" s="201"/>
      <c r="Q617" s="204"/>
      <c r="R617" s="204" t="str">
        <f t="shared" si="32"/>
        <v>Phòng hỗ trợ giải pháp Bán lẻ (bò)</v>
      </c>
      <c r="S617" s="478" t="s">
        <v>11497</v>
      </c>
      <c r="T617" s="205"/>
      <c r="U617" s="205"/>
      <c r="V617" s="205"/>
      <c r="W617" s="205"/>
      <c r="X617" s="205"/>
      <c r="Y617" s="202"/>
      <c r="Z617" s="474"/>
      <c r="AA617" s="475"/>
      <c r="AB617" s="208"/>
      <c r="AC617" s="208"/>
      <c r="AD617" s="208"/>
    </row>
    <row r="618" ht="15.75" customHeight="1" outlineLevel="1">
      <c r="A618" s="196" t="s">
        <v>11429</v>
      </c>
      <c r="B618" s="197" t="s">
        <v>189</v>
      </c>
      <c r="C618" s="197" t="s">
        <v>27</v>
      </c>
      <c r="D618" s="198" t="s">
        <v>4</v>
      </c>
      <c r="E618" s="199" t="s">
        <v>27</v>
      </c>
      <c r="F618" s="198" t="s">
        <v>4</v>
      </c>
      <c r="G618" s="198" t="s">
        <v>44</v>
      </c>
      <c r="H618" s="469" t="s">
        <v>11498</v>
      </c>
      <c r="I618" s="476" t="s">
        <v>27</v>
      </c>
      <c r="J618" s="477" t="s">
        <v>4</v>
      </c>
      <c r="K618" s="471" t="s">
        <v>27</v>
      </c>
      <c r="L618" s="470" t="s">
        <v>4</v>
      </c>
      <c r="M618" s="470" t="s">
        <v>49</v>
      </c>
      <c r="N618" s="472" t="s">
        <v>10514</v>
      </c>
      <c r="O618" s="201" t="str">
        <f t="shared" si="14"/>
        <v>L3.00.00.06.00.00</v>
      </c>
      <c r="P618" s="201"/>
      <c r="Q618" s="204"/>
      <c r="R618" s="204" t="s">
        <v>198</v>
      </c>
      <c r="S618" s="478" t="s">
        <v>11499</v>
      </c>
      <c r="T618" s="205"/>
      <c r="U618" s="205"/>
      <c r="V618" s="205"/>
      <c r="W618" s="205"/>
      <c r="X618" s="205"/>
      <c r="Y618" s="202"/>
      <c r="Z618" s="474"/>
      <c r="AA618" s="475"/>
      <c r="AB618" s="208"/>
      <c r="AC618" s="208"/>
      <c r="AD618" s="208"/>
    </row>
    <row r="619" ht="15.75" customHeight="1" outlineLevel="1">
      <c r="A619" s="196" t="s">
        <v>11429</v>
      </c>
      <c r="B619" s="197" t="s">
        <v>189</v>
      </c>
      <c r="C619" s="197" t="s">
        <v>27</v>
      </c>
      <c r="D619" s="198" t="s">
        <v>4</v>
      </c>
      <c r="E619" s="199" t="s">
        <v>27</v>
      </c>
      <c r="F619" s="198" t="s">
        <v>4</v>
      </c>
      <c r="G619" s="198" t="s">
        <v>44</v>
      </c>
      <c r="H619" s="469" t="s">
        <v>11498</v>
      </c>
      <c r="I619" s="198" t="s">
        <v>29</v>
      </c>
      <c r="J619" s="472" t="s">
        <v>198</v>
      </c>
      <c r="K619" s="471" t="s">
        <v>27</v>
      </c>
      <c r="L619" s="470" t="s">
        <v>4</v>
      </c>
      <c r="M619" s="470" t="s">
        <v>49</v>
      </c>
      <c r="N619" s="472" t="s">
        <v>10514</v>
      </c>
      <c r="O619" s="201" t="str">
        <f t="shared" si="14"/>
        <v>L3.00.00.06.01.00</v>
      </c>
      <c r="P619" s="201"/>
      <c r="Q619" s="204"/>
      <c r="R619" s="204" t="str">
        <f t="shared" ref="R619:R621" si="33">if(L619&lt;&gt;"-",L619,if(AND(L619="-",J619&lt;&gt;"-"),J619,if(AND(J619="-",H619&lt;&gt;"-"),H619,"NA")))</f>
        <v>Nhóm hỗ trợ giải pháp TCKT HCSN</v>
      </c>
      <c r="S619" s="478" t="s">
        <v>11500</v>
      </c>
      <c r="T619" s="205"/>
      <c r="U619" s="205"/>
      <c r="V619" s="205"/>
      <c r="W619" s="205"/>
      <c r="X619" s="205"/>
      <c r="Y619" s="202"/>
      <c r="Z619" s="474"/>
      <c r="AA619" s="475"/>
      <c r="AB619" s="208"/>
      <c r="AC619" s="208"/>
      <c r="AD619" s="208"/>
    </row>
    <row r="620" ht="15.75" customHeight="1" outlineLevel="1">
      <c r="A620" s="196" t="s">
        <v>11429</v>
      </c>
      <c r="B620" s="197" t="s">
        <v>189</v>
      </c>
      <c r="C620" s="197" t="s">
        <v>27</v>
      </c>
      <c r="D620" s="198" t="s">
        <v>4</v>
      </c>
      <c r="E620" s="199" t="s">
        <v>27</v>
      </c>
      <c r="F620" s="198" t="s">
        <v>4</v>
      </c>
      <c r="G620" s="198" t="s">
        <v>44</v>
      </c>
      <c r="H620" s="469" t="s">
        <v>11498</v>
      </c>
      <c r="I620" s="198" t="s">
        <v>33</v>
      </c>
      <c r="J620" s="472" t="s">
        <v>199</v>
      </c>
      <c r="K620" s="471" t="s">
        <v>27</v>
      </c>
      <c r="L620" s="470" t="s">
        <v>4</v>
      </c>
      <c r="M620" s="470" t="s">
        <v>49</v>
      </c>
      <c r="N620" s="472" t="s">
        <v>10514</v>
      </c>
      <c r="O620" s="201" t="str">
        <f t="shared" si="14"/>
        <v>L3.00.00.06.02.00</v>
      </c>
      <c r="P620" s="201"/>
      <c r="Q620" s="204"/>
      <c r="R620" s="204" t="str">
        <f t="shared" si="33"/>
        <v>Nhóm hỗ trợ giải pháp điều hành HCSN</v>
      </c>
      <c r="S620" s="478" t="s">
        <v>11501</v>
      </c>
      <c r="T620" s="205"/>
      <c r="U620" s="205"/>
      <c r="V620" s="205"/>
      <c r="W620" s="205"/>
      <c r="X620" s="205"/>
      <c r="Y620" s="202"/>
      <c r="Z620" s="474"/>
      <c r="AA620" s="475"/>
      <c r="AB620" s="208"/>
      <c r="AC620" s="208"/>
      <c r="AD620" s="208"/>
    </row>
    <row r="621" ht="15.75" customHeight="1" outlineLevel="1">
      <c r="A621" s="196" t="s">
        <v>11429</v>
      </c>
      <c r="B621" s="197" t="s">
        <v>189</v>
      </c>
      <c r="C621" s="197" t="s">
        <v>27</v>
      </c>
      <c r="D621" s="198" t="s">
        <v>4</v>
      </c>
      <c r="E621" s="199" t="s">
        <v>27</v>
      </c>
      <c r="F621" s="198" t="s">
        <v>4</v>
      </c>
      <c r="G621" s="198" t="s">
        <v>46</v>
      </c>
      <c r="H621" s="469" t="s">
        <v>11502</v>
      </c>
      <c r="I621" s="199" t="s">
        <v>27</v>
      </c>
      <c r="J621" s="470" t="s">
        <v>4</v>
      </c>
      <c r="K621" s="471" t="s">
        <v>27</v>
      </c>
      <c r="L621" s="470" t="s">
        <v>4</v>
      </c>
      <c r="M621" s="470" t="s">
        <v>49</v>
      </c>
      <c r="N621" s="472" t="s">
        <v>10514</v>
      </c>
      <c r="O621" s="201" t="str">
        <f t="shared" si="14"/>
        <v>L3.00.00.07.00.00</v>
      </c>
      <c r="P621" s="201"/>
      <c r="Q621" s="204"/>
      <c r="R621" s="204" t="str">
        <f t="shared" si="33"/>
        <v>Phòng hỗ trợ chủ động (bò)</v>
      </c>
      <c r="S621" s="478" t="s">
        <v>11503</v>
      </c>
      <c r="T621" s="205"/>
      <c r="U621" s="205"/>
      <c r="V621" s="205"/>
      <c r="W621" s="205"/>
      <c r="X621" s="205"/>
      <c r="Y621" s="202"/>
      <c r="Z621" s="474"/>
      <c r="AA621" s="475"/>
      <c r="AB621" s="208"/>
      <c r="AC621" s="208"/>
      <c r="AD621" s="208"/>
    </row>
    <row r="622" ht="15.75" customHeight="1" outlineLevel="1">
      <c r="A622" s="196" t="s">
        <v>11429</v>
      </c>
      <c r="B622" s="197" t="s">
        <v>189</v>
      </c>
      <c r="C622" s="197" t="s">
        <v>27</v>
      </c>
      <c r="D622" s="198" t="s">
        <v>4</v>
      </c>
      <c r="E622" s="199" t="s">
        <v>27</v>
      </c>
      <c r="F622" s="198" t="s">
        <v>4</v>
      </c>
      <c r="G622" s="198" t="s">
        <v>49</v>
      </c>
      <c r="H622" s="469" t="s">
        <v>11504</v>
      </c>
      <c r="I622" s="476" t="s">
        <v>27</v>
      </c>
      <c r="J622" s="477" t="s">
        <v>4</v>
      </c>
      <c r="K622" s="471" t="s">
        <v>27</v>
      </c>
      <c r="L622" s="470" t="s">
        <v>4</v>
      </c>
      <c r="M622" s="470" t="s">
        <v>49</v>
      </c>
      <c r="N622" s="472" t="s">
        <v>10514</v>
      </c>
      <c r="O622" s="201" t="str">
        <f t="shared" si="14"/>
        <v>L3.00.00.08.00.00</v>
      </c>
      <c r="P622" s="201"/>
      <c r="Q622" s="204"/>
      <c r="R622" s="204" t="s">
        <v>202</v>
      </c>
      <c r="S622" s="478" t="s">
        <v>11505</v>
      </c>
      <c r="T622" s="205"/>
      <c r="U622" s="205"/>
      <c r="V622" s="205"/>
      <c r="W622" s="205"/>
      <c r="X622" s="205"/>
      <c r="Y622" s="202"/>
      <c r="Z622" s="474"/>
      <c r="AA622" s="475"/>
      <c r="AB622" s="208"/>
      <c r="AC622" s="208"/>
      <c r="AD622" s="208"/>
    </row>
    <row r="623" ht="15.75" customHeight="1" outlineLevel="1">
      <c r="A623" s="196" t="s">
        <v>11429</v>
      </c>
      <c r="B623" s="197" t="s">
        <v>189</v>
      </c>
      <c r="C623" s="197" t="s">
        <v>27</v>
      </c>
      <c r="D623" s="198" t="s">
        <v>4</v>
      </c>
      <c r="E623" s="199" t="s">
        <v>27</v>
      </c>
      <c r="F623" s="198" t="s">
        <v>4</v>
      </c>
      <c r="G623" s="198" t="s">
        <v>49</v>
      </c>
      <c r="H623" s="469" t="s">
        <v>11504</v>
      </c>
      <c r="I623" s="198" t="s">
        <v>29</v>
      </c>
      <c r="J623" s="472" t="s">
        <v>202</v>
      </c>
      <c r="K623" s="471" t="s">
        <v>27</v>
      </c>
      <c r="L623" s="470" t="s">
        <v>4</v>
      </c>
      <c r="M623" s="470" t="s">
        <v>49</v>
      </c>
      <c r="N623" s="472" t="s">
        <v>10514</v>
      </c>
      <c r="O623" s="201" t="str">
        <f t="shared" si="14"/>
        <v>L3.00.00.08.01.00</v>
      </c>
      <c r="P623" s="201"/>
      <c r="Q623" s="204"/>
      <c r="R623" s="204" t="str">
        <f t="shared" ref="R623:R626" si="34">if(L623&lt;&gt;"-",L623,if(AND(L623="-",J623&lt;&gt;"-"),J623,if(AND(J623="-",H623&lt;&gt;"-"),H623,"NA")))</f>
        <v>Nhóm CS 01 - KH Gold, Silver</v>
      </c>
      <c r="S623" s="478" t="s">
        <v>11506</v>
      </c>
      <c r="T623" s="205"/>
      <c r="U623" s="205"/>
      <c r="V623" s="205"/>
      <c r="W623" s="205"/>
      <c r="X623" s="205"/>
      <c r="Y623" s="202"/>
      <c r="Z623" s="474"/>
      <c r="AA623" s="475"/>
      <c r="AB623" s="208"/>
      <c r="AC623" s="208"/>
      <c r="AD623" s="208"/>
    </row>
    <row r="624" ht="15.75" customHeight="1" outlineLevel="1">
      <c r="A624" s="196" t="s">
        <v>11429</v>
      </c>
      <c r="B624" s="197" t="s">
        <v>189</v>
      </c>
      <c r="C624" s="197" t="s">
        <v>27</v>
      </c>
      <c r="D624" s="198" t="s">
        <v>4</v>
      </c>
      <c r="E624" s="199" t="s">
        <v>27</v>
      </c>
      <c r="F624" s="198" t="s">
        <v>4</v>
      </c>
      <c r="G624" s="198" t="s">
        <v>49</v>
      </c>
      <c r="H624" s="469" t="s">
        <v>11504</v>
      </c>
      <c r="I624" s="198" t="s">
        <v>33</v>
      </c>
      <c r="J624" s="472" t="s">
        <v>203</v>
      </c>
      <c r="K624" s="471" t="s">
        <v>27</v>
      </c>
      <c r="L624" s="470" t="s">
        <v>4</v>
      </c>
      <c r="M624" s="470" t="s">
        <v>49</v>
      </c>
      <c r="N624" s="472" t="s">
        <v>10514</v>
      </c>
      <c r="O624" s="201" t="str">
        <f t="shared" si="14"/>
        <v>L3.00.00.08.02.00</v>
      </c>
      <c r="P624" s="201"/>
      <c r="Q624" s="204"/>
      <c r="R624" s="204" t="str">
        <f t="shared" si="34"/>
        <v>Nhóm CS 02 - KH Bronze</v>
      </c>
      <c r="S624" s="478" t="s">
        <v>11507</v>
      </c>
      <c r="T624" s="480"/>
      <c r="U624" s="480"/>
      <c r="V624" s="480"/>
      <c r="W624" s="205"/>
      <c r="X624" s="205"/>
      <c r="Y624" s="202"/>
      <c r="Z624" s="474"/>
      <c r="AA624" s="475"/>
      <c r="AB624" s="208"/>
      <c r="AC624" s="208"/>
      <c r="AD624" s="208"/>
    </row>
    <row r="625" ht="15.75" customHeight="1" outlineLevel="1">
      <c r="A625" s="196" t="s">
        <v>11429</v>
      </c>
      <c r="B625" s="197" t="s">
        <v>189</v>
      </c>
      <c r="C625" s="197" t="s">
        <v>27</v>
      </c>
      <c r="D625" s="198" t="s">
        <v>4</v>
      </c>
      <c r="E625" s="199" t="s">
        <v>27</v>
      </c>
      <c r="F625" s="198" t="s">
        <v>4</v>
      </c>
      <c r="G625" s="198" t="s">
        <v>51</v>
      </c>
      <c r="H625" s="469" t="s">
        <v>11508</v>
      </c>
      <c r="I625" s="199" t="s">
        <v>27</v>
      </c>
      <c r="J625" s="470" t="s">
        <v>4</v>
      </c>
      <c r="K625" s="471" t="s">
        <v>27</v>
      </c>
      <c r="L625" s="470" t="s">
        <v>4</v>
      </c>
      <c r="M625" s="470" t="s">
        <v>49</v>
      </c>
      <c r="N625" s="472" t="s">
        <v>10514</v>
      </c>
      <c r="O625" s="201" t="str">
        <f t="shared" si="14"/>
        <v>L3.00.00.09.00.00</v>
      </c>
      <c r="P625" s="201"/>
      <c r="Q625" s="204"/>
      <c r="R625" s="204" t="str">
        <f t="shared" si="34"/>
        <v>Nhóm gia hạn (bò)</v>
      </c>
      <c r="S625" s="478" t="s">
        <v>11509</v>
      </c>
      <c r="T625" s="205"/>
      <c r="U625" s="205"/>
      <c r="V625" s="205"/>
      <c r="W625" s="205"/>
      <c r="X625" s="205"/>
      <c r="Y625" s="202"/>
      <c r="Z625" s="474"/>
      <c r="AA625" s="475"/>
      <c r="AB625" s="208"/>
      <c r="AC625" s="208"/>
      <c r="AD625" s="208"/>
    </row>
    <row r="626" ht="15.75" customHeight="1" outlineLevel="1">
      <c r="A626" s="196" t="s">
        <v>11429</v>
      </c>
      <c r="B626" s="197" t="s">
        <v>189</v>
      </c>
      <c r="C626" s="197" t="s">
        <v>27</v>
      </c>
      <c r="D626" s="198" t="s">
        <v>4</v>
      </c>
      <c r="E626" s="199" t="s">
        <v>27</v>
      </c>
      <c r="F626" s="198" t="s">
        <v>4</v>
      </c>
      <c r="G626" s="198" t="s">
        <v>35</v>
      </c>
      <c r="H626" s="469" t="s">
        <v>11489</v>
      </c>
      <c r="I626" s="199" t="s">
        <v>27</v>
      </c>
      <c r="J626" s="470" t="s">
        <v>4</v>
      </c>
      <c r="K626" s="471" t="s">
        <v>27</v>
      </c>
      <c r="L626" s="470" t="s">
        <v>4</v>
      </c>
      <c r="M626" s="470" t="s">
        <v>51</v>
      </c>
      <c r="N626" s="472" t="s">
        <v>10515</v>
      </c>
      <c r="O626" s="201" t="str">
        <f t="shared" si="14"/>
        <v>L3.00.00.03.00.00</v>
      </c>
      <c r="P626" s="201"/>
      <c r="Q626" s="204"/>
      <c r="R626" s="204" t="str">
        <f t="shared" si="34"/>
        <v>Phòng hỗ trợ giải pháp TCKT DN (bò)</v>
      </c>
      <c r="S626" s="478" t="s">
        <v>11490</v>
      </c>
      <c r="T626" s="205"/>
      <c r="U626" s="205"/>
      <c r="V626" s="205"/>
      <c r="W626" s="205"/>
      <c r="X626" s="205"/>
      <c r="Y626" s="202"/>
      <c r="Z626" s="474"/>
      <c r="AA626" s="475"/>
      <c r="AB626" s="208"/>
      <c r="AC626" s="208"/>
      <c r="AD626" s="208"/>
    </row>
    <row r="627" ht="15.75" customHeight="1" outlineLevel="1">
      <c r="A627" s="196" t="s">
        <v>11429</v>
      </c>
      <c r="B627" s="197" t="s">
        <v>189</v>
      </c>
      <c r="C627" s="197" t="s">
        <v>27</v>
      </c>
      <c r="D627" s="198" t="s">
        <v>4</v>
      </c>
      <c r="E627" s="199" t="s">
        <v>27</v>
      </c>
      <c r="F627" s="198" t="s">
        <v>4</v>
      </c>
      <c r="G627" s="198" t="s">
        <v>37</v>
      </c>
      <c r="H627" s="469" t="s">
        <v>11491</v>
      </c>
      <c r="I627" s="476" t="s">
        <v>27</v>
      </c>
      <c r="J627" s="477" t="s">
        <v>4</v>
      </c>
      <c r="K627" s="471" t="s">
        <v>27</v>
      </c>
      <c r="L627" s="470" t="s">
        <v>4</v>
      </c>
      <c r="M627" s="470" t="s">
        <v>51</v>
      </c>
      <c r="N627" s="472" t="s">
        <v>10515</v>
      </c>
      <c r="O627" s="201" t="str">
        <f t="shared" si="14"/>
        <v>L3.00.00.04.00.00</v>
      </c>
      <c r="P627" s="201"/>
      <c r="Q627" s="204"/>
      <c r="R627" s="204" t="s">
        <v>193</v>
      </c>
      <c r="S627" s="478" t="s">
        <v>11492</v>
      </c>
      <c r="T627" s="205"/>
      <c r="U627" s="205"/>
      <c r="V627" s="205"/>
      <c r="W627" s="205"/>
      <c r="X627" s="205"/>
      <c r="Y627" s="202"/>
      <c r="Z627" s="474"/>
      <c r="AA627" s="475"/>
      <c r="AB627" s="208"/>
      <c r="AC627" s="208"/>
      <c r="AD627" s="208"/>
    </row>
    <row r="628" ht="15.75" customHeight="1" outlineLevel="1">
      <c r="A628" s="196" t="s">
        <v>11429</v>
      </c>
      <c r="B628" s="197" t="s">
        <v>189</v>
      </c>
      <c r="C628" s="197" t="s">
        <v>27</v>
      </c>
      <c r="D628" s="198" t="s">
        <v>4</v>
      </c>
      <c r="E628" s="199" t="s">
        <v>27</v>
      </c>
      <c r="F628" s="198" t="s">
        <v>4</v>
      </c>
      <c r="G628" s="198" t="s">
        <v>37</v>
      </c>
      <c r="H628" s="469" t="s">
        <v>11491</v>
      </c>
      <c r="I628" s="198" t="s">
        <v>29</v>
      </c>
      <c r="J628" s="472" t="s">
        <v>193</v>
      </c>
      <c r="K628" s="471" t="s">
        <v>27</v>
      </c>
      <c r="L628" s="470" t="s">
        <v>4</v>
      </c>
      <c r="M628" s="470" t="s">
        <v>51</v>
      </c>
      <c r="N628" s="472" t="s">
        <v>10515</v>
      </c>
      <c r="O628" s="201" t="str">
        <f t="shared" si="14"/>
        <v>L3.00.00.04.01.00</v>
      </c>
      <c r="P628" s="201"/>
      <c r="Q628" s="204"/>
      <c r="R628" s="204" t="str">
        <f t="shared" ref="R628:R640" si="35">if(L628&lt;&gt;"-",L628,if(AND(L628="-",J628&lt;&gt;"-"),J628,if(AND(J628="-",H628&lt;&gt;"-"),H628,"NA")))</f>
        <v>Nhóm hỗ trợ giải pháp Bán hàng</v>
      </c>
      <c r="S628" s="478" t="s">
        <v>11493</v>
      </c>
      <c r="T628" s="205"/>
      <c r="U628" s="205"/>
      <c r="V628" s="205"/>
      <c r="W628" s="205"/>
      <c r="X628" s="205"/>
      <c r="Y628" s="202"/>
      <c r="Z628" s="474"/>
      <c r="AA628" s="475"/>
      <c r="AB628" s="208"/>
      <c r="AC628" s="208"/>
      <c r="AD628" s="208"/>
    </row>
    <row r="629" ht="15.75" customHeight="1" outlineLevel="1">
      <c r="A629" s="196" t="s">
        <v>11429</v>
      </c>
      <c r="B629" s="197" t="s">
        <v>189</v>
      </c>
      <c r="C629" s="197" t="s">
        <v>27</v>
      </c>
      <c r="D629" s="198" t="s">
        <v>4</v>
      </c>
      <c r="E629" s="199" t="s">
        <v>27</v>
      </c>
      <c r="F629" s="198" t="s">
        <v>4</v>
      </c>
      <c r="G629" s="198" t="s">
        <v>37</v>
      </c>
      <c r="H629" s="469" t="s">
        <v>11491</v>
      </c>
      <c r="I629" s="198" t="s">
        <v>33</v>
      </c>
      <c r="J629" s="479" t="s">
        <v>194</v>
      </c>
      <c r="K629" s="471" t="s">
        <v>27</v>
      </c>
      <c r="L629" s="470" t="s">
        <v>4</v>
      </c>
      <c r="M629" s="470" t="s">
        <v>51</v>
      </c>
      <c r="N629" s="472" t="s">
        <v>10515</v>
      </c>
      <c r="O629" s="201" t="str">
        <f t="shared" si="14"/>
        <v>L3.00.00.04.02.00</v>
      </c>
      <c r="P629" s="201"/>
      <c r="Q629" s="204"/>
      <c r="R629" s="204" t="str">
        <f t="shared" si="35"/>
        <v>Nhóm hỗ trợ giải pháp Nhân sự</v>
      </c>
      <c r="S629" s="478" t="s">
        <v>11494</v>
      </c>
      <c r="T629" s="205"/>
      <c r="U629" s="205"/>
      <c r="V629" s="205"/>
      <c r="W629" s="205"/>
      <c r="X629" s="205"/>
      <c r="Y629" s="202"/>
      <c r="Z629" s="474"/>
      <c r="AA629" s="475"/>
      <c r="AB629" s="208"/>
      <c r="AC629" s="208"/>
      <c r="AD629" s="208"/>
    </row>
    <row r="630" ht="15.75" customHeight="1" outlineLevel="1">
      <c r="A630" s="196" t="s">
        <v>11429</v>
      </c>
      <c r="B630" s="197" t="s">
        <v>189</v>
      </c>
      <c r="C630" s="197" t="s">
        <v>27</v>
      </c>
      <c r="D630" s="198" t="s">
        <v>4</v>
      </c>
      <c r="E630" s="199" t="s">
        <v>27</v>
      </c>
      <c r="F630" s="198" t="s">
        <v>4</v>
      </c>
      <c r="G630" s="198" t="s">
        <v>37</v>
      </c>
      <c r="H630" s="469" t="s">
        <v>11491</v>
      </c>
      <c r="I630" s="198" t="s">
        <v>35</v>
      </c>
      <c r="J630" s="479" t="s">
        <v>195</v>
      </c>
      <c r="K630" s="471" t="s">
        <v>27</v>
      </c>
      <c r="L630" s="470" t="s">
        <v>4</v>
      </c>
      <c r="M630" s="470" t="s">
        <v>51</v>
      </c>
      <c r="N630" s="472" t="s">
        <v>10515</v>
      </c>
      <c r="O630" s="201" t="str">
        <f t="shared" si="14"/>
        <v>L3.00.00.04.03.00</v>
      </c>
      <c r="P630" s="201"/>
      <c r="Q630" s="204"/>
      <c r="R630" s="204" t="str">
        <f t="shared" si="35"/>
        <v>Nhóm hỗ trợ giải pháp Văn phòng số</v>
      </c>
      <c r="S630" s="478" t="s">
        <v>11495</v>
      </c>
      <c r="T630" s="205"/>
      <c r="U630" s="205"/>
      <c r="V630" s="205"/>
      <c r="W630" s="205"/>
      <c r="X630" s="205"/>
      <c r="Y630" s="202"/>
      <c r="Z630" s="474"/>
      <c r="AA630" s="475"/>
      <c r="AB630" s="208"/>
      <c r="AC630" s="208"/>
      <c r="AD630" s="208"/>
    </row>
    <row r="631" ht="15.75" customHeight="1" outlineLevel="1">
      <c r="A631" s="196" t="s">
        <v>11429</v>
      </c>
      <c r="B631" s="197" t="s">
        <v>189</v>
      </c>
      <c r="C631" s="197" t="s">
        <v>27</v>
      </c>
      <c r="D631" s="198" t="s">
        <v>4</v>
      </c>
      <c r="E631" s="199" t="s">
        <v>27</v>
      </c>
      <c r="F631" s="198" t="s">
        <v>4</v>
      </c>
      <c r="G631" s="198" t="s">
        <v>42</v>
      </c>
      <c r="H631" s="469" t="s">
        <v>11496</v>
      </c>
      <c r="I631" s="199" t="s">
        <v>27</v>
      </c>
      <c r="J631" s="470" t="s">
        <v>4</v>
      </c>
      <c r="K631" s="471" t="s">
        <v>27</v>
      </c>
      <c r="L631" s="470" t="s">
        <v>4</v>
      </c>
      <c r="M631" s="470" t="s">
        <v>51</v>
      </c>
      <c r="N631" s="472" t="s">
        <v>10515</v>
      </c>
      <c r="O631" s="201" t="str">
        <f t="shared" si="14"/>
        <v>L3.00.00.05.00.00</v>
      </c>
      <c r="P631" s="201"/>
      <c r="Q631" s="204"/>
      <c r="R631" s="204" t="str">
        <f t="shared" si="35"/>
        <v>Phòng hỗ trợ giải pháp Bán lẻ (bò)</v>
      </c>
      <c r="S631" s="478" t="s">
        <v>11497</v>
      </c>
      <c r="T631" s="205"/>
      <c r="U631" s="205"/>
      <c r="V631" s="205"/>
      <c r="W631" s="205"/>
      <c r="X631" s="205"/>
      <c r="Y631" s="202"/>
      <c r="Z631" s="474"/>
      <c r="AA631" s="475"/>
      <c r="AB631" s="208"/>
      <c r="AC631" s="208"/>
      <c r="AD631" s="208"/>
    </row>
    <row r="632" ht="15.75" customHeight="1" outlineLevel="1">
      <c r="A632" s="196" t="s">
        <v>11429</v>
      </c>
      <c r="B632" s="197" t="s">
        <v>189</v>
      </c>
      <c r="C632" s="197" t="s">
        <v>27</v>
      </c>
      <c r="D632" s="198" t="s">
        <v>4</v>
      </c>
      <c r="E632" s="199" t="s">
        <v>27</v>
      </c>
      <c r="F632" s="198" t="s">
        <v>4</v>
      </c>
      <c r="G632" s="198" t="s">
        <v>44</v>
      </c>
      <c r="H632" s="469" t="s">
        <v>11498</v>
      </c>
      <c r="I632" s="476" t="s">
        <v>27</v>
      </c>
      <c r="J632" s="477" t="s">
        <v>4</v>
      </c>
      <c r="K632" s="471" t="s">
        <v>27</v>
      </c>
      <c r="L632" s="470" t="s">
        <v>4</v>
      </c>
      <c r="M632" s="470" t="s">
        <v>51</v>
      </c>
      <c r="N632" s="472" t="s">
        <v>10515</v>
      </c>
      <c r="O632" s="201" t="str">
        <f t="shared" si="14"/>
        <v>L3.00.00.06.00.00</v>
      </c>
      <c r="P632" s="201"/>
      <c r="Q632" s="204"/>
      <c r="R632" s="204" t="str">
        <f t="shared" si="35"/>
        <v>Phòng hỗ trợ khách hàng HCSN (bò)</v>
      </c>
      <c r="S632" s="478" t="s">
        <v>11499</v>
      </c>
      <c r="T632" s="205"/>
      <c r="U632" s="205"/>
      <c r="V632" s="205"/>
      <c r="W632" s="205"/>
      <c r="X632" s="205"/>
      <c r="Y632" s="202"/>
      <c r="Z632" s="474"/>
      <c r="AA632" s="475"/>
      <c r="AB632" s="208"/>
      <c r="AC632" s="208"/>
      <c r="AD632" s="208"/>
    </row>
    <row r="633" ht="15.75" customHeight="1" outlineLevel="1">
      <c r="A633" s="196" t="s">
        <v>11429</v>
      </c>
      <c r="B633" s="197" t="s">
        <v>189</v>
      </c>
      <c r="C633" s="197" t="s">
        <v>27</v>
      </c>
      <c r="D633" s="198" t="s">
        <v>4</v>
      </c>
      <c r="E633" s="199" t="s">
        <v>27</v>
      </c>
      <c r="F633" s="198" t="s">
        <v>4</v>
      </c>
      <c r="G633" s="198" t="s">
        <v>44</v>
      </c>
      <c r="H633" s="469" t="s">
        <v>11498</v>
      </c>
      <c r="I633" s="198" t="s">
        <v>29</v>
      </c>
      <c r="J633" s="472" t="s">
        <v>198</v>
      </c>
      <c r="K633" s="471" t="s">
        <v>27</v>
      </c>
      <c r="L633" s="470" t="s">
        <v>4</v>
      </c>
      <c r="M633" s="470" t="s">
        <v>51</v>
      </c>
      <c r="N633" s="472" t="s">
        <v>10515</v>
      </c>
      <c r="O633" s="201" t="str">
        <f t="shared" si="14"/>
        <v>L3.00.00.06.01.00</v>
      </c>
      <c r="P633" s="201"/>
      <c r="Q633" s="204"/>
      <c r="R633" s="204" t="str">
        <f t="shared" si="35"/>
        <v>Nhóm hỗ trợ giải pháp TCKT HCSN</v>
      </c>
      <c r="S633" s="478" t="s">
        <v>11500</v>
      </c>
      <c r="T633" s="205"/>
      <c r="U633" s="205"/>
      <c r="V633" s="205"/>
      <c r="W633" s="205"/>
      <c r="X633" s="205"/>
      <c r="Y633" s="202"/>
      <c r="Z633" s="474"/>
      <c r="AA633" s="475"/>
      <c r="AB633" s="208"/>
      <c r="AC633" s="208"/>
      <c r="AD633" s="208"/>
    </row>
    <row r="634" ht="15.75" customHeight="1" outlineLevel="1">
      <c r="A634" s="196" t="s">
        <v>11429</v>
      </c>
      <c r="B634" s="197" t="s">
        <v>189</v>
      </c>
      <c r="C634" s="197" t="s">
        <v>27</v>
      </c>
      <c r="D634" s="198" t="s">
        <v>4</v>
      </c>
      <c r="E634" s="199" t="s">
        <v>27</v>
      </c>
      <c r="F634" s="198" t="s">
        <v>4</v>
      </c>
      <c r="G634" s="198" t="s">
        <v>44</v>
      </c>
      <c r="H634" s="469" t="s">
        <v>11498</v>
      </c>
      <c r="I634" s="198" t="s">
        <v>33</v>
      </c>
      <c r="J634" s="472" t="s">
        <v>199</v>
      </c>
      <c r="K634" s="471" t="s">
        <v>27</v>
      </c>
      <c r="L634" s="470" t="s">
        <v>4</v>
      </c>
      <c r="M634" s="470" t="s">
        <v>51</v>
      </c>
      <c r="N634" s="472" t="s">
        <v>10515</v>
      </c>
      <c r="O634" s="201" t="str">
        <f t="shared" si="14"/>
        <v>L3.00.00.06.02.00</v>
      </c>
      <c r="P634" s="201"/>
      <c r="Q634" s="204"/>
      <c r="R634" s="204" t="str">
        <f t="shared" si="35"/>
        <v>Nhóm hỗ trợ giải pháp điều hành HCSN</v>
      </c>
      <c r="S634" s="478" t="s">
        <v>11501</v>
      </c>
      <c r="T634" s="205"/>
      <c r="U634" s="205"/>
      <c r="V634" s="205"/>
      <c r="W634" s="205"/>
      <c r="X634" s="205"/>
      <c r="Y634" s="202"/>
      <c r="Z634" s="474"/>
      <c r="AA634" s="475"/>
      <c r="AB634" s="208"/>
      <c r="AC634" s="208"/>
      <c r="AD634" s="208"/>
    </row>
    <row r="635" ht="15.75" customHeight="1" outlineLevel="1">
      <c r="A635" s="196" t="s">
        <v>11429</v>
      </c>
      <c r="B635" s="197" t="s">
        <v>189</v>
      </c>
      <c r="C635" s="197" t="s">
        <v>27</v>
      </c>
      <c r="D635" s="198" t="s">
        <v>4</v>
      </c>
      <c r="E635" s="199" t="s">
        <v>27</v>
      </c>
      <c r="F635" s="198" t="s">
        <v>4</v>
      </c>
      <c r="G635" s="198" t="s">
        <v>46</v>
      </c>
      <c r="H635" s="469" t="s">
        <v>11502</v>
      </c>
      <c r="I635" s="199" t="s">
        <v>27</v>
      </c>
      <c r="J635" s="470" t="s">
        <v>4</v>
      </c>
      <c r="K635" s="471" t="s">
        <v>27</v>
      </c>
      <c r="L635" s="470" t="s">
        <v>4</v>
      </c>
      <c r="M635" s="470" t="s">
        <v>51</v>
      </c>
      <c r="N635" s="472" t="s">
        <v>10515</v>
      </c>
      <c r="O635" s="201" t="str">
        <f t="shared" si="14"/>
        <v>L3.00.00.07.00.00</v>
      </c>
      <c r="P635" s="201"/>
      <c r="Q635" s="204"/>
      <c r="R635" s="204" t="str">
        <f t="shared" si="35"/>
        <v>Phòng hỗ trợ chủ động (bò)</v>
      </c>
      <c r="S635" s="478" t="s">
        <v>11503</v>
      </c>
      <c r="T635" s="480"/>
      <c r="U635" s="480"/>
      <c r="V635" s="480"/>
      <c r="W635" s="205"/>
      <c r="X635" s="205"/>
      <c r="Y635" s="202"/>
      <c r="Z635" s="474"/>
      <c r="AA635" s="475"/>
      <c r="AB635" s="208"/>
      <c r="AC635" s="208"/>
      <c r="AD635" s="208"/>
    </row>
    <row r="636" ht="15.75" customHeight="1" outlineLevel="1">
      <c r="A636" s="196" t="s">
        <v>11429</v>
      </c>
      <c r="B636" s="197" t="s">
        <v>189</v>
      </c>
      <c r="C636" s="197" t="s">
        <v>27</v>
      </c>
      <c r="D636" s="198" t="s">
        <v>4</v>
      </c>
      <c r="E636" s="199" t="s">
        <v>27</v>
      </c>
      <c r="F636" s="198" t="s">
        <v>4</v>
      </c>
      <c r="G636" s="198" t="s">
        <v>49</v>
      </c>
      <c r="H636" s="469" t="s">
        <v>11504</v>
      </c>
      <c r="I636" s="476" t="s">
        <v>27</v>
      </c>
      <c r="J636" s="477" t="s">
        <v>4</v>
      </c>
      <c r="K636" s="471" t="s">
        <v>27</v>
      </c>
      <c r="L636" s="470" t="s">
        <v>4</v>
      </c>
      <c r="M636" s="470" t="s">
        <v>51</v>
      </c>
      <c r="N636" s="472" t="s">
        <v>10515</v>
      </c>
      <c r="O636" s="201" t="str">
        <f t="shared" si="14"/>
        <v>L3.00.00.08.00.00</v>
      </c>
      <c r="P636" s="201"/>
      <c r="Q636" s="204"/>
      <c r="R636" s="204" t="str">
        <f t="shared" si="35"/>
        <v>Phòng CSKH VIP (bò)</v>
      </c>
      <c r="S636" s="478" t="s">
        <v>11505</v>
      </c>
      <c r="T636" s="205"/>
      <c r="U636" s="205"/>
      <c r="V636" s="205"/>
      <c r="W636" s="205"/>
      <c r="X636" s="205"/>
      <c r="Y636" s="202"/>
      <c r="Z636" s="474"/>
      <c r="AA636" s="475"/>
      <c r="AB636" s="208"/>
      <c r="AC636" s="208"/>
      <c r="AD636" s="208"/>
    </row>
    <row r="637" ht="15.75" customHeight="1" outlineLevel="1">
      <c r="A637" s="196" t="s">
        <v>11429</v>
      </c>
      <c r="B637" s="197" t="s">
        <v>189</v>
      </c>
      <c r="C637" s="197" t="s">
        <v>27</v>
      </c>
      <c r="D637" s="198" t="s">
        <v>4</v>
      </c>
      <c r="E637" s="199" t="s">
        <v>27</v>
      </c>
      <c r="F637" s="198" t="s">
        <v>4</v>
      </c>
      <c r="G637" s="198" t="s">
        <v>49</v>
      </c>
      <c r="H637" s="469" t="s">
        <v>11504</v>
      </c>
      <c r="I637" s="198" t="s">
        <v>29</v>
      </c>
      <c r="J637" s="472" t="s">
        <v>202</v>
      </c>
      <c r="K637" s="471" t="s">
        <v>27</v>
      </c>
      <c r="L637" s="470" t="s">
        <v>4</v>
      </c>
      <c r="M637" s="470" t="s">
        <v>51</v>
      </c>
      <c r="N637" s="472" t="s">
        <v>10515</v>
      </c>
      <c r="O637" s="201" t="str">
        <f t="shared" si="14"/>
        <v>L3.00.00.08.01.00</v>
      </c>
      <c r="P637" s="201"/>
      <c r="Q637" s="204"/>
      <c r="R637" s="204" t="str">
        <f t="shared" si="35"/>
        <v>Nhóm CS 01 - KH Gold, Silver</v>
      </c>
      <c r="S637" s="478" t="s">
        <v>11506</v>
      </c>
      <c r="T637" s="205"/>
      <c r="U637" s="205"/>
      <c r="V637" s="205"/>
      <c r="W637" s="205"/>
      <c r="X637" s="205"/>
      <c r="Y637" s="202"/>
      <c r="Z637" s="474"/>
      <c r="AA637" s="475"/>
      <c r="AB637" s="208"/>
      <c r="AC637" s="208"/>
      <c r="AD637" s="208"/>
    </row>
    <row r="638" ht="15.75" customHeight="1" outlineLevel="1">
      <c r="A638" s="196" t="s">
        <v>11429</v>
      </c>
      <c r="B638" s="197" t="s">
        <v>189</v>
      </c>
      <c r="C638" s="197" t="s">
        <v>27</v>
      </c>
      <c r="D638" s="198" t="s">
        <v>4</v>
      </c>
      <c r="E638" s="199" t="s">
        <v>27</v>
      </c>
      <c r="F638" s="198" t="s">
        <v>4</v>
      </c>
      <c r="G638" s="198" t="s">
        <v>49</v>
      </c>
      <c r="H638" s="469" t="s">
        <v>11504</v>
      </c>
      <c r="I638" s="198" t="s">
        <v>33</v>
      </c>
      <c r="J638" s="472" t="s">
        <v>203</v>
      </c>
      <c r="K638" s="471" t="s">
        <v>27</v>
      </c>
      <c r="L638" s="470" t="s">
        <v>4</v>
      </c>
      <c r="M638" s="470" t="s">
        <v>51</v>
      </c>
      <c r="N638" s="472" t="s">
        <v>10515</v>
      </c>
      <c r="O638" s="201" t="str">
        <f t="shared" si="14"/>
        <v>L3.00.00.08.02.00</v>
      </c>
      <c r="P638" s="201"/>
      <c r="Q638" s="204"/>
      <c r="R638" s="204" t="str">
        <f t="shared" si="35"/>
        <v>Nhóm CS 02 - KH Bronze</v>
      </c>
      <c r="S638" s="478" t="s">
        <v>11507</v>
      </c>
      <c r="T638" s="480"/>
      <c r="U638" s="480"/>
      <c r="V638" s="480"/>
      <c r="W638" s="205"/>
      <c r="X638" s="205"/>
      <c r="Y638" s="202"/>
      <c r="Z638" s="474"/>
      <c r="AA638" s="475"/>
      <c r="AB638" s="208"/>
      <c r="AC638" s="208"/>
      <c r="AD638" s="208"/>
    </row>
    <row r="639" ht="15.75" customHeight="1" outlineLevel="1">
      <c r="A639" s="196" t="s">
        <v>11429</v>
      </c>
      <c r="B639" s="197" t="s">
        <v>189</v>
      </c>
      <c r="C639" s="197" t="s">
        <v>27</v>
      </c>
      <c r="D639" s="198" t="s">
        <v>4</v>
      </c>
      <c r="E639" s="199" t="s">
        <v>27</v>
      </c>
      <c r="F639" s="198" t="s">
        <v>4</v>
      </c>
      <c r="G639" s="198" t="s">
        <v>51</v>
      </c>
      <c r="H639" s="469" t="s">
        <v>11508</v>
      </c>
      <c r="I639" s="199" t="s">
        <v>27</v>
      </c>
      <c r="J639" s="470" t="s">
        <v>4</v>
      </c>
      <c r="K639" s="471" t="s">
        <v>27</v>
      </c>
      <c r="L639" s="470" t="s">
        <v>4</v>
      </c>
      <c r="M639" s="470" t="s">
        <v>51</v>
      </c>
      <c r="N639" s="472" t="s">
        <v>10515</v>
      </c>
      <c r="O639" s="201" t="str">
        <f t="shared" si="14"/>
        <v>L3.00.00.09.00.00</v>
      </c>
      <c r="P639" s="201"/>
      <c r="Q639" s="204"/>
      <c r="R639" s="204" t="str">
        <f t="shared" si="35"/>
        <v>Nhóm gia hạn (bò)</v>
      </c>
      <c r="S639" s="478" t="s">
        <v>11509</v>
      </c>
      <c r="T639" s="205"/>
      <c r="U639" s="205"/>
      <c r="V639" s="205"/>
      <c r="W639" s="205"/>
      <c r="X639" s="205"/>
      <c r="Y639" s="202"/>
      <c r="Z639" s="474"/>
      <c r="AA639" s="475"/>
      <c r="AB639" s="208"/>
      <c r="AC639" s="208"/>
      <c r="AD639" s="208"/>
    </row>
    <row r="640" ht="15.75" customHeight="1">
      <c r="A640" s="50" t="s">
        <v>10516</v>
      </c>
      <c r="B640" s="47"/>
      <c r="C640" s="47"/>
      <c r="D640" s="47"/>
      <c r="E640" s="47"/>
      <c r="F640" s="47"/>
      <c r="G640" s="48"/>
      <c r="H640" s="49"/>
      <c r="I640" s="48"/>
      <c r="J640" s="439"/>
      <c r="K640" s="439"/>
      <c r="L640" s="439"/>
      <c r="M640" s="439"/>
      <c r="N640" s="440"/>
      <c r="O640" s="55" t="str">
        <f t="shared" si="14"/>
        <v>KHỐI HỖ TRỢ.....</v>
      </c>
      <c r="P640" s="48"/>
      <c r="Q640" s="169"/>
      <c r="R640" s="169" t="str">
        <f t="shared" si="35"/>
        <v/>
      </c>
      <c r="S640" s="96"/>
      <c r="T640" s="96"/>
      <c r="U640" s="96"/>
      <c r="V640" s="96"/>
      <c r="W640" s="96"/>
      <c r="X640" s="96"/>
      <c r="Y640" s="96"/>
      <c r="Z640" s="152"/>
      <c r="AA640" s="99"/>
      <c r="AB640" s="91"/>
      <c r="AC640" s="91"/>
      <c r="AD640" s="91"/>
    </row>
    <row r="641" ht="15.75" customHeight="1" outlineLevel="1">
      <c r="A641" s="177" t="s">
        <v>10529</v>
      </c>
      <c r="B641" s="221" t="s">
        <v>206</v>
      </c>
      <c r="C641" s="221" t="s">
        <v>27</v>
      </c>
      <c r="D641" s="172" t="s">
        <v>4</v>
      </c>
      <c r="E641" s="222" t="s">
        <v>27</v>
      </c>
      <c r="F641" s="172" t="s">
        <v>4</v>
      </c>
      <c r="G641" s="175" t="s">
        <v>27</v>
      </c>
      <c r="H641" s="230" t="s">
        <v>11510</v>
      </c>
      <c r="I641" s="222" t="s">
        <v>27</v>
      </c>
      <c r="J641" s="156" t="s">
        <v>4</v>
      </c>
      <c r="K641" s="297" t="s">
        <v>27</v>
      </c>
      <c r="L641" s="157" t="s">
        <v>4</v>
      </c>
      <c r="M641" s="168" t="s">
        <v>27</v>
      </c>
      <c r="N641" s="167"/>
      <c r="O641" s="55" t="str">
        <f t="shared" si="14"/>
        <v>L4.00.00.00.00.00</v>
      </c>
      <c r="P641" s="173" t="str">
        <f t="shared" ref="P641:P693" si="36">A641&amp;"."&amp;C641&amp;"."&amp;E641&amp;"."&amp;G641&amp;"."&amp;I641&amp;"."&amp;K641&amp;"."&amp;M641</f>
        <v>L4.00.00.00.00.00.00</v>
      </c>
      <c r="Q641" s="428" t="s">
        <v>10530</v>
      </c>
      <c r="R641" s="428" t="s">
        <v>11510</v>
      </c>
      <c r="S641" s="429" t="s">
        <v>22</v>
      </c>
      <c r="T641" s="176"/>
      <c r="U641" s="176"/>
      <c r="V641" s="176"/>
      <c r="W641" s="176"/>
      <c r="X641" s="176"/>
      <c r="Y641" s="224" t="s">
        <v>10894</v>
      </c>
      <c r="Z641" s="225" t="s">
        <v>206</v>
      </c>
      <c r="AA641" s="266"/>
      <c r="AB641" s="226"/>
      <c r="AC641" s="226"/>
      <c r="AD641" s="226"/>
    </row>
    <row r="642" ht="15.75" customHeight="1" outlineLevel="1">
      <c r="A642" s="481" t="s">
        <v>10529</v>
      </c>
      <c r="B642" s="482" t="s">
        <v>206</v>
      </c>
      <c r="C642" s="482" t="s">
        <v>27</v>
      </c>
      <c r="D642" s="483" t="s">
        <v>4</v>
      </c>
      <c r="E642" s="484" t="s">
        <v>27</v>
      </c>
      <c r="F642" s="483" t="s">
        <v>4</v>
      </c>
      <c r="G642" s="485" t="s">
        <v>35</v>
      </c>
      <c r="H642" s="486" t="s">
        <v>222</v>
      </c>
      <c r="I642" s="484" t="s">
        <v>27</v>
      </c>
      <c r="J642" s="487" t="s">
        <v>4</v>
      </c>
      <c r="K642" s="488" t="s">
        <v>27</v>
      </c>
      <c r="L642" s="489" t="s">
        <v>4</v>
      </c>
      <c r="M642" s="490" t="s">
        <v>27</v>
      </c>
      <c r="N642" s="491"/>
      <c r="O642" s="492" t="str">
        <f t="shared" si="14"/>
        <v>L4.00.00.03.00.00</v>
      </c>
      <c r="P642" s="492" t="str">
        <f t="shared" si="36"/>
        <v>L4.00.00.03.00.00.00</v>
      </c>
      <c r="Q642" s="493" t="s">
        <v>10530</v>
      </c>
      <c r="R642" s="494" t="str">
        <f t="shared" ref="R642:R658" si="37">if(L642&lt;&gt;"-",L642,if(AND(L642="-",J642&lt;&gt;"-"),J642,if(AND(J642="-",H642&lt;&gt;"-"),H642,"NA")))</f>
        <v>Ban GĐ VP</v>
      </c>
      <c r="S642" s="492" t="s">
        <v>11511</v>
      </c>
      <c r="T642" s="495"/>
      <c r="U642" s="495"/>
      <c r="V642" s="495"/>
      <c r="W642" s="495"/>
      <c r="X642" s="495"/>
      <c r="Y642" s="495"/>
      <c r="Z642" s="496" t="s">
        <v>11512</v>
      </c>
      <c r="AA642" s="497"/>
      <c r="AB642" s="498"/>
      <c r="AC642" s="498"/>
      <c r="AD642" s="498"/>
    </row>
    <row r="643" ht="15.75" customHeight="1" outlineLevel="1">
      <c r="A643" s="177" t="s">
        <v>10529</v>
      </c>
      <c r="B643" s="221" t="s">
        <v>206</v>
      </c>
      <c r="C643" s="221" t="s">
        <v>27</v>
      </c>
      <c r="D643" s="172" t="s">
        <v>4</v>
      </c>
      <c r="E643" s="222" t="s">
        <v>27</v>
      </c>
      <c r="F643" s="172" t="s">
        <v>4</v>
      </c>
      <c r="G643" s="175" t="s">
        <v>35</v>
      </c>
      <c r="H643" s="230" t="s">
        <v>11513</v>
      </c>
      <c r="I643" s="222" t="s">
        <v>27</v>
      </c>
      <c r="J643" s="156" t="s">
        <v>4</v>
      </c>
      <c r="K643" s="297" t="s">
        <v>27</v>
      </c>
      <c r="L643" s="157" t="s">
        <v>4</v>
      </c>
      <c r="M643" s="157" t="s">
        <v>29</v>
      </c>
      <c r="N643" s="167" t="s">
        <v>10498</v>
      </c>
      <c r="O643" s="55" t="str">
        <f t="shared" si="14"/>
        <v>L4.00.00.03.00.00</v>
      </c>
      <c r="P643" s="173" t="str">
        <f t="shared" si="36"/>
        <v>L4.00.00.03.00.00.01</v>
      </c>
      <c r="Q643" s="428" t="s">
        <v>10530</v>
      </c>
      <c r="R643" s="223" t="str">
        <f t="shared" si="37"/>
        <v>Ban GĐ VP - Hà Nội</v>
      </c>
      <c r="S643" s="173" t="s">
        <v>11514</v>
      </c>
      <c r="T643" s="176" t="s">
        <v>7551</v>
      </c>
      <c r="U643" s="176" t="s">
        <v>346</v>
      </c>
      <c r="V643" s="176" t="s">
        <v>7550</v>
      </c>
      <c r="W643" s="176"/>
      <c r="X643" s="176"/>
      <c r="Y643" s="176"/>
      <c r="Z643" s="225" t="s">
        <v>11515</v>
      </c>
      <c r="AA643" s="266"/>
      <c r="AB643" s="226"/>
      <c r="AC643" s="226"/>
      <c r="AD643" s="226"/>
    </row>
    <row r="644" ht="15.75" customHeight="1" outlineLevel="1">
      <c r="A644" s="177" t="s">
        <v>10529</v>
      </c>
      <c r="B644" s="221" t="s">
        <v>206</v>
      </c>
      <c r="C644" s="221" t="s">
        <v>27</v>
      </c>
      <c r="D644" s="172" t="s">
        <v>4</v>
      </c>
      <c r="E644" s="222" t="s">
        <v>27</v>
      </c>
      <c r="F644" s="172" t="s">
        <v>4</v>
      </c>
      <c r="G644" s="175" t="s">
        <v>35</v>
      </c>
      <c r="H644" s="230" t="s">
        <v>11516</v>
      </c>
      <c r="I644" s="222" t="s">
        <v>27</v>
      </c>
      <c r="J644" s="156" t="s">
        <v>4</v>
      </c>
      <c r="K644" s="297" t="s">
        <v>27</v>
      </c>
      <c r="L644" s="157" t="s">
        <v>4</v>
      </c>
      <c r="M644" s="157" t="s">
        <v>33</v>
      </c>
      <c r="N644" s="167" t="s">
        <v>10499</v>
      </c>
      <c r="O644" s="55" t="str">
        <f t="shared" si="14"/>
        <v>L4.00.00.03.00.00</v>
      </c>
      <c r="P644" s="173" t="str">
        <f t="shared" si="36"/>
        <v>L4.00.00.03.00.00.02</v>
      </c>
      <c r="Q644" s="428" t="s">
        <v>10530</v>
      </c>
      <c r="R644" s="223" t="str">
        <f t="shared" si="37"/>
        <v>Ban GĐ VP - Hồ Chí Minh</v>
      </c>
      <c r="S644" s="173" t="s">
        <v>11514</v>
      </c>
      <c r="T644" s="176" t="s">
        <v>7602</v>
      </c>
      <c r="U644" s="176" t="s">
        <v>262</v>
      </c>
      <c r="V644" s="176" t="s">
        <v>7601</v>
      </c>
      <c r="W644" s="176"/>
      <c r="X644" s="176"/>
      <c r="Y644" s="176"/>
      <c r="Z644" s="225" t="s">
        <v>11517</v>
      </c>
      <c r="AA644" s="266"/>
      <c r="AB644" s="226"/>
      <c r="AC644" s="226"/>
      <c r="AD644" s="226"/>
    </row>
    <row r="645" ht="15.75" customHeight="1" outlineLevel="1">
      <c r="A645" s="177" t="s">
        <v>10529</v>
      </c>
      <c r="B645" s="221" t="s">
        <v>206</v>
      </c>
      <c r="C645" s="221" t="s">
        <v>27</v>
      </c>
      <c r="D645" s="172" t="s">
        <v>4</v>
      </c>
      <c r="E645" s="222" t="s">
        <v>27</v>
      </c>
      <c r="F645" s="172" t="s">
        <v>4</v>
      </c>
      <c r="G645" s="175" t="s">
        <v>35</v>
      </c>
      <c r="H645" s="230" t="s">
        <v>11518</v>
      </c>
      <c r="I645" s="222" t="s">
        <v>27</v>
      </c>
      <c r="J645" s="156" t="s">
        <v>4</v>
      </c>
      <c r="K645" s="297" t="s">
        <v>27</v>
      </c>
      <c r="L645" s="157" t="s">
        <v>4</v>
      </c>
      <c r="M645" s="157" t="s">
        <v>35</v>
      </c>
      <c r="N645" s="167" t="s">
        <v>10500</v>
      </c>
      <c r="O645" s="55" t="str">
        <f t="shared" si="14"/>
        <v>L4.00.00.03.00.00</v>
      </c>
      <c r="P645" s="173" t="str">
        <f t="shared" si="36"/>
        <v>L4.00.00.03.00.00.03</v>
      </c>
      <c r="Q645" s="428" t="s">
        <v>10530</v>
      </c>
      <c r="R645" s="223" t="str">
        <f t="shared" si="37"/>
        <v>Ban GĐ VP - Đà Nẵng</v>
      </c>
      <c r="S645" s="173" t="s">
        <v>11514</v>
      </c>
      <c r="T645" s="176" t="s">
        <v>9531</v>
      </c>
      <c r="U645" s="176" t="s">
        <v>2811</v>
      </c>
      <c r="V645" s="176" t="s">
        <v>32</v>
      </c>
      <c r="W645" s="176"/>
      <c r="X645" s="176"/>
      <c r="Y645" s="176"/>
      <c r="Z645" s="225" t="s">
        <v>11519</v>
      </c>
      <c r="AA645" s="300" t="s">
        <v>10530</v>
      </c>
      <c r="AB645" s="226"/>
      <c r="AC645" s="226"/>
      <c r="AD645" s="226"/>
    </row>
    <row r="646" ht="15.75" customHeight="1" outlineLevel="1">
      <c r="A646" s="177" t="s">
        <v>10529</v>
      </c>
      <c r="B646" s="221" t="s">
        <v>206</v>
      </c>
      <c r="C646" s="221" t="s">
        <v>27</v>
      </c>
      <c r="D646" s="172" t="s">
        <v>4</v>
      </c>
      <c r="E646" s="222" t="s">
        <v>27</v>
      </c>
      <c r="F646" s="172" t="s">
        <v>4</v>
      </c>
      <c r="G646" s="175" t="s">
        <v>35</v>
      </c>
      <c r="H646" s="230" t="s">
        <v>11520</v>
      </c>
      <c r="I646" s="222" t="s">
        <v>27</v>
      </c>
      <c r="J646" s="156" t="s">
        <v>4</v>
      </c>
      <c r="K646" s="297" t="s">
        <v>27</v>
      </c>
      <c r="L646" s="157" t="s">
        <v>4</v>
      </c>
      <c r="M646" s="157" t="s">
        <v>37</v>
      </c>
      <c r="N646" s="298" t="s">
        <v>10900</v>
      </c>
      <c r="O646" s="55" t="str">
        <f t="shared" si="14"/>
        <v>L4.00.00.03.00.00</v>
      </c>
      <c r="P646" s="173" t="str">
        <f t="shared" si="36"/>
        <v>L4.00.00.03.00.00.04</v>
      </c>
      <c r="Q646" s="428" t="s">
        <v>10530</v>
      </c>
      <c r="R646" s="223" t="str">
        <f t="shared" si="37"/>
        <v>Ban GĐ VP - Buôn Ma Thuột</v>
      </c>
      <c r="S646" s="173" t="s">
        <v>11514</v>
      </c>
      <c r="T646" s="176" t="s">
        <v>9866</v>
      </c>
      <c r="U646" s="176" t="s">
        <v>2732</v>
      </c>
      <c r="V646" s="176" t="s">
        <v>32</v>
      </c>
      <c r="W646" s="176"/>
      <c r="X646" s="176"/>
      <c r="Y646" s="176"/>
      <c r="Z646" s="225" t="s">
        <v>11521</v>
      </c>
      <c r="AA646" s="300" t="s">
        <v>10530</v>
      </c>
      <c r="AB646" s="226"/>
      <c r="AC646" s="226"/>
      <c r="AD646" s="226"/>
    </row>
    <row r="647" ht="15.75" customHeight="1" outlineLevel="1">
      <c r="A647" s="177" t="s">
        <v>10529</v>
      </c>
      <c r="B647" s="221" t="s">
        <v>206</v>
      </c>
      <c r="C647" s="221" t="s">
        <v>27</v>
      </c>
      <c r="D647" s="172" t="s">
        <v>4</v>
      </c>
      <c r="E647" s="222" t="s">
        <v>27</v>
      </c>
      <c r="F647" s="172" t="s">
        <v>4</v>
      </c>
      <c r="G647" s="175" t="s">
        <v>35</v>
      </c>
      <c r="H647" s="230" t="s">
        <v>11522</v>
      </c>
      <c r="I647" s="222" t="s">
        <v>27</v>
      </c>
      <c r="J647" s="156" t="s">
        <v>4</v>
      </c>
      <c r="K647" s="297" t="s">
        <v>27</v>
      </c>
      <c r="L647" s="157" t="s">
        <v>4</v>
      </c>
      <c r="M647" s="157" t="s">
        <v>42</v>
      </c>
      <c r="N647" s="167" t="s">
        <v>10502</v>
      </c>
      <c r="O647" s="55" t="str">
        <f t="shared" si="14"/>
        <v>L4.00.00.03.00.00</v>
      </c>
      <c r="P647" s="173" t="str">
        <f t="shared" si="36"/>
        <v>L4.00.00.03.00.00.05</v>
      </c>
      <c r="Q647" s="428" t="s">
        <v>10530</v>
      </c>
      <c r="R647" s="223" t="str">
        <f t="shared" si="37"/>
        <v>Ban GĐ VP - Cần Thơ</v>
      </c>
      <c r="S647" s="173" t="s">
        <v>11514</v>
      </c>
      <c r="T647" s="176" t="s">
        <v>7280</v>
      </c>
      <c r="U647" s="176" t="s">
        <v>325</v>
      </c>
      <c r="V647" s="176" t="s">
        <v>32</v>
      </c>
      <c r="W647" s="176"/>
      <c r="X647" s="176"/>
      <c r="Y647" s="176"/>
      <c r="Z647" s="225" t="s">
        <v>11523</v>
      </c>
      <c r="AA647" s="300" t="s">
        <v>10530</v>
      </c>
      <c r="AB647" s="226"/>
      <c r="AC647" s="226"/>
      <c r="AD647" s="226"/>
    </row>
    <row r="648" ht="15.75" customHeight="1" outlineLevel="1">
      <c r="A648" s="177" t="s">
        <v>10529</v>
      </c>
      <c r="B648" s="221" t="s">
        <v>206</v>
      </c>
      <c r="C648" s="221" t="s">
        <v>27</v>
      </c>
      <c r="D648" s="172" t="s">
        <v>4</v>
      </c>
      <c r="E648" s="222" t="s">
        <v>27</v>
      </c>
      <c r="F648" s="172" t="s">
        <v>4</v>
      </c>
      <c r="G648" s="175" t="s">
        <v>35</v>
      </c>
      <c r="H648" s="212" t="s">
        <v>11524</v>
      </c>
      <c r="I648" s="222" t="s">
        <v>27</v>
      </c>
      <c r="J648" s="156" t="s">
        <v>4</v>
      </c>
      <c r="K648" s="297" t="s">
        <v>27</v>
      </c>
      <c r="L648" s="157" t="s">
        <v>4</v>
      </c>
      <c r="M648" s="157" t="s">
        <v>44</v>
      </c>
      <c r="N648" s="167" t="s">
        <v>10505</v>
      </c>
      <c r="O648" s="55" t="str">
        <f t="shared" si="14"/>
        <v>L4.00.00.03.00.00</v>
      </c>
      <c r="P648" s="173" t="str">
        <f t="shared" si="36"/>
        <v>L4.00.00.03.00.00.06</v>
      </c>
      <c r="Q648" s="428" t="s">
        <v>10530</v>
      </c>
      <c r="R648" s="273" t="str">
        <f t="shared" si="37"/>
        <v>Ban GĐ VP - Tổng công ty</v>
      </c>
      <c r="S648" s="173" t="s">
        <v>11514</v>
      </c>
      <c r="T648" s="176" t="s">
        <v>9748</v>
      </c>
      <c r="U648" s="176" t="s">
        <v>303</v>
      </c>
      <c r="V648" s="176" t="s">
        <v>7550</v>
      </c>
      <c r="W648" s="176"/>
      <c r="X648" s="176"/>
      <c r="Y648" s="176"/>
      <c r="Z648" s="225" t="s">
        <v>11525</v>
      </c>
      <c r="AA648" s="300" t="s">
        <v>10530</v>
      </c>
      <c r="AB648" s="226"/>
      <c r="AC648" s="226"/>
      <c r="AD648" s="226"/>
    </row>
    <row r="649" ht="15.75" customHeight="1" outlineLevel="1">
      <c r="A649" s="499" t="s">
        <v>10529</v>
      </c>
      <c r="B649" s="500" t="s">
        <v>206</v>
      </c>
      <c r="C649" s="500" t="s">
        <v>27</v>
      </c>
      <c r="D649" s="501" t="s">
        <v>4</v>
      </c>
      <c r="E649" s="502" t="s">
        <v>27</v>
      </c>
      <c r="F649" s="501" t="s">
        <v>4</v>
      </c>
      <c r="G649" s="485" t="s">
        <v>37</v>
      </c>
      <c r="H649" s="503" t="s">
        <v>34</v>
      </c>
      <c r="I649" s="484" t="s">
        <v>27</v>
      </c>
      <c r="J649" s="487" t="s">
        <v>4</v>
      </c>
      <c r="K649" s="502" t="s">
        <v>27</v>
      </c>
      <c r="L649" s="501" t="s">
        <v>4</v>
      </c>
      <c r="M649" s="504" t="s">
        <v>27</v>
      </c>
      <c r="N649" s="503"/>
      <c r="O649" s="492" t="str">
        <f t="shared" si="14"/>
        <v>L4.00.00.04.00.00</v>
      </c>
      <c r="P649" s="492" t="str">
        <f t="shared" si="36"/>
        <v>L4.00.00.04.00.00.00</v>
      </c>
      <c r="Q649" s="493" t="s">
        <v>10530</v>
      </c>
      <c r="R649" s="494" t="str">
        <f t="shared" si="37"/>
        <v>Phòng HCTH</v>
      </c>
      <c r="S649" s="492" t="s">
        <v>11511</v>
      </c>
      <c r="T649" s="505"/>
      <c r="U649" s="505"/>
      <c r="V649" s="505"/>
      <c r="W649" s="506"/>
      <c r="X649" s="506"/>
      <c r="Y649" s="506"/>
      <c r="Z649" s="507" t="s">
        <v>11526</v>
      </c>
      <c r="AA649" s="508"/>
      <c r="AB649" s="509"/>
      <c r="AC649" s="509"/>
      <c r="AD649" s="509"/>
    </row>
    <row r="650" ht="15.75" customHeight="1" outlineLevel="1">
      <c r="A650" s="510" t="s">
        <v>10529</v>
      </c>
      <c r="B650" s="511" t="s">
        <v>206</v>
      </c>
      <c r="C650" s="511" t="s">
        <v>27</v>
      </c>
      <c r="D650" s="512" t="s">
        <v>4</v>
      </c>
      <c r="E650" s="513" t="s">
        <v>27</v>
      </c>
      <c r="F650" s="512" t="s">
        <v>4</v>
      </c>
      <c r="G650" s="175" t="s">
        <v>37</v>
      </c>
      <c r="H650" s="514" t="s">
        <v>11527</v>
      </c>
      <c r="I650" s="222" t="s">
        <v>27</v>
      </c>
      <c r="J650" s="156" t="s">
        <v>4</v>
      </c>
      <c r="K650" s="513" t="s">
        <v>27</v>
      </c>
      <c r="L650" s="512" t="s">
        <v>4</v>
      </c>
      <c r="M650" s="512" t="s">
        <v>29</v>
      </c>
      <c r="N650" s="515" t="s">
        <v>10498</v>
      </c>
      <c r="O650" s="173" t="str">
        <f t="shared" si="14"/>
        <v>L4.00.00.04.00.00</v>
      </c>
      <c r="P650" s="173" t="str">
        <f t="shared" si="36"/>
        <v>L4.00.00.04.00.00.01</v>
      </c>
      <c r="Q650" s="428" t="s">
        <v>10530</v>
      </c>
      <c r="R650" s="223" t="str">
        <f t="shared" si="37"/>
        <v>Phòng HCTH - Hà Nội</v>
      </c>
      <c r="S650" s="173" t="s">
        <v>11528</v>
      </c>
      <c r="T650" s="516" t="s">
        <v>4694</v>
      </c>
      <c r="U650" s="516" t="s">
        <v>346</v>
      </c>
      <c r="V650" s="516" t="s">
        <v>2463</v>
      </c>
      <c r="W650" s="517"/>
      <c r="X650" s="517"/>
      <c r="Y650" s="517"/>
      <c r="Z650" s="518" t="s">
        <v>11529</v>
      </c>
      <c r="AA650" s="300" t="s">
        <v>10530</v>
      </c>
      <c r="AB650" s="296"/>
      <c r="AC650" s="296"/>
      <c r="AD650" s="296"/>
    </row>
    <row r="651" ht="15.75" customHeight="1" outlineLevel="1">
      <c r="A651" s="510" t="s">
        <v>10529</v>
      </c>
      <c r="B651" s="511" t="s">
        <v>206</v>
      </c>
      <c r="C651" s="511" t="s">
        <v>27</v>
      </c>
      <c r="D651" s="512" t="s">
        <v>4</v>
      </c>
      <c r="E651" s="513" t="s">
        <v>27</v>
      </c>
      <c r="F651" s="512" t="s">
        <v>4</v>
      </c>
      <c r="G651" s="175" t="s">
        <v>37</v>
      </c>
      <c r="H651" s="514" t="s">
        <v>11530</v>
      </c>
      <c r="I651" s="222" t="s">
        <v>27</v>
      </c>
      <c r="J651" s="156" t="s">
        <v>4</v>
      </c>
      <c r="K651" s="513" t="s">
        <v>27</v>
      </c>
      <c r="L651" s="512" t="s">
        <v>4</v>
      </c>
      <c r="M651" s="512" t="s">
        <v>33</v>
      </c>
      <c r="N651" s="515" t="s">
        <v>10499</v>
      </c>
      <c r="O651" s="173" t="str">
        <f t="shared" si="14"/>
        <v>L4.00.00.04.00.00</v>
      </c>
      <c r="P651" s="173" t="str">
        <f t="shared" si="36"/>
        <v>L4.00.00.04.00.00.02</v>
      </c>
      <c r="Q651" s="428" t="s">
        <v>10530</v>
      </c>
      <c r="R651" s="223" t="str">
        <f t="shared" si="37"/>
        <v>Phòng HCTH - Hồ Chí Minh</v>
      </c>
      <c r="S651" s="173" t="s">
        <v>11528</v>
      </c>
      <c r="T651" s="516" t="s">
        <v>2464</v>
      </c>
      <c r="U651" s="516" t="s">
        <v>262</v>
      </c>
      <c r="V651" s="516" t="s">
        <v>2463</v>
      </c>
      <c r="W651" s="517"/>
      <c r="X651" s="517"/>
      <c r="Y651" s="517"/>
      <c r="Z651" s="518" t="s">
        <v>11531</v>
      </c>
      <c r="AA651" s="300" t="s">
        <v>10530</v>
      </c>
      <c r="AB651" s="296"/>
      <c r="AC651" s="296"/>
      <c r="AD651" s="296"/>
    </row>
    <row r="652" ht="15.75" customHeight="1" outlineLevel="1">
      <c r="A652" s="510" t="s">
        <v>10529</v>
      </c>
      <c r="B652" s="511" t="s">
        <v>206</v>
      </c>
      <c r="C652" s="511" t="s">
        <v>27</v>
      </c>
      <c r="D652" s="512" t="s">
        <v>4</v>
      </c>
      <c r="E652" s="513" t="s">
        <v>27</v>
      </c>
      <c r="F652" s="512" t="s">
        <v>4</v>
      </c>
      <c r="G652" s="175" t="s">
        <v>37</v>
      </c>
      <c r="H652" s="514" t="s">
        <v>11532</v>
      </c>
      <c r="I652" s="222" t="s">
        <v>27</v>
      </c>
      <c r="J652" s="519" t="s">
        <v>4</v>
      </c>
      <c r="K652" s="513" t="s">
        <v>27</v>
      </c>
      <c r="L652" s="512" t="s">
        <v>4</v>
      </c>
      <c r="M652" s="512" t="s">
        <v>35</v>
      </c>
      <c r="N652" s="515" t="s">
        <v>10500</v>
      </c>
      <c r="O652" s="173" t="str">
        <f t="shared" si="14"/>
        <v>L4.00.00.04.00.00</v>
      </c>
      <c r="P652" s="173" t="str">
        <f t="shared" si="36"/>
        <v>L4.00.00.04.00.00.03</v>
      </c>
      <c r="Q652" s="428" t="s">
        <v>10530</v>
      </c>
      <c r="R652" s="520" t="str">
        <f t="shared" si="37"/>
        <v>Phòng HCTH - Đà Nẵng</v>
      </c>
      <c r="S652" s="173" t="s">
        <v>11528</v>
      </c>
      <c r="T652" s="516" t="s">
        <v>3645</v>
      </c>
      <c r="U652" s="516" t="s">
        <v>2811</v>
      </c>
      <c r="V652" s="516" t="s">
        <v>2463</v>
      </c>
      <c r="W652" s="517"/>
      <c r="X652" s="517"/>
      <c r="Y652" s="517"/>
      <c r="Z652" s="518" t="s">
        <v>11533</v>
      </c>
      <c r="AA652" s="300" t="s">
        <v>10530</v>
      </c>
      <c r="AB652" s="296"/>
      <c r="AC652" s="296"/>
      <c r="AD652" s="296"/>
    </row>
    <row r="653" ht="15.75" customHeight="1" outlineLevel="1">
      <c r="A653" s="521" t="s">
        <v>10529</v>
      </c>
      <c r="B653" s="522" t="s">
        <v>206</v>
      </c>
      <c r="C653" s="522" t="s">
        <v>27</v>
      </c>
      <c r="D653" s="523" t="s">
        <v>4</v>
      </c>
      <c r="E653" s="524" t="s">
        <v>27</v>
      </c>
      <c r="F653" s="523" t="s">
        <v>4</v>
      </c>
      <c r="G653" s="175" t="s">
        <v>37</v>
      </c>
      <c r="H653" s="525" t="s">
        <v>11534</v>
      </c>
      <c r="I653" s="222" t="s">
        <v>27</v>
      </c>
      <c r="J653" s="526" t="s">
        <v>4</v>
      </c>
      <c r="K653" s="524" t="s">
        <v>27</v>
      </c>
      <c r="L653" s="523" t="s">
        <v>4</v>
      </c>
      <c r="M653" s="523" t="s">
        <v>37</v>
      </c>
      <c r="N653" s="525" t="s">
        <v>10900</v>
      </c>
      <c r="O653" s="173" t="str">
        <f t="shared" si="14"/>
        <v>L4.00.00.04.00.00</v>
      </c>
      <c r="P653" s="173" t="str">
        <f t="shared" si="36"/>
        <v>L4.00.00.04.00.00.04</v>
      </c>
      <c r="Q653" s="428" t="s">
        <v>10530</v>
      </c>
      <c r="R653" s="527" t="str">
        <f t="shared" si="37"/>
        <v>Phòng HCTH - Buôn Ma Thuột</v>
      </c>
      <c r="S653" s="173" t="s">
        <v>11528</v>
      </c>
      <c r="T653" s="528" t="s">
        <v>4549</v>
      </c>
      <c r="U653" s="528" t="s">
        <v>2732</v>
      </c>
      <c r="V653" s="528" t="s">
        <v>2463</v>
      </c>
      <c r="W653" s="529"/>
      <c r="X653" s="529"/>
      <c r="Y653" s="529"/>
      <c r="Z653" s="518" t="s">
        <v>11535</v>
      </c>
      <c r="AA653" s="300" t="s">
        <v>10530</v>
      </c>
      <c r="AB653" s="296"/>
      <c r="AC653" s="296"/>
      <c r="AD653" s="296"/>
    </row>
    <row r="654" ht="15.75" customHeight="1" outlineLevel="1">
      <c r="A654" s="521" t="s">
        <v>10529</v>
      </c>
      <c r="B654" s="522" t="s">
        <v>206</v>
      </c>
      <c r="C654" s="522" t="s">
        <v>27</v>
      </c>
      <c r="D654" s="523" t="s">
        <v>4</v>
      </c>
      <c r="E654" s="524" t="s">
        <v>27</v>
      </c>
      <c r="F654" s="523" t="s">
        <v>4</v>
      </c>
      <c r="G654" s="175" t="s">
        <v>37</v>
      </c>
      <c r="H654" s="525" t="s">
        <v>11536</v>
      </c>
      <c r="I654" s="222" t="s">
        <v>27</v>
      </c>
      <c r="J654" s="526" t="s">
        <v>4</v>
      </c>
      <c r="K654" s="524" t="s">
        <v>27</v>
      </c>
      <c r="L654" s="523" t="s">
        <v>4</v>
      </c>
      <c r="M654" s="523" t="s">
        <v>42</v>
      </c>
      <c r="N654" s="530" t="s">
        <v>10502</v>
      </c>
      <c r="O654" s="173" t="str">
        <f t="shared" si="14"/>
        <v>L4.00.00.04.00.00</v>
      </c>
      <c r="P654" s="173" t="str">
        <f t="shared" si="36"/>
        <v>L4.00.00.04.00.00.05</v>
      </c>
      <c r="Q654" s="428" t="s">
        <v>10530</v>
      </c>
      <c r="R654" s="527" t="str">
        <f t="shared" si="37"/>
        <v>Phòng HCTH - Cần Thơ</v>
      </c>
      <c r="S654" s="173" t="s">
        <v>11528</v>
      </c>
      <c r="T654" s="528" t="s">
        <v>7565</v>
      </c>
      <c r="U654" s="528" t="s">
        <v>325</v>
      </c>
      <c r="V654" s="528" t="s">
        <v>2463</v>
      </c>
      <c r="W654" s="529"/>
      <c r="X654" s="529"/>
      <c r="Y654" s="529"/>
      <c r="Z654" s="518" t="s">
        <v>11537</v>
      </c>
      <c r="AA654" s="300" t="s">
        <v>10530</v>
      </c>
      <c r="AB654" s="296"/>
      <c r="AC654" s="296"/>
      <c r="AD654" s="296"/>
    </row>
    <row r="655" ht="15.75" customHeight="1" outlineLevel="1">
      <c r="A655" s="521" t="s">
        <v>10529</v>
      </c>
      <c r="B655" s="522" t="s">
        <v>206</v>
      </c>
      <c r="C655" s="522" t="s">
        <v>27</v>
      </c>
      <c r="D655" s="523" t="s">
        <v>4</v>
      </c>
      <c r="E655" s="524" t="s">
        <v>27</v>
      </c>
      <c r="F655" s="523" t="s">
        <v>4</v>
      </c>
      <c r="G655" s="175" t="s">
        <v>37</v>
      </c>
      <c r="H655" s="525" t="s">
        <v>11538</v>
      </c>
      <c r="I655" s="222" t="s">
        <v>27</v>
      </c>
      <c r="J655" s="526" t="s">
        <v>4</v>
      </c>
      <c r="K655" s="524" t="s">
        <v>27</v>
      </c>
      <c r="L655" s="523" t="s">
        <v>4</v>
      </c>
      <c r="M655" s="523" t="s">
        <v>44</v>
      </c>
      <c r="N655" s="530" t="s">
        <v>10505</v>
      </c>
      <c r="O655" s="55" t="str">
        <f t="shared" si="14"/>
        <v>L4.00.00.04.00.00</v>
      </c>
      <c r="P655" s="173" t="str">
        <f t="shared" si="36"/>
        <v>L4.00.00.04.00.00.06</v>
      </c>
      <c r="Q655" s="428" t="s">
        <v>10530</v>
      </c>
      <c r="R655" s="527" t="str">
        <f t="shared" si="37"/>
        <v>Phòng HCTH - Tổng công ty</v>
      </c>
      <c r="S655" s="173" t="s">
        <v>11528</v>
      </c>
      <c r="T655" s="528" t="s">
        <v>2868</v>
      </c>
      <c r="U655" s="528" t="s">
        <v>303</v>
      </c>
      <c r="V655" s="528" t="s">
        <v>2463</v>
      </c>
      <c r="W655" s="529"/>
      <c r="X655" s="529"/>
      <c r="Y655" s="529"/>
      <c r="Z655" s="518" t="s">
        <v>11539</v>
      </c>
      <c r="AA655" s="300" t="s">
        <v>10530</v>
      </c>
      <c r="AB655" s="296"/>
      <c r="AC655" s="296"/>
      <c r="AD655" s="296"/>
    </row>
    <row r="656" ht="15.75" customHeight="1" outlineLevel="1">
      <c r="A656" s="531" t="s">
        <v>10529</v>
      </c>
      <c r="B656" s="532" t="s">
        <v>206</v>
      </c>
      <c r="C656" s="532" t="s">
        <v>27</v>
      </c>
      <c r="D656" s="533" t="s">
        <v>4</v>
      </c>
      <c r="E656" s="534" t="s">
        <v>27</v>
      </c>
      <c r="F656" s="533" t="s">
        <v>4</v>
      </c>
      <c r="G656" s="485" t="s">
        <v>42</v>
      </c>
      <c r="H656" s="535" t="s">
        <v>36</v>
      </c>
      <c r="I656" s="484" t="s">
        <v>27</v>
      </c>
      <c r="J656" s="487" t="s">
        <v>4</v>
      </c>
      <c r="K656" s="534" t="s">
        <v>27</v>
      </c>
      <c r="L656" s="533" t="s">
        <v>4</v>
      </c>
      <c r="M656" s="536" t="s">
        <v>27</v>
      </c>
      <c r="N656" s="535"/>
      <c r="O656" s="492" t="str">
        <f t="shared" si="14"/>
        <v>L4.00.00.05.00.00</v>
      </c>
      <c r="P656" s="492" t="str">
        <f t="shared" si="36"/>
        <v>L4.00.00.05.00.00.00</v>
      </c>
      <c r="Q656" s="493" t="s">
        <v>10530</v>
      </c>
      <c r="R656" s="494" t="str">
        <f t="shared" si="37"/>
        <v>Phòng Quan hệ cộng đồng</v>
      </c>
      <c r="S656" s="492" t="s">
        <v>11511</v>
      </c>
      <c r="T656" s="537"/>
      <c r="U656" s="537"/>
      <c r="V656" s="537"/>
      <c r="W656" s="538"/>
      <c r="X656" s="538"/>
      <c r="Y656" s="538"/>
      <c r="Z656" s="507" t="s">
        <v>2453</v>
      </c>
      <c r="AA656" s="508"/>
      <c r="AB656" s="509"/>
      <c r="AC656" s="509"/>
      <c r="AD656" s="509"/>
    </row>
    <row r="657" ht="15.75" customHeight="1" outlineLevel="1">
      <c r="A657" s="521" t="s">
        <v>10529</v>
      </c>
      <c r="B657" s="522" t="s">
        <v>206</v>
      </c>
      <c r="C657" s="522" t="s">
        <v>27</v>
      </c>
      <c r="D657" s="523" t="s">
        <v>4</v>
      </c>
      <c r="E657" s="524" t="s">
        <v>27</v>
      </c>
      <c r="F657" s="523" t="s">
        <v>4</v>
      </c>
      <c r="G657" s="175" t="s">
        <v>42</v>
      </c>
      <c r="H657" s="525" t="s">
        <v>11540</v>
      </c>
      <c r="I657" s="222" t="s">
        <v>27</v>
      </c>
      <c r="J657" s="156" t="s">
        <v>4</v>
      </c>
      <c r="K657" s="524" t="s">
        <v>27</v>
      </c>
      <c r="L657" s="523" t="s">
        <v>4</v>
      </c>
      <c r="M657" s="523" t="s">
        <v>29</v>
      </c>
      <c r="N657" s="530" t="s">
        <v>10498</v>
      </c>
      <c r="O657" s="55" t="str">
        <f t="shared" si="14"/>
        <v>L4.00.00.05.00.00</v>
      </c>
      <c r="P657" s="173" t="str">
        <f t="shared" si="36"/>
        <v>L4.00.00.05.00.00.01</v>
      </c>
      <c r="Q657" s="428" t="s">
        <v>10530</v>
      </c>
      <c r="R657" s="223" t="str">
        <f t="shared" si="37"/>
        <v>Phòng Quan hệ cộng đồng - Hà Nội</v>
      </c>
      <c r="S657" s="173" t="s">
        <v>11541</v>
      </c>
      <c r="T657" s="528" t="s">
        <v>7593</v>
      </c>
      <c r="U657" s="528" t="s">
        <v>346</v>
      </c>
      <c r="V657" s="528" t="s">
        <v>36</v>
      </c>
      <c r="W657" s="529"/>
      <c r="X657" s="529"/>
      <c r="Y657" s="529"/>
      <c r="Z657" s="518" t="s">
        <v>11542</v>
      </c>
      <c r="AA657" s="300" t="s">
        <v>10530</v>
      </c>
      <c r="AB657" s="296"/>
      <c r="AC657" s="296"/>
      <c r="AD657" s="296"/>
    </row>
    <row r="658" ht="15.75" customHeight="1" outlineLevel="1">
      <c r="A658" s="521" t="s">
        <v>10529</v>
      </c>
      <c r="B658" s="522" t="s">
        <v>206</v>
      </c>
      <c r="C658" s="522" t="s">
        <v>27</v>
      </c>
      <c r="D658" s="523" t="s">
        <v>4</v>
      </c>
      <c r="E658" s="524" t="s">
        <v>27</v>
      </c>
      <c r="F658" s="523" t="s">
        <v>4</v>
      </c>
      <c r="G658" s="175" t="s">
        <v>42</v>
      </c>
      <c r="H658" s="525" t="s">
        <v>11543</v>
      </c>
      <c r="I658" s="177" t="s">
        <v>35</v>
      </c>
      <c r="J658" s="156" t="s">
        <v>4</v>
      </c>
      <c r="K658" s="524" t="s">
        <v>27</v>
      </c>
      <c r="L658" s="523" t="s">
        <v>4</v>
      </c>
      <c r="M658" s="523" t="s">
        <v>33</v>
      </c>
      <c r="N658" s="530" t="s">
        <v>10499</v>
      </c>
      <c r="O658" s="55" t="str">
        <f t="shared" si="14"/>
        <v>L4.00.00.05.03.00</v>
      </c>
      <c r="P658" s="173" t="str">
        <f t="shared" si="36"/>
        <v>L4.00.00.05.03.00.02</v>
      </c>
      <c r="Q658" s="428" t="s">
        <v>10530</v>
      </c>
      <c r="R658" s="223" t="str">
        <f t="shared" si="37"/>
        <v>Phòng Quan hệ cộng đồng - Hồ Chí Minh</v>
      </c>
      <c r="S658" s="173" t="s">
        <v>11541</v>
      </c>
      <c r="T658" s="528" t="s">
        <v>2452</v>
      </c>
      <c r="U658" s="528" t="s">
        <v>262</v>
      </c>
      <c r="V658" s="528" t="s">
        <v>36</v>
      </c>
      <c r="W658" s="529"/>
      <c r="X658" s="529"/>
      <c r="Y658" s="529"/>
      <c r="Z658" s="518" t="s">
        <v>11544</v>
      </c>
      <c r="AA658" s="300" t="s">
        <v>10530</v>
      </c>
      <c r="AB658" s="296"/>
      <c r="AC658" s="296"/>
      <c r="AD658" s="296"/>
    </row>
    <row r="659" ht="15.75" customHeight="1" outlineLevel="1">
      <c r="A659" s="177" t="s">
        <v>10529</v>
      </c>
      <c r="B659" s="221" t="s">
        <v>206</v>
      </c>
      <c r="C659" s="221" t="s">
        <v>27</v>
      </c>
      <c r="D659" s="172" t="s">
        <v>4</v>
      </c>
      <c r="E659" s="222" t="s">
        <v>27</v>
      </c>
      <c r="F659" s="172" t="s">
        <v>4</v>
      </c>
      <c r="G659" s="175" t="s">
        <v>44</v>
      </c>
      <c r="H659" s="230" t="s">
        <v>11545</v>
      </c>
      <c r="I659" s="175" t="s">
        <v>27</v>
      </c>
      <c r="J659" s="262" t="s">
        <v>4</v>
      </c>
      <c r="K659" s="297" t="s">
        <v>27</v>
      </c>
      <c r="L659" s="157" t="s">
        <v>4</v>
      </c>
      <c r="M659" s="157" t="s">
        <v>44</v>
      </c>
      <c r="N659" s="167" t="s">
        <v>10505</v>
      </c>
      <c r="O659" s="55" t="str">
        <f t="shared" si="14"/>
        <v>L4.00.00.06.00.00</v>
      </c>
      <c r="P659" s="173" t="str">
        <f t="shared" si="36"/>
        <v>L4.00.00.06.00.00.06</v>
      </c>
      <c r="Q659" s="428" t="s">
        <v>10530</v>
      </c>
      <c r="R659" s="539" t="s">
        <v>36</v>
      </c>
      <c r="S659" s="429" t="s">
        <v>11541</v>
      </c>
      <c r="T659" s="224" t="s">
        <v>3014</v>
      </c>
      <c r="U659" s="176" t="s">
        <v>303</v>
      </c>
      <c r="V659" s="176" t="s">
        <v>36</v>
      </c>
      <c r="W659" s="176"/>
      <c r="X659" s="176"/>
      <c r="Y659" s="176"/>
      <c r="Z659" s="225" t="s">
        <v>11546</v>
      </c>
      <c r="AA659" s="300" t="s">
        <v>10530</v>
      </c>
      <c r="AB659" s="226"/>
      <c r="AC659" s="376" t="s">
        <v>11148</v>
      </c>
      <c r="AD659" s="226"/>
    </row>
    <row r="660" ht="15.75" customHeight="1" outlineLevel="1">
      <c r="A660" s="177" t="s">
        <v>10529</v>
      </c>
      <c r="B660" s="221" t="s">
        <v>206</v>
      </c>
      <c r="C660" s="221" t="s">
        <v>27</v>
      </c>
      <c r="D660" s="172" t="s">
        <v>4</v>
      </c>
      <c r="E660" s="222" t="s">
        <v>27</v>
      </c>
      <c r="F660" s="172" t="s">
        <v>4</v>
      </c>
      <c r="G660" s="175" t="s">
        <v>44</v>
      </c>
      <c r="H660" s="230" t="s">
        <v>11545</v>
      </c>
      <c r="I660" s="222" t="s">
        <v>29</v>
      </c>
      <c r="J660" s="167" t="s">
        <v>223</v>
      </c>
      <c r="K660" s="297" t="s">
        <v>27</v>
      </c>
      <c r="L660" s="157" t="s">
        <v>4</v>
      </c>
      <c r="M660" s="157" t="s">
        <v>44</v>
      </c>
      <c r="N660" s="167" t="s">
        <v>10505</v>
      </c>
      <c r="O660" s="55" t="str">
        <f t="shared" si="14"/>
        <v>L4.00.00.06.01.00</v>
      </c>
      <c r="P660" s="173" t="str">
        <f t="shared" si="36"/>
        <v>L4.00.00.06.01.00.06</v>
      </c>
      <c r="Q660" s="428" t="s">
        <v>10530</v>
      </c>
      <c r="R660" s="223" t="str">
        <f t="shared" ref="R660:R694" si="38">if(L660&lt;&gt;"-",L660,if(AND(L660="-",J660&lt;&gt;"-"),J660,if(AND(J660="-",H660&lt;&gt;"-"),H660,"NA")))</f>
        <v>Ban giám đốc truyền thông</v>
      </c>
      <c r="S660" s="429" t="s">
        <v>11547</v>
      </c>
      <c r="T660" s="176" t="s">
        <v>600</v>
      </c>
      <c r="U660" s="176" t="s">
        <v>303</v>
      </c>
      <c r="V660" s="176" t="s">
        <v>36</v>
      </c>
      <c r="W660" s="176" t="s">
        <v>223</v>
      </c>
      <c r="X660" s="176"/>
      <c r="Y660" s="176"/>
      <c r="Z660" s="225" t="s">
        <v>11548</v>
      </c>
      <c r="AA660" s="300" t="s">
        <v>10530</v>
      </c>
      <c r="AB660" s="226"/>
      <c r="AC660" s="226"/>
      <c r="AD660" s="226"/>
    </row>
    <row r="661" ht="15.75" customHeight="1" outlineLevel="1">
      <c r="A661" s="177" t="s">
        <v>10529</v>
      </c>
      <c r="B661" s="221" t="s">
        <v>206</v>
      </c>
      <c r="C661" s="221" t="s">
        <v>27</v>
      </c>
      <c r="D661" s="172" t="s">
        <v>4</v>
      </c>
      <c r="E661" s="222" t="s">
        <v>27</v>
      </c>
      <c r="F661" s="172" t="s">
        <v>4</v>
      </c>
      <c r="G661" s="175" t="s">
        <v>46</v>
      </c>
      <c r="H661" s="171" t="s">
        <v>225</v>
      </c>
      <c r="I661" s="175" t="s">
        <v>27</v>
      </c>
      <c r="J661" s="262" t="s">
        <v>4</v>
      </c>
      <c r="K661" s="297" t="s">
        <v>27</v>
      </c>
      <c r="L661" s="157" t="s">
        <v>4</v>
      </c>
      <c r="M661" s="168" t="s">
        <v>27</v>
      </c>
      <c r="N661" s="167"/>
      <c r="O661" s="55" t="str">
        <f t="shared" si="14"/>
        <v>L4.00.00.07.00.00</v>
      </c>
      <c r="P661" s="173" t="str">
        <f t="shared" si="36"/>
        <v>L4.00.00.07.00.00.00</v>
      </c>
      <c r="Q661" s="428" t="s">
        <v>10530</v>
      </c>
      <c r="R661" s="223" t="str">
        <f t="shared" si="38"/>
        <v>Ban tài chính</v>
      </c>
      <c r="S661" s="429" t="s">
        <v>11511</v>
      </c>
      <c r="T661" s="176"/>
      <c r="U661" s="176"/>
      <c r="V661" s="176"/>
      <c r="W661" s="176"/>
      <c r="X661" s="176"/>
      <c r="Y661" s="224" t="s">
        <v>10894</v>
      </c>
      <c r="Z661" s="225" t="s">
        <v>11549</v>
      </c>
      <c r="AA661" s="266"/>
      <c r="AB661" s="226"/>
      <c r="AC661" s="226"/>
      <c r="AD661" s="226"/>
    </row>
    <row r="662" ht="15.75" customHeight="1" outlineLevel="1">
      <c r="A662" s="481" t="s">
        <v>10529</v>
      </c>
      <c r="B662" s="482" t="s">
        <v>206</v>
      </c>
      <c r="C662" s="482" t="s">
        <v>27</v>
      </c>
      <c r="D662" s="483" t="s">
        <v>4</v>
      </c>
      <c r="E662" s="484" t="s">
        <v>27</v>
      </c>
      <c r="F662" s="483" t="s">
        <v>4</v>
      </c>
      <c r="G662" s="485" t="s">
        <v>46</v>
      </c>
      <c r="H662" s="486" t="s">
        <v>225</v>
      </c>
      <c r="I662" s="483" t="s">
        <v>29</v>
      </c>
      <c r="J662" s="491" t="s">
        <v>226</v>
      </c>
      <c r="K662" s="488" t="s">
        <v>27</v>
      </c>
      <c r="L662" s="489" t="s">
        <v>4</v>
      </c>
      <c r="M662" s="490" t="s">
        <v>27</v>
      </c>
      <c r="N662" s="491"/>
      <c r="O662" s="492" t="str">
        <f t="shared" si="14"/>
        <v>L4.00.00.07.01.00</v>
      </c>
      <c r="P662" s="492" t="str">
        <f t="shared" si="36"/>
        <v>L4.00.00.07.01.00.00</v>
      </c>
      <c r="Q662" s="493" t="s">
        <v>10530</v>
      </c>
      <c r="R662" s="494" t="str">
        <f t="shared" si="38"/>
        <v>Phòng kế toán</v>
      </c>
      <c r="S662" s="540" t="s">
        <v>11550</v>
      </c>
      <c r="T662" s="495"/>
      <c r="U662" s="495"/>
      <c r="V662" s="495"/>
      <c r="W662" s="495"/>
      <c r="X662" s="495"/>
      <c r="Y662" s="495"/>
      <c r="Z662" s="496" t="s">
        <v>11551</v>
      </c>
      <c r="AA662" s="300" t="s">
        <v>10530</v>
      </c>
      <c r="AB662" s="498"/>
      <c r="AC662" s="498"/>
      <c r="AD662" s="498"/>
    </row>
    <row r="663" ht="15.75" customHeight="1" outlineLevel="1">
      <c r="A663" s="177" t="s">
        <v>10529</v>
      </c>
      <c r="B663" s="221" t="s">
        <v>206</v>
      </c>
      <c r="C663" s="221" t="s">
        <v>27</v>
      </c>
      <c r="D663" s="172" t="s">
        <v>4</v>
      </c>
      <c r="E663" s="222" t="s">
        <v>27</v>
      </c>
      <c r="F663" s="172" t="s">
        <v>4</v>
      </c>
      <c r="G663" s="175" t="s">
        <v>46</v>
      </c>
      <c r="H663" s="171" t="s">
        <v>225</v>
      </c>
      <c r="I663" s="172" t="s">
        <v>29</v>
      </c>
      <c r="J663" s="167" t="s">
        <v>226</v>
      </c>
      <c r="K663" s="297" t="s">
        <v>27</v>
      </c>
      <c r="L663" s="157" t="s">
        <v>4</v>
      </c>
      <c r="M663" s="157" t="s">
        <v>29</v>
      </c>
      <c r="N663" s="167" t="s">
        <v>10498</v>
      </c>
      <c r="O663" s="55" t="str">
        <f t="shared" si="14"/>
        <v>L4.00.00.07.01.00</v>
      </c>
      <c r="P663" s="173" t="str">
        <f t="shared" si="36"/>
        <v>L4.00.00.07.01.00.01</v>
      </c>
      <c r="Q663" s="223"/>
      <c r="R663" s="223" t="str">
        <f t="shared" si="38"/>
        <v>Phòng kế toán</v>
      </c>
      <c r="S663" s="429" t="s">
        <v>11552</v>
      </c>
      <c r="T663" s="176" t="s">
        <v>8341</v>
      </c>
      <c r="U663" s="176" t="s">
        <v>346</v>
      </c>
      <c r="V663" s="176" t="s">
        <v>2474</v>
      </c>
      <c r="W663" s="176"/>
      <c r="X663" s="176"/>
      <c r="Y663" s="176"/>
      <c r="Z663" s="541"/>
      <c r="AA663" s="266"/>
      <c r="AB663" s="226"/>
      <c r="AC663" s="226"/>
      <c r="AD663" s="226"/>
    </row>
    <row r="664" ht="15.75" customHeight="1" outlineLevel="1">
      <c r="A664" s="177" t="s">
        <v>10529</v>
      </c>
      <c r="B664" s="221" t="s">
        <v>206</v>
      </c>
      <c r="C664" s="221" t="s">
        <v>27</v>
      </c>
      <c r="D664" s="172" t="s">
        <v>4</v>
      </c>
      <c r="E664" s="222" t="s">
        <v>27</v>
      </c>
      <c r="F664" s="172" t="s">
        <v>4</v>
      </c>
      <c r="G664" s="175" t="s">
        <v>46</v>
      </c>
      <c r="H664" s="171" t="s">
        <v>225</v>
      </c>
      <c r="I664" s="172" t="s">
        <v>29</v>
      </c>
      <c r="J664" s="167" t="s">
        <v>226</v>
      </c>
      <c r="K664" s="297" t="s">
        <v>27</v>
      </c>
      <c r="L664" s="157" t="s">
        <v>4</v>
      </c>
      <c r="M664" s="157" t="s">
        <v>33</v>
      </c>
      <c r="N664" s="167" t="s">
        <v>10499</v>
      </c>
      <c r="O664" s="55" t="str">
        <f t="shared" si="14"/>
        <v>L4.00.00.07.01.00</v>
      </c>
      <c r="P664" s="173" t="str">
        <f t="shared" si="36"/>
        <v>L4.00.00.07.01.00.02</v>
      </c>
      <c r="Q664" s="223"/>
      <c r="R664" s="223" t="str">
        <f t="shared" si="38"/>
        <v>Phòng kế toán</v>
      </c>
      <c r="S664" s="429" t="s">
        <v>11552</v>
      </c>
      <c r="T664" s="176" t="s">
        <v>2475</v>
      </c>
      <c r="U664" s="176" t="s">
        <v>262</v>
      </c>
      <c r="V664" s="176" t="s">
        <v>2474</v>
      </c>
      <c r="W664" s="176"/>
      <c r="X664" s="176"/>
      <c r="Y664" s="176"/>
      <c r="Z664" s="541"/>
      <c r="AA664" s="266"/>
      <c r="AB664" s="226"/>
      <c r="AC664" s="226"/>
      <c r="AD664" s="226"/>
    </row>
    <row r="665" ht="15.75" customHeight="1" outlineLevel="1">
      <c r="A665" s="177" t="s">
        <v>10529</v>
      </c>
      <c r="B665" s="221" t="s">
        <v>206</v>
      </c>
      <c r="C665" s="221" t="s">
        <v>27</v>
      </c>
      <c r="D665" s="172" t="s">
        <v>4</v>
      </c>
      <c r="E665" s="222" t="s">
        <v>27</v>
      </c>
      <c r="F665" s="172" t="s">
        <v>4</v>
      </c>
      <c r="G665" s="175" t="s">
        <v>46</v>
      </c>
      <c r="H665" s="171" t="s">
        <v>225</v>
      </c>
      <c r="I665" s="172" t="s">
        <v>29</v>
      </c>
      <c r="J665" s="167" t="s">
        <v>226</v>
      </c>
      <c r="K665" s="297" t="s">
        <v>27</v>
      </c>
      <c r="L665" s="157" t="s">
        <v>4</v>
      </c>
      <c r="M665" s="157" t="s">
        <v>35</v>
      </c>
      <c r="N665" s="167" t="s">
        <v>10500</v>
      </c>
      <c r="O665" s="55" t="str">
        <f t="shared" si="14"/>
        <v>L4.00.00.07.01.00</v>
      </c>
      <c r="P665" s="173" t="str">
        <f t="shared" si="36"/>
        <v>L4.00.00.07.01.00.03</v>
      </c>
      <c r="Q665" s="223"/>
      <c r="R665" s="223" t="str">
        <f t="shared" si="38"/>
        <v>Phòng kế toán</v>
      </c>
      <c r="S665" s="429" t="s">
        <v>11552</v>
      </c>
      <c r="T665" s="176"/>
      <c r="U665" s="176"/>
      <c r="V665" s="176"/>
      <c r="W665" s="176"/>
      <c r="X665" s="176"/>
      <c r="Y665" s="224" t="s">
        <v>11553</v>
      </c>
      <c r="Z665" s="541"/>
      <c r="AA665" s="266"/>
      <c r="AB665" s="226"/>
      <c r="AC665" s="226"/>
      <c r="AD665" s="226"/>
    </row>
    <row r="666" ht="15.75" customHeight="1" outlineLevel="1">
      <c r="A666" s="177" t="s">
        <v>10529</v>
      </c>
      <c r="B666" s="221" t="s">
        <v>206</v>
      </c>
      <c r="C666" s="221" t="s">
        <v>27</v>
      </c>
      <c r="D666" s="172" t="s">
        <v>4</v>
      </c>
      <c r="E666" s="222" t="s">
        <v>27</v>
      </c>
      <c r="F666" s="172" t="s">
        <v>4</v>
      </c>
      <c r="G666" s="175" t="s">
        <v>46</v>
      </c>
      <c r="H666" s="171" t="s">
        <v>225</v>
      </c>
      <c r="I666" s="172" t="s">
        <v>29</v>
      </c>
      <c r="J666" s="167" t="s">
        <v>226</v>
      </c>
      <c r="K666" s="297" t="s">
        <v>27</v>
      </c>
      <c r="L666" s="157" t="s">
        <v>4</v>
      </c>
      <c r="M666" s="157" t="s">
        <v>37</v>
      </c>
      <c r="N666" s="298" t="s">
        <v>10900</v>
      </c>
      <c r="O666" s="55" t="str">
        <f t="shared" si="14"/>
        <v>L4.00.00.07.01.00</v>
      </c>
      <c r="P666" s="173" t="str">
        <f t="shared" si="36"/>
        <v>L4.00.00.07.01.00.04</v>
      </c>
      <c r="Q666" s="223"/>
      <c r="R666" s="223" t="str">
        <f t="shared" si="38"/>
        <v>Phòng kế toán</v>
      </c>
      <c r="S666" s="429" t="s">
        <v>11552</v>
      </c>
      <c r="T666" s="176"/>
      <c r="U666" s="176"/>
      <c r="V666" s="176"/>
      <c r="W666" s="176"/>
      <c r="X666" s="176"/>
      <c r="Y666" s="224" t="s">
        <v>11553</v>
      </c>
      <c r="Z666" s="541"/>
      <c r="AA666" s="266"/>
      <c r="AB666" s="226"/>
      <c r="AC666" s="226"/>
      <c r="AD666" s="226"/>
    </row>
    <row r="667" ht="15.75" customHeight="1" outlineLevel="1">
      <c r="A667" s="177" t="s">
        <v>10529</v>
      </c>
      <c r="B667" s="221" t="s">
        <v>206</v>
      </c>
      <c r="C667" s="221" t="s">
        <v>27</v>
      </c>
      <c r="D667" s="172" t="s">
        <v>4</v>
      </c>
      <c r="E667" s="222" t="s">
        <v>27</v>
      </c>
      <c r="F667" s="172" t="s">
        <v>4</v>
      </c>
      <c r="G667" s="175" t="s">
        <v>46</v>
      </c>
      <c r="H667" s="171" t="s">
        <v>225</v>
      </c>
      <c r="I667" s="172" t="s">
        <v>29</v>
      </c>
      <c r="J667" s="167" t="s">
        <v>226</v>
      </c>
      <c r="K667" s="297" t="s">
        <v>27</v>
      </c>
      <c r="L667" s="157" t="s">
        <v>4</v>
      </c>
      <c r="M667" s="157" t="s">
        <v>44</v>
      </c>
      <c r="N667" s="167" t="s">
        <v>10505</v>
      </c>
      <c r="O667" s="55" t="str">
        <f t="shared" si="14"/>
        <v>L4.00.00.07.01.00</v>
      </c>
      <c r="P667" s="173" t="str">
        <f t="shared" si="36"/>
        <v>L4.00.00.07.01.00.06</v>
      </c>
      <c r="Q667" s="223"/>
      <c r="R667" s="223" t="str">
        <f t="shared" si="38"/>
        <v>Phòng kế toán</v>
      </c>
      <c r="S667" s="429" t="s">
        <v>11552</v>
      </c>
      <c r="T667" s="176" t="s">
        <v>9890</v>
      </c>
      <c r="U667" s="176" t="s">
        <v>303</v>
      </c>
      <c r="V667" s="176" t="s">
        <v>226</v>
      </c>
      <c r="W667" s="176"/>
      <c r="X667" s="176"/>
      <c r="Y667" s="176"/>
      <c r="Z667" s="541"/>
      <c r="AA667" s="266"/>
      <c r="AB667" s="226"/>
      <c r="AC667" s="226"/>
      <c r="AD667" s="226"/>
    </row>
    <row r="668" ht="15.75" customHeight="1" outlineLevel="1">
      <c r="A668" s="177" t="s">
        <v>10529</v>
      </c>
      <c r="B668" s="221" t="s">
        <v>206</v>
      </c>
      <c r="C668" s="221" t="s">
        <v>27</v>
      </c>
      <c r="D668" s="172" t="s">
        <v>4</v>
      </c>
      <c r="E668" s="222" t="s">
        <v>27</v>
      </c>
      <c r="F668" s="172" t="s">
        <v>4</v>
      </c>
      <c r="G668" s="175" t="s">
        <v>46</v>
      </c>
      <c r="H668" s="171" t="s">
        <v>225</v>
      </c>
      <c r="I668" s="172" t="s">
        <v>29</v>
      </c>
      <c r="J668" s="167" t="s">
        <v>226</v>
      </c>
      <c r="K668" s="297" t="s">
        <v>27</v>
      </c>
      <c r="L668" s="157" t="s">
        <v>4</v>
      </c>
      <c r="M668" s="157" t="s">
        <v>46</v>
      </c>
      <c r="N668" s="167" t="s">
        <v>10496</v>
      </c>
      <c r="O668" s="55" t="str">
        <f t="shared" si="14"/>
        <v>L4.00.00.07.01.00</v>
      </c>
      <c r="P668" s="173" t="str">
        <f t="shared" si="36"/>
        <v>L4.00.00.07.01.00.07</v>
      </c>
      <c r="Q668" s="223"/>
      <c r="R668" s="223" t="str">
        <f t="shared" si="38"/>
        <v>Phòng kế toán</v>
      </c>
      <c r="S668" s="429" t="s">
        <v>11552</v>
      </c>
      <c r="T668" s="430"/>
      <c r="U668" s="430"/>
      <c r="V668" s="430"/>
      <c r="W668" s="176"/>
      <c r="X668" s="176"/>
      <c r="Y668" s="224" t="s">
        <v>11553</v>
      </c>
      <c r="Z668" s="541"/>
      <c r="AA668" s="266"/>
      <c r="AB668" s="226"/>
      <c r="AC668" s="226"/>
      <c r="AD668" s="226"/>
    </row>
    <row r="669" ht="15.75" customHeight="1" outlineLevel="1">
      <c r="A669" s="177" t="s">
        <v>10529</v>
      </c>
      <c r="B669" s="221" t="s">
        <v>206</v>
      </c>
      <c r="C669" s="221" t="s">
        <v>27</v>
      </c>
      <c r="D669" s="172" t="s">
        <v>4</v>
      </c>
      <c r="E669" s="222" t="s">
        <v>27</v>
      </c>
      <c r="F669" s="172" t="s">
        <v>4</v>
      </c>
      <c r="G669" s="175" t="s">
        <v>46</v>
      </c>
      <c r="H669" s="171" t="s">
        <v>225</v>
      </c>
      <c r="I669" s="172" t="s">
        <v>33</v>
      </c>
      <c r="J669" s="167" t="s">
        <v>227</v>
      </c>
      <c r="K669" s="297" t="s">
        <v>27</v>
      </c>
      <c r="L669" s="157" t="s">
        <v>4</v>
      </c>
      <c r="M669" s="157" t="s">
        <v>44</v>
      </c>
      <c r="N669" s="167" t="s">
        <v>10505</v>
      </c>
      <c r="O669" s="55" t="str">
        <f t="shared" si="14"/>
        <v>L4.00.00.07.02.00</v>
      </c>
      <c r="P669" s="173" t="str">
        <f t="shared" si="36"/>
        <v>L4.00.00.07.02.00.06</v>
      </c>
      <c r="Q669" s="428" t="s">
        <v>10530</v>
      </c>
      <c r="R669" s="223" t="str">
        <f t="shared" si="38"/>
        <v>Phòng kế hoạch đầu tư</v>
      </c>
      <c r="S669" s="429" t="s">
        <v>11550</v>
      </c>
      <c r="T669" s="176" t="s">
        <v>9692</v>
      </c>
      <c r="U669" s="176" t="s">
        <v>303</v>
      </c>
      <c r="V669" s="176" t="s">
        <v>9691</v>
      </c>
      <c r="W669" s="176"/>
      <c r="X669" s="176"/>
      <c r="Y669" s="430"/>
      <c r="Z669" s="225" t="s">
        <v>11554</v>
      </c>
      <c r="AA669" s="300" t="s">
        <v>10530</v>
      </c>
      <c r="AB669" s="226"/>
      <c r="AC669" s="226"/>
      <c r="AD669" s="226"/>
    </row>
    <row r="670" ht="15.75" customHeight="1" outlineLevel="1">
      <c r="A670" s="481" t="s">
        <v>10529</v>
      </c>
      <c r="B670" s="482" t="s">
        <v>206</v>
      </c>
      <c r="C670" s="482" t="s">
        <v>27</v>
      </c>
      <c r="D670" s="483" t="s">
        <v>4</v>
      </c>
      <c r="E670" s="484" t="s">
        <v>27</v>
      </c>
      <c r="F670" s="483" t="s">
        <v>4</v>
      </c>
      <c r="G670" s="485" t="s">
        <v>49</v>
      </c>
      <c r="H670" s="486" t="s">
        <v>228</v>
      </c>
      <c r="I670" s="484" t="s">
        <v>27</v>
      </c>
      <c r="J670" s="487" t="s">
        <v>4</v>
      </c>
      <c r="K670" s="488" t="s">
        <v>27</v>
      </c>
      <c r="L670" s="489" t="s">
        <v>4</v>
      </c>
      <c r="M670" s="490" t="s">
        <v>27</v>
      </c>
      <c r="N670" s="491"/>
      <c r="O670" s="492" t="str">
        <f t="shared" si="14"/>
        <v>L4.00.00.08.00.00</v>
      </c>
      <c r="P670" s="492" t="str">
        <f t="shared" si="36"/>
        <v>L4.00.00.08.00.00.00</v>
      </c>
      <c r="Q670" s="493" t="s">
        <v>10530</v>
      </c>
      <c r="R670" s="494" t="str">
        <f t="shared" si="38"/>
        <v>Ban nhân sự</v>
      </c>
      <c r="S670" s="542" t="s">
        <v>11511</v>
      </c>
      <c r="T670" s="543"/>
      <c r="U670" s="543"/>
      <c r="V670" s="543"/>
      <c r="W670" s="543"/>
      <c r="X670" s="495"/>
      <c r="Y670" s="495"/>
      <c r="Z670" s="496" t="s">
        <v>2719</v>
      </c>
      <c r="AA670" s="300" t="s">
        <v>10530</v>
      </c>
      <c r="AB670" s="498"/>
      <c r="AC670" s="498"/>
      <c r="AD670" s="498"/>
    </row>
    <row r="671" ht="15.75" customHeight="1" outlineLevel="1">
      <c r="A671" s="115" t="s">
        <v>10529</v>
      </c>
      <c r="B671" s="116" t="s">
        <v>206</v>
      </c>
      <c r="C671" s="116" t="s">
        <v>27</v>
      </c>
      <c r="D671" s="117" t="s">
        <v>4</v>
      </c>
      <c r="E671" s="118" t="s">
        <v>27</v>
      </c>
      <c r="F671" s="117" t="s">
        <v>4</v>
      </c>
      <c r="G671" s="431" t="s">
        <v>49</v>
      </c>
      <c r="H671" s="119" t="s">
        <v>228</v>
      </c>
      <c r="I671" s="118" t="s">
        <v>27</v>
      </c>
      <c r="J671" s="120" t="s">
        <v>4</v>
      </c>
      <c r="K671" s="121" t="s">
        <v>27</v>
      </c>
      <c r="L671" s="122" t="s">
        <v>4</v>
      </c>
      <c r="M671" s="122" t="s">
        <v>44</v>
      </c>
      <c r="N671" s="123" t="s">
        <v>10505</v>
      </c>
      <c r="O671" s="149" t="str">
        <f t="shared" si="14"/>
        <v>L4.00.00.08.00.00</v>
      </c>
      <c r="P671" s="124" t="str">
        <f t="shared" si="36"/>
        <v>L4.00.00.08.00.00.06</v>
      </c>
      <c r="Q671" s="432"/>
      <c r="R671" s="432" t="str">
        <f t="shared" si="38"/>
        <v>Ban nhân sự</v>
      </c>
      <c r="S671" s="544" t="s">
        <v>11555</v>
      </c>
      <c r="T671" s="545" t="s">
        <v>304</v>
      </c>
      <c r="U671" s="545" t="s">
        <v>303</v>
      </c>
      <c r="V671" s="545" t="s">
        <v>228</v>
      </c>
      <c r="W671" s="545" t="s">
        <v>228</v>
      </c>
      <c r="X671" s="434"/>
      <c r="Y671" s="434"/>
      <c r="Z671" s="322"/>
      <c r="AA671" s="266"/>
      <c r="AB671" s="436"/>
      <c r="AC671" s="436"/>
      <c r="AD671" s="436"/>
    </row>
    <row r="672" ht="15.75" customHeight="1" outlineLevel="1">
      <c r="A672" s="115" t="s">
        <v>10529</v>
      </c>
      <c r="B672" s="116" t="s">
        <v>206</v>
      </c>
      <c r="C672" s="116" t="s">
        <v>27</v>
      </c>
      <c r="D672" s="117" t="s">
        <v>4</v>
      </c>
      <c r="E672" s="118" t="s">
        <v>27</v>
      </c>
      <c r="F672" s="117" t="s">
        <v>4</v>
      </c>
      <c r="G672" s="431" t="s">
        <v>49</v>
      </c>
      <c r="H672" s="119" t="s">
        <v>228</v>
      </c>
      <c r="I672" s="118" t="s">
        <v>27</v>
      </c>
      <c r="J672" s="120" t="s">
        <v>4</v>
      </c>
      <c r="K672" s="121" t="s">
        <v>27</v>
      </c>
      <c r="L672" s="122" t="s">
        <v>4</v>
      </c>
      <c r="M672" s="122" t="s">
        <v>29</v>
      </c>
      <c r="N672" s="123" t="s">
        <v>10498</v>
      </c>
      <c r="O672" s="149" t="str">
        <f t="shared" si="14"/>
        <v>L4.00.00.08.00.00</v>
      </c>
      <c r="P672" s="124" t="str">
        <f t="shared" si="36"/>
        <v>L4.00.00.08.00.00.01</v>
      </c>
      <c r="Q672" s="432"/>
      <c r="R672" s="432" t="str">
        <f t="shared" si="38"/>
        <v>Ban nhân sự</v>
      </c>
      <c r="S672" s="433" t="s">
        <v>11555</v>
      </c>
      <c r="T672" s="434" t="s">
        <v>347</v>
      </c>
      <c r="U672" s="434" t="s">
        <v>346</v>
      </c>
      <c r="V672" s="434" t="s">
        <v>38</v>
      </c>
      <c r="W672" s="434"/>
      <c r="X672" s="434"/>
      <c r="Y672" s="434"/>
      <c r="Z672" s="322"/>
      <c r="AA672" s="323"/>
      <c r="AB672" s="436"/>
      <c r="AC672" s="436"/>
      <c r="AD672" s="436"/>
    </row>
    <row r="673" ht="15.75" customHeight="1" outlineLevel="1">
      <c r="A673" s="115" t="s">
        <v>10529</v>
      </c>
      <c r="B673" s="116" t="s">
        <v>206</v>
      </c>
      <c r="C673" s="116" t="s">
        <v>27</v>
      </c>
      <c r="D673" s="117" t="s">
        <v>4</v>
      </c>
      <c r="E673" s="118" t="s">
        <v>27</v>
      </c>
      <c r="F673" s="117" t="s">
        <v>4</v>
      </c>
      <c r="G673" s="431" t="s">
        <v>49</v>
      </c>
      <c r="H673" s="119" t="s">
        <v>228</v>
      </c>
      <c r="I673" s="118" t="s">
        <v>27</v>
      </c>
      <c r="J673" s="120" t="s">
        <v>4</v>
      </c>
      <c r="K673" s="121" t="s">
        <v>27</v>
      </c>
      <c r="L673" s="122" t="s">
        <v>4</v>
      </c>
      <c r="M673" s="122" t="s">
        <v>33</v>
      </c>
      <c r="N673" s="123" t="s">
        <v>10499</v>
      </c>
      <c r="O673" s="149" t="str">
        <f t="shared" si="14"/>
        <v>L4.00.00.08.00.00</v>
      </c>
      <c r="P673" s="124" t="str">
        <f t="shared" si="36"/>
        <v>L4.00.00.08.00.00.02</v>
      </c>
      <c r="Q673" s="432"/>
      <c r="R673" s="432" t="str">
        <f t="shared" si="38"/>
        <v>Ban nhân sự</v>
      </c>
      <c r="S673" s="433" t="s">
        <v>11555</v>
      </c>
      <c r="T673" s="434" t="s">
        <v>2423</v>
      </c>
      <c r="U673" s="434" t="s">
        <v>262</v>
      </c>
      <c r="V673" s="434" t="s">
        <v>38</v>
      </c>
      <c r="W673" s="434"/>
      <c r="X673" s="434"/>
      <c r="Y673" s="434"/>
      <c r="Z673" s="322"/>
      <c r="AA673" s="323"/>
      <c r="AB673" s="436"/>
      <c r="AC673" s="436"/>
      <c r="AD673" s="436"/>
    </row>
    <row r="674" ht="15.75" customHeight="1" outlineLevel="1">
      <c r="A674" s="177" t="s">
        <v>10529</v>
      </c>
      <c r="B674" s="221" t="s">
        <v>206</v>
      </c>
      <c r="C674" s="221" t="s">
        <v>27</v>
      </c>
      <c r="D674" s="172" t="s">
        <v>4</v>
      </c>
      <c r="E674" s="222" t="s">
        <v>27</v>
      </c>
      <c r="F674" s="172" t="s">
        <v>4</v>
      </c>
      <c r="G674" s="175" t="s">
        <v>51</v>
      </c>
      <c r="H674" s="171" t="s">
        <v>229</v>
      </c>
      <c r="I674" s="222" t="s">
        <v>27</v>
      </c>
      <c r="J674" s="156" t="s">
        <v>4</v>
      </c>
      <c r="K674" s="297" t="s">
        <v>27</v>
      </c>
      <c r="L674" s="157" t="s">
        <v>4</v>
      </c>
      <c r="M674" s="157" t="s">
        <v>44</v>
      </c>
      <c r="N674" s="167" t="s">
        <v>10505</v>
      </c>
      <c r="O674" s="55" t="str">
        <f t="shared" si="14"/>
        <v>L4.00.00.09.00.00</v>
      </c>
      <c r="P674" s="173" t="str">
        <f t="shared" si="36"/>
        <v>L4.00.00.09.00.00.06</v>
      </c>
      <c r="Q674" s="428" t="s">
        <v>10530</v>
      </c>
      <c r="R674" s="223" t="str">
        <f t="shared" si="38"/>
        <v>Ban pháp chế</v>
      </c>
      <c r="S674" s="429" t="s">
        <v>11511</v>
      </c>
      <c r="T674" s="176" t="s">
        <v>9755</v>
      </c>
      <c r="U674" s="176" t="s">
        <v>303</v>
      </c>
      <c r="V674" s="176" t="s">
        <v>9754</v>
      </c>
      <c r="W674" s="176"/>
      <c r="X674" s="176"/>
      <c r="Y674" s="176"/>
      <c r="Z674" s="225" t="s">
        <v>11556</v>
      </c>
      <c r="AA674" s="300" t="s">
        <v>10530</v>
      </c>
      <c r="AB674" s="226"/>
      <c r="AC674" s="226"/>
      <c r="AD674" s="226"/>
    </row>
    <row r="675" ht="15.75" customHeight="1" outlineLevel="1">
      <c r="A675" s="177" t="s">
        <v>10529</v>
      </c>
      <c r="B675" s="221" t="s">
        <v>206</v>
      </c>
      <c r="C675" s="221" t="s">
        <v>27</v>
      </c>
      <c r="D675" s="172" t="s">
        <v>4</v>
      </c>
      <c r="E675" s="222" t="s">
        <v>27</v>
      </c>
      <c r="F675" s="172" t="s">
        <v>4</v>
      </c>
      <c r="G675" s="175" t="s">
        <v>55</v>
      </c>
      <c r="H675" s="171" t="s">
        <v>230</v>
      </c>
      <c r="I675" s="222" t="s">
        <v>27</v>
      </c>
      <c r="J675" s="156" t="s">
        <v>4</v>
      </c>
      <c r="K675" s="297" t="s">
        <v>27</v>
      </c>
      <c r="L675" s="157" t="s">
        <v>4</v>
      </c>
      <c r="M675" s="157" t="s">
        <v>44</v>
      </c>
      <c r="N675" s="167" t="s">
        <v>10505</v>
      </c>
      <c r="O675" s="55" t="str">
        <f t="shared" si="14"/>
        <v>L4.00.00.10.00.00</v>
      </c>
      <c r="P675" s="173" t="str">
        <f t="shared" si="36"/>
        <v>L4.00.00.10.00.00.06</v>
      </c>
      <c r="Q675" s="428" t="s">
        <v>10530</v>
      </c>
      <c r="R675" s="223" t="str">
        <f t="shared" si="38"/>
        <v>Ban quản lý chứng thư số</v>
      </c>
      <c r="S675" s="217" t="s">
        <v>11511</v>
      </c>
      <c r="T675" s="546" t="s">
        <v>7265</v>
      </c>
      <c r="U675" s="546" t="s">
        <v>303</v>
      </c>
      <c r="V675" s="546" t="s">
        <v>7264</v>
      </c>
      <c r="W675" s="546" t="s">
        <v>7264</v>
      </c>
      <c r="X675" s="176"/>
      <c r="Y675" s="176"/>
      <c r="Z675" s="225" t="s">
        <v>11557</v>
      </c>
      <c r="AA675" s="300" t="s">
        <v>10530</v>
      </c>
      <c r="AB675" s="226"/>
      <c r="AC675" s="226"/>
      <c r="AD675" s="226"/>
    </row>
    <row r="676" ht="15.75" customHeight="1" outlineLevel="1">
      <c r="A676" s="177" t="s">
        <v>10529</v>
      </c>
      <c r="B676" s="221" t="s">
        <v>206</v>
      </c>
      <c r="C676" s="221" t="s">
        <v>27</v>
      </c>
      <c r="D676" s="172" t="s">
        <v>4</v>
      </c>
      <c r="E676" s="222" t="s">
        <v>27</v>
      </c>
      <c r="F676" s="172" t="s">
        <v>4</v>
      </c>
      <c r="G676" s="175" t="s">
        <v>61</v>
      </c>
      <c r="H676" s="171" t="s">
        <v>231</v>
      </c>
      <c r="I676" s="222" t="s">
        <v>27</v>
      </c>
      <c r="J676" s="156" t="s">
        <v>4</v>
      </c>
      <c r="K676" s="297" t="s">
        <v>27</v>
      </c>
      <c r="L676" s="157" t="s">
        <v>4</v>
      </c>
      <c r="M676" s="157" t="s">
        <v>44</v>
      </c>
      <c r="N676" s="167" t="s">
        <v>10505</v>
      </c>
      <c r="O676" s="55" t="str">
        <f t="shared" si="14"/>
        <v>L4.00.00.11.00.00</v>
      </c>
      <c r="P676" s="173" t="str">
        <f t="shared" si="36"/>
        <v>L4.00.00.11.00.00.06</v>
      </c>
      <c r="Q676" s="428" t="s">
        <v>10530</v>
      </c>
      <c r="R676" s="223" t="str">
        <f t="shared" si="38"/>
        <v>Ban đảm bảo chất lượng</v>
      </c>
      <c r="S676" s="429" t="s">
        <v>11511</v>
      </c>
      <c r="T676" s="176" t="s">
        <v>4395</v>
      </c>
      <c r="U676" s="176" t="s">
        <v>303</v>
      </c>
      <c r="V676" s="176" t="s">
        <v>231</v>
      </c>
      <c r="W676" s="176"/>
      <c r="X676" s="176"/>
      <c r="Y676" s="176"/>
      <c r="Z676" s="225" t="s">
        <v>11558</v>
      </c>
      <c r="AA676" s="300" t="s">
        <v>10530</v>
      </c>
      <c r="AB676" s="226"/>
      <c r="AC676" s="226"/>
      <c r="AD676" s="226"/>
    </row>
    <row r="677" ht="15.75" customHeight="1" outlineLevel="1">
      <c r="A677" s="481" t="s">
        <v>10529</v>
      </c>
      <c r="B677" s="482" t="s">
        <v>206</v>
      </c>
      <c r="C677" s="482" t="s">
        <v>27</v>
      </c>
      <c r="D677" s="483" t="s">
        <v>4</v>
      </c>
      <c r="E677" s="484" t="s">
        <v>27</v>
      </c>
      <c r="F677" s="483" t="s">
        <v>4</v>
      </c>
      <c r="G677" s="481">
        <v>12.0</v>
      </c>
      <c r="H677" s="547" t="s">
        <v>9306</v>
      </c>
      <c r="I677" s="485" t="s">
        <v>27</v>
      </c>
      <c r="J677" s="548" t="s">
        <v>4</v>
      </c>
      <c r="K677" s="488" t="s">
        <v>27</v>
      </c>
      <c r="L677" s="489" t="s">
        <v>4</v>
      </c>
      <c r="M677" s="490" t="s">
        <v>27</v>
      </c>
      <c r="N677" s="491" t="s">
        <v>10505</v>
      </c>
      <c r="O677" s="492" t="str">
        <f t="shared" si="14"/>
        <v>L4.00.00.12.00.00</v>
      </c>
      <c r="P677" s="492" t="str">
        <f t="shared" si="36"/>
        <v>L4.00.00.12.00.00.00</v>
      </c>
      <c r="Q677" s="493" t="s">
        <v>10530</v>
      </c>
      <c r="R677" s="494" t="str">
        <f t="shared" si="38"/>
        <v>Ban Quản lý kinh doanh</v>
      </c>
      <c r="S677" s="540" t="s">
        <v>11511</v>
      </c>
      <c r="T677" s="495" t="s">
        <v>9307</v>
      </c>
      <c r="U677" s="495" t="s">
        <v>303</v>
      </c>
      <c r="V677" s="495" t="s">
        <v>9306</v>
      </c>
      <c r="W677" s="495"/>
      <c r="X677" s="495"/>
      <c r="Y677" s="495"/>
      <c r="Z677" s="496" t="s">
        <v>11559</v>
      </c>
      <c r="AA677" s="300" t="s">
        <v>10530</v>
      </c>
      <c r="AB677" s="498"/>
      <c r="AC677" s="498"/>
      <c r="AD677" s="498"/>
    </row>
    <row r="678" ht="15.75" customHeight="1" outlineLevel="1">
      <c r="A678" s="261" t="s">
        <v>10529</v>
      </c>
      <c r="B678" s="231" t="s">
        <v>206</v>
      </c>
      <c r="C678" s="231" t="s">
        <v>27</v>
      </c>
      <c r="D678" s="157" t="s">
        <v>4</v>
      </c>
      <c r="E678" s="297" t="s">
        <v>27</v>
      </c>
      <c r="F678" s="157" t="s">
        <v>4</v>
      </c>
      <c r="G678" s="261">
        <v>12.0</v>
      </c>
      <c r="H678" s="298" t="s">
        <v>9306</v>
      </c>
      <c r="I678" s="157" t="s">
        <v>29</v>
      </c>
      <c r="J678" s="298" t="s">
        <v>11560</v>
      </c>
      <c r="K678" s="297" t="s">
        <v>27</v>
      </c>
      <c r="L678" s="157" t="s">
        <v>4</v>
      </c>
      <c r="M678" s="168" t="s">
        <v>27</v>
      </c>
      <c r="N678" s="167"/>
      <c r="O678" s="159" t="str">
        <f t="shared" si="14"/>
        <v>L4.00.00.12.01.00</v>
      </c>
      <c r="P678" s="257" t="str">
        <f t="shared" si="36"/>
        <v>L4.00.00.12.01.00.00</v>
      </c>
      <c r="Q678" s="299"/>
      <c r="R678" s="299" t="str">
        <f t="shared" si="38"/>
        <v>Ban Quản lý kinh doanh - Khối HCSN</v>
      </c>
      <c r="S678" s="269" t="s">
        <v>11561</v>
      </c>
      <c r="T678" s="265"/>
      <c r="U678" s="265"/>
      <c r="V678" s="265"/>
      <c r="W678" s="265"/>
      <c r="X678" s="265"/>
      <c r="Y678" s="265"/>
      <c r="Z678" s="549" t="s">
        <v>11562</v>
      </c>
      <c r="AA678" s="266"/>
      <c r="AB678" s="267"/>
      <c r="AC678" s="267"/>
      <c r="AD678" s="267"/>
    </row>
    <row r="679" ht="15.75" customHeight="1" outlineLevel="1">
      <c r="A679" s="177" t="s">
        <v>10529</v>
      </c>
      <c r="B679" s="221" t="s">
        <v>206</v>
      </c>
      <c r="C679" s="221" t="s">
        <v>27</v>
      </c>
      <c r="D679" s="172" t="s">
        <v>4</v>
      </c>
      <c r="E679" s="222" t="s">
        <v>27</v>
      </c>
      <c r="F679" s="172" t="s">
        <v>4</v>
      </c>
      <c r="G679" s="177">
        <v>12.0</v>
      </c>
      <c r="H679" s="230" t="s">
        <v>9306</v>
      </c>
      <c r="I679" s="172" t="s">
        <v>29</v>
      </c>
      <c r="J679" s="298" t="s">
        <v>11560</v>
      </c>
      <c r="K679" s="297" t="s">
        <v>27</v>
      </c>
      <c r="L679" s="157" t="s">
        <v>4</v>
      </c>
      <c r="M679" s="157" t="s">
        <v>44</v>
      </c>
      <c r="N679" s="167" t="s">
        <v>10505</v>
      </c>
      <c r="O679" s="55" t="str">
        <f t="shared" si="14"/>
        <v>L4.00.00.12.01.00</v>
      </c>
      <c r="P679" s="173" t="str">
        <f t="shared" si="36"/>
        <v>L4.00.00.12.01.00.06</v>
      </c>
      <c r="Q679" s="223"/>
      <c r="R679" s="432" t="str">
        <f t="shared" si="38"/>
        <v>Ban Quản lý kinh doanh - Khối HCSN</v>
      </c>
      <c r="S679" s="429" t="s">
        <v>11563</v>
      </c>
      <c r="T679" s="176"/>
      <c r="U679" s="176"/>
      <c r="V679" s="176"/>
      <c r="W679" s="176"/>
      <c r="X679" s="176"/>
      <c r="Y679" s="176"/>
      <c r="Z679" s="541"/>
      <c r="AA679" s="266"/>
      <c r="AB679" s="226"/>
      <c r="AC679" s="226"/>
      <c r="AD679" s="226"/>
    </row>
    <row r="680" ht="15.75" customHeight="1" outlineLevel="1">
      <c r="A680" s="177" t="s">
        <v>10529</v>
      </c>
      <c r="B680" s="221" t="s">
        <v>206</v>
      </c>
      <c r="C680" s="221" t="s">
        <v>27</v>
      </c>
      <c r="D680" s="172" t="s">
        <v>4</v>
      </c>
      <c r="E680" s="222" t="s">
        <v>27</v>
      </c>
      <c r="F680" s="172" t="s">
        <v>4</v>
      </c>
      <c r="G680" s="177">
        <v>12.0</v>
      </c>
      <c r="H680" s="230" t="s">
        <v>9306</v>
      </c>
      <c r="I680" s="172" t="s">
        <v>29</v>
      </c>
      <c r="J680" s="298" t="s">
        <v>11560</v>
      </c>
      <c r="K680" s="297" t="s">
        <v>27</v>
      </c>
      <c r="L680" s="157" t="s">
        <v>4</v>
      </c>
      <c r="M680" s="122" t="s">
        <v>33</v>
      </c>
      <c r="N680" s="123" t="s">
        <v>10499</v>
      </c>
      <c r="O680" s="55" t="str">
        <f t="shared" si="14"/>
        <v>L4.00.00.12.01.00</v>
      </c>
      <c r="P680" s="173" t="str">
        <f t="shared" si="36"/>
        <v>L4.00.00.12.01.00.02</v>
      </c>
      <c r="Q680" s="223"/>
      <c r="R680" s="432" t="str">
        <f t="shared" si="38"/>
        <v>Ban Quản lý kinh doanh - Khối HCSN</v>
      </c>
      <c r="S680" s="429" t="s">
        <v>11563</v>
      </c>
      <c r="T680" s="176"/>
      <c r="U680" s="176"/>
      <c r="V680" s="176"/>
      <c r="W680" s="176"/>
      <c r="X680" s="176"/>
      <c r="Y680" s="176"/>
      <c r="Z680" s="541"/>
      <c r="AA680" s="266"/>
      <c r="AB680" s="226"/>
      <c r="AC680" s="226"/>
      <c r="AD680" s="226"/>
    </row>
    <row r="681" ht="15.75" customHeight="1" outlineLevel="1">
      <c r="A681" s="177" t="s">
        <v>10529</v>
      </c>
      <c r="B681" s="221" t="s">
        <v>206</v>
      </c>
      <c r="C681" s="221" t="s">
        <v>27</v>
      </c>
      <c r="D681" s="172" t="s">
        <v>4</v>
      </c>
      <c r="E681" s="222" t="s">
        <v>27</v>
      </c>
      <c r="F681" s="172" t="s">
        <v>4</v>
      </c>
      <c r="G681" s="177">
        <v>12.0</v>
      </c>
      <c r="H681" s="230" t="s">
        <v>9306</v>
      </c>
      <c r="I681" s="172" t="s">
        <v>33</v>
      </c>
      <c r="J681" s="298" t="s">
        <v>11564</v>
      </c>
      <c r="K681" s="297" t="s">
        <v>27</v>
      </c>
      <c r="L681" s="157" t="s">
        <v>4</v>
      </c>
      <c r="M681" s="157" t="s">
        <v>44</v>
      </c>
      <c r="N681" s="167" t="s">
        <v>10505</v>
      </c>
      <c r="O681" s="55" t="str">
        <f t="shared" si="14"/>
        <v>L4.00.00.12.02.00</v>
      </c>
      <c r="P681" s="173" t="str">
        <f t="shared" si="36"/>
        <v>L4.00.00.12.02.00.06</v>
      </c>
      <c r="Q681" s="223"/>
      <c r="R681" s="223" t="str">
        <f t="shared" si="38"/>
        <v>Ban Quản lý kinh doanh - Khối DN</v>
      </c>
      <c r="S681" s="429" t="s">
        <v>11561</v>
      </c>
      <c r="T681" s="176"/>
      <c r="U681" s="176"/>
      <c r="V681" s="176"/>
      <c r="W681" s="176"/>
      <c r="X681" s="176"/>
      <c r="Y681" s="176"/>
      <c r="Z681" s="550" t="s">
        <v>11565</v>
      </c>
      <c r="AA681" s="266"/>
      <c r="AB681" s="226"/>
      <c r="AC681" s="226"/>
      <c r="AD681" s="226"/>
    </row>
    <row r="682" ht="15.75" customHeight="1" outlineLevel="1">
      <c r="A682" s="177" t="s">
        <v>10529</v>
      </c>
      <c r="B682" s="221" t="s">
        <v>206</v>
      </c>
      <c r="C682" s="221" t="s">
        <v>27</v>
      </c>
      <c r="D682" s="172" t="s">
        <v>4</v>
      </c>
      <c r="E682" s="222" t="s">
        <v>27</v>
      </c>
      <c r="F682" s="172" t="s">
        <v>4</v>
      </c>
      <c r="G682" s="177">
        <v>13.0</v>
      </c>
      <c r="H682" s="171" t="s">
        <v>210</v>
      </c>
      <c r="I682" s="222" t="s">
        <v>27</v>
      </c>
      <c r="J682" s="156" t="s">
        <v>4</v>
      </c>
      <c r="K682" s="297" t="s">
        <v>27</v>
      </c>
      <c r="L682" s="157" t="s">
        <v>4</v>
      </c>
      <c r="M682" s="157" t="s">
        <v>44</v>
      </c>
      <c r="N682" s="167" t="s">
        <v>10505</v>
      </c>
      <c r="O682" s="55" t="str">
        <f t="shared" si="14"/>
        <v>L4.00.00.13.00.00</v>
      </c>
      <c r="P682" s="173" t="str">
        <f t="shared" si="36"/>
        <v>L4.00.00.13.00.00.06</v>
      </c>
      <c r="Q682" s="428" t="s">
        <v>10530</v>
      </c>
      <c r="R682" s="223" t="str">
        <f t="shared" si="38"/>
        <v>Ban Marketing</v>
      </c>
      <c r="S682" s="429" t="s">
        <v>11511</v>
      </c>
      <c r="T682" s="176"/>
      <c r="U682" s="176"/>
      <c r="V682" s="176"/>
      <c r="W682" s="176"/>
      <c r="X682" s="176"/>
      <c r="Y682" s="224" t="s">
        <v>10894</v>
      </c>
      <c r="Z682" s="225" t="s">
        <v>11566</v>
      </c>
      <c r="AA682" s="266"/>
      <c r="AB682" s="226"/>
      <c r="AC682" s="226"/>
      <c r="AD682" s="226"/>
    </row>
    <row r="683" ht="15.75" customHeight="1" outlineLevel="1">
      <c r="A683" s="177" t="s">
        <v>10529</v>
      </c>
      <c r="B683" s="221" t="s">
        <v>206</v>
      </c>
      <c r="C683" s="221" t="s">
        <v>27</v>
      </c>
      <c r="D683" s="172" t="s">
        <v>4</v>
      </c>
      <c r="E683" s="222" t="s">
        <v>27</v>
      </c>
      <c r="F683" s="172" t="s">
        <v>4</v>
      </c>
      <c r="G683" s="177">
        <v>14.0</v>
      </c>
      <c r="H683" s="230" t="s">
        <v>11567</v>
      </c>
      <c r="I683" s="175" t="s">
        <v>27</v>
      </c>
      <c r="J683" s="262" t="s">
        <v>4</v>
      </c>
      <c r="K683" s="297" t="s">
        <v>27</v>
      </c>
      <c r="L683" s="157" t="s">
        <v>4</v>
      </c>
      <c r="M683" s="157" t="s">
        <v>44</v>
      </c>
      <c r="N683" s="167" t="s">
        <v>10505</v>
      </c>
      <c r="O683" s="55" t="str">
        <f t="shared" si="14"/>
        <v>L4.00.00.14.00.00</v>
      </c>
      <c r="P683" s="173" t="str">
        <f t="shared" si="36"/>
        <v>L4.00.00.14.00.00.06</v>
      </c>
      <c r="Q683" s="428" t="s">
        <v>10530</v>
      </c>
      <c r="R683" s="223" t="str">
        <f t="shared" si="38"/>
        <v>Viện đổi mới doanh nghiệp</v>
      </c>
      <c r="S683" s="429" t="s">
        <v>11511</v>
      </c>
      <c r="T683" s="176"/>
      <c r="U683" s="176"/>
      <c r="V683" s="176"/>
      <c r="W683" s="176"/>
      <c r="X683" s="176"/>
      <c r="Y683" s="176"/>
      <c r="Z683" s="225" t="s">
        <v>11568</v>
      </c>
      <c r="AA683" s="300" t="s">
        <v>10530</v>
      </c>
      <c r="AB683" s="226"/>
      <c r="AC683" s="226"/>
      <c r="AD683" s="226"/>
    </row>
    <row r="684" ht="15.75" customHeight="1" outlineLevel="1">
      <c r="A684" s="177" t="s">
        <v>10529</v>
      </c>
      <c r="B684" s="221" t="s">
        <v>206</v>
      </c>
      <c r="C684" s="221" t="s">
        <v>27</v>
      </c>
      <c r="D684" s="172" t="s">
        <v>4</v>
      </c>
      <c r="E684" s="222" t="s">
        <v>27</v>
      </c>
      <c r="F684" s="172" t="s">
        <v>4</v>
      </c>
      <c r="G684" s="177">
        <v>14.0</v>
      </c>
      <c r="H684" s="230" t="s">
        <v>11567</v>
      </c>
      <c r="I684" s="172" t="s">
        <v>29</v>
      </c>
      <c r="J684" s="167" t="s">
        <v>212</v>
      </c>
      <c r="K684" s="297" t="s">
        <v>27</v>
      </c>
      <c r="L684" s="157" t="s">
        <v>4</v>
      </c>
      <c r="M684" s="157" t="s">
        <v>44</v>
      </c>
      <c r="N684" s="167" t="s">
        <v>10505</v>
      </c>
      <c r="O684" s="55" t="str">
        <f t="shared" si="14"/>
        <v>L4.00.00.14.01.00</v>
      </c>
      <c r="P684" s="173" t="str">
        <f t="shared" si="36"/>
        <v>L4.00.00.14.01.00.06</v>
      </c>
      <c r="Q684" s="428" t="s">
        <v>10530</v>
      </c>
      <c r="R684" s="223" t="str">
        <f t="shared" si="38"/>
        <v>Ban GĐ Viện</v>
      </c>
      <c r="S684" s="429" t="s">
        <v>11569</v>
      </c>
      <c r="T684" s="551" t="s">
        <v>11570</v>
      </c>
      <c r="U684" s="224" t="s">
        <v>11567</v>
      </c>
      <c r="V684" s="224" t="s">
        <v>11571</v>
      </c>
      <c r="W684" s="176"/>
      <c r="X684" s="176"/>
      <c r="Y684" s="176"/>
      <c r="Z684" s="225" t="s">
        <v>11572</v>
      </c>
      <c r="AA684" s="300" t="s">
        <v>10530</v>
      </c>
      <c r="AB684" s="226"/>
      <c r="AC684" s="226"/>
      <c r="AD684" s="226"/>
    </row>
    <row r="685" ht="15.75" customHeight="1" outlineLevel="1">
      <c r="A685" s="177" t="s">
        <v>10529</v>
      </c>
      <c r="B685" s="221" t="s">
        <v>206</v>
      </c>
      <c r="C685" s="221" t="s">
        <v>27</v>
      </c>
      <c r="D685" s="172" t="s">
        <v>4</v>
      </c>
      <c r="E685" s="222" t="s">
        <v>27</v>
      </c>
      <c r="F685" s="172" t="s">
        <v>4</v>
      </c>
      <c r="G685" s="177">
        <v>14.0</v>
      </c>
      <c r="H685" s="230" t="s">
        <v>11567</v>
      </c>
      <c r="I685" s="172" t="s">
        <v>33</v>
      </c>
      <c r="J685" s="257" t="s">
        <v>213</v>
      </c>
      <c r="K685" s="168" t="s">
        <v>27</v>
      </c>
      <c r="L685" s="552" t="s">
        <v>4</v>
      </c>
      <c r="M685" s="157" t="s">
        <v>44</v>
      </c>
      <c r="N685" s="167" t="s">
        <v>10505</v>
      </c>
      <c r="O685" s="55" t="str">
        <f t="shared" si="14"/>
        <v>L4.00.00.14.02.00</v>
      </c>
      <c r="P685" s="173" t="str">
        <f t="shared" si="36"/>
        <v>L4.00.00.14.02.00.06</v>
      </c>
      <c r="Q685" s="428" t="s">
        <v>10530</v>
      </c>
      <c r="R685" s="223" t="str">
        <f t="shared" si="38"/>
        <v>Phòng Inbound Marketing</v>
      </c>
      <c r="S685" s="429" t="s">
        <v>11569</v>
      </c>
      <c r="T685" s="176"/>
      <c r="U685" s="176"/>
      <c r="V685" s="176"/>
      <c r="W685" s="176"/>
      <c r="X685" s="176"/>
      <c r="Y685" s="224" t="s">
        <v>11573</v>
      </c>
      <c r="Z685" s="225" t="s">
        <v>11574</v>
      </c>
      <c r="AA685" s="266"/>
      <c r="AB685" s="226"/>
      <c r="AC685" s="226"/>
      <c r="AD685" s="226"/>
    </row>
    <row r="686" ht="15.75" customHeight="1" outlineLevel="1">
      <c r="A686" s="177" t="s">
        <v>10529</v>
      </c>
      <c r="B686" s="221" t="s">
        <v>206</v>
      </c>
      <c r="C686" s="221" t="s">
        <v>27</v>
      </c>
      <c r="D686" s="172" t="s">
        <v>4</v>
      </c>
      <c r="E686" s="222" t="s">
        <v>27</v>
      </c>
      <c r="F686" s="172" t="s">
        <v>4</v>
      </c>
      <c r="G686" s="177">
        <v>14.0</v>
      </c>
      <c r="H686" s="230" t="s">
        <v>11567</v>
      </c>
      <c r="I686" s="172" t="s">
        <v>33</v>
      </c>
      <c r="J686" s="257" t="s">
        <v>213</v>
      </c>
      <c r="K686" s="157" t="s">
        <v>29</v>
      </c>
      <c r="L686" s="553" t="s">
        <v>214</v>
      </c>
      <c r="M686" s="157" t="s">
        <v>44</v>
      </c>
      <c r="N686" s="167" t="s">
        <v>10505</v>
      </c>
      <c r="O686" s="55" t="str">
        <f t="shared" si="14"/>
        <v>L4.00.00.14.02.01</v>
      </c>
      <c r="P686" s="173" t="str">
        <f t="shared" si="36"/>
        <v>L4.00.00.14.02.01.06</v>
      </c>
      <c r="Q686" s="428" t="s">
        <v>10530</v>
      </c>
      <c r="R686" s="223" t="str">
        <f t="shared" si="38"/>
        <v>Nhóm nội dung TCKT</v>
      </c>
      <c r="S686" s="429" t="s">
        <v>11575</v>
      </c>
      <c r="T686" s="176"/>
      <c r="U686" s="176"/>
      <c r="V686" s="176"/>
      <c r="W686" s="176"/>
      <c r="X686" s="176"/>
      <c r="Y686" s="224" t="s">
        <v>11573</v>
      </c>
      <c r="Z686" s="225" t="s">
        <v>11576</v>
      </c>
      <c r="AA686" s="266"/>
      <c r="AB686" s="226"/>
      <c r="AC686" s="226"/>
      <c r="AD686" s="226"/>
    </row>
    <row r="687" ht="15.75" customHeight="1" outlineLevel="1">
      <c r="A687" s="177" t="s">
        <v>10529</v>
      </c>
      <c r="B687" s="221" t="s">
        <v>206</v>
      </c>
      <c r="C687" s="221" t="s">
        <v>27</v>
      </c>
      <c r="D687" s="172" t="s">
        <v>4</v>
      </c>
      <c r="E687" s="222" t="s">
        <v>27</v>
      </c>
      <c r="F687" s="172" t="s">
        <v>4</v>
      </c>
      <c r="G687" s="177">
        <v>14.0</v>
      </c>
      <c r="H687" s="230" t="s">
        <v>11567</v>
      </c>
      <c r="I687" s="172" t="s">
        <v>33</v>
      </c>
      <c r="J687" s="257" t="s">
        <v>213</v>
      </c>
      <c r="K687" s="157" t="s">
        <v>33</v>
      </c>
      <c r="L687" s="553" t="s">
        <v>215</v>
      </c>
      <c r="M687" s="157" t="s">
        <v>44</v>
      </c>
      <c r="N687" s="167" t="s">
        <v>10505</v>
      </c>
      <c r="O687" s="55" t="str">
        <f t="shared" si="14"/>
        <v>L4.00.00.14.02.02</v>
      </c>
      <c r="P687" s="173" t="str">
        <f t="shared" si="36"/>
        <v>L4.00.00.14.02.02.06</v>
      </c>
      <c r="Q687" s="428" t="s">
        <v>10530</v>
      </c>
      <c r="R687" s="223" t="str">
        <f t="shared" si="38"/>
        <v>Nhóm nội dung QT bán hàng/MKT</v>
      </c>
      <c r="S687" s="429" t="s">
        <v>11575</v>
      </c>
      <c r="T687" s="176"/>
      <c r="U687" s="176"/>
      <c r="V687" s="176"/>
      <c r="W687" s="176"/>
      <c r="X687" s="176"/>
      <c r="Y687" s="224" t="s">
        <v>11573</v>
      </c>
      <c r="Z687" s="225" t="s">
        <v>11577</v>
      </c>
      <c r="AA687" s="266"/>
      <c r="AB687" s="226"/>
      <c r="AC687" s="226"/>
      <c r="AD687" s="226"/>
    </row>
    <row r="688" ht="15.75" customHeight="1" outlineLevel="1">
      <c r="A688" s="177" t="s">
        <v>10529</v>
      </c>
      <c r="B688" s="221" t="s">
        <v>206</v>
      </c>
      <c r="C688" s="221" t="s">
        <v>27</v>
      </c>
      <c r="D688" s="172" t="s">
        <v>4</v>
      </c>
      <c r="E688" s="222" t="s">
        <v>27</v>
      </c>
      <c r="F688" s="172" t="s">
        <v>4</v>
      </c>
      <c r="G688" s="177">
        <v>14.0</v>
      </c>
      <c r="H688" s="230" t="s">
        <v>11567</v>
      </c>
      <c r="I688" s="172" t="s">
        <v>33</v>
      </c>
      <c r="J688" s="257" t="s">
        <v>213</v>
      </c>
      <c r="K688" s="157" t="s">
        <v>35</v>
      </c>
      <c r="L688" s="553" t="s">
        <v>216</v>
      </c>
      <c r="M688" s="157" t="s">
        <v>44</v>
      </c>
      <c r="N688" s="167" t="s">
        <v>10505</v>
      </c>
      <c r="O688" s="55" t="str">
        <f t="shared" si="14"/>
        <v>L4.00.00.14.02.03</v>
      </c>
      <c r="P688" s="173" t="str">
        <f t="shared" si="36"/>
        <v>L4.00.00.14.02.03.06</v>
      </c>
      <c r="Q688" s="428" t="s">
        <v>10530</v>
      </c>
      <c r="R688" s="223" t="str">
        <f t="shared" si="38"/>
        <v>Nhóm nội dung QT Nguồn nhân lực</v>
      </c>
      <c r="S688" s="429" t="s">
        <v>11575</v>
      </c>
      <c r="T688" s="176"/>
      <c r="U688" s="176"/>
      <c r="V688" s="176"/>
      <c r="W688" s="176"/>
      <c r="X688" s="176"/>
      <c r="Y688" s="224" t="s">
        <v>11573</v>
      </c>
      <c r="Z688" s="225" t="s">
        <v>11578</v>
      </c>
      <c r="AA688" s="266"/>
      <c r="AB688" s="226"/>
      <c r="AC688" s="226"/>
      <c r="AD688" s="226"/>
    </row>
    <row r="689" ht="15.75" customHeight="1" outlineLevel="1">
      <c r="A689" s="177" t="s">
        <v>10529</v>
      </c>
      <c r="B689" s="221" t="s">
        <v>206</v>
      </c>
      <c r="C689" s="221" t="s">
        <v>27</v>
      </c>
      <c r="D689" s="172" t="s">
        <v>4</v>
      </c>
      <c r="E689" s="222" t="s">
        <v>27</v>
      </c>
      <c r="F689" s="172" t="s">
        <v>4</v>
      </c>
      <c r="G689" s="177">
        <v>14.0</v>
      </c>
      <c r="H689" s="230" t="s">
        <v>11567</v>
      </c>
      <c r="I689" s="172" t="s">
        <v>33</v>
      </c>
      <c r="J689" s="257" t="s">
        <v>213</v>
      </c>
      <c r="K689" s="157" t="s">
        <v>37</v>
      </c>
      <c r="L689" s="553" t="s">
        <v>217</v>
      </c>
      <c r="M689" s="157" t="s">
        <v>44</v>
      </c>
      <c r="N689" s="167" t="s">
        <v>10505</v>
      </c>
      <c r="O689" s="55" t="str">
        <f t="shared" si="14"/>
        <v>L4.00.00.14.02.04</v>
      </c>
      <c r="P689" s="173" t="str">
        <f t="shared" si="36"/>
        <v>L4.00.00.14.02.04.06</v>
      </c>
      <c r="Q689" s="428" t="s">
        <v>10530</v>
      </c>
      <c r="R689" s="223" t="str">
        <f t="shared" si="38"/>
        <v>Nhóm nội dung QL điều hành DN</v>
      </c>
      <c r="S689" s="429" t="s">
        <v>11575</v>
      </c>
      <c r="T689" s="176"/>
      <c r="U689" s="176"/>
      <c r="V689" s="176"/>
      <c r="W689" s="176"/>
      <c r="X689" s="176"/>
      <c r="Y689" s="224" t="s">
        <v>11573</v>
      </c>
      <c r="Z689" s="225" t="s">
        <v>11579</v>
      </c>
      <c r="AA689" s="266"/>
      <c r="AB689" s="226"/>
      <c r="AC689" s="226"/>
      <c r="AD689" s="226"/>
    </row>
    <row r="690" ht="15.75" customHeight="1" outlineLevel="1">
      <c r="A690" s="177" t="s">
        <v>10529</v>
      </c>
      <c r="B690" s="221" t="s">
        <v>206</v>
      </c>
      <c r="C690" s="221" t="s">
        <v>27</v>
      </c>
      <c r="D690" s="172" t="s">
        <v>4</v>
      </c>
      <c r="E690" s="222" t="s">
        <v>27</v>
      </c>
      <c r="F690" s="172" t="s">
        <v>4</v>
      </c>
      <c r="G690" s="177">
        <v>14.0</v>
      </c>
      <c r="H690" s="230" t="s">
        <v>11567</v>
      </c>
      <c r="I690" s="172" t="s">
        <v>33</v>
      </c>
      <c r="J690" s="257" t="s">
        <v>213</v>
      </c>
      <c r="K690" s="157" t="s">
        <v>42</v>
      </c>
      <c r="L690" s="553" t="s">
        <v>218</v>
      </c>
      <c r="M690" s="157" t="s">
        <v>44</v>
      </c>
      <c r="N690" s="167" t="s">
        <v>10505</v>
      </c>
      <c r="O690" s="55" t="str">
        <f t="shared" si="14"/>
        <v>L4.00.00.14.02.05</v>
      </c>
      <c r="P690" s="173" t="str">
        <f t="shared" si="36"/>
        <v>L4.00.00.14.02.05.06</v>
      </c>
      <c r="Q690" s="428" t="s">
        <v>10530</v>
      </c>
      <c r="R690" s="223" t="str">
        <f t="shared" si="38"/>
        <v>Nhóm nội dung QL bán lẻ</v>
      </c>
      <c r="S690" s="429" t="s">
        <v>11575</v>
      </c>
      <c r="T690" s="176"/>
      <c r="U690" s="176"/>
      <c r="V690" s="176"/>
      <c r="W690" s="176"/>
      <c r="X690" s="176"/>
      <c r="Y690" s="224" t="s">
        <v>11573</v>
      </c>
      <c r="Z690" s="225" t="s">
        <v>11580</v>
      </c>
      <c r="AA690" s="266"/>
      <c r="AB690" s="226"/>
      <c r="AC690" s="226"/>
      <c r="AD690" s="226"/>
    </row>
    <row r="691" ht="15.75" customHeight="1" outlineLevel="1">
      <c r="A691" s="481" t="s">
        <v>10529</v>
      </c>
      <c r="B691" s="482" t="s">
        <v>206</v>
      </c>
      <c r="C691" s="482" t="s">
        <v>27</v>
      </c>
      <c r="D691" s="483" t="s">
        <v>4</v>
      </c>
      <c r="E691" s="484" t="s">
        <v>27</v>
      </c>
      <c r="F691" s="483" t="s">
        <v>4</v>
      </c>
      <c r="G691" s="481">
        <v>14.0</v>
      </c>
      <c r="H691" s="547" t="s">
        <v>11567</v>
      </c>
      <c r="I691" s="483" t="s">
        <v>35</v>
      </c>
      <c r="J691" s="554" t="s">
        <v>219</v>
      </c>
      <c r="K691" s="488" t="s">
        <v>27</v>
      </c>
      <c r="L691" s="489" t="s">
        <v>4</v>
      </c>
      <c r="M691" s="490" t="s">
        <v>27</v>
      </c>
      <c r="N691" s="491"/>
      <c r="O691" s="492" t="str">
        <f t="shared" si="14"/>
        <v>L4.00.00.14.03.00</v>
      </c>
      <c r="P691" s="492" t="str">
        <f t="shared" si="36"/>
        <v>L4.00.00.14.03.00.00</v>
      </c>
      <c r="Q691" s="493" t="s">
        <v>10530</v>
      </c>
      <c r="R691" s="494" t="str">
        <f t="shared" si="38"/>
        <v>Ban hợp tác đào tạo</v>
      </c>
      <c r="S691" s="540" t="s">
        <v>11569</v>
      </c>
      <c r="T691" s="211" t="s">
        <v>11581</v>
      </c>
      <c r="U691" s="555" t="s">
        <v>4727</v>
      </c>
      <c r="V691" s="556" t="s">
        <v>219</v>
      </c>
      <c r="W691" s="495"/>
      <c r="X691" s="495"/>
      <c r="Y691" s="557"/>
      <c r="Z691" s="496" t="s">
        <v>11582</v>
      </c>
      <c r="AA691" s="497"/>
      <c r="AB691" s="498"/>
      <c r="AC691" s="498"/>
      <c r="AD691" s="498"/>
    </row>
    <row r="692" ht="15.75" customHeight="1" outlineLevel="1">
      <c r="A692" s="177" t="s">
        <v>10529</v>
      </c>
      <c r="B692" s="221" t="s">
        <v>206</v>
      </c>
      <c r="C692" s="221" t="s">
        <v>27</v>
      </c>
      <c r="D692" s="172" t="s">
        <v>4</v>
      </c>
      <c r="E692" s="222" t="s">
        <v>27</v>
      </c>
      <c r="F692" s="172" t="s">
        <v>4</v>
      </c>
      <c r="G692" s="177">
        <v>14.0</v>
      </c>
      <c r="H692" s="230" t="s">
        <v>11567</v>
      </c>
      <c r="I692" s="172" t="s">
        <v>35</v>
      </c>
      <c r="J692" s="257" t="s">
        <v>219</v>
      </c>
      <c r="K692" s="297" t="s">
        <v>27</v>
      </c>
      <c r="L692" s="157" t="s">
        <v>4</v>
      </c>
      <c r="M692" s="157" t="s">
        <v>29</v>
      </c>
      <c r="N692" s="167" t="s">
        <v>10498</v>
      </c>
      <c r="O692" s="55" t="str">
        <f t="shared" si="14"/>
        <v>L4.00.00.14.03.00</v>
      </c>
      <c r="P692" s="173" t="str">
        <f t="shared" si="36"/>
        <v>L4.00.00.14.03.00.01</v>
      </c>
      <c r="Q692" s="223"/>
      <c r="R692" s="223" t="str">
        <f t="shared" si="38"/>
        <v>Ban hợp tác đào tạo</v>
      </c>
      <c r="S692" s="429" t="s">
        <v>11583</v>
      </c>
      <c r="T692" s="176" t="s">
        <v>3272</v>
      </c>
      <c r="U692" s="176" t="s">
        <v>346</v>
      </c>
      <c r="V692" s="176" t="s">
        <v>2430</v>
      </c>
      <c r="W692" s="176"/>
      <c r="X692" s="176"/>
      <c r="Y692" s="224" t="s">
        <v>11573</v>
      </c>
      <c r="Z692" s="541"/>
      <c r="AA692" s="266"/>
      <c r="AB692" s="226"/>
      <c r="AC692" s="226"/>
      <c r="AD692" s="226"/>
    </row>
    <row r="693" ht="15.75" customHeight="1" outlineLevel="1">
      <c r="A693" s="177" t="s">
        <v>10529</v>
      </c>
      <c r="B693" s="221" t="s">
        <v>206</v>
      </c>
      <c r="C693" s="221" t="s">
        <v>27</v>
      </c>
      <c r="D693" s="172" t="s">
        <v>4</v>
      </c>
      <c r="E693" s="222" t="s">
        <v>27</v>
      </c>
      <c r="F693" s="172" t="s">
        <v>4</v>
      </c>
      <c r="G693" s="177">
        <v>14.0</v>
      </c>
      <c r="H693" s="230" t="s">
        <v>11567</v>
      </c>
      <c r="I693" s="172" t="s">
        <v>35</v>
      </c>
      <c r="J693" s="257" t="s">
        <v>219</v>
      </c>
      <c r="K693" s="297" t="s">
        <v>27</v>
      </c>
      <c r="L693" s="157" t="s">
        <v>4</v>
      </c>
      <c r="M693" s="157" t="s">
        <v>33</v>
      </c>
      <c r="N693" s="167" t="s">
        <v>10499</v>
      </c>
      <c r="O693" s="55" t="str">
        <f t="shared" si="14"/>
        <v>L4.00.00.14.03.00</v>
      </c>
      <c r="P693" s="173" t="str">
        <f t="shared" si="36"/>
        <v>L4.00.00.14.03.00.02</v>
      </c>
      <c r="Q693" s="223"/>
      <c r="R693" s="223" t="str">
        <f t="shared" si="38"/>
        <v>Ban hợp tác đào tạo</v>
      </c>
      <c r="S693" s="429" t="s">
        <v>11583</v>
      </c>
      <c r="T693" s="176" t="s">
        <v>2431</v>
      </c>
      <c r="U693" s="176" t="s">
        <v>262</v>
      </c>
      <c r="V693" s="176" t="s">
        <v>2430</v>
      </c>
      <c r="W693" s="176"/>
      <c r="X693" s="176"/>
      <c r="Y693" s="224" t="s">
        <v>11573</v>
      </c>
      <c r="Z693" s="541"/>
      <c r="AA693" s="266"/>
      <c r="AB693" s="226"/>
      <c r="AC693" s="226"/>
      <c r="AD693" s="226"/>
    </row>
    <row r="694" ht="15.75" customHeight="1">
      <c r="A694" s="233" t="s">
        <v>11584</v>
      </c>
      <c r="B694" s="233" t="s">
        <v>74</v>
      </c>
      <c r="C694" s="47"/>
      <c r="D694" s="47"/>
      <c r="E694" s="47"/>
      <c r="F694" s="47"/>
      <c r="G694" s="48"/>
      <c r="H694" s="49"/>
      <c r="I694" s="48"/>
      <c r="J694" s="439"/>
      <c r="K694" s="439"/>
      <c r="L694" s="439"/>
      <c r="M694" s="439"/>
      <c r="N694" s="440"/>
      <c r="O694" s="55" t="str">
        <f t="shared" si="14"/>
        <v>J0.....</v>
      </c>
      <c r="P694" s="48"/>
      <c r="Q694" s="169"/>
      <c r="R694" s="169" t="str">
        <f t="shared" si="38"/>
        <v/>
      </c>
      <c r="T694" s="96"/>
      <c r="U694" s="96"/>
      <c r="V694" s="96"/>
      <c r="W694" s="96"/>
      <c r="X694" s="96"/>
      <c r="Y694" s="96"/>
      <c r="Z694" s="152"/>
      <c r="AA694" s="99"/>
      <c r="AB694" s="91"/>
      <c r="AC694" s="91"/>
      <c r="AD694" s="91"/>
    </row>
    <row r="695" ht="15.75" hidden="1" customHeight="1" outlineLevel="1">
      <c r="A695" s="177" t="s">
        <v>11584</v>
      </c>
      <c r="B695" s="177" t="s">
        <v>11585</v>
      </c>
      <c r="C695" s="172" t="s">
        <v>73</v>
      </c>
      <c r="D695" s="172" t="s">
        <v>74</v>
      </c>
      <c r="E695" s="222" t="s">
        <v>27</v>
      </c>
      <c r="F695" s="172" t="s">
        <v>4</v>
      </c>
      <c r="G695" s="175" t="s">
        <v>27</v>
      </c>
      <c r="H695" s="172" t="s">
        <v>4</v>
      </c>
      <c r="I695" s="222" t="s">
        <v>27</v>
      </c>
      <c r="J695" s="156" t="s">
        <v>4</v>
      </c>
      <c r="K695" s="297" t="s">
        <v>27</v>
      </c>
      <c r="L695" s="157" t="s">
        <v>4</v>
      </c>
      <c r="M695" s="297" t="s">
        <v>27</v>
      </c>
      <c r="N695" s="167"/>
      <c r="O695" s="55" t="str">
        <f t="shared" si="14"/>
        <v>J0.99.00.00.00.00</v>
      </c>
      <c r="P695" s="173" t="str">
        <f t="shared" ref="P695:P708" si="39">A695&amp;"."&amp;C695&amp;"."&amp;E695&amp;"."&amp;G695&amp;"."&amp;I695&amp;"."&amp;K695&amp;"."&amp;M695</f>
        <v>J0.99.00.00.00.00.00</v>
      </c>
      <c r="Q695" s="428" t="s">
        <v>10530</v>
      </c>
      <c r="R695" s="177" t="s">
        <v>11585</v>
      </c>
      <c r="S695" s="97" t="s">
        <v>22</v>
      </c>
      <c r="T695" s="176" t="s">
        <v>9830</v>
      </c>
      <c r="U695" s="176" t="s">
        <v>2924</v>
      </c>
      <c r="V695" s="176" t="s">
        <v>155</v>
      </c>
      <c r="W695" s="176"/>
      <c r="X695" s="176"/>
      <c r="Y695" s="176"/>
      <c r="Z695" s="225" t="s">
        <v>74</v>
      </c>
      <c r="AA695" s="266"/>
      <c r="AB695" s="226"/>
      <c r="AC695" s="226"/>
      <c r="AD695" s="226"/>
    </row>
    <row r="696" ht="15.75" hidden="1" customHeight="1" outlineLevel="1">
      <c r="A696" s="177" t="s">
        <v>10529</v>
      </c>
      <c r="B696" s="221" t="s">
        <v>206</v>
      </c>
      <c r="C696" s="172" t="s">
        <v>73</v>
      </c>
      <c r="D696" s="172" t="s">
        <v>74</v>
      </c>
      <c r="E696" s="222" t="s">
        <v>27</v>
      </c>
      <c r="F696" s="172" t="s">
        <v>4</v>
      </c>
      <c r="G696" s="172" t="s">
        <v>29</v>
      </c>
      <c r="H696" s="171" t="s">
        <v>155</v>
      </c>
      <c r="I696" s="222" t="s">
        <v>27</v>
      </c>
      <c r="J696" s="156" t="s">
        <v>4</v>
      </c>
      <c r="K696" s="297" t="s">
        <v>27</v>
      </c>
      <c r="L696" s="157" t="s">
        <v>4</v>
      </c>
      <c r="M696" s="157" t="s">
        <v>46</v>
      </c>
      <c r="N696" s="167" t="s">
        <v>10496</v>
      </c>
      <c r="O696" s="55" t="str">
        <f t="shared" si="14"/>
        <v>L4.99.00.01.00.00</v>
      </c>
      <c r="P696" s="173" t="str">
        <f t="shared" si="39"/>
        <v>L4.99.00.01.00.00.07</v>
      </c>
      <c r="Q696" s="428" t="s">
        <v>10530</v>
      </c>
      <c r="R696" s="223" t="str">
        <f t="shared" ref="R696:R708" si="40">if(L696&lt;&gt;"-",L696,if(AND(L696="-",J696&lt;&gt;"-"),J696,if(AND(J696="-",H696&lt;&gt;"-"),H696,"NA")))</f>
        <v>Ban Giám đốc</v>
      </c>
      <c r="S696" s="429" t="s">
        <v>11586</v>
      </c>
      <c r="T696" s="176" t="s">
        <v>9830</v>
      </c>
      <c r="U696" s="176" t="s">
        <v>2924</v>
      </c>
      <c r="V696" s="176" t="s">
        <v>155</v>
      </c>
      <c r="W696" s="176"/>
      <c r="X696" s="176"/>
      <c r="Y696" s="176"/>
      <c r="Z696" s="225" t="s">
        <v>11587</v>
      </c>
      <c r="AA696" s="300" t="s">
        <v>10530</v>
      </c>
      <c r="AB696" s="226"/>
      <c r="AC696" s="226"/>
      <c r="AD696" s="226"/>
    </row>
    <row r="697" ht="24.75" hidden="1" customHeight="1" outlineLevel="1">
      <c r="A697" s="177" t="s">
        <v>10535</v>
      </c>
      <c r="B697" s="221" t="s">
        <v>26</v>
      </c>
      <c r="C697" s="172" t="s">
        <v>73</v>
      </c>
      <c r="D697" s="172" t="s">
        <v>74</v>
      </c>
      <c r="E697" s="222" t="s">
        <v>27</v>
      </c>
      <c r="F697" s="172" t="s">
        <v>4</v>
      </c>
      <c r="G697" s="172" t="s">
        <v>33</v>
      </c>
      <c r="H697" s="171" t="s">
        <v>75</v>
      </c>
      <c r="I697" s="175" t="s">
        <v>27</v>
      </c>
      <c r="J697" s="218" t="s">
        <v>4</v>
      </c>
      <c r="K697" s="168" t="s">
        <v>27</v>
      </c>
      <c r="L697" s="218" t="s">
        <v>4</v>
      </c>
      <c r="M697" s="157" t="s">
        <v>46</v>
      </c>
      <c r="N697" s="167" t="s">
        <v>10496</v>
      </c>
      <c r="O697" s="55" t="str">
        <f t="shared" si="14"/>
        <v>L1.99.00.02.00.00</v>
      </c>
      <c r="P697" s="173" t="str">
        <f t="shared" si="39"/>
        <v>L1.99.00.02.00.00.07</v>
      </c>
      <c r="Q697" s="428" t="s">
        <v>10530</v>
      </c>
      <c r="R697" s="223" t="str">
        <f t="shared" si="40"/>
        <v>Phòng Phát triển sản phẩm</v>
      </c>
      <c r="S697" s="429" t="s">
        <v>11586</v>
      </c>
      <c r="T697" s="224" t="s">
        <v>3093</v>
      </c>
      <c r="U697" s="176" t="s">
        <v>2924</v>
      </c>
      <c r="V697" s="176" t="s">
        <v>75</v>
      </c>
      <c r="W697" s="176" t="s">
        <v>3100</v>
      </c>
      <c r="X697" s="176" t="s">
        <v>3099</v>
      </c>
      <c r="Y697" s="176"/>
      <c r="Z697" s="225" t="s">
        <v>11588</v>
      </c>
      <c r="AA697" s="300" t="s">
        <v>10530</v>
      </c>
      <c r="AB697" s="226"/>
      <c r="AC697" s="226"/>
      <c r="AD697" s="226"/>
    </row>
    <row r="698" ht="15.75" hidden="1" customHeight="1" outlineLevel="1">
      <c r="A698" s="177" t="s">
        <v>10535</v>
      </c>
      <c r="B698" s="221" t="s">
        <v>26</v>
      </c>
      <c r="C698" s="172" t="s">
        <v>73</v>
      </c>
      <c r="D698" s="172" t="s">
        <v>74</v>
      </c>
      <c r="E698" s="222" t="s">
        <v>27</v>
      </c>
      <c r="F698" s="172" t="s">
        <v>4</v>
      </c>
      <c r="G698" s="172" t="s">
        <v>33</v>
      </c>
      <c r="H698" s="171" t="s">
        <v>75</v>
      </c>
      <c r="I698" s="175" t="s">
        <v>29</v>
      </c>
      <c r="J698" s="176" t="s">
        <v>3100</v>
      </c>
      <c r="K698" s="168" t="s">
        <v>27</v>
      </c>
      <c r="L698" s="218" t="s">
        <v>4</v>
      </c>
      <c r="M698" s="157" t="s">
        <v>46</v>
      </c>
      <c r="N698" s="167" t="s">
        <v>10496</v>
      </c>
      <c r="O698" s="55" t="str">
        <f t="shared" si="14"/>
        <v>L1.99.00.02.01.00</v>
      </c>
      <c r="P698" s="173" t="str">
        <f t="shared" si="39"/>
        <v>L1.99.00.02.01.00.07</v>
      </c>
      <c r="Q698" s="428" t="s">
        <v>10530</v>
      </c>
      <c r="R698" s="223" t="str">
        <f t="shared" si="40"/>
        <v>Sản phẩm JETPAY</v>
      </c>
      <c r="S698" s="224" t="s">
        <v>11589</v>
      </c>
      <c r="T698" s="224" t="s">
        <v>11590</v>
      </c>
      <c r="U698" s="176" t="s">
        <v>2924</v>
      </c>
      <c r="V698" s="176" t="s">
        <v>75</v>
      </c>
      <c r="W698" s="176" t="s">
        <v>3100</v>
      </c>
      <c r="X698" s="176" t="s">
        <v>3099</v>
      </c>
      <c r="Y698" s="176"/>
      <c r="Z698" s="225" t="s">
        <v>11591</v>
      </c>
      <c r="AA698" s="300" t="s">
        <v>10530</v>
      </c>
      <c r="AB698" s="226"/>
      <c r="AC698" s="226"/>
      <c r="AD698" s="226"/>
    </row>
    <row r="699" ht="15.75" hidden="1" customHeight="1" outlineLevel="1">
      <c r="A699" s="177" t="s">
        <v>10535</v>
      </c>
      <c r="B699" s="221" t="s">
        <v>26</v>
      </c>
      <c r="C699" s="172" t="s">
        <v>73</v>
      </c>
      <c r="D699" s="172" t="s">
        <v>74</v>
      </c>
      <c r="E699" s="222" t="s">
        <v>27</v>
      </c>
      <c r="F699" s="172" t="s">
        <v>4</v>
      </c>
      <c r="G699" s="172" t="s">
        <v>33</v>
      </c>
      <c r="H699" s="171" t="s">
        <v>75</v>
      </c>
      <c r="I699" s="175" t="s">
        <v>29</v>
      </c>
      <c r="J699" s="176" t="s">
        <v>3100</v>
      </c>
      <c r="K699" s="168" t="s">
        <v>29</v>
      </c>
      <c r="L699" s="176" t="s">
        <v>3099</v>
      </c>
      <c r="M699" s="157" t="s">
        <v>46</v>
      </c>
      <c r="N699" s="167" t="s">
        <v>10496</v>
      </c>
      <c r="O699" s="55" t="str">
        <f t="shared" si="14"/>
        <v>L1.99.00.02.01.01</v>
      </c>
      <c r="P699" s="173" t="str">
        <f t="shared" si="39"/>
        <v>L1.99.00.02.01.01.07</v>
      </c>
      <c r="Q699" s="428" t="s">
        <v>10530</v>
      </c>
      <c r="R699" s="223" t="str">
        <f t="shared" si="40"/>
        <v>Dự án JETPAY</v>
      </c>
      <c r="S699" s="429" t="s">
        <v>11592</v>
      </c>
      <c r="T699" s="176" t="s">
        <v>3101</v>
      </c>
      <c r="U699" s="176" t="s">
        <v>2924</v>
      </c>
      <c r="V699" s="176" t="s">
        <v>75</v>
      </c>
      <c r="W699" s="176" t="s">
        <v>3100</v>
      </c>
      <c r="X699" s="176" t="s">
        <v>3099</v>
      </c>
      <c r="Y699" s="176"/>
      <c r="Z699" s="225" t="s">
        <v>11591</v>
      </c>
      <c r="AA699" s="300" t="s">
        <v>10530</v>
      </c>
      <c r="AB699" s="226"/>
      <c r="AC699" s="226"/>
      <c r="AD699" s="226"/>
    </row>
    <row r="700" ht="15.75" hidden="1" customHeight="1" outlineLevel="1">
      <c r="A700" s="177" t="s">
        <v>10535</v>
      </c>
      <c r="B700" s="221" t="s">
        <v>26</v>
      </c>
      <c r="C700" s="172" t="s">
        <v>73</v>
      </c>
      <c r="D700" s="172" t="s">
        <v>74</v>
      </c>
      <c r="E700" s="222" t="s">
        <v>27</v>
      </c>
      <c r="F700" s="172" t="s">
        <v>4</v>
      </c>
      <c r="G700" s="172" t="s">
        <v>33</v>
      </c>
      <c r="H700" s="171" t="s">
        <v>75</v>
      </c>
      <c r="I700" s="177" t="s">
        <v>33</v>
      </c>
      <c r="J700" s="176" t="s">
        <v>3086</v>
      </c>
      <c r="K700" s="168" t="s">
        <v>29</v>
      </c>
      <c r="L700" s="176" t="s">
        <v>3085</v>
      </c>
      <c r="M700" s="157" t="s">
        <v>46</v>
      </c>
      <c r="N700" s="167" t="s">
        <v>10496</v>
      </c>
      <c r="O700" s="55" t="str">
        <f t="shared" si="14"/>
        <v>L1.99.00.02.02.01</v>
      </c>
      <c r="P700" s="173" t="str">
        <f t="shared" si="39"/>
        <v>L1.99.00.02.02.01.07</v>
      </c>
      <c r="Q700" s="428" t="s">
        <v>10530</v>
      </c>
      <c r="R700" s="223" t="str">
        <f t="shared" si="40"/>
        <v>Dự án MISA Lending Platform</v>
      </c>
      <c r="S700" s="429" t="s">
        <v>11592</v>
      </c>
      <c r="T700" s="176" t="s">
        <v>3087</v>
      </c>
      <c r="U700" s="176" t="s">
        <v>2924</v>
      </c>
      <c r="V700" s="176" t="s">
        <v>75</v>
      </c>
      <c r="W700" s="176" t="s">
        <v>3086</v>
      </c>
      <c r="X700" s="176" t="s">
        <v>3085</v>
      </c>
      <c r="Y700" s="176"/>
      <c r="Z700" s="225" t="s">
        <v>11593</v>
      </c>
      <c r="AA700" s="300" t="s">
        <v>10530</v>
      </c>
      <c r="AB700" s="226"/>
      <c r="AC700" s="226"/>
      <c r="AD700" s="226"/>
    </row>
    <row r="701" ht="15.75" hidden="1" customHeight="1" outlineLevel="1">
      <c r="A701" s="177" t="s">
        <v>10535</v>
      </c>
      <c r="B701" s="221" t="s">
        <v>26</v>
      </c>
      <c r="C701" s="172" t="s">
        <v>73</v>
      </c>
      <c r="D701" s="172" t="s">
        <v>74</v>
      </c>
      <c r="E701" s="222" t="s">
        <v>27</v>
      </c>
      <c r="F701" s="172" t="s">
        <v>4</v>
      </c>
      <c r="G701" s="172" t="s">
        <v>33</v>
      </c>
      <c r="H701" s="171" t="s">
        <v>75</v>
      </c>
      <c r="I701" s="177" t="s">
        <v>33</v>
      </c>
      <c r="J701" s="176" t="s">
        <v>3086</v>
      </c>
      <c r="K701" s="261" t="s">
        <v>33</v>
      </c>
      <c r="L701" s="176" t="s">
        <v>3133</v>
      </c>
      <c r="M701" s="157" t="s">
        <v>46</v>
      </c>
      <c r="N701" s="167" t="s">
        <v>10496</v>
      </c>
      <c r="O701" s="55" t="str">
        <f t="shared" si="14"/>
        <v>L1.99.00.02.02.02</v>
      </c>
      <c r="P701" s="173" t="str">
        <f t="shared" si="39"/>
        <v>L1.99.00.02.02.02.07</v>
      </c>
      <c r="Q701" s="428" t="s">
        <v>10530</v>
      </c>
      <c r="R701" s="223" t="str">
        <f t="shared" si="40"/>
        <v>[Lending] Nhóm phân tích thiết kế</v>
      </c>
      <c r="S701" s="429" t="s">
        <v>11592</v>
      </c>
      <c r="T701" s="176" t="s">
        <v>3134</v>
      </c>
      <c r="U701" s="176" t="s">
        <v>2924</v>
      </c>
      <c r="V701" s="176" t="s">
        <v>75</v>
      </c>
      <c r="W701" s="176" t="s">
        <v>3086</v>
      </c>
      <c r="X701" s="176" t="s">
        <v>3133</v>
      </c>
      <c r="Y701" s="176"/>
      <c r="Z701" s="225" t="s">
        <v>11594</v>
      </c>
      <c r="AA701" s="300" t="s">
        <v>10530</v>
      </c>
      <c r="AB701" s="226"/>
      <c r="AC701" s="226"/>
      <c r="AD701" s="226"/>
    </row>
    <row r="702" ht="15.75" hidden="1" customHeight="1" outlineLevel="1">
      <c r="A702" s="481" t="s">
        <v>10833</v>
      </c>
      <c r="B702" s="482" t="s">
        <v>77</v>
      </c>
      <c r="C702" s="483" t="s">
        <v>73</v>
      </c>
      <c r="D702" s="483" t="s">
        <v>74</v>
      </c>
      <c r="E702" s="484" t="s">
        <v>27</v>
      </c>
      <c r="F702" s="483" t="s">
        <v>4</v>
      </c>
      <c r="G702" s="483" t="s">
        <v>35</v>
      </c>
      <c r="H702" s="486" t="s">
        <v>187</v>
      </c>
      <c r="I702" s="485" t="s">
        <v>27</v>
      </c>
      <c r="J702" s="558" t="s">
        <v>4</v>
      </c>
      <c r="K702" s="488" t="s">
        <v>27</v>
      </c>
      <c r="L702" s="489" t="s">
        <v>4</v>
      </c>
      <c r="M702" s="488" t="s">
        <v>27</v>
      </c>
      <c r="N702" s="491"/>
      <c r="O702" s="492" t="str">
        <f t="shared" si="14"/>
        <v>L2.99.00.03.00.00</v>
      </c>
      <c r="P702" s="492" t="str">
        <f t="shared" si="39"/>
        <v>L2.99.00.03.00.00.00</v>
      </c>
      <c r="Q702" s="493" t="s">
        <v>10530</v>
      </c>
      <c r="R702" s="494" t="str">
        <f t="shared" si="40"/>
        <v>Phòng kinh doanh &amp; marketing</v>
      </c>
      <c r="S702" s="540" t="s">
        <v>11586</v>
      </c>
      <c r="T702" s="495"/>
      <c r="U702" s="495"/>
      <c r="V702" s="495"/>
      <c r="W702" s="495" t="s">
        <v>8293</v>
      </c>
      <c r="X702" s="495"/>
      <c r="Y702" s="557"/>
      <c r="Z702" s="496" t="s">
        <v>11595</v>
      </c>
      <c r="AA702" s="300" t="s">
        <v>10530</v>
      </c>
      <c r="AB702" s="498"/>
      <c r="AC702" s="498"/>
      <c r="AD702" s="498"/>
    </row>
    <row r="703" ht="15.75" hidden="1" customHeight="1" outlineLevel="1">
      <c r="A703" s="177" t="s">
        <v>10833</v>
      </c>
      <c r="B703" s="221" t="s">
        <v>77</v>
      </c>
      <c r="C703" s="172" t="s">
        <v>73</v>
      </c>
      <c r="D703" s="172" t="s">
        <v>74</v>
      </c>
      <c r="E703" s="222" t="s">
        <v>27</v>
      </c>
      <c r="F703" s="172" t="s">
        <v>4</v>
      </c>
      <c r="G703" s="172" t="s">
        <v>35</v>
      </c>
      <c r="H703" s="171" t="s">
        <v>187</v>
      </c>
      <c r="I703" s="175" t="s">
        <v>29</v>
      </c>
      <c r="J703" s="176" t="s">
        <v>8293</v>
      </c>
      <c r="K703" s="297" t="s">
        <v>27</v>
      </c>
      <c r="L703" s="157" t="s">
        <v>4</v>
      </c>
      <c r="M703" s="157" t="s">
        <v>33</v>
      </c>
      <c r="N703" s="167" t="s">
        <v>10499</v>
      </c>
      <c r="O703" s="55" t="str">
        <f t="shared" si="14"/>
        <v>L2.99.00.03.01.00</v>
      </c>
      <c r="P703" s="173" t="str">
        <f t="shared" si="39"/>
        <v>L2.99.00.03.01.00.02</v>
      </c>
      <c r="Q703" s="428" t="s">
        <v>10530</v>
      </c>
      <c r="R703" s="223" t="str">
        <f t="shared" si="40"/>
        <v>Nhóm KD sản phẩm Bankhub</v>
      </c>
      <c r="S703" s="429" t="s">
        <v>11596</v>
      </c>
      <c r="T703" s="176" t="s">
        <v>8294</v>
      </c>
      <c r="U703" s="176" t="s">
        <v>2924</v>
      </c>
      <c r="V703" s="176" t="s">
        <v>187</v>
      </c>
      <c r="W703" s="176" t="s">
        <v>8293</v>
      </c>
      <c r="X703" s="176"/>
      <c r="Y703" s="224"/>
      <c r="Z703" s="225" t="s">
        <v>11597</v>
      </c>
      <c r="AA703" s="300" t="s">
        <v>10530</v>
      </c>
      <c r="AB703" s="226"/>
      <c r="AC703" s="226"/>
      <c r="AD703" s="226"/>
    </row>
    <row r="704" ht="15.75" hidden="1" customHeight="1" outlineLevel="1">
      <c r="A704" s="481" t="s">
        <v>10833</v>
      </c>
      <c r="B704" s="482" t="s">
        <v>77</v>
      </c>
      <c r="C704" s="483" t="s">
        <v>73</v>
      </c>
      <c r="D704" s="483" t="s">
        <v>74</v>
      </c>
      <c r="E704" s="484" t="s">
        <v>27</v>
      </c>
      <c r="F704" s="483" t="s">
        <v>4</v>
      </c>
      <c r="G704" s="483" t="s">
        <v>35</v>
      </c>
      <c r="H704" s="486" t="s">
        <v>187</v>
      </c>
      <c r="I704" s="481" t="s">
        <v>33</v>
      </c>
      <c r="J704" s="495" t="s">
        <v>3112</v>
      </c>
      <c r="K704" s="488" t="s">
        <v>27</v>
      </c>
      <c r="L704" s="489" t="s">
        <v>4</v>
      </c>
      <c r="M704" s="490" t="s">
        <v>27</v>
      </c>
      <c r="N704" s="491"/>
      <c r="O704" s="492" t="str">
        <f t="shared" si="14"/>
        <v>L2.99.00.03.02.00</v>
      </c>
      <c r="P704" s="492" t="str">
        <f t="shared" si="39"/>
        <v>L2.99.00.03.02.00.00</v>
      </c>
      <c r="Q704" s="493" t="s">
        <v>10530</v>
      </c>
      <c r="R704" s="494" t="str">
        <f t="shared" si="40"/>
        <v>Nhóm KD sản phẩm Lending</v>
      </c>
      <c r="S704" s="540" t="s">
        <v>11596</v>
      </c>
      <c r="T704" s="495" t="s">
        <v>3113</v>
      </c>
      <c r="U704" s="495" t="s">
        <v>2924</v>
      </c>
      <c r="V704" s="495" t="s">
        <v>187</v>
      </c>
      <c r="W704" s="495" t="s">
        <v>3112</v>
      </c>
      <c r="X704" s="495"/>
      <c r="Y704" s="495"/>
      <c r="Z704" s="496" t="s">
        <v>11598</v>
      </c>
      <c r="AA704" s="300" t="s">
        <v>10530</v>
      </c>
      <c r="AB704" s="498"/>
      <c r="AC704" s="498"/>
      <c r="AD704" s="498"/>
    </row>
    <row r="705" ht="15.75" hidden="1" customHeight="1" outlineLevel="1">
      <c r="A705" s="170" t="s">
        <v>10833</v>
      </c>
      <c r="B705" s="57" t="s">
        <v>77</v>
      </c>
      <c r="C705" s="52" t="s">
        <v>73</v>
      </c>
      <c r="D705" s="52" t="s">
        <v>74</v>
      </c>
      <c r="E705" s="53" t="s">
        <v>27</v>
      </c>
      <c r="F705" s="52" t="s">
        <v>4</v>
      </c>
      <c r="G705" s="62" t="s">
        <v>35</v>
      </c>
      <c r="H705" s="60" t="s">
        <v>187</v>
      </c>
      <c r="I705" s="170" t="s">
        <v>33</v>
      </c>
      <c r="J705" s="96" t="s">
        <v>3112</v>
      </c>
      <c r="K705" s="166" t="s">
        <v>27</v>
      </c>
      <c r="L705" s="155" t="s">
        <v>4</v>
      </c>
      <c r="M705" s="422" t="s">
        <v>33</v>
      </c>
      <c r="N705" s="167" t="s">
        <v>10499</v>
      </c>
      <c r="O705" s="55" t="str">
        <f t="shared" si="14"/>
        <v>L2.99.00.03.02.00</v>
      </c>
      <c r="P705" s="55" t="str">
        <f t="shared" si="39"/>
        <v>L2.99.00.03.02.00.02</v>
      </c>
      <c r="Q705" s="428"/>
      <c r="R705" s="169" t="str">
        <f t="shared" si="40"/>
        <v>Nhóm KD sản phẩm Lending</v>
      </c>
      <c r="S705" s="227" t="s">
        <v>11599</v>
      </c>
      <c r="T705" s="96"/>
      <c r="U705" s="96"/>
      <c r="V705" s="96"/>
      <c r="W705" s="96"/>
      <c r="X705" s="96"/>
      <c r="Y705" s="96"/>
      <c r="Z705" s="152"/>
      <c r="AA705" s="99"/>
      <c r="AB705" s="91"/>
      <c r="AC705" s="91"/>
      <c r="AD705" s="91"/>
    </row>
    <row r="706" ht="15.75" hidden="1" customHeight="1" outlineLevel="1">
      <c r="A706" s="170" t="s">
        <v>10833</v>
      </c>
      <c r="B706" s="57" t="s">
        <v>77</v>
      </c>
      <c r="C706" s="52" t="s">
        <v>73</v>
      </c>
      <c r="D706" s="52" t="s">
        <v>74</v>
      </c>
      <c r="E706" s="53" t="s">
        <v>27</v>
      </c>
      <c r="F706" s="52" t="s">
        <v>4</v>
      </c>
      <c r="G706" s="62" t="s">
        <v>35</v>
      </c>
      <c r="H706" s="60" t="s">
        <v>187</v>
      </c>
      <c r="I706" s="170" t="s">
        <v>33</v>
      </c>
      <c r="J706" s="96" t="s">
        <v>3112</v>
      </c>
      <c r="K706" s="166" t="s">
        <v>27</v>
      </c>
      <c r="L706" s="155" t="s">
        <v>4</v>
      </c>
      <c r="M706" s="422" t="s">
        <v>46</v>
      </c>
      <c r="N706" s="158" t="s">
        <v>10496</v>
      </c>
      <c r="O706" s="55" t="str">
        <f t="shared" si="14"/>
        <v>L2.99.00.03.02.00</v>
      </c>
      <c r="P706" s="55" t="str">
        <f t="shared" si="39"/>
        <v>L2.99.00.03.02.00.07</v>
      </c>
      <c r="Q706" s="169"/>
      <c r="R706" s="169" t="str">
        <f t="shared" si="40"/>
        <v>Nhóm KD sản phẩm Lending</v>
      </c>
      <c r="S706" s="227" t="s">
        <v>11599</v>
      </c>
      <c r="T706" s="96"/>
      <c r="U706" s="96"/>
      <c r="V706" s="96"/>
      <c r="W706" s="96"/>
      <c r="X706" s="96"/>
      <c r="Y706" s="96"/>
      <c r="Z706" s="152"/>
      <c r="AA706" s="99"/>
      <c r="AB706" s="91"/>
      <c r="AC706" s="91"/>
      <c r="AD706" s="91"/>
    </row>
    <row r="707" ht="15.75" hidden="1" customHeight="1" outlineLevel="1">
      <c r="A707" s="170" t="s">
        <v>10529</v>
      </c>
      <c r="B707" s="57" t="s">
        <v>206</v>
      </c>
      <c r="C707" s="52" t="s">
        <v>73</v>
      </c>
      <c r="D707" s="52" t="s">
        <v>74</v>
      </c>
      <c r="E707" s="53" t="s">
        <v>27</v>
      </c>
      <c r="F707" s="52" t="s">
        <v>4</v>
      </c>
      <c r="G707" s="62" t="s">
        <v>37</v>
      </c>
      <c r="H707" s="60" t="s">
        <v>34</v>
      </c>
      <c r="I707" s="53" t="s">
        <v>27</v>
      </c>
      <c r="J707" s="559" t="s">
        <v>4</v>
      </c>
      <c r="K707" s="166" t="s">
        <v>27</v>
      </c>
      <c r="L707" s="155" t="s">
        <v>4</v>
      </c>
      <c r="M707" s="422" t="s">
        <v>46</v>
      </c>
      <c r="N707" s="158" t="s">
        <v>10496</v>
      </c>
      <c r="O707" s="55" t="str">
        <f t="shared" si="14"/>
        <v>L4.99.00.04.00.00</v>
      </c>
      <c r="P707" s="55" t="str">
        <f t="shared" si="39"/>
        <v>L4.99.00.04.00.00.07</v>
      </c>
      <c r="Q707" s="161" t="s">
        <v>10530</v>
      </c>
      <c r="R707" s="169" t="str">
        <f t="shared" si="40"/>
        <v>Phòng HCTH</v>
      </c>
      <c r="S707" s="429" t="s">
        <v>11586</v>
      </c>
      <c r="T707" s="96" t="s">
        <v>2925</v>
      </c>
      <c r="U707" s="96" t="s">
        <v>2924</v>
      </c>
      <c r="V707" s="96" t="s">
        <v>34</v>
      </c>
      <c r="W707" s="96"/>
      <c r="X707" s="96"/>
      <c r="Y707" s="96"/>
      <c r="Z707" s="98" t="s">
        <v>11600</v>
      </c>
      <c r="AA707" s="300" t="s">
        <v>10530</v>
      </c>
      <c r="AB707" s="91"/>
      <c r="AC707" s="91"/>
      <c r="AD707" s="91"/>
    </row>
    <row r="708" ht="15.75" hidden="1" customHeight="1" outlineLevel="1">
      <c r="A708" s="170" t="s">
        <v>10529</v>
      </c>
      <c r="B708" s="57" t="s">
        <v>206</v>
      </c>
      <c r="C708" s="52" t="s">
        <v>73</v>
      </c>
      <c r="D708" s="52" t="s">
        <v>74</v>
      </c>
      <c r="E708" s="53" t="s">
        <v>27</v>
      </c>
      <c r="F708" s="52" t="s">
        <v>4</v>
      </c>
      <c r="G708" s="62" t="s">
        <v>42</v>
      </c>
      <c r="H708" s="60" t="s">
        <v>232</v>
      </c>
      <c r="I708" s="53" t="s">
        <v>27</v>
      </c>
      <c r="J708" s="559" t="s">
        <v>4</v>
      </c>
      <c r="K708" s="166" t="s">
        <v>27</v>
      </c>
      <c r="L708" s="155" t="s">
        <v>4</v>
      </c>
      <c r="M708" s="422" t="s">
        <v>33</v>
      </c>
      <c r="N708" s="167" t="s">
        <v>10499</v>
      </c>
      <c r="O708" s="55" t="str">
        <f t="shared" si="14"/>
        <v>L4.99.00.05.00.00</v>
      </c>
      <c r="P708" s="55" t="str">
        <f t="shared" si="39"/>
        <v>L4.99.00.05.00.00.02</v>
      </c>
      <c r="Q708" s="161" t="s">
        <v>10530</v>
      </c>
      <c r="R708" s="169" t="str">
        <f t="shared" si="40"/>
        <v>Phòng Giám sát vận hành</v>
      </c>
      <c r="S708" s="429" t="s">
        <v>11586</v>
      </c>
      <c r="T708" s="96" t="s">
        <v>7479</v>
      </c>
      <c r="U708" s="96" t="s">
        <v>2924</v>
      </c>
      <c r="V708" s="96" t="s">
        <v>232</v>
      </c>
      <c r="W708" s="96"/>
      <c r="X708" s="96"/>
      <c r="Y708" s="96"/>
      <c r="Z708" s="98" t="s">
        <v>11601</v>
      </c>
      <c r="AA708" s="300" t="s">
        <v>10530</v>
      </c>
      <c r="AB708" s="91"/>
      <c r="AC708" s="91"/>
      <c r="AD708" s="91"/>
    </row>
    <row r="709" ht="15.75" customHeight="1">
      <c r="H709" s="37"/>
      <c r="I709" s="38"/>
      <c r="J709" s="37"/>
      <c r="N709" s="37"/>
      <c r="Z709" s="79"/>
    </row>
    <row r="710" ht="15.75" customHeight="1">
      <c r="H710" s="560"/>
      <c r="I710" s="38"/>
      <c r="J710" s="37"/>
      <c r="N710" s="37"/>
      <c r="Z710" s="79"/>
    </row>
    <row r="711" ht="15.75" customHeight="1">
      <c r="H711" s="37"/>
      <c r="I711" s="38"/>
      <c r="J711" s="37"/>
      <c r="N711" s="37"/>
      <c r="Z711" s="79"/>
    </row>
    <row r="712" ht="15.75" customHeight="1">
      <c r="H712" s="560"/>
      <c r="I712" s="561"/>
      <c r="J712" s="37"/>
      <c r="N712" s="37"/>
      <c r="Z712" s="79"/>
    </row>
    <row r="713" ht="15.75" customHeight="1">
      <c r="H713" s="560"/>
      <c r="I713" s="38"/>
      <c r="J713" s="37"/>
      <c r="N713" s="37"/>
      <c r="Z713" s="79"/>
    </row>
    <row r="714" ht="15.75" customHeight="1">
      <c r="H714" s="560"/>
      <c r="I714" s="38"/>
      <c r="J714" s="37"/>
      <c r="N714" s="37"/>
      <c r="Z714" s="79"/>
    </row>
    <row r="715" ht="15.75" customHeight="1">
      <c r="H715" s="560"/>
      <c r="I715" s="38"/>
      <c r="J715" s="37"/>
      <c r="N715" s="37"/>
      <c r="Z715" s="79"/>
    </row>
    <row r="716" ht="15.75" customHeight="1">
      <c r="H716" s="560"/>
      <c r="I716" s="38"/>
      <c r="J716" s="37"/>
      <c r="N716" s="37"/>
      <c r="Z716" s="79"/>
    </row>
    <row r="717" ht="15.75" customHeight="1">
      <c r="H717" s="560"/>
      <c r="I717" s="38"/>
      <c r="J717" s="37"/>
      <c r="N717" s="37"/>
      <c r="Z717" s="79"/>
    </row>
    <row r="718" ht="15.75" customHeight="1">
      <c r="H718" s="37"/>
      <c r="I718" s="38"/>
      <c r="J718" s="37"/>
      <c r="N718" s="37"/>
      <c r="Z718" s="79"/>
    </row>
    <row r="719" ht="15.75" customHeight="1">
      <c r="H719" s="37"/>
      <c r="I719" s="38"/>
      <c r="J719" s="37"/>
      <c r="N719" s="37"/>
      <c r="Z719" s="79"/>
    </row>
    <row r="720" ht="15.75" customHeight="1">
      <c r="H720" s="37"/>
      <c r="I720" s="38"/>
      <c r="J720" s="37"/>
      <c r="N720" s="37"/>
      <c r="Z720" s="79"/>
    </row>
    <row r="721" ht="15.75" customHeight="1">
      <c r="H721" s="37"/>
      <c r="I721" s="38"/>
      <c r="J721" s="37"/>
      <c r="N721" s="37"/>
      <c r="Z721" s="79"/>
    </row>
    <row r="722" ht="15.75" customHeight="1">
      <c r="H722" s="37"/>
      <c r="I722" s="38"/>
      <c r="J722" s="37"/>
      <c r="N722" s="37"/>
      <c r="Z722" s="79"/>
    </row>
    <row r="723" ht="15.75" customHeight="1">
      <c r="H723" s="37"/>
      <c r="I723" s="38"/>
      <c r="J723" s="37"/>
      <c r="N723" s="37"/>
      <c r="Z723" s="79"/>
    </row>
    <row r="724" ht="15.75" customHeight="1">
      <c r="H724" s="37"/>
      <c r="I724" s="38"/>
      <c r="J724" s="37"/>
      <c r="N724" s="37"/>
      <c r="Z724" s="79"/>
    </row>
    <row r="725" ht="15.75" customHeight="1">
      <c r="H725" s="37"/>
      <c r="I725" s="38"/>
      <c r="J725" s="37"/>
      <c r="N725" s="37"/>
      <c r="Z725" s="79"/>
    </row>
    <row r="726" ht="15.75" customHeight="1">
      <c r="H726" s="37"/>
      <c r="I726" s="38"/>
      <c r="J726" s="37"/>
      <c r="N726" s="37"/>
      <c r="Z726" s="79"/>
    </row>
    <row r="727" ht="15.75" customHeight="1">
      <c r="H727" s="37"/>
      <c r="I727" s="38"/>
      <c r="J727" s="37"/>
      <c r="N727" s="37"/>
      <c r="Z727" s="79"/>
    </row>
    <row r="728" ht="15.75" customHeight="1">
      <c r="H728" s="37"/>
      <c r="I728" s="38"/>
      <c r="J728" s="37"/>
      <c r="N728" s="37"/>
      <c r="Z728" s="79"/>
    </row>
    <row r="729" ht="15.75" customHeight="1">
      <c r="H729" s="37"/>
      <c r="I729" s="38"/>
      <c r="J729" s="37"/>
      <c r="N729" s="37"/>
      <c r="Z729" s="79"/>
    </row>
    <row r="730" ht="15.75" customHeight="1">
      <c r="H730" s="37"/>
      <c r="I730" s="38"/>
      <c r="J730" s="37"/>
      <c r="N730" s="37"/>
      <c r="Z730" s="79"/>
    </row>
    <row r="731" ht="15.75" customHeight="1">
      <c r="H731" s="37"/>
      <c r="I731" s="38"/>
      <c r="J731" s="37"/>
      <c r="N731" s="37"/>
      <c r="Z731" s="79"/>
    </row>
    <row r="732" ht="15.75" customHeight="1">
      <c r="H732" s="37"/>
      <c r="I732" s="38"/>
      <c r="J732" s="37"/>
      <c r="N732" s="37"/>
      <c r="Z732" s="79"/>
    </row>
    <row r="733" ht="15.75" customHeight="1">
      <c r="H733" s="37"/>
      <c r="I733" s="38"/>
      <c r="J733" s="37"/>
      <c r="N733" s="37"/>
      <c r="Z733" s="79"/>
    </row>
    <row r="734" ht="15.75" customHeight="1">
      <c r="H734" s="37"/>
      <c r="I734" s="38"/>
      <c r="J734" s="37"/>
      <c r="N734" s="37"/>
      <c r="Z734" s="79"/>
    </row>
    <row r="735" ht="15.75" customHeight="1">
      <c r="H735" s="37"/>
      <c r="I735" s="38"/>
      <c r="J735" s="37"/>
      <c r="N735" s="37"/>
      <c r="Z735" s="79"/>
    </row>
    <row r="736" ht="15.75" customHeight="1">
      <c r="H736" s="37"/>
      <c r="I736" s="38"/>
      <c r="J736" s="37"/>
      <c r="N736" s="37"/>
      <c r="Z736" s="79"/>
    </row>
    <row r="737" ht="15.75" customHeight="1">
      <c r="H737" s="37"/>
      <c r="I737" s="38"/>
      <c r="J737" s="37"/>
      <c r="N737" s="37"/>
      <c r="Z737" s="79"/>
    </row>
    <row r="738" ht="15.75" customHeight="1">
      <c r="H738" s="37"/>
      <c r="I738" s="38"/>
      <c r="J738" s="37"/>
      <c r="N738" s="37"/>
      <c r="Z738" s="79"/>
    </row>
    <row r="739" ht="15.75" customHeight="1">
      <c r="H739" s="37"/>
      <c r="I739" s="38"/>
      <c r="J739" s="37"/>
      <c r="N739" s="37"/>
      <c r="Z739" s="79"/>
    </row>
    <row r="740" ht="15.75" customHeight="1">
      <c r="H740" s="37"/>
      <c r="I740" s="38"/>
      <c r="J740" s="37"/>
      <c r="N740" s="37"/>
      <c r="Z740" s="79"/>
    </row>
    <row r="741" ht="15.75" customHeight="1">
      <c r="H741" s="37"/>
      <c r="I741" s="38"/>
      <c r="J741" s="37"/>
      <c r="N741" s="37"/>
      <c r="Z741" s="79"/>
    </row>
    <row r="742" ht="15.75" customHeight="1">
      <c r="H742" s="37"/>
      <c r="I742" s="38"/>
      <c r="J742" s="37"/>
      <c r="N742" s="37"/>
      <c r="Z742" s="79"/>
    </row>
    <row r="743" ht="15.75" customHeight="1">
      <c r="H743" s="37"/>
      <c r="I743" s="38"/>
      <c r="J743" s="37"/>
      <c r="N743" s="37"/>
      <c r="Z743" s="79"/>
    </row>
    <row r="744" ht="15.75" customHeight="1">
      <c r="H744" s="37"/>
      <c r="I744" s="38"/>
      <c r="J744" s="37"/>
      <c r="N744" s="37"/>
      <c r="Z744" s="79"/>
    </row>
    <row r="745" ht="15.75" customHeight="1">
      <c r="H745" s="37"/>
      <c r="I745" s="38"/>
      <c r="J745" s="37"/>
      <c r="N745" s="37"/>
      <c r="Z745" s="79"/>
    </row>
    <row r="746" ht="15.75" customHeight="1">
      <c r="H746" s="37"/>
      <c r="I746" s="38"/>
      <c r="J746" s="37"/>
      <c r="N746" s="37"/>
      <c r="Z746" s="79"/>
    </row>
    <row r="747" ht="15.75" customHeight="1">
      <c r="H747" s="37"/>
      <c r="I747" s="38"/>
      <c r="J747" s="37"/>
      <c r="N747" s="37"/>
      <c r="Z747" s="79"/>
    </row>
    <row r="748" ht="15.75" customHeight="1">
      <c r="H748" s="37"/>
      <c r="I748" s="38"/>
      <c r="J748" s="37"/>
      <c r="N748" s="37"/>
      <c r="Z748" s="79"/>
    </row>
    <row r="749" ht="15.75" customHeight="1">
      <c r="H749" s="37"/>
      <c r="I749" s="38"/>
      <c r="J749" s="37"/>
      <c r="N749" s="37"/>
      <c r="Z749" s="79"/>
    </row>
    <row r="750" ht="15.75" customHeight="1">
      <c r="H750" s="37"/>
      <c r="I750" s="38"/>
      <c r="J750" s="37"/>
      <c r="N750" s="37"/>
      <c r="Z750" s="79"/>
    </row>
    <row r="751" ht="15.75" customHeight="1">
      <c r="H751" s="37"/>
      <c r="I751" s="38"/>
      <c r="J751" s="37"/>
      <c r="N751" s="37"/>
      <c r="Z751" s="79"/>
    </row>
    <row r="752" ht="15.75" customHeight="1">
      <c r="H752" s="37"/>
      <c r="I752" s="38"/>
      <c r="J752" s="37"/>
      <c r="N752" s="37"/>
      <c r="Z752" s="79"/>
    </row>
    <row r="753" ht="15.75" customHeight="1">
      <c r="H753" s="37"/>
      <c r="I753" s="38"/>
      <c r="J753" s="37"/>
      <c r="N753" s="37"/>
      <c r="Z753" s="79"/>
    </row>
    <row r="754" ht="15.75" customHeight="1">
      <c r="H754" s="37"/>
      <c r="I754" s="38"/>
      <c r="J754" s="37"/>
      <c r="N754" s="37"/>
      <c r="Z754" s="79"/>
    </row>
    <row r="755" ht="15.75" customHeight="1">
      <c r="H755" s="37"/>
      <c r="I755" s="38"/>
      <c r="J755" s="37"/>
      <c r="N755" s="37"/>
      <c r="Z755" s="79"/>
    </row>
    <row r="756" ht="15.75" customHeight="1">
      <c r="H756" s="37"/>
      <c r="I756" s="38"/>
      <c r="J756" s="37"/>
      <c r="N756" s="37"/>
      <c r="Z756" s="79"/>
    </row>
    <row r="757" ht="15.75" customHeight="1">
      <c r="H757" s="37"/>
      <c r="I757" s="38"/>
      <c r="J757" s="37"/>
      <c r="N757" s="37"/>
      <c r="Z757" s="79"/>
    </row>
    <row r="758" ht="15.75" customHeight="1">
      <c r="H758" s="37"/>
      <c r="I758" s="38"/>
      <c r="J758" s="37"/>
      <c r="N758" s="37"/>
      <c r="Z758" s="79"/>
    </row>
    <row r="759" ht="15.75" customHeight="1">
      <c r="H759" s="37"/>
      <c r="I759" s="38"/>
      <c r="J759" s="37"/>
      <c r="N759" s="37"/>
      <c r="Z759" s="79"/>
    </row>
    <row r="760" ht="15.75" customHeight="1">
      <c r="H760" s="37"/>
      <c r="I760" s="38"/>
      <c r="J760" s="37"/>
      <c r="N760" s="37"/>
      <c r="Z760" s="79"/>
    </row>
    <row r="761" ht="15.75" customHeight="1">
      <c r="H761" s="37"/>
      <c r="I761" s="38"/>
      <c r="J761" s="37"/>
      <c r="N761" s="37"/>
      <c r="Z761" s="79"/>
    </row>
    <row r="762" ht="15.75" customHeight="1">
      <c r="H762" s="37"/>
      <c r="I762" s="38"/>
      <c r="J762" s="37"/>
      <c r="N762" s="37"/>
      <c r="Z762" s="79"/>
    </row>
    <row r="763" ht="15.75" customHeight="1">
      <c r="H763" s="37"/>
      <c r="I763" s="38"/>
      <c r="J763" s="37"/>
      <c r="N763" s="37"/>
      <c r="Z763" s="79"/>
    </row>
    <row r="764" ht="15.75" customHeight="1">
      <c r="H764" s="37"/>
      <c r="I764" s="38"/>
      <c r="J764" s="37"/>
      <c r="N764" s="37"/>
      <c r="Z764" s="79"/>
    </row>
    <row r="765" ht="15.75" customHeight="1">
      <c r="H765" s="37"/>
      <c r="I765" s="38"/>
      <c r="J765" s="37"/>
      <c r="N765" s="37"/>
      <c r="Z765" s="79"/>
    </row>
    <row r="766" ht="15.75" customHeight="1">
      <c r="H766" s="37"/>
      <c r="I766" s="38"/>
      <c r="J766" s="37"/>
      <c r="N766" s="37"/>
      <c r="Z766" s="79"/>
    </row>
    <row r="767" ht="15.75" customHeight="1">
      <c r="H767" s="37"/>
      <c r="I767" s="38"/>
      <c r="J767" s="37"/>
      <c r="N767" s="37"/>
      <c r="Z767" s="79"/>
    </row>
    <row r="768" ht="15.75" customHeight="1">
      <c r="H768" s="37"/>
      <c r="I768" s="38"/>
      <c r="J768" s="37"/>
      <c r="N768" s="37"/>
      <c r="Z768" s="79"/>
    </row>
    <row r="769" ht="15.75" customHeight="1">
      <c r="H769" s="37"/>
      <c r="I769" s="38"/>
      <c r="J769" s="37"/>
      <c r="N769" s="37"/>
      <c r="Z769" s="79"/>
    </row>
    <row r="770" ht="15.75" customHeight="1">
      <c r="H770" s="37"/>
      <c r="I770" s="38"/>
      <c r="J770" s="37"/>
      <c r="N770" s="37"/>
      <c r="Z770" s="79"/>
    </row>
    <row r="771" ht="15.75" customHeight="1">
      <c r="H771" s="37"/>
      <c r="I771" s="38"/>
      <c r="J771" s="37"/>
      <c r="N771" s="37"/>
      <c r="Z771" s="79"/>
    </row>
    <row r="772" ht="15.75" customHeight="1">
      <c r="H772" s="37"/>
      <c r="I772" s="38"/>
      <c r="J772" s="37"/>
      <c r="N772" s="37"/>
      <c r="Z772" s="79"/>
    </row>
    <row r="773" ht="15.75" customHeight="1">
      <c r="H773" s="37"/>
      <c r="I773" s="38"/>
      <c r="J773" s="37"/>
      <c r="N773" s="37"/>
      <c r="Z773" s="79"/>
    </row>
    <row r="774" ht="15.75" customHeight="1">
      <c r="H774" s="37"/>
      <c r="I774" s="38"/>
      <c r="J774" s="37"/>
      <c r="N774" s="37"/>
      <c r="Z774" s="79"/>
    </row>
    <row r="775" ht="15.75" customHeight="1">
      <c r="H775" s="37"/>
      <c r="I775" s="38"/>
      <c r="J775" s="37"/>
      <c r="N775" s="37"/>
      <c r="Z775" s="79"/>
    </row>
    <row r="776" ht="15.75" customHeight="1">
      <c r="H776" s="37"/>
      <c r="I776" s="38"/>
      <c r="J776" s="37"/>
      <c r="N776" s="37"/>
      <c r="Z776" s="79"/>
    </row>
    <row r="777" ht="15.75" customHeight="1">
      <c r="H777" s="37"/>
      <c r="I777" s="38"/>
      <c r="J777" s="37"/>
      <c r="N777" s="37"/>
      <c r="Z777" s="79"/>
    </row>
    <row r="778" ht="15.75" customHeight="1">
      <c r="H778" s="37"/>
      <c r="I778" s="38"/>
      <c r="J778" s="37"/>
      <c r="N778" s="37"/>
      <c r="Z778" s="79"/>
    </row>
    <row r="779" ht="15.75" customHeight="1">
      <c r="H779" s="37"/>
      <c r="I779" s="38"/>
      <c r="J779" s="37"/>
      <c r="N779" s="37"/>
      <c r="Z779" s="79"/>
    </row>
    <row r="780" ht="15.75" customHeight="1">
      <c r="H780" s="37"/>
      <c r="I780" s="38"/>
      <c r="J780" s="37"/>
      <c r="N780" s="37"/>
      <c r="Z780" s="79"/>
    </row>
    <row r="781" ht="15.75" customHeight="1">
      <c r="H781" s="37"/>
      <c r="I781" s="38"/>
      <c r="J781" s="37"/>
      <c r="N781" s="37"/>
      <c r="Z781" s="79"/>
    </row>
    <row r="782" ht="15.75" customHeight="1">
      <c r="H782" s="37"/>
      <c r="I782" s="38"/>
      <c r="J782" s="37"/>
      <c r="N782" s="37"/>
      <c r="Z782" s="79"/>
    </row>
    <row r="783" ht="15.75" customHeight="1">
      <c r="H783" s="37"/>
      <c r="I783" s="38"/>
      <c r="J783" s="37"/>
      <c r="N783" s="37"/>
      <c r="Z783" s="79"/>
    </row>
    <row r="784" ht="15.75" customHeight="1">
      <c r="H784" s="37"/>
      <c r="I784" s="38"/>
      <c r="J784" s="37"/>
      <c r="N784" s="37"/>
      <c r="Z784" s="79"/>
    </row>
    <row r="785" ht="15.75" customHeight="1">
      <c r="H785" s="37"/>
      <c r="I785" s="38"/>
      <c r="J785" s="37"/>
      <c r="N785" s="37"/>
      <c r="Z785" s="79"/>
    </row>
    <row r="786" ht="15.75" customHeight="1">
      <c r="H786" s="37"/>
      <c r="I786" s="38"/>
      <c r="J786" s="37"/>
      <c r="N786" s="37"/>
      <c r="Z786" s="79"/>
    </row>
    <row r="787" ht="15.75" customHeight="1">
      <c r="H787" s="37"/>
      <c r="I787" s="38"/>
      <c r="J787" s="37"/>
      <c r="N787" s="37"/>
      <c r="Z787" s="79"/>
    </row>
    <row r="788" ht="15.75" customHeight="1">
      <c r="H788" s="37"/>
      <c r="I788" s="38"/>
      <c r="J788" s="37"/>
      <c r="N788" s="37"/>
      <c r="Z788" s="79"/>
    </row>
    <row r="789" ht="15.75" customHeight="1">
      <c r="H789" s="37"/>
      <c r="I789" s="38"/>
      <c r="J789" s="37"/>
      <c r="N789" s="37"/>
      <c r="Z789" s="79"/>
    </row>
    <row r="790" ht="15.75" customHeight="1">
      <c r="H790" s="37"/>
      <c r="I790" s="38"/>
      <c r="J790" s="37"/>
      <c r="N790" s="37"/>
      <c r="Z790" s="79"/>
    </row>
    <row r="791" ht="15.75" customHeight="1">
      <c r="H791" s="37"/>
      <c r="I791" s="38"/>
      <c r="J791" s="37"/>
      <c r="N791" s="37"/>
      <c r="Z791" s="79"/>
    </row>
    <row r="792" ht="15.75" customHeight="1">
      <c r="H792" s="37"/>
      <c r="I792" s="38"/>
      <c r="J792" s="37"/>
      <c r="N792" s="37"/>
      <c r="Z792" s="79"/>
    </row>
    <row r="793" ht="15.75" customHeight="1">
      <c r="H793" s="37"/>
      <c r="I793" s="38"/>
      <c r="J793" s="37"/>
      <c r="N793" s="37"/>
      <c r="Z793" s="79"/>
    </row>
    <row r="794" ht="15.75" customHeight="1">
      <c r="H794" s="37"/>
      <c r="I794" s="38"/>
      <c r="J794" s="37"/>
      <c r="N794" s="37"/>
      <c r="Z794" s="79"/>
    </row>
    <row r="795" ht="15.75" customHeight="1">
      <c r="H795" s="37"/>
      <c r="I795" s="38"/>
      <c r="J795" s="37"/>
      <c r="N795" s="37"/>
      <c r="Z795" s="79"/>
    </row>
    <row r="796" ht="15.75" customHeight="1">
      <c r="H796" s="37"/>
      <c r="I796" s="38"/>
      <c r="J796" s="37"/>
      <c r="N796" s="37"/>
      <c r="Z796" s="79"/>
    </row>
    <row r="797" ht="15.75" customHeight="1">
      <c r="H797" s="37"/>
      <c r="I797" s="38"/>
      <c r="J797" s="37"/>
      <c r="N797" s="37"/>
      <c r="Z797" s="79"/>
    </row>
    <row r="798" ht="15.75" customHeight="1">
      <c r="H798" s="37"/>
      <c r="I798" s="38"/>
      <c r="J798" s="37"/>
      <c r="N798" s="37"/>
      <c r="Z798" s="79"/>
    </row>
    <row r="799" ht="15.75" customHeight="1">
      <c r="H799" s="37"/>
      <c r="I799" s="38"/>
      <c r="J799" s="37"/>
      <c r="N799" s="37"/>
      <c r="Z799" s="79"/>
    </row>
    <row r="800" ht="15.75" customHeight="1">
      <c r="H800" s="37"/>
      <c r="I800" s="38"/>
      <c r="J800" s="37"/>
      <c r="N800" s="37"/>
      <c r="Z800" s="79"/>
    </row>
    <row r="801" ht="15.75" customHeight="1">
      <c r="H801" s="37"/>
      <c r="I801" s="38"/>
      <c r="J801" s="37"/>
      <c r="N801" s="37"/>
      <c r="Z801" s="79"/>
    </row>
    <row r="802" ht="15.75" customHeight="1">
      <c r="H802" s="37"/>
      <c r="I802" s="38"/>
      <c r="J802" s="37"/>
      <c r="N802" s="37"/>
      <c r="Z802" s="79"/>
    </row>
    <row r="803" ht="15.75" customHeight="1">
      <c r="H803" s="37"/>
      <c r="I803" s="38"/>
      <c r="J803" s="37"/>
      <c r="N803" s="37"/>
      <c r="Z803" s="79"/>
    </row>
    <row r="804" ht="15.75" customHeight="1">
      <c r="H804" s="37"/>
      <c r="I804" s="38"/>
      <c r="J804" s="37"/>
      <c r="N804" s="37"/>
      <c r="Z804" s="79"/>
    </row>
    <row r="805" ht="15.75" customHeight="1">
      <c r="H805" s="37"/>
      <c r="I805" s="38"/>
      <c r="J805" s="37"/>
      <c r="N805" s="37"/>
      <c r="Z805" s="79"/>
    </row>
    <row r="806" ht="15.75" customHeight="1">
      <c r="H806" s="37"/>
      <c r="I806" s="38"/>
      <c r="J806" s="37"/>
      <c r="N806" s="37"/>
      <c r="Z806" s="79"/>
    </row>
    <row r="807" ht="15.75" customHeight="1">
      <c r="H807" s="37"/>
      <c r="I807" s="38"/>
      <c r="J807" s="37"/>
      <c r="N807" s="37"/>
      <c r="Z807" s="79"/>
    </row>
    <row r="808" ht="15.75" customHeight="1">
      <c r="H808" s="37"/>
      <c r="I808" s="38"/>
      <c r="J808" s="37"/>
      <c r="N808" s="37"/>
      <c r="Z808" s="79"/>
    </row>
    <row r="809" ht="15.75" customHeight="1">
      <c r="H809" s="37"/>
      <c r="I809" s="38"/>
      <c r="J809" s="37"/>
      <c r="N809" s="37"/>
      <c r="Z809" s="79"/>
    </row>
    <row r="810" ht="15.75" customHeight="1">
      <c r="H810" s="37"/>
      <c r="I810" s="38"/>
      <c r="J810" s="37"/>
      <c r="N810" s="37"/>
      <c r="Z810" s="79"/>
    </row>
    <row r="811" ht="15.75" customHeight="1">
      <c r="H811" s="37"/>
      <c r="I811" s="38"/>
      <c r="J811" s="37"/>
      <c r="N811" s="37"/>
      <c r="Z811" s="79"/>
    </row>
    <row r="812" ht="15.75" customHeight="1">
      <c r="H812" s="37"/>
      <c r="I812" s="38"/>
      <c r="J812" s="37"/>
      <c r="N812" s="37"/>
      <c r="Z812" s="79"/>
    </row>
    <row r="813" ht="15.75" customHeight="1">
      <c r="H813" s="37"/>
      <c r="I813" s="38"/>
      <c r="J813" s="37"/>
      <c r="N813" s="37"/>
      <c r="Z813" s="79"/>
    </row>
    <row r="814" ht="15.75" customHeight="1">
      <c r="H814" s="37"/>
      <c r="I814" s="38"/>
      <c r="J814" s="37"/>
      <c r="N814" s="37"/>
      <c r="Z814" s="79"/>
    </row>
    <row r="815" ht="15.75" customHeight="1">
      <c r="H815" s="37"/>
      <c r="I815" s="38"/>
      <c r="J815" s="37"/>
      <c r="N815" s="37"/>
      <c r="Z815" s="79"/>
    </row>
    <row r="816" ht="15.75" customHeight="1">
      <c r="H816" s="37"/>
      <c r="I816" s="38"/>
      <c r="J816" s="37"/>
      <c r="N816" s="37"/>
      <c r="Z816" s="79"/>
    </row>
    <row r="817" ht="15.75" customHeight="1">
      <c r="H817" s="37"/>
      <c r="I817" s="38"/>
      <c r="J817" s="37"/>
      <c r="N817" s="37"/>
      <c r="Z817" s="79"/>
    </row>
    <row r="818" ht="15.75" customHeight="1">
      <c r="H818" s="37"/>
      <c r="I818" s="38"/>
      <c r="J818" s="37"/>
      <c r="N818" s="37"/>
      <c r="Z818" s="79"/>
    </row>
    <row r="819" ht="15.75" customHeight="1">
      <c r="H819" s="37"/>
      <c r="I819" s="38"/>
      <c r="J819" s="37"/>
      <c r="N819" s="37"/>
      <c r="Z819" s="79"/>
    </row>
    <row r="820" ht="15.75" customHeight="1">
      <c r="H820" s="37"/>
      <c r="I820" s="38"/>
      <c r="J820" s="37"/>
      <c r="N820" s="37"/>
      <c r="Z820" s="79"/>
    </row>
    <row r="821" ht="15.75" customHeight="1">
      <c r="H821" s="37"/>
      <c r="I821" s="38"/>
      <c r="J821" s="37"/>
      <c r="N821" s="37"/>
      <c r="Z821" s="79"/>
    </row>
    <row r="822" ht="15.75" customHeight="1">
      <c r="H822" s="37"/>
      <c r="I822" s="38"/>
      <c r="J822" s="37"/>
      <c r="N822" s="37"/>
      <c r="Z822" s="79"/>
    </row>
    <row r="823" ht="15.75" customHeight="1">
      <c r="H823" s="37"/>
      <c r="I823" s="38"/>
      <c r="J823" s="37"/>
      <c r="N823" s="37"/>
      <c r="Z823" s="79"/>
    </row>
    <row r="824" ht="15.75" customHeight="1">
      <c r="H824" s="37"/>
      <c r="I824" s="38"/>
      <c r="J824" s="37"/>
      <c r="N824" s="37"/>
      <c r="Z824" s="79"/>
    </row>
    <row r="825" ht="15.75" customHeight="1">
      <c r="H825" s="37"/>
      <c r="I825" s="38"/>
      <c r="J825" s="37"/>
      <c r="N825" s="37"/>
      <c r="Z825" s="79"/>
    </row>
    <row r="826" ht="15.75" customHeight="1">
      <c r="H826" s="37"/>
      <c r="I826" s="38"/>
      <c r="J826" s="37"/>
      <c r="N826" s="37"/>
      <c r="Z826" s="79"/>
    </row>
    <row r="827" ht="15.75" customHeight="1">
      <c r="H827" s="37"/>
      <c r="I827" s="38"/>
      <c r="J827" s="37"/>
      <c r="N827" s="37"/>
      <c r="Z827" s="79"/>
    </row>
    <row r="828" ht="15.75" customHeight="1">
      <c r="H828" s="37"/>
      <c r="I828" s="38"/>
      <c r="J828" s="37"/>
      <c r="N828" s="37"/>
      <c r="Z828" s="79"/>
    </row>
    <row r="829" ht="15.75" customHeight="1">
      <c r="H829" s="37"/>
      <c r="I829" s="38"/>
      <c r="J829" s="37"/>
      <c r="N829" s="37"/>
      <c r="Z829" s="79"/>
    </row>
    <row r="830" ht="15.75" customHeight="1">
      <c r="H830" s="37"/>
      <c r="I830" s="38"/>
      <c r="J830" s="37"/>
      <c r="N830" s="37"/>
      <c r="Z830" s="79"/>
    </row>
    <row r="831" ht="15.75" customHeight="1">
      <c r="H831" s="37"/>
      <c r="I831" s="38"/>
      <c r="J831" s="37"/>
      <c r="N831" s="37"/>
      <c r="Z831" s="79"/>
    </row>
    <row r="832" ht="15.75" customHeight="1">
      <c r="H832" s="37"/>
      <c r="I832" s="38"/>
      <c r="J832" s="37"/>
      <c r="N832" s="37"/>
      <c r="Z832" s="79"/>
    </row>
    <row r="833" ht="15.75" customHeight="1">
      <c r="H833" s="37"/>
      <c r="I833" s="38"/>
      <c r="J833" s="37"/>
      <c r="N833" s="37"/>
      <c r="Z833" s="79"/>
    </row>
    <row r="834" ht="15.75" customHeight="1">
      <c r="H834" s="37"/>
      <c r="I834" s="38"/>
      <c r="J834" s="37"/>
      <c r="N834" s="37"/>
      <c r="Z834" s="79"/>
    </row>
    <row r="835" ht="15.75" customHeight="1">
      <c r="H835" s="37"/>
      <c r="I835" s="38"/>
      <c r="J835" s="37"/>
      <c r="N835" s="37"/>
      <c r="Z835" s="79"/>
    </row>
    <row r="836" ht="15.75" customHeight="1">
      <c r="H836" s="37"/>
      <c r="I836" s="38"/>
      <c r="J836" s="37"/>
      <c r="N836" s="37"/>
      <c r="Z836" s="79"/>
    </row>
    <row r="837" ht="15.75" customHeight="1">
      <c r="H837" s="37"/>
      <c r="I837" s="38"/>
      <c r="J837" s="37"/>
      <c r="N837" s="37"/>
      <c r="Z837" s="79"/>
    </row>
    <row r="838" ht="15.75" customHeight="1">
      <c r="H838" s="37"/>
      <c r="I838" s="38"/>
      <c r="J838" s="37"/>
      <c r="N838" s="37"/>
      <c r="Z838" s="79"/>
    </row>
    <row r="839" ht="15.75" customHeight="1">
      <c r="H839" s="37"/>
      <c r="I839" s="38"/>
      <c r="J839" s="37"/>
      <c r="N839" s="37"/>
      <c r="Z839" s="79"/>
    </row>
    <row r="840" ht="15.75" customHeight="1">
      <c r="H840" s="37"/>
      <c r="I840" s="38"/>
      <c r="J840" s="37"/>
      <c r="N840" s="37"/>
      <c r="Z840" s="79"/>
    </row>
    <row r="841" ht="15.75" customHeight="1">
      <c r="H841" s="37"/>
      <c r="I841" s="38"/>
      <c r="J841" s="37"/>
      <c r="N841" s="37"/>
      <c r="Z841" s="79"/>
    </row>
    <row r="842" ht="15.75" customHeight="1">
      <c r="H842" s="37"/>
      <c r="I842" s="38"/>
      <c r="J842" s="37"/>
      <c r="N842" s="37"/>
      <c r="Z842" s="79"/>
    </row>
    <row r="843" ht="15.75" customHeight="1">
      <c r="H843" s="37"/>
      <c r="I843" s="38"/>
      <c r="J843" s="37"/>
      <c r="N843" s="37"/>
      <c r="Z843" s="79"/>
    </row>
    <row r="844" ht="15.75" customHeight="1">
      <c r="H844" s="37"/>
      <c r="I844" s="38"/>
      <c r="J844" s="37"/>
      <c r="N844" s="37"/>
      <c r="Z844" s="79"/>
    </row>
    <row r="845" ht="15.75" customHeight="1">
      <c r="H845" s="37"/>
      <c r="I845" s="38"/>
      <c r="J845" s="37"/>
      <c r="N845" s="37"/>
      <c r="Z845" s="79"/>
    </row>
    <row r="846" ht="15.75" customHeight="1">
      <c r="H846" s="37"/>
      <c r="I846" s="38"/>
      <c r="J846" s="37"/>
      <c r="N846" s="37"/>
      <c r="Z846" s="79"/>
    </row>
    <row r="847" ht="15.75" customHeight="1">
      <c r="H847" s="37"/>
      <c r="I847" s="38"/>
      <c r="J847" s="37"/>
      <c r="N847" s="37"/>
      <c r="Z847" s="79"/>
    </row>
    <row r="848" ht="15.75" customHeight="1">
      <c r="H848" s="37"/>
      <c r="I848" s="38"/>
      <c r="J848" s="37"/>
      <c r="N848" s="37"/>
      <c r="Z848" s="79"/>
    </row>
    <row r="849" ht="15.75" customHeight="1">
      <c r="H849" s="37"/>
      <c r="I849" s="38"/>
      <c r="J849" s="37"/>
      <c r="N849" s="37"/>
      <c r="Z849" s="79"/>
    </row>
    <row r="850" ht="15.75" customHeight="1">
      <c r="H850" s="37"/>
      <c r="I850" s="38"/>
      <c r="J850" s="37"/>
      <c r="N850" s="37"/>
      <c r="Z850" s="79"/>
    </row>
    <row r="851" ht="15.75" customHeight="1">
      <c r="H851" s="37"/>
      <c r="I851" s="38"/>
      <c r="J851" s="37"/>
      <c r="N851" s="37"/>
      <c r="Z851" s="79"/>
    </row>
    <row r="852" ht="15.75" customHeight="1">
      <c r="H852" s="37"/>
      <c r="I852" s="38"/>
      <c r="J852" s="37"/>
      <c r="N852" s="37"/>
      <c r="Z852" s="79"/>
    </row>
    <row r="853" ht="15.75" customHeight="1">
      <c r="H853" s="37"/>
      <c r="I853" s="38"/>
      <c r="J853" s="37"/>
      <c r="N853" s="37"/>
      <c r="Z853" s="79"/>
    </row>
    <row r="854" ht="15.75" customHeight="1">
      <c r="H854" s="37"/>
      <c r="I854" s="38"/>
      <c r="J854" s="37"/>
      <c r="N854" s="37"/>
      <c r="Z854" s="79"/>
    </row>
    <row r="855" ht="15.75" customHeight="1">
      <c r="H855" s="37"/>
      <c r="I855" s="38"/>
      <c r="J855" s="37"/>
      <c r="N855" s="37"/>
      <c r="Z855" s="79"/>
    </row>
    <row r="856" ht="15.75" customHeight="1">
      <c r="H856" s="37"/>
      <c r="I856" s="38"/>
      <c r="J856" s="37"/>
      <c r="N856" s="37"/>
      <c r="Z856" s="79"/>
    </row>
    <row r="857" ht="15.75" customHeight="1">
      <c r="H857" s="37"/>
      <c r="I857" s="38"/>
      <c r="J857" s="37"/>
      <c r="N857" s="37"/>
      <c r="Z857" s="79"/>
    </row>
    <row r="858" ht="15.75" customHeight="1">
      <c r="H858" s="37"/>
      <c r="I858" s="38"/>
      <c r="J858" s="37"/>
      <c r="N858" s="37"/>
      <c r="Z858" s="79"/>
    </row>
    <row r="859" ht="15.75" customHeight="1">
      <c r="H859" s="37"/>
      <c r="I859" s="38"/>
      <c r="J859" s="37"/>
      <c r="N859" s="37"/>
      <c r="Z859" s="79"/>
    </row>
    <row r="860" ht="15.75" customHeight="1">
      <c r="H860" s="37"/>
      <c r="I860" s="38"/>
      <c r="J860" s="37"/>
      <c r="N860" s="37"/>
      <c r="Z860" s="79"/>
    </row>
    <row r="861" ht="15.75" customHeight="1">
      <c r="H861" s="37"/>
      <c r="I861" s="38"/>
      <c r="J861" s="37"/>
      <c r="N861" s="37"/>
      <c r="Z861" s="79"/>
    </row>
    <row r="862" ht="15.75" customHeight="1">
      <c r="H862" s="37"/>
      <c r="I862" s="38"/>
      <c r="J862" s="37"/>
      <c r="N862" s="37"/>
      <c r="Z862" s="79"/>
    </row>
    <row r="863" ht="15.75" customHeight="1">
      <c r="H863" s="37"/>
      <c r="I863" s="38"/>
      <c r="J863" s="37"/>
      <c r="N863" s="37"/>
      <c r="Z863" s="79"/>
    </row>
    <row r="864" ht="15.75" customHeight="1">
      <c r="H864" s="37"/>
      <c r="I864" s="38"/>
      <c r="J864" s="37"/>
      <c r="N864" s="37"/>
      <c r="Z864" s="79"/>
    </row>
    <row r="865" ht="15.75" customHeight="1">
      <c r="H865" s="37"/>
      <c r="I865" s="38"/>
      <c r="J865" s="37"/>
      <c r="N865" s="37"/>
      <c r="Z865" s="79"/>
    </row>
    <row r="866" ht="15.75" customHeight="1">
      <c r="H866" s="37"/>
      <c r="I866" s="38"/>
      <c r="J866" s="37"/>
      <c r="N866" s="37"/>
      <c r="Z866" s="79"/>
    </row>
    <row r="867" ht="15.75" customHeight="1">
      <c r="H867" s="37"/>
      <c r="I867" s="38"/>
      <c r="J867" s="37"/>
      <c r="N867" s="37"/>
      <c r="Z867" s="79"/>
    </row>
    <row r="868" ht="15.75" customHeight="1">
      <c r="H868" s="37"/>
      <c r="I868" s="38"/>
      <c r="J868" s="37"/>
      <c r="N868" s="37"/>
      <c r="Z868" s="79"/>
    </row>
    <row r="869" ht="15.75" customHeight="1">
      <c r="H869" s="37"/>
      <c r="I869" s="38"/>
      <c r="J869" s="37"/>
      <c r="N869" s="37"/>
      <c r="Z869" s="79"/>
    </row>
    <row r="870" ht="15.75" customHeight="1">
      <c r="H870" s="37"/>
      <c r="I870" s="38"/>
      <c r="J870" s="37"/>
      <c r="N870" s="37"/>
      <c r="Z870" s="79"/>
    </row>
    <row r="871" ht="15.75" customHeight="1">
      <c r="H871" s="37"/>
      <c r="I871" s="38"/>
      <c r="J871" s="37"/>
      <c r="N871" s="37"/>
      <c r="Z871" s="79"/>
    </row>
    <row r="872" ht="15.75" customHeight="1">
      <c r="H872" s="37"/>
      <c r="I872" s="38"/>
      <c r="J872" s="37"/>
      <c r="N872" s="37"/>
      <c r="Z872" s="79"/>
    </row>
    <row r="873" ht="15.75" customHeight="1">
      <c r="H873" s="37"/>
      <c r="I873" s="38"/>
      <c r="J873" s="37"/>
      <c r="N873" s="37"/>
      <c r="Z873" s="79"/>
    </row>
    <row r="874" ht="15.75" customHeight="1">
      <c r="H874" s="37"/>
      <c r="I874" s="38"/>
      <c r="J874" s="37"/>
      <c r="N874" s="37"/>
      <c r="Z874" s="79"/>
    </row>
    <row r="875" ht="15.75" customHeight="1">
      <c r="H875" s="37"/>
      <c r="I875" s="38"/>
      <c r="J875" s="37"/>
      <c r="N875" s="37"/>
      <c r="Z875" s="79"/>
    </row>
    <row r="876" ht="15.75" customHeight="1">
      <c r="H876" s="37"/>
      <c r="I876" s="38"/>
      <c r="J876" s="37"/>
      <c r="N876" s="37"/>
      <c r="Z876" s="79"/>
    </row>
    <row r="877" ht="15.75" customHeight="1">
      <c r="H877" s="37"/>
      <c r="I877" s="38"/>
      <c r="J877" s="37"/>
      <c r="N877" s="37"/>
      <c r="Z877" s="79"/>
    </row>
    <row r="878" ht="15.75" customHeight="1">
      <c r="H878" s="37"/>
      <c r="I878" s="38"/>
      <c r="J878" s="37"/>
      <c r="N878" s="37"/>
      <c r="Z878" s="79"/>
    </row>
    <row r="879" ht="15.75" customHeight="1">
      <c r="H879" s="37"/>
      <c r="I879" s="38"/>
      <c r="J879" s="37"/>
      <c r="N879" s="37"/>
      <c r="Z879" s="79"/>
    </row>
    <row r="880" ht="15.75" customHeight="1">
      <c r="H880" s="37"/>
      <c r="I880" s="38"/>
      <c r="J880" s="37"/>
      <c r="N880" s="37"/>
      <c r="Z880" s="79"/>
    </row>
    <row r="881" ht="15.75" customHeight="1">
      <c r="H881" s="37"/>
      <c r="I881" s="38"/>
      <c r="J881" s="37"/>
      <c r="N881" s="37"/>
      <c r="Z881" s="79"/>
    </row>
    <row r="882" ht="15.75" customHeight="1">
      <c r="H882" s="37"/>
      <c r="I882" s="38"/>
      <c r="J882" s="37"/>
      <c r="N882" s="37"/>
      <c r="Z882" s="79"/>
    </row>
    <row r="883" ht="15.75" customHeight="1">
      <c r="H883" s="37"/>
      <c r="I883" s="38"/>
      <c r="J883" s="37"/>
      <c r="N883" s="37"/>
      <c r="Z883" s="79"/>
    </row>
    <row r="884" ht="15.75" customHeight="1">
      <c r="H884" s="37"/>
      <c r="I884" s="38"/>
      <c r="J884" s="37"/>
      <c r="N884" s="37"/>
      <c r="Z884" s="79"/>
    </row>
    <row r="885" ht="15.75" customHeight="1">
      <c r="H885" s="37"/>
      <c r="I885" s="38"/>
      <c r="J885" s="37"/>
      <c r="N885" s="37"/>
      <c r="Z885" s="79"/>
    </row>
    <row r="886" ht="15.75" customHeight="1">
      <c r="H886" s="37"/>
      <c r="I886" s="38"/>
      <c r="J886" s="37"/>
      <c r="N886" s="37"/>
      <c r="Z886" s="79"/>
    </row>
    <row r="887" ht="15.75" customHeight="1">
      <c r="H887" s="37"/>
      <c r="I887" s="38"/>
      <c r="J887" s="37"/>
      <c r="N887" s="37"/>
      <c r="Z887" s="79"/>
    </row>
    <row r="888" ht="15.75" customHeight="1">
      <c r="H888" s="37"/>
      <c r="I888" s="38"/>
      <c r="J888" s="37"/>
      <c r="N888" s="37"/>
      <c r="Z888" s="79"/>
    </row>
    <row r="889" ht="15.75" customHeight="1">
      <c r="H889" s="37"/>
      <c r="I889" s="38"/>
      <c r="J889" s="37"/>
      <c r="N889" s="37"/>
      <c r="Z889" s="79"/>
    </row>
    <row r="890" ht="15.75" customHeight="1">
      <c r="H890" s="37"/>
      <c r="I890" s="38"/>
      <c r="J890" s="37"/>
      <c r="N890" s="37"/>
      <c r="Z890" s="79"/>
    </row>
    <row r="891" ht="15.75" customHeight="1">
      <c r="H891" s="37"/>
      <c r="I891" s="38"/>
      <c r="J891" s="37"/>
      <c r="N891" s="37"/>
      <c r="Z891" s="79"/>
    </row>
    <row r="892" ht="15.75" customHeight="1">
      <c r="H892" s="37"/>
      <c r="I892" s="38"/>
      <c r="J892" s="37"/>
      <c r="N892" s="37"/>
      <c r="Z892" s="79"/>
    </row>
    <row r="893" ht="15.75" customHeight="1">
      <c r="H893" s="37"/>
      <c r="I893" s="38"/>
      <c r="J893" s="37"/>
      <c r="N893" s="37"/>
      <c r="Z893" s="79"/>
    </row>
    <row r="894" ht="15.75" customHeight="1">
      <c r="H894" s="37"/>
      <c r="I894" s="38"/>
      <c r="J894" s="37"/>
      <c r="N894" s="37"/>
      <c r="Z894" s="79"/>
    </row>
    <row r="895" ht="15.75" customHeight="1">
      <c r="H895" s="37"/>
      <c r="I895" s="38"/>
      <c r="J895" s="37"/>
      <c r="N895" s="37"/>
      <c r="Z895" s="79"/>
    </row>
    <row r="896" ht="15.75" customHeight="1">
      <c r="H896" s="37"/>
      <c r="I896" s="38"/>
      <c r="J896" s="37"/>
      <c r="N896" s="37"/>
      <c r="Z896" s="79"/>
    </row>
    <row r="897" ht="15.75" customHeight="1">
      <c r="H897" s="37"/>
      <c r="I897" s="38"/>
      <c r="J897" s="37"/>
      <c r="N897" s="37"/>
      <c r="Z897" s="79"/>
    </row>
    <row r="898" ht="15.75" customHeight="1">
      <c r="H898" s="37"/>
      <c r="I898" s="38"/>
      <c r="J898" s="37"/>
      <c r="N898" s="37"/>
      <c r="Z898" s="79"/>
    </row>
    <row r="899" ht="15.75" customHeight="1">
      <c r="H899" s="37"/>
      <c r="I899" s="38"/>
      <c r="J899" s="37"/>
      <c r="N899" s="37"/>
      <c r="Z899" s="79"/>
    </row>
    <row r="900" ht="15.75" customHeight="1">
      <c r="H900" s="37"/>
      <c r="I900" s="38"/>
      <c r="J900" s="37"/>
      <c r="N900" s="37"/>
      <c r="Z900" s="79"/>
    </row>
    <row r="901" ht="15.75" customHeight="1">
      <c r="H901" s="37"/>
      <c r="I901" s="38"/>
      <c r="J901" s="37"/>
      <c r="N901" s="37"/>
      <c r="Z901" s="79"/>
    </row>
    <row r="902" ht="15.75" customHeight="1">
      <c r="H902" s="37"/>
      <c r="I902" s="38"/>
      <c r="J902" s="37"/>
      <c r="N902" s="37"/>
      <c r="Z902" s="79"/>
    </row>
    <row r="903" ht="15.75" customHeight="1">
      <c r="H903" s="37"/>
      <c r="I903" s="38"/>
      <c r="J903" s="37"/>
      <c r="N903" s="37"/>
      <c r="Z903" s="79"/>
    </row>
    <row r="904" ht="15.75" customHeight="1">
      <c r="H904" s="37"/>
      <c r="I904" s="38"/>
      <c r="J904" s="37"/>
      <c r="N904" s="37"/>
      <c r="Z904" s="79"/>
    </row>
    <row r="905" ht="15.75" customHeight="1">
      <c r="H905" s="37"/>
      <c r="I905" s="38"/>
      <c r="J905" s="37"/>
      <c r="N905" s="37"/>
      <c r="Z905" s="79"/>
    </row>
    <row r="906" ht="15.75" customHeight="1">
      <c r="H906" s="37"/>
      <c r="I906" s="38"/>
      <c r="J906" s="37"/>
      <c r="N906" s="37"/>
      <c r="Z906" s="79"/>
    </row>
    <row r="907" ht="15.75" customHeight="1">
      <c r="H907" s="37"/>
      <c r="I907" s="38"/>
      <c r="J907" s="37"/>
      <c r="N907" s="37"/>
      <c r="Z907" s="79"/>
    </row>
    <row r="908" ht="15.75" customHeight="1">
      <c r="H908" s="37"/>
      <c r="I908" s="38"/>
      <c r="J908" s="37"/>
      <c r="N908" s="37"/>
      <c r="Z908" s="79"/>
    </row>
    <row r="909" ht="15.75" customHeight="1">
      <c r="H909" s="37"/>
      <c r="I909" s="38"/>
      <c r="J909" s="37"/>
      <c r="N909" s="37"/>
      <c r="Z909" s="79"/>
    </row>
    <row r="910" ht="15.75" customHeight="1">
      <c r="H910" s="37"/>
      <c r="I910" s="38"/>
      <c r="J910" s="37"/>
      <c r="N910" s="37"/>
      <c r="Z910" s="79"/>
    </row>
    <row r="911" ht="15.75" customHeight="1">
      <c r="H911" s="37"/>
      <c r="I911" s="38"/>
      <c r="J911" s="37"/>
      <c r="N911" s="37"/>
      <c r="Z911" s="79"/>
    </row>
    <row r="912" ht="15.75" customHeight="1">
      <c r="H912" s="37"/>
      <c r="I912" s="38"/>
      <c r="J912" s="37"/>
      <c r="N912" s="37"/>
      <c r="Z912" s="79"/>
    </row>
    <row r="913" ht="15.75" customHeight="1">
      <c r="H913" s="37"/>
      <c r="I913" s="38"/>
      <c r="J913" s="37"/>
      <c r="N913" s="37"/>
      <c r="Z913" s="79"/>
    </row>
    <row r="914" ht="15.75" customHeight="1">
      <c r="H914" s="37"/>
      <c r="I914" s="38"/>
      <c r="J914" s="37"/>
      <c r="N914" s="37"/>
      <c r="Z914" s="79"/>
    </row>
    <row r="915" ht="15.75" customHeight="1">
      <c r="H915" s="37"/>
      <c r="I915" s="38"/>
      <c r="J915" s="37"/>
      <c r="N915" s="37"/>
      <c r="Z915" s="79"/>
    </row>
    <row r="916" ht="15.75" customHeight="1">
      <c r="H916" s="37"/>
      <c r="I916" s="38"/>
      <c r="J916" s="37"/>
      <c r="N916" s="37"/>
      <c r="Z916" s="79"/>
    </row>
    <row r="917" ht="15.75" customHeight="1">
      <c r="H917" s="37"/>
      <c r="I917" s="38"/>
      <c r="J917" s="37"/>
      <c r="N917" s="37"/>
      <c r="Z917" s="79"/>
    </row>
    <row r="918" ht="15.75" customHeight="1">
      <c r="H918" s="37"/>
      <c r="I918" s="38"/>
      <c r="J918" s="37"/>
      <c r="N918" s="37"/>
      <c r="Z918" s="79"/>
    </row>
    <row r="919" ht="15.75" customHeight="1">
      <c r="H919" s="37"/>
      <c r="I919" s="38"/>
      <c r="J919" s="37"/>
      <c r="N919" s="37"/>
      <c r="Z919" s="79"/>
    </row>
    <row r="920" ht="15.75" customHeight="1">
      <c r="H920" s="37"/>
      <c r="I920" s="38"/>
      <c r="J920" s="37"/>
      <c r="N920" s="37"/>
      <c r="Z920" s="79"/>
    </row>
    <row r="921" ht="15.75" customHeight="1">
      <c r="H921" s="37"/>
      <c r="I921" s="38"/>
      <c r="J921" s="37"/>
      <c r="N921" s="37"/>
      <c r="Z921" s="79"/>
    </row>
    <row r="922" ht="15.75" customHeight="1">
      <c r="H922" s="37"/>
      <c r="I922" s="38"/>
      <c r="J922" s="37"/>
      <c r="N922" s="37"/>
      <c r="Z922" s="79"/>
    </row>
    <row r="923" ht="15.75" customHeight="1">
      <c r="H923" s="37"/>
      <c r="I923" s="38"/>
      <c r="J923" s="37"/>
      <c r="N923" s="37"/>
      <c r="Z923" s="79"/>
    </row>
    <row r="924" ht="15.75" customHeight="1">
      <c r="H924" s="37"/>
      <c r="I924" s="38"/>
      <c r="J924" s="37"/>
      <c r="N924" s="37"/>
      <c r="Z924" s="79"/>
    </row>
    <row r="925" ht="15.75" customHeight="1">
      <c r="H925" s="37"/>
      <c r="I925" s="38"/>
      <c r="J925" s="37"/>
      <c r="N925" s="37"/>
      <c r="Z925" s="79"/>
    </row>
    <row r="926" ht="15.75" customHeight="1">
      <c r="H926" s="37"/>
      <c r="I926" s="38"/>
      <c r="J926" s="37"/>
      <c r="N926" s="37"/>
      <c r="Z926" s="79"/>
    </row>
    <row r="927" ht="15.75" customHeight="1">
      <c r="H927" s="37"/>
      <c r="I927" s="38"/>
      <c r="J927" s="37"/>
      <c r="N927" s="37"/>
      <c r="Z927" s="79"/>
    </row>
    <row r="928" ht="15.75" customHeight="1">
      <c r="H928" s="37"/>
      <c r="I928" s="38"/>
      <c r="J928" s="37"/>
      <c r="N928" s="37"/>
      <c r="Z928" s="79"/>
    </row>
    <row r="929" ht="15.75" customHeight="1">
      <c r="H929" s="37"/>
      <c r="I929" s="38"/>
      <c r="J929" s="37"/>
      <c r="N929" s="37"/>
      <c r="Z929" s="79"/>
    </row>
    <row r="930" ht="15.75" customHeight="1">
      <c r="H930" s="37"/>
      <c r="I930" s="38"/>
      <c r="J930" s="37"/>
      <c r="N930" s="37"/>
      <c r="Z930" s="79"/>
    </row>
    <row r="931" ht="15.75" customHeight="1">
      <c r="H931" s="37"/>
      <c r="I931" s="38"/>
      <c r="J931" s="37"/>
      <c r="N931" s="37"/>
      <c r="Z931" s="79"/>
    </row>
    <row r="932" ht="15.75" customHeight="1">
      <c r="H932" s="37"/>
      <c r="I932" s="38"/>
      <c r="J932" s="37"/>
      <c r="N932" s="37"/>
      <c r="Z932" s="79"/>
    </row>
    <row r="933" ht="15.75" customHeight="1">
      <c r="H933" s="37"/>
      <c r="I933" s="38"/>
      <c r="J933" s="37"/>
      <c r="N933" s="37"/>
      <c r="Z933" s="79"/>
    </row>
    <row r="934" ht="15.75" customHeight="1">
      <c r="H934" s="37"/>
      <c r="I934" s="38"/>
      <c r="J934" s="37"/>
      <c r="N934" s="37"/>
      <c r="Z934" s="79"/>
    </row>
    <row r="935" ht="15.75" customHeight="1">
      <c r="H935" s="37"/>
      <c r="I935" s="38"/>
      <c r="J935" s="37"/>
      <c r="N935" s="37"/>
      <c r="Z935" s="79"/>
    </row>
    <row r="936" ht="15.75" customHeight="1">
      <c r="H936" s="37"/>
      <c r="I936" s="38"/>
      <c r="J936" s="37"/>
      <c r="N936" s="37"/>
      <c r="Z936" s="79"/>
    </row>
    <row r="937" ht="15.75" customHeight="1">
      <c r="H937" s="37"/>
      <c r="I937" s="38"/>
      <c r="J937" s="37"/>
      <c r="N937" s="37"/>
      <c r="Z937" s="79"/>
    </row>
    <row r="938" ht="15.75" customHeight="1">
      <c r="H938" s="37"/>
      <c r="I938" s="38"/>
      <c r="J938" s="37"/>
      <c r="N938" s="37"/>
      <c r="Z938" s="79"/>
    </row>
    <row r="939" ht="15.75" customHeight="1">
      <c r="H939" s="37"/>
      <c r="I939" s="38"/>
      <c r="J939" s="37"/>
      <c r="N939" s="37"/>
      <c r="Z939" s="79"/>
    </row>
    <row r="940" ht="15.75" customHeight="1">
      <c r="H940" s="37"/>
      <c r="I940" s="38"/>
      <c r="J940" s="37"/>
      <c r="N940" s="37"/>
      <c r="Z940" s="79"/>
    </row>
    <row r="941" ht="15.75" customHeight="1">
      <c r="H941" s="37"/>
      <c r="I941" s="38"/>
      <c r="J941" s="37"/>
      <c r="N941" s="37"/>
      <c r="Z941" s="79"/>
    </row>
    <row r="942" ht="15.75" customHeight="1">
      <c r="H942" s="37"/>
      <c r="I942" s="38"/>
      <c r="J942" s="37"/>
      <c r="N942" s="37"/>
      <c r="Z942" s="79"/>
    </row>
    <row r="943" ht="15.75" customHeight="1">
      <c r="H943" s="37"/>
      <c r="I943" s="38"/>
      <c r="J943" s="37"/>
      <c r="N943" s="37"/>
      <c r="Z943" s="79"/>
    </row>
    <row r="944" ht="15.75" customHeight="1">
      <c r="H944" s="37"/>
      <c r="I944" s="38"/>
      <c r="J944" s="37"/>
      <c r="N944" s="37"/>
      <c r="Z944" s="79"/>
    </row>
    <row r="945" ht="15.75" customHeight="1">
      <c r="H945" s="37"/>
      <c r="I945" s="38"/>
      <c r="J945" s="37"/>
      <c r="N945" s="37"/>
      <c r="Z945" s="79"/>
    </row>
    <row r="946" ht="15.75" customHeight="1">
      <c r="H946" s="37"/>
      <c r="I946" s="38"/>
      <c r="J946" s="37"/>
      <c r="N946" s="37"/>
      <c r="Z946" s="79"/>
    </row>
    <row r="947" ht="15.75" customHeight="1">
      <c r="H947" s="37"/>
      <c r="I947" s="38"/>
      <c r="J947" s="37"/>
      <c r="N947" s="37"/>
      <c r="Z947" s="79"/>
    </row>
    <row r="948" ht="15.75" customHeight="1">
      <c r="H948" s="37"/>
      <c r="I948" s="38"/>
      <c r="J948" s="37"/>
      <c r="N948" s="37"/>
      <c r="Z948" s="79"/>
    </row>
    <row r="949" ht="15.75" customHeight="1">
      <c r="H949" s="37"/>
      <c r="I949" s="38"/>
      <c r="J949" s="37"/>
      <c r="N949" s="37"/>
      <c r="Z949" s="79"/>
    </row>
    <row r="950" ht="15.75" customHeight="1">
      <c r="H950" s="37"/>
      <c r="I950" s="38"/>
      <c r="J950" s="37"/>
      <c r="N950" s="37"/>
      <c r="Z950" s="79"/>
    </row>
    <row r="951" ht="15.75" customHeight="1">
      <c r="H951" s="37"/>
      <c r="I951" s="38"/>
      <c r="J951" s="37"/>
      <c r="N951" s="37"/>
      <c r="Z951" s="79"/>
    </row>
    <row r="952" ht="15.75" customHeight="1">
      <c r="H952" s="37"/>
      <c r="I952" s="38"/>
      <c r="J952" s="37"/>
      <c r="N952" s="37"/>
      <c r="Z952" s="79"/>
    </row>
    <row r="953" ht="15.75" customHeight="1">
      <c r="H953" s="37"/>
      <c r="I953" s="38"/>
      <c r="J953" s="37"/>
      <c r="N953" s="37"/>
      <c r="Z953" s="79"/>
    </row>
    <row r="954" ht="15.75" customHeight="1">
      <c r="H954" s="37"/>
      <c r="I954" s="38"/>
      <c r="J954" s="37"/>
      <c r="N954" s="37"/>
      <c r="Z954" s="79"/>
    </row>
    <row r="955" ht="15.75" customHeight="1">
      <c r="H955" s="37"/>
      <c r="I955" s="38"/>
      <c r="J955" s="37"/>
      <c r="N955" s="37"/>
      <c r="Z955" s="79"/>
    </row>
    <row r="956" ht="15.75" customHeight="1">
      <c r="H956" s="37"/>
      <c r="I956" s="38"/>
      <c r="J956" s="37"/>
      <c r="N956" s="37"/>
      <c r="Z956" s="79"/>
    </row>
    <row r="957" ht="15.75" customHeight="1">
      <c r="H957" s="37"/>
      <c r="I957" s="38"/>
      <c r="J957" s="37"/>
      <c r="N957" s="37"/>
      <c r="Z957" s="79"/>
    </row>
    <row r="958" ht="15.75" customHeight="1">
      <c r="H958" s="37"/>
      <c r="I958" s="38"/>
      <c r="J958" s="37"/>
      <c r="N958" s="37"/>
      <c r="Z958" s="79"/>
    </row>
    <row r="959" ht="15.75" customHeight="1">
      <c r="H959" s="37"/>
      <c r="I959" s="38"/>
      <c r="J959" s="37"/>
      <c r="N959" s="37"/>
      <c r="Z959" s="79"/>
    </row>
    <row r="960" ht="15.75" customHeight="1">
      <c r="H960" s="37"/>
      <c r="I960" s="38"/>
      <c r="J960" s="37"/>
      <c r="N960" s="37"/>
      <c r="Z960" s="79"/>
    </row>
    <row r="961" ht="15.75" customHeight="1">
      <c r="H961" s="37"/>
      <c r="I961" s="38"/>
      <c r="J961" s="37"/>
      <c r="N961" s="37"/>
      <c r="Z961" s="79"/>
    </row>
    <row r="962" ht="15.75" customHeight="1">
      <c r="H962" s="37"/>
      <c r="I962" s="38"/>
      <c r="J962" s="37"/>
      <c r="N962" s="37"/>
      <c r="Z962" s="79"/>
    </row>
    <row r="963" ht="15.75" customHeight="1">
      <c r="H963" s="37"/>
      <c r="I963" s="38"/>
      <c r="J963" s="37"/>
      <c r="N963" s="37"/>
      <c r="Z963" s="79"/>
    </row>
    <row r="964" ht="15.75" customHeight="1">
      <c r="H964" s="37"/>
      <c r="I964" s="38"/>
      <c r="J964" s="37"/>
      <c r="N964" s="37"/>
      <c r="Z964" s="79"/>
    </row>
    <row r="965" ht="15.75" customHeight="1">
      <c r="H965" s="37"/>
      <c r="I965" s="38"/>
      <c r="J965" s="37"/>
      <c r="N965" s="37"/>
      <c r="Z965" s="79"/>
    </row>
    <row r="966" ht="15.75" customHeight="1">
      <c r="H966" s="37"/>
      <c r="I966" s="38"/>
      <c r="J966" s="37"/>
      <c r="N966" s="37"/>
      <c r="Z966" s="79"/>
    </row>
    <row r="967" ht="15.75" customHeight="1">
      <c r="H967" s="37"/>
      <c r="I967" s="38"/>
      <c r="J967" s="37"/>
      <c r="N967" s="37"/>
      <c r="Z967" s="79"/>
    </row>
    <row r="968" ht="15.75" customHeight="1">
      <c r="H968" s="37"/>
      <c r="I968" s="38"/>
      <c r="J968" s="37"/>
      <c r="N968" s="37"/>
      <c r="Z968" s="79"/>
    </row>
    <row r="969" ht="15.75" customHeight="1">
      <c r="H969" s="37"/>
      <c r="I969" s="38"/>
      <c r="J969" s="37"/>
      <c r="N969" s="37"/>
      <c r="Z969" s="79"/>
    </row>
    <row r="970" ht="15.75" customHeight="1">
      <c r="H970" s="37"/>
      <c r="I970" s="38"/>
      <c r="J970" s="37"/>
      <c r="N970" s="37"/>
      <c r="Z970" s="79"/>
    </row>
    <row r="971" ht="15.75" customHeight="1">
      <c r="H971" s="37"/>
      <c r="I971" s="38"/>
      <c r="J971" s="37"/>
      <c r="N971" s="37"/>
      <c r="Z971" s="79"/>
    </row>
    <row r="972" ht="15.75" customHeight="1">
      <c r="H972" s="37"/>
      <c r="I972" s="38"/>
      <c r="J972" s="37"/>
      <c r="N972" s="37"/>
      <c r="Z972" s="79"/>
    </row>
    <row r="973" ht="15.75" customHeight="1">
      <c r="H973" s="37"/>
      <c r="I973" s="38"/>
      <c r="J973" s="37"/>
      <c r="N973" s="37"/>
      <c r="Z973" s="79"/>
    </row>
    <row r="974" ht="15.75" customHeight="1">
      <c r="H974" s="37"/>
      <c r="I974" s="38"/>
      <c r="J974" s="37"/>
      <c r="N974" s="37"/>
      <c r="Z974" s="79"/>
    </row>
    <row r="975" ht="15.75" customHeight="1">
      <c r="H975" s="37"/>
      <c r="I975" s="38"/>
      <c r="J975" s="37"/>
      <c r="N975" s="37"/>
      <c r="Z975" s="79"/>
    </row>
    <row r="976" ht="15.75" customHeight="1">
      <c r="H976" s="37"/>
      <c r="I976" s="38"/>
      <c r="J976" s="37"/>
      <c r="N976" s="37"/>
      <c r="Z976" s="79"/>
    </row>
    <row r="977" ht="15.75" customHeight="1">
      <c r="H977" s="37"/>
      <c r="I977" s="38"/>
      <c r="J977" s="37"/>
      <c r="N977" s="37"/>
      <c r="Z977" s="79"/>
    </row>
    <row r="978" ht="15.75" customHeight="1">
      <c r="H978" s="37"/>
      <c r="I978" s="38"/>
      <c r="J978" s="37"/>
      <c r="N978" s="37"/>
      <c r="Z978" s="79"/>
    </row>
    <row r="979" ht="15.75" customHeight="1">
      <c r="H979" s="37"/>
      <c r="I979" s="38"/>
      <c r="J979" s="37"/>
      <c r="N979" s="37"/>
      <c r="Z979" s="79"/>
    </row>
    <row r="980" ht="15.75" customHeight="1">
      <c r="H980" s="37"/>
      <c r="I980" s="38"/>
      <c r="J980" s="37"/>
      <c r="N980" s="37"/>
      <c r="Z980" s="79"/>
    </row>
    <row r="981" ht="15.75" customHeight="1">
      <c r="H981" s="37"/>
      <c r="I981" s="38"/>
      <c r="J981" s="37"/>
      <c r="N981" s="37"/>
      <c r="Z981" s="79"/>
    </row>
    <row r="982" ht="15.75" customHeight="1">
      <c r="H982" s="37"/>
      <c r="I982" s="38"/>
      <c r="J982" s="37"/>
      <c r="N982" s="37"/>
      <c r="Z982" s="79"/>
    </row>
    <row r="983" ht="15.75" customHeight="1">
      <c r="H983" s="37"/>
      <c r="I983" s="38"/>
      <c r="J983" s="37"/>
      <c r="N983" s="37"/>
      <c r="Z983" s="79"/>
    </row>
    <row r="984" ht="15.75" customHeight="1">
      <c r="H984" s="37"/>
      <c r="I984" s="38"/>
      <c r="J984" s="37"/>
      <c r="N984" s="37"/>
      <c r="Z984" s="79"/>
    </row>
    <row r="985" ht="15.75" customHeight="1">
      <c r="H985" s="37"/>
      <c r="I985" s="38"/>
      <c r="J985" s="37"/>
      <c r="N985" s="37"/>
      <c r="Z985" s="79"/>
    </row>
    <row r="986" ht="15.75" customHeight="1">
      <c r="H986" s="37"/>
      <c r="I986" s="38"/>
      <c r="J986" s="37"/>
      <c r="N986" s="37"/>
      <c r="Z986" s="79"/>
    </row>
    <row r="987" ht="15.75" customHeight="1">
      <c r="H987" s="37"/>
      <c r="I987" s="38"/>
      <c r="J987" s="37"/>
      <c r="N987" s="37"/>
      <c r="Z987" s="79"/>
    </row>
    <row r="988" ht="15.75" customHeight="1">
      <c r="H988" s="37"/>
      <c r="I988" s="38"/>
      <c r="J988" s="37"/>
      <c r="N988" s="37"/>
      <c r="Z988" s="79"/>
    </row>
    <row r="989" ht="15.75" customHeight="1">
      <c r="H989" s="37"/>
      <c r="I989" s="38"/>
      <c r="J989" s="37"/>
      <c r="N989" s="37"/>
      <c r="Z989" s="79"/>
    </row>
    <row r="990" ht="15.75" customHeight="1">
      <c r="H990" s="37"/>
      <c r="I990" s="38"/>
      <c r="J990" s="37"/>
      <c r="N990" s="37"/>
      <c r="Z990" s="79"/>
    </row>
    <row r="991" ht="15.75" customHeight="1">
      <c r="H991" s="37"/>
      <c r="I991" s="38"/>
      <c r="J991" s="37"/>
      <c r="N991" s="37"/>
      <c r="Z991" s="79"/>
    </row>
    <row r="992" ht="15.75" customHeight="1">
      <c r="H992" s="37"/>
      <c r="I992" s="38"/>
      <c r="J992" s="37"/>
      <c r="N992" s="37"/>
      <c r="Z992" s="79"/>
    </row>
    <row r="993" ht="15.75" customHeight="1">
      <c r="H993" s="37"/>
      <c r="I993" s="38"/>
      <c r="J993" s="37"/>
      <c r="N993" s="37"/>
      <c r="Z993" s="79"/>
    </row>
    <row r="994" ht="15.75" customHeight="1">
      <c r="H994" s="37"/>
      <c r="I994" s="38"/>
      <c r="J994" s="37"/>
      <c r="N994" s="37"/>
      <c r="Z994" s="79"/>
    </row>
    <row r="995" ht="15.75" customHeight="1">
      <c r="H995" s="37"/>
      <c r="I995" s="38"/>
      <c r="J995" s="37"/>
      <c r="N995" s="37"/>
      <c r="Z995" s="79"/>
    </row>
    <row r="996" ht="15.75" customHeight="1">
      <c r="H996" s="37"/>
      <c r="I996" s="38"/>
      <c r="J996" s="37"/>
      <c r="N996" s="37"/>
      <c r="Z996" s="79"/>
    </row>
    <row r="997" ht="15.75" customHeight="1">
      <c r="H997" s="37"/>
      <c r="I997" s="38"/>
      <c r="J997" s="37"/>
      <c r="N997" s="37"/>
      <c r="Z997" s="79"/>
    </row>
    <row r="998" ht="15.75" customHeight="1">
      <c r="H998" s="37"/>
      <c r="I998" s="38"/>
      <c r="J998" s="37"/>
      <c r="N998" s="37"/>
      <c r="Z998" s="79"/>
    </row>
    <row r="999" ht="15.75" customHeight="1">
      <c r="H999" s="37"/>
      <c r="I999" s="38"/>
      <c r="J999" s="37"/>
      <c r="N999" s="37"/>
      <c r="Z999" s="79"/>
    </row>
    <row r="1000" ht="15.75" customHeight="1">
      <c r="H1000" s="37"/>
      <c r="I1000" s="38"/>
      <c r="J1000" s="37"/>
      <c r="N1000" s="37"/>
      <c r="Z1000" s="79"/>
    </row>
    <row r="1001" ht="15.75" customHeight="1">
      <c r="H1001" s="37"/>
      <c r="I1001" s="38"/>
      <c r="J1001" s="37"/>
      <c r="N1001" s="37"/>
      <c r="Z1001" s="79"/>
    </row>
    <row r="1002" ht="15.75" customHeight="1">
      <c r="H1002" s="37"/>
      <c r="I1002" s="38"/>
      <c r="J1002" s="37"/>
      <c r="N1002" s="37"/>
      <c r="Z1002" s="79"/>
    </row>
    <row r="1003" ht="15.75" customHeight="1">
      <c r="H1003" s="37"/>
      <c r="I1003" s="38"/>
      <c r="J1003" s="37"/>
      <c r="N1003" s="37"/>
      <c r="Z1003" s="79"/>
    </row>
    <row r="1004" ht="15.75" customHeight="1">
      <c r="H1004" s="37"/>
      <c r="I1004" s="38"/>
      <c r="J1004" s="37"/>
      <c r="N1004" s="37"/>
      <c r="Z1004" s="79"/>
    </row>
    <row r="1005" ht="15.75" customHeight="1">
      <c r="H1005" s="37"/>
      <c r="I1005" s="38"/>
      <c r="J1005" s="37"/>
      <c r="N1005" s="37"/>
      <c r="Z1005" s="79"/>
    </row>
    <row r="1006" ht="15.75" customHeight="1">
      <c r="H1006" s="37"/>
      <c r="I1006" s="38"/>
      <c r="J1006" s="37"/>
      <c r="N1006" s="37"/>
      <c r="Z1006" s="79"/>
    </row>
    <row r="1007" ht="15.75" customHeight="1">
      <c r="H1007" s="37"/>
      <c r="I1007" s="38"/>
      <c r="J1007" s="37"/>
      <c r="N1007" s="37"/>
      <c r="Z1007" s="79"/>
    </row>
    <row r="1008" ht="15.75" customHeight="1">
      <c r="H1008" s="37"/>
      <c r="I1008" s="38"/>
      <c r="J1008" s="37"/>
      <c r="N1008" s="37"/>
      <c r="Z1008" s="79"/>
    </row>
    <row r="1009" ht="15.75" customHeight="1">
      <c r="H1009" s="37"/>
      <c r="I1009" s="38"/>
      <c r="J1009" s="37"/>
      <c r="N1009" s="37"/>
      <c r="Z1009" s="79"/>
    </row>
    <row r="1010" ht="15.75" customHeight="1">
      <c r="H1010" s="37"/>
      <c r="I1010" s="38"/>
      <c r="J1010" s="37"/>
      <c r="N1010" s="37"/>
      <c r="Z1010" s="79"/>
    </row>
    <row r="1011" ht="15.75" customHeight="1">
      <c r="H1011" s="37"/>
      <c r="I1011" s="38"/>
      <c r="J1011" s="37"/>
      <c r="N1011" s="37"/>
      <c r="Z1011" s="79"/>
    </row>
    <row r="1012" ht="15.75" customHeight="1">
      <c r="H1012" s="37"/>
      <c r="I1012" s="38"/>
      <c r="J1012" s="37"/>
      <c r="N1012" s="37"/>
      <c r="Z1012" s="79"/>
    </row>
    <row r="1013" ht="15.75" customHeight="1">
      <c r="H1013" s="37"/>
      <c r="I1013" s="38"/>
      <c r="J1013" s="37"/>
      <c r="N1013" s="37"/>
      <c r="Z1013" s="79"/>
    </row>
    <row r="1014" ht="15.75" customHeight="1">
      <c r="H1014" s="37"/>
      <c r="I1014" s="38"/>
      <c r="J1014" s="37"/>
      <c r="N1014" s="37"/>
      <c r="Z1014" s="79"/>
    </row>
    <row r="1015" ht="15.75" customHeight="1">
      <c r="H1015" s="37"/>
      <c r="I1015" s="38"/>
      <c r="J1015" s="37"/>
      <c r="N1015" s="37"/>
      <c r="Z1015" s="79"/>
    </row>
    <row r="1016" ht="15.75" customHeight="1">
      <c r="H1016" s="37"/>
      <c r="I1016" s="38"/>
      <c r="J1016" s="37"/>
      <c r="N1016" s="37"/>
      <c r="Z1016" s="79"/>
    </row>
    <row r="1017" ht="15.75" customHeight="1">
      <c r="H1017" s="37"/>
      <c r="I1017" s="38"/>
      <c r="J1017" s="37"/>
      <c r="N1017" s="37"/>
      <c r="Z1017" s="79"/>
    </row>
    <row r="1018" ht="15.75" customHeight="1">
      <c r="H1018" s="37"/>
      <c r="I1018" s="38"/>
      <c r="J1018" s="37"/>
      <c r="N1018" s="37"/>
      <c r="Z1018" s="79"/>
    </row>
    <row r="1019" ht="15.75" customHeight="1">
      <c r="H1019" s="37"/>
      <c r="I1019" s="38"/>
      <c r="J1019" s="37"/>
      <c r="N1019" s="37"/>
      <c r="Z1019" s="79"/>
    </row>
    <row r="1020" ht="15.75" customHeight="1">
      <c r="H1020" s="37"/>
      <c r="I1020" s="38"/>
      <c r="J1020" s="37"/>
      <c r="N1020" s="37"/>
      <c r="Z1020" s="79"/>
    </row>
    <row r="1021" ht="15.75" customHeight="1">
      <c r="H1021" s="37"/>
      <c r="I1021" s="38"/>
      <c r="J1021" s="37"/>
      <c r="N1021" s="37"/>
      <c r="Z1021" s="79"/>
    </row>
    <row r="1022" ht="15.75" customHeight="1">
      <c r="H1022" s="37"/>
      <c r="I1022" s="38"/>
      <c r="J1022" s="37"/>
      <c r="N1022" s="37"/>
      <c r="Z1022" s="79"/>
    </row>
    <row r="1023" ht="15.75" customHeight="1">
      <c r="H1023" s="37"/>
      <c r="I1023" s="38"/>
      <c r="J1023" s="37"/>
      <c r="N1023" s="37"/>
      <c r="Z1023" s="79"/>
    </row>
    <row r="1024" ht="15.75" customHeight="1">
      <c r="H1024" s="37"/>
      <c r="I1024" s="38"/>
      <c r="J1024" s="37"/>
      <c r="N1024" s="37"/>
      <c r="Z1024" s="79"/>
    </row>
    <row r="1025" ht="15.75" customHeight="1">
      <c r="H1025" s="37"/>
      <c r="I1025" s="38"/>
      <c r="J1025" s="37"/>
      <c r="N1025" s="37"/>
      <c r="Z1025" s="79"/>
    </row>
    <row r="1026" ht="15.75" customHeight="1">
      <c r="H1026" s="37"/>
      <c r="I1026" s="38"/>
      <c r="J1026" s="37"/>
      <c r="N1026" s="37"/>
      <c r="Z1026" s="79"/>
    </row>
    <row r="1027" ht="15.75" customHeight="1">
      <c r="H1027" s="37"/>
      <c r="I1027" s="38"/>
      <c r="J1027" s="37"/>
      <c r="N1027" s="37"/>
      <c r="Z1027" s="79"/>
    </row>
    <row r="1028" ht="15.75" customHeight="1">
      <c r="H1028" s="37"/>
      <c r="I1028" s="38"/>
      <c r="J1028" s="37"/>
      <c r="N1028" s="37"/>
      <c r="Z1028" s="79"/>
    </row>
    <row r="1029" ht="15.75" customHeight="1">
      <c r="H1029" s="37"/>
      <c r="I1029" s="38"/>
      <c r="J1029" s="37"/>
      <c r="N1029" s="37"/>
      <c r="Z1029" s="79"/>
    </row>
    <row r="1030" ht="15.75" customHeight="1">
      <c r="H1030" s="37"/>
      <c r="I1030" s="38"/>
      <c r="J1030" s="37"/>
      <c r="N1030" s="37"/>
      <c r="Z1030" s="79"/>
    </row>
    <row r="1031" ht="15.75" customHeight="1">
      <c r="H1031" s="37"/>
      <c r="I1031" s="38"/>
      <c r="J1031" s="37"/>
      <c r="N1031" s="37"/>
      <c r="Z1031" s="79"/>
    </row>
    <row r="1032" ht="15.75" customHeight="1">
      <c r="H1032" s="37"/>
      <c r="I1032" s="38"/>
      <c r="J1032" s="37"/>
      <c r="N1032" s="37"/>
      <c r="Z1032" s="79"/>
    </row>
    <row r="1033" ht="15.75" customHeight="1">
      <c r="H1033" s="37"/>
      <c r="I1033" s="38"/>
      <c r="J1033" s="37"/>
      <c r="N1033" s="37"/>
      <c r="Z1033" s="79"/>
    </row>
    <row r="1034" ht="15.75" customHeight="1">
      <c r="H1034" s="37"/>
      <c r="I1034" s="38"/>
      <c r="J1034" s="37"/>
      <c r="N1034" s="37"/>
      <c r="Z1034" s="79"/>
    </row>
    <row r="1035" ht="15.75" customHeight="1">
      <c r="H1035" s="37"/>
      <c r="I1035" s="38"/>
      <c r="J1035" s="37"/>
      <c r="N1035" s="37"/>
      <c r="Z1035" s="79"/>
    </row>
    <row r="1036" ht="15.75" customHeight="1">
      <c r="H1036" s="37"/>
      <c r="I1036" s="38"/>
      <c r="J1036" s="37"/>
      <c r="N1036" s="37"/>
      <c r="Z1036" s="79"/>
    </row>
    <row r="1037" ht="15.75" customHeight="1">
      <c r="H1037" s="37"/>
      <c r="I1037" s="38"/>
      <c r="J1037" s="37"/>
      <c r="N1037" s="37"/>
      <c r="Z1037" s="79"/>
    </row>
    <row r="1038" ht="15.75" customHeight="1">
      <c r="H1038" s="37"/>
      <c r="I1038" s="38"/>
      <c r="J1038" s="37"/>
      <c r="N1038" s="37"/>
      <c r="Z1038" s="79"/>
    </row>
    <row r="1039" ht="15.75" customHeight="1">
      <c r="H1039" s="37"/>
      <c r="I1039" s="38"/>
      <c r="J1039" s="37"/>
      <c r="N1039" s="37"/>
      <c r="Z1039" s="79"/>
    </row>
    <row r="1040" ht="15.75" customHeight="1">
      <c r="H1040" s="37"/>
      <c r="I1040" s="38"/>
      <c r="J1040" s="37"/>
      <c r="N1040" s="37"/>
      <c r="Z1040" s="79"/>
    </row>
    <row r="1041" ht="15.75" customHeight="1">
      <c r="H1041" s="37"/>
      <c r="I1041" s="38"/>
      <c r="J1041" s="37"/>
      <c r="N1041" s="37"/>
      <c r="Z1041" s="79"/>
    </row>
    <row r="1042" ht="15.75" customHeight="1">
      <c r="H1042" s="37"/>
      <c r="I1042" s="38"/>
      <c r="J1042" s="37"/>
      <c r="N1042" s="37"/>
      <c r="Z1042" s="79"/>
    </row>
    <row r="1043" ht="15.75" customHeight="1">
      <c r="H1043" s="37"/>
      <c r="I1043" s="38"/>
      <c r="J1043" s="37"/>
      <c r="N1043" s="37"/>
      <c r="Z1043" s="79"/>
    </row>
    <row r="1044" ht="15.75" customHeight="1">
      <c r="H1044" s="37"/>
      <c r="I1044" s="38"/>
      <c r="J1044" s="37"/>
      <c r="N1044" s="37"/>
      <c r="Z1044" s="79"/>
    </row>
    <row r="1045" ht="15.75" customHeight="1">
      <c r="H1045" s="37"/>
      <c r="I1045" s="38"/>
      <c r="J1045" s="37"/>
      <c r="N1045" s="37"/>
      <c r="Z1045" s="79"/>
    </row>
    <row r="1046" ht="15.75" customHeight="1">
      <c r="H1046" s="37"/>
      <c r="I1046" s="38"/>
      <c r="J1046" s="37"/>
      <c r="N1046" s="37"/>
      <c r="Z1046" s="79"/>
    </row>
    <row r="1047" ht="15.75" customHeight="1">
      <c r="H1047" s="37"/>
      <c r="I1047" s="38"/>
      <c r="J1047" s="37"/>
      <c r="N1047" s="37"/>
      <c r="Z1047" s="79"/>
    </row>
    <row r="1048" ht="15.75" customHeight="1">
      <c r="H1048" s="37"/>
      <c r="I1048" s="38"/>
      <c r="J1048" s="37"/>
      <c r="N1048" s="37"/>
      <c r="Z1048" s="79"/>
    </row>
    <row r="1049" ht="15.75" customHeight="1">
      <c r="H1049" s="37"/>
      <c r="I1049" s="38"/>
      <c r="J1049" s="37"/>
      <c r="N1049" s="37"/>
      <c r="Z1049" s="79"/>
    </row>
    <row r="1050" ht="15.75" customHeight="1">
      <c r="H1050" s="37"/>
      <c r="I1050" s="38"/>
      <c r="J1050" s="37"/>
      <c r="N1050" s="37"/>
      <c r="Z1050" s="79"/>
    </row>
    <row r="1051" ht="15.75" customHeight="1">
      <c r="H1051" s="37"/>
      <c r="I1051" s="38"/>
      <c r="J1051" s="37"/>
      <c r="N1051" s="37"/>
      <c r="Z1051" s="79"/>
    </row>
    <row r="1052" ht="15.75" customHeight="1">
      <c r="H1052" s="37"/>
      <c r="I1052" s="38"/>
      <c r="J1052" s="37"/>
      <c r="N1052" s="37"/>
      <c r="Z1052" s="79"/>
    </row>
    <row r="1053" ht="15.75" customHeight="1">
      <c r="H1053" s="37"/>
      <c r="I1053" s="38"/>
      <c r="J1053" s="37"/>
      <c r="N1053" s="37"/>
      <c r="Z1053" s="79"/>
    </row>
    <row r="1054" ht="15.75" customHeight="1">
      <c r="H1054" s="37"/>
      <c r="I1054" s="38"/>
      <c r="J1054" s="37"/>
      <c r="N1054" s="37"/>
      <c r="Z1054" s="79"/>
    </row>
    <row r="1055" ht="15.75" customHeight="1">
      <c r="H1055" s="37"/>
      <c r="I1055" s="38"/>
      <c r="J1055" s="37"/>
      <c r="N1055" s="37"/>
      <c r="Z1055" s="79"/>
    </row>
    <row r="1056" ht="15.75" customHeight="1">
      <c r="H1056" s="37"/>
      <c r="I1056" s="38"/>
      <c r="J1056" s="37"/>
      <c r="N1056" s="37"/>
      <c r="Z1056" s="79"/>
    </row>
    <row r="1057" ht="15.75" customHeight="1">
      <c r="H1057" s="37"/>
      <c r="I1057" s="38"/>
      <c r="J1057" s="37"/>
      <c r="N1057" s="37"/>
      <c r="Z1057" s="79"/>
    </row>
    <row r="1058" ht="15.75" customHeight="1">
      <c r="H1058" s="37"/>
      <c r="I1058" s="38"/>
      <c r="J1058" s="37"/>
      <c r="N1058" s="37"/>
      <c r="Z1058" s="79"/>
    </row>
    <row r="1059" ht="15.75" customHeight="1">
      <c r="H1059" s="37"/>
      <c r="I1059" s="38"/>
      <c r="J1059" s="37"/>
      <c r="N1059" s="37"/>
      <c r="Z1059" s="79"/>
    </row>
    <row r="1060" ht="15.75" customHeight="1">
      <c r="H1060" s="37"/>
      <c r="I1060" s="38"/>
      <c r="J1060" s="37"/>
      <c r="N1060" s="37"/>
      <c r="Z1060" s="79"/>
    </row>
    <row r="1061" ht="15.75" customHeight="1">
      <c r="H1061" s="37"/>
      <c r="I1061" s="38"/>
      <c r="J1061" s="37"/>
      <c r="N1061" s="37"/>
      <c r="Z1061" s="79"/>
    </row>
    <row r="1062" ht="15.75" customHeight="1">
      <c r="H1062" s="37"/>
      <c r="I1062" s="38"/>
      <c r="J1062" s="37"/>
      <c r="N1062" s="37"/>
      <c r="Z1062" s="79"/>
    </row>
    <row r="1063" ht="15.75" customHeight="1">
      <c r="H1063" s="37"/>
      <c r="I1063" s="38"/>
      <c r="J1063" s="37"/>
      <c r="N1063" s="37"/>
      <c r="Z1063" s="79"/>
    </row>
    <row r="1064" ht="15.75" customHeight="1">
      <c r="H1064" s="37"/>
      <c r="I1064" s="38"/>
      <c r="J1064" s="37"/>
      <c r="N1064" s="37"/>
      <c r="Z1064" s="79"/>
    </row>
    <row r="1065" ht="15.75" customHeight="1">
      <c r="H1065" s="37"/>
      <c r="I1065" s="38"/>
      <c r="J1065" s="37"/>
      <c r="N1065" s="37"/>
      <c r="Z1065" s="79"/>
    </row>
    <row r="1066" ht="15.75" customHeight="1">
      <c r="H1066" s="37"/>
      <c r="I1066" s="38"/>
      <c r="J1066" s="37"/>
      <c r="N1066" s="37"/>
      <c r="Z1066" s="79"/>
    </row>
    <row r="1067" ht="15.75" customHeight="1">
      <c r="H1067" s="37"/>
      <c r="I1067" s="38"/>
      <c r="J1067" s="37"/>
      <c r="N1067" s="37"/>
      <c r="Z1067" s="79"/>
    </row>
    <row r="1068" ht="15.75" customHeight="1">
      <c r="H1068" s="37"/>
      <c r="I1068" s="38"/>
      <c r="J1068" s="37"/>
      <c r="N1068" s="37"/>
      <c r="Z1068" s="79"/>
    </row>
    <row r="1069" ht="15.75" customHeight="1">
      <c r="H1069" s="37"/>
      <c r="I1069" s="38"/>
      <c r="J1069" s="37"/>
      <c r="N1069" s="37"/>
      <c r="Z1069" s="79"/>
    </row>
    <row r="1070" ht="15.75" customHeight="1">
      <c r="H1070" s="37"/>
      <c r="I1070" s="38"/>
      <c r="J1070" s="37"/>
      <c r="N1070" s="37"/>
      <c r="Z1070" s="79"/>
    </row>
    <row r="1071" ht="15.75" customHeight="1">
      <c r="H1071" s="37"/>
      <c r="I1071" s="38"/>
      <c r="J1071" s="37"/>
      <c r="N1071" s="37"/>
      <c r="Z1071" s="79"/>
    </row>
    <row r="1072" ht="15.75" customHeight="1">
      <c r="H1072" s="37"/>
      <c r="I1072" s="38"/>
      <c r="J1072" s="37"/>
      <c r="N1072" s="37"/>
      <c r="Z1072" s="79"/>
    </row>
    <row r="1073" ht="15.75" customHeight="1">
      <c r="H1073" s="37"/>
      <c r="I1073" s="38"/>
      <c r="J1073" s="37"/>
      <c r="N1073" s="37"/>
      <c r="Z1073" s="79"/>
    </row>
    <row r="1074" ht="15.75" customHeight="1">
      <c r="H1074" s="37"/>
      <c r="I1074" s="38"/>
      <c r="J1074" s="37"/>
      <c r="N1074" s="37"/>
      <c r="Z1074" s="79"/>
    </row>
    <row r="1075" ht="15.75" customHeight="1">
      <c r="H1075" s="37"/>
      <c r="I1075" s="38"/>
      <c r="J1075" s="37"/>
      <c r="N1075" s="37"/>
      <c r="Z1075" s="79"/>
    </row>
    <row r="1076" ht="15.75" customHeight="1">
      <c r="H1076" s="37"/>
      <c r="I1076" s="38"/>
      <c r="J1076" s="37"/>
      <c r="N1076" s="37"/>
      <c r="Z1076" s="79"/>
    </row>
    <row r="1077" ht="15.75" customHeight="1">
      <c r="H1077" s="37"/>
      <c r="I1077" s="38"/>
      <c r="J1077" s="37"/>
      <c r="N1077" s="37"/>
      <c r="Z1077" s="79"/>
    </row>
    <row r="1078" ht="15.75" customHeight="1">
      <c r="H1078" s="37"/>
      <c r="I1078" s="38"/>
      <c r="J1078" s="37"/>
      <c r="N1078" s="37"/>
      <c r="Z1078" s="79"/>
    </row>
    <row r="1079" ht="15.75" customHeight="1">
      <c r="H1079" s="37"/>
      <c r="I1079" s="38"/>
      <c r="J1079" s="37"/>
      <c r="N1079" s="37"/>
      <c r="Z1079" s="79"/>
    </row>
    <row r="1080" ht="15.75" customHeight="1">
      <c r="H1080" s="37"/>
      <c r="I1080" s="38"/>
      <c r="J1080" s="37"/>
      <c r="N1080" s="37"/>
      <c r="Z1080" s="79"/>
    </row>
    <row r="1081" ht="15.75" customHeight="1">
      <c r="H1081" s="37"/>
      <c r="I1081" s="38"/>
      <c r="J1081" s="37"/>
      <c r="N1081" s="37"/>
      <c r="Z1081" s="79"/>
    </row>
    <row r="1082" ht="15.75" customHeight="1">
      <c r="H1082" s="37"/>
      <c r="I1082" s="38"/>
      <c r="J1082" s="37"/>
      <c r="N1082" s="37"/>
      <c r="Z1082" s="79"/>
    </row>
    <row r="1083" ht="15.75" customHeight="1">
      <c r="H1083" s="37"/>
      <c r="I1083" s="38"/>
      <c r="J1083" s="37"/>
      <c r="N1083" s="37"/>
      <c r="Z1083" s="79"/>
    </row>
    <row r="1084" ht="15.75" customHeight="1">
      <c r="H1084" s="37"/>
      <c r="I1084" s="38"/>
      <c r="J1084" s="37"/>
      <c r="N1084" s="37"/>
      <c r="Z1084" s="79"/>
    </row>
    <row r="1085" ht="15.75" customHeight="1">
      <c r="H1085" s="37"/>
      <c r="I1085" s="38"/>
      <c r="J1085" s="37"/>
      <c r="N1085" s="37"/>
      <c r="Z1085" s="79"/>
    </row>
    <row r="1086" ht="15.75" customHeight="1">
      <c r="H1086" s="37"/>
      <c r="I1086" s="38"/>
      <c r="J1086" s="37"/>
      <c r="N1086" s="37"/>
      <c r="Z1086" s="79"/>
    </row>
    <row r="1087" ht="15.75" customHeight="1">
      <c r="H1087" s="37"/>
      <c r="I1087" s="38"/>
      <c r="J1087" s="37"/>
      <c r="N1087" s="37"/>
      <c r="Z1087" s="79"/>
    </row>
    <row r="1088" ht="15.75" customHeight="1">
      <c r="H1088" s="37"/>
      <c r="I1088" s="38"/>
      <c r="J1088" s="37"/>
      <c r="N1088" s="37"/>
      <c r="Z1088" s="79"/>
    </row>
    <row r="1089" ht="15.75" customHeight="1">
      <c r="H1089" s="37"/>
      <c r="I1089" s="38"/>
      <c r="J1089" s="37"/>
      <c r="N1089" s="37"/>
      <c r="Z1089" s="79"/>
    </row>
    <row r="1090" ht="15.75" customHeight="1">
      <c r="H1090" s="37"/>
      <c r="I1090" s="38"/>
      <c r="J1090" s="37"/>
      <c r="N1090" s="37"/>
      <c r="Z1090" s="79"/>
    </row>
    <row r="1091" ht="15.75" customHeight="1">
      <c r="H1091" s="37"/>
      <c r="I1091" s="38"/>
      <c r="J1091" s="37"/>
      <c r="N1091" s="37"/>
      <c r="Z1091" s="79"/>
    </row>
    <row r="1092" ht="15.75" customHeight="1">
      <c r="H1092" s="37"/>
      <c r="I1092" s="38"/>
      <c r="J1092" s="37"/>
      <c r="N1092" s="37"/>
      <c r="Z1092" s="79"/>
    </row>
    <row r="1093" ht="15.75" customHeight="1">
      <c r="H1093" s="37"/>
      <c r="I1093" s="38"/>
      <c r="J1093" s="37"/>
      <c r="N1093" s="37"/>
      <c r="Z1093" s="79"/>
    </row>
    <row r="1094" ht="15.75" customHeight="1">
      <c r="H1094" s="37"/>
      <c r="I1094" s="38"/>
      <c r="J1094" s="37"/>
      <c r="N1094" s="37"/>
      <c r="Z1094" s="79"/>
    </row>
    <row r="1095" ht="15.75" customHeight="1">
      <c r="H1095" s="37"/>
      <c r="I1095" s="38"/>
      <c r="J1095" s="37"/>
      <c r="N1095" s="37"/>
      <c r="Z1095" s="79"/>
    </row>
    <row r="1096" ht="15.75" customHeight="1">
      <c r="H1096" s="37"/>
      <c r="I1096" s="38"/>
      <c r="J1096" s="37"/>
      <c r="N1096" s="37"/>
      <c r="Z1096" s="79"/>
    </row>
    <row r="1097" ht="15.75" customHeight="1">
      <c r="H1097" s="37"/>
      <c r="I1097" s="38"/>
      <c r="J1097" s="37"/>
      <c r="N1097" s="37"/>
      <c r="Z1097" s="79"/>
    </row>
    <row r="1098" ht="15.75" customHeight="1">
      <c r="H1098" s="37"/>
      <c r="I1098" s="38"/>
      <c r="J1098" s="37"/>
      <c r="N1098" s="37"/>
      <c r="Z1098" s="79"/>
    </row>
    <row r="1099" ht="15.75" customHeight="1">
      <c r="H1099" s="37"/>
      <c r="I1099" s="38"/>
      <c r="J1099" s="37"/>
      <c r="N1099" s="37"/>
      <c r="Z1099" s="79"/>
    </row>
    <row r="1100" ht="15.75" customHeight="1">
      <c r="H1100" s="37"/>
      <c r="I1100" s="38"/>
      <c r="J1100" s="37"/>
      <c r="N1100" s="37"/>
      <c r="Z1100" s="79"/>
    </row>
    <row r="1101" ht="15.75" customHeight="1">
      <c r="H1101" s="37"/>
      <c r="I1101" s="38"/>
      <c r="J1101" s="37"/>
      <c r="N1101" s="37"/>
      <c r="Z1101" s="79"/>
    </row>
    <row r="1102" ht="15.75" customHeight="1">
      <c r="H1102" s="37"/>
      <c r="I1102" s="38"/>
      <c r="J1102" s="37"/>
      <c r="N1102" s="37"/>
      <c r="Z1102" s="79"/>
    </row>
    <row r="1103" ht="15.75" customHeight="1">
      <c r="H1103" s="37"/>
      <c r="I1103" s="38"/>
      <c r="J1103" s="37"/>
      <c r="N1103" s="37"/>
      <c r="Z1103" s="79"/>
    </row>
    <row r="1104" ht="15.75" customHeight="1">
      <c r="H1104" s="37"/>
      <c r="I1104" s="38"/>
      <c r="J1104" s="37"/>
      <c r="N1104" s="37"/>
      <c r="Z1104" s="79"/>
    </row>
    <row r="1105" ht="15.75" customHeight="1">
      <c r="H1105" s="37"/>
      <c r="I1105" s="38"/>
      <c r="J1105" s="37"/>
      <c r="N1105" s="37"/>
      <c r="Z1105" s="79"/>
    </row>
    <row r="1106" ht="15.75" customHeight="1">
      <c r="H1106" s="37"/>
      <c r="I1106" s="38"/>
      <c r="J1106" s="37"/>
      <c r="N1106" s="37"/>
      <c r="Z1106" s="79"/>
    </row>
    <row r="1107" ht="15.75" customHeight="1">
      <c r="H1107" s="37"/>
      <c r="I1107" s="38"/>
      <c r="J1107" s="37"/>
      <c r="N1107" s="37"/>
      <c r="Z1107" s="79"/>
    </row>
    <row r="1108" ht="15.75" customHeight="1">
      <c r="H1108" s="37"/>
      <c r="I1108" s="38"/>
      <c r="J1108" s="37"/>
      <c r="N1108" s="37"/>
      <c r="Z1108" s="79"/>
    </row>
    <row r="1109" ht="15.75" customHeight="1">
      <c r="H1109" s="37"/>
      <c r="I1109" s="38"/>
      <c r="J1109" s="37"/>
      <c r="N1109" s="37"/>
      <c r="Z1109" s="79"/>
    </row>
    <row r="1110" ht="15.75" customHeight="1">
      <c r="H1110" s="37"/>
      <c r="I1110" s="38"/>
      <c r="J1110" s="37"/>
      <c r="N1110" s="37"/>
      <c r="Z1110" s="79"/>
    </row>
    <row r="1111" ht="15.75" customHeight="1">
      <c r="H1111" s="37"/>
      <c r="I1111" s="38"/>
      <c r="J1111" s="37"/>
      <c r="N1111" s="37"/>
      <c r="Z1111" s="79"/>
    </row>
    <row r="1112" ht="15.75" customHeight="1">
      <c r="H1112" s="37"/>
      <c r="I1112" s="38"/>
      <c r="J1112" s="37"/>
      <c r="N1112" s="37"/>
      <c r="Z1112" s="79"/>
    </row>
    <row r="1113" ht="15.75" customHeight="1">
      <c r="H1113" s="37"/>
      <c r="I1113" s="38"/>
      <c r="J1113" s="37"/>
      <c r="N1113" s="37"/>
      <c r="Z1113" s="79"/>
    </row>
    <row r="1114" ht="15.75" customHeight="1">
      <c r="H1114" s="37"/>
      <c r="I1114" s="38"/>
      <c r="J1114" s="37"/>
      <c r="N1114" s="37"/>
      <c r="Z1114" s="79"/>
    </row>
    <row r="1115" ht="15.75" customHeight="1">
      <c r="H1115" s="37"/>
      <c r="I1115" s="38"/>
      <c r="J1115" s="37"/>
      <c r="N1115" s="37"/>
      <c r="Z1115" s="79"/>
    </row>
    <row r="1116" ht="15.75" customHeight="1">
      <c r="H1116" s="37"/>
      <c r="I1116" s="38"/>
      <c r="J1116" s="37"/>
      <c r="N1116" s="37"/>
      <c r="Z1116" s="79"/>
    </row>
    <row r="1117" ht="15.75" customHeight="1">
      <c r="H1117" s="37"/>
      <c r="I1117" s="38"/>
      <c r="J1117" s="37"/>
      <c r="N1117" s="37"/>
      <c r="Z1117" s="79"/>
    </row>
    <row r="1118" ht="15.75" customHeight="1">
      <c r="H1118" s="37"/>
      <c r="I1118" s="38"/>
      <c r="J1118" s="37"/>
      <c r="N1118" s="37"/>
      <c r="Z1118" s="79"/>
    </row>
    <row r="1119" ht="15.75" customHeight="1">
      <c r="H1119" s="37"/>
      <c r="I1119" s="38"/>
      <c r="J1119" s="37"/>
      <c r="N1119" s="37"/>
      <c r="Z1119" s="79"/>
    </row>
    <row r="1120" ht="15.75" customHeight="1">
      <c r="H1120" s="37"/>
      <c r="I1120" s="38"/>
      <c r="J1120" s="37"/>
      <c r="N1120" s="37"/>
      <c r="Z1120" s="79"/>
    </row>
    <row r="1121" ht="15.75" customHeight="1">
      <c r="H1121" s="37"/>
      <c r="I1121" s="38"/>
      <c r="J1121" s="37"/>
      <c r="N1121" s="37"/>
      <c r="Z1121" s="79"/>
    </row>
    <row r="1122" ht="15.75" customHeight="1">
      <c r="H1122" s="37"/>
      <c r="I1122" s="38"/>
      <c r="J1122" s="37"/>
      <c r="N1122" s="37"/>
      <c r="Z1122" s="79"/>
    </row>
    <row r="1123" ht="15.75" customHeight="1">
      <c r="H1123" s="37"/>
      <c r="I1123" s="38"/>
      <c r="J1123" s="37"/>
      <c r="N1123" s="37"/>
      <c r="Z1123" s="79"/>
    </row>
    <row r="1124" ht="15.75" customHeight="1">
      <c r="H1124" s="37"/>
      <c r="I1124" s="38"/>
      <c r="J1124" s="37"/>
      <c r="N1124" s="37"/>
      <c r="Z1124" s="79"/>
    </row>
    <row r="1125" ht="15.75" customHeight="1">
      <c r="H1125" s="37"/>
      <c r="I1125" s="38"/>
      <c r="J1125" s="37"/>
      <c r="N1125" s="37"/>
      <c r="Z1125" s="79"/>
    </row>
    <row r="1126" ht="15.75" customHeight="1">
      <c r="H1126" s="37"/>
      <c r="I1126" s="38"/>
      <c r="J1126" s="37"/>
      <c r="N1126" s="37"/>
      <c r="Z1126" s="79"/>
    </row>
    <row r="1127" ht="15.75" customHeight="1">
      <c r="H1127" s="37"/>
      <c r="I1127" s="38"/>
      <c r="J1127" s="37"/>
      <c r="N1127" s="37"/>
      <c r="Z1127" s="79"/>
    </row>
    <row r="1128" ht="15.75" customHeight="1">
      <c r="H1128" s="37"/>
      <c r="I1128" s="38"/>
      <c r="J1128" s="37"/>
      <c r="N1128" s="37"/>
      <c r="Z1128" s="79"/>
    </row>
    <row r="1129" ht="15.75" customHeight="1">
      <c r="H1129" s="37"/>
      <c r="I1129" s="38"/>
      <c r="J1129" s="37"/>
      <c r="N1129" s="37"/>
      <c r="Z1129" s="79"/>
    </row>
    <row r="1130" ht="15.75" customHeight="1">
      <c r="H1130" s="37"/>
      <c r="I1130" s="38"/>
      <c r="J1130" s="37"/>
      <c r="N1130" s="37"/>
      <c r="Z1130" s="79"/>
    </row>
    <row r="1131" ht="15.75" customHeight="1">
      <c r="H1131" s="37"/>
      <c r="I1131" s="38"/>
      <c r="J1131" s="37"/>
      <c r="N1131" s="37"/>
      <c r="Z1131" s="79"/>
    </row>
    <row r="1132" ht="15.75" customHeight="1">
      <c r="H1132" s="37"/>
      <c r="I1132" s="38"/>
      <c r="J1132" s="37"/>
      <c r="N1132" s="37"/>
      <c r="Z1132" s="79"/>
    </row>
    <row r="1133" ht="15.75" customHeight="1">
      <c r="H1133" s="37"/>
      <c r="I1133" s="38"/>
      <c r="J1133" s="37"/>
      <c r="N1133" s="37"/>
      <c r="Z1133" s="79"/>
    </row>
    <row r="1134" ht="15.75" customHeight="1">
      <c r="H1134" s="37"/>
      <c r="I1134" s="38"/>
      <c r="J1134" s="37"/>
      <c r="N1134" s="37"/>
      <c r="Z1134" s="79"/>
    </row>
    <row r="1135" ht="15.75" customHeight="1">
      <c r="H1135" s="37"/>
      <c r="I1135" s="38"/>
      <c r="J1135" s="37"/>
      <c r="N1135" s="37"/>
      <c r="Z1135" s="79"/>
    </row>
    <row r="1136" ht="15.75" customHeight="1">
      <c r="H1136" s="37"/>
      <c r="I1136" s="38"/>
      <c r="J1136" s="37"/>
      <c r="N1136" s="37"/>
      <c r="Z1136" s="79"/>
    </row>
    <row r="1137" ht="15.75" customHeight="1">
      <c r="H1137" s="37"/>
      <c r="I1137" s="38"/>
      <c r="J1137" s="37"/>
      <c r="N1137" s="37"/>
      <c r="Z1137" s="79"/>
    </row>
    <row r="1138" ht="15.75" customHeight="1">
      <c r="H1138" s="37"/>
      <c r="I1138" s="38"/>
      <c r="J1138" s="37"/>
      <c r="N1138" s="37"/>
      <c r="Z1138" s="79"/>
    </row>
    <row r="1139" ht="15.75" customHeight="1">
      <c r="H1139" s="37"/>
      <c r="I1139" s="38"/>
      <c r="J1139" s="37"/>
      <c r="N1139" s="37"/>
      <c r="Z1139" s="79"/>
    </row>
    <row r="1140" ht="15.75" customHeight="1">
      <c r="H1140" s="37"/>
      <c r="I1140" s="38"/>
      <c r="J1140" s="37"/>
      <c r="N1140" s="37"/>
      <c r="Z1140" s="79"/>
    </row>
    <row r="1141" ht="15.75" customHeight="1">
      <c r="H1141" s="37"/>
      <c r="I1141" s="38"/>
      <c r="J1141" s="37"/>
      <c r="N1141" s="37"/>
      <c r="Z1141" s="79"/>
    </row>
    <row r="1142" ht="15.75" customHeight="1">
      <c r="H1142" s="37"/>
      <c r="I1142" s="38"/>
      <c r="J1142" s="37"/>
      <c r="N1142" s="37"/>
      <c r="Z1142" s="79"/>
    </row>
    <row r="1143" ht="15.75" customHeight="1">
      <c r="H1143" s="37"/>
      <c r="I1143" s="38"/>
      <c r="J1143" s="37"/>
      <c r="N1143" s="37"/>
      <c r="Z1143" s="79"/>
    </row>
    <row r="1144" ht="15.75" customHeight="1">
      <c r="H1144" s="37"/>
      <c r="I1144" s="38"/>
      <c r="J1144" s="37"/>
      <c r="N1144" s="37"/>
      <c r="Z1144" s="79"/>
    </row>
    <row r="1145" ht="15.75" customHeight="1">
      <c r="H1145" s="37"/>
      <c r="I1145" s="38"/>
      <c r="J1145" s="37"/>
      <c r="N1145" s="37"/>
      <c r="Z1145" s="79"/>
    </row>
    <row r="1146" ht="15.75" customHeight="1">
      <c r="H1146" s="37"/>
      <c r="I1146" s="38"/>
      <c r="J1146" s="37"/>
      <c r="N1146" s="37"/>
      <c r="Z1146" s="79"/>
    </row>
    <row r="1147" ht="15.75" customHeight="1">
      <c r="H1147" s="37"/>
      <c r="I1147" s="38"/>
      <c r="J1147" s="37"/>
      <c r="N1147" s="37"/>
      <c r="Z1147" s="79"/>
    </row>
    <row r="1148" ht="15.75" customHeight="1">
      <c r="H1148" s="37"/>
      <c r="I1148" s="38"/>
      <c r="J1148" s="37"/>
      <c r="N1148" s="37"/>
      <c r="Z1148" s="79"/>
    </row>
    <row r="1149" ht="15.75" customHeight="1">
      <c r="H1149" s="37"/>
      <c r="I1149" s="38"/>
      <c r="J1149" s="37"/>
      <c r="N1149" s="37"/>
      <c r="Z1149" s="79"/>
    </row>
    <row r="1150" ht="15.75" customHeight="1">
      <c r="H1150" s="37"/>
      <c r="I1150" s="38"/>
      <c r="J1150" s="37"/>
      <c r="N1150" s="37"/>
      <c r="Z1150" s="79"/>
    </row>
    <row r="1151" ht="15.75" customHeight="1">
      <c r="H1151" s="37"/>
      <c r="I1151" s="38"/>
      <c r="J1151" s="37"/>
      <c r="N1151" s="37"/>
      <c r="Z1151" s="79"/>
    </row>
    <row r="1152" ht="15.75" customHeight="1">
      <c r="H1152" s="37"/>
      <c r="I1152" s="38"/>
      <c r="J1152" s="37"/>
      <c r="N1152" s="37"/>
      <c r="Z1152" s="79"/>
    </row>
    <row r="1153" ht="15.75" customHeight="1">
      <c r="H1153" s="37"/>
      <c r="I1153" s="38"/>
      <c r="J1153" s="37"/>
      <c r="N1153" s="37"/>
      <c r="Z1153" s="79"/>
    </row>
    <row r="1154" ht="15.75" customHeight="1">
      <c r="H1154" s="37"/>
      <c r="I1154" s="38"/>
      <c r="J1154" s="37"/>
      <c r="N1154" s="37"/>
      <c r="Z1154" s="79"/>
    </row>
    <row r="1155" ht="15.75" customHeight="1">
      <c r="H1155" s="37"/>
      <c r="I1155" s="38"/>
      <c r="J1155" s="37"/>
      <c r="N1155" s="37"/>
      <c r="Z1155" s="79"/>
    </row>
    <row r="1156" ht="15.75" customHeight="1">
      <c r="H1156" s="37"/>
      <c r="I1156" s="38"/>
      <c r="J1156" s="37"/>
      <c r="N1156" s="37"/>
      <c r="Z1156" s="79"/>
    </row>
    <row r="1157" ht="15.75" customHeight="1">
      <c r="H1157" s="37"/>
      <c r="I1157" s="38"/>
      <c r="J1157" s="37"/>
      <c r="N1157" s="37"/>
      <c r="Z1157" s="79"/>
    </row>
    <row r="1158" ht="15.75" customHeight="1">
      <c r="H1158" s="37"/>
      <c r="I1158" s="38"/>
      <c r="J1158" s="37"/>
      <c r="N1158" s="37"/>
      <c r="Z1158" s="79"/>
    </row>
    <row r="1159" ht="15.75" customHeight="1">
      <c r="H1159" s="37"/>
      <c r="I1159" s="38"/>
      <c r="J1159" s="37"/>
      <c r="N1159" s="37"/>
      <c r="Z1159" s="79"/>
    </row>
    <row r="1160" ht="15.75" customHeight="1">
      <c r="H1160" s="37"/>
      <c r="I1160" s="38"/>
      <c r="J1160" s="37"/>
      <c r="N1160" s="37"/>
      <c r="Z1160" s="79"/>
    </row>
    <row r="1161" ht="15.75" customHeight="1">
      <c r="H1161" s="37"/>
      <c r="I1161" s="38"/>
      <c r="J1161" s="37"/>
      <c r="N1161" s="37"/>
      <c r="Z1161" s="79"/>
    </row>
    <row r="1162" ht="15.75" customHeight="1">
      <c r="H1162" s="37"/>
      <c r="I1162" s="38"/>
      <c r="J1162" s="37"/>
      <c r="N1162" s="37"/>
      <c r="Z1162" s="79"/>
    </row>
    <row r="1163" ht="15.75" customHeight="1">
      <c r="H1163" s="37"/>
      <c r="I1163" s="38"/>
      <c r="J1163" s="37"/>
      <c r="N1163" s="37"/>
      <c r="Z1163" s="79"/>
    </row>
    <row r="1164" ht="15.75" customHeight="1">
      <c r="H1164" s="37"/>
      <c r="I1164" s="38"/>
      <c r="J1164" s="37"/>
      <c r="N1164" s="37"/>
      <c r="Z1164" s="79"/>
    </row>
    <row r="1165" ht="15.75" customHeight="1">
      <c r="H1165" s="37"/>
      <c r="I1165" s="38"/>
      <c r="J1165" s="37"/>
      <c r="N1165" s="37"/>
      <c r="Z1165" s="79"/>
    </row>
    <row r="1166" ht="15.75" customHeight="1">
      <c r="H1166" s="37"/>
      <c r="I1166" s="38"/>
      <c r="J1166" s="37"/>
      <c r="N1166" s="37"/>
      <c r="Z1166" s="79"/>
    </row>
    <row r="1167" ht="15.75" customHeight="1">
      <c r="H1167" s="37"/>
      <c r="I1167" s="38"/>
      <c r="J1167" s="37"/>
      <c r="N1167" s="37"/>
      <c r="Z1167" s="79"/>
    </row>
    <row r="1168" ht="15.75" customHeight="1">
      <c r="H1168" s="37"/>
      <c r="I1168" s="38"/>
      <c r="J1168" s="37"/>
      <c r="N1168" s="37"/>
      <c r="Z1168" s="79"/>
    </row>
    <row r="1169" ht="15.75" customHeight="1">
      <c r="H1169" s="37"/>
      <c r="I1169" s="38"/>
      <c r="J1169" s="37"/>
      <c r="N1169" s="37"/>
      <c r="Z1169" s="79"/>
    </row>
    <row r="1170" ht="15.75" customHeight="1">
      <c r="H1170" s="37"/>
      <c r="I1170" s="38"/>
      <c r="J1170" s="37"/>
      <c r="N1170" s="37"/>
      <c r="Z1170" s="79"/>
    </row>
    <row r="1171" ht="15.75" customHeight="1">
      <c r="H1171" s="37"/>
      <c r="I1171" s="38"/>
      <c r="J1171" s="37"/>
      <c r="N1171" s="37"/>
      <c r="Z1171" s="79"/>
    </row>
    <row r="1172" ht="15.75" customHeight="1">
      <c r="H1172" s="37"/>
      <c r="I1172" s="38"/>
      <c r="J1172" s="37"/>
      <c r="N1172" s="37"/>
      <c r="Z1172" s="79"/>
    </row>
    <row r="1173" ht="15.75" customHeight="1">
      <c r="H1173" s="37"/>
      <c r="I1173" s="38"/>
      <c r="J1173" s="37"/>
      <c r="N1173" s="37"/>
      <c r="Z1173" s="79"/>
    </row>
    <row r="1174" ht="15.75" customHeight="1">
      <c r="H1174" s="37"/>
      <c r="I1174" s="38"/>
      <c r="J1174" s="37"/>
      <c r="N1174" s="37"/>
      <c r="Z1174" s="79"/>
    </row>
    <row r="1175" ht="15.75" customHeight="1">
      <c r="H1175" s="37"/>
      <c r="I1175" s="38"/>
      <c r="J1175" s="37"/>
      <c r="N1175" s="37"/>
      <c r="Z1175" s="79"/>
    </row>
    <row r="1176" ht="15.75" customHeight="1">
      <c r="H1176" s="37"/>
      <c r="I1176" s="38"/>
      <c r="J1176" s="37"/>
      <c r="N1176" s="37"/>
      <c r="Z1176" s="79"/>
    </row>
    <row r="1177" ht="15.75" customHeight="1">
      <c r="H1177" s="37"/>
      <c r="I1177" s="38"/>
      <c r="J1177" s="37"/>
      <c r="N1177" s="37"/>
      <c r="Z1177" s="79"/>
    </row>
    <row r="1178" ht="15.75" customHeight="1">
      <c r="H1178" s="37"/>
      <c r="I1178" s="38"/>
      <c r="J1178" s="37"/>
      <c r="N1178" s="37"/>
      <c r="Z1178" s="79"/>
    </row>
    <row r="1179" ht="15.75" customHeight="1">
      <c r="H1179" s="37"/>
      <c r="I1179" s="38"/>
      <c r="J1179" s="37"/>
      <c r="N1179" s="37"/>
      <c r="Z1179" s="79"/>
    </row>
    <row r="1180" ht="15.75" customHeight="1">
      <c r="H1180" s="37"/>
      <c r="I1180" s="38"/>
      <c r="J1180" s="37"/>
      <c r="N1180" s="37"/>
      <c r="Z1180" s="79"/>
    </row>
    <row r="1181" ht="15.75" customHeight="1">
      <c r="H1181" s="37"/>
      <c r="I1181" s="38"/>
      <c r="J1181" s="37"/>
      <c r="N1181" s="37"/>
      <c r="Z1181" s="79"/>
    </row>
    <row r="1182" ht="15.75" customHeight="1">
      <c r="H1182" s="37"/>
      <c r="I1182" s="38"/>
      <c r="J1182" s="37"/>
      <c r="N1182" s="37"/>
      <c r="Z1182" s="79"/>
    </row>
    <row r="1183" ht="15.75" customHeight="1">
      <c r="H1183" s="37"/>
      <c r="I1183" s="38"/>
      <c r="J1183" s="37"/>
      <c r="N1183" s="37"/>
      <c r="Z1183" s="79"/>
    </row>
    <row r="1184" ht="15.75" customHeight="1">
      <c r="H1184" s="37"/>
      <c r="I1184" s="38"/>
      <c r="J1184" s="37"/>
      <c r="N1184" s="37"/>
      <c r="Z1184" s="79"/>
    </row>
    <row r="1185" ht="15.75" customHeight="1">
      <c r="H1185" s="37"/>
      <c r="I1185" s="38"/>
      <c r="J1185" s="37"/>
      <c r="N1185" s="37"/>
      <c r="Z1185" s="79"/>
    </row>
    <row r="1186" ht="15.75" customHeight="1">
      <c r="H1186" s="37"/>
      <c r="I1186" s="38"/>
      <c r="J1186" s="37"/>
      <c r="N1186" s="37"/>
      <c r="Z1186" s="79"/>
    </row>
    <row r="1187" ht="15.75" customHeight="1">
      <c r="H1187" s="37"/>
      <c r="I1187" s="38"/>
      <c r="J1187" s="37"/>
      <c r="N1187" s="37"/>
      <c r="Z1187" s="79"/>
    </row>
    <row r="1188" ht="15.75" customHeight="1">
      <c r="H1188" s="37"/>
      <c r="I1188" s="38"/>
      <c r="J1188" s="37"/>
      <c r="N1188" s="37"/>
      <c r="Z1188" s="79"/>
    </row>
    <row r="1189" ht="15.75" customHeight="1">
      <c r="H1189" s="37"/>
      <c r="I1189" s="38"/>
      <c r="J1189" s="37"/>
      <c r="N1189" s="37"/>
      <c r="Z1189" s="79"/>
    </row>
    <row r="1190" ht="15.75" customHeight="1">
      <c r="H1190" s="37"/>
      <c r="I1190" s="38"/>
      <c r="J1190" s="37"/>
      <c r="N1190" s="37"/>
      <c r="Z1190" s="79"/>
    </row>
    <row r="1191" ht="15.75" customHeight="1">
      <c r="H1191" s="37"/>
      <c r="I1191" s="38"/>
      <c r="J1191" s="37"/>
      <c r="N1191" s="37"/>
      <c r="Z1191" s="79"/>
    </row>
    <row r="1192" ht="15.75" customHeight="1">
      <c r="H1192" s="37"/>
      <c r="I1192" s="38"/>
      <c r="J1192" s="37"/>
      <c r="N1192" s="37"/>
      <c r="Z1192" s="79"/>
    </row>
    <row r="1193" ht="15.75" customHeight="1">
      <c r="H1193" s="37"/>
      <c r="I1193" s="38"/>
      <c r="J1193" s="37"/>
      <c r="N1193" s="37"/>
      <c r="Z1193" s="79"/>
    </row>
    <row r="1194" ht="15.75" customHeight="1">
      <c r="H1194" s="37"/>
      <c r="I1194" s="38"/>
      <c r="J1194" s="37"/>
      <c r="N1194" s="37"/>
      <c r="Z1194" s="79"/>
    </row>
    <row r="1195" ht="15.75" customHeight="1">
      <c r="H1195" s="37"/>
      <c r="I1195" s="38"/>
      <c r="J1195" s="37"/>
      <c r="N1195" s="37"/>
      <c r="Z1195" s="79"/>
    </row>
    <row r="1196" ht="15.75" customHeight="1">
      <c r="H1196" s="37"/>
      <c r="I1196" s="38"/>
      <c r="J1196" s="37"/>
      <c r="N1196" s="37"/>
      <c r="Z1196" s="79"/>
    </row>
    <row r="1197" ht="15.75" customHeight="1">
      <c r="H1197" s="37"/>
      <c r="I1197" s="38"/>
      <c r="J1197" s="37"/>
      <c r="N1197" s="37"/>
      <c r="Z1197" s="79"/>
    </row>
    <row r="1198" ht="15.75" customHeight="1">
      <c r="H1198" s="37"/>
      <c r="I1198" s="38"/>
      <c r="J1198" s="37"/>
      <c r="N1198" s="37"/>
      <c r="Z1198" s="79"/>
    </row>
    <row r="1199" ht="15.75" customHeight="1">
      <c r="H1199" s="37"/>
      <c r="I1199" s="38"/>
      <c r="J1199" s="37"/>
      <c r="N1199" s="37"/>
      <c r="Z1199" s="79"/>
    </row>
    <row r="1200" ht="15.75" customHeight="1">
      <c r="H1200" s="37"/>
      <c r="I1200" s="38"/>
      <c r="J1200" s="37"/>
      <c r="N1200" s="37"/>
      <c r="Z1200" s="79"/>
    </row>
    <row r="1201" ht="15.75" customHeight="1">
      <c r="H1201" s="37"/>
      <c r="I1201" s="38"/>
      <c r="J1201" s="37"/>
      <c r="N1201" s="37"/>
      <c r="Z1201" s="79"/>
    </row>
    <row r="1202" ht="15.75" customHeight="1">
      <c r="H1202" s="37"/>
      <c r="I1202" s="38"/>
      <c r="J1202" s="37"/>
      <c r="N1202" s="37"/>
      <c r="Z1202" s="79"/>
    </row>
    <row r="1203" ht="15.75" customHeight="1">
      <c r="H1203" s="37"/>
      <c r="I1203" s="38"/>
      <c r="J1203" s="37"/>
      <c r="N1203" s="37"/>
      <c r="Z1203" s="79"/>
    </row>
    <row r="1204" ht="15.75" customHeight="1">
      <c r="H1204" s="37"/>
      <c r="I1204" s="38"/>
      <c r="J1204" s="37"/>
      <c r="N1204" s="37"/>
      <c r="Z1204" s="79"/>
    </row>
    <row r="1205" ht="15.75" customHeight="1">
      <c r="H1205" s="37"/>
      <c r="I1205" s="38"/>
      <c r="J1205" s="37"/>
      <c r="N1205" s="37"/>
      <c r="Z1205" s="79"/>
    </row>
    <row r="1206" ht="15.75" customHeight="1">
      <c r="H1206" s="37"/>
      <c r="I1206" s="38"/>
      <c r="J1206" s="37"/>
      <c r="N1206" s="37"/>
      <c r="Z1206" s="79"/>
    </row>
    <row r="1207" ht="15.75" customHeight="1">
      <c r="H1207" s="37"/>
      <c r="I1207" s="38"/>
      <c r="J1207" s="37"/>
      <c r="N1207" s="37"/>
      <c r="Z1207" s="79"/>
    </row>
    <row r="1208" ht="15.75" customHeight="1">
      <c r="H1208" s="37"/>
      <c r="I1208" s="38"/>
      <c r="J1208" s="37"/>
      <c r="N1208" s="37"/>
      <c r="Z1208" s="79"/>
    </row>
    <row r="1209" ht="15.75" customHeight="1">
      <c r="H1209" s="37"/>
      <c r="I1209" s="38"/>
      <c r="J1209" s="37"/>
      <c r="N1209" s="37"/>
      <c r="Z1209" s="79"/>
    </row>
    <row r="1210" ht="15.75" customHeight="1">
      <c r="H1210" s="37"/>
      <c r="I1210" s="38"/>
      <c r="J1210" s="37"/>
      <c r="N1210" s="37"/>
      <c r="Z1210" s="79"/>
    </row>
    <row r="1211" ht="15.75" customHeight="1">
      <c r="H1211" s="37"/>
      <c r="I1211" s="38"/>
      <c r="J1211" s="37"/>
      <c r="N1211" s="37"/>
      <c r="Z1211" s="79"/>
    </row>
    <row r="1212" ht="15.75" customHeight="1">
      <c r="H1212" s="37"/>
      <c r="I1212" s="38"/>
      <c r="J1212" s="37"/>
      <c r="N1212" s="37"/>
      <c r="Z1212" s="79"/>
    </row>
    <row r="1213" ht="15.75" customHeight="1">
      <c r="H1213" s="37"/>
      <c r="I1213" s="38"/>
      <c r="J1213" s="37"/>
      <c r="N1213" s="37"/>
      <c r="Z1213" s="79"/>
    </row>
    <row r="1214" ht="15.75" customHeight="1">
      <c r="H1214" s="37"/>
      <c r="I1214" s="38"/>
      <c r="J1214" s="37"/>
      <c r="N1214" s="37"/>
      <c r="Z1214" s="79"/>
    </row>
    <row r="1215" ht="15.75" customHeight="1">
      <c r="H1215" s="37"/>
      <c r="I1215" s="38"/>
      <c r="J1215" s="37"/>
      <c r="N1215" s="37"/>
      <c r="Z1215" s="79"/>
    </row>
    <row r="1216" ht="15.75" customHeight="1">
      <c r="H1216" s="37"/>
      <c r="I1216" s="38"/>
      <c r="J1216" s="37"/>
      <c r="N1216" s="37"/>
      <c r="Z1216" s="79"/>
    </row>
    <row r="1217" ht="15.75" customHeight="1">
      <c r="H1217" s="37"/>
      <c r="I1217" s="38"/>
      <c r="J1217" s="37"/>
      <c r="N1217" s="37"/>
      <c r="Z1217" s="79"/>
    </row>
    <row r="1218" ht="15.75" customHeight="1">
      <c r="H1218" s="37"/>
      <c r="I1218" s="38"/>
      <c r="J1218" s="37"/>
      <c r="N1218" s="37"/>
      <c r="Z1218" s="79"/>
    </row>
    <row r="1219" ht="15.75" customHeight="1">
      <c r="H1219" s="37"/>
      <c r="I1219" s="38"/>
      <c r="J1219" s="37"/>
      <c r="N1219" s="37"/>
      <c r="Z1219" s="79"/>
    </row>
    <row r="1220" ht="15.75" customHeight="1">
      <c r="H1220" s="37"/>
      <c r="I1220" s="38"/>
      <c r="J1220" s="37"/>
      <c r="N1220" s="37"/>
      <c r="Z1220" s="79"/>
    </row>
    <row r="1221" ht="15.75" customHeight="1">
      <c r="H1221" s="37"/>
      <c r="I1221" s="38"/>
      <c r="J1221" s="37"/>
      <c r="N1221" s="37"/>
      <c r="Z1221" s="79"/>
    </row>
    <row r="1222" ht="15.75" customHeight="1">
      <c r="H1222" s="37"/>
      <c r="I1222" s="38"/>
      <c r="J1222" s="37"/>
      <c r="N1222" s="37"/>
      <c r="Z1222" s="79"/>
    </row>
    <row r="1223" ht="15.75" customHeight="1">
      <c r="H1223" s="37"/>
      <c r="I1223" s="38"/>
      <c r="J1223" s="37"/>
      <c r="N1223" s="37"/>
      <c r="Z1223" s="79"/>
    </row>
    <row r="1224" ht="15.75" customHeight="1">
      <c r="H1224" s="37"/>
      <c r="I1224" s="38"/>
      <c r="J1224" s="37"/>
      <c r="N1224" s="37"/>
      <c r="Z1224" s="79"/>
    </row>
    <row r="1225" ht="15.75" customHeight="1">
      <c r="H1225" s="37"/>
      <c r="I1225" s="38"/>
      <c r="J1225" s="37"/>
      <c r="N1225" s="37"/>
      <c r="Z1225" s="79"/>
    </row>
    <row r="1226" ht="15.75" customHeight="1">
      <c r="H1226" s="37"/>
      <c r="I1226" s="38"/>
      <c r="J1226" s="37"/>
      <c r="N1226" s="37"/>
      <c r="Z1226" s="79"/>
    </row>
    <row r="1227" ht="15.75" customHeight="1">
      <c r="H1227" s="37"/>
      <c r="I1227" s="38"/>
      <c r="J1227" s="37"/>
      <c r="N1227" s="37"/>
      <c r="Z1227" s="79"/>
    </row>
    <row r="1228" ht="15.75" customHeight="1">
      <c r="H1228" s="37"/>
      <c r="I1228" s="38"/>
      <c r="J1228" s="37"/>
      <c r="N1228" s="37"/>
      <c r="Z1228" s="79"/>
    </row>
    <row r="1229" ht="15.75" customHeight="1">
      <c r="H1229" s="37"/>
      <c r="I1229" s="38"/>
      <c r="J1229" s="37"/>
      <c r="N1229" s="37"/>
      <c r="Z1229" s="79"/>
    </row>
    <row r="1230" ht="15.75" customHeight="1">
      <c r="H1230" s="37"/>
      <c r="I1230" s="38"/>
      <c r="J1230" s="37"/>
      <c r="N1230" s="37"/>
      <c r="Z1230" s="79"/>
    </row>
    <row r="1231" ht="15.75" customHeight="1">
      <c r="H1231" s="37"/>
      <c r="I1231" s="38"/>
      <c r="J1231" s="37"/>
      <c r="N1231" s="37"/>
      <c r="Z1231" s="79"/>
    </row>
    <row r="1232" ht="15.75" customHeight="1">
      <c r="H1232" s="37"/>
      <c r="I1232" s="38"/>
      <c r="J1232" s="37"/>
      <c r="N1232" s="37"/>
      <c r="Z1232" s="79"/>
    </row>
    <row r="1233" ht="15.75" customHeight="1">
      <c r="H1233" s="37"/>
      <c r="I1233" s="38"/>
      <c r="J1233" s="37"/>
      <c r="N1233" s="37"/>
      <c r="Z1233" s="79"/>
    </row>
    <row r="1234" ht="15.75" customHeight="1">
      <c r="H1234" s="37"/>
      <c r="I1234" s="38"/>
      <c r="J1234" s="37"/>
      <c r="N1234" s="37"/>
      <c r="Z1234" s="79"/>
    </row>
    <row r="1235" ht="15.75" customHeight="1">
      <c r="H1235" s="37"/>
      <c r="I1235" s="38"/>
      <c r="J1235" s="37"/>
      <c r="N1235" s="37"/>
      <c r="Z1235" s="79"/>
    </row>
    <row r="1236" ht="15.75" customHeight="1">
      <c r="H1236" s="37"/>
      <c r="I1236" s="38"/>
      <c r="J1236" s="37"/>
      <c r="N1236" s="37"/>
      <c r="Z1236" s="79"/>
    </row>
    <row r="1237" ht="15.75" customHeight="1">
      <c r="H1237" s="37"/>
      <c r="I1237" s="38"/>
      <c r="J1237" s="37"/>
      <c r="N1237" s="37"/>
      <c r="Z1237" s="79"/>
    </row>
    <row r="1238" ht="15.75" customHeight="1">
      <c r="H1238" s="37"/>
      <c r="I1238" s="38"/>
      <c r="J1238" s="37"/>
      <c r="N1238" s="37"/>
      <c r="Z1238" s="79"/>
    </row>
    <row r="1239" ht="15.75" customHeight="1">
      <c r="H1239" s="37"/>
      <c r="I1239" s="38"/>
      <c r="J1239" s="37"/>
      <c r="N1239" s="37"/>
      <c r="Z1239" s="79"/>
    </row>
    <row r="1240" ht="15.75" customHeight="1">
      <c r="H1240" s="37"/>
      <c r="I1240" s="38"/>
      <c r="J1240" s="37"/>
      <c r="N1240" s="37"/>
      <c r="Z1240" s="79"/>
    </row>
    <row r="1241" ht="15.75" customHeight="1">
      <c r="H1241" s="37"/>
      <c r="I1241" s="38"/>
      <c r="J1241" s="37"/>
      <c r="N1241" s="37"/>
      <c r="Z1241" s="79"/>
    </row>
    <row r="1242" ht="15.75" customHeight="1">
      <c r="H1242" s="37"/>
      <c r="I1242" s="38"/>
      <c r="J1242" s="37"/>
      <c r="N1242" s="37"/>
      <c r="Z1242" s="79"/>
    </row>
    <row r="1243" ht="15.75" customHeight="1">
      <c r="H1243" s="37"/>
      <c r="I1243" s="38"/>
      <c r="J1243" s="37"/>
      <c r="N1243" s="37"/>
      <c r="Z1243" s="79"/>
    </row>
    <row r="1244" ht="15.75" customHeight="1">
      <c r="H1244" s="37"/>
      <c r="I1244" s="38"/>
      <c r="J1244" s="37"/>
      <c r="N1244" s="37"/>
      <c r="Z1244" s="79"/>
    </row>
    <row r="1245" ht="15.75" customHeight="1">
      <c r="H1245" s="37"/>
      <c r="I1245" s="38"/>
      <c r="J1245" s="37"/>
      <c r="N1245" s="37"/>
      <c r="Z1245" s="79"/>
    </row>
    <row r="1246" ht="15.75" customHeight="1">
      <c r="H1246" s="37"/>
      <c r="I1246" s="38"/>
      <c r="J1246" s="37"/>
      <c r="N1246" s="37"/>
      <c r="Z1246" s="79"/>
    </row>
    <row r="1247" ht="15.75" customHeight="1">
      <c r="H1247" s="37"/>
      <c r="I1247" s="38"/>
      <c r="J1247" s="37"/>
      <c r="N1247" s="37"/>
      <c r="Z1247" s="79"/>
    </row>
    <row r="1248" ht="15.75" customHeight="1">
      <c r="H1248" s="37"/>
      <c r="I1248" s="38"/>
      <c r="J1248" s="37"/>
      <c r="N1248" s="37"/>
      <c r="Z1248" s="79"/>
    </row>
    <row r="1249" ht="15.75" customHeight="1">
      <c r="H1249" s="37"/>
      <c r="I1249" s="38"/>
      <c r="J1249" s="37"/>
      <c r="N1249" s="37"/>
      <c r="Z1249" s="79"/>
    </row>
    <row r="1250" ht="15.75" customHeight="1">
      <c r="H1250" s="37"/>
      <c r="I1250" s="38"/>
      <c r="J1250" s="37"/>
      <c r="N1250" s="37"/>
      <c r="Z1250" s="79"/>
    </row>
    <row r="1251" ht="15.75" customHeight="1">
      <c r="H1251" s="37"/>
      <c r="I1251" s="38"/>
      <c r="J1251" s="37"/>
      <c r="N1251" s="37"/>
      <c r="Z1251" s="79"/>
    </row>
    <row r="1252" ht="15.75" customHeight="1">
      <c r="H1252" s="37"/>
      <c r="I1252" s="38"/>
      <c r="J1252" s="37"/>
      <c r="N1252" s="37"/>
      <c r="Z1252" s="79"/>
    </row>
    <row r="1253" ht="15.75" customHeight="1">
      <c r="H1253" s="37"/>
      <c r="I1253" s="38"/>
      <c r="J1253" s="37"/>
      <c r="N1253" s="37"/>
      <c r="Z1253" s="79"/>
    </row>
    <row r="1254" ht="15.75" customHeight="1">
      <c r="H1254" s="37"/>
      <c r="I1254" s="38"/>
      <c r="J1254" s="37"/>
      <c r="N1254" s="37"/>
      <c r="Z1254" s="79"/>
    </row>
    <row r="1255" ht="15.75" customHeight="1">
      <c r="H1255" s="37"/>
      <c r="I1255" s="38"/>
      <c r="J1255" s="37"/>
      <c r="N1255" s="37"/>
      <c r="Z1255" s="79"/>
    </row>
    <row r="1256" ht="15.75" customHeight="1">
      <c r="H1256" s="37"/>
      <c r="I1256" s="38"/>
      <c r="J1256" s="37"/>
      <c r="N1256" s="37"/>
      <c r="Z1256" s="79"/>
    </row>
    <row r="1257" ht="15.75" customHeight="1">
      <c r="H1257" s="37"/>
      <c r="I1257" s="38"/>
      <c r="J1257" s="37"/>
      <c r="N1257" s="37"/>
      <c r="Z1257" s="79"/>
    </row>
    <row r="1258" ht="15.75" customHeight="1">
      <c r="H1258" s="37"/>
      <c r="I1258" s="38"/>
      <c r="J1258" s="37"/>
      <c r="N1258" s="37"/>
      <c r="Z1258" s="79"/>
    </row>
    <row r="1259" ht="15.75" customHeight="1">
      <c r="H1259" s="37"/>
      <c r="I1259" s="38"/>
      <c r="J1259" s="37"/>
      <c r="N1259" s="37"/>
      <c r="Z1259" s="79"/>
    </row>
    <row r="1260" ht="15.75" customHeight="1">
      <c r="H1260" s="37"/>
      <c r="I1260" s="38"/>
      <c r="J1260" s="37"/>
      <c r="N1260" s="37"/>
      <c r="Z1260" s="79"/>
    </row>
    <row r="1261" ht="15.75" customHeight="1">
      <c r="H1261" s="37"/>
      <c r="I1261" s="38"/>
      <c r="J1261" s="37"/>
      <c r="N1261" s="37"/>
      <c r="Z1261" s="79"/>
    </row>
    <row r="1262" ht="15.75" customHeight="1">
      <c r="H1262" s="37"/>
      <c r="I1262" s="38"/>
      <c r="J1262" s="37"/>
      <c r="N1262" s="37"/>
      <c r="Z1262" s="79"/>
    </row>
    <row r="1263" ht="15.75" customHeight="1">
      <c r="H1263" s="37"/>
      <c r="I1263" s="38"/>
      <c r="J1263" s="37"/>
      <c r="N1263" s="37"/>
      <c r="Z1263" s="79"/>
    </row>
    <row r="1264" ht="15.75" customHeight="1">
      <c r="H1264" s="37"/>
      <c r="I1264" s="38"/>
      <c r="J1264" s="37"/>
      <c r="N1264" s="37"/>
      <c r="Z1264" s="79"/>
    </row>
    <row r="1265" ht="15.75" customHeight="1">
      <c r="H1265" s="37"/>
      <c r="I1265" s="38"/>
      <c r="J1265" s="37"/>
      <c r="N1265" s="37"/>
      <c r="Z1265" s="79"/>
    </row>
    <row r="1266" ht="15.75" customHeight="1">
      <c r="H1266" s="37"/>
      <c r="I1266" s="38"/>
      <c r="J1266" s="37"/>
      <c r="N1266" s="37"/>
      <c r="Z1266" s="79"/>
    </row>
    <row r="1267" ht="15.75" customHeight="1">
      <c r="H1267" s="37"/>
      <c r="I1267" s="38"/>
      <c r="J1267" s="37"/>
      <c r="N1267" s="37"/>
      <c r="Z1267" s="79"/>
    </row>
    <row r="1268" ht="15.75" customHeight="1">
      <c r="H1268" s="37"/>
      <c r="I1268" s="38"/>
      <c r="J1268" s="37"/>
      <c r="N1268" s="37"/>
      <c r="Z1268" s="79"/>
    </row>
    <row r="1269" ht="15.75" customHeight="1">
      <c r="H1269" s="37"/>
      <c r="I1269" s="38"/>
      <c r="J1269" s="37"/>
      <c r="N1269" s="37"/>
      <c r="Z1269" s="79"/>
    </row>
    <row r="1270" ht="15.75" customHeight="1">
      <c r="H1270" s="37"/>
      <c r="I1270" s="38"/>
      <c r="J1270" s="37"/>
      <c r="N1270" s="37"/>
      <c r="Z1270" s="79"/>
    </row>
    <row r="1271" ht="15.75" customHeight="1">
      <c r="H1271" s="37"/>
      <c r="I1271" s="38"/>
      <c r="J1271" s="37"/>
      <c r="N1271" s="37"/>
      <c r="Z1271" s="79"/>
    </row>
    <row r="1272" ht="15.75" customHeight="1">
      <c r="H1272" s="37"/>
      <c r="I1272" s="38"/>
      <c r="J1272" s="37"/>
      <c r="N1272" s="37"/>
      <c r="Z1272" s="79"/>
    </row>
    <row r="1273" ht="15.75" customHeight="1">
      <c r="H1273" s="37"/>
      <c r="I1273" s="38"/>
      <c r="J1273" s="37"/>
      <c r="N1273" s="37"/>
      <c r="Z1273" s="79"/>
    </row>
    <row r="1274" ht="15.75" customHeight="1">
      <c r="H1274" s="37"/>
      <c r="I1274" s="38"/>
      <c r="J1274" s="37"/>
      <c r="N1274" s="37"/>
      <c r="Z1274" s="79"/>
    </row>
    <row r="1275" ht="15.75" customHeight="1">
      <c r="H1275" s="37"/>
      <c r="I1275" s="38"/>
      <c r="J1275" s="37"/>
      <c r="N1275" s="37"/>
      <c r="Z1275" s="79"/>
    </row>
    <row r="1276" ht="15.75" customHeight="1">
      <c r="H1276" s="37"/>
      <c r="I1276" s="38"/>
      <c r="J1276" s="37"/>
      <c r="N1276" s="37"/>
      <c r="Z1276" s="79"/>
    </row>
    <row r="1277" ht="15.75" customHeight="1">
      <c r="H1277" s="37"/>
      <c r="I1277" s="38"/>
      <c r="J1277" s="37"/>
      <c r="N1277" s="37"/>
      <c r="Z1277" s="79"/>
    </row>
    <row r="1278" ht="15.75" customHeight="1">
      <c r="H1278" s="37"/>
      <c r="I1278" s="38"/>
      <c r="J1278" s="37"/>
      <c r="N1278" s="37"/>
      <c r="Z1278" s="79"/>
    </row>
    <row r="1279" ht="15.75" customHeight="1">
      <c r="H1279" s="37"/>
      <c r="I1279" s="38"/>
      <c r="J1279" s="37"/>
      <c r="N1279" s="37"/>
      <c r="Z1279" s="79"/>
    </row>
    <row r="1280" ht="15.75" customHeight="1">
      <c r="H1280" s="37"/>
      <c r="I1280" s="38"/>
      <c r="J1280" s="37"/>
      <c r="N1280" s="37"/>
      <c r="Z1280" s="79"/>
    </row>
    <row r="1281" ht="15.75" customHeight="1">
      <c r="H1281" s="37"/>
      <c r="I1281" s="38"/>
      <c r="J1281" s="37"/>
      <c r="N1281" s="37"/>
      <c r="Z1281" s="79"/>
    </row>
    <row r="1282" ht="15.75" customHeight="1">
      <c r="H1282" s="37"/>
      <c r="I1282" s="38"/>
      <c r="J1282" s="37"/>
      <c r="N1282" s="37"/>
      <c r="Z1282" s="79"/>
    </row>
    <row r="1283" ht="15.75" customHeight="1">
      <c r="H1283" s="37"/>
      <c r="I1283" s="38"/>
      <c r="J1283" s="37"/>
      <c r="N1283" s="37"/>
      <c r="Z1283" s="79"/>
    </row>
    <row r="1284" ht="15.75" customHeight="1">
      <c r="H1284" s="37"/>
      <c r="I1284" s="38"/>
      <c r="J1284" s="37"/>
      <c r="N1284" s="37"/>
      <c r="Z1284" s="79"/>
    </row>
    <row r="1285" ht="15.75" customHeight="1">
      <c r="H1285" s="37"/>
      <c r="I1285" s="38"/>
      <c r="J1285" s="37"/>
      <c r="N1285" s="37"/>
      <c r="Z1285" s="79"/>
    </row>
    <row r="1286" ht="15.75" customHeight="1">
      <c r="H1286" s="37"/>
      <c r="I1286" s="38"/>
      <c r="J1286" s="37"/>
      <c r="N1286" s="37"/>
      <c r="Z1286" s="79"/>
    </row>
    <row r="1287" ht="15.75" customHeight="1">
      <c r="H1287" s="37"/>
      <c r="I1287" s="38"/>
      <c r="J1287" s="37"/>
      <c r="N1287" s="37"/>
      <c r="Z1287" s="79"/>
    </row>
    <row r="1288" ht="15.75" customHeight="1">
      <c r="H1288" s="37"/>
      <c r="I1288" s="38"/>
      <c r="J1288" s="37"/>
      <c r="N1288" s="37"/>
      <c r="Z1288" s="79"/>
    </row>
    <row r="1289" ht="15.75" customHeight="1">
      <c r="H1289" s="37"/>
      <c r="I1289" s="38"/>
      <c r="J1289" s="37"/>
      <c r="N1289" s="37"/>
      <c r="Z1289" s="79"/>
    </row>
    <row r="1290" ht="15.75" customHeight="1">
      <c r="H1290" s="37"/>
      <c r="I1290" s="38"/>
      <c r="J1290" s="37"/>
      <c r="N1290" s="37"/>
      <c r="Z1290" s="79"/>
    </row>
    <row r="1291" ht="15.75" customHeight="1">
      <c r="H1291" s="37"/>
      <c r="I1291" s="38"/>
      <c r="J1291" s="37"/>
      <c r="N1291" s="37"/>
      <c r="Z1291" s="79"/>
    </row>
    <row r="1292" ht="15.75" customHeight="1">
      <c r="H1292" s="37"/>
      <c r="I1292" s="38"/>
      <c r="J1292" s="37"/>
      <c r="N1292" s="37"/>
      <c r="Z1292" s="79"/>
    </row>
    <row r="1293" ht="15.75" customHeight="1">
      <c r="H1293" s="37"/>
      <c r="I1293" s="38"/>
      <c r="J1293" s="37"/>
      <c r="N1293" s="37"/>
      <c r="Z1293" s="79"/>
    </row>
    <row r="1294" ht="15.75" customHeight="1">
      <c r="H1294" s="37"/>
      <c r="I1294" s="38"/>
      <c r="J1294" s="37"/>
      <c r="N1294" s="37"/>
      <c r="Z1294" s="79"/>
    </row>
    <row r="1295" ht="15.75" customHeight="1">
      <c r="H1295" s="37"/>
      <c r="I1295" s="38"/>
      <c r="J1295" s="37"/>
      <c r="N1295" s="37"/>
      <c r="Z1295" s="79"/>
    </row>
    <row r="1296" ht="15.75" customHeight="1">
      <c r="H1296" s="37"/>
      <c r="I1296" s="38"/>
      <c r="J1296" s="37"/>
      <c r="N1296" s="37"/>
      <c r="Z1296" s="79"/>
    </row>
    <row r="1297" ht="15.75" customHeight="1">
      <c r="H1297" s="37"/>
      <c r="I1297" s="38"/>
      <c r="J1297" s="37"/>
      <c r="N1297" s="37"/>
      <c r="Z1297" s="79"/>
    </row>
    <row r="1298" ht="15.75" customHeight="1">
      <c r="H1298" s="37"/>
      <c r="I1298" s="38"/>
      <c r="J1298" s="37"/>
      <c r="N1298" s="37"/>
      <c r="Z1298" s="79"/>
    </row>
    <row r="1299" ht="15.75" customHeight="1">
      <c r="H1299" s="37"/>
      <c r="I1299" s="38"/>
      <c r="J1299" s="37"/>
      <c r="N1299" s="37"/>
      <c r="Z1299" s="79"/>
    </row>
    <row r="1300" ht="15.75" customHeight="1">
      <c r="H1300" s="37"/>
      <c r="I1300" s="38"/>
      <c r="J1300" s="37"/>
      <c r="N1300" s="37"/>
      <c r="Z1300" s="79"/>
    </row>
    <row r="1301" ht="15.75" customHeight="1">
      <c r="H1301" s="37"/>
      <c r="I1301" s="38"/>
      <c r="J1301" s="37"/>
      <c r="N1301" s="37"/>
      <c r="Z1301" s="79"/>
    </row>
    <row r="1302" ht="15.75" customHeight="1">
      <c r="H1302" s="37"/>
      <c r="I1302" s="38"/>
      <c r="J1302" s="37"/>
      <c r="N1302" s="37"/>
      <c r="Z1302" s="79"/>
    </row>
    <row r="1303" ht="15.75" customHeight="1">
      <c r="H1303" s="37"/>
      <c r="I1303" s="38"/>
      <c r="J1303" s="37"/>
      <c r="N1303" s="37"/>
      <c r="Z1303" s="79"/>
    </row>
    <row r="1304" ht="15.75" customHeight="1">
      <c r="H1304" s="37"/>
      <c r="I1304" s="38"/>
      <c r="J1304" s="37"/>
      <c r="N1304" s="37"/>
      <c r="Z1304" s="79"/>
    </row>
    <row r="1305" ht="15.75" customHeight="1">
      <c r="H1305" s="37"/>
      <c r="I1305" s="38"/>
      <c r="J1305" s="37"/>
      <c r="N1305" s="37"/>
      <c r="Z1305" s="79"/>
    </row>
    <row r="1306" ht="15.75" customHeight="1">
      <c r="H1306" s="37"/>
      <c r="I1306" s="38"/>
      <c r="J1306" s="37"/>
      <c r="N1306" s="37"/>
      <c r="Z1306" s="79"/>
    </row>
    <row r="1307" ht="15.75" customHeight="1">
      <c r="H1307" s="37"/>
      <c r="I1307" s="38"/>
      <c r="J1307" s="37"/>
      <c r="N1307" s="37"/>
      <c r="Z1307" s="79"/>
    </row>
    <row r="1308" ht="15.75" customHeight="1">
      <c r="H1308" s="37"/>
      <c r="I1308" s="38"/>
      <c r="J1308" s="37"/>
      <c r="N1308" s="37"/>
      <c r="Z1308" s="79"/>
    </row>
    <row r="1309" ht="15.75" customHeight="1">
      <c r="H1309" s="37"/>
      <c r="I1309" s="38"/>
      <c r="J1309" s="37"/>
      <c r="N1309" s="37"/>
      <c r="Z1309" s="79"/>
    </row>
    <row r="1310" ht="15.75" customHeight="1">
      <c r="H1310" s="37"/>
      <c r="I1310" s="38"/>
      <c r="J1310" s="37"/>
      <c r="N1310" s="37"/>
      <c r="Z1310" s="79"/>
    </row>
    <row r="1311" ht="15.75" customHeight="1">
      <c r="H1311" s="37"/>
      <c r="I1311" s="38"/>
      <c r="J1311" s="37"/>
      <c r="N1311" s="37"/>
      <c r="Z1311" s="79"/>
    </row>
    <row r="1312" ht="15.75" customHeight="1">
      <c r="H1312" s="37"/>
      <c r="I1312" s="38"/>
      <c r="J1312" s="37"/>
      <c r="N1312" s="37"/>
      <c r="Z1312" s="79"/>
    </row>
    <row r="1313" ht="15.75" customHeight="1">
      <c r="H1313" s="37"/>
      <c r="I1313" s="38"/>
      <c r="J1313" s="37"/>
      <c r="N1313" s="37"/>
      <c r="Z1313" s="79"/>
    </row>
    <row r="1314" ht="15.75" customHeight="1">
      <c r="H1314" s="37"/>
      <c r="I1314" s="38"/>
      <c r="J1314" s="37"/>
      <c r="N1314" s="37"/>
      <c r="Z1314" s="79"/>
    </row>
    <row r="1315" ht="15.75" customHeight="1">
      <c r="H1315" s="37"/>
      <c r="I1315" s="38"/>
      <c r="J1315" s="37"/>
      <c r="N1315" s="37"/>
      <c r="Z1315" s="79"/>
    </row>
    <row r="1316" ht="15.75" customHeight="1">
      <c r="H1316" s="37"/>
      <c r="I1316" s="38"/>
      <c r="J1316" s="37"/>
      <c r="N1316" s="37"/>
      <c r="Z1316" s="79"/>
    </row>
    <row r="1317" ht="15.75" customHeight="1">
      <c r="H1317" s="37"/>
      <c r="I1317" s="38"/>
      <c r="J1317" s="37"/>
      <c r="N1317" s="37"/>
      <c r="Z1317" s="79"/>
    </row>
    <row r="1318" ht="15.75" customHeight="1">
      <c r="H1318" s="37"/>
      <c r="I1318" s="38"/>
      <c r="J1318" s="37"/>
      <c r="N1318" s="37"/>
      <c r="Z1318" s="79"/>
    </row>
    <row r="1319" ht="15.75" customHeight="1">
      <c r="H1319" s="37"/>
      <c r="I1319" s="38"/>
      <c r="J1319" s="37"/>
      <c r="N1319" s="37"/>
      <c r="Z1319" s="79"/>
    </row>
    <row r="1320" ht="15.75" customHeight="1">
      <c r="H1320" s="37"/>
      <c r="I1320" s="38"/>
      <c r="J1320" s="37"/>
      <c r="N1320" s="37"/>
      <c r="Z1320" s="79"/>
    </row>
    <row r="1321" ht="15.75" customHeight="1">
      <c r="H1321" s="37"/>
      <c r="I1321" s="38"/>
      <c r="J1321" s="37"/>
      <c r="N1321" s="37"/>
      <c r="Z1321" s="79"/>
    </row>
    <row r="1322" ht="15.75" customHeight="1">
      <c r="H1322" s="37"/>
      <c r="I1322" s="38"/>
      <c r="J1322" s="37"/>
      <c r="N1322" s="37"/>
      <c r="Z1322" s="79"/>
    </row>
    <row r="1323" ht="15.75" customHeight="1">
      <c r="H1323" s="37"/>
      <c r="I1323" s="38"/>
      <c r="J1323" s="37"/>
      <c r="N1323" s="37"/>
      <c r="Z1323" s="79"/>
    </row>
    <row r="1324" ht="15.75" customHeight="1">
      <c r="H1324" s="37"/>
      <c r="I1324" s="38"/>
      <c r="J1324" s="37"/>
      <c r="N1324" s="37"/>
      <c r="Z1324" s="79"/>
    </row>
    <row r="1325" ht="15.75" customHeight="1">
      <c r="H1325" s="37"/>
      <c r="I1325" s="38"/>
      <c r="J1325" s="37"/>
      <c r="N1325" s="37"/>
      <c r="Z1325" s="79"/>
    </row>
    <row r="1326" ht="15.75" customHeight="1">
      <c r="H1326" s="37"/>
      <c r="I1326" s="38"/>
      <c r="J1326" s="37"/>
      <c r="N1326" s="37"/>
      <c r="Z1326" s="79"/>
    </row>
    <row r="1327" ht="15.75" customHeight="1">
      <c r="H1327" s="37"/>
      <c r="I1327" s="38"/>
      <c r="J1327" s="37"/>
      <c r="N1327" s="37"/>
      <c r="Z1327" s="79"/>
    </row>
    <row r="1328" ht="15.75" customHeight="1">
      <c r="H1328" s="37"/>
      <c r="I1328" s="38"/>
      <c r="J1328" s="37"/>
      <c r="N1328" s="37"/>
      <c r="Z1328" s="79"/>
    </row>
    <row r="1329" ht="15.75" customHeight="1">
      <c r="H1329" s="37"/>
      <c r="I1329" s="38"/>
      <c r="J1329" s="37"/>
      <c r="N1329" s="37"/>
      <c r="Z1329" s="79"/>
    </row>
    <row r="1330" ht="15.75" customHeight="1">
      <c r="H1330" s="37"/>
      <c r="I1330" s="38"/>
      <c r="J1330" s="37"/>
      <c r="N1330" s="37"/>
      <c r="Z1330" s="79"/>
    </row>
    <row r="1331" ht="15.75" customHeight="1">
      <c r="H1331" s="37"/>
      <c r="I1331" s="38"/>
      <c r="J1331" s="37"/>
      <c r="N1331" s="37"/>
      <c r="Z1331" s="79"/>
    </row>
    <row r="1332" ht="15.75" customHeight="1">
      <c r="H1332" s="37"/>
      <c r="I1332" s="38"/>
      <c r="J1332" s="37"/>
      <c r="N1332" s="37"/>
      <c r="Z1332" s="79"/>
    </row>
    <row r="1333" ht="15.75" customHeight="1">
      <c r="H1333" s="37"/>
      <c r="I1333" s="38"/>
      <c r="J1333" s="37"/>
      <c r="N1333" s="37"/>
      <c r="Z1333" s="79"/>
    </row>
    <row r="1334" ht="15.75" customHeight="1">
      <c r="H1334" s="37"/>
      <c r="I1334" s="38"/>
      <c r="J1334" s="37"/>
      <c r="N1334" s="37"/>
      <c r="Z1334" s="79"/>
    </row>
    <row r="1335" ht="15.75" customHeight="1">
      <c r="H1335" s="37"/>
      <c r="I1335" s="38"/>
      <c r="J1335" s="37"/>
      <c r="N1335" s="37"/>
      <c r="Z1335" s="79"/>
    </row>
    <row r="1336" ht="15.75" customHeight="1">
      <c r="H1336" s="37"/>
      <c r="I1336" s="38"/>
      <c r="J1336" s="37"/>
      <c r="N1336" s="37"/>
      <c r="Z1336" s="79"/>
    </row>
    <row r="1337" ht="15.75" customHeight="1">
      <c r="H1337" s="37"/>
      <c r="I1337" s="38"/>
      <c r="J1337" s="37"/>
      <c r="N1337" s="37"/>
      <c r="Z1337" s="79"/>
    </row>
    <row r="1338" ht="15.75" customHeight="1">
      <c r="H1338" s="37"/>
      <c r="I1338" s="38"/>
      <c r="J1338" s="37"/>
      <c r="N1338" s="37"/>
      <c r="Z1338" s="79"/>
    </row>
    <row r="1339" ht="15.75" customHeight="1">
      <c r="H1339" s="37"/>
      <c r="I1339" s="38"/>
      <c r="J1339" s="37"/>
      <c r="N1339" s="37"/>
      <c r="Z1339" s="79"/>
    </row>
    <row r="1340" ht="15.75" customHeight="1">
      <c r="H1340" s="37"/>
      <c r="I1340" s="38"/>
      <c r="J1340" s="37"/>
      <c r="N1340" s="37"/>
      <c r="Z1340" s="79"/>
    </row>
    <row r="1341" ht="15.75" customHeight="1">
      <c r="H1341" s="37"/>
      <c r="I1341" s="38"/>
      <c r="J1341" s="37"/>
      <c r="N1341" s="37"/>
      <c r="Z1341" s="79"/>
    </row>
    <row r="1342" ht="15.75" customHeight="1">
      <c r="H1342" s="37"/>
      <c r="I1342" s="38"/>
      <c r="J1342" s="37"/>
      <c r="N1342" s="37"/>
      <c r="Z1342" s="79"/>
    </row>
    <row r="1343" ht="15.75" customHeight="1">
      <c r="H1343" s="37"/>
      <c r="I1343" s="38"/>
      <c r="J1343" s="37"/>
      <c r="N1343" s="37"/>
      <c r="Z1343" s="79"/>
    </row>
    <row r="1344" ht="15.75" customHeight="1">
      <c r="H1344" s="37"/>
      <c r="I1344" s="38"/>
      <c r="J1344" s="37"/>
      <c r="N1344" s="37"/>
      <c r="Z1344" s="79"/>
    </row>
    <row r="1345" ht="15.75" customHeight="1">
      <c r="H1345" s="37"/>
      <c r="I1345" s="38"/>
      <c r="J1345" s="37"/>
      <c r="N1345" s="37"/>
      <c r="Z1345" s="79"/>
    </row>
    <row r="1346" ht="15.75" customHeight="1">
      <c r="H1346" s="37"/>
      <c r="I1346" s="38"/>
      <c r="J1346" s="37"/>
      <c r="N1346" s="37"/>
      <c r="Z1346" s="79"/>
    </row>
    <row r="1347" ht="15.75" customHeight="1">
      <c r="H1347" s="37"/>
      <c r="I1347" s="38"/>
      <c r="J1347" s="37"/>
      <c r="N1347" s="37"/>
      <c r="Z1347" s="79"/>
    </row>
    <row r="1348" ht="15.75" customHeight="1">
      <c r="H1348" s="37"/>
      <c r="I1348" s="38"/>
      <c r="J1348" s="37"/>
      <c r="N1348" s="37"/>
      <c r="Z1348" s="79"/>
    </row>
    <row r="1349" ht="15.75" customHeight="1">
      <c r="H1349" s="37"/>
      <c r="I1349" s="38"/>
      <c r="J1349" s="37"/>
      <c r="N1349" s="37"/>
      <c r="Z1349" s="79"/>
    </row>
    <row r="1350" ht="15.75" customHeight="1">
      <c r="H1350" s="37"/>
      <c r="I1350" s="38"/>
      <c r="J1350" s="37"/>
      <c r="N1350" s="37"/>
      <c r="Z1350" s="79"/>
    </row>
    <row r="1351" ht="15.75" customHeight="1">
      <c r="H1351" s="37"/>
      <c r="I1351" s="38"/>
      <c r="J1351" s="37"/>
      <c r="N1351" s="37"/>
      <c r="Z1351" s="79"/>
    </row>
    <row r="1352" ht="15.75" customHeight="1">
      <c r="H1352" s="37"/>
      <c r="I1352" s="38"/>
      <c r="J1352" s="37"/>
      <c r="N1352" s="37"/>
      <c r="Z1352" s="79"/>
    </row>
    <row r="1353" ht="15.75" customHeight="1">
      <c r="H1353" s="37"/>
      <c r="I1353" s="38"/>
      <c r="J1353" s="37"/>
      <c r="N1353" s="37"/>
      <c r="Z1353" s="79"/>
    </row>
    <row r="1354" ht="15.75" customHeight="1">
      <c r="H1354" s="37"/>
      <c r="I1354" s="38"/>
      <c r="J1354" s="37"/>
      <c r="N1354" s="37"/>
      <c r="Z1354" s="79"/>
    </row>
    <row r="1355" ht="15.75" customHeight="1">
      <c r="H1355" s="37"/>
      <c r="I1355" s="38"/>
      <c r="J1355" s="37"/>
      <c r="N1355" s="37"/>
      <c r="Z1355" s="79"/>
    </row>
    <row r="1356" ht="15.75" customHeight="1">
      <c r="H1356" s="37"/>
      <c r="I1356" s="38"/>
      <c r="J1356" s="37"/>
      <c r="N1356" s="37"/>
      <c r="Z1356" s="79"/>
    </row>
    <row r="1357" ht="15.75" customHeight="1">
      <c r="H1357" s="37"/>
      <c r="I1357" s="38"/>
      <c r="J1357" s="37"/>
      <c r="N1357" s="37"/>
      <c r="Z1357" s="79"/>
    </row>
    <row r="1358" ht="15.75" customHeight="1">
      <c r="H1358" s="37"/>
      <c r="I1358" s="38"/>
      <c r="J1358" s="37"/>
      <c r="N1358" s="37"/>
      <c r="Z1358" s="79"/>
    </row>
    <row r="1359" ht="15.75" customHeight="1">
      <c r="H1359" s="37"/>
      <c r="I1359" s="38"/>
      <c r="J1359" s="37"/>
      <c r="N1359" s="37"/>
      <c r="Z1359" s="79"/>
    </row>
    <row r="1360" ht="15.75" customHeight="1">
      <c r="H1360" s="37"/>
      <c r="I1360" s="38"/>
      <c r="J1360" s="37"/>
      <c r="N1360" s="37"/>
      <c r="Z1360" s="79"/>
    </row>
    <row r="1361" ht="15.75" customHeight="1">
      <c r="H1361" s="37"/>
      <c r="I1361" s="38"/>
      <c r="J1361" s="37"/>
      <c r="N1361" s="37"/>
      <c r="Z1361" s="79"/>
    </row>
    <row r="1362" ht="15.75" customHeight="1">
      <c r="H1362" s="37"/>
      <c r="I1362" s="38"/>
      <c r="J1362" s="37"/>
      <c r="N1362" s="37"/>
      <c r="Z1362" s="79"/>
    </row>
    <row r="1363" ht="15.75" customHeight="1">
      <c r="H1363" s="37"/>
      <c r="I1363" s="38"/>
      <c r="J1363" s="37"/>
      <c r="N1363" s="37"/>
      <c r="Z1363" s="79"/>
    </row>
    <row r="1364" ht="15.75" customHeight="1">
      <c r="H1364" s="37"/>
      <c r="I1364" s="38"/>
      <c r="J1364" s="37"/>
      <c r="N1364" s="37"/>
      <c r="Z1364" s="79"/>
    </row>
    <row r="1365" ht="15.75" customHeight="1">
      <c r="H1365" s="37"/>
      <c r="I1365" s="38"/>
      <c r="J1365" s="37"/>
      <c r="N1365" s="37"/>
      <c r="Z1365" s="79"/>
    </row>
    <row r="1366" ht="15.75" customHeight="1">
      <c r="H1366" s="37"/>
      <c r="I1366" s="38"/>
      <c r="J1366" s="37"/>
      <c r="N1366" s="37"/>
      <c r="Z1366" s="79"/>
    </row>
    <row r="1367" ht="15.75" customHeight="1">
      <c r="H1367" s="37"/>
      <c r="I1367" s="38"/>
      <c r="J1367" s="37"/>
      <c r="N1367" s="37"/>
      <c r="Z1367" s="79"/>
    </row>
    <row r="1368" ht="15.75" customHeight="1">
      <c r="H1368" s="37"/>
      <c r="I1368" s="38"/>
      <c r="J1368" s="37"/>
      <c r="N1368" s="37"/>
      <c r="Z1368" s="79"/>
    </row>
    <row r="1369" ht="15.75" customHeight="1">
      <c r="H1369" s="37"/>
      <c r="I1369" s="38"/>
      <c r="J1369" s="37"/>
      <c r="N1369" s="37"/>
      <c r="Z1369" s="79"/>
    </row>
    <row r="1370" ht="15.75" customHeight="1">
      <c r="H1370" s="37"/>
      <c r="I1370" s="38"/>
      <c r="J1370" s="37"/>
      <c r="N1370" s="37"/>
      <c r="Z1370" s="79"/>
    </row>
    <row r="1371" ht="15.75" customHeight="1">
      <c r="H1371" s="37"/>
      <c r="I1371" s="38"/>
      <c r="J1371" s="37"/>
      <c r="N1371" s="37"/>
      <c r="Z1371" s="79"/>
    </row>
    <row r="1372" ht="15.75" customHeight="1">
      <c r="H1372" s="37"/>
      <c r="I1372" s="38"/>
      <c r="J1372" s="37"/>
      <c r="N1372" s="37"/>
      <c r="Z1372" s="79"/>
    </row>
    <row r="1373" ht="15.75" customHeight="1">
      <c r="H1373" s="37"/>
      <c r="I1373" s="38"/>
      <c r="J1373" s="37"/>
      <c r="N1373" s="37"/>
      <c r="Z1373" s="79"/>
    </row>
    <row r="1374" ht="15.75" customHeight="1">
      <c r="H1374" s="37"/>
      <c r="I1374" s="38"/>
      <c r="J1374" s="37"/>
      <c r="N1374" s="37"/>
      <c r="Z1374" s="79"/>
    </row>
    <row r="1375" ht="15.75" customHeight="1">
      <c r="H1375" s="37"/>
      <c r="I1375" s="38"/>
      <c r="J1375" s="37"/>
      <c r="N1375" s="37"/>
      <c r="Z1375" s="79"/>
    </row>
    <row r="1376" ht="15.75" customHeight="1">
      <c r="H1376" s="37"/>
      <c r="I1376" s="38"/>
      <c r="J1376" s="37"/>
      <c r="N1376" s="37"/>
      <c r="Z1376" s="79"/>
    </row>
    <row r="1377" ht="15.75" customHeight="1">
      <c r="H1377" s="37"/>
      <c r="I1377" s="38"/>
      <c r="J1377" s="37"/>
      <c r="N1377" s="37"/>
      <c r="Z1377" s="79"/>
    </row>
    <row r="1378" ht="15.75" customHeight="1">
      <c r="H1378" s="37"/>
      <c r="I1378" s="38"/>
      <c r="J1378" s="37"/>
      <c r="N1378" s="37"/>
      <c r="Z1378" s="79"/>
    </row>
    <row r="1379" ht="15.75" customHeight="1">
      <c r="H1379" s="37"/>
      <c r="I1379" s="38"/>
      <c r="J1379" s="37"/>
      <c r="N1379" s="37"/>
      <c r="Z1379" s="79"/>
    </row>
    <row r="1380" ht="15.75" customHeight="1">
      <c r="H1380" s="37"/>
      <c r="I1380" s="38"/>
      <c r="J1380" s="37"/>
      <c r="N1380" s="37"/>
      <c r="Z1380" s="79"/>
    </row>
    <row r="1381" ht="15.75" customHeight="1">
      <c r="H1381" s="37"/>
      <c r="I1381" s="38"/>
      <c r="J1381" s="37"/>
      <c r="N1381" s="37"/>
      <c r="Z1381" s="79"/>
    </row>
    <row r="1382" ht="15.75" customHeight="1">
      <c r="H1382" s="37"/>
      <c r="I1382" s="38"/>
      <c r="J1382" s="37"/>
      <c r="N1382" s="37"/>
      <c r="Z1382" s="79"/>
    </row>
    <row r="1383" ht="15.75" customHeight="1">
      <c r="H1383" s="37"/>
      <c r="I1383" s="38"/>
      <c r="J1383" s="37"/>
      <c r="N1383" s="37"/>
      <c r="Z1383" s="79"/>
    </row>
    <row r="1384" ht="15.75" customHeight="1">
      <c r="H1384" s="37"/>
      <c r="I1384" s="38"/>
      <c r="J1384" s="37"/>
      <c r="N1384" s="37"/>
      <c r="Z1384" s="79"/>
    </row>
    <row r="1385" ht="15.75" customHeight="1">
      <c r="H1385" s="37"/>
      <c r="I1385" s="38"/>
      <c r="J1385" s="37"/>
      <c r="N1385" s="37"/>
      <c r="Z1385" s="79"/>
    </row>
    <row r="1386" ht="15.75" customHeight="1">
      <c r="H1386" s="37"/>
      <c r="I1386" s="38"/>
      <c r="J1386" s="37"/>
      <c r="N1386" s="37"/>
      <c r="Z1386" s="79"/>
    </row>
    <row r="1387" ht="15.75" customHeight="1">
      <c r="H1387" s="37"/>
      <c r="I1387" s="38"/>
      <c r="J1387" s="37"/>
      <c r="N1387" s="37"/>
      <c r="Z1387" s="79"/>
    </row>
    <row r="1388" ht="15.75" customHeight="1">
      <c r="H1388" s="37"/>
      <c r="I1388" s="38"/>
      <c r="J1388" s="37"/>
      <c r="N1388" s="37"/>
      <c r="Z1388" s="79"/>
    </row>
    <row r="1389" ht="15.75" customHeight="1">
      <c r="H1389" s="37"/>
      <c r="I1389" s="38"/>
      <c r="J1389" s="37"/>
      <c r="N1389" s="37"/>
      <c r="Z1389" s="79"/>
    </row>
    <row r="1390" ht="15.75" customHeight="1">
      <c r="H1390" s="37"/>
      <c r="I1390" s="38"/>
      <c r="J1390" s="37"/>
      <c r="N1390" s="37"/>
      <c r="Z1390" s="79"/>
    </row>
    <row r="1391" ht="15.75" customHeight="1">
      <c r="H1391" s="37"/>
      <c r="I1391" s="38"/>
      <c r="J1391" s="37"/>
      <c r="N1391" s="37"/>
      <c r="Z1391" s="79"/>
    </row>
    <row r="1392" ht="15.75" customHeight="1">
      <c r="H1392" s="37"/>
      <c r="I1392" s="38"/>
      <c r="J1392" s="37"/>
      <c r="N1392" s="37"/>
      <c r="Z1392" s="79"/>
    </row>
    <row r="1393" ht="15.75" customHeight="1">
      <c r="H1393" s="37"/>
      <c r="I1393" s="38"/>
      <c r="J1393" s="37"/>
      <c r="N1393" s="37"/>
      <c r="Z1393" s="79"/>
    </row>
    <row r="1394" ht="15.75" customHeight="1">
      <c r="H1394" s="37"/>
      <c r="I1394" s="38"/>
      <c r="J1394" s="37"/>
      <c r="N1394" s="37"/>
      <c r="Z1394" s="79"/>
    </row>
    <row r="1395" ht="15.75" customHeight="1">
      <c r="H1395" s="37"/>
      <c r="I1395" s="38"/>
      <c r="J1395" s="37"/>
      <c r="N1395" s="37"/>
      <c r="Z1395" s="79"/>
    </row>
    <row r="1396" ht="15.75" customHeight="1">
      <c r="H1396" s="37"/>
      <c r="I1396" s="38"/>
      <c r="J1396" s="37"/>
      <c r="N1396" s="37"/>
      <c r="Z1396" s="79"/>
    </row>
    <row r="1397" ht="15.75" customHeight="1">
      <c r="H1397" s="37"/>
      <c r="I1397" s="38"/>
      <c r="J1397" s="37"/>
      <c r="N1397" s="37"/>
      <c r="Z1397" s="79"/>
    </row>
    <row r="1398" ht="15.75" customHeight="1">
      <c r="H1398" s="37"/>
      <c r="I1398" s="38"/>
      <c r="J1398" s="37"/>
      <c r="N1398" s="37"/>
      <c r="Z1398" s="79"/>
    </row>
    <row r="1399" ht="15.75" customHeight="1">
      <c r="H1399" s="37"/>
      <c r="I1399" s="38"/>
      <c r="J1399" s="37"/>
      <c r="N1399" s="37"/>
      <c r="Z1399" s="79"/>
    </row>
    <row r="1400" ht="15.75" customHeight="1">
      <c r="H1400" s="37"/>
      <c r="I1400" s="38"/>
      <c r="J1400" s="37"/>
      <c r="N1400" s="37"/>
      <c r="Z1400" s="79"/>
    </row>
    <row r="1401" ht="15.75" customHeight="1">
      <c r="H1401" s="37"/>
      <c r="I1401" s="38"/>
      <c r="J1401" s="37"/>
      <c r="N1401" s="37"/>
      <c r="Z1401" s="79"/>
    </row>
    <row r="1402" ht="15.75" customHeight="1">
      <c r="H1402" s="37"/>
      <c r="I1402" s="38"/>
      <c r="J1402" s="37"/>
      <c r="N1402" s="37"/>
      <c r="Z1402" s="79"/>
    </row>
    <row r="1403" ht="15.75" customHeight="1">
      <c r="H1403" s="37"/>
      <c r="I1403" s="38"/>
      <c r="J1403" s="37"/>
      <c r="N1403" s="37"/>
      <c r="Z1403" s="79"/>
    </row>
    <row r="1404" ht="15.75" customHeight="1">
      <c r="H1404" s="37"/>
      <c r="I1404" s="38"/>
      <c r="J1404" s="37"/>
      <c r="N1404" s="37"/>
      <c r="Z1404" s="79"/>
    </row>
    <row r="1405" ht="15.75" customHeight="1">
      <c r="H1405" s="37"/>
      <c r="I1405" s="38"/>
      <c r="J1405" s="37"/>
      <c r="N1405" s="37"/>
      <c r="Z1405" s="79"/>
    </row>
    <row r="1406" ht="15.75" customHeight="1">
      <c r="H1406" s="37"/>
      <c r="I1406" s="38"/>
      <c r="J1406" s="37"/>
      <c r="N1406" s="37"/>
      <c r="Z1406" s="79"/>
    </row>
    <row r="1407" ht="15.75" customHeight="1">
      <c r="H1407" s="37"/>
      <c r="I1407" s="38"/>
      <c r="J1407" s="37"/>
      <c r="N1407" s="37"/>
      <c r="Z1407" s="79"/>
    </row>
    <row r="1408" ht="15.75" customHeight="1">
      <c r="H1408" s="37"/>
      <c r="I1408" s="38"/>
      <c r="J1408" s="37"/>
      <c r="N1408" s="37"/>
      <c r="Z1408" s="79"/>
    </row>
    <row r="1409" ht="15.75" customHeight="1">
      <c r="H1409" s="37"/>
      <c r="I1409" s="38"/>
      <c r="J1409" s="37"/>
      <c r="N1409" s="37"/>
      <c r="Z1409" s="79"/>
    </row>
    <row r="1410" ht="15.75" customHeight="1">
      <c r="H1410" s="37"/>
      <c r="I1410" s="38"/>
      <c r="J1410" s="37"/>
      <c r="N1410" s="37"/>
      <c r="Z1410" s="79"/>
    </row>
    <row r="1411" ht="15.75" customHeight="1">
      <c r="H1411" s="37"/>
      <c r="I1411" s="38"/>
      <c r="J1411" s="37"/>
      <c r="N1411" s="37"/>
      <c r="Z1411" s="79"/>
    </row>
    <row r="1412" ht="15.75" customHeight="1">
      <c r="H1412" s="37"/>
      <c r="I1412" s="38"/>
      <c r="J1412" s="37"/>
      <c r="N1412" s="37"/>
      <c r="Z1412" s="79"/>
    </row>
    <row r="1413" ht="15.75" customHeight="1">
      <c r="H1413" s="37"/>
      <c r="I1413" s="38"/>
      <c r="J1413" s="37"/>
      <c r="N1413" s="37"/>
      <c r="Z1413" s="79"/>
    </row>
    <row r="1414" ht="15.75" customHeight="1">
      <c r="H1414" s="37"/>
      <c r="I1414" s="38"/>
      <c r="J1414" s="37"/>
      <c r="N1414" s="37"/>
      <c r="Z1414" s="79"/>
    </row>
    <row r="1415" ht="15.75" customHeight="1">
      <c r="H1415" s="37"/>
      <c r="I1415" s="38"/>
      <c r="J1415" s="37"/>
      <c r="N1415" s="37"/>
      <c r="Z1415" s="79"/>
    </row>
    <row r="1416" ht="15.75" customHeight="1">
      <c r="H1416" s="37"/>
      <c r="I1416" s="38"/>
      <c r="J1416" s="37"/>
      <c r="N1416" s="37"/>
      <c r="Z1416" s="79"/>
    </row>
  </sheetData>
  <autoFilter ref="$A$6:$AD$708">
    <filterColumn colId="3">
      <filters blank="1">
        <filter val="HCSN"/>
        <filter val="-"/>
      </filters>
    </filterColumn>
  </autoFilter>
  <mergeCells count="14">
    <mergeCell ref="P4:P5"/>
    <mergeCell ref="Q4:Q5"/>
    <mergeCell ref="Y4:Y5"/>
    <mergeCell ref="Z4:Z5"/>
    <mergeCell ref="AA4:AA5"/>
    <mergeCell ref="AB4:AB5"/>
    <mergeCell ref="A4:B4"/>
    <mergeCell ref="C4:D4"/>
    <mergeCell ref="E4:F4"/>
    <mergeCell ref="G4:H4"/>
    <mergeCell ref="I4:J4"/>
    <mergeCell ref="K4:L4"/>
    <mergeCell ref="M4:N4"/>
    <mergeCell ref="A16:C16"/>
  </mergeCells>
  <conditionalFormatting sqref="M4:N4">
    <cfRule type="colorScale" priority="1">
      <colorScale>
        <cfvo type="min"/>
        <cfvo type="max"/>
        <color rgb="FF57BB8A"/>
        <color rgb="FFFFFFFF"/>
      </colorScale>
    </cfRule>
  </conditionalFormatting>
  <conditionalFormatting sqref="P1">
    <cfRule type="expression" dxfId="1" priority="2">
      <formula>countif(P1:P2146,P1)&gt;1</formula>
    </cfRule>
  </conditionalFormatting>
  <conditionalFormatting sqref="P1:P1144">
    <cfRule type="expression" dxfId="1" priority="3">
      <formula>countif(P1:P1144,P1)&gt;1</formula>
    </cfRule>
  </conditionalFormatting>
  <hyperlinks>
    <hyperlink r:id="rId2" ref="Z122"/>
    <hyperlink r:id="rId3" ref="Z141"/>
  </hyperlinks>
  <printOptions/>
  <pageMargins bottom="0.75" footer="0.0" header="0.0" left="0.7" right="0.7" top="0.75"/>
  <pageSetup orientation="landscape"/>
  <drawing r:id="rId4"/>
  <legacyDrawing r:id="rId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FF"/>
    <pageSetUpPr/>
  </sheetPr>
  <sheetViews>
    <sheetView showGridLines="0" workbookViewId="0">
      <pane xSplit="16.0" ySplit="5.0" topLeftCell="Q6" activePane="bottomRight" state="frozen"/>
      <selection activeCell="Q1" sqref="Q1" pane="topRight"/>
      <selection activeCell="A6" sqref="A6" pane="bottomLeft"/>
      <selection activeCell="Q6" sqref="Q6" pane="bottomRight"/>
    </sheetView>
  </sheetViews>
  <sheetFormatPr customHeight="1" defaultColWidth="11.22" defaultRowHeight="15.0" outlineLevelRow="1"/>
  <cols>
    <col customWidth="1" min="1" max="1" width="3.78"/>
    <col customWidth="1" min="2" max="2" width="12.56"/>
    <col customWidth="1" min="3" max="3" width="4.11"/>
    <col customWidth="1" min="4" max="4" width="12.33"/>
    <col customWidth="1" min="5" max="5" width="5.0"/>
    <col customWidth="1" min="6" max="6" width="16.22"/>
    <col customWidth="1" min="7" max="7" width="4.0"/>
    <col customWidth="1" min="8" max="8" width="33.0"/>
    <col customWidth="1" min="9" max="9" width="3.78"/>
    <col customWidth="1" min="10" max="10" width="23.0"/>
    <col customWidth="1" min="11" max="11" width="3.56"/>
    <col customWidth="1" min="12" max="12" width="23.56"/>
    <col customWidth="1" min="13" max="13" width="3.56"/>
    <col customWidth="1" min="14" max="14" width="18.56"/>
    <col customWidth="1" hidden="1" min="15" max="15" width="14.22"/>
    <col customWidth="1" min="16" max="16" width="16.0"/>
    <col customWidth="1" min="17" max="17" width="4.78"/>
    <col customWidth="1" min="18" max="18" width="11.33"/>
    <col customWidth="1" min="19" max="19" width="15.22"/>
    <col customWidth="1" min="20" max="20" width="17.22"/>
    <col customWidth="1" min="21" max="21" width="24.56"/>
    <col customWidth="1" min="22" max="22" width="24.78"/>
    <col customWidth="1" min="23" max="23" width="26.11"/>
    <col customWidth="1" min="24" max="24" width="25.22"/>
    <col customWidth="1" min="25" max="25" width="16.22"/>
    <col customWidth="1" min="26" max="26" width="21.33"/>
    <col customWidth="1" min="27" max="27" width="10.78"/>
    <col customWidth="1" min="28" max="28" width="11.11"/>
    <col customWidth="1" min="29" max="30" width="8.56"/>
  </cols>
  <sheetData>
    <row r="1" ht="15.75" customHeight="1">
      <c r="H1" s="37"/>
      <c r="I1" s="38"/>
      <c r="J1" s="37"/>
      <c r="N1" s="37"/>
      <c r="Z1" s="79"/>
    </row>
    <row r="2" ht="15.75" customHeight="1">
      <c r="A2" s="15" t="s">
        <v>10482</v>
      </c>
      <c r="H2" s="37"/>
      <c r="I2" s="38"/>
      <c r="J2" s="37"/>
      <c r="N2" s="37"/>
      <c r="T2" s="80" t="s">
        <v>10517</v>
      </c>
      <c r="Z2" s="79"/>
    </row>
    <row r="3" ht="15.75" customHeight="1">
      <c r="H3" s="37"/>
      <c r="I3" s="38"/>
      <c r="N3" s="37"/>
      <c r="Z3" s="79"/>
    </row>
    <row r="4" ht="25.5" customHeight="1">
      <c r="A4" s="39" t="s">
        <v>10483</v>
      </c>
      <c r="B4" s="40"/>
      <c r="C4" s="39" t="s">
        <v>10484</v>
      </c>
      <c r="D4" s="40"/>
      <c r="E4" s="39" t="s">
        <v>10485</v>
      </c>
      <c r="F4" s="40"/>
      <c r="G4" s="39" t="s">
        <v>10486</v>
      </c>
      <c r="H4" s="40"/>
      <c r="I4" s="39" t="s">
        <v>10487</v>
      </c>
      <c r="J4" s="40"/>
      <c r="K4" s="39" t="s">
        <v>10488</v>
      </c>
      <c r="L4" s="40"/>
      <c r="M4" s="39" t="s">
        <v>10489</v>
      </c>
      <c r="N4" s="40"/>
      <c r="O4" s="81" t="s">
        <v>10518</v>
      </c>
      <c r="P4" s="82" t="s">
        <v>10519</v>
      </c>
      <c r="Q4" s="83" t="s">
        <v>10520</v>
      </c>
      <c r="R4" s="84" t="s">
        <v>10521</v>
      </c>
      <c r="S4" s="84" t="s">
        <v>10522</v>
      </c>
      <c r="T4" s="85" t="s">
        <v>10491</v>
      </c>
      <c r="U4" s="86"/>
      <c r="V4" s="86"/>
      <c r="W4" s="86"/>
      <c r="X4" s="87"/>
      <c r="Y4" s="88" t="s">
        <v>10523</v>
      </c>
      <c r="Z4" s="89" t="s">
        <v>10524</v>
      </c>
      <c r="AA4" s="89" t="s">
        <v>10525</v>
      </c>
      <c r="AB4" s="90" t="s">
        <v>10526</v>
      </c>
      <c r="AC4" s="90" t="s">
        <v>11602</v>
      </c>
      <c r="AD4" s="91"/>
    </row>
    <row r="5" ht="15.75" customHeight="1">
      <c r="A5" s="42" t="s">
        <v>8</v>
      </c>
      <c r="B5" s="42" t="s">
        <v>9</v>
      </c>
      <c r="C5" s="42" t="s">
        <v>10</v>
      </c>
      <c r="D5" s="42" t="s">
        <v>11</v>
      </c>
      <c r="E5" s="42" t="s">
        <v>12</v>
      </c>
      <c r="F5" s="42" t="s">
        <v>13</v>
      </c>
      <c r="G5" s="42" t="s">
        <v>14</v>
      </c>
      <c r="H5" s="42" t="s">
        <v>15</v>
      </c>
      <c r="I5" s="42" t="s">
        <v>16</v>
      </c>
      <c r="J5" s="42" t="s">
        <v>17</v>
      </c>
      <c r="K5" s="42" t="s">
        <v>18</v>
      </c>
      <c r="L5" s="42" t="s">
        <v>19</v>
      </c>
      <c r="M5" s="42" t="s">
        <v>20</v>
      </c>
      <c r="N5" s="42" t="s">
        <v>21</v>
      </c>
      <c r="O5" s="92" t="s">
        <v>10492</v>
      </c>
      <c r="P5" s="93"/>
      <c r="Q5" s="93"/>
      <c r="R5" s="94"/>
      <c r="S5" s="94"/>
      <c r="T5" s="45" t="s">
        <v>10492</v>
      </c>
      <c r="U5" s="45" t="s">
        <v>242</v>
      </c>
      <c r="V5" s="45" t="s">
        <v>243</v>
      </c>
      <c r="W5" s="45" t="s">
        <v>244</v>
      </c>
      <c r="X5" s="45" t="s">
        <v>256</v>
      </c>
      <c r="Y5" s="93"/>
      <c r="Z5" s="93"/>
      <c r="AA5" s="93"/>
      <c r="AB5" s="93"/>
      <c r="AC5" s="93"/>
      <c r="AD5" s="91"/>
    </row>
    <row r="6" ht="15.75" customHeight="1">
      <c r="A6" s="46"/>
      <c r="B6" s="95"/>
      <c r="C6" s="47"/>
      <c r="D6" s="47"/>
      <c r="E6" s="47"/>
      <c r="F6" s="47"/>
      <c r="G6" s="48"/>
      <c r="H6" s="49"/>
      <c r="I6" s="48"/>
      <c r="J6" s="48"/>
      <c r="K6" s="48"/>
      <c r="L6" s="48"/>
      <c r="M6" s="48"/>
      <c r="N6" s="49"/>
      <c r="O6" s="48"/>
      <c r="P6" s="48"/>
      <c r="Q6" s="96"/>
      <c r="R6" s="96"/>
      <c r="S6" s="96"/>
      <c r="T6" s="97"/>
      <c r="U6" s="97"/>
      <c r="V6" s="96"/>
      <c r="W6" s="96"/>
      <c r="X6" s="96"/>
      <c r="Y6" s="96"/>
      <c r="Z6" s="98"/>
      <c r="AA6" s="99"/>
      <c r="AB6" s="91"/>
      <c r="AC6" s="91"/>
      <c r="AD6" s="91"/>
    </row>
    <row r="7" ht="22.5" customHeight="1">
      <c r="A7" s="46" t="s">
        <v>22</v>
      </c>
      <c r="B7" s="95" t="s">
        <v>10527</v>
      </c>
      <c r="C7" s="47"/>
      <c r="D7" s="47"/>
      <c r="E7" s="47"/>
      <c r="F7" s="47"/>
      <c r="G7" s="48"/>
      <c r="H7" s="49"/>
      <c r="I7" s="48"/>
      <c r="J7" s="48"/>
      <c r="K7" s="48"/>
      <c r="L7" s="48"/>
      <c r="M7" s="48"/>
      <c r="N7" s="49"/>
      <c r="O7" s="48"/>
      <c r="P7" s="48"/>
      <c r="Q7" s="96"/>
      <c r="R7" s="96"/>
      <c r="S7" s="96"/>
      <c r="T7" s="97" t="s">
        <v>10528</v>
      </c>
      <c r="U7" s="97" t="s">
        <v>10527</v>
      </c>
      <c r="V7" s="96"/>
      <c r="W7" s="96"/>
      <c r="X7" s="96"/>
      <c r="Y7" s="96"/>
      <c r="Z7" s="98" t="s">
        <v>10528</v>
      </c>
      <c r="AA7" s="99"/>
      <c r="AB7" s="91"/>
      <c r="AC7" s="91"/>
      <c r="AD7" s="91"/>
    </row>
    <row r="8" ht="15.75" customHeight="1" outlineLevel="1">
      <c r="A8" s="100" t="s">
        <v>10529</v>
      </c>
      <c r="B8" s="101" t="s">
        <v>206</v>
      </c>
      <c r="C8" s="101" t="s">
        <v>27</v>
      </c>
      <c r="D8" s="102" t="s">
        <v>4</v>
      </c>
      <c r="E8" s="103" t="s">
        <v>27</v>
      </c>
      <c r="F8" s="102" t="s">
        <v>4</v>
      </c>
      <c r="G8" s="102" t="s">
        <v>29</v>
      </c>
      <c r="H8" s="104" t="s">
        <v>220</v>
      </c>
      <c r="I8" s="103" t="s">
        <v>27</v>
      </c>
      <c r="J8" s="105" t="s">
        <v>4</v>
      </c>
      <c r="K8" s="103" t="s">
        <v>27</v>
      </c>
      <c r="L8" s="102" t="s">
        <v>4</v>
      </c>
      <c r="M8" s="106" t="s">
        <v>27</v>
      </c>
      <c r="N8" s="104"/>
      <c r="O8" s="107" t="str">
        <f t="shared" ref="O8:O15" si="1">A8&amp;"."&amp;C8&amp;"."&amp;E8&amp;"."&amp;G8&amp;"."&amp;I8&amp;"."&amp;K8</f>
        <v>L4.00.00.01.00.00</v>
      </c>
      <c r="P8" s="107" t="str">
        <f t="shared" ref="P8:P15" si="2">A8&amp;"."&amp;C8&amp;"."&amp;E8&amp;"."&amp;G8&amp;"."&amp;I8&amp;"."&amp;K8&amp;"."&amp;M8</f>
        <v>L4.00.00.01.00.00.00</v>
      </c>
      <c r="Q8" s="108" t="s">
        <v>10530</v>
      </c>
      <c r="R8" s="109" t="str">
        <f t="shared" ref="R8:R15" si="3">if(L8&lt;&gt;"-",L8,if(AND(L8="-",J8&lt;&gt;"-"),J8,if(AND(J8="-",H8&lt;&gt;"-"),H8,"NA")))</f>
        <v>Hội đồng quản trị</v>
      </c>
      <c r="S8" s="110" t="s">
        <v>22</v>
      </c>
      <c r="T8" s="111" t="s">
        <v>7220</v>
      </c>
      <c r="U8" s="111" t="s">
        <v>303</v>
      </c>
      <c r="V8" s="111" t="s">
        <v>7219</v>
      </c>
      <c r="W8" s="111"/>
      <c r="X8" s="111"/>
      <c r="Y8" s="111"/>
      <c r="Z8" s="112" t="s">
        <v>10531</v>
      </c>
      <c r="AA8" s="113" t="s">
        <v>10530</v>
      </c>
      <c r="AB8" s="114"/>
      <c r="AC8" s="114"/>
      <c r="AD8" s="114"/>
    </row>
    <row r="9" ht="15.75" customHeight="1" outlineLevel="1">
      <c r="A9" s="115" t="s">
        <v>10529</v>
      </c>
      <c r="B9" s="116" t="s">
        <v>206</v>
      </c>
      <c r="C9" s="116" t="s">
        <v>27</v>
      </c>
      <c r="D9" s="117" t="s">
        <v>4</v>
      </c>
      <c r="E9" s="118" t="s">
        <v>27</v>
      </c>
      <c r="F9" s="117" t="s">
        <v>4</v>
      </c>
      <c r="G9" s="117" t="s">
        <v>29</v>
      </c>
      <c r="H9" s="119" t="s">
        <v>220</v>
      </c>
      <c r="I9" s="118" t="s">
        <v>27</v>
      </c>
      <c r="J9" s="120" t="s">
        <v>4</v>
      </c>
      <c r="K9" s="121" t="s">
        <v>27</v>
      </c>
      <c r="L9" s="122" t="s">
        <v>4</v>
      </c>
      <c r="M9" s="122" t="s">
        <v>44</v>
      </c>
      <c r="N9" s="123" t="s">
        <v>10505</v>
      </c>
      <c r="O9" s="124" t="str">
        <f t="shared" si="1"/>
        <v>L4.00.00.01.00.00</v>
      </c>
      <c r="P9" s="124" t="str">
        <f t="shared" si="2"/>
        <v>L4.00.00.01.00.00.06</v>
      </c>
      <c r="Q9" s="125"/>
      <c r="R9" s="125" t="str">
        <f t="shared" si="3"/>
        <v>Hội đồng quản trị</v>
      </c>
      <c r="S9" s="126" t="s">
        <v>10532</v>
      </c>
      <c r="T9" s="127"/>
      <c r="U9" s="127"/>
      <c r="V9" s="127"/>
      <c r="W9" s="127"/>
      <c r="X9" s="127"/>
      <c r="Y9" s="127"/>
      <c r="Z9" s="128"/>
      <c r="AA9" s="129"/>
      <c r="AB9" s="130"/>
      <c r="AC9" s="130"/>
      <c r="AD9" s="130"/>
    </row>
    <row r="10" ht="15.75" customHeight="1" outlineLevel="1">
      <c r="A10" s="115" t="s">
        <v>10529</v>
      </c>
      <c r="B10" s="116" t="s">
        <v>206</v>
      </c>
      <c r="C10" s="116" t="s">
        <v>27</v>
      </c>
      <c r="D10" s="117" t="s">
        <v>4</v>
      </c>
      <c r="E10" s="118" t="s">
        <v>27</v>
      </c>
      <c r="F10" s="117" t="s">
        <v>4</v>
      </c>
      <c r="G10" s="117" t="s">
        <v>29</v>
      </c>
      <c r="H10" s="119" t="s">
        <v>220</v>
      </c>
      <c r="I10" s="118" t="s">
        <v>27</v>
      </c>
      <c r="J10" s="120" t="s">
        <v>4</v>
      </c>
      <c r="K10" s="121" t="s">
        <v>27</v>
      </c>
      <c r="L10" s="122" t="s">
        <v>4</v>
      </c>
      <c r="M10" s="122" t="s">
        <v>46</v>
      </c>
      <c r="N10" s="123" t="s">
        <v>10496</v>
      </c>
      <c r="O10" s="124" t="str">
        <f t="shared" si="1"/>
        <v>L4.00.00.01.00.00</v>
      </c>
      <c r="P10" s="124" t="str">
        <f t="shared" si="2"/>
        <v>L4.00.00.01.00.00.07</v>
      </c>
      <c r="Q10" s="125"/>
      <c r="R10" s="125" t="str">
        <f t="shared" si="3"/>
        <v>Hội đồng quản trị</v>
      </c>
      <c r="S10" s="126" t="s">
        <v>10532</v>
      </c>
      <c r="T10" s="127"/>
      <c r="U10" s="127"/>
      <c r="V10" s="127"/>
      <c r="W10" s="127"/>
      <c r="X10" s="127"/>
      <c r="Y10" s="127"/>
      <c r="Z10" s="128"/>
      <c r="AA10" s="129"/>
      <c r="AB10" s="130"/>
      <c r="AC10" s="130"/>
      <c r="AD10" s="130"/>
    </row>
    <row r="11" ht="15.75" customHeight="1" outlineLevel="1">
      <c r="A11" s="115" t="s">
        <v>10529</v>
      </c>
      <c r="B11" s="116" t="s">
        <v>206</v>
      </c>
      <c r="C11" s="116" t="s">
        <v>27</v>
      </c>
      <c r="D11" s="117" t="s">
        <v>4</v>
      </c>
      <c r="E11" s="118" t="s">
        <v>27</v>
      </c>
      <c r="F11" s="117" t="s">
        <v>4</v>
      </c>
      <c r="G11" s="117" t="s">
        <v>29</v>
      </c>
      <c r="H11" s="119" t="s">
        <v>220</v>
      </c>
      <c r="I11" s="118" t="s">
        <v>27</v>
      </c>
      <c r="J11" s="120" t="s">
        <v>4</v>
      </c>
      <c r="K11" s="121" t="s">
        <v>27</v>
      </c>
      <c r="L11" s="122" t="s">
        <v>4</v>
      </c>
      <c r="M11" s="122" t="s">
        <v>33</v>
      </c>
      <c r="N11" s="123" t="s">
        <v>10499</v>
      </c>
      <c r="O11" s="124" t="str">
        <f t="shared" si="1"/>
        <v>L4.00.00.01.00.00</v>
      </c>
      <c r="P11" s="124" t="str">
        <f t="shared" si="2"/>
        <v>L4.00.00.01.00.00.02</v>
      </c>
      <c r="Q11" s="125"/>
      <c r="R11" s="125" t="str">
        <f t="shared" si="3"/>
        <v>Hội đồng quản trị</v>
      </c>
      <c r="S11" s="126" t="s">
        <v>10532</v>
      </c>
      <c r="T11" s="127"/>
      <c r="U11" s="127"/>
      <c r="V11" s="127"/>
      <c r="W11" s="127"/>
      <c r="X11" s="127"/>
      <c r="Y11" s="127"/>
      <c r="Z11" s="128"/>
      <c r="AA11" s="129"/>
      <c r="AB11" s="130"/>
      <c r="AC11" s="130"/>
      <c r="AD11" s="130"/>
    </row>
    <row r="12" ht="15.75" customHeight="1" outlineLevel="1">
      <c r="A12" s="131" t="s">
        <v>10529</v>
      </c>
      <c r="B12" s="132" t="s">
        <v>206</v>
      </c>
      <c r="C12" s="132" t="s">
        <v>27</v>
      </c>
      <c r="D12" s="133" t="s">
        <v>4</v>
      </c>
      <c r="E12" s="134" t="s">
        <v>27</v>
      </c>
      <c r="F12" s="133" t="s">
        <v>4</v>
      </c>
      <c r="G12" s="133" t="s">
        <v>33</v>
      </c>
      <c r="H12" s="135" t="s">
        <v>221</v>
      </c>
      <c r="I12" s="134" t="s">
        <v>27</v>
      </c>
      <c r="J12" s="105" t="s">
        <v>4</v>
      </c>
      <c r="K12" s="103" t="s">
        <v>27</v>
      </c>
      <c r="L12" s="102" t="s">
        <v>4</v>
      </c>
      <c r="M12" s="106" t="s">
        <v>27</v>
      </c>
      <c r="N12" s="104"/>
      <c r="O12" s="136" t="str">
        <f t="shared" si="1"/>
        <v>L4.00.00.02.00.00</v>
      </c>
      <c r="P12" s="136" t="str">
        <f t="shared" si="2"/>
        <v>L4.00.00.02.00.00.00</v>
      </c>
      <c r="Q12" s="108" t="s">
        <v>10530</v>
      </c>
      <c r="R12" s="109" t="str">
        <f t="shared" si="3"/>
        <v>Ban điều hành</v>
      </c>
      <c r="S12" s="110" t="s">
        <v>22</v>
      </c>
      <c r="T12" s="562" t="s">
        <v>11603</v>
      </c>
      <c r="U12" s="111" t="s">
        <v>303</v>
      </c>
      <c r="V12" s="111" t="s">
        <v>221</v>
      </c>
      <c r="W12" s="111"/>
      <c r="X12" s="111"/>
      <c r="Y12" s="111"/>
      <c r="Z12" s="112" t="s">
        <v>10533</v>
      </c>
      <c r="AA12" s="113" t="s">
        <v>10530</v>
      </c>
      <c r="AB12" s="114"/>
      <c r="AC12" s="114"/>
      <c r="AD12" s="114"/>
    </row>
    <row r="13" ht="15.75" customHeight="1" outlineLevel="1">
      <c r="A13" s="137" t="s">
        <v>10529</v>
      </c>
      <c r="B13" s="138" t="s">
        <v>206</v>
      </c>
      <c r="C13" s="139" t="s">
        <v>27</v>
      </c>
      <c r="D13" s="140" t="s">
        <v>4</v>
      </c>
      <c r="E13" s="141" t="s">
        <v>27</v>
      </c>
      <c r="F13" s="140" t="s">
        <v>4</v>
      </c>
      <c r="G13" s="142" t="s">
        <v>33</v>
      </c>
      <c r="H13" s="143" t="s">
        <v>221</v>
      </c>
      <c r="I13" s="141" t="s">
        <v>27</v>
      </c>
      <c r="J13" s="144" t="s">
        <v>4</v>
      </c>
      <c r="K13" s="145" t="s">
        <v>27</v>
      </c>
      <c r="L13" s="146" t="s">
        <v>4</v>
      </c>
      <c r="M13" s="147" t="s">
        <v>44</v>
      </c>
      <c r="N13" s="148" t="s">
        <v>10505</v>
      </c>
      <c r="O13" s="149" t="str">
        <f t="shared" si="1"/>
        <v>L4.00.00.02.00.00</v>
      </c>
      <c r="P13" s="149" t="str">
        <f t="shared" si="2"/>
        <v>L4.00.00.02.00.00.06</v>
      </c>
      <c r="Q13" s="125"/>
      <c r="R13" s="125" t="str">
        <f t="shared" si="3"/>
        <v>Ban điều hành</v>
      </c>
      <c r="S13" s="126" t="s">
        <v>10534</v>
      </c>
      <c r="T13" s="127"/>
      <c r="U13" s="127"/>
      <c r="V13" s="127"/>
      <c r="W13" s="127"/>
      <c r="X13" s="127"/>
      <c r="Y13" s="127"/>
      <c r="Z13" s="128"/>
      <c r="AA13" s="129"/>
      <c r="AB13" s="130"/>
      <c r="AC13" s="130"/>
      <c r="AD13" s="130"/>
    </row>
    <row r="14" ht="15.75" customHeight="1" outlineLevel="1">
      <c r="A14" s="137" t="s">
        <v>10529</v>
      </c>
      <c r="B14" s="138" t="s">
        <v>206</v>
      </c>
      <c r="C14" s="139" t="s">
        <v>27</v>
      </c>
      <c r="D14" s="140" t="s">
        <v>4</v>
      </c>
      <c r="E14" s="141" t="s">
        <v>27</v>
      </c>
      <c r="F14" s="140" t="s">
        <v>4</v>
      </c>
      <c r="G14" s="142" t="s">
        <v>33</v>
      </c>
      <c r="H14" s="143" t="s">
        <v>221</v>
      </c>
      <c r="I14" s="141" t="s">
        <v>27</v>
      </c>
      <c r="J14" s="144" t="s">
        <v>4</v>
      </c>
      <c r="K14" s="145" t="s">
        <v>27</v>
      </c>
      <c r="L14" s="146" t="s">
        <v>4</v>
      </c>
      <c r="M14" s="147" t="s">
        <v>46</v>
      </c>
      <c r="N14" s="148" t="s">
        <v>10496</v>
      </c>
      <c r="O14" s="149" t="str">
        <f t="shared" si="1"/>
        <v>L4.00.00.02.00.00</v>
      </c>
      <c r="P14" s="149" t="str">
        <f t="shared" si="2"/>
        <v>L4.00.00.02.00.00.07</v>
      </c>
      <c r="Q14" s="125"/>
      <c r="R14" s="125" t="str">
        <f t="shared" si="3"/>
        <v>Ban điều hành</v>
      </c>
      <c r="S14" s="126" t="s">
        <v>10534</v>
      </c>
      <c r="T14" s="127"/>
      <c r="U14" s="127"/>
      <c r="V14" s="127"/>
      <c r="W14" s="127"/>
      <c r="X14" s="127"/>
      <c r="Y14" s="127"/>
      <c r="Z14" s="128"/>
      <c r="AA14" s="129"/>
      <c r="AB14" s="130"/>
      <c r="AC14" s="130"/>
      <c r="AD14" s="130"/>
    </row>
    <row r="15" ht="15.75" customHeight="1" outlineLevel="1">
      <c r="A15" s="137" t="s">
        <v>10529</v>
      </c>
      <c r="B15" s="138" t="s">
        <v>206</v>
      </c>
      <c r="C15" s="139" t="s">
        <v>27</v>
      </c>
      <c r="D15" s="140" t="s">
        <v>4</v>
      </c>
      <c r="E15" s="141" t="s">
        <v>27</v>
      </c>
      <c r="F15" s="140" t="s">
        <v>4</v>
      </c>
      <c r="G15" s="142" t="s">
        <v>33</v>
      </c>
      <c r="H15" s="143" t="s">
        <v>221</v>
      </c>
      <c r="I15" s="141" t="s">
        <v>27</v>
      </c>
      <c r="J15" s="144" t="s">
        <v>4</v>
      </c>
      <c r="K15" s="145" t="s">
        <v>27</v>
      </c>
      <c r="L15" s="146" t="s">
        <v>4</v>
      </c>
      <c r="M15" s="147" t="s">
        <v>33</v>
      </c>
      <c r="N15" s="148" t="s">
        <v>10499</v>
      </c>
      <c r="O15" s="149" t="str">
        <f t="shared" si="1"/>
        <v>L4.00.00.02.00.00</v>
      </c>
      <c r="P15" s="150" t="str">
        <f t="shared" si="2"/>
        <v>L4.00.00.02.00.00.02</v>
      </c>
      <c r="Q15" s="125"/>
      <c r="R15" s="125" t="str">
        <f t="shared" si="3"/>
        <v>Ban điều hành</v>
      </c>
      <c r="S15" s="126" t="s">
        <v>10534</v>
      </c>
      <c r="T15" s="127"/>
      <c r="U15" s="127"/>
      <c r="V15" s="127"/>
      <c r="W15" s="127"/>
      <c r="X15" s="127"/>
      <c r="Y15" s="127"/>
      <c r="Z15" s="128"/>
      <c r="AA15" s="129"/>
      <c r="AB15" s="130"/>
      <c r="AC15" s="130"/>
      <c r="AD15" s="130"/>
    </row>
    <row r="16" ht="15.75" customHeight="1">
      <c r="A16" s="151" t="s">
        <v>453</v>
      </c>
      <c r="B16" s="44"/>
      <c r="C16" s="40"/>
      <c r="D16" s="47"/>
      <c r="E16" s="47"/>
      <c r="F16" s="47"/>
      <c r="G16" s="48"/>
      <c r="H16" s="49"/>
      <c r="I16" s="48"/>
      <c r="J16" s="48"/>
      <c r="K16" s="48"/>
      <c r="L16" s="48"/>
      <c r="M16" s="48"/>
      <c r="N16" s="49"/>
      <c r="O16" s="49"/>
      <c r="P16" s="48"/>
      <c r="Q16" s="96"/>
      <c r="R16" s="96"/>
      <c r="S16" s="96"/>
      <c r="T16" s="96"/>
      <c r="U16" s="96"/>
      <c r="V16" s="96"/>
      <c r="W16" s="96"/>
      <c r="X16" s="96"/>
      <c r="Y16" s="96"/>
      <c r="Z16" s="152"/>
      <c r="AA16" s="153" t="s">
        <v>10530</v>
      </c>
      <c r="AB16" s="91"/>
      <c r="AC16" s="91"/>
      <c r="AD16" s="91"/>
    </row>
    <row r="17" ht="15.75" customHeight="1" outlineLevel="1">
      <c r="A17" s="154" t="s">
        <v>10535</v>
      </c>
      <c r="B17" s="154" t="s">
        <v>26</v>
      </c>
      <c r="C17" s="155" t="s">
        <v>27</v>
      </c>
      <c r="D17" s="156" t="s">
        <v>4</v>
      </c>
      <c r="E17" s="155" t="s">
        <v>27</v>
      </c>
      <c r="F17" s="156" t="s">
        <v>4</v>
      </c>
      <c r="G17" s="155" t="s">
        <v>27</v>
      </c>
      <c r="H17" s="156" t="s">
        <v>4</v>
      </c>
      <c r="I17" s="157" t="s">
        <v>27</v>
      </c>
      <c r="J17" s="156" t="s">
        <v>4</v>
      </c>
      <c r="K17" s="157" t="s">
        <v>27</v>
      </c>
      <c r="L17" s="156" t="s">
        <v>4</v>
      </c>
      <c r="M17" s="155" t="s">
        <v>46</v>
      </c>
      <c r="N17" s="158" t="s">
        <v>10496</v>
      </c>
      <c r="O17" s="55" t="str">
        <f t="shared" ref="O17:O284" si="4">A17&amp;"."&amp;C17&amp;"."&amp;E17&amp;"."&amp;G17&amp;"."&amp;I17&amp;"."&amp;K17</f>
        <v>L1.00.00.00.00.00</v>
      </c>
      <c r="P17" s="159" t="str">
        <f t="shared" ref="P17:P190" si="5">A17&amp;"."&amp;C17&amp;"."&amp;E17&amp;"."&amp;G17&amp;"."&amp;I17&amp;"."&amp;K17&amp;"."&amp;M17</f>
        <v>L1.00.00.00.00.00.07</v>
      </c>
      <c r="Q17" s="160" t="s">
        <v>10530</v>
      </c>
      <c r="R17" s="161" t="s">
        <v>453</v>
      </c>
      <c r="S17" s="162" t="s">
        <v>22</v>
      </c>
      <c r="T17" s="160" t="s">
        <v>25</v>
      </c>
      <c r="U17" s="160" t="s">
        <v>453</v>
      </c>
      <c r="V17" s="162"/>
      <c r="W17" s="163"/>
      <c r="X17" s="163"/>
      <c r="Y17" s="163"/>
      <c r="Z17" s="98" t="s">
        <v>26</v>
      </c>
      <c r="AA17" s="99"/>
      <c r="AB17" s="164"/>
      <c r="AC17" s="164"/>
      <c r="AD17" s="164"/>
    </row>
    <row r="18" ht="15.75" customHeight="1" outlineLevel="1">
      <c r="A18" s="154" t="s">
        <v>10535</v>
      </c>
      <c r="B18" s="165" t="s">
        <v>26</v>
      </c>
      <c r="C18" s="155" t="s">
        <v>27</v>
      </c>
      <c r="D18" s="155" t="s">
        <v>4</v>
      </c>
      <c r="E18" s="166" t="s">
        <v>27</v>
      </c>
      <c r="F18" s="155" t="s">
        <v>4</v>
      </c>
      <c r="G18" s="155" t="s">
        <v>29</v>
      </c>
      <c r="H18" s="167" t="s">
        <v>31</v>
      </c>
      <c r="I18" s="168" t="s">
        <v>27</v>
      </c>
      <c r="J18" s="156" t="s">
        <v>4</v>
      </c>
      <c r="K18" s="157" t="s">
        <v>27</v>
      </c>
      <c r="L18" s="156" t="s">
        <v>4</v>
      </c>
      <c r="M18" s="155" t="s">
        <v>46</v>
      </c>
      <c r="N18" s="158" t="s">
        <v>10496</v>
      </c>
      <c r="O18" s="55" t="str">
        <f t="shared" si="4"/>
        <v>L1.00.00.01.00.00</v>
      </c>
      <c r="P18" s="159" t="str">
        <f t="shared" si="5"/>
        <v>L1.00.00.01.00.00.07</v>
      </c>
      <c r="Q18" s="160" t="s">
        <v>10530</v>
      </c>
      <c r="R18" s="169" t="str">
        <f t="shared" ref="R18:R191" si="6">if(L18&lt;&gt;"-",L18,if(AND(L18="-",J18&lt;&gt;"-"),J18,if(AND(J18="-",H18&lt;&gt;"-"),H18,"NA")))</f>
        <v>Văn phòng sản xuất</v>
      </c>
      <c r="S18" s="162" t="s">
        <v>10536</v>
      </c>
      <c r="T18" s="160" t="s">
        <v>10537</v>
      </c>
      <c r="U18" s="162" t="s">
        <v>2717</v>
      </c>
      <c r="V18" s="162" t="s">
        <v>10538</v>
      </c>
      <c r="W18" s="163"/>
      <c r="X18" s="163"/>
      <c r="Y18" s="163"/>
      <c r="Z18" s="98" t="s">
        <v>10539</v>
      </c>
      <c r="AA18" s="153" t="s">
        <v>10530</v>
      </c>
      <c r="AB18" s="164"/>
      <c r="AC18" s="164"/>
      <c r="AD18" s="164"/>
    </row>
    <row r="19" ht="15.75" customHeight="1" outlineLevel="1">
      <c r="A19" s="170" t="s">
        <v>10535</v>
      </c>
      <c r="B19" s="51" t="s">
        <v>26</v>
      </c>
      <c r="C19" s="52" t="s">
        <v>27</v>
      </c>
      <c r="D19" s="52" t="s">
        <v>4</v>
      </c>
      <c r="E19" s="53" t="s">
        <v>27</v>
      </c>
      <c r="F19" s="52" t="s">
        <v>4</v>
      </c>
      <c r="G19" s="52" t="s">
        <v>29</v>
      </c>
      <c r="H19" s="171" t="s">
        <v>31</v>
      </c>
      <c r="I19" s="172" t="s">
        <v>29</v>
      </c>
      <c r="J19" s="173" t="s">
        <v>32</v>
      </c>
      <c r="K19" s="172" t="s">
        <v>27</v>
      </c>
      <c r="L19" s="174" t="s">
        <v>4</v>
      </c>
      <c r="M19" s="52" t="s">
        <v>46</v>
      </c>
      <c r="N19" s="54" t="s">
        <v>10496</v>
      </c>
      <c r="O19" s="55" t="str">
        <f t="shared" si="4"/>
        <v>L1.00.00.01.01.00</v>
      </c>
      <c r="P19" s="55" t="str">
        <f t="shared" si="5"/>
        <v>L1.00.00.01.01.00.07</v>
      </c>
      <c r="Q19" s="160" t="s">
        <v>10530</v>
      </c>
      <c r="R19" s="169" t="str">
        <f t="shared" si="6"/>
        <v>Ban Giám đốc Văn phòng</v>
      </c>
      <c r="S19" s="161" t="str">
        <f t="shared" ref="S19:S22" si="7">if(L19&lt;&gt;"-",xlookup(J19,R:R,P:P,0),if(and(L19="-",J19&lt;&gt;"-"),xlookup(H19,R:R,P:P,0),"NA"))</f>
        <v>L1.00.00.01.00.00.07</v>
      </c>
      <c r="T19" s="169" t="s">
        <v>6789</v>
      </c>
      <c r="U19" s="169" t="s">
        <v>2717</v>
      </c>
      <c r="V19" s="169" t="s">
        <v>10538</v>
      </c>
      <c r="W19" s="96"/>
      <c r="X19" s="96"/>
      <c r="Y19" s="96"/>
      <c r="Z19" s="98" t="s">
        <v>10540</v>
      </c>
      <c r="AA19" s="153" t="s">
        <v>10530</v>
      </c>
      <c r="AB19" s="91"/>
      <c r="AC19" s="91"/>
      <c r="AD19" s="91"/>
    </row>
    <row r="20" ht="15.75" customHeight="1" outlineLevel="1">
      <c r="A20" s="170" t="s">
        <v>10535</v>
      </c>
      <c r="B20" s="51" t="s">
        <v>26</v>
      </c>
      <c r="C20" s="52" t="s">
        <v>27</v>
      </c>
      <c r="D20" s="52" t="s">
        <v>4</v>
      </c>
      <c r="E20" s="53" t="s">
        <v>27</v>
      </c>
      <c r="F20" s="52" t="s">
        <v>4</v>
      </c>
      <c r="G20" s="52" t="s">
        <v>29</v>
      </c>
      <c r="H20" s="171" t="s">
        <v>31</v>
      </c>
      <c r="I20" s="172" t="s">
        <v>33</v>
      </c>
      <c r="J20" s="173" t="s">
        <v>34</v>
      </c>
      <c r="K20" s="172" t="s">
        <v>27</v>
      </c>
      <c r="L20" s="174" t="s">
        <v>4</v>
      </c>
      <c r="M20" s="52" t="s">
        <v>46</v>
      </c>
      <c r="N20" s="54" t="s">
        <v>10496</v>
      </c>
      <c r="O20" s="55" t="str">
        <f t="shared" si="4"/>
        <v>L1.00.00.01.02.00</v>
      </c>
      <c r="P20" s="55" t="str">
        <f t="shared" si="5"/>
        <v>L1.00.00.01.02.00.07</v>
      </c>
      <c r="Q20" s="160" t="s">
        <v>10530</v>
      </c>
      <c r="R20" s="169" t="str">
        <f t="shared" si="6"/>
        <v>Phòng HCTH</v>
      </c>
      <c r="S20" s="161" t="str">
        <f t="shared" si="7"/>
        <v>L1.00.00.01.00.00.07</v>
      </c>
      <c r="T20" s="169" t="s">
        <v>5165</v>
      </c>
      <c r="U20" s="169" t="s">
        <v>2717</v>
      </c>
      <c r="V20" s="169" t="s">
        <v>10541</v>
      </c>
      <c r="W20" s="96"/>
      <c r="X20" s="96"/>
      <c r="Y20" s="96"/>
      <c r="Z20" s="98" t="s">
        <v>10542</v>
      </c>
      <c r="AA20" s="153" t="s">
        <v>10530</v>
      </c>
      <c r="AB20" s="91"/>
      <c r="AC20" s="91"/>
      <c r="AD20" s="91"/>
    </row>
    <row r="21" ht="15.75" customHeight="1" outlineLevel="1">
      <c r="A21" s="170" t="s">
        <v>10535</v>
      </c>
      <c r="B21" s="51" t="s">
        <v>26</v>
      </c>
      <c r="C21" s="51" t="s">
        <v>27</v>
      </c>
      <c r="D21" s="52" t="s">
        <v>4</v>
      </c>
      <c r="E21" s="53" t="s">
        <v>27</v>
      </c>
      <c r="F21" s="52" t="s">
        <v>4</v>
      </c>
      <c r="G21" s="52" t="s">
        <v>29</v>
      </c>
      <c r="H21" s="171" t="s">
        <v>31</v>
      </c>
      <c r="I21" s="172" t="s">
        <v>35</v>
      </c>
      <c r="J21" s="173" t="s">
        <v>36</v>
      </c>
      <c r="K21" s="172" t="s">
        <v>27</v>
      </c>
      <c r="L21" s="174" t="s">
        <v>4</v>
      </c>
      <c r="M21" s="52" t="s">
        <v>46</v>
      </c>
      <c r="N21" s="54" t="s">
        <v>10496</v>
      </c>
      <c r="O21" s="55" t="str">
        <f t="shared" si="4"/>
        <v>L1.00.00.01.03.00</v>
      </c>
      <c r="P21" s="55" t="str">
        <f t="shared" si="5"/>
        <v>L1.00.00.01.03.00.07</v>
      </c>
      <c r="Q21" s="160" t="s">
        <v>10530</v>
      </c>
      <c r="R21" s="169" t="str">
        <f t="shared" si="6"/>
        <v>Phòng Quan hệ cộng đồng</v>
      </c>
      <c r="S21" s="161" t="str">
        <f t="shared" si="7"/>
        <v>L1.00.00.01.00.00.07</v>
      </c>
      <c r="T21" s="169" t="s">
        <v>6126</v>
      </c>
      <c r="U21" s="169" t="s">
        <v>2717</v>
      </c>
      <c r="V21" s="169" t="s">
        <v>10543</v>
      </c>
      <c r="W21" s="96"/>
      <c r="X21" s="96"/>
      <c r="Y21" s="96"/>
      <c r="Z21" s="98" t="s">
        <v>10544</v>
      </c>
      <c r="AA21" s="153" t="s">
        <v>10530</v>
      </c>
      <c r="AB21" s="91"/>
      <c r="AC21" s="91"/>
      <c r="AD21" s="91"/>
    </row>
    <row r="22" ht="15.75" customHeight="1" outlineLevel="1">
      <c r="A22" s="170" t="s">
        <v>10535</v>
      </c>
      <c r="B22" s="51" t="s">
        <v>26</v>
      </c>
      <c r="C22" s="51" t="s">
        <v>27</v>
      </c>
      <c r="D22" s="52" t="s">
        <v>4</v>
      </c>
      <c r="E22" s="53" t="s">
        <v>27</v>
      </c>
      <c r="F22" s="52" t="s">
        <v>4</v>
      </c>
      <c r="G22" s="52" t="s">
        <v>29</v>
      </c>
      <c r="H22" s="171" t="s">
        <v>31</v>
      </c>
      <c r="I22" s="172" t="s">
        <v>37</v>
      </c>
      <c r="J22" s="173" t="s">
        <v>38</v>
      </c>
      <c r="K22" s="172" t="s">
        <v>27</v>
      </c>
      <c r="L22" s="174" t="s">
        <v>4</v>
      </c>
      <c r="M22" s="52" t="s">
        <v>46</v>
      </c>
      <c r="N22" s="54" t="s">
        <v>10496</v>
      </c>
      <c r="O22" s="55" t="str">
        <f t="shared" si="4"/>
        <v>L1.00.00.01.04.00</v>
      </c>
      <c r="P22" s="55" t="str">
        <f t="shared" si="5"/>
        <v>L1.00.00.01.04.00.07</v>
      </c>
      <c r="Q22" s="160" t="s">
        <v>10530</v>
      </c>
      <c r="R22" s="169" t="str">
        <f t="shared" si="6"/>
        <v>Phòng Quản trị nguồn nhân lực</v>
      </c>
      <c r="S22" s="161" t="str">
        <f t="shared" si="7"/>
        <v>L1.00.00.01.00.00.07</v>
      </c>
      <c r="T22" s="169" t="s">
        <v>2718</v>
      </c>
      <c r="U22" s="169" t="s">
        <v>2717</v>
      </c>
      <c r="V22" s="169" t="s">
        <v>10545</v>
      </c>
      <c r="W22" s="96"/>
      <c r="X22" s="96"/>
      <c r="Y22" s="96"/>
      <c r="Z22" s="98" t="s">
        <v>10546</v>
      </c>
      <c r="AA22" s="153" t="s">
        <v>10530</v>
      </c>
      <c r="AB22" s="91"/>
      <c r="AC22" s="91"/>
      <c r="AD22" s="91"/>
    </row>
    <row r="23" ht="15.75" customHeight="1" outlineLevel="1">
      <c r="A23" s="170" t="s">
        <v>10535</v>
      </c>
      <c r="B23" s="51" t="s">
        <v>26</v>
      </c>
      <c r="C23" s="51" t="s">
        <v>27</v>
      </c>
      <c r="D23" s="52" t="s">
        <v>4</v>
      </c>
      <c r="E23" s="53" t="s">
        <v>27</v>
      </c>
      <c r="F23" s="52" t="s">
        <v>4</v>
      </c>
      <c r="G23" s="52" t="s">
        <v>33</v>
      </c>
      <c r="H23" s="171" t="s">
        <v>39</v>
      </c>
      <c r="I23" s="172" t="s">
        <v>27</v>
      </c>
      <c r="J23" s="172" t="s">
        <v>4</v>
      </c>
      <c r="K23" s="172" t="s">
        <v>27</v>
      </c>
      <c r="L23" s="174" t="s">
        <v>4</v>
      </c>
      <c r="M23" s="52" t="s">
        <v>46</v>
      </c>
      <c r="N23" s="54" t="s">
        <v>10496</v>
      </c>
      <c r="O23" s="55" t="str">
        <f t="shared" si="4"/>
        <v>L1.00.00.02.00.00</v>
      </c>
      <c r="P23" s="55" t="str">
        <f t="shared" si="5"/>
        <v>L1.00.00.02.00.00.07</v>
      </c>
      <c r="Q23" s="160" t="s">
        <v>10530</v>
      </c>
      <c r="R23" s="169" t="str">
        <f t="shared" si="6"/>
        <v>Phòng Đảm bảo chất lượng</v>
      </c>
      <c r="S23" s="161" t="str">
        <f>$P$17</f>
        <v>L1.00.00.00.00.00.07</v>
      </c>
      <c r="T23" s="96" t="s">
        <v>4881</v>
      </c>
      <c r="U23" s="96" t="s">
        <v>453</v>
      </c>
      <c r="V23" s="96" t="s">
        <v>39</v>
      </c>
      <c r="W23" s="96"/>
      <c r="X23" s="96"/>
      <c r="Y23" s="96"/>
      <c r="Z23" s="98" t="s">
        <v>10547</v>
      </c>
      <c r="AA23" s="153" t="s">
        <v>10530</v>
      </c>
      <c r="AB23" s="91"/>
      <c r="AC23" s="91"/>
      <c r="AD23" s="91"/>
    </row>
    <row r="24" ht="15.75" customHeight="1" outlineLevel="1">
      <c r="A24" s="170" t="s">
        <v>10535</v>
      </c>
      <c r="B24" s="51" t="s">
        <v>26</v>
      </c>
      <c r="C24" s="51" t="s">
        <v>27</v>
      </c>
      <c r="D24" s="52" t="s">
        <v>4</v>
      </c>
      <c r="E24" s="53" t="s">
        <v>27</v>
      </c>
      <c r="F24" s="52" t="s">
        <v>4</v>
      </c>
      <c r="G24" s="52" t="s">
        <v>35</v>
      </c>
      <c r="H24" s="171" t="s">
        <v>40</v>
      </c>
      <c r="I24" s="172" t="s">
        <v>27</v>
      </c>
      <c r="J24" s="172" t="s">
        <v>4</v>
      </c>
      <c r="K24" s="172" t="s">
        <v>27</v>
      </c>
      <c r="L24" s="174" t="s">
        <v>4</v>
      </c>
      <c r="M24" s="52" t="s">
        <v>46</v>
      </c>
      <c r="N24" s="54" t="s">
        <v>10496</v>
      </c>
      <c r="O24" s="55" t="str">
        <f t="shared" si="4"/>
        <v>L1.00.00.03.00.00</v>
      </c>
      <c r="P24" s="55" t="str">
        <f t="shared" si="5"/>
        <v>L1.00.00.03.00.00.07</v>
      </c>
      <c r="Q24" s="160" t="s">
        <v>10530</v>
      </c>
      <c r="R24" s="169" t="str">
        <f t="shared" si="6"/>
        <v>Phòng Quản trị hệ thống</v>
      </c>
      <c r="S24" s="97" t="s">
        <v>10536</v>
      </c>
      <c r="T24" s="96" t="s">
        <v>4969</v>
      </c>
      <c r="U24" s="96" t="s">
        <v>453</v>
      </c>
      <c r="V24" s="96" t="s">
        <v>40</v>
      </c>
      <c r="W24" s="96"/>
      <c r="X24" s="96"/>
      <c r="Y24" s="96"/>
      <c r="Z24" s="98" t="s">
        <v>10548</v>
      </c>
      <c r="AA24" s="153" t="s">
        <v>10530</v>
      </c>
      <c r="AB24" s="91"/>
      <c r="AC24" s="91"/>
      <c r="AD24" s="91"/>
    </row>
    <row r="25" ht="15.75" customHeight="1" outlineLevel="1">
      <c r="A25" s="170" t="s">
        <v>10535</v>
      </c>
      <c r="B25" s="51" t="s">
        <v>26</v>
      </c>
      <c r="C25" s="51" t="s">
        <v>27</v>
      </c>
      <c r="D25" s="52" t="s">
        <v>4</v>
      </c>
      <c r="E25" s="53" t="s">
        <v>27</v>
      </c>
      <c r="F25" s="52" t="s">
        <v>4</v>
      </c>
      <c r="G25" s="52" t="s">
        <v>37</v>
      </c>
      <c r="H25" s="171" t="s">
        <v>41</v>
      </c>
      <c r="I25" s="172" t="s">
        <v>27</v>
      </c>
      <c r="J25" s="172" t="s">
        <v>4</v>
      </c>
      <c r="K25" s="172" t="s">
        <v>27</v>
      </c>
      <c r="L25" s="174" t="s">
        <v>4</v>
      </c>
      <c r="M25" s="52" t="s">
        <v>46</v>
      </c>
      <c r="N25" s="54" t="s">
        <v>10496</v>
      </c>
      <c r="O25" s="55" t="str">
        <f t="shared" si="4"/>
        <v>L1.00.00.04.00.00</v>
      </c>
      <c r="P25" s="55" t="str">
        <f t="shared" si="5"/>
        <v>L1.00.00.04.00.00.07</v>
      </c>
      <c r="Q25" s="160" t="s">
        <v>10530</v>
      </c>
      <c r="R25" s="169" t="str">
        <f t="shared" si="6"/>
        <v>Phòng Hỗ trợ kỹ thuật</v>
      </c>
      <c r="S25" s="161" t="s">
        <v>10536</v>
      </c>
      <c r="T25" s="169" t="s">
        <v>623</v>
      </c>
      <c r="U25" s="169" t="s">
        <v>453</v>
      </c>
      <c r="V25" s="169" t="s">
        <v>10549</v>
      </c>
      <c r="W25" s="96"/>
      <c r="X25" s="96"/>
      <c r="Y25" s="96"/>
      <c r="Z25" s="98" t="s">
        <v>10550</v>
      </c>
      <c r="AA25" s="153" t="s">
        <v>10530</v>
      </c>
      <c r="AB25" s="91"/>
      <c r="AC25" s="91"/>
      <c r="AD25" s="91"/>
    </row>
    <row r="26" ht="15.75" customHeight="1" outlineLevel="1">
      <c r="A26" s="170" t="s">
        <v>10535</v>
      </c>
      <c r="B26" s="51" t="s">
        <v>26</v>
      </c>
      <c r="C26" s="51" t="s">
        <v>27</v>
      </c>
      <c r="D26" s="52" t="s">
        <v>4</v>
      </c>
      <c r="E26" s="53" t="s">
        <v>27</v>
      </c>
      <c r="F26" s="52" t="s">
        <v>4</v>
      </c>
      <c r="G26" s="52" t="s">
        <v>42</v>
      </c>
      <c r="H26" s="171" t="s">
        <v>43</v>
      </c>
      <c r="I26" s="172" t="s">
        <v>27</v>
      </c>
      <c r="J26" s="172" t="s">
        <v>4</v>
      </c>
      <c r="K26" s="172" t="s">
        <v>27</v>
      </c>
      <c r="L26" s="174" t="s">
        <v>4</v>
      </c>
      <c r="M26" s="52" t="s">
        <v>46</v>
      </c>
      <c r="N26" s="54" t="s">
        <v>10496</v>
      </c>
      <c r="O26" s="55" t="str">
        <f t="shared" si="4"/>
        <v>L1.00.00.05.00.00</v>
      </c>
      <c r="P26" s="55" t="str">
        <f t="shared" si="5"/>
        <v>L1.00.00.05.00.00.07</v>
      </c>
      <c r="Q26" s="160" t="s">
        <v>10530</v>
      </c>
      <c r="R26" s="169" t="str">
        <f t="shared" si="6"/>
        <v>Ban Phát triển đối tác</v>
      </c>
      <c r="S26" s="161" t="s">
        <v>10536</v>
      </c>
      <c r="T26" s="169" t="s">
        <v>6164</v>
      </c>
      <c r="U26" s="169" t="s">
        <v>453</v>
      </c>
      <c r="V26" s="169" t="s">
        <v>10551</v>
      </c>
      <c r="W26" s="96"/>
      <c r="X26" s="96"/>
      <c r="Y26" s="96"/>
      <c r="Z26" s="98" t="s">
        <v>10552</v>
      </c>
      <c r="AA26" s="153" t="s">
        <v>10530</v>
      </c>
      <c r="AB26" s="91"/>
      <c r="AC26" s="91"/>
      <c r="AD26" s="91"/>
    </row>
    <row r="27" ht="15.75" customHeight="1" outlineLevel="1">
      <c r="A27" s="170" t="s">
        <v>10535</v>
      </c>
      <c r="B27" s="51" t="s">
        <v>26</v>
      </c>
      <c r="C27" s="51" t="s">
        <v>27</v>
      </c>
      <c r="D27" s="52" t="s">
        <v>4</v>
      </c>
      <c r="E27" s="53" t="s">
        <v>27</v>
      </c>
      <c r="F27" s="52" t="s">
        <v>4</v>
      </c>
      <c r="G27" s="52" t="s">
        <v>44</v>
      </c>
      <c r="H27" s="171" t="s">
        <v>45</v>
      </c>
      <c r="I27" s="172" t="s">
        <v>27</v>
      </c>
      <c r="J27" s="172" t="s">
        <v>4</v>
      </c>
      <c r="K27" s="172" t="s">
        <v>27</v>
      </c>
      <c r="L27" s="174" t="s">
        <v>4</v>
      </c>
      <c r="M27" s="52" t="s">
        <v>46</v>
      </c>
      <c r="N27" s="54" t="s">
        <v>10496</v>
      </c>
      <c r="O27" s="55" t="str">
        <f t="shared" si="4"/>
        <v>L1.00.00.06.00.00</v>
      </c>
      <c r="P27" s="55" t="str">
        <f t="shared" si="5"/>
        <v>L1.00.00.06.00.00.07</v>
      </c>
      <c r="Q27" s="160" t="s">
        <v>10530</v>
      </c>
      <c r="R27" s="169" t="str">
        <f t="shared" si="6"/>
        <v>Ban Nghiên cứu Thị trường &amp; Sản phẩm</v>
      </c>
      <c r="S27" s="97" t="s">
        <v>10536</v>
      </c>
      <c r="T27" s="96" t="s">
        <v>2842</v>
      </c>
      <c r="U27" s="96" t="s">
        <v>453</v>
      </c>
      <c r="V27" s="96" t="s">
        <v>2841</v>
      </c>
      <c r="W27" s="96"/>
      <c r="X27" s="96"/>
      <c r="Y27" s="96"/>
      <c r="Z27" s="98" t="s">
        <v>10553</v>
      </c>
      <c r="AA27" s="153" t="s">
        <v>10530</v>
      </c>
      <c r="AB27" s="91"/>
      <c r="AC27" s="91"/>
      <c r="AD27" s="91"/>
    </row>
    <row r="28" ht="15.75" customHeight="1" outlineLevel="1">
      <c r="A28" s="170" t="s">
        <v>10535</v>
      </c>
      <c r="B28" s="57" t="s">
        <v>26</v>
      </c>
      <c r="C28" s="51" t="s">
        <v>27</v>
      </c>
      <c r="D28" s="52" t="s">
        <v>4</v>
      </c>
      <c r="E28" s="53" t="s">
        <v>27</v>
      </c>
      <c r="F28" s="52" t="s">
        <v>4</v>
      </c>
      <c r="G28" s="52" t="s">
        <v>46</v>
      </c>
      <c r="H28" s="171" t="s">
        <v>47</v>
      </c>
      <c r="I28" s="175" t="s">
        <v>27</v>
      </c>
      <c r="J28" s="172" t="s">
        <v>4</v>
      </c>
      <c r="K28" s="172" t="s">
        <v>27</v>
      </c>
      <c r="L28" s="174" t="s">
        <v>4</v>
      </c>
      <c r="M28" s="52" t="s">
        <v>46</v>
      </c>
      <c r="N28" s="54" t="s">
        <v>10496</v>
      </c>
      <c r="O28" s="55" t="str">
        <f t="shared" si="4"/>
        <v>L1.00.00.07.00.00</v>
      </c>
      <c r="P28" s="55" t="str">
        <f t="shared" si="5"/>
        <v>L1.00.00.07.00.00.07</v>
      </c>
      <c r="Q28" s="160" t="s">
        <v>10530</v>
      </c>
      <c r="R28" s="169" t="str">
        <f t="shared" si="6"/>
        <v>Ban Công nghệ thông tin</v>
      </c>
      <c r="S28" s="97" t="s">
        <v>10536</v>
      </c>
      <c r="T28" s="97" t="s">
        <v>10554</v>
      </c>
      <c r="U28" s="96" t="s">
        <v>453</v>
      </c>
      <c r="V28" s="96" t="s">
        <v>47</v>
      </c>
      <c r="W28" s="96"/>
      <c r="X28" s="96"/>
      <c r="Y28" s="96"/>
      <c r="Z28" s="98" t="s">
        <v>10555</v>
      </c>
      <c r="AA28" s="153" t="s">
        <v>10530</v>
      </c>
      <c r="AB28" s="91"/>
      <c r="AC28" s="91"/>
      <c r="AD28" s="91"/>
    </row>
    <row r="29" ht="15.75" customHeight="1" outlineLevel="1">
      <c r="A29" s="170" t="s">
        <v>10535</v>
      </c>
      <c r="B29" s="57" t="s">
        <v>26</v>
      </c>
      <c r="C29" s="51" t="s">
        <v>27</v>
      </c>
      <c r="D29" s="52" t="s">
        <v>4</v>
      </c>
      <c r="E29" s="53" t="s">
        <v>27</v>
      </c>
      <c r="F29" s="52" t="s">
        <v>4</v>
      </c>
      <c r="G29" s="52" t="s">
        <v>46</v>
      </c>
      <c r="H29" s="171" t="s">
        <v>47</v>
      </c>
      <c r="I29" s="172" t="s">
        <v>29</v>
      </c>
      <c r="J29" s="173" t="s">
        <v>48</v>
      </c>
      <c r="K29" s="172" t="s">
        <v>27</v>
      </c>
      <c r="L29" s="174" t="s">
        <v>4</v>
      </c>
      <c r="M29" s="52" t="s">
        <v>46</v>
      </c>
      <c r="N29" s="54" t="s">
        <v>10496</v>
      </c>
      <c r="O29" s="55" t="str">
        <f t="shared" si="4"/>
        <v>L1.00.00.07.01.00</v>
      </c>
      <c r="P29" s="55" t="str">
        <f t="shared" si="5"/>
        <v>L1.00.00.07.01.00.07</v>
      </c>
      <c r="Q29" s="160" t="s">
        <v>10530</v>
      </c>
      <c r="R29" s="169" t="str">
        <f t="shared" si="6"/>
        <v>Ban giám đốc - Ban CNTT</v>
      </c>
      <c r="S29" s="97" t="s">
        <v>10556</v>
      </c>
      <c r="T29" s="96" t="s">
        <v>6309</v>
      </c>
      <c r="U29" s="96" t="s">
        <v>453</v>
      </c>
      <c r="V29" s="96" t="s">
        <v>47</v>
      </c>
      <c r="W29" s="96" t="s">
        <v>6308</v>
      </c>
      <c r="X29" s="96"/>
      <c r="Y29" s="96"/>
      <c r="Z29" s="98" t="s">
        <v>10557</v>
      </c>
      <c r="AA29" s="153" t="s">
        <v>10530</v>
      </c>
      <c r="AB29" s="91"/>
      <c r="AC29" s="91"/>
      <c r="AD29" s="91"/>
    </row>
    <row r="30" ht="15.75" customHeight="1" outlineLevel="1">
      <c r="A30" s="170" t="s">
        <v>10535</v>
      </c>
      <c r="B30" s="57" t="s">
        <v>26</v>
      </c>
      <c r="C30" s="51" t="s">
        <v>27</v>
      </c>
      <c r="D30" s="52" t="s">
        <v>4</v>
      </c>
      <c r="E30" s="53" t="s">
        <v>27</v>
      </c>
      <c r="F30" s="52" t="s">
        <v>4</v>
      </c>
      <c r="G30" s="52" t="s">
        <v>46</v>
      </c>
      <c r="H30" s="171" t="s">
        <v>47</v>
      </c>
      <c r="I30" s="172" t="s">
        <v>33</v>
      </c>
      <c r="J30" s="176" t="s">
        <v>3397</v>
      </c>
      <c r="K30" s="175" t="s">
        <v>27</v>
      </c>
      <c r="L30" s="174" t="s">
        <v>4</v>
      </c>
      <c r="M30" s="52" t="s">
        <v>46</v>
      </c>
      <c r="N30" s="54" t="s">
        <v>10496</v>
      </c>
      <c r="O30" s="55" t="str">
        <f t="shared" si="4"/>
        <v>L1.00.00.07.02.00</v>
      </c>
      <c r="P30" s="55" t="str">
        <f t="shared" si="5"/>
        <v>L1.00.00.07.02.00.07</v>
      </c>
      <c r="Q30" s="160" t="s">
        <v>10530</v>
      </c>
      <c r="R30" s="169" t="str">
        <f t="shared" si="6"/>
        <v>Sản phẩm Automation Support</v>
      </c>
      <c r="S30" s="97" t="s">
        <v>10556</v>
      </c>
      <c r="T30" s="97" t="s">
        <v>10558</v>
      </c>
      <c r="U30" s="96" t="s">
        <v>453</v>
      </c>
      <c r="V30" s="96" t="s">
        <v>47</v>
      </c>
      <c r="W30" s="96" t="s">
        <v>3397</v>
      </c>
      <c r="X30" s="96"/>
      <c r="Y30" s="96"/>
      <c r="Z30" s="98" t="s">
        <v>10559</v>
      </c>
      <c r="AA30" s="153" t="s">
        <v>10530</v>
      </c>
      <c r="AB30" s="91"/>
      <c r="AC30" s="91"/>
      <c r="AD30" s="91"/>
    </row>
    <row r="31" ht="15.75" customHeight="1" outlineLevel="1">
      <c r="A31" s="170" t="s">
        <v>10535</v>
      </c>
      <c r="B31" s="57" t="s">
        <v>26</v>
      </c>
      <c r="C31" s="51" t="s">
        <v>27</v>
      </c>
      <c r="D31" s="52" t="s">
        <v>4</v>
      </c>
      <c r="E31" s="53" t="s">
        <v>27</v>
      </c>
      <c r="F31" s="52" t="s">
        <v>4</v>
      </c>
      <c r="G31" s="52" t="s">
        <v>46</v>
      </c>
      <c r="H31" s="171" t="s">
        <v>47</v>
      </c>
      <c r="I31" s="172" t="s">
        <v>33</v>
      </c>
      <c r="J31" s="176" t="s">
        <v>3397</v>
      </c>
      <c r="K31" s="175" t="s">
        <v>29</v>
      </c>
      <c r="L31" s="176" t="s">
        <v>5136</v>
      </c>
      <c r="M31" s="52" t="s">
        <v>46</v>
      </c>
      <c r="N31" s="54" t="s">
        <v>10496</v>
      </c>
      <c r="O31" s="55" t="str">
        <f t="shared" si="4"/>
        <v>L1.00.00.07.02.01</v>
      </c>
      <c r="P31" s="55" t="str">
        <f t="shared" si="5"/>
        <v>L1.00.00.07.02.01.07</v>
      </c>
      <c r="Q31" s="160" t="s">
        <v>10530</v>
      </c>
      <c r="R31" s="169" t="str">
        <f t="shared" si="6"/>
        <v>Dự án MISA Order</v>
      </c>
      <c r="S31" s="97" t="s">
        <v>10560</v>
      </c>
      <c r="T31" s="96" t="s">
        <v>5137</v>
      </c>
      <c r="U31" s="96" t="s">
        <v>453</v>
      </c>
      <c r="V31" s="96" t="s">
        <v>47</v>
      </c>
      <c r="W31" s="96" t="s">
        <v>3397</v>
      </c>
      <c r="X31" s="96" t="s">
        <v>5136</v>
      </c>
      <c r="Y31" s="96"/>
      <c r="Z31" s="98" t="s">
        <v>10561</v>
      </c>
      <c r="AA31" s="153" t="s">
        <v>10530</v>
      </c>
      <c r="AB31" s="91"/>
      <c r="AC31" s="91"/>
      <c r="AD31" s="91"/>
    </row>
    <row r="32" ht="15.75" customHeight="1" outlineLevel="1">
      <c r="A32" s="170" t="s">
        <v>10535</v>
      </c>
      <c r="B32" s="57" t="s">
        <v>26</v>
      </c>
      <c r="C32" s="51" t="s">
        <v>27</v>
      </c>
      <c r="D32" s="52" t="s">
        <v>4</v>
      </c>
      <c r="E32" s="53" t="s">
        <v>27</v>
      </c>
      <c r="F32" s="52" t="s">
        <v>4</v>
      </c>
      <c r="G32" s="52" t="s">
        <v>46</v>
      </c>
      <c r="H32" s="171" t="s">
        <v>47</v>
      </c>
      <c r="I32" s="172" t="s">
        <v>33</v>
      </c>
      <c r="J32" s="176" t="s">
        <v>3397</v>
      </c>
      <c r="K32" s="177" t="s">
        <v>33</v>
      </c>
      <c r="L32" s="176" t="s">
        <v>4869</v>
      </c>
      <c r="M32" s="52" t="s">
        <v>46</v>
      </c>
      <c r="N32" s="54" t="s">
        <v>10496</v>
      </c>
      <c r="O32" s="55" t="str">
        <f t="shared" si="4"/>
        <v>L1.00.00.07.02.02</v>
      </c>
      <c r="P32" s="55" t="str">
        <f t="shared" si="5"/>
        <v>L1.00.00.07.02.02.07</v>
      </c>
      <c r="Q32" s="160" t="s">
        <v>10530</v>
      </c>
      <c r="R32" s="169" t="str">
        <f t="shared" si="6"/>
        <v>Dự án MISA SUMAN</v>
      </c>
      <c r="S32" s="97" t="s">
        <v>10560</v>
      </c>
      <c r="T32" s="96" t="s">
        <v>4870</v>
      </c>
      <c r="U32" s="96" t="s">
        <v>453</v>
      </c>
      <c r="V32" s="96" t="s">
        <v>47</v>
      </c>
      <c r="W32" s="96" t="s">
        <v>3397</v>
      </c>
      <c r="X32" s="96" t="s">
        <v>4869</v>
      </c>
      <c r="Y32" s="96"/>
      <c r="Z32" s="98" t="s">
        <v>10562</v>
      </c>
      <c r="AA32" s="153" t="s">
        <v>10530</v>
      </c>
      <c r="AB32" s="91"/>
      <c r="AC32" s="91"/>
      <c r="AD32" s="91"/>
    </row>
    <row r="33" ht="15.75" customHeight="1" outlineLevel="1">
      <c r="A33" s="170" t="s">
        <v>10535</v>
      </c>
      <c r="B33" s="57" t="s">
        <v>26</v>
      </c>
      <c r="C33" s="51" t="s">
        <v>27</v>
      </c>
      <c r="D33" s="52" t="s">
        <v>4</v>
      </c>
      <c r="E33" s="53" t="s">
        <v>27</v>
      </c>
      <c r="F33" s="52" t="s">
        <v>4</v>
      </c>
      <c r="G33" s="52" t="s">
        <v>46</v>
      </c>
      <c r="H33" s="171" t="s">
        <v>47</v>
      </c>
      <c r="I33" s="172" t="s">
        <v>33</v>
      </c>
      <c r="J33" s="176" t="s">
        <v>3397</v>
      </c>
      <c r="K33" s="177" t="s">
        <v>35</v>
      </c>
      <c r="L33" s="176" t="s">
        <v>3396</v>
      </c>
      <c r="M33" s="52" t="s">
        <v>46</v>
      </c>
      <c r="N33" s="54" t="s">
        <v>10496</v>
      </c>
      <c r="O33" s="55" t="str">
        <f t="shared" si="4"/>
        <v>L1.00.00.07.02.03</v>
      </c>
      <c r="P33" s="55" t="str">
        <f t="shared" si="5"/>
        <v>L1.00.00.07.02.03.07</v>
      </c>
      <c r="Q33" s="160" t="s">
        <v>10530</v>
      </c>
      <c r="R33" s="169" t="str">
        <f t="shared" si="6"/>
        <v>[Automation Support] Nhóm Phân tích và Thiết kế</v>
      </c>
      <c r="S33" s="97" t="s">
        <v>10560</v>
      </c>
      <c r="T33" s="96" t="s">
        <v>3398</v>
      </c>
      <c r="U33" s="96" t="s">
        <v>453</v>
      </c>
      <c r="V33" s="96" t="s">
        <v>47</v>
      </c>
      <c r="W33" s="96" t="s">
        <v>3397</v>
      </c>
      <c r="X33" s="96" t="s">
        <v>3396</v>
      </c>
      <c r="Y33" s="96"/>
      <c r="Z33" s="98" t="s">
        <v>10563</v>
      </c>
      <c r="AA33" s="153" t="s">
        <v>10530</v>
      </c>
      <c r="AB33" s="91"/>
      <c r="AC33" s="91"/>
      <c r="AD33" s="91"/>
    </row>
    <row r="34" ht="15.75" customHeight="1" outlineLevel="1">
      <c r="A34" s="170" t="s">
        <v>10535</v>
      </c>
      <c r="B34" s="57" t="s">
        <v>26</v>
      </c>
      <c r="C34" s="51" t="s">
        <v>27</v>
      </c>
      <c r="D34" s="52" t="s">
        <v>4</v>
      </c>
      <c r="E34" s="53" t="s">
        <v>27</v>
      </c>
      <c r="F34" s="52" t="s">
        <v>4</v>
      </c>
      <c r="G34" s="52" t="s">
        <v>46</v>
      </c>
      <c r="H34" s="171" t="s">
        <v>47</v>
      </c>
      <c r="I34" s="172" t="s">
        <v>33</v>
      </c>
      <c r="J34" s="176" t="s">
        <v>3397</v>
      </c>
      <c r="K34" s="177" t="s">
        <v>37</v>
      </c>
      <c r="L34" s="176" t="s">
        <v>3619</v>
      </c>
      <c r="M34" s="52" t="s">
        <v>46</v>
      </c>
      <c r="N34" s="54" t="s">
        <v>10496</v>
      </c>
      <c r="O34" s="55" t="str">
        <f t="shared" si="4"/>
        <v>L1.00.00.07.02.04</v>
      </c>
      <c r="P34" s="55" t="str">
        <f t="shared" si="5"/>
        <v>L1.00.00.07.02.04.07</v>
      </c>
      <c r="Q34" s="160" t="s">
        <v>10530</v>
      </c>
      <c r="R34" s="169" t="str">
        <f t="shared" si="6"/>
        <v>Dự án MISA Automation Support</v>
      </c>
      <c r="S34" s="97" t="s">
        <v>10560</v>
      </c>
      <c r="T34" s="96" t="s">
        <v>3620</v>
      </c>
      <c r="U34" s="96" t="s">
        <v>453</v>
      </c>
      <c r="V34" s="96" t="s">
        <v>47</v>
      </c>
      <c r="W34" s="96" t="s">
        <v>3397</v>
      </c>
      <c r="X34" s="96" t="s">
        <v>3619</v>
      </c>
      <c r="Y34" s="96"/>
      <c r="Z34" s="98" t="s">
        <v>10564</v>
      </c>
      <c r="AA34" s="153" t="s">
        <v>10530</v>
      </c>
      <c r="AB34" s="91"/>
      <c r="AC34" s="91"/>
      <c r="AD34" s="91"/>
    </row>
    <row r="35" ht="15.75" customHeight="1" outlineLevel="1">
      <c r="A35" s="170" t="s">
        <v>10535</v>
      </c>
      <c r="B35" s="57" t="s">
        <v>26</v>
      </c>
      <c r="C35" s="51" t="s">
        <v>27</v>
      </c>
      <c r="D35" s="52" t="s">
        <v>4</v>
      </c>
      <c r="E35" s="53" t="s">
        <v>27</v>
      </c>
      <c r="F35" s="52" t="s">
        <v>4</v>
      </c>
      <c r="G35" s="52" t="s">
        <v>46</v>
      </c>
      <c r="H35" s="171" t="s">
        <v>47</v>
      </c>
      <c r="I35" s="175" t="s">
        <v>35</v>
      </c>
      <c r="J35" s="176" t="s">
        <v>4508</v>
      </c>
      <c r="K35" s="172" t="s">
        <v>27</v>
      </c>
      <c r="L35" s="174" t="s">
        <v>4</v>
      </c>
      <c r="M35" s="52" t="s">
        <v>46</v>
      </c>
      <c r="N35" s="54" t="s">
        <v>10496</v>
      </c>
      <c r="O35" s="55" t="str">
        <f t="shared" si="4"/>
        <v>L1.00.00.07.03.00</v>
      </c>
      <c r="P35" s="55" t="str">
        <f t="shared" si="5"/>
        <v>L1.00.00.07.03.00.07</v>
      </c>
      <c r="Q35" s="160" t="s">
        <v>10530</v>
      </c>
      <c r="R35" s="169" t="str">
        <f t="shared" si="6"/>
        <v>Sản phẩm Automation Marketing</v>
      </c>
      <c r="S35" s="97" t="s">
        <v>10556</v>
      </c>
      <c r="T35" s="96" t="s">
        <v>4509</v>
      </c>
      <c r="U35" s="96" t="s">
        <v>453</v>
      </c>
      <c r="V35" s="96" t="s">
        <v>47</v>
      </c>
      <c r="W35" s="96" t="s">
        <v>4508</v>
      </c>
      <c r="X35" s="96"/>
      <c r="Y35" s="96"/>
      <c r="Z35" s="98" t="s">
        <v>10565</v>
      </c>
      <c r="AA35" s="153" t="s">
        <v>10530</v>
      </c>
      <c r="AB35" s="91"/>
      <c r="AC35" s="91"/>
      <c r="AD35" s="91"/>
    </row>
    <row r="36" ht="15.75" customHeight="1" outlineLevel="1">
      <c r="A36" s="170" t="s">
        <v>10535</v>
      </c>
      <c r="B36" s="57" t="s">
        <v>26</v>
      </c>
      <c r="C36" s="51" t="s">
        <v>27</v>
      </c>
      <c r="D36" s="52" t="s">
        <v>4</v>
      </c>
      <c r="E36" s="53" t="s">
        <v>27</v>
      </c>
      <c r="F36" s="52" t="s">
        <v>4</v>
      </c>
      <c r="G36" s="52" t="s">
        <v>46</v>
      </c>
      <c r="H36" s="171" t="s">
        <v>47</v>
      </c>
      <c r="I36" s="175" t="s">
        <v>35</v>
      </c>
      <c r="J36" s="176" t="s">
        <v>4508</v>
      </c>
      <c r="K36" s="175" t="s">
        <v>29</v>
      </c>
      <c r="L36" s="176" t="s">
        <v>5282</v>
      </c>
      <c r="M36" s="52" t="s">
        <v>46</v>
      </c>
      <c r="N36" s="54" t="s">
        <v>10496</v>
      </c>
      <c r="O36" s="55" t="str">
        <f t="shared" si="4"/>
        <v>L1.00.00.07.03.01</v>
      </c>
      <c r="P36" s="55" t="str">
        <f t="shared" si="5"/>
        <v>L1.00.00.07.03.01.07</v>
      </c>
      <c r="Q36" s="160" t="s">
        <v>10530</v>
      </c>
      <c r="R36" s="169" t="str">
        <f t="shared" si="6"/>
        <v>Dự án Websites</v>
      </c>
      <c r="S36" s="97" t="s">
        <v>10566</v>
      </c>
      <c r="T36" s="96" t="s">
        <v>5283</v>
      </c>
      <c r="U36" s="96" t="s">
        <v>453</v>
      </c>
      <c r="V36" s="96" t="s">
        <v>47</v>
      </c>
      <c r="W36" s="96" t="s">
        <v>4508</v>
      </c>
      <c r="X36" s="96" t="s">
        <v>5282</v>
      </c>
      <c r="Y36" s="96"/>
      <c r="Z36" s="98" t="s">
        <v>10567</v>
      </c>
      <c r="AA36" s="153" t="s">
        <v>10530</v>
      </c>
      <c r="AB36" s="91"/>
      <c r="AC36" s="91"/>
      <c r="AD36" s="91"/>
    </row>
    <row r="37" ht="15.75" customHeight="1" outlineLevel="1">
      <c r="A37" s="178" t="s">
        <v>10535</v>
      </c>
      <c r="B37" s="179" t="s">
        <v>26</v>
      </c>
      <c r="C37" s="180" t="s">
        <v>27</v>
      </c>
      <c r="D37" s="64" t="s">
        <v>4</v>
      </c>
      <c r="E37" s="71" t="s">
        <v>27</v>
      </c>
      <c r="F37" s="64" t="s">
        <v>4</v>
      </c>
      <c r="G37" s="64" t="s">
        <v>46</v>
      </c>
      <c r="H37" s="181" t="s">
        <v>47</v>
      </c>
      <c r="I37" s="182" t="s">
        <v>35</v>
      </c>
      <c r="J37" s="183" t="s">
        <v>4508</v>
      </c>
      <c r="K37" s="182" t="s">
        <v>33</v>
      </c>
      <c r="L37" s="184" t="s">
        <v>10568</v>
      </c>
      <c r="M37" s="64" t="s">
        <v>46</v>
      </c>
      <c r="N37" s="70" t="s">
        <v>10496</v>
      </c>
      <c r="O37" s="58" t="str">
        <f t="shared" si="4"/>
        <v>L1.00.00.07.03.02</v>
      </c>
      <c r="P37" s="58" t="str">
        <f t="shared" si="5"/>
        <v>L1.00.00.07.03.02.07</v>
      </c>
      <c r="Q37" s="185" t="s">
        <v>10530</v>
      </c>
      <c r="R37" s="186" t="str">
        <f t="shared" si="6"/>
        <v>[Automation Marketing] Nhóm Phân tích và Thiết kế</v>
      </c>
      <c r="S37" s="187" t="s">
        <v>10566</v>
      </c>
      <c r="T37" s="188" t="s">
        <v>10569</v>
      </c>
      <c r="U37" s="189" t="s">
        <v>453</v>
      </c>
      <c r="V37" s="189" t="s">
        <v>47</v>
      </c>
      <c r="W37" s="189" t="s">
        <v>4508</v>
      </c>
      <c r="X37" s="190" t="s">
        <v>10568</v>
      </c>
      <c r="Y37" s="189"/>
      <c r="Z37" s="191" t="s">
        <v>10567</v>
      </c>
      <c r="AA37" s="192" t="s">
        <v>10530</v>
      </c>
      <c r="AB37" s="193"/>
      <c r="AC37" s="563" t="s">
        <v>11604</v>
      </c>
      <c r="AD37" s="193"/>
    </row>
    <row r="38" ht="15.75" customHeight="1" outlineLevel="1">
      <c r="A38" s="170" t="s">
        <v>10535</v>
      </c>
      <c r="B38" s="57" t="s">
        <v>26</v>
      </c>
      <c r="C38" s="51" t="s">
        <v>27</v>
      </c>
      <c r="D38" s="52" t="s">
        <v>4</v>
      </c>
      <c r="E38" s="53" t="s">
        <v>27</v>
      </c>
      <c r="F38" s="52" t="s">
        <v>4</v>
      </c>
      <c r="G38" s="52" t="s">
        <v>46</v>
      </c>
      <c r="H38" s="171" t="s">
        <v>47</v>
      </c>
      <c r="I38" s="175" t="s">
        <v>37</v>
      </c>
      <c r="J38" s="176" t="s">
        <v>4765</v>
      </c>
      <c r="K38" s="175" t="s">
        <v>27</v>
      </c>
      <c r="L38" s="174" t="s">
        <v>4</v>
      </c>
      <c r="M38" s="52" t="s">
        <v>46</v>
      </c>
      <c r="N38" s="54" t="s">
        <v>10496</v>
      </c>
      <c r="O38" s="55" t="str">
        <f t="shared" si="4"/>
        <v>L1.00.00.07.04.00</v>
      </c>
      <c r="P38" s="55" t="str">
        <f t="shared" si="5"/>
        <v>L1.00.00.07.04.00.07</v>
      </c>
      <c r="Q38" s="160" t="s">
        <v>10530</v>
      </c>
      <c r="R38" s="169" t="str">
        <f t="shared" si="6"/>
        <v>Sản phẩm Automation Sales</v>
      </c>
      <c r="S38" s="97" t="s">
        <v>10556</v>
      </c>
      <c r="T38" s="97" t="s">
        <v>10570</v>
      </c>
      <c r="U38" s="96" t="s">
        <v>453</v>
      </c>
      <c r="V38" s="96" t="s">
        <v>47</v>
      </c>
      <c r="W38" s="96" t="s">
        <v>4765</v>
      </c>
      <c r="X38" s="96"/>
      <c r="Y38" s="96"/>
      <c r="Z38" s="98" t="s">
        <v>10571</v>
      </c>
      <c r="AA38" s="153" t="s">
        <v>10530</v>
      </c>
      <c r="AB38" s="91"/>
      <c r="AC38" s="91"/>
      <c r="AD38" s="91"/>
    </row>
    <row r="39" ht="15.75" customHeight="1" outlineLevel="1">
      <c r="A39" s="170" t="s">
        <v>10535</v>
      </c>
      <c r="B39" s="57" t="s">
        <v>26</v>
      </c>
      <c r="C39" s="51" t="s">
        <v>27</v>
      </c>
      <c r="D39" s="52" t="s">
        <v>4</v>
      </c>
      <c r="E39" s="53" t="s">
        <v>27</v>
      </c>
      <c r="F39" s="52" t="s">
        <v>4</v>
      </c>
      <c r="G39" s="52" t="s">
        <v>46</v>
      </c>
      <c r="H39" s="171" t="s">
        <v>47</v>
      </c>
      <c r="I39" s="175" t="s">
        <v>37</v>
      </c>
      <c r="J39" s="176" t="s">
        <v>4765</v>
      </c>
      <c r="K39" s="175" t="s">
        <v>29</v>
      </c>
      <c r="L39" s="176" t="s">
        <v>4836</v>
      </c>
      <c r="M39" s="52" t="s">
        <v>46</v>
      </c>
      <c r="N39" s="54" t="s">
        <v>10496</v>
      </c>
      <c r="O39" s="55" t="str">
        <f t="shared" si="4"/>
        <v>L1.00.00.07.04.01</v>
      </c>
      <c r="P39" s="55" t="str">
        <f t="shared" si="5"/>
        <v>L1.00.00.07.04.01.07</v>
      </c>
      <c r="Q39" s="160" t="s">
        <v>10530</v>
      </c>
      <c r="R39" s="169" t="str">
        <f t="shared" si="6"/>
        <v>Dự án MISA Automation Sales</v>
      </c>
      <c r="S39" s="97" t="s">
        <v>10572</v>
      </c>
      <c r="T39" s="96" t="s">
        <v>4837</v>
      </c>
      <c r="U39" s="96" t="s">
        <v>453</v>
      </c>
      <c r="V39" s="96" t="s">
        <v>47</v>
      </c>
      <c r="W39" s="96" t="s">
        <v>4765</v>
      </c>
      <c r="X39" s="96" t="s">
        <v>4836</v>
      </c>
      <c r="Y39" s="96"/>
      <c r="Z39" s="98" t="s">
        <v>10573</v>
      </c>
      <c r="AA39" s="153" t="s">
        <v>10530</v>
      </c>
      <c r="AB39" s="91"/>
      <c r="AC39" s="91"/>
      <c r="AD39" s="91"/>
    </row>
    <row r="40" ht="15.75" customHeight="1" outlineLevel="1">
      <c r="A40" s="170" t="s">
        <v>10535</v>
      </c>
      <c r="B40" s="57" t="s">
        <v>26</v>
      </c>
      <c r="C40" s="51" t="s">
        <v>27</v>
      </c>
      <c r="D40" s="52" t="s">
        <v>4</v>
      </c>
      <c r="E40" s="53" t="s">
        <v>27</v>
      </c>
      <c r="F40" s="52" t="s">
        <v>4</v>
      </c>
      <c r="G40" s="52" t="s">
        <v>46</v>
      </c>
      <c r="H40" s="171" t="s">
        <v>47</v>
      </c>
      <c r="I40" s="175" t="s">
        <v>37</v>
      </c>
      <c r="J40" s="176" t="s">
        <v>4765</v>
      </c>
      <c r="K40" s="177" t="s">
        <v>33</v>
      </c>
      <c r="L40" s="176" t="s">
        <v>4764</v>
      </c>
      <c r="M40" s="52" t="s">
        <v>46</v>
      </c>
      <c r="N40" s="54" t="s">
        <v>10496</v>
      </c>
      <c r="O40" s="55" t="str">
        <f t="shared" si="4"/>
        <v>L1.00.00.07.04.02</v>
      </c>
      <c r="P40" s="55" t="str">
        <f t="shared" si="5"/>
        <v>L1.00.00.07.04.02.07</v>
      </c>
      <c r="Q40" s="160" t="s">
        <v>10530</v>
      </c>
      <c r="R40" s="169" t="str">
        <f t="shared" si="6"/>
        <v>[Automation Sales] Nhóm Phân tích và Thiết kế</v>
      </c>
      <c r="S40" s="97" t="s">
        <v>10572</v>
      </c>
      <c r="T40" s="96" t="s">
        <v>4766</v>
      </c>
      <c r="U40" s="96" t="s">
        <v>453</v>
      </c>
      <c r="V40" s="96" t="s">
        <v>47</v>
      </c>
      <c r="W40" s="96" t="s">
        <v>4765</v>
      </c>
      <c r="X40" s="96" t="s">
        <v>4764</v>
      </c>
      <c r="Y40" s="96"/>
      <c r="Z40" s="98" t="s">
        <v>10574</v>
      </c>
      <c r="AA40" s="153" t="s">
        <v>10530</v>
      </c>
      <c r="AB40" s="91"/>
      <c r="AC40" s="91"/>
      <c r="AD40" s="91"/>
    </row>
    <row r="41" ht="15.75" customHeight="1" outlineLevel="1">
      <c r="A41" s="170" t="s">
        <v>10535</v>
      </c>
      <c r="B41" s="57" t="s">
        <v>26</v>
      </c>
      <c r="C41" s="51" t="s">
        <v>27</v>
      </c>
      <c r="D41" s="52" t="s">
        <v>4</v>
      </c>
      <c r="E41" s="53" t="s">
        <v>27</v>
      </c>
      <c r="F41" s="52" t="s">
        <v>4</v>
      </c>
      <c r="G41" s="52" t="s">
        <v>46</v>
      </c>
      <c r="H41" s="171" t="s">
        <v>47</v>
      </c>
      <c r="I41" s="175" t="s">
        <v>42</v>
      </c>
      <c r="J41" s="176" t="s">
        <v>4502</v>
      </c>
      <c r="K41" s="175" t="s">
        <v>27</v>
      </c>
      <c r="L41" s="194" t="s">
        <v>4</v>
      </c>
      <c r="M41" s="52" t="s">
        <v>46</v>
      </c>
      <c r="N41" s="54" t="s">
        <v>10496</v>
      </c>
      <c r="O41" s="55" t="str">
        <f t="shared" si="4"/>
        <v>L1.00.00.07.05.00</v>
      </c>
      <c r="P41" s="55" t="str">
        <f t="shared" si="5"/>
        <v>L1.00.00.07.05.00.07</v>
      </c>
      <c r="Q41" s="160" t="s">
        <v>10530</v>
      </c>
      <c r="R41" s="169" t="str">
        <f t="shared" si="6"/>
        <v>Sản phẩm Data Analytics</v>
      </c>
      <c r="S41" s="97" t="s">
        <v>10556</v>
      </c>
      <c r="T41" s="97" t="s">
        <v>10575</v>
      </c>
      <c r="U41" s="96" t="s">
        <v>453</v>
      </c>
      <c r="V41" s="96" t="s">
        <v>47</v>
      </c>
      <c r="W41" s="96" t="s">
        <v>4502</v>
      </c>
      <c r="X41" s="96"/>
      <c r="Y41" s="96"/>
      <c r="Z41" s="98" t="s">
        <v>10576</v>
      </c>
      <c r="AA41" s="153" t="s">
        <v>10530</v>
      </c>
      <c r="AB41" s="91"/>
      <c r="AC41" s="91"/>
      <c r="AD41" s="91"/>
    </row>
    <row r="42" ht="15.75" customHeight="1" outlineLevel="1">
      <c r="A42" s="170" t="s">
        <v>10535</v>
      </c>
      <c r="B42" s="57" t="s">
        <v>26</v>
      </c>
      <c r="C42" s="51" t="s">
        <v>27</v>
      </c>
      <c r="D42" s="52" t="s">
        <v>4</v>
      </c>
      <c r="E42" s="53" t="s">
        <v>27</v>
      </c>
      <c r="F42" s="52" t="s">
        <v>4</v>
      </c>
      <c r="G42" s="52" t="s">
        <v>46</v>
      </c>
      <c r="H42" s="171" t="s">
        <v>47</v>
      </c>
      <c r="I42" s="175" t="s">
        <v>42</v>
      </c>
      <c r="J42" s="176" t="s">
        <v>4502</v>
      </c>
      <c r="K42" s="175" t="s">
        <v>29</v>
      </c>
      <c r="L42" s="176" t="s">
        <v>4864</v>
      </c>
      <c r="M42" s="52" t="s">
        <v>46</v>
      </c>
      <c r="N42" s="54" t="s">
        <v>10496</v>
      </c>
      <c r="O42" s="55" t="str">
        <f t="shared" si="4"/>
        <v>L1.00.00.07.05.01</v>
      </c>
      <c r="P42" s="55" t="str">
        <f t="shared" si="5"/>
        <v>L1.00.00.07.05.01.07</v>
      </c>
      <c r="Q42" s="160" t="s">
        <v>10530</v>
      </c>
      <c r="R42" s="169" t="str">
        <f t="shared" si="6"/>
        <v>Dự án MISA Customer Profile</v>
      </c>
      <c r="S42" s="97" t="s">
        <v>10577</v>
      </c>
      <c r="T42" s="96" t="s">
        <v>4865</v>
      </c>
      <c r="U42" s="96" t="s">
        <v>453</v>
      </c>
      <c r="V42" s="96" t="s">
        <v>47</v>
      </c>
      <c r="W42" s="96" t="s">
        <v>4502</v>
      </c>
      <c r="X42" s="96" t="s">
        <v>4864</v>
      </c>
      <c r="Y42" s="96"/>
      <c r="Z42" s="98" t="s">
        <v>10578</v>
      </c>
      <c r="AA42" s="153" t="s">
        <v>10530</v>
      </c>
      <c r="AB42" s="91"/>
      <c r="AC42" s="91"/>
      <c r="AD42" s="91"/>
    </row>
    <row r="43" ht="15.75" customHeight="1" outlineLevel="1">
      <c r="A43" s="170" t="s">
        <v>10535</v>
      </c>
      <c r="B43" s="57" t="s">
        <v>26</v>
      </c>
      <c r="C43" s="51" t="s">
        <v>27</v>
      </c>
      <c r="D43" s="52" t="s">
        <v>4</v>
      </c>
      <c r="E43" s="53" t="s">
        <v>27</v>
      </c>
      <c r="F43" s="52" t="s">
        <v>4</v>
      </c>
      <c r="G43" s="52" t="s">
        <v>46</v>
      </c>
      <c r="H43" s="171" t="s">
        <v>47</v>
      </c>
      <c r="I43" s="175" t="s">
        <v>42</v>
      </c>
      <c r="J43" s="176" t="s">
        <v>4502</v>
      </c>
      <c r="K43" s="177" t="s">
        <v>33</v>
      </c>
      <c r="L43" s="176" t="s">
        <v>4501</v>
      </c>
      <c r="M43" s="52" t="s">
        <v>46</v>
      </c>
      <c r="N43" s="54" t="s">
        <v>10496</v>
      </c>
      <c r="O43" s="55" t="str">
        <f t="shared" si="4"/>
        <v>L1.00.00.07.05.02</v>
      </c>
      <c r="P43" s="55" t="str">
        <f t="shared" si="5"/>
        <v>L1.00.00.07.05.02.07</v>
      </c>
      <c r="Q43" s="160" t="s">
        <v>10530</v>
      </c>
      <c r="R43" s="169" t="str">
        <f t="shared" si="6"/>
        <v>[Data Analytics] Nhóm Phân tích và Thiết kế</v>
      </c>
      <c r="S43" s="97" t="s">
        <v>10577</v>
      </c>
      <c r="T43" s="96" t="s">
        <v>4503</v>
      </c>
      <c r="U43" s="96" t="s">
        <v>453</v>
      </c>
      <c r="V43" s="96" t="s">
        <v>47</v>
      </c>
      <c r="W43" s="96" t="s">
        <v>4502</v>
      </c>
      <c r="X43" s="96" t="s">
        <v>4501</v>
      </c>
      <c r="Y43" s="96"/>
      <c r="Z43" s="98" t="s">
        <v>10579</v>
      </c>
      <c r="AA43" s="153" t="s">
        <v>10530</v>
      </c>
      <c r="AB43" s="91"/>
      <c r="AC43" s="91"/>
      <c r="AD43" s="91"/>
    </row>
    <row r="44" ht="15.75" customHeight="1" outlineLevel="1">
      <c r="A44" s="170" t="s">
        <v>10535</v>
      </c>
      <c r="B44" s="57" t="s">
        <v>26</v>
      </c>
      <c r="C44" s="51" t="s">
        <v>27</v>
      </c>
      <c r="D44" s="52" t="s">
        <v>4</v>
      </c>
      <c r="E44" s="53" t="s">
        <v>27</v>
      </c>
      <c r="F44" s="52" t="s">
        <v>4</v>
      </c>
      <c r="G44" s="52" t="s">
        <v>46</v>
      </c>
      <c r="H44" s="171" t="s">
        <v>47</v>
      </c>
      <c r="I44" s="175" t="s">
        <v>44</v>
      </c>
      <c r="J44" s="176" t="s">
        <v>5038</v>
      </c>
      <c r="K44" s="172" t="s">
        <v>27</v>
      </c>
      <c r="L44" s="174" t="s">
        <v>4</v>
      </c>
      <c r="M44" s="52" t="s">
        <v>46</v>
      </c>
      <c r="N44" s="54" t="s">
        <v>10496</v>
      </c>
      <c r="O44" s="55" t="str">
        <f t="shared" si="4"/>
        <v>L1.00.00.07.06.00</v>
      </c>
      <c r="P44" s="55" t="str">
        <f t="shared" si="5"/>
        <v>L1.00.00.07.06.00.07</v>
      </c>
      <c r="Q44" s="160" t="s">
        <v>10530</v>
      </c>
      <c r="R44" s="169" t="str">
        <f t="shared" si="6"/>
        <v>Nhóm chuyên gia Ban CNTT</v>
      </c>
      <c r="S44" s="97" t="s">
        <v>10556</v>
      </c>
      <c r="T44" s="96" t="s">
        <v>5039</v>
      </c>
      <c r="U44" s="96" t="s">
        <v>453</v>
      </c>
      <c r="V44" s="96" t="s">
        <v>47</v>
      </c>
      <c r="W44" s="96" t="s">
        <v>5038</v>
      </c>
      <c r="X44" s="96"/>
      <c r="Y44" s="96"/>
      <c r="Z44" s="98" t="s">
        <v>10580</v>
      </c>
      <c r="AA44" s="153" t="s">
        <v>10530</v>
      </c>
      <c r="AB44" s="91"/>
      <c r="AC44" s="91"/>
      <c r="AD44" s="91"/>
    </row>
    <row r="45" ht="15.75" customHeight="1" outlineLevel="1">
      <c r="A45" s="170" t="s">
        <v>10535</v>
      </c>
      <c r="B45" s="57" t="s">
        <v>26</v>
      </c>
      <c r="C45" s="51" t="s">
        <v>27</v>
      </c>
      <c r="D45" s="52" t="s">
        <v>4</v>
      </c>
      <c r="E45" s="53" t="s">
        <v>27</v>
      </c>
      <c r="F45" s="52" t="s">
        <v>4</v>
      </c>
      <c r="G45" s="52" t="s">
        <v>49</v>
      </c>
      <c r="H45" s="171" t="s">
        <v>50</v>
      </c>
      <c r="I45" s="172" t="s">
        <v>27</v>
      </c>
      <c r="J45" s="172" t="s">
        <v>4</v>
      </c>
      <c r="K45" s="172" t="s">
        <v>27</v>
      </c>
      <c r="L45" s="174" t="s">
        <v>4</v>
      </c>
      <c r="M45" s="52" t="s">
        <v>46</v>
      </c>
      <c r="N45" s="54" t="s">
        <v>10496</v>
      </c>
      <c r="O45" s="55" t="str">
        <f t="shared" si="4"/>
        <v>L1.00.00.08.00.00</v>
      </c>
      <c r="P45" s="55" t="str">
        <f t="shared" si="5"/>
        <v>L1.00.00.08.00.00.07</v>
      </c>
      <c r="Q45" s="160" t="s">
        <v>10530</v>
      </c>
      <c r="R45" s="169" t="str">
        <f t="shared" si="6"/>
        <v>Ban An Ninh thông tin</v>
      </c>
      <c r="S45" s="169" t="s">
        <v>10536</v>
      </c>
      <c r="T45" s="169" t="s">
        <v>588</v>
      </c>
      <c r="U45" s="169" t="s">
        <v>453</v>
      </c>
      <c r="V45" s="169" t="s">
        <v>10581</v>
      </c>
      <c r="W45" s="96"/>
      <c r="X45" s="96"/>
      <c r="Y45" s="96"/>
      <c r="Z45" s="98" t="s">
        <v>10582</v>
      </c>
      <c r="AA45" s="153" t="s">
        <v>10530</v>
      </c>
      <c r="AB45" s="91"/>
      <c r="AC45" s="91"/>
      <c r="AD45" s="91"/>
    </row>
    <row r="46" ht="15.75" customHeight="1" outlineLevel="1">
      <c r="A46" s="170" t="s">
        <v>10535</v>
      </c>
      <c r="B46" s="57" t="s">
        <v>26</v>
      </c>
      <c r="C46" s="51" t="s">
        <v>27</v>
      </c>
      <c r="D46" s="52" t="s">
        <v>4</v>
      </c>
      <c r="E46" s="53" t="s">
        <v>27</v>
      </c>
      <c r="F46" s="52" t="s">
        <v>4</v>
      </c>
      <c r="G46" s="52" t="s">
        <v>51</v>
      </c>
      <c r="H46" s="171" t="s">
        <v>52</v>
      </c>
      <c r="I46" s="175" t="s">
        <v>27</v>
      </c>
      <c r="J46" s="195" t="s">
        <v>4</v>
      </c>
      <c r="K46" s="172" t="s">
        <v>27</v>
      </c>
      <c r="L46" s="174" t="s">
        <v>4</v>
      </c>
      <c r="M46" s="52" t="s">
        <v>46</v>
      </c>
      <c r="N46" s="54" t="s">
        <v>10496</v>
      </c>
      <c r="O46" s="55" t="str">
        <f t="shared" si="4"/>
        <v>L1.00.00.09.00.00</v>
      </c>
      <c r="P46" s="55" t="str">
        <f t="shared" si="5"/>
        <v>L1.00.00.09.00.00.07</v>
      </c>
      <c r="Q46" s="160" t="s">
        <v>10530</v>
      </c>
      <c r="R46" s="169" t="str">
        <f t="shared" si="6"/>
        <v>Viện Công nghệ</v>
      </c>
      <c r="S46" s="97" t="s">
        <v>10536</v>
      </c>
      <c r="T46" s="97" t="s">
        <v>10583</v>
      </c>
      <c r="U46" s="96" t="s">
        <v>453</v>
      </c>
      <c r="V46" s="96" t="s">
        <v>52</v>
      </c>
      <c r="W46" s="96"/>
      <c r="X46" s="96"/>
      <c r="Y46" s="96"/>
      <c r="Z46" s="98" t="s">
        <v>10584</v>
      </c>
      <c r="AA46" s="153" t="s">
        <v>10530</v>
      </c>
      <c r="AB46" s="91"/>
      <c r="AC46" s="91"/>
      <c r="AD46" s="91"/>
    </row>
    <row r="47" ht="15.75" customHeight="1" outlineLevel="1">
      <c r="A47" s="170" t="s">
        <v>10535</v>
      </c>
      <c r="B47" s="57" t="s">
        <v>26</v>
      </c>
      <c r="C47" s="51" t="s">
        <v>27</v>
      </c>
      <c r="D47" s="52" t="s">
        <v>4</v>
      </c>
      <c r="E47" s="53" t="s">
        <v>27</v>
      </c>
      <c r="F47" s="52" t="s">
        <v>4</v>
      </c>
      <c r="G47" s="52" t="s">
        <v>51</v>
      </c>
      <c r="H47" s="171" t="s">
        <v>52</v>
      </c>
      <c r="I47" s="172" t="s">
        <v>29</v>
      </c>
      <c r="J47" s="173" t="s">
        <v>53</v>
      </c>
      <c r="K47" s="172" t="s">
        <v>27</v>
      </c>
      <c r="L47" s="174" t="s">
        <v>4</v>
      </c>
      <c r="M47" s="52" t="s">
        <v>46</v>
      </c>
      <c r="N47" s="54" t="s">
        <v>10496</v>
      </c>
      <c r="O47" s="55" t="str">
        <f t="shared" si="4"/>
        <v>L1.00.00.09.01.00</v>
      </c>
      <c r="P47" s="55" t="str">
        <f t="shared" si="5"/>
        <v>L1.00.00.09.01.00.07</v>
      </c>
      <c r="Q47" s="160" t="s">
        <v>10530</v>
      </c>
      <c r="R47" s="169" t="str">
        <f t="shared" si="6"/>
        <v>Ban Giám đốc Viện</v>
      </c>
      <c r="S47" s="97" t="s">
        <v>10585</v>
      </c>
      <c r="T47" s="96" t="s">
        <v>6947</v>
      </c>
      <c r="U47" s="96" t="s">
        <v>453</v>
      </c>
      <c r="V47" s="96" t="s">
        <v>52</v>
      </c>
      <c r="W47" s="96" t="s">
        <v>6946</v>
      </c>
      <c r="X47" s="96"/>
      <c r="Y47" s="96"/>
      <c r="Z47" s="98" t="s">
        <v>10586</v>
      </c>
      <c r="AA47" s="153" t="s">
        <v>10530</v>
      </c>
      <c r="AB47" s="91"/>
      <c r="AC47" s="91"/>
      <c r="AD47" s="91"/>
    </row>
    <row r="48" ht="15.75" customHeight="1" outlineLevel="1">
      <c r="A48" s="170" t="s">
        <v>10535</v>
      </c>
      <c r="B48" s="57" t="s">
        <v>26</v>
      </c>
      <c r="C48" s="51" t="s">
        <v>27</v>
      </c>
      <c r="D48" s="52" t="s">
        <v>4</v>
      </c>
      <c r="E48" s="53" t="s">
        <v>27</v>
      </c>
      <c r="F48" s="52" t="s">
        <v>4</v>
      </c>
      <c r="G48" s="52" t="s">
        <v>51</v>
      </c>
      <c r="H48" s="171" t="s">
        <v>52</v>
      </c>
      <c r="I48" s="172" t="s">
        <v>33</v>
      </c>
      <c r="J48" s="173" t="s">
        <v>54</v>
      </c>
      <c r="K48" s="172" t="s">
        <v>27</v>
      </c>
      <c r="L48" s="194" t="s">
        <v>4</v>
      </c>
      <c r="M48" s="52" t="s">
        <v>46</v>
      </c>
      <c r="N48" s="54" t="s">
        <v>10496</v>
      </c>
      <c r="O48" s="55" t="str">
        <f t="shared" si="4"/>
        <v>L1.00.00.09.02.00</v>
      </c>
      <c r="P48" s="55" t="str">
        <f t="shared" si="5"/>
        <v>L1.00.00.09.02.00.07</v>
      </c>
      <c r="Q48" s="160" t="s">
        <v>10530</v>
      </c>
      <c r="R48" s="169" t="str">
        <f t="shared" si="6"/>
        <v>Phòng Nghiên cứu công nghệ</v>
      </c>
      <c r="S48" s="97" t="s">
        <v>10585</v>
      </c>
      <c r="T48" s="96" t="s">
        <v>3267</v>
      </c>
      <c r="U48" s="96" t="s">
        <v>453</v>
      </c>
      <c r="V48" s="96" t="s">
        <v>52</v>
      </c>
      <c r="W48" s="96" t="s">
        <v>638</v>
      </c>
      <c r="X48" s="96"/>
      <c r="Y48" s="96"/>
      <c r="Z48" s="98" t="s">
        <v>10587</v>
      </c>
      <c r="AA48" s="153" t="s">
        <v>10530</v>
      </c>
      <c r="AB48" s="91"/>
      <c r="AC48" s="91"/>
      <c r="AD48" s="91"/>
    </row>
    <row r="49" ht="15.75" customHeight="1" outlineLevel="1">
      <c r="A49" s="196" t="s">
        <v>10535</v>
      </c>
      <c r="B49" s="197" t="s">
        <v>26</v>
      </c>
      <c r="C49" s="197" t="s">
        <v>27</v>
      </c>
      <c r="D49" s="198" t="s">
        <v>4</v>
      </c>
      <c r="E49" s="199" t="s">
        <v>27</v>
      </c>
      <c r="F49" s="198" t="s">
        <v>4</v>
      </c>
      <c r="G49" s="198" t="s">
        <v>51</v>
      </c>
      <c r="H49" s="200" t="s">
        <v>52</v>
      </c>
      <c r="I49" s="198" t="s">
        <v>33</v>
      </c>
      <c r="J49" s="201" t="s">
        <v>54</v>
      </c>
      <c r="K49" s="197" t="s">
        <v>29</v>
      </c>
      <c r="L49" s="202" t="s">
        <v>10588</v>
      </c>
      <c r="M49" s="198" t="s">
        <v>46</v>
      </c>
      <c r="N49" s="200" t="s">
        <v>10496</v>
      </c>
      <c r="O49" s="201" t="str">
        <f t="shared" si="4"/>
        <v>L1.00.00.09.02.01</v>
      </c>
      <c r="P49" s="201" t="str">
        <f t="shared" si="5"/>
        <v>L1.00.00.09.02.01.07</v>
      </c>
      <c r="Q49" s="203" t="s">
        <v>10530</v>
      </c>
      <c r="R49" s="204" t="str">
        <f t="shared" si="6"/>
        <v>Dự án AI (bỏ)</v>
      </c>
      <c r="S49" s="202" t="s">
        <v>10589</v>
      </c>
      <c r="T49" s="205" t="s">
        <v>639</v>
      </c>
      <c r="U49" s="205" t="s">
        <v>453</v>
      </c>
      <c r="V49" s="205" t="s">
        <v>52</v>
      </c>
      <c r="W49" s="205" t="s">
        <v>638</v>
      </c>
      <c r="X49" s="205" t="s">
        <v>637</v>
      </c>
      <c r="Y49" s="205"/>
      <c r="Z49" s="206" t="s">
        <v>10590</v>
      </c>
      <c r="AA49" s="207" t="s">
        <v>10530</v>
      </c>
      <c r="AB49" s="208"/>
      <c r="AC49" s="564" t="s">
        <v>11605</v>
      </c>
      <c r="AD49" s="208"/>
    </row>
    <row r="50" ht="15.75" customHeight="1" outlineLevel="1">
      <c r="A50" s="196" t="s">
        <v>10535</v>
      </c>
      <c r="B50" s="197" t="s">
        <v>26</v>
      </c>
      <c r="C50" s="197" t="s">
        <v>27</v>
      </c>
      <c r="D50" s="198" t="s">
        <v>4</v>
      </c>
      <c r="E50" s="199" t="s">
        <v>27</v>
      </c>
      <c r="F50" s="198" t="s">
        <v>4</v>
      </c>
      <c r="G50" s="198" t="s">
        <v>51</v>
      </c>
      <c r="H50" s="200" t="s">
        <v>52</v>
      </c>
      <c r="I50" s="198" t="s">
        <v>33</v>
      </c>
      <c r="J50" s="201" t="s">
        <v>54</v>
      </c>
      <c r="K50" s="197" t="s">
        <v>33</v>
      </c>
      <c r="L50" s="202" t="s">
        <v>10591</v>
      </c>
      <c r="M50" s="198" t="s">
        <v>46</v>
      </c>
      <c r="N50" s="200" t="s">
        <v>10496</v>
      </c>
      <c r="O50" s="201" t="str">
        <f t="shared" si="4"/>
        <v>L1.00.00.09.02.02</v>
      </c>
      <c r="P50" s="201" t="str">
        <f t="shared" si="5"/>
        <v>L1.00.00.09.02.02.07</v>
      </c>
      <c r="Q50" s="203" t="s">
        <v>10530</v>
      </c>
      <c r="R50" s="204" t="str">
        <f t="shared" si="6"/>
        <v>[AI] Nhóm Phân tích và Thiết kế (bỏ)</v>
      </c>
      <c r="S50" s="202" t="s">
        <v>10589</v>
      </c>
      <c r="T50" s="205" t="s">
        <v>9468</v>
      </c>
      <c r="U50" s="205" t="s">
        <v>453</v>
      </c>
      <c r="V50" s="205" t="s">
        <v>52</v>
      </c>
      <c r="W50" s="205" t="s">
        <v>638</v>
      </c>
      <c r="X50" s="205" t="s">
        <v>9467</v>
      </c>
      <c r="Y50" s="205"/>
      <c r="Z50" s="206" t="s">
        <v>10592</v>
      </c>
      <c r="AA50" s="207" t="s">
        <v>10530</v>
      </c>
      <c r="AB50" s="208"/>
      <c r="AC50" s="564" t="s">
        <v>11605</v>
      </c>
      <c r="AD50" s="208"/>
    </row>
    <row r="51" ht="15.75" customHeight="1" outlineLevel="1">
      <c r="A51" s="170" t="s">
        <v>10535</v>
      </c>
      <c r="B51" s="57" t="s">
        <v>26</v>
      </c>
      <c r="C51" s="51" t="s">
        <v>27</v>
      </c>
      <c r="D51" s="52" t="s">
        <v>4</v>
      </c>
      <c r="E51" s="53" t="s">
        <v>27</v>
      </c>
      <c r="F51" s="52" t="s">
        <v>4</v>
      </c>
      <c r="G51" s="52" t="s">
        <v>51</v>
      </c>
      <c r="H51" s="171" t="s">
        <v>52</v>
      </c>
      <c r="I51" s="172" t="s">
        <v>35</v>
      </c>
      <c r="J51" s="176" t="s">
        <v>2874</v>
      </c>
      <c r="K51" s="172" t="s">
        <v>27</v>
      </c>
      <c r="L51" s="174" t="s">
        <v>4</v>
      </c>
      <c r="M51" s="52" t="s">
        <v>46</v>
      </c>
      <c r="N51" s="54" t="s">
        <v>10496</v>
      </c>
      <c r="O51" s="55" t="str">
        <f t="shared" si="4"/>
        <v>L1.00.00.09.03.00</v>
      </c>
      <c r="P51" s="55" t="str">
        <f t="shared" si="5"/>
        <v>L1.00.00.09.03.00.07</v>
      </c>
      <c r="Q51" s="160" t="s">
        <v>10530</v>
      </c>
      <c r="R51" s="169" t="str">
        <f t="shared" si="6"/>
        <v>Dự án MISA Core Project</v>
      </c>
      <c r="S51" s="97" t="s">
        <v>10585</v>
      </c>
      <c r="T51" s="96" t="s">
        <v>2875</v>
      </c>
      <c r="U51" s="96" t="s">
        <v>453</v>
      </c>
      <c r="V51" s="96" t="s">
        <v>52</v>
      </c>
      <c r="W51" s="96" t="s">
        <v>2874</v>
      </c>
      <c r="X51" s="96"/>
      <c r="Y51" s="96"/>
      <c r="Z51" s="98" t="s">
        <v>10593</v>
      </c>
      <c r="AA51" s="153" t="s">
        <v>10530</v>
      </c>
      <c r="AB51" s="91"/>
      <c r="AC51" s="91"/>
      <c r="AD51" s="91"/>
    </row>
    <row r="52" ht="15.75" customHeight="1" outlineLevel="1">
      <c r="A52" s="170" t="s">
        <v>10535</v>
      </c>
      <c r="B52" s="57" t="s">
        <v>26</v>
      </c>
      <c r="C52" s="51" t="s">
        <v>27</v>
      </c>
      <c r="D52" s="52" t="s">
        <v>4</v>
      </c>
      <c r="E52" s="53" t="s">
        <v>27</v>
      </c>
      <c r="F52" s="52" t="s">
        <v>4</v>
      </c>
      <c r="G52" s="52" t="s">
        <v>51</v>
      </c>
      <c r="H52" s="171" t="s">
        <v>52</v>
      </c>
      <c r="I52" s="175" t="s">
        <v>37</v>
      </c>
      <c r="J52" s="176" t="s">
        <v>3549</v>
      </c>
      <c r="K52" s="172" t="s">
        <v>27</v>
      </c>
      <c r="L52" s="174" t="s">
        <v>4</v>
      </c>
      <c r="M52" s="52" t="s">
        <v>46</v>
      </c>
      <c r="N52" s="54" t="s">
        <v>10496</v>
      </c>
      <c r="O52" s="55" t="str">
        <f t="shared" si="4"/>
        <v>L1.00.00.09.04.00</v>
      </c>
      <c r="P52" s="55" t="str">
        <f t="shared" si="5"/>
        <v>L1.00.00.09.04.00.07</v>
      </c>
      <c r="Q52" s="160" t="s">
        <v>10530</v>
      </c>
      <c r="R52" s="169" t="str">
        <f t="shared" si="6"/>
        <v>Dự án giám sát</v>
      </c>
      <c r="S52" s="97" t="s">
        <v>10585</v>
      </c>
      <c r="T52" s="96" t="s">
        <v>3550</v>
      </c>
      <c r="U52" s="96" t="s">
        <v>453</v>
      </c>
      <c r="V52" s="96" t="s">
        <v>52</v>
      </c>
      <c r="W52" s="96" t="s">
        <v>3549</v>
      </c>
      <c r="X52" s="96"/>
      <c r="Y52" s="96"/>
      <c r="Z52" s="98" t="s">
        <v>10594</v>
      </c>
      <c r="AA52" s="153" t="s">
        <v>10530</v>
      </c>
      <c r="AB52" s="91"/>
      <c r="AC52" s="91"/>
      <c r="AD52" s="91"/>
    </row>
    <row r="53" ht="15.75" customHeight="1" outlineLevel="1">
      <c r="A53" s="178" t="s">
        <v>10535</v>
      </c>
      <c r="B53" s="179" t="s">
        <v>26</v>
      </c>
      <c r="C53" s="180" t="s">
        <v>27</v>
      </c>
      <c r="D53" s="64" t="s">
        <v>4</v>
      </c>
      <c r="E53" s="71" t="s">
        <v>27</v>
      </c>
      <c r="F53" s="64" t="s">
        <v>4</v>
      </c>
      <c r="G53" s="64" t="s">
        <v>51</v>
      </c>
      <c r="H53" s="181" t="s">
        <v>52</v>
      </c>
      <c r="I53" s="182" t="s">
        <v>42</v>
      </c>
      <c r="J53" s="184" t="s">
        <v>10595</v>
      </c>
      <c r="K53" s="209" t="s">
        <v>27</v>
      </c>
      <c r="L53" s="210" t="s">
        <v>4</v>
      </c>
      <c r="M53" s="64" t="s">
        <v>46</v>
      </c>
      <c r="N53" s="70" t="s">
        <v>10496</v>
      </c>
      <c r="O53" s="58" t="str">
        <f t="shared" si="4"/>
        <v>L1.00.00.09.05.00</v>
      </c>
      <c r="P53" s="58" t="str">
        <f t="shared" si="5"/>
        <v>L1.00.00.09.05.00.07</v>
      </c>
      <c r="Q53" s="185" t="s">
        <v>10530</v>
      </c>
      <c r="R53" s="186" t="str">
        <f t="shared" si="6"/>
        <v> Sản phẩm AI</v>
      </c>
      <c r="S53" s="187" t="str">
        <f>P46</f>
        <v>L1.00.00.09.00.00.07</v>
      </c>
      <c r="T53" s="211" t="s">
        <v>10596</v>
      </c>
      <c r="U53" s="189" t="s">
        <v>453</v>
      </c>
      <c r="V53" s="189" t="s">
        <v>52</v>
      </c>
      <c r="W53" s="211" t="s">
        <v>10597</v>
      </c>
      <c r="X53" s="189"/>
      <c r="Y53" s="189"/>
      <c r="Z53" s="191" t="s">
        <v>10598</v>
      </c>
      <c r="AA53" s="192" t="s">
        <v>10530</v>
      </c>
      <c r="AB53" s="193"/>
      <c r="AC53" s="563" t="s">
        <v>11606</v>
      </c>
      <c r="AD53" s="193"/>
    </row>
    <row r="54" ht="15.75" customHeight="1" outlineLevel="1">
      <c r="A54" s="178" t="s">
        <v>10535</v>
      </c>
      <c r="B54" s="179" t="s">
        <v>26</v>
      </c>
      <c r="C54" s="180" t="s">
        <v>27</v>
      </c>
      <c r="D54" s="64" t="s">
        <v>4</v>
      </c>
      <c r="E54" s="71" t="s">
        <v>27</v>
      </c>
      <c r="F54" s="64" t="s">
        <v>4</v>
      </c>
      <c r="G54" s="64" t="s">
        <v>51</v>
      </c>
      <c r="H54" s="181" t="s">
        <v>52</v>
      </c>
      <c r="I54" s="182" t="s">
        <v>42</v>
      </c>
      <c r="J54" s="184" t="s">
        <v>10595</v>
      </c>
      <c r="K54" s="182" t="s">
        <v>29</v>
      </c>
      <c r="L54" s="212" t="s">
        <v>10599</v>
      </c>
      <c r="M54" s="64" t="s">
        <v>46</v>
      </c>
      <c r="N54" s="70" t="s">
        <v>10496</v>
      </c>
      <c r="O54" s="58" t="str">
        <f t="shared" si="4"/>
        <v>L1.00.00.09.05.01</v>
      </c>
      <c r="P54" s="58" t="str">
        <f t="shared" si="5"/>
        <v>L1.00.00.09.05.01.07</v>
      </c>
      <c r="Q54" s="185" t="s">
        <v>10530</v>
      </c>
      <c r="R54" s="186" t="str">
        <f t="shared" si="6"/>
        <v>Dự án AI (NLP)</v>
      </c>
      <c r="S54" s="187" t="str">
        <f>P53</f>
        <v>L1.00.00.09.05.00.07</v>
      </c>
      <c r="T54" s="213" t="s">
        <v>10600</v>
      </c>
      <c r="U54" s="189" t="s">
        <v>453</v>
      </c>
      <c r="V54" s="189" t="s">
        <v>52</v>
      </c>
      <c r="W54" s="213" t="s">
        <v>10599</v>
      </c>
      <c r="X54" s="189"/>
      <c r="Y54" s="189"/>
      <c r="Z54" s="191" t="s">
        <v>10601</v>
      </c>
      <c r="AA54" s="192" t="s">
        <v>10530</v>
      </c>
      <c r="AB54" s="193"/>
      <c r="AC54" s="563" t="s">
        <v>11606</v>
      </c>
      <c r="AD54" s="193"/>
    </row>
    <row r="55" ht="15.75" customHeight="1" outlineLevel="1">
      <c r="A55" s="178" t="s">
        <v>10535</v>
      </c>
      <c r="B55" s="179" t="s">
        <v>26</v>
      </c>
      <c r="C55" s="180" t="s">
        <v>27</v>
      </c>
      <c r="D55" s="64" t="s">
        <v>4</v>
      </c>
      <c r="E55" s="71" t="s">
        <v>27</v>
      </c>
      <c r="F55" s="64" t="s">
        <v>4</v>
      </c>
      <c r="G55" s="64" t="s">
        <v>51</v>
      </c>
      <c r="H55" s="181" t="s">
        <v>52</v>
      </c>
      <c r="I55" s="182" t="s">
        <v>42</v>
      </c>
      <c r="J55" s="184" t="s">
        <v>10595</v>
      </c>
      <c r="K55" s="182" t="s">
        <v>33</v>
      </c>
      <c r="L55" s="212" t="s">
        <v>10602</v>
      </c>
      <c r="M55" s="64" t="s">
        <v>46</v>
      </c>
      <c r="N55" s="70" t="s">
        <v>10496</v>
      </c>
      <c r="O55" s="58" t="str">
        <f t="shared" si="4"/>
        <v>L1.00.00.09.05.02</v>
      </c>
      <c r="P55" s="58" t="str">
        <f t="shared" si="5"/>
        <v>L1.00.00.09.05.02.07</v>
      </c>
      <c r="Q55" s="185" t="s">
        <v>10530</v>
      </c>
      <c r="R55" s="186" t="str">
        <f t="shared" si="6"/>
        <v>Dự án AI (Computer vision)</v>
      </c>
      <c r="S55" s="187" t="str">
        <f>P53</f>
        <v>L1.00.00.09.05.00.07</v>
      </c>
      <c r="T55" s="213" t="s">
        <v>10603</v>
      </c>
      <c r="U55" s="189" t="s">
        <v>453</v>
      </c>
      <c r="V55" s="189" t="s">
        <v>52</v>
      </c>
      <c r="W55" s="213" t="s">
        <v>10602</v>
      </c>
      <c r="X55" s="189"/>
      <c r="Y55" s="189"/>
      <c r="Z55" s="191" t="s">
        <v>10604</v>
      </c>
      <c r="AA55" s="192" t="s">
        <v>10530</v>
      </c>
      <c r="AB55" s="193"/>
      <c r="AC55" s="563" t="s">
        <v>11606</v>
      </c>
      <c r="AD55" s="193"/>
    </row>
    <row r="56" ht="15.75" customHeight="1" outlineLevel="1">
      <c r="A56" s="178" t="s">
        <v>10535</v>
      </c>
      <c r="B56" s="179" t="s">
        <v>26</v>
      </c>
      <c r="C56" s="180" t="s">
        <v>27</v>
      </c>
      <c r="D56" s="64" t="s">
        <v>4</v>
      </c>
      <c r="E56" s="71" t="s">
        <v>27</v>
      </c>
      <c r="F56" s="64" t="s">
        <v>4</v>
      </c>
      <c r="G56" s="64" t="s">
        <v>51</v>
      </c>
      <c r="H56" s="181" t="s">
        <v>52</v>
      </c>
      <c r="I56" s="182" t="s">
        <v>42</v>
      </c>
      <c r="J56" s="184" t="s">
        <v>10595</v>
      </c>
      <c r="K56" s="182" t="s">
        <v>35</v>
      </c>
      <c r="L56" s="212" t="s">
        <v>10605</v>
      </c>
      <c r="M56" s="64" t="s">
        <v>46</v>
      </c>
      <c r="N56" s="70" t="s">
        <v>10496</v>
      </c>
      <c r="O56" s="58" t="str">
        <f t="shared" si="4"/>
        <v>L1.00.00.09.05.03</v>
      </c>
      <c r="P56" s="58" t="str">
        <f t="shared" si="5"/>
        <v>L1.00.00.09.05.03.07</v>
      </c>
      <c r="Q56" s="185" t="s">
        <v>10530</v>
      </c>
      <c r="R56" s="186" t="str">
        <f t="shared" si="6"/>
        <v>[AI] Nhóm Phân tích &amp; Thiết kế</v>
      </c>
      <c r="S56" s="187" t="str">
        <f>P53</f>
        <v>L1.00.00.09.05.00.07</v>
      </c>
      <c r="T56" s="213" t="s">
        <v>10606</v>
      </c>
      <c r="U56" s="189" t="s">
        <v>453</v>
      </c>
      <c r="V56" s="189" t="s">
        <v>52</v>
      </c>
      <c r="W56" s="213" t="s">
        <v>10605</v>
      </c>
      <c r="X56" s="189"/>
      <c r="Y56" s="189"/>
      <c r="Z56" s="191" t="s">
        <v>10607</v>
      </c>
      <c r="AA56" s="192" t="s">
        <v>10530</v>
      </c>
      <c r="AB56" s="193"/>
      <c r="AC56" s="563" t="s">
        <v>11606</v>
      </c>
      <c r="AD56" s="193"/>
    </row>
    <row r="57" ht="15.75" customHeight="1" outlineLevel="1">
      <c r="A57" s="170" t="s">
        <v>10535</v>
      </c>
      <c r="B57" s="51" t="s">
        <v>26</v>
      </c>
      <c r="C57" s="51" t="s">
        <v>27</v>
      </c>
      <c r="D57" s="52" t="s">
        <v>4</v>
      </c>
      <c r="E57" s="53" t="s">
        <v>27</v>
      </c>
      <c r="F57" s="52" t="s">
        <v>4</v>
      </c>
      <c r="G57" s="52" t="s">
        <v>55</v>
      </c>
      <c r="H57" s="176" t="s">
        <v>454</v>
      </c>
      <c r="I57" s="175" t="s">
        <v>27</v>
      </c>
      <c r="J57" s="195" t="s">
        <v>4</v>
      </c>
      <c r="K57" s="172" t="s">
        <v>27</v>
      </c>
      <c r="L57" s="174" t="s">
        <v>4</v>
      </c>
      <c r="M57" s="52" t="s">
        <v>46</v>
      </c>
      <c r="N57" s="54" t="s">
        <v>10496</v>
      </c>
      <c r="O57" s="55" t="str">
        <f t="shared" si="4"/>
        <v>L1.00.00.10.00.00</v>
      </c>
      <c r="P57" s="55" t="str">
        <f t="shared" si="5"/>
        <v>L1.00.00.10.00.00.07</v>
      </c>
      <c r="Q57" s="160" t="s">
        <v>10530</v>
      </c>
      <c r="R57" s="169" t="str">
        <f t="shared" si="6"/>
        <v>Khối sản phẩm Doanh nghiệp</v>
      </c>
      <c r="S57" s="97" t="s">
        <v>10536</v>
      </c>
      <c r="T57" s="97" t="s">
        <v>10608</v>
      </c>
      <c r="U57" s="96" t="s">
        <v>453</v>
      </c>
      <c r="V57" s="96" t="s">
        <v>454</v>
      </c>
      <c r="W57" s="96"/>
      <c r="X57" s="96"/>
      <c r="Y57" s="96"/>
      <c r="Z57" s="98" t="s">
        <v>10609</v>
      </c>
      <c r="AA57" s="153" t="s">
        <v>10530</v>
      </c>
      <c r="AB57" s="91"/>
      <c r="AC57" s="91"/>
      <c r="AD57" s="91"/>
    </row>
    <row r="58" ht="15.75" customHeight="1" outlineLevel="1">
      <c r="A58" s="170" t="s">
        <v>10535</v>
      </c>
      <c r="B58" s="51" t="s">
        <v>26</v>
      </c>
      <c r="C58" s="51" t="s">
        <v>27</v>
      </c>
      <c r="D58" s="52" t="s">
        <v>4</v>
      </c>
      <c r="E58" s="53" t="s">
        <v>27</v>
      </c>
      <c r="F58" s="52" t="s">
        <v>4</v>
      </c>
      <c r="G58" s="52" t="s">
        <v>55</v>
      </c>
      <c r="H58" s="176" t="s">
        <v>454</v>
      </c>
      <c r="I58" s="172" t="s">
        <v>29</v>
      </c>
      <c r="J58" s="214" t="s">
        <v>4671</v>
      </c>
      <c r="K58" s="172" t="s">
        <v>27</v>
      </c>
      <c r="L58" s="174" t="s">
        <v>4</v>
      </c>
      <c r="M58" s="52" t="s">
        <v>46</v>
      </c>
      <c r="N58" s="54" t="s">
        <v>10496</v>
      </c>
      <c r="O58" s="55" t="str">
        <f t="shared" si="4"/>
        <v>L1.00.00.10.01.00</v>
      </c>
      <c r="P58" s="55" t="str">
        <f t="shared" si="5"/>
        <v>L1.00.00.10.01.00.07</v>
      </c>
      <c r="Q58" s="160" t="s">
        <v>10530</v>
      </c>
      <c r="R58" s="169" t="str">
        <f t="shared" si="6"/>
        <v>Ban Giám đốc Khối SP Doanh nghiệp</v>
      </c>
      <c r="S58" s="97" t="s">
        <v>10610</v>
      </c>
      <c r="T58" s="96" t="s">
        <v>4672</v>
      </c>
      <c r="U58" s="96" t="s">
        <v>453</v>
      </c>
      <c r="V58" s="96" t="s">
        <v>454</v>
      </c>
      <c r="W58" s="96" t="s">
        <v>4671</v>
      </c>
      <c r="X58" s="96"/>
      <c r="Y58" s="96"/>
      <c r="Z58" s="98" t="s">
        <v>10611</v>
      </c>
      <c r="AA58" s="153" t="s">
        <v>10530</v>
      </c>
      <c r="AB58" s="91"/>
      <c r="AC58" s="91"/>
      <c r="AD58" s="91"/>
    </row>
    <row r="59" ht="15.75" customHeight="1" outlineLevel="1">
      <c r="A59" s="170" t="s">
        <v>10535</v>
      </c>
      <c r="B59" s="51" t="s">
        <v>26</v>
      </c>
      <c r="C59" s="51" t="s">
        <v>27</v>
      </c>
      <c r="D59" s="52" t="s">
        <v>4</v>
      </c>
      <c r="E59" s="53" t="s">
        <v>27</v>
      </c>
      <c r="F59" s="52" t="s">
        <v>4</v>
      </c>
      <c r="G59" s="52" t="s">
        <v>55</v>
      </c>
      <c r="H59" s="176" t="s">
        <v>454</v>
      </c>
      <c r="I59" s="172" t="s">
        <v>33</v>
      </c>
      <c r="J59" s="176" t="s">
        <v>3163</v>
      </c>
      <c r="K59" s="172" t="s">
        <v>27</v>
      </c>
      <c r="L59" s="174" t="s">
        <v>4</v>
      </c>
      <c r="M59" s="52" t="s">
        <v>46</v>
      </c>
      <c r="N59" s="54" t="s">
        <v>10496</v>
      </c>
      <c r="O59" s="55" t="str">
        <f t="shared" si="4"/>
        <v>L1.00.00.10.02.00</v>
      </c>
      <c r="P59" s="55" t="str">
        <f t="shared" si="5"/>
        <v>L1.00.00.10.02.00.07</v>
      </c>
      <c r="Q59" s="160" t="s">
        <v>10530</v>
      </c>
      <c r="R59" s="169" t="str">
        <f t="shared" si="6"/>
        <v>Dự án Automation Test</v>
      </c>
      <c r="S59" s="97" t="s">
        <v>10610</v>
      </c>
      <c r="T59" s="96" t="s">
        <v>3164</v>
      </c>
      <c r="U59" s="96" t="s">
        <v>453</v>
      </c>
      <c r="V59" s="96" t="s">
        <v>454</v>
      </c>
      <c r="W59" s="96" t="s">
        <v>3163</v>
      </c>
      <c r="X59" s="96"/>
      <c r="Y59" s="96"/>
      <c r="Z59" s="98" t="s">
        <v>10612</v>
      </c>
      <c r="AA59" s="153" t="s">
        <v>10530</v>
      </c>
      <c r="AB59" s="91"/>
      <c r="AC59" s="91"/>
      <c r="AD59" s="91"/>
    </row>
    <row r="60" ht="15.75" customHeight="1" outlineLevel="1">
      <c r="A60" s="170" t="s">
        <v>10535</v>
      </c>
      <c r="B60" s="51" t="s">
        <v>26</v>
      </c>
      <c r="C60" s="51" t="s">
        <v>27</v>
      </c>
      <c r="D60" s="52" t="s">
        <v>4</v>
      </c>
      <c r="E60" s="53" t="s">
        <v>27</v>
      </c>
      <c r="F60" s="52" t="s">
        <v>4</v>
      </c>
      <c r="G60" s="52" t="s">
        <v>55</v>
      </c>
      <c r="H60" s="176" t="s">
        <v>454</v>
      </c>
      <c r="I60" s="175" t="s">
        <v>35</v>
      </c>
      <c r="J60" s="176" t="s">
        <v>4917</v>
      </c>
      <c r="K60" s="172" t="s">
        <v>27</v>
      </c>
      <c r="L60" s="174" t="s">
        <v>4</v>
      </c>
      <c r="M60" s="52" t="s">
        <v>46</v>
      </c>
      <c r="N60" s="54" t="s">
        <v>10496</v>
      </c>
      <c r="O60" s="55" t="str">
        <f t="shared" si="4"/>
        <v>L1.00.00.10.03.00</v>
      </c>
      <c r="P60" s="55" t="str">
        <f t="shared" si="5"/>
        <v>L1.00.00.10.03.00.07</v>
      </c>
      <c r="Q60" s="160" t="s">
        <v>10530</v>
      </c>
      <c r="R60" s="169" t="str">
        <f t="shared" si="6"/>
        <v>Nhóm chuyên gia Khối SP Doanh nghiệp</v>
      </c>
      <c r="S60" s="97" t="s">
        <v>10610</v>
      </c>
      <c r="T60" s="96" t="s">
        <v>4918</v>
      </c>
      <c r="U60" s="96" t="s">
        <v>453</v>
      </c>
      <c r="V60" s="96" t="s">
        <v>454</v>
      </c>
      <c r="W60" s="96" t="s">
        <v>4917</v>
      </c>
      <c r="X60" s="96"/>
      <c r="Y60" s="96"/>
      <c r="Z60" s="98" t="s">
        <v>10613</v>
      </c>
      <c r="AA60" s="153" t="s">
        <v>10530</v>
      </c>
      <c r="AB60" s="91"/>
      <c r="AC60" s="91"/>
      <c r="AD60" s="91"/>
    </row>
    <row r="61" ht="15.75" customHeight="1" outlineLevel="1">
      <c r="A61" s="170" t="s">
        <v>10535</v>
      </c>
      <c r="B61" s="51" t="s">
        <v>26</v>
      </c>
      <c r="C61" s="51" t="s">
        <v>27</v>
      </c>
      <c r="D61" s="52" t="s">
        <v>4</v>
      </c>
      <c r="E61" s="53" t="s">
        <v>27</v>
      </c>
      <c r="F61" s="52" t="s">
        <v>4</v>
      </c>
      <c r="G61" s="52" t="s">
        <v>55</v>
      </c>
      <c r="H61" s="176" t="s">
        <v>454</v>
      </c>
      <c r="I61" s="175" t="s">
        <v>37</v>
      </c>
      <c r="J61" s="176" t="s">
        <v>58</v>
      </c>
      <c r="K61" s="175" t="s">
        <v>27</v>
      </c>
      <c r="L61" s="194" t="s">
        <v>4</v>
      </c>
      <c r="M61" s="52" t="s">
        <v>46</v>
      </c>
      <c r="N61" s="54" t="s">
        <v>10496</v>
      </c>
      <c r="O61" s="55" t="str">
        <f t="shared" si="4"/>
        <v>L1.00.00.10.04.00</v>
      </c>
      <c r="P61" s="55" t="str">
        <f t="shared" si="5"/>
        <v>L1.00.00.10.04.00.07</v>
      </c>
      <c r="Q61" s="160" t="s">
        <v>10530</v>
      </c>
      <c r="R61" s="169" t="str">
        <f t="shared" si="6"/>
        <v>Sản phẩm MISA meInvoice - Xăng dầu</v>
      </c>
      <c r="S61" s="97" t="s">
        <v>10610</v>
      </c>
      <c r="T61" s="97" t="s">
        <v>10614</v>
      </c>
      <c r="U61" s="96" t="s">
        <v>453</v>
      </c>
      <c r="V61" s="96" t="s">
        <v>454</v>
      </c>
      <c r="W61" s="96" t="s">
        <v>58</v>
      </c>
      <c r="X61" s="96"/>
      <c r="Y61" s="96"/>
      <c r="Z61" s="98" t="s">
        <v>10615</v>
      </c>
      <c r="AA61" s="153" t="s">
        <v>10530</v>
      </c>
      <c r="AB61" s="91"/>
      <c r="AC61" s="91"/>
      <c r="AD61" s="91"/>
    </row>
    <row r="62" ht="15.75" customHeight="1" outlineLevel="1">
      <c r="A62" s="170" t="s">
        <v>10535</v>
      </c>
      <c r="B62" s="51" t="s">
        <v>26</v>
      </c>
      <c r="C62" s="51" t="s">
        <v>27</v>
      </c>
      <c r="D62" s="52" t="s">
        <v>4</v>
      </c>
      <c r="E62" s="53" t="s">
        <v>27</v>
      </c>
      <c r="F62" s="52" t="s">
        <v>4</v>
      </c>
      <c r="G62" s="52" t="s">
        <v>55</v>
      </c>
      <c r="H62" s="176" t="s">
        <v>454</v>
      </c>
      <c r="I62" s="175" t="s">
        <v>37</v>
      </c>
      <c r="J62" s="176" t="s">
        <v>58</v>
      </c>
      <c r="K62" s="175" t="s">
        <v>29</v>
      </c>
      <c r="L62" s="176" t="s">
        <v>60</v>
      </c>
      <c r="M62" s="52" t="s">
        <v>46</v>
      </c>
      <c r="N62" s="54" t="s">
        <v>10496</v>
      </c>
      <c r="O62" s="55" t="str">
        <f t="shared" si="4"/>
        <v>L1.00.00.10.04.01</v>
      </c>
      <c r="P62" s="55" t="str">
        <f t="shared" si="5"/>
        <v>L1.00.00.10.04.01.07</v>
      </c>
      <c r="Q62" s="160" t="s">
        <v>10530</v>
      </c>
      <c r="R62" s="169" t="str">
        <f t="shared" si="6"/>
        <v>Dự án MISA meInvoice - Xăng dầu</v>
      </c>
      <c r="S62" s="97" t="s">
        <v>10616</v>
      </c>
      <c r="T62" s="96" t="s">
        <v>464</v>
      </c>
      <c r="U62" s="96" t="s">
        <v>453</v>
      </c>
      <c r="V62" s="96" t="s">
        <v>454</v>
      </c>
      <c r="W62" s="96" t="s">
        <v>58</v>
      </c>
      <c r="X62" s="96" t="s">
        <v>60</v>
      </c>
      <c r="Y62" s="96"/>
      <c r="Z62" s="98" t="s">
        <v>10617</v>
      </c>
      <c r="AA62" s="153" t="s">
        <v>10530</v>
      </c>
      <c r="AB62" s="91"/>
      <c r="AC62" s="91"/>
      <c r="AD62" s="91"/>
    </row>
    <row r="63" ht="15.75" customHeight="1" outlineLevel="1">
      <c r="A63" s="170" t="s">
        <v>10535</v>
      </c>
      <c r="B63" s="51" t="s">
        <v>26</v>
      </c>
      <c r="C63" s="51" t="s">
        <v>27</v>
      </c>
      <c r="D63" s="52" t="s">
        <v>4</v>
      </c>
      <c r="E63" s="53" t="s">
        <v>27</v>
      </c>
      <c r="F63" s="52" t="s">
        <v>4</v>
      </c>
      <c r="G63" s="52" t="s">
        <v>55</v>
      </c>
      <c r="H63" s="176" t="s">
        <v>454</v>
      </c>
      <c r="I63" s="175" t="s">
        <v>37</v>
      </c>
      <c r="J63" s="176" t="s">
        <v>58</v>
      </c>
      <c r="K63" s="177" t="s">
        <v>33</v>
      </c>
      <c r="L63" s="176" t="s">
        <v>59</v>
      </c>
      <c r="M63" s="52" t="s">
        <v>46</v>
      </c>
      <c r="N63" s="54" t="s">
        <v>10496</v>
      </c>
      <c r="O63" s="55" t="str">
        <f t="shared" si="4"/>
        <v>L1.00.00.10.04.02</v>
      </c>
      <c r="P63" s="55" t="str">
        <f t="shared" si="5"/>
        <v>L1.00.00.10.04.02.07</v>
      </c>
      <c r="Q63" s="160" t="s">
        <v>10530</v>
      </c>
      <c r="R63" s="169" t="str">
        <f t="shared" si="6"/>
        <v>[meInvoice - Xăng dầu] Nhóm Phân tích &amp; Thiết kế</v>
      </c>
      <c r="S63" s="97" t="s">
        <v>10616</v>
      </c>
      <c r="T63" s="96" t="s">
        <v>455</v>
      </c>
      <c r="U63" s="96" t="s">
        <v>453</v>
      </c>
      <c r="V63" s="96" t="s">
        <v>454</v>
      </c>
      <c r="W63" s="96" t="s">
        <v>58</v>
      </c>
      <c r="X63" s="96" t="s">
        <v>59</v>
      </c>
      <c r="Y63" s="96"/>
      <c r="Z63" s="98" t="s">
        <v>10618</v>
      </c>
      <c r="AA63" s="153" t="s">
        <v>10530</v>
      </c>
      <c r="AB63" s="91"/>
      <c r="AC63" s="91"/>
      <c r="AD63" s="91"/>
    </row>
    <row r="64" ht="15.75" customHeight="1" outlineLevel="1">
      <c r="A64" s="170" t="s">
        <v>10535</v>
      </c>
      <c r="B64" s="51" t="s">
        <v>26</v>
      </c>
      <c r="C64" s="51" t="s">
        <v>27</v>
      </c>
      <c r="D64" s="52" t="s">
        <v>4</v>
      </c>
      <c r="E64" s="53" t="s">
        <v>27</v>
      </c>
      <c r="F64" s="52" t="s">
        <v>4</v>
      </c>
      <c r="G64" s="52" t="s">
        <v>55</v>
      </c>
      <c r="H64" s="176" t="s">
        <v>454</v>
      </c>
      <c r="I64" s="175" t="s">
        <v>42</v>
      </c>
      <c r="J64" s="176" t="s">
        <v>3217</v>
      </c>
      <c r="K64" s="175" t="s">
        <v>27</v>
      </c>
      <c r="L64" s="194" t="s">
        <v>4</v>
      </c>
      <c r="M64" s="52" t="s">
        <v>46</v>
      </c>
      <c r="N64" s="54" t="s">
        <v>10496</v>
      </c>
      <c r="O64" s="55" t="str">
        <f t="shared" si="4"/>
        <v>L1.00.00.10.05.00</v>
      </c>
      <c r="P64" s="55" t="str">
        <f t="shared" si="5"/>
        <v>L1.00.00.10.05.00.07</v>
      </c>
      <c r="Q64" s="160" t="s">
        <v>10530</v>
      </c>
      <c r="R64" s="169" t="str">
        <f t="shared" si="6"/>
        <v>Sản phẩm AMIS C&amp;B</v>
      </c>
      <c r="S64" s="97" t="s">
        <v>10610</v>
      </c>
      <c r="T64" s="97" t="s">
        <v>10619</v>
      </c>
      <c r="U64" s="96" t="s">
        <v>453</v>
      </c>
      <c r="V64" s="96" t="s">
        <v>454</v>
      </c>
      <c r="W64" s="96" t="s">
        <v>3217</v>
      </c>
      <c r="X64" s="96" t="s">
        <v>4991</v>
      </c>
      <c r="Y64" s="96"/>
      <c r="Z64" s="98" t="s">
        <v>10620</v>
      </c>
      <c r="AA64" s="153" t="s">
        <v>10530</v>
      </c>
      <c r="AB64" s="91"/>
      <c r="AC64" s="91"/>
      <c r="AD64" s="91"/>
    </row>
    <row r="65" ht="15.75" customHeight="1" outlineLevel="1">
      <c r="A65" s="170" t="s">
        <v>10535</v>
      </c>
      <c r="B65" s="51" t="s">
        <v>26</v>
      </c>
      <c r="C65" s="51" t="s">
        <v>27</v>
      </c>
      <c r="D65" s="52" t="s">
        <v>4</v>
      </c>
      <c r="E65" s="53" t="s">
        <v>27</v>
      </c>
      <c r="F65" s="52" t="s">
        <v>4</v>
      </c>
      <c r="G65" s="52" t="s">
        <v>55</v>
      </c>
      <c r="H65" s="176" t="s">
        <v>454</v>
      </c>
      <c r="I65" s="175" t="s">
        <v>42</v>
      </c>
      <c r="J65" s="176" t="s">
        <v>3217</v>
      </c>
      <c r="K65" s="175" t="s">
        <v>29</v>
      </c>
      <c r="L65" s="176" t="s">
        <v>4991</v>
      </c>
      <c r="M65" s="52" t="s">
        <v>46</v>
      </c>
      <c r="N65" s="54" t="s">
        <v>10496</v>
      </c>
      <c r="O65" s="55" t="str">
        <f t="shared" si="4"/>
        <v>L1.00.00.10.05.01</v>
      </c>
      <c r="P65" s="55" t="str">
        <f t="shared" si="5"/>
        <v>L1.00.00.10.05.01.07</v>
      </c>
      <c r="Q65" s="160" t="s">
        <v>10530</v>
      </c>
      <c r="R65" s="169" t="str">
        <f t="shared" si="6"/>
        <v>Dự án AMIS C&amp;B</v>
      </c>
      <c r="S65" s="97" t="s">
        <v>10621</v>
      </c>
      <c r="T65" s="96" t="s">
        <v>4992</v>
      </c>
      <c r="U65" s="96" t="s">
        <v>453</v>
      </c>
      <c r="V65" s="96" t="s">
        <v>454</v>
      </c>
      <c r="W65" s="96" t="s">
        <v>3217</v>
      </c>
      <c r="X65" s="96" t="s">
        <v>4991</v>
      </c>
      <c r="Y65" s="96"/>
      <c r="Z65" s="98" t="s">
        <v>10622</v>
      </c>
      <c r="AA65" s="153" t="s">
        <v>10530</v>
      </c>
      <c r="AB65" s="91"/>
      <c r="AC65" s="91"/>
      <c r="AD65" s="91"/>
    </row>
    <row r="66" ht="15.75" customHeight="1" outlineLevel="1">
      <c r="A66" s="170" t="s">
        <v>10535</v>
      </c>
      <c r="B66" s="51" t="s">
        <v>26</v>
      </c>
      <c r="C66" s="51" t="s">
        <v>27</v>
      </c>
      <c r="D66" s="52" t="s">
        <v>4</v>
      </c>
      <c r="E66" s="53" t="s">
        <v>27</v>
      </c>
      <c r="F66" s="52" t="s">
        <v>4</v>
      </c>
      <c r="G66" s="52" t="s">
        <v>55</v>
      </c>
      <c r="H66" s="176" t="s">
        <v>454</v>
      </c>
      <c r="I66" s="175" t="s">
        <v>42</v>
      </c>
      <c r="J66" s="176" t="s">
        <v>3217</v>
      </c>
      <c r="K66" s="177" t="s">
        <v>33</v>
      </c>
      <c r="L66" s="176" t="s">
        <v>3216</v>
      </c>
      <c r="M66" s="52" t="s">
        <v>46</v>
      </c>
      <c r="N66" s="54" t="s">
        <v>10496</v>
      </c>
      <c r="O66" s="55" t="str">
        <f t="shared" si="4"/>
        <v>L1.00.00.10.05.02</v>
      </c>
      <c r="P66" s="55" t="str">
        <f t="shared" si="5"/>
        <v>L1.00.00.10.05.02.07</v>
      </c>
      <c r="Q66" s="160" t="s">
        <v>10530</v>
      </c>
      <c r="R66" s="169" t="str">
        <f t="shared" si="6"/>
        <v>[C&amp;B] Nhóm Phân tích &amp; Thiết kế</v>
      </c>
      <c r="S66" s="97" t="s">
        <v>10621</v>
      </c>
      <c r="T66" s="96" t="s">
        <v>3218</v>
      </c>
      <c r="U66" s="96" t="s">
        <v>453</v>
      </c>
      <c r="V66" s="96" t="s">
        <v>454</v>
      </c>
      <c r="W66" s="96" t="s">
        <v>3217</v>
      </c>
      <c r="X66" s="96" t="s">
        <v>3216</v>
      </c>
      <c r="Y66" s="96"/>
      <c r="Z66" s="98" t="s">
        <v>10623</v>
      </c>
      <c r="AA66" s="153" t="s">
        <v>10530</v>
      </c>
      <c r="AB66" s="91"/>
      <c r="AC66" s="91"/>
      <c r="AD66" s="91"/>
    </row>
    <row r="67" ht="15.75" customHeight="1" outlineLevel="1">
      <c r="A67" s="170" t="s">
        <v>10535</v>
      </c>
      <c r="B67" s="51" t="s">
        <v>26</v>
      </c>
      <c r="C67" s="51" t="s">
        <v>27</v>
      </c>
      <c r="D67" s="52" t="s">
        <v>4</v>
      </c>
      <c r="E67" s="53" t="s">
        <v>27</v>
      </c>
      <c r="F67" s="52" t="s">
        <v>4</v>
      </c>
      <c r="G67" s="52" t="s">
        <v>55</v>
      </c>
      <c r="H67" s="176" t="s">
        <v>454</v>
      </c>
      <c r="I67" s="175" t="s">
        <v>44</v>
      </c>
      <c r="J67" s="176" t="s">
        <v>3604</v>
      </c>
      <c r="K67" s="175" t="s">
        <v>27</v>
      </c>
      <c r="L67" s="194" t="s">
        <v>4</v>
      </c>
      <c r="M67" s="52" t="s">
        <v>46</v>
      </c>
      <c r="N67" s="54" t="s">
        <v>10496</v>
      </c>
      <c r="O67" s="55" t="str">
        <f t="shared" si="4"/>
        <v>L1.00.00.10.06.00</v>
      </c>
      <c r="P67" s="55" t="str">
        <f t="shared" si="5"/>
        <v>L1.00.00.10.06.00.07</v>
      </c>
      <c r="Q67" s="160" t="s">
        <v>10530</v>
      </c>
      <c r="R67" s="169" t="str">
        <f t="shared" si="6"/>
        <v>Sản phẩm AMIS Đánh giá</v>
      </c>
      <c r="S67" s="97" t="s">
        <v>10610</v>
      </c>
      <c r="T67" s="97" t="s">
        <v>10624</v>
      </c>
      <c r="U67" s="96" t="s">
        <v>453</v>
      </c>
      <c r="V67" s="96" t="s">
        <v>454</v>
      </c>
      <c r="W67" s="96" t="s">
        <v>3604</v>
      </c>
      <c r="X67" s="96"/>
      <c r="Y67" s="96"/>
      <c r="Z67" s="98" t="s">
        <v>10625</v>
      </c>
      <c r="AA67" s="153" t="s">
        <v>10530</v>
      </c>
      <c r="AB67" s="91"/>
      <c r="AC67" s="91"/>
      <c r="AD67" s="91"/>
    </row>
    <row r="68" ht="15.75" customHeight="1" outlineLevel="1">
      <c r="A68" s="170" t="s">
        <v>10535</v>
      </c>
      <c r="B68" s="51" t="s">
        <v>26</v>
      </c>
      <c r="C68" s="51" t="s">
        <v>27</v>
      </c>
      <c r="D68" s="52" t="s">
        <v>4</v>
      </c>
      <c r="E68" s="53" t="s">
        <v>27</v>
      </c>
      <c r="F68" s="52" t="s">
        <v>4</v>
      </c>
      <c r="G68" s="52" t="s">
        <v>55</v>
      </c>
      <c r="H68" s="176" t="s">
        <v>454</v>
      </c>
      <c r="I68" s="175" t="s">
        <v>44</v>
      </c>
      <c r="J68" s="176" t="s">
        <v>3604</v>
      </c>
      <c r="K68" s="175" t="s">
        <v>29</v>
      </c>
      <c r="L68" s="176" t="s">
        <v>3603</v>
      </c>
      <c r="M68" s="52" t="s">
        <v>46</v>
      </c>
      <c r="N68" s="54" t="s">
        <v>10496</v>
      </c>
      <c r="O68" s="55" t="str">
        <f t="shared" si="4"/>
        <v>L1.00.00.10.06.01</v>
      </c>
      <c r="P68" s="55" t="str">
        <f t="shared" si="5"/>
        <v>L1.00.00.10.06.01.07</v>
      </c>
      <c r="Q68" s="160" t="s">
        <v>10530</v>
      </c>
      <c r="R68" s="169" t="str">
        <f t="shared" si="6"/>
        <v>Dự án AMIS Đánh giá</v>
      </c>
      <c r="S68" s="97" t="s">
        <v>10626</v>
      </c>
      <c r="T68" s="96" t="s">
        <v>3605</v>
      </c>
      <c r="U68" s="96" t="s">
        <v>453</v>
      </c>
      <c r="V68" s="96" t="s">
        <v>454</v>
      </c>
      <c r="W68" s="96" t="s">
        <v>3604</v>
      </c>
      <c r="X68" s="96" t="s">
        <v>3603</v>
      </c>
      <c r="Y68" s="96"/>
      <c r="Z68" s="98" t="s">
        <v>10627</v>
      </c>
      <c r="AA68" s="153" t="s">
        <v>10530</v>
      </c>
      <c r="AB68" s="91"/>
      <c r="AC68" s="91"/>
      <c r="AD68" s="91"/>
    </row>
    <row r="69" ht="15.75" customHeight="1" outlineLevel="1">
      <c r="A69" s="170" t="s">
        <v>10535</v>
      </c>
      <c r="B69" s="51" t="s">
        <v>26</v>
      </c>
      <c r="C69" s="51" t="s">
        <v>27</v>
      </c>
      <c r="D69" s="52" t="s">
        <v>4</v>
      </c>
      <c r="E69" s="53" t="s">
        <v>27</v>
      </c>
      <c r="F69" s="52" t="s">
        <v>4</v>
      </c>
      <c r="G69" s="52" t="s">
        <v>55</v>
      </c>
      <c r="H69" s="176" t="s">
        <v>454</v>
      </c>
      <c r="I69" s="175" t="s">
        <v>44</v>
      </c>
      <c r="J69" s="176" t="s">
        <v>3604</v>
      </c>
      <c r="K69" s="177" t="s">
        <v>33</v>
      </c>
      <c r="L69" s="176" t="s">
        <v>10214</v>
      </c>
      <c r="M69" s="52" t="s">
        <v>46</v>
      </c>
      <c r="N69" s="54" t="s">
        <v>10496</v>
      </c>
      <c r="O69" s="55" t="str">
        <f t="shared" si="4"/>
        <v>L1.00.00.10.06.02</v>
      </c>
      <c r="P69" s="55" t="str">
        <f t="shared" si="5"/>
        <v>L1.00.00.10.06.02.07</v>
      </c>
      <c r="Q69" s="160" t="s">
        <v>10530</v>
      </c>
      <c r="R69" s="169" t="str">
        <f t="shared" si="6"/>
        <v>[AMIS Đánh giá] Nhóm Phân tích &amp; Thiết kế</v>
      </c>
      <c r="S69" s="97" t="s">
        <v>10626</v>
      </c>
      <c r="T69" s="96" t="s">
        <v>10215</v>
      </c>
      <c r="U69" s="96" t="s">
        <v>453</v>
      </c>
      <c r="V69" s="96" t="s">
        <v>454</v>
      </c>
      <c r="W69" s="96" t="s">
        <v>3604</v>
      </c>
      <c r="X69" s="96" t="s">
        <v>10214</v>
      </c>
      <c r="Y69" s="96"/>
      <c r="Z69" s="98" t="s">
        <v>10628</v>
      </c>
      <c r="AA69" s="153" t="s">
        <v>10530</v>
      </c>
      <c r="AB69" s="91"/>
      <c r="AC69" s="91"/>
      <c r="AD69" s="91"/>
    </row>
    <row r="70" ht="15.75" customHeight="1" outlineLevel="1">
      <c r="A70" s="170" t="s">
        <v>10535</v>
      </c>
      <c r="B70" s="51" t="s">
        <v>26</v>
      </c>
      <c r="C70" s="51" t="s">
        <v>27</v>
      </c>
      <c r="D70" s="52" t="s">
        <v>4</v>
      </c>
      <c r="E70" s="53" t="s">
        <v>27</v>
      </c>
      <c r="F70" s="52" t="s">
        <v>4</v>
      </c>
      <c r="G70" s="52" t="s">
        <v>55</v>
      </c>
      <c r="H70" s="176" t="s">
        <v>454</v>
      </c>
      <c r="I70" s="175" t="s">
        <v>46</v>
      </c>
      <c r="J70" s="176" t="s">
        <v>3041</v>
      </c>
      <c r="K70" s="175" t="s">
        <v>27</v>
      </c>
      <c r="L70" s="194" t="s">
        <v>4</v>
      </c>
      <c r="M70" s="52" t="s">
        <v>46</v>
      </c>
      <c r="N70" s="54" t="s">
        <v>10496</v>
      </c>
      <c r="O70" s="55" t="str">
        <f t="shared" si="4"/>
        <v>L1.00.00.10.07.00</v>
      </c>
      <c r="P70" s="55" t="str">
        <f t="shared" si="5"/>
        <v>L1.00.00.10.07.00.07</v>
      </c>
      <c r="Q70" s="160" t="s">
        <v>10530</v>
      </c>
      <c r="R70" s="169" t="str">
        <f t="shared" si="6"/>
        <v>Sản phẩm AMIS HRM MISA</v>
      </c>
      <c r="S70" s="97" t="s">
        <v>10610</v>
      </c>
      <c r="T70" s="97" t="s">
        <v>10629</v>
      </c>
      <c r="U70" s="96" t="s">
        <v>453</v>
      </c>
      <c r="V70" s="96" t="s">
        <v>454</v>
      </c>
      <c r="W70" s="96" t="s">
        <v>3041</v>
      </c>
      <c r="X70" s="96"/>
      <c r="Y70" s="96"/>
      <c r="Z70" s="98" t="s">
        <v>10630</v>
      </c>
      <c r="AA70" s="153" t="s">
        <v>10530</v>
      </c>
      <c r="AB70" s="91"/>
      <c r="AC70" s="91"/>
      <c r="AD70" s="91"/>
    </row>
    <row r="71" ht="15.75" customHeight="1" outlineLevel="1">
      <c r="A71" s="170" t="s">
        <v>10535</v>
      </c>
      <c r="B71" s="51" t="s">
        <v>26</v>
      </c>
      <c r="C71" s="51" t="s">
        <v>27</v>
      </c>
      <c r="D71" s="52" t="s">
        <v>4</v>
      </c>
      <c r="E71" s="53" t="s">
        <v>27</v>
      </c>
      <c r="F71" s="52" t="s">
        <v>4</v>
      </c>
      <c r="G71" s="52" t="s">
        <v>55</v>
      </c>
      <c r="H71" s="176" t="s">
        <v>454</v>
      </c>
      <c r="I71" s="175" t="s">
        <v>46</v>
      </c>
      <c r="J71" s="176" t="s">
        <v>3041</v>
      </c>
      <c r="K71" s="175" t="s">
        <v>29</v>
      </c>
      <c r="L71" s="176" t="s">
        <v>5747</v>
      </c>
      <c r="M71" s="52" t="s">
        <v>46</v>
      </c>
      <c r="N71" s="54" t="s">
        <v>10496</v>
      </c>
      <c r="O71" s="55" t="str">
        <f t="shared" si="4"/>
        <v>L1.00.00.10.07.01</v>
      </c>
      <c r="P71" s="55" t="str">
        <f t="shared" si="5"/>
        <v>L1.00.00.10.07.01.07</v>
      </c>
      <c r="Q71" s="160" t="s">
        <v>10530</v>
      </c>
      <c r="R71" s="169" t="str">
        <f t="shared" si="6"/>
        <v>Dự án AMIS HRM MISA</v>
      </c>
      <c r="S71" s="97" t="s">
        <v>10631</v>
      </c>
      <c r="T71" s="96" t="s">
        <v>5748</v>
      </c>
      <c r="U71" s="96" t="s">
        <v>453</v>
      </c>
      <c r="V71" s="96" t="s">
        <v>454</v>
      </c>
      <c r="W71" s="96" t="s">
        <v>3041</v>
      </c>
      <c r="X71" s="96" t="s">
        <v>5747</v>
      </c>
      <c r="Y71" s="96"/>
      <c r="Z71" s="98" t="s">
        <v>10632</v>
      </c>
      <c r="AA71" s="153" t="s">
        <v>10530</v>
      </c>
      <c r="AB71" s="91"/>
      <c r="AC71" s="91"/>
      <c r="AD71" s="91"/>
    </row>
    <row r="72" ht="15.75" customHeight="1" outlineLevel="1">
      <c r="A72" s="170" t="s">
        <v>10535</v>
      </c>
      <c r="B72" s="51" t="s">
        <v>26</v>
      </c>
      <c r="C72" s="51" t="s">
        <v>27</v>
      </c>
      <c r="D72" s="52" t="s">
        <v>4</v>
      </c>
      <c r="E72" s="53" t="s">
        <v>27</v>
      </c>
      <c r="F72" s="52" t="s">
        <v>4</v>
      </c>
      <c r="G72" s="52" t="s">
        <v>55</v>
      </c>
      <c r="H72" s="176" t="s">
        <v>454</v>
      </c>
      <c r="I72" s="175" t="s">
        <v>46</v>
      </c>
      <c r="J72" s="176" t="s">
        <v>3041</v>
      </c>
      <c r="K72" s="177" t="s">
        <v>33</v>
      </c>
      <c r="L72" s="176" t="s">
        <v>3040</v>
      </c>
      <c r="M72" s="52" t="s">
        <v>46</v>
      </c>
      <c r="N72" s="54" t="s">
        <v>10496</v>
      </c>
      <c r="O72" s="55" t="str">
        <f t="shared" si="4"/>
        <v>L1.00.00.10.07.02</v>
      </c>
      <c r="P72" s="55" t="str">
        <f t="shared" si="5"/>
        <v>L1.00.00.10.07.02.07</v>
      </c>
      <c r="Q72" s="160" t="s">
        <v>10530</v>
      </c>
      <c r="R72" s="169" t="str">
        <f t="shared" si="6"/>
        <v>[AMIS HRM MISA] Nhóm Phân tích &amp; Thiết kế</v>
      </c>
      <c r="S72" s="97" t="s">
        <v>10631</v>
      </c>
      <c r="T72" s="96" t="s">
        <v>3042</v>
      </c>
      <c r="U72" s="96" t="s">
        <v>453</v>
      </c>
      <c r="V72" s="96" t="s">
        <v>454</v>
      </c>
      <c r="W72" s="96" t="s">
        <v>3041</v>
      </c>
      <c r="X72" s="96" t="s">
        <v>3040</v>
      </c>
      <c r="Y72" s="96"/>
      <c r="Z72" s="98" t="s">
        <v>10633</v>
      </c>
      <c r="AA72" s="153" t="s">
        <v>10530</v>
      </c>
      <c r="AB72" s="91"/>
      <c r="AC72" s="91"/>
      <c r="AD72" s="91"/>
    </row>
    <row r="73" ht="15.75" customHeight="1" outlineLevel="1">
      <c r="A73" s="170" t="s">
        <v>10535</v>
      </c>
      <c r="B73" s="51" t="s">
        <v>26</v>
      </c>
      <c r="C73" s="51" t="s">
        <v>27</v>
      </c>
      <c r="D73" s="52" t="s">
        <v>4</v>
      </c>
      <c r="E73" s="53" t="s">
        <v>27</v>
      </c>
      <c r="F73" s="52" t="s">
        <v>4</v>
      </c>
      <c r="G73" s="52" t="s">
        <v>55</v>
      </c>
      <c r="H73" s="176" t="s">
        <v>454</v>
      </c>
      <c r="I73" s="175" t="s">
        <v>49</v>
      </c>
      <c r="J73" s="176" t="s">
        <v>2676</v>
      </c>
      <c r="K73" s="215" t="s">
        <v>29</v>
      </c>
      <c r="L73" s="194" t="s">
        <v>4</v>
      </c>
      <c r="M73" s="52" t="s">
        <v>46</v>
      </c>
      <c r="N73" s="54" t="s">
        <v>10496</v>
      </c>
      <c r="O73" s="55" t="str">
        <f t="shared" si="4"/>
        <v>L1.00.00.10.08.01</v>
      </c>
      <c r="P73" s="55" t="str">
        <f t="shared" si="5"/>
        <v>L1.00.00.10.08.01.07</v>
      </c>
      <c r="Q73" s="160" t="s">
        <v>10530</v>
      </c>
      <c r="R73" s="169" t="str">
        <f t="shared" si="6"/>
        <v>Sản phẩm AMIS Operation</v>
      </c>
      <c r="S73" s="97" t="s">
        <v>10610</v>
      </c>
      <c r="T73" s="96" t="s">
        <v>5297</v>
      </c>
      <c r="U73" s="96" t="s">
        <v>453</v>
      </c>
      <c r="V73" s="96" t="s">
        <v>454</v>
      </c>
      <c r="W73" s="96" t="s">
        <v>2676</v>
      </c>
      <c r="X73" s="96"/>
      <c r="Y73" s="96"/>
      <c r="Z73" s="98" t="s">
        <v>10634</v>
      </c>
      <c r="AA73" s="153" t="s">
        <v>10530</v>
      </c>
      <c r="AB73" s="91"/>
      <c r="AC73" s="91"/>
      <c r="AD73" s="91"/>
    </row>
    <row r="74" ht="15.75" customHeight="1" outlineLevel="1">
      <c r="A74" s="170" t="s">
        <v>10535</v>
      </c>
      <c r="B74" s="51" t="s">
        <v>26</v>
      </c>
      <c r="C74" s="51" t="s">
        <v>27</v>
      </c>
      <c r="D74" s="52" t="s">
        <v>4</v>
      </c>
      <c r="E74" s="53" t="s">
        <v>27</v>
      </c>
      <c r="F74" s="52" t="s">
        <v>4</v>
      </c>
      <c r="G74" s="52" t="s">
        <v>55</v>
      </c>
      <c r="H74" s="176" t="s">
        <v>454</v>
      </c>
      <c r="I74" s="175" t="s">
        <v>49</v>
      </c>
      <c r="J74" s="176" t="s">
        <v>2676</v>
      </c>
      <c r="K74" s="216" t="s">
        <v>33</v>
      </c>
      <c r="L74" s="217" t="s">
        <v>2675</v>
      </c>
      <c r="M74" s="52" t="s">
        <v>46</v>
      </c>
      <c r="N74" s="54" t="s">
        <v>10496</v>
      </c>
      <c r="O74" s="55" t="str">
        <f t="shared" si="4"/>
        <v>L1.00.00.10.08.02</v>
      </c>
      <c r="P74" s="55" t="str">
        <f t="shared" si="5"/>
        <v>L1.00.00.10.08.02.07</v>
      </c>
      <c r="Q74" s="160" t="s">
        <v>10530</v>
      </c>
      <c r="R74" s="169" t="str">
        <f t="shared" si="6"/>
        <v>Dự án AMIS Operation</v>
      </c>
      <c r="S74" s="97" t="s">
        <v>10635</v>
      </c>
      <c r="T74" s="96" t="s">
        <v>2677</v>
      </c>
      <c r="U74" s="96" t="s">
        <v>453</v>
      </c>
      <c r="V74" s="96" t="s">
        <v>454</v>
      </c>
      <c r="W74" s="96" t="s">
        <v>2676</v>
      </c>
      <c r="X74" s="96" t="s">
        <v>2675</v>
      </c>
      <c r="Y74" s="96"/>
      <c r="Z74" s="98" t="s">
        <v>10636</v>
      </c>
      <c r="AA74" s="153" t="s">
        <v>10530</v>
      </c>
      <c r="AB74" s="91"/>
      <c r="AC74" s="91"/>
      <c r="AD74" s="91"/>
    </row>
    <row r="75" ht="15.75" customHeight="1" outlineLevel="1">
      <c r="A75" s="170" t="s">
        <v>10535</v>
      </c>
      <c r="B75" s="51" t="s">
        <v>26</v>
      </c>
      <c r="C75" s="51" t="s">
        <v>27</v>
      </c>
      <c r="D75" s="52" t="s">
        <v>4</v>
      </c>
      <c r="E75" s="53" t="s">
        <v>27</v>
      </c>
      <c r="F75" s="52" t="s">
        <v>4</v>
      </c>
      <c r="G75" s="52" t="s">
        <v>55</v>
      </c>
      <c r="H75" s="176" t="s">
        <v>454</v>
      </c>
      <c r="I75" s="175" t="s">
        <v>49</v>
      </c>
      <c r="J75" s="176" t="s">
        <v>2676</v>
      </c>
      <c r="K75" s="216" t="s">
        <v>35</v>
      </c>
      <c r="L75" s="217" t="s">
        <v>5173</v>
      </c>
      <c r="M75" s="52" t="s">
        <v>46</v>
      </c>
      <c r="N75" s="54" t="s">
        <v>10496</v>
      </c>
      <c r="O75" s="55" t="str">
        <f t="shared" si="4"/>
        <v>L1.00.00.10.08.03</v>
      </c>
      <c r="P75" s="55" t="str">
        <f t="shared" si="5"/>
        <v>L1.00.00.10.08.03.07</v>
      </c>
      <c r="Q75" s="160" t="s">
        <v>10530</v>
      </c>
      <c r="R75" s="169" t="str">
        <f t="shared" si="6"/>
        <v>[AMIS Operation] Nhóm Phân tích &amp; Thiết kế</v>
      </c>
      <c r="S75" s="97" t="s">
        <v>10635</v>
      </c>
      <c r="T75" s="96" t="s">
        <v>5174</v>
      </c>
      <c r="U75" s="96" t="s">
        <v>453</v>
      </c>
      <c r="V75" s="96" t="s">
        <v>454</v>
      </c>
      <c r="W75" s="96" t="s">
        <v>2676</v>
      </c>
      <c r="X75" s="96" t="s">
        <v>5173</v>
      </c>
      <c r="Y75" s="96"/>
      <c r="Z75" s="98" t="s">
        <v>10637</v>
      </c>
      <c r="AA75" s="153" t="s">
        <v>10530</v>
      </c>
      <c r="AB75" s="91"/>
      <c r="AC75" s="91"/>
      <c r="AD75" s="91"/>
    </row>
    <row r="76" ht="15.75" customHeight="1" outlineLevel="1">
      <c r="A76" s="170" t="s">
        <v>10535</v>
      </c>
      <c r="B76" s="51" t="s">
        <v>26</v>
      </c>
      <c r="C76" s="51" t="s">
        <v>27</v>
      </c>
      <c r="D76" s="52" t="s">
        <v>4</v>
      </c>
      <c r="E76" s="53" t="s">
        <v>27</v>
      </c>
      <c r="F76" s="52" t="s">
        <v>4</v>
      </c>
      <c r="G76" s="52" t="s">
        <v>55</v>
      </c>
      <c r="H76" s="176" t="s">
        <v>454</v>
      </c>
      <c r="I76" s="175" t="s">
        <v>51</v>
      </c>
      <c r="J76" s="176" t="s">
        <v>5107</v>
      </c>
      <c r="K76" s="175" t="s">
        <v>27</v>
      </c>
      <c r="L76" s="218" t="s">
        <v>4</v>
      </c>
      <c r="M76" s="52" t="s">
        <v>46</v>
      </c>
      <c r="N76" s="54" t="s">
        <v>10496</v>
      </c>
      <c r="O76" s="55" t="str">
        <f t="shared" si="4"/>
        <v>L1.00.00.10.09.00</v>
      </c>
      <c r="P76" s="55" t="str">
        <f t="shared" si="5"/>
        <v>L1.00.00.10.09.00.07</v>
      </c>
      <c r="Q76" s="160" t="s">
        <v>10530</v>
      </c>
      <c r="R76" s="169" t="str">
        <f t="shared" si="6"/>
        <v>Sản phẩm AMIS TMS</v>
      </c>
      <c r="S76" s="97" t="s">
        <v>10610</v>
      </c>
      <c r="T76" s="97" t="s">
        <v>10638</v>
      </c>
      <c r="U76" s="96" t="s">
        <v>453</v>
      </c>
      <c r="V76" s="96" t="s">
        <v>454</v>
      </c>
      <c r="W76" s="96" t="s">
        <v>5107</v>
      </c>
      <c r="X76" s="96"/>
      <c r="Y76" s="96"/>
      <c r="Z76" s="98" t="s">
        <v>10639</v>
      </c>
      <c r="AA76" s="153" t="s">
        <v>10530</v>
      </c>
      <c r="AB76" s="91"/>
      <c r="AC76" s="91"/>
      <c r="AD76" s="91"/>
    </row>
    <row r="77" ht="15.75" customHeight="1" outlineLevel="1">
      <c r="A77" s="170" t="s">
        <v>10535</v>
      </c>
      <c r="B77" s="51" t="s">
        <v>26</v>
      </c>
      <c r="C77" s="51" t="s">
        <v>27</v>
      </c>
      <c r="D77" s="52" t="s">
        <v>4</v>
      </c>
      <c r="E77" s="53" t="s">
        <v>27</v>
      </c>
      <c r="F77" s="52" t="s">
        <v>4</v>
      </c>
      <c r="G77" s="52" t="s">
        <v>55</v>
      </c>
      <c r="H77" s="176" t="s">
        <v>454</v>
      </c>
      <c r="I77" s="175" t="s">
        <v>51</v>
      </c>
      <c r="J77" s="176" t="s">
        <v>5107</v>
      </c>
      <c r="K77" s="175" t="s">
        <v>29</v>
      </c>
      <c r="L77" s="176" t="s">
        <v>5106</v>
      </c>
      <c r="M77" s="52" t="s">
        <v>46</v>
      </c>
      <c r="N77" s="54" t="s">
        <v>10496</v>
      </c>
      <c r="O77" s="55" t="str">
        <f t="shared" si="4"/>
        <v>L1.00.00.10.09.01</v>
      </c>
      <c r="P77" s="55" t="str">
        <f t="shared" si="5"/>
        <v>L1.00.00.10.09.01.07</v>
      </c>
      <c r="Q77" s="160" t="s">
        <v>10530</v>
      </c>
      <c r="R77" s="169" t="str">
        <f t="shared" si="6"/>
        <v>Dự án AMIS TMS</v>
      </c>
      <c r="S77" s="97" t="s">
        <v>10640</v>
      </c>
      <c r="T77" s="96" t="s">
        <v>5108</v>
      </c>
      <c r="U77" s="96" t="s">
        <v>453</v>
      </c>
      <c r="V77" s="96" t="s">
        <v>454</v>
      </c>
      <c r="W77" s="96" t="s">
        <v>5107</v>
      </c>
      <c r="X77" s="96" t="s">
        <v>5106</v>
      </c>
      <c r="Y77" s="96"/>
      <c r="Z77" s="98" t="s">
        <v>10641</v>
      </c>
      <c r="AA77" s="153" t="s">
        <v>10530</v>
      </c>
      <c r="AB77" s="91"/>
      <c r="AC77" s="91"/>
      <c r="AD77" s="91"/>
    </row>
    <row r="78" ht="15.75" customHeight="1" outlineLevel="1">
      <c r="A78" s="170" t="s">
        <v>10535</v>
      </c>
      <c r="B78" s="51" t="s">
        <v>26</v>
      </c>
      <c r="C78" s="51" t="s">
        <v>27</v>
      </c>
      <c r="D78" s="52" t="s">
        <v>4</v>
      </c>
      <c r="E78" s="53" t="s">
        <v>27</v>
      </c>
      <c r="F78" s="52" t="s">
        <v>4</v>
      </c>
      <c r="G78" s="52" t="s">
        <v>55</v>
      </c>
      <c r="H78" s="176" t="s">
        <v>454</v>
      </c>
      <c r="I78" s="175" t="s">
        <v>51</v>
      </c>
      <c r="J78" s="176" t="s">
        <v>5107</v>
      </c>
      <c r="K78" s="177" t="s">
        <v>33</v>
      </c>
      <c r="L78" s="176" t="s">
        <v>5604</v>
      </c>
      <c r="M78" s="52" t="s">
        <v>46</v>
      </c>
      <c r="N78" s="54" t="s">
        <v>10496</v>
      </c>
      <c r="O78" s="55" t="str">
        <f t="shared" si="4"/>
        <v>L1.00.00.10.09.02</v>
      </c>
      <c r="P78" s="55" t="str">
        <f t="shared" si="5"/>
        <v>L1.00.00.10.09.02.07</v>
      </c>
      <c r="Q78" s="160" t="s">
        <v>10530</v>
      </c>
      <c r="R78" s="169" t="str">
        <f t="shared" si="6"/>
        <v>[AMIS TMS] Nhóm Phân tích &amp; Thiết kế</v>
      </c>
      <c r="S78" s="97" t="s">
        <v>10640</v>
      </c>
      <c r="T78" s="96" t="s">
        <v>5605</v>
      </c>
      <c r="U78" s="96" t="s">
        <v>453</v>
      </c>
      <c r="V78" s="96" t="s">
        <v>454</v>
      </c>
      <c r="W78" s="96" t="s">
        <v>5107</v>
      </c>
      <c r="X78" s="96" t="s">
        <v>5604</v>
      </c>
      <c r="Y78" s="96"/>
      <c r="Z78" s="98" t="s">
        <v>10642</v>
      </c>
      <c r="AA78" s="153" t="s">
        <v>10530</v>
      </c>
      <c r="AB78" s="91"/>
      <c r="AC78" s="91"/>
      <c r="AD78" s="91"/>
    </row>
    <row r="79" ht="15.75" customHeight="1" outlineLevel="1">
      <c r="A79" s="170" t="s">
        <v>10535</v>
      </c>
      <c r="B79" s="51" t="s">
        <v>26</v>
      </c>
      <c r="C79" s="51" t="s">
        <v>27</v>
      </c>
      <c r="D79" s="52" t="s">
        <v>4</v>
      </c>
      <c r="E79" s="53" t="s">
        <v>27</v>
      </c>
      <c r="F79" s="52" t="s">
        <v>4</v>
      </c>
      <c r="G79" s="52" t="s">
        <v>55</v>
      </c>
      <c r="H79" s="176" t="s">
        <v>454</v>
      </c>
      <c r="I79" s="175" t="s">
        <v>55</v>
      </c>
      <c r="J79" s="217" t="s">
        <v>3048</v>
      </c>
      <c r="K79" s="175" t="s">
        <v>27</v>
      </c>
      <c r="L79" s="218" t="s">
        <v>4</v>
      </c>
      <c r="M79" s="52" t="s">
        <v>46</v>
      </c>
      <c r="N79" s="54" t="s">
        <v>10496</v>
      </c>
      <c r="O79" s="55" t="str">
        <f t="shared" si="4"/>
        <v>L1.00.00.10.10.00</v>
      </c>
      <c r="P79" s="55" t="str">
        <f t="shared" si="5"/>
        <v>L1.00.00.10.10.00.07</v>
      </c>
      <c r="Q79" s="160" t="s">
        <v>10530</v>
      </c>
      <c r="R79" s="169" t="str">
        <f t="shared" si="6"/>
        <v>Sản phẩm AMIS.VN Mobile</v>
      </c>
      <c r="S79" s="97" t="s">
        <v>10610</v>
      </c>
      <c r="T79" s="97" t="s">
        <v>10643</v>
      </c>
      <c r="U79" s="96" t="s">
        <v>453</v>
      </c>
      <c r="V79" s="96" t="s">
        <v>454</v>
      </c>
      <c r="W79" s="96" t="s">
        <v>3048</v>
      </c>
      <c r="X79" s="96"/>
      <c r="Y79" s="96"/>
      <c r="Z79" s="98" t="s">
        <v>10644</v>
      </c>
      <c r="AA79" s="153" t="s">
        <v>10530</v>
      </c>
      <c r="AB79" s="91"/>
      <c r="AC79" s="91"/>
      <c r="AD79" s="91"/>
    </row>
    <row r="80" ht="15.75" customHeight="1" outlineLevel="1">
      <c r="A80" s="170" t="s">
        <v>10535</v>
      </c>
      <c r="B80" s="51" t="s">
        <v>26</v>
      </c>
      <c r="C80" s="51" t="s">
        <v>27</v>
      </c>
      <c r="D80" s="52" t="s">
        <v>4</v>
      </c>
      <c r="E80" s="53" t="s">
        <v>27</v>
      </c>
      <c r="F80" s="52" t="s">
        <v>4</v>
      </c>
      <c r="G80" s="52" t="s">
        <v>55</v>
      </c>
      <c r="H80" s="176" t="s">
        <v>454</v>
      </c>
      <c r="I80" s="175" t="s">
        <v>55</v>
      </c>
      <c r="J80" s="217" t="s">
        <v>3048</v>
      </c>
      <c r="K80" s="175" t="s">
        <v>29</v>
      </c>
      <c r="L80" s="176" t="s">
        <v>3047</v>
      </c>
      <c r="M80" s="52" t="s">
        <v>46</v>
      </c>
      <c r="N80" s="54" t="s">
        <v>10496</v>
      </c>
      <c r="O80" s="55" t="str">
        <f t="shared" si="4"/>
        <v>L1.00.00.10.10.01</v>
      </c>
      <c r="P80" s="55" t="str">
        <f t="shared" si="5"/>
        <v>L1.00.00.10.10.01.07</v>
      </c>
      <c r="Q80" s="160" t="s">
        <v>10530</v>
      </c>
      <c r="R80" s="169" t="str">
        <f t="shared" si="6"/>
        <v>Dự án AMIS.VN Mobile</v>
      </c>
      <c r="S80" s="97" t="s">
        <v>10645</v>
      </c>
      <c r="T80" s="96" t="s">
        <v>3049</v>
      </c>
      <c r="U80" s="96" t="s">
        <v>453</v>
      </c>
      <c r="V80" s="96" t="s">
        <v>454</v>
      </c>
      <c r="W80" s="96" t="s">
        <v>3048</v>
      </c>
      <c r="X80" s="96" t="s">
        <v>3047</v>
      </c>
      <c r="Y80" s="96"/>
      <c r="Z80" s="98" t="s">
        <v>10646</v>
      </c>
      <c r="AA80" s="153" t="s">
        <v>10530</v>
      </c>
      <c r="AB80" s="91"/>
      <c r="AC80" s="91"/>
      <c r="AD80" s="91"/>
    </row>
    <row r="81" ht="15.75" customHeight="1" outlineLevel="1">
      <c r="A81" s="170" t="s">
        <v>10535</v>
      </c>
      <c r="B81" s="51" t="s">
        <v>26</v>
      </c>
      <c r="C81" s="51" t="s">
        <v>27</v>
      </c>
      <c r="D81" s="52" t="s">
        <v>4</v>
      </c>
      <c r="E81" s="53" t="s">
        <v>27</v>
      </c>
      <c r="F81" s="52" t="s">
        <v>4</v>
      </c>
      <c r="G81" s="52" t="s">
        <v>55</v>
      </c>
      <c r="H81" s="176" t="s">
        <v>454</v>
      </c>
      <c r="I81" s="175" t="s">
        <v>61</v>
      </c>
      <c r="J81" s="176" t="s">
        <v>2682</v>
      </c>
      <c r="K81" s="172" t="s">
        <v>27</v>
      </c>
      <c r="L81" s="218" t="s">
        <v>4</v>
      </c>
      <c r="M81" s="52" t="s">
        <v>46</v>
      </c>
      <c r="N81" s="54" t="s">
        <v>10496</v>
      </c>
      <c r="O81" s="55" t="str">
        <f t="shared" si="4"/>
        <v>L1.00.00.10.11.00</v>
      </c>
      <c r="P81" s="55" t="str">
        <f t="shared" si="5"/>
        <v>L1.00.00.10.11.00.07</v>
      </c>
      <c r="Q81" s="160" t="s">
        <v>10530</v>
      </c>
      <c r="R81" s="169" t="str">
        <f t="shared" si="6"/>
        <v>Sản phẩm iVAN</v>
      </c>
      <c r="S81" s="97" t="s">
        <v>10610</v>
      </c>
      <c r="T81" s="96" t="s">
        <v>5025</v>
      </c>
      <c r="U81" s="96" t="s">
        <v>453</v>
      </c>
      <c r="V81" s="96" t="s">
        <v>454</v>
      </c>
      <c r="W81" s="96" t="s">
        <v>2682</v>
      </c>
      <c r="X81" s="96"/>
      <c r="Y81" s="96"/>
      <c r="Z81" s="98" t="s">
        <v>10647</v>
      </c>
      <c r="AA81" s="153" t="s">
        <v>10530</v>
      </c>
      <c r="AB81" s="91"/>
      <c r="AC81" s="91"/>
      <c r="AD81" s="91"/>
    </row>
    <row r="82" ht="15.75" customHeight="1" outlineLevel="1">
      <c r="A82" s="170" t="s">
        <v>10535</v>
      </c>
      <c r="B82" s="51" t="s">
        <v>26</v>
      </c>
      <c r="C82" s="51" t="s">
        <v>27</v>
      </c>
      <c r="D82" s="52" t="s">
        <v>4</v>
      </c>
      <c r="E82" s="53" t="s">
        <v>27</v>
      </c>
      <c r="F82" s="52" t="s">
        <v>4</v>
      </c>
      <c r="G82" s="52" t="s">
        <v>55</v>
      </c>
      <c r="H82" s="176" t="s">
        <v>454</v>
      </c>
      <c r="I82" s="175" t="s">
        <v>61</v>
      </c>
      <c r="J82" s="176" t="s">
        <v>2682</v>
      </c>
      <c r="K82" s="175" t="s">
        <v>29</v>
      </c>
      <c r="L82" s="176" t="s">
        <v>2681</v>
      </c>
      <c r="M82" s="52" t="s">
        <v>46</v>
      </c>
      <c r="N82" s="54" t="s">
        <v>10496</v>
      </c>
      <c r="O82" s="55" t="str">
        <f t="shared" si="4"/>
        <v>L1.00.00.10.11.01</v>
      </c>
      <c r="P82" s="55" t="str">
        <f t="shared" si="5"/>
        <v>L1.00.00.10.11.01.07</v>
      </c>
      <c r="Q82" s="160" t="s">
        <v>10530</v>
      </c>
      <c r="R82" s="169" t="str">
        <f t="shared" si="6"/>
        <v>Dự án iVAN</v>
      </c>
      <c r="S82" s="97" t="s">
        <v>10648</v>
      </c>
      <c r="T82" s="96" t="s">
        <v>2683</v>
      </c>
      <c r="U82" s="96" t="s">
        <v>453</v>
      </c>
      <c r="V82" s="96" t="s">
        <v>454</v>
      </c>
      <c r="W82" s="96" t="s">
        <v>2682</v>
      </c>
      <c r="X82" s="96" t="s">
        <v>2681</v>
      </c>
      <c r="Y82" s="96"/>
      <c r="Z82" s="98" t="s">
        <v>10649</v>
      </c>
      <c r="AA82" s="153" t="s">
        <v>10530</v>
      </c>
      <c r="AB82" s="91"/>
      <c r="AC82" s="91"/>
      <c r="AD82" s="91"/>
    </row>
    <row r="83" ht="15.75" customHeight="1" outlineLevel="1">
      <c r="A83" s="170" t="s">
        <v>10535</v>
      </c>
      <c r="B83" s="51" t="s">
        <v>26</v>
      </c>
      <c r="C83" s="51" t="s">
        <v>27</v>
      </c>
      <c r="D83" s="52" t="s">
        <v>4</v>
      </c>
      <c r="E83" s="53" t="s">
        <v>27</v>
      </c>
      <c r="F83" s="52" t="s">
        <v>4</v>
      </c>
      <c r="G83" s="52" t="s">
        <v>55</v>
      </c>
      <c r="H83" s="176" t="s">
        <v>454</v>
      </c>
      <c r="I83" s="175" t="s">
        <v>61</v>
      </c>
      <c r="J83" s="176" t="s">
        <v>2682</v>
      </c>
      <c r="K83" s="177" t="s">
        <v>33</v>
      </c>
      <c r="L83" s="176" t="s">
        <v>5492</v>
      </c>
      <c r="M83" s="52" t="s">
        <v>46</v>
      </c>
      <c r="N83" s="54" t="s">
        <v>10496</v>
      </c>
      <c r="O83" s="55" t="str">
        <f t="shared" si="4"/>
        <v>L1.00.00.10.11.02</v>
      </c>
      <c r="P83" s="55" t="str">
        <f t="shared" si="5"/>
        <v>L1.00.00.10.11.02.07</v>
      </c>
      <c r="Q83" s="160" t="s">
        <v>10530</v>
      </c>
      <c r="R83" s="169" t="str">
        <f t="shared" si="6"/>
        <v>[iVAN] Nhóm Phân tích &amp; Thiết kế</v>
      </c>
      <c r="S83" s="97" t="s">
        <v>10648</v>
      </c>
      <c r="T83" s="96" t="s">
        <v>5493</v>
      </c>
      <c r="U83" s="96" t="s">
        <v>453</v>
      </c>
      <c r="V83" s="96" t="s">
        <v>454</v>
      </c>
      <c r="W83" s="96" t="s">
        <v>2682</v>
      </c>
      <c r="X83" s="96" t="s">
        <v>5492</v>
      </c>
      <c r="Y83" s="96"/>
      <c r="Z83" s="98" t="s">
        <v>10650</v>
      </c>
      <c r="AA83" s="153" t="s">
        <v>10530</v>
      </c>
      <c r="AB83" s="91"/>
      <c r="AC83" s="91"/>
      <c r="AD83" s="91"/>
    </row>
    <row r="84" ht="15.75" customHeight="1" outlineLevel="1">
      <c r="A84" s="170" t="s">
        <v>10535</v>
      </c>
      <c r="B84" s="51" t="s">
        <v>26</v>
      </c>
      <c r="C84" s="51" t="s">
        <v>27</v>
      </c>
      <c r="D84" s="52" t="s">
        <v>4</v>
      </c>
      <c r="E84" s="53" t="s">
        <v>27</v>
      </c>
      <c r="F84" s="52" t="s">
        <v>4</v>
      </c>
      <c r="G84" s="52" t="s">
        <v>55</v>
      </c>
      <c r="H84" s="176" t="s">
        <v>454</v>
      </c>
      <c r="I84" s="175" t="s">
        <v>64</v>
      </c>
      <c r="J84" s="176" t="s">
        <v>3188</v>
      </c>
      <c r="K84" s="175" t="s">
        <v>27</v>
      </c>
      <c r="L84" s="218" t="s">
        <v>4</v>
      </c>
      <c r="M84" s="52" t="s">
        <v>46</v>
      </c>
      <c r="N84" s="54" t="s">
        <v>10496</v>
      </c>
      <c r="O84" s="55" t="str">
        <f t="shared" si="4"/>
        <v>L1.00.00.10.12.00</v>
      </c>
      <c r="P84" s="55" t="str">
        <f t="shared" si="5"/>
        <v>L1.00.00.10.12.00.07</v>
      </c>
      <c r="Q84" s="160" t="s">
        <v>10530</v>
      </c>
      <c r="R84" s="169" t="str">
        <f t="shared" si="6"/>
        <v>Sản phẩm AMIS Kế toán</v>
      </c>
      <c r="S84" s="97" t="s">
        <v>10610</v>
      </c>
      <c r="T84" s="97" t="s">
        <v>10651</v>
      </c>
      <c r="U84" s="96" t="s">
        <v>453</v>
      </c>
      <c r="V84" s="96" t="s">
        <v>454</v>
      </c>
      <c r="W84" s="96" t="s">
        <v>3188</v>
      </c>
      <c r="X84" s="96" t="s">
        <v>3419</v>
      </c>
      <c r="Y84" s="96"/>
      <c r="Z84" s="98" t="s">
        <v>10652</v>
      </c>
      <c r="AA84" s="153" t="s">
        <v>10530</v>
      </c>
      <c r="AB84" s="91"/>
      <c r="AC84" s="91"/>
      <c r="AD84" s="91"/>
    </row>
    <row r="85" ht="15.75" customHeight="1" outlineLevel="1">
      <c r="A85" s="170" t="s">
        <v>10535</v>
      </c>
      <c r="B85" s="51" t="s">
        <v>26</v>
      </c>
      <c r="C85" s="51" t="s">
        <v>27</v>
      </c>
      <c r="D85" s="52" t="s">
        <v>4</v>
      </c>
      <c r="E85" s="53" t="s">
        <v>27</v>
      </c>
      <c r="F85" s="52" t="s">
        <v>4</v>
      </c>
      <c r="G85" s="52" t="s">
        <v>55</v>
      </c>
      <c r="H85" s="176" t="s">
        <v>454</v>
      </c>
      <c r="I85" s="175" t="s">
        <v>64</v>
      </c>
      <c r="J85" s="176" t="s">
        <v>3188</v>
      </c>
      <c r="K85" s="175" t="s">
        <v>29</v>
      </c>
      <c r="L85" s="176" t="s">
        <v>3419</v>
      </c>
      <c r="M85" s="52" t="s">
        <v>46</v>
      </c>
      <c r="N85" s="54" t="s">
        <v>10496</v>
      </c>
      <c r="O85" s="55" t="str">
        <f t="shared" si="4"/>
        <v>L1.00.00.10.12.01</v>
      </c>
      <c r="P85" s="55" t="str">
        <f t="shared" si="5"/>
        <v>L1.00.00.10.12.01.07</v>
      </c>
      <c r="Q85" s="160" t="s">
        <v>10530</v>
      </c>
      <c r="R85" s="169" t="str">
        <f t="shared" si="6"/>
        <v>Dự án AMIS Kế toán</v>
      </c>
      <c r="S85" s="97" t="s">
        <v>10653</v>
      </c>
      <c r="T85" s="96" t="s">
        <v>3420</v>
      </c>
      <c r="U85" s="96" t="s">
        <v>453</v>
      </c>
      <c r="V85" s="96" t="s">
        <v>454</v>
      </c>
      <c r="W85" s="96" t="s">
        <v>3188</v>
      </c>
      <c r="X85" s="96" t="s">
        <v>3419</v>
      </c>
      <c r="Y85" s="96"/>
      <c r="Z85" s="98" t="s">
        <v>10654</v>
      </c>
      <c r="AA85" s="153" t="s">
        <v>10530</v>
      </c>
      <c r="AB85" s="91"/>
      <c r="AC85" s="91"/>
      <c r="AD85" s="91"/>
    </row>
    <row r="86" ht="15.75" customHeight="1" outlineLevel="1">
      <c r="A86" s="170" t="s">
        <v>10535</v>
      </c>
      <c r="B86" s="51" t="s">
        <v>26</v>
      </c>
      <c r="C86" s="51" t="s">
        <v>27</v>
      </c>
      <c r="D86" s="52" t="s">
        <v>4</v>
      </c>
      <c r="E86" s="53" t="s">
        <v>27</v>
      </c>
      <c r="F86" s="52" t="s">
        <v>4</v>
      </c>
      <c r="G86" s="52" t="s">
        <v>55</v>
      </c>
      <c r="H86" s="176" t="s">
        <v>454</v>
      </c>
      <c r="I86" s="175" t="s">
        <v>64</v>
      </c>
      <c r="J86" s="176" t="s">
        <v>3188</v>
      </c>
      <c r="K86" s="177" t="s">
        <v>33</v>
      </c>
      <c r="L86" s="176" t="s">
        <v>3187</v>
      </c>
      <c r="M86" s="52" t="s">
        <v>46</v>
      </c>
      <c r="N86" s="54" t="s">
        <v>10496</v>
      </c>
      <c r="O86" s="55" t="str">
        <f t="shared" si="4"/>
        <v>L1.00.00.10.12.02</v>
      </c>
      <c r="P86" s="55" t="str">
        <f t="shared" si="5"/>
        <v>L1.00.00.10.12.02.07</v>
      </c>
      <c r="Q86" s="160" t="s">
        <v>10530</v>
      </c>
      <c r="R86" s="169" t="str">
        <f t="shared" si="6"/>
        <v>[AMIS Kế toán] Nhóm Phân tích &amp; Thiết kế</v>
      </c>
      <c r="S86" s="97" t="s">
        <v>10653</v>
      </c>
      <c r="T86" s="96" t="s">
        <v>3189</v>
      </c>
      <c r="U86" s="96" t="s">
        <v>453</v>
      </c>
      <c r="V86" s="96" t="s">
        <v>454</v>
      </c>
      <c r="W86" s="96" t="s">
        <v>3188</v>
      </c>
      <c r="X86" s="96" t="s">
        <v>3187</v>
      </c>
      <c r="Y86" s="96"/>
      <c r="Z86" s="98" t="s">
        <v>10655</v>
      </c>
      <c r="AA86" s="153" t="s">
        <v>10530</v>
      </c>
      <c r="AB86" s="91"/>
      <c r="AC86" s="91"/>
      <c r="AD86" s="91"/>
    </row>
    <row r="87" ht="15.75" customHeight="1" outlineLevel="1">
      <c r="A87" s="170" t="s">
        <v>10535</v>
      </c>
      <c r="B87" s="51" t="s">
        <v>26</v>
      </c>
      <c r="C87" s="51" t="s">
        <v>27</v>
      </c>
      <c r="D87" s="52" t="s">
        <v>4</v>
      </c>
      <c r="E87" s="53" t="s">
        <v>27</v>
      </c>
      <c r="F87" s="52" t="s">
        <v>4</v>
      </c>
      <c r="G87" s="52" t="s">
        <v>55</v>
      </c>
      <c r="H87" s="176" t="s">
        <v>454</v>
      </c>
      <c r="I87" s="175" t="s">
        <v>67</v>
      </c>
      <c r="J87" s="176" t="s">
        <v>5599</v>
      </c>
      <c r="K87" s="175" t="s">
        <v>27</v>
      </c>
      <c r="L87" s="218" t="s">
        <v>4</v>
      </c>
      <c r="M87" s="52" t="s">
        <v>46</v>
      </c>
      <c r="N87" s="54" t="s">
        <v>10496</v>
      </c>
      <c r="O87" s="55" t="str">
        <f t="shared" si="4"/>
        <v>L1.00.00.10.13.00</v>
      </c>
      <c r="P87" s="55" t="str">
        <f t="shared" si="5"/>
        <v>L1.00.00.10.13.00.07</v>
      </c>
      <c r="Q87" s="160" t="s">
        <v>10530</v>
      </c>
      <c r="R87" s="169" t="str">
        <f t="shared" si="6"/>
        <v>Sản phẩm AMIS Mua hàng</v>
      </c>
      <c r="S87" s="97" t="s">
        <v>10610</v>
      </c>
      <c r="T87" s="97" t="s">
        <v>10656</v>
      </c>
      <c r="U87" s="96" t="s">
        <v>453</v>
      </c>
      <c r="V87" s="96" t="s">
        <v>454</v>
      </c>
      <c r="W87" s="96" t="s">
        <v>5599</v>
      </c>
      <c r="X87" s="96" t="s">
        <v>5598</v>
      </c>
      <c r="Y87" s="96"/>
      <c r="Z87" s="98" t="s">
        <v>10657</v>
      </c>
      <c r="AA87" s="153" t="s">
        <v>10530</v>
      </c>
      <c r="AB87" s="91"/>
      <c r="AC87" s="91"/>
      <c r="AD87" s="91"/>
    </row>
    <row r="88" ht="15.75" customHeight="1" outlineLevel="1">
      <c r="A88" s="170" t="s">
        <v>10535</v>
      </c>
      <c r="B88" s="51" t="s">
        <v>26</v>
      </c>
      <c r="C88" s="51" t="s">
        <v>27</v>
      </c>
      <c r="D88" s="52" t="s">
        <v>4</v>
      </c>
      <c r="E88" s="53" t="s">
        <v>27</v>
      </c>
      <c r="F88" s="52" t="s">
        <v>4</v>
      </c>
      <c r="G88" s="52" t="s">
        <v>55</v>
      </c>
      <c r="H88" s="176" t="s">
        <v>454</v>
      </c>
      <c r="I88" s="175" t="s">
        <v>67</v>
      </c>
      <c r="J88" s="176" t="s">
        <v>5599</v>
      </c>
      <c r="K88" s="175" t="s">
        <v>29</v>
      </c>
      <c r="L88" s="176" t="s">
        <v>5598</v>
      </c>
      <c r="M88" s="52" t="s">
        <v>46</v>
      </c>
      <c r="N88" s="54" t="s">
        <v>10496</v>
      </c>
      <c r="O88" s="55" t="str">
        <f t="shared" si="4"/>
        <v>L1.00.00.10.13.01</v>
      </c>
      <c r="P88" s="55" t="str">
        <f t="shared" si="5"/>
        <v>L1.00.00.10.13.01.07</v>
      </c>
      <c r="Q88" s="160" t="s">
        <v>10530</v>
      </c>
      <c r="R88" s="169" t="str">
        <f t="shared" si="6"/>
        <v>[AMIS Mua hàng] Nhóm Phân tích &amp; Thiết kế</v>
      </c>
      <c r="S88" s="97" t="s">
        <v>10658</v>
      </c>
      <c r="T88" s="96" t="s">
        <v>5600</v>
      </c>
      <c r="U88" s="96" t="s">
        <v>453</v>
      </c>
      <c r="V88" s="96" t="s">
        <v>454</v>
      </c>
      <c r="W88" s="96" t="s">
        <v>5599</v>
      </c>
      <c r="X88" s="96" t="s">
        <v>5598</v>
      </c>
      <c r="Y88" s="96"/>
      <c r="Z88" s="98" t="s">
        <v>10659</v>
      </c>
      <c r="AA88" s="153" t="s">
        <v>10530</v>
      </c>
      <c r="AB88" s="91"/>
      <c r="AC88" s="91"/>
      <c r="AD88" s="91"/>
    </row>
    <row r="89" ht="15.75" customHeight="1" outlineLevel="1">
      <c r="A89" s="170" t="s">
        <v>10535</v>
      </c>
      <c r="B89" s="51" t="s">
        <v>26</v>
      </c>
      <c r="C89" s="51" t="s">
        <v>27</v>
      </c>
      <c r="D89" s="52" t="s">
        <v>4</v>
      </c>
      <c r="E89" s="53" t="s">
        <v>27</v>
      </c>
      <c r="F89" s="52" t="s">
        <v>4</v>
      </c>
      <c r="G89" s="52" t="s">
        <v>55</v>
      </c>
      <c r="H89" s="176" t="s">
        <v>454</v>
      </c>
      <c r="I89" s="175" t="s">
        <v>69</v>
      </c>
      <c r="J89" s="176" t="s">
        <v>4823</v>
      </c>
      <c r="K89" s="172" t="s">
        <v>27</v>
      </c>
      <c r="L89" s="218" t="s">
        <v>4</v>
      </c>
      <c r="M89" s="52" t="s">
        <v>46</v>
      </c>
      <c r="N89" s="54" t="s">
        <v>10496</v>
      </c>
      <c r="O89" s="55" t="str">
        <f t="shared" si="4"/>
        <v>L1.00.00.10.14.00</v>
      </c>
      <c r="P89" s="55" t="str">
        <f t="shared" si="5"/>
        <v>L1.00.00.10.14.00.07</v>
      </c>
      <c r="Q89" s="160" t="s">
        <v>10530</v>
      </c>
      <c r="R89" s="169" t="str">
        <f t="shared" si="6"/>
        <v>Sản phẩm MISA meInvoice</v>
      </c>
      <c r="S89" s="97" t="s">
        <v>10610</v>
      </c>
      <c r="T89" s="96" t="s">
        <v>5410</v>
      </c>
      <c r="U89" s="96" t="s">
        <v>453</v>
      </c>
      <c r="V89" s="96" t="s">
        <v>454</v>
      </c>
      <c r="W89" s="96" t="s">
        <v>4823</v>
      </c>
      <c r="X89" s="96"/>
      <c r="Y89" s="96"/>
      <c r="Z89" s="98" t="s">
        <v>10660</v>
      </c>
      <c r="AA89" s="153" t="s">
        <v>10530</v>
      </c>
      <c r="AB89" s="91"/>
      <c r="AC89" s="91"/>
      <c r="AD89" s="91"/>
    </row>
    <row r="90" ht="15.75" customHeight="1" outlineLevel="1">
      <c r="A90" s="170" t="s">
        <v>10535</v>
      </c>
      <c r="B90" s="51" t="s">
        <v>26</v>
      </c>
      <c r="C90" s="51" t="s">
        <v>27</v>
      </c>
      <c r="D90" s="52" t="s">
        <v>4</v>
      </c>
      <c r="E90" s="53" t="s">
        <v>27</v>
      </c>
      <c r="F90" s="52" t="s">
        <v>4</v>
      </c>
      <c r="G90" s="52" t="s">
        <v>55</v>
      </c>
      <c r="H90" s="176" t="s">
        <v>454</v>
      </c>
      <c r="I90" s="175" t="s">
        <v>69</v>
      </c>
      <c r="J90" s="176" t="s">
        <v>4823</v>
      </c>
      <c r="K90" s="175" t="s">
        <v>29</v>
      </c>
      <c r="L90" s="176" t="s">
        <v>5124</v>
      </c>
      <c r="M90" s="52" t="s">
        <v>46</v>
      </c>
      <c r="N90" s="54" t="s">
        <v>10496</v>
      </c>
      <c r="O90" s="55" t="str">
        <f t="shared" si="4"/>
        <v>L1.00.00.10.14.01</v>
      </c>
      <c r="P90" s="55" t="str">
        <f t="shared" si="5"/>
        <v>L1.00.00.10.14.01.07</v>
      </c>
      <c r="Q90" s="160" t="s">
        <v>10530</v>
      </c>
      <c r="R90" s="169" t="str">
        <f t="shared" si="6"/>
        <v>Dự án MISA meInvoice Desktop</v>
      </c>
      <c r="S90" s="97" t="s">
        <v>10661</v>
      </c>
      <c r="T90" s="96" t="s">
        <v>5125</v>
      </c>
      <c r="U90" s="96" t="s">
        <v>453</v>
      </c>
      <c r="V90" s="96" t="s">
        <v>454</v>
      </c>
      <c r="W90" s="96" t="s">
        <v>4823</v>
      </c>
      <c r="X90" s="96" t="s">
        <v>5124</v>
      </c>
      <c r="Y90" s="96"/>
      <c r="Z90" s="98" t="s">
        <v>10662</v>
      </c>
      <c r="AA90" s="153" t="s">
        <v>10530</v>
      </c>
      <c r="AB90" s="91"/>
      <c r="AC90" s="91"/>
      <c r="AD90" s="91"/>
    </row>
    <row r="91" ht="15.75" customHeight="1" outlineLevel="1">
      <c r="A91" s="170" t="s">
        <v>10535</v>
      </c>
      <c r="B91" s="51" t="s">
        <v>26</v>
      </c>
      <c r="C91" s="51" t="s">
        <v>27</v>
      </c>
      <c r="D91" s="52" t="s">
        <v>4</v>
      </c>
      <c r="E91" s="53" t="s">
        <v>27</v>
      </c>
      <c r="F91" s="52" t="s">
        <v>4</v>
      </c>
      <c r="G91" s="52" t="s">
        <v>55</v>
      </c>
      <c r="H91" s="176" t="s">
        <v>454</v>
      </c>
      <c r="I91" s="175" t="s">
        <v>69</v>
      </c>
      <c r="J91" s="176" t="s">
        <v>4823</v>
      </c>
      <c r="K91" s="177" t="s">
        <v>33</v>
      </c>
      <c r="L91" s="176" t="s">
        <v>4895</v>
      </c>
      <c r="M91" s="52" t="s">
        <v>46</v>
      </c>
      <c r="N91" s="54" t="s">
        <v>10496</v>
      </c>
      <c r="O91" s="55" t="str">
        <f t="shared" si="4"/>
        <v>L1.00.00.10.14.02</v>
      </c>
      <c r="P91" s="55" t="str">
        <f t="shared" si="5"/>
        <v>L1.00.00.10.14.02.07</v>
      </c>
      <c r="Q91" s="160" t="s">
        <v>10530</v>
      </c>
      <c r="R91" s="169" t="str">
        <f t="shared" si="6"/>
        <v>Dự án MISA invoiceBot</v>
      </c>
      <c r="S91" s="97" t="s">
        <v>10661</v>
      </c>
      <c r="T91" s="96" t="s">
        <v>4896</v>
      </c>
      <c r="U91" s="96" t="s">
        <v>453</v>
      </c>
      <c r="V91" s="96" t="s">
        <v>454</v>
      </c>
      <c r="W91" s="96" t="s">
        <v>4823</v>
      </c>
      <c r="X91" s="96" t="s">
        <v>4895</v>
      </c>
      <c r="Y91" s="96"/>
      <c r="Z91" s="98" t="s">
        <v>10663</v>
      </c>
      <c r="AA91" s="153" t="s">
        <v>10530</v>
      </c>
      <c r="AB91" s="91"/>
      <c r="AC91" s="91"/>
      <c r="AD91" s="91"/>
    </row>
    <row r="92" ht="15.75" customHeight="1" outlineLevel="1">
      <c r="A92" s="170" t="s">
        <v>10535</v>
      </c>
      <c r="B92" s="51" t="s">
        <v>26</v>
      </c>
      <c r="C92" s="51" t="s">
        <v>27</v>
      </c>
      <c r="D92" s="52" t="s">
        <v>4</v>
      </c>
      <c r="E92" s="53" t="s">
        <v>27</v>
      </c>
      <c r="F92" s="52" t="s">
        <v>4</v>
      </c>
      <c r="G92" s="52" t="s">
        <v>55</v>
      </c>
      <c r="H92" s="176" t="s">
        <v>454</v>
      </c>
      <c r="I92" s="175" t="s">
        <v>69</v>
      </c>
      <c r="J92" s="176" t="s">
        <v>4823</v>
      </c>
      <c r="K92" s="177" t="s">
        <v>35</v>
      </c>
      <c r="L92" s="176" t="s">
        <v>5118</v>
      </c>
      <c r="M92" s="52" t="s">
        <v>46</v>
      </c>
      <c r="N92" s="54" t="s">
        <v>10496</v>
      </c>
      <c r="O92" s="55" t="str">
        <f t="shared" si="4"/>
        <v>L1.00.00.10.14.03</v>
      </c>
      <c r="P92" s="55" t="str">
        <f t="shared" si="5"/>
        <v>L1.00.00.10.14.03.07</v>
      </c>
      <c r="Q92" s="160" t="s">
        <v>10530</v>
      </c>
      <c r="R92" s="169" t="str">
        <f t="shared" si="6"/>
        <v>[MISA meInvoice] Nhóm Phân tích &amp; Thiết kế</v>
      </c>
      <c r="S92" s="97" t="s">
        <v>10661</v>
      </c>
      <c r="T92" s="96" t="s">
        <v>5119</v>
      </c>
      <c r="U92" s="96" t="s">
        <v>453</v>
      </c>
      <c r="V92" s="96" t="s">
        <v>454</v>
      </c>
      <c r="W92" s="96" t="s">
        <v>4823</v>
      </c>
      <c r="X92" s="96" t="s">
        <v>5118</v>
      </c>
      <c r="Y92" s="96"/>
      <c r="Z92" s="98" t="s">
        <v>10664</v>
      </c>
      <c r="AA92" s="153" t="s">
        <v>10530</v>
      </c>
      <c r="AB92" s="91"/>
      <c r="AC92" s="91"/>
      <c r="AD92" s="91"/>
    </row>
    <row r="93" ht="15.75" customHeight="1" outlineLevel="1">
      <c r="A93" s="170" t="s">
        <v>10535</v>
      </c>
      <c r="B93" s="51" t="s">
        <v>26</v>
      </c>
      <c r="C93" s="51" t="s">
        <v>27</v>
      </c>
      <c r="D93" s="52" t="s">
        <v>4</v>
      </c>
      <c r="E93" s="53" t="s">
        <v>27</v>
      </c>
      <c r="F93" s="52" t="s">
        <v>4</v>
      </c>
      <c r="G93" s="52" t="s">
        <v>55</v>
      </c>
      <c r="H93" s="176" t="s">
        <v>454</v>
      </c>
      <c r="I93" s="175" t="s">
        <v>69</v>
      </c>
      <c r="J93" s="176" t="s">
        <v>4823</v>
      </c>
      <c r="K93" s="177" t="s">
        <v>37</v>
      </c>
      <c r="L93" s="176" t="s">
        <v>4822</v>
      </c>
      <c r="M93" s="52" t="s">
        <v>46</v>
      </c>
      <c r="N93" s="54" t="s">
        <v>10496</v>
      </c>
      <c r="O93" s="55" t="str">
        <f t="shared" si="4"/>
        <v>L1.00.00.10.14.04</v>
      </c>
      <c r="P93" s="55" t="str">
        <f t="shared" si="5"/>
        <v>L1.00.00.10.14.04.07</v>
      </c>
      <c r="Q93" s="160" t="s">
        <v>10530</v>
      </c>
      <c r="R93" s="169" t="str">
        <f t="shared" si="6"/>
        <v>Dự án MISA meInvoice</v>
      </c>
      <c r="S93" s="97" t="s">
        <v>10661</v>
      </c>
      <c r="T93" s="96" t="s">
        <v>4824</v>
      </c>
      <c r="U93" s="96" t="s">
        <v>453</v>
      </c>
      <c r="V93" s="96" t="s">
        <v>454</v>
      </c>
      <c r="W93" s="96" t="s">
        <v>4823</v>
      </c>
      <c r="X93" s="96" t="s">
        <v>4822</v>
      </c>
      <c r="Y93" s="96"/>
      <c r="Z93" s="98" t="s">
        <v>10665</v>
      </c>
      <c r="AA93" s="153" t="s">
        <v>10530</v>
      </c>
      <c r="AB93" s="91"/>
      <c r="AC93" s="91"/>
      <c r="AD93" s="91"/>
    </row>
    <row r="94" ht="15.75" customHeight="1" outlineLevel="1">
      <c r="A94" s="170" t="s">
        <v>10535</v>
      </c>
      <c r="B94" s="51" t="s">
        <v>26</v>
      </c>
      <c r="C94" s="51" t="s">
        <v>27</v>
      </c>
      <c r="D94" s="52" t="s">
        <v>4</v>
      </c>
      <c r="E94" s="53" t="s">
        <v>27</v>
      </c>
      <c r="F94" s="52" t="s">
        <v>4</v>
      </c>
      <c r="G94" s="52" t="s">
        <v>55</v>
      </c>
      <c r="H94" s="176" t="s">
        <v>454</v>
      </c>
      <c r="I94" s="175" t="s">
        <v>71</v>
      </c>
      <c r="J94" s="176" t="s">
        <v>2903</v>
      </c>
      <c r="K94" s="175" t="s">
        <v>27</v>
      </c>
      <c r="L94" s="218" t="s">
        <v>4</v>
      </c>
      <c r="M94" s="52" t="s">
        <v>46</v>
      </c>
      <c r="N94" s="54" t="s">
        <v>10496</v>
      </c>
      <c r="O94" s="55" t="str">
        <f t="shared" si="4"/>
        <v>L1.00.00.10.15.00</v>
      </c>
      <c r="P94" s="55" t="str">
        <f t="shared" si="5"/>
        <v>L1.00.00.10.15.00.07</v>
      </c>
      <c r="Q94" s="160" t="s">
        <v>10530</v>
      </c>
      <c r="R94" s="169" t="str">
        <f t="shared" si="6"/>
        <v>Sản phẩm AMIS CRM (KH)</v>
      </c>
      <c r="S94" s="97" t="s">
        <v>10610</v>
      </c>
      <c r="T94" s="97" t="s">
        <v>10666</v>
      </c>
      <c r="U94" s="96" t="s">
        <v>453</v>
      </c>
      <c r="V94" s="96" t="s">
        <v>454</v>
      </c>
      <c r="W94" s="96" t="s">
        <v>2903</v>
      </c>
      <c r="X94" s="96"/>
      <c r="Y94" s="96"/>
      <c r="Z94" s="98" t="s">
        <v>10667</v>
      </c>
      <c r="AA94" s="153" t="s">
        <v>10530</v>
      </c>
      <c r="AB94" s="91"/>
      <c r="AC94" s="91"/>
      <c r="AD94" s="91"/>
    </row>
    <row r="95" ht="15.75" customHeight="1" outlineLevel="1">
      <c r="A95" s="170" t="s">
        <v>10535</v>
      </c>
      <c r="B95" s="51" t="s">
        <v>26</v>
      </c>
      <c r="C95" s="51" t="s">
        <v>27</v>
      </c>
      <c r="D95" s="52" t="s">
        <v>4</v>
      </c>
      <c r="E95" s="53" t="s">
        <v>27</v>
      </c>
      <c r="F95" s="52" t="s">
        <v>4</v>
      </c>
      <c r="G95" s="52" t="s">
        <v>55</v>
      </c>
      <c r="H95" s="176" t="s">
        <v>454</v>
      </c>
      <c r="I95" s="175" t="s">
        <v>71</v>
      </c>
      <c r="J95" s="176" t="s">
        <v>2903</v>
      </c>
      <c r="K95" s="175" t="s">
        <v>29</v>
      </c>
      <c r="L95" s="176" t="s">
        <v>2902</v>
      </c>
      <c r="M95" s="52" t="s">
        <v>46</v>
      </c>
      <c r="N95" s="54" t="s">
        <v>10496</v>
      </c>
      <c r="O95" s="55" t="str">
        <f t="shared" si="4"/>
        <v>L1.00.00.10.15.01</v>
      </c>
      <c r="P95" s="55" t="str">
        <f t="shared" si="5"/>
        <v>L1.00.00.10.15.01.07</v>
      </c>
      <c r="Q95" s="160" t="s">
        <v>10530</v>
      </c>
      <c r="R95" s="169" t="str">
        <f t="shared" si="6"/>
        <v>Dự án AMIS CRM (KH)</v>
      </c>
      <c r="S95" s="97" t="s">
        <v>10668</v>
      </c>
      <c r="T95" s="96" t="s">
        <v>2904</v>
      </c>
      <c r="U95" s="96" t="s">
        <v>453</v>
      </c>
      <c r="V95" s="96" t="s">
        <v>454</v>
      </c>
      <c r="W95" s="96" t="s">
        <v>2903</v>
      </c>
      <c r="X95" s="96" t="s">
        <v>2902</v>
      </c>
      <c r="Y95" s="96"/>
      <c r="Z95" s="98" t="s">
        <v>10669</v>
      </c>
      <c r="AA95" s="153" t="s">
        <v>10530</v>
      </c>
      <c r="AB95" s="91"/>
      <c r="AC95" s="91"/>
      <c r="AD95" s="91"/>
    </row>
    <row r="96" ht="15.75" customHeight="1" outlineLevel="1">
      <c r="A96" s="170" t="s">
        <v>10535</v>
      </c>
      <c r="B96" s="51" t="s">
        <v>26</v>
      </c>
      <c r="C96" s="51" t="s">
        <v>27</v>
      </c>
      <c r="D96" s="52" t="s">
        <v>4</v>
      </c>
      <c r="E96" s="53" t="s">
        <v>27</v>
      </c>
      <c r="F96" s="52" t="s">
        <v>4</v>
      </c>
      <c r="G96" s="52" t="s">
        <v>55</v>
      </c>
      <c r="H96" s="176" t="s">
        <v>454</v>
      </c>
      <c r="I96" s="175" t="s">
        <v>71</v>
      </c>
      <c r="J96" s="176" t="s">
        <v>2903</v>
      </c>
      <c r="K96" s="177" t="s">
        <v>33</v>
      </c>
      <c r="L96" s="176" t="s">
        <v>4953</v>
      </c>
      <c r="M96" s="52" t="s">
        <v>46</v>
      </c>
      <c r="N96" s="54" t="s">
        <v>10496</v>
      </c>
      <c r="O96" s="55" t="str">
        <f t="shared" si="4"/>
        <v>L1.00.00.10.15.02</v>
      </c>
      <c r="P96" s="55" t="str">
        <f t="shared" si="5"/>
        <v>L1.00.00.10.15.02.07</v>
      </c>
      <c r="Q96" s="160" t="s">
        <v>10530</v>
      </c>
      <c r="R96" s="169" t="str">
        <f t="shared" si="6"/>
        <v>[AMIS CRM KH] Nhóm Phân tích &amp; Thiết kế</v>
      </c>
      <c r="S96" s="97" t="s">
        <v>10668</v>
      </c>
      <c r="T96" s="96" t="s">
        <v>4954</v>
      </c>
      <c r="U96" s="96" t="s">
        <v>453</v>
      </c>
      <c r="V96" s="96" t="s">
        <v>454</v>
      </c>
      <c r="W96" s="96" t="s">
        <v>2903</v>
      </c>
      <c r="X96" s="96" t="s">
        <v>4953</v>
      </c>
      <c r="Y96" s="96"/>
      <c r="Z96" s="98" t="s">
        <v>10670</v>
      </c>
      <c r="AA96" s="153" t="s">
        <v>10530</v>
      </c>
      <c r="AB96" s="91"/>
      <c r="AC96" s="91"/>
      <c r="AD96" s="91"/>
    </row>
    <row r="97" ht="15.75" customHeight="1" outlineLevel="1">
      <c r="A97" s="170" t="s">
        <v>10535</v>
      </c>
      <c r="B97" s="51" t="s">
        <v>26</v>
      </c>
      <c r="C97" s="51" t="s">
        <v>27</v>
      </c>
      <c r="D97" s="52" t="s">
        <v>4</v>
      </c>
      <c r="E97" s="53" t="s">
        <v>27</v>
      </c>
      <c r="F97" s="52" t="s">
        <v>4</v>
      </c>
      <c r="G97" s="52" t="s">
        <v>55</v>
      </c>
      <c r="H97" s="176" t="s">
        <v>454</v>
      </c>
      <c r="I97" s="175" t="s">
        <v>10671</v>
      </c>
      <c r="J97" s="176" t="s">
        <v>4777</v>
      </c>
      <c r="K97" s="172" t="s">
        <v>27</v>
      </c>
      <c r="L97" s="218" t="s">
        <v>4</v>
      </c>
      <c r="M97" s="52" t="s">
        <v>46</v>
      </c>
      <c r="N97" s="54" t="s">
        <v>10496</v>
      </c>
      <c r="O97" s="55" t="str">
        <f t="shared" si="4"/>
        <v>L1.00.00.10.16.00</v>
      </c>
      <c r="P97" s="55" t="str">
        <f t="shared" si="5"/>
        <v>L1.00.00.10.16.00.07</v>
      </c>
      <c r="Q97" s="160" t="s">
        <v>10530</v>
      </c>
      <c r="R97" s="169" t="str">
        <f t="shared" si="6"/>
        <v>Sản phẩm MISA eSign</v>
      </c>
      <c r="S97" s="97" t="s">
        <v>10610</v>
      </c>
      <c r="T97" s="96" t="s">
        <v>4778</v>
      </c>
      <c r="U97" s="96" t="s">
        <v>453</v>
      </c>
      <c r="V97" s="96" t="s">
        <v>454</v>
      </c>
      <c r="W97" s="96" t="s">
        <v>4777</v>
      </c>
      <c r="X97" s="96"/>
      <c r="Y97" s="96"/>
      <c r="Z97" s="98" t="s">
        <v>10672</v>
      </c>
      <c r="AA97" s="153" t="s">
        <v>10530</v>
      </c>
      <c r="AB97" s="91"/>
      <c r="AC97" s="91"/>
      <c r="AD97" s="91"/>
    </row>
    <row r="98" ht="15.75" customHeight="1" outlineLevel="1">
      <c r="A98" s="170" t="s">
        <v>10535</v>
      </c>
      <c r="B98" s="51" t="s">
        <v>26</v>
      </c>
      <c r="C98" s="51" t="s">
        <v>27</v>
      </c>
      <c r="D98" s="52" t="s">
        <v>4</v>
      </c>
      <c r="E98" s="53" t="s">
        <v>27</v>
      </c>
      <c r="F98" s="52" t="s">
        <v>4</v>
      </c>
      <c r="G98" s="52" t="s">
        <v>55</v>
      </c>
      <c r="H98" s="176" t="s">
        <v>454</v>
      </c>
      <c r="I98" s="175" t="s">
        <v>10671</v>
      </c>
      <c r="J98" s="176" t="s">
        <v>4777</v>
      </c>
      <c r="K98" s="175" t="s">
        <v>29</v>
      </c>
      <c r="L98" s="176" t="s">
        <v>5506</v>
      </c>
      <c r="M98" s="52" t="s">
        <v>46</v>
      </c>
      <c r="N98" s="54" t="s">
        <v>10496</v>
      </c>
      <c r="O98" s="55" t="str">
        <f t="shared" si="4"/>
        <v>L1.00.00.10.16.01</v>
      </c>
      <c r="P98" s="55" t="str">
        <f t="shared" si="5"/>
        <v>L1.00.00.10.16.01.07</v>
      </c>
      <c r="Q98" s="160" t="s">
        <v>10530</v>
      </c>
      <c r="R98" s="169" t="str">
        <f t="shared" si="6"/>
        <v>Dự án MISA eSign</v>
      </c>
      <c r="S98" s="97" t="s">
        <v>10673</v>
      </c>
      <c r="T98" s="96" t="s">
        <v>5507</v>
      </c>
      <c r="U98" s="96" t="s">
        <v>453</v>
      </c>
      <c r="V98" s="96" t="s">
        <v>454</v>
      </c>
      <c r="W98" s="96" t="s">
        <v>4777</v>
      </c>
      <c r="X98" s="96" t="s">
        <v>5506</v>
      </c>
      <c r="Y98" s="96"/>
      <c r="Z98" s="98" t="s">
        <v>10674</v>
      </c>
      <c r="AA98" s="153" t="s">
        <v>10530</v>
      </c>
      <c r="AB98" s="91"/>
      <c r="AC98" s="91"/>
      <c r="AD98" s="91"/>
    </row>
    <row r="99" ht="15.75" customHeight="1" outlineLevel="1">
      <c r="A99" s="170" t="s">
        <v>10535</v>
      </c>
      <c r="B99" s="51" t="s">
        <v>26</v>
      </c>
      <c r="C99" s="51" t="s">
        <v>27</v>
      </c>
      <c r="D99" s="52" t="s">
        <v>4</v>
      </c>
      <c r="E99" s="53" t="s">
        <v>27</v>
      </c>
      <c r="F99" s="52" t="s">
        <v>4</v>
      </c>
      <c r="G99" s="52" t="s">
        <v>55</v>
      </c>
      <c r="H99" s="176" t="s">
        <v>454</v>
      </c>
      <c r="I99" s="175" t="s">
        <v>10671</v>
      </c>
      <c r="J99" s="176" t="s">
        <v>4777</v>
      </c>
      <c r="K99" s="177" t="s">
        <v>33</v>
      </c>
      <c r="L99" s="176" t="s">
        <v>5734</v>
      </c>
      <c r="M99" s="52" t="s">
        <v>46</v>
      </c>
      <c r="N99" s="54" t="s">
        <v>10496</v>
      </c>
      <c r="O99" s="55" t="str">
        <f t="shared" si="4"/>
        <v>L1.00.00.10.16.02</v>
      </c>
      <c r="P99" s="55" t="str">
        <f t="shared" si="5"/>
        <v>L1.00.00.10.16.02.07</v>
      </c>
      <c r="Q99" s="160" t="s">
        <v>10530</v>
      </c>
      <c r="R99" s="169" t="str">
        <f t="shared" si="6"/>
        <v>Dự án MISA eSign Mobile</v>
      </c>
      <c r="S99" s="97" t="s">
        <v>10673</v>
      </c>
      <c r="T99" s="96" t="s">
        <v>5735</v>
      </c>
      <c r="U99" s="96" t="s">
        <v>453</v>
      </c>
      <c r="V99" s="96" t="s">
        <v>454</v>
      </c>
      <c r="W99" s="96" t="s">
        <v>4777</v>
      </c>
      <c r="X99" s="96" t="s">
        <v>5734</v>
      </c>
      <c r="Y99" s="96"/>
      <c r="Z99" s="98" t="s">
        <v>10675</v>
      </c>
      <c r="AA99" s="153" t="s">
        <v>10530</v>
      </c>
      <c r="AB99" s="91"/>
      <c r="AC99" s="91"/>
      <c r="AD99" s="91"/>
    </row>
    <row r="100" ht="15.75" customHeight="1" outlineLevel="1">
      <c r="A100" s="170" t="s">
        <v>10535</v>
      </c>
      <c r="B100" s="51" t="s">
        <v>26</v>
      </c>
      <c r="C100" s="51" t="s">
        <v>27</v>
      </c>
      <c r="D100" s="52" t="s">
        <v>4</v>
      </c>
      <c r="E100" s="53" t="s">
        <v>27</v>
      </c>
      <c r="F100" s="52" t="s">
        <v>4</v>
      </c>
      <c r="G100" s="52" t="s">
        <v>55</v>
      </c>
      <c r="H100" s="176" t="s">
        <v>454</v>
      </c>
      <c r="I100" s="175" t="s">
        <v>10671</v>
      </c>
      <c r="J100" s="176" t="s">
        <v>4777</v>
      </c>
      <c r="K100" s="177" t="s">
        <v>35</v>
      </c>
      <c r="L100" s="176" t="s">
        <v>5705</v>
      </c>
      <c r="M100" s="52" t="s">
        <v>46</v>
      </c>
      <c r="N100" s="54" t="s">
        <v>10496</v>
      </c>
      <c r="O100" s="55" t="str">
        <f t="shared" si="4"/>
        <v>L1.00.00.10.16.03</v>
      </c>
      <c r="P100" s="55" t="str">
        <f t="shared" si="5"/>
        <v>L1.00.00.10.16.03.07</v>
      </c>
      <c r="Q100" s="160" t="s">
        <v>10530</v>
      </c>
      <c r="R100" s="169" t="str">
        <f t="shared" si="6"/>
        <v>[MISA eSign] Nhóm Phân tích và Thiết kế</v>
      </c>
      <c r="S100" s="97" t="s">
        <v>10673</v>
      </c>
      <c r="T100" s="96" t="s">
        <v>5706</v>
      </c>
      <c r="U100" s="96" t="s">
        <v>453</v>
      </c>
      <c r="V100" s="96" t="s">
        <v>454</v>
      </c>
      <c r="W100" s="96" t="s">
        <v>4777</v>
      </c>
      <c r="X100" s="96" t="s">
        <v>5705</v>
      </c>
      <c r="Y100" s="96"/>
      <c r="Z100" s="98" t="s">
        <v>10676</v>
      </c>
      <c r="AA100" s="153" t="s">
        <v>10530</v>
      </c>
      <c r="AB100" s="91"/>
      <c r="AC100" s="91"/>
      <c r="AD100" s="91"/>
    </row>
    <row r="101" ht="15.75" customHeight="1" outlineLevel="1">
      <c r="A101" s="170" t="s">
        <v>10535</v>
      </c>
      <c r="B101" s="51" t="s">
        <v>26</v>
      </c>
      <c r="C101" s="51" t="s">
        <v>27</v>
      </c>
      <c r="D101" s="52" t="s">
        <v>4</v>
      </c>
      <c r="E101" s="53" t="s">
        <v>27</v>
      </c>
      <c r="F101" s="52" t="s">
        <v>4</v>
      </c>
      <c r="G101" s="52" t="s">
        <v>55</v>
      </c>
      <c r="H101" s="176" t="s">
        <v>454</v>
      </c>
      <c r="I101" s="175" t="s">
        <v>10677</v>
      </c>
      <c r="J101" s="176" t="s">
        <v>2669</v>
      </c>
      <c r="K101" s="172" t="s">
        <v>27</v>
      </c>
      <c r="L101" s="218" t="s">
        <v>4</v>
      </c>
      <c r="M101" s="52" t="s">
        <v>46</v>
      </c>
      <c r="N101" s="54" t="s">
        <v>10496</v>
      </c>
      <c r="O101" s="55" t="str">
        <f t="shared" si="4"/>
        <v>L1.00.00.10.17.00</v>
      </c>
      <c r="P101" s="55" t="str">
        <f t="shared" si="5"/>
        <v>L1.00.00.10.17.00.07</v>
      </c>
      <c r="Q101" s="160" t="s">
        <v>10530</v>
      </c>
      <c r="R101" s="169" t="str">
        <f t="shared" si="6"/>
        <v>Sản phẩm AMIS weSign</v>
      </c>
      <c r="S101" s="97" t="s">
        <v>10610</v>
      </c>
      <c r="T101" s="97" t="s">
        <v>10678</v>
      </c>
      <c r="U101" s="96" t="s">
        <v>453</v>
      </c>
      <c r="V101" s="96" t="s">
        <v>454</v>
      </c>
      <c r="W101" s="96" t="s">
        <v>2669</v>
      </c>
      <c r="X101" s="96"/>
      <c r="Y101" s="96"/>
      <c r="Z101" s="98" t="s">
        <v>10679</v>
      </c>
      <c r="AA101" s="153" t="s">
        <v>10530</v>
      </c>
      <c r="AB101" s="91"/>
      <c r="AC101" s="91"/>
      <c r="AD101" s="91"/>
    </row>
    <row r="102" ht="15.75" customHeight="1" outlineLevel="1">
      <c r="A102" s="170" t="s">
        <v>10535</v>
      </c>
      <c r="B102" s="51" t="s">
        <v>26</v>
      </c>
      <c r="C102" s="51" t="s">
        <v>27</v>
      </c>
      <c r="D102" s="52" t="s">
        <v>4</v>
      </c>
      <c r="E102" s="53" t="s">
        <v>27</v>
      </c>
      <c r="F102" s="52" t="s">
        <v>4</v>
      </c>
      <c r="G102" s="52" t="s">
        <v>55</v>
      </c>
      <c r="H102" s="176" t="s">
        <v>454</v>
      </c>
      <c r="I102" s="175" t="s">
        <v>10677</v>
      </c>
      <c r="J102" s="176" t="s">
        <v>2669</v>
      </c>
      <c r="K102" s="175" t="s">
        <v>29</v>
      </c>
      <c r="L102" s="176" t="s">
        <v>2668</v>
      </c>
      <c r="M102" s="52" t="s">
        <v>46</v>
      </c>
      <c r="N102" s="54" t="s">
        <v>10496</v>
      </c>
      <c r="O102" s="55" t="str">
        <f t="shared" si="4"/>
        <v>L1.00.00.10.17.01</v>
      </c>
      <c r="P102" s="55" t="str">
        <f t="shared" si="5"/>
        <v>L1.00.00.10.17.01.07</v>
      </c>
      <c r="Q102" s="160" t="s">
        <v>10530</v>
      </c>
      <c r="R102" s="169" t="str">
        <f t="shared" si="6"/>
        <v>Dự án AMIS weSign</v>
      </c>
      <c r="S102" s="97" t="s">
        <v>10680</v>
      </c>
      <c r="T102" s="96" t="s">
        <v>2670</v>
      </c>
      <c r="U102" s="96" t="s">
        <v>453</v>
      </c>
      <c r="V102" s="96" t="s">
        <v>454</v>
      </c>
      <c r="W102" s="96" t="s">
        <v>2669</v>
      </c>
      <c r="X102" s="96" t="s">
        <v>2668</v>
      </c>
      <c r="Y102" s="96"/>
      <c r="Z102" s="98" t="s">
        <v>10681</v>
      </c>
      <c r="AA102" s="153" t="s">
        <v>10530</v>
      </c>
      <c r="AB102" s="91"/>
      <c r="AC102" s="91"/>
      <c r="AD102" s="91"/>
    </row>
    <row r="103" ht="15.75" customHeight="1" outlineLevel="1">
      <c r="A103" s="170" t="s">
        <v>10535</v>
      </c>
      <c r="B103" s="51" t="s">
        <v>26</v>
      </c>
      <c r="C103" s="51" t="s">
        <v>27</v>
      </c>
      <c r="D103" s="52" t="s">
        <v>4</v>
      </c>
      <c r="E103" s="53" t="s">
        <v>27</v>
      </c>
      <c r="F103" s="52" t="s">
        <v>4</v>
      </c>
      <c r="G103" s="52" t="s">
        <v>55</v>
      </c>
      <c r="H103" s="176" t="s">
        <v>454</v>
      </c>
      <c r="I103" s="175" t="s">
        <v>10677</v>
      </c>
      <c r="J103" s="176" t="s">
        <v>2669</v>
      </c>
      <c r="K103" s="177" t="s">
        <v>33</v>
      </c>
      <c r="L103" s="176" t="s">
        <v>6002</v>
      </c>
      <c r="M103" s="52" t="s">
        <v>46</v>
      </c>
      <c r="N103" s="54" t="s">
        <v>10496</v>
      </c>
      <c r="O103" s="55" t="str">
        <f t="shared" si="4"/>
        <v>L1.00.00.10.17.02</v>
      </c>
      <c r="P103" s="55" t="str">
        <f t="shared" si="5"/>
        <v>L1.00.00.10.17.02.07</v>
      </c>
      <c r="Q103" s="160" t="s">
        <v>10530</v>
      </c>
      <c r="R103" s="169" t="str">
        <f t="shared" si="6"/>
        <v>[AMIS weSign] Nhóm Phân tích và Thiết kế</v>
      </c>
      <c r="S103" s="97" t="s">
        <v>10680</v>
      </c>
      <c r="T103" s="96" t="s">
        <v>6003</v>
      </c>
      <c r="U103" s="96" t="s">
        <v>453</v>
      </c>
      <c r="V103" s="96" t="s">
        <v>454</v>
      </c>
      <c r="W103" s="96" t="s">
        <v>2669</v>
      </c>
      <c r="X103" s="96" t="s">
        <v>6002</v>
      </c>
      <c r="Y103" s="96"/>
      <c r="Z103" s="98" t="s">
        <v>10682</v>
      </c>
      <c r="AA103" s="153" t="s">
        <v>10530</v>
      </c>
      <c r="AB103" s="91"/>
      <c r="AC103" s="91"/>
      <c r="AD103" s="91"/>
    </row>
    <row r="104" ht="15.75" customHeight="1" outlineLevel="1">
      <c r="A104" s="170" t="s">
        <v>10535</v>
      </c>
      <c r="B104" s="51" t="s">
        <v>26</v>
      </c>
      <c r="C104" s="51" t="s">
        <v>27</v>
      </c>
      <c r="D104" s="52" t="s">
        <v>4</v>
      </c>
      <c r="E104" s="53" t="s">
        <v>27</v>
      </c>
      <c r="F104" s="52" t="s">
        <v>4</v>
      </c>
      <c r="G104" s="52" t="s">
        <v>55</v>
      </c>
      <c r="H104" s="176" t="s">
        <v>454</v>
      </c>
      <c r="I104" s="175" t="s">
        <v>10683</v>
      </c>
      <c r="J104" s="176" t="s">
        <v>3569</v>
      </c>
      <c r="K104" s="172" t="s">
        <v>27</v>
      </c>
      <c r="L104" s="174" t="s">
        <v>4</v>
      </c>
      <c r="M104" s="52" t="s">
        <v>46</v>
      </c>
      <c r="N104" s="54" t="s">
        <v>10496</v>
      </c>
      <c r="O104" s="55" t="str">
        <f t="shared" si="4"/>
        <v>L1.00.00.10.18.00</v>
      </c>
      <c r="P104" s="55" t="str">
        <f t="shared" si="5"/>
        <v>L1.00.00.10.18.00.07</v>
      </c>
      <c r="Q104" s="160" t="s">
        <v>10530</v>
      </c>
      <c r="R104" s="169" t="str">
        <f t="shared" si="6"/>
        <v>Sản phẩm QTKD Mobile</v>
      </c>
      <c r="S104" s="97" t="s">
        <v>10610</v>
      </c>
      <c r="T104" s="96" t="s">
        <v>3570</v>
      </c>
      <c r="U104" s="96" t="s">
        <v>453</v>
      </c>
      <c r="V104" s="96" t="s">
        <v>454</v>
      </c>
      <c r="W104" s="96" t="s">
        <v>3569</v>
      </c>
      <c r="X104" s="96"/>
      <c r="Y104" s="96"/>
      <c r="Z104" s="98" t="s">
        <v>10684</v>
      </c>
      <c r="AA104" s="153" t="s">
        <v>10530</v>
      </c>
      <c r="AB104" s="91"/>
      <c r="AC104" s="91"/>
      <c r="AD104" s="91"/>
    </row>
    <row r="105" ht="15.75" customHeight="1" outlineLevel="1">
      <c r="A105" s="170" t="s">
        <v>10535</v>
      </c>
      <c r="B105" s="51" t="s">
        <v>26</v>
      </c>
      <c r="C105" s="51" t="s">
        <v>27</v>
      </c>
      <c r="D105" s="52" t="s">
        <v>4</v>
      </c>
      <c r="E105" s="53" t="s">
        <v>27</v>
      </c>
      <c r="F105" s="52" t="s">
        <v>4</v>
      </c>
      <c r="G105" s="52" t="s">
        <v>55</v>
      </c>
      <c r="H105" s="176" t="s">
        <v>454</v>
      </c>
      <c r="I105" s="175" t="s">
        <v>10685</v>
      </c>
      <c r="J105" s="176" t="s">
        <v>3378</v>
      </c>
      <c r="K105" s="172" t="s">
        <v>27</v>
      </c>
      <c r="L105" s="194" t="s">
        <v>4</v>
      </c>
      <c r="M105" s="52" t="s">
        <v>46</v>
      </c>
      <c r="N105" s="54" t="s">
        <v>10496</v>
      </c>
      <c r="O105" s="55" t="str">
        <f t="shared" si="4"/>
        <v>L1.00.00.10.19.00</v>
      </c>
      <c r="P105" s="55" t="str">
        <f t="shared" si="5"/>
        <v>L1.00.00.10.19.00.07</v>
      </c>
      <c r="Q105" s="160" t="s">
        <v>10530</v>
      </c>
      <c r="R105" s="169" t="str">
        <f t="shared" si="6"/>
        <v>Sản phẩm Customize</v>
      </c>
      <c r="S105" s="97" t="s">
        <v>10610</v>
      </c>
      <c r="T105" s="97" t="s">
        <v>10686</v>
      </c>
      <c r="U105" s="96" t="s">
        <v>453</v>
      </c>
      <c r="V105" s="96" t="s">
        <v>454</v>
      </c>
      <c r="W105" s="96" t="s">
        <v>3378</v>
      </c>
      <c r="X105" s="96" t="s">
        <v>3377</v>
      </c>
      <c r="Y105" s="96"/>
      <c r="Z105" s="98" t="s">
        <v>10687</v>
      </c>
      <c r="AA105" s="153" t="s">
        <v>10530</v>
      </c>
      <c r="AB105" s="91"/>
      <c r="AC105" s="91"/>
      <c r="AD105" s="91"/>
    </row>
    <row r="106" ht="15.75" customHeight="1" outlineLevel="1">
      <c r="A106" s="170" t="s">
        <v>10535</v>
      </c>
      <c r="B106" s="51" t="s">
        <v>26</v>
      </c>
      <c r="C106" s="51" t="s">
        <v>27</v>
      </c>
      <c r="D106" s="52" t="s">
        <v>4</v>
      </c>
      <c r="E106" s="53" t="s">
        <v>27</v>
      </c>
      <c r="F106" s="52" t="s">
        <v>4</v>
      </c>
      <c r="G106" s="52" t="s">
        <v>55</v>
      </c>
      <c r="H106" s="176" t="s">
        <v>454</v>
      </c>
      <c r="I106" s="175" t="s">
        <v>10685</v>
      </c>
      <c r="J106" s="176" t="s">
        <v>3378</v>
      </c>
      <c r="K106" s="175" t="s">
        <v>29</v>
      </c>
      <c r="L106" s="176" t="s">
        <v>3377</v>
      </c>
      <c r="M106" s="52" t="s">
        <v>46</v>
      </c>
      <c r="N106" s="54" t="s">
        <v>10496</v>
      </c>
      <c r="O106" s="55" t="str">
        <f t="shared" si="4"/>
        <v>L1.00.00.10.19.01</v>
      </c>
      <c r="P106" s="55" t="str">
        <f t="shared" si="5"/>
        <v>L1.00.00.10.19.01.07</v>
      </c>
      <c r="Q106" s="160" t="s">
        <v>10530</v>
      </c>
      <c r="R106" s="169" t="str">
        <f t="shared" si="6"/>
        <v>Dự án chuyển đổi kế toán MISA</v>
      </c>
      <c r="S106" s="97" t="s">
        <v>10688</v>
      </c>
      <c r="T106" s="96" t="s">
        <v>3379</v>
      </c>
      <c r="U106" s="96" t="s">
        <v>453</v>
      </c>
      <c r="V106" s="96" t="s">
        <v>454</v>
      </c>
      <c r="W106" s="96" t="s">
        <v>3378</v>
      </c>
      <c r="X106" s="96" t="s">
        <v>3377</v>
      </c>
      <c r="Y106" s="96"/>
      <c r="Z106" s="98" t="s">
        <v>10689</v>
      </c>
      <c r="AA106" s="153" t="s">
        <v>10530</v>
      </c>
      <c r="AB106" s="91"/>
      <c r="AC106" s="91"/>
      <c r="AD106" s="91"/>
    </row>
    <row r="107" ht="15.75" customHeight="1" outlineLevel="1">
      <c r="A107" s="170" t="s">
        <v>10535</v>
      </c>
      <c r="B107" s="51" t="s">
        <v>26</v>
      </c>
      <c r="C107" s="51" t="s">
        <v>27</v>
      </c>
      <c r="D107" s="52" t="s">
        <v>4</v>
      </c>
      <c r="E107" s="53" t="s">
        <v>27</v>
      </c>
      <c r="F107" s="52" t="s">
        <v>4</v>
      </c>
      <c r="G107" s="52" t="s">
        <v>55</v>
      </c>
      <c r="H107" s="176" t="s">
        <v>454</v>
      </c>
      <c r="I107" s="175" t="s">
        <v>10685</v>
      </c>
      <c r="J107" s="176" t="s">
        <v>3378</v>
      </c>
      <c r="K107" s="177" t="s">
        <v>33</v>
      </c>
      <c r="L107" s="176" t="s">
        <v>4420</v>
      </c>
      <c r="M107" s="52" t="s">
        <v>46</v>
      </c>
      <c r="N107" s="54" t="s">
        <v>10496</v>
      </c>
      <c r="O107" s="55" t="str">
        <f t="shared" si="4"/>
        <v>L1.00.00.10.19.02</v>
      </c>
      <c r="P107" s="55" t="str">
        <f t="shared" si="5"/>
        <v>L1.00.00.10.19.02.07</v>
      </c>
      <c r="Q107" s="160" t="s">
        <v>10530</v>
      </c>
      <c r="R107" s="169" t="str">
        <f t="shared" si="6"/>
        <v>Dự án Customize KH DN lớn</v>
      </c>
      <c r="S107" s="97" t="s">
        <v>10688</v>
      </c>
      <c r="T107" s="96" t="s">
        <v>4421</v>
      </c>
      <c r="U107" s="96" t="s">
        <v>453</v>
      </c>
      <c r="V107" s="96" t="s">
        <v>454</v>
      </c>
      <c r="W107" s="96" t="s">
        <v>3378</v>
      </c>
      <c r="X107" s="96" t="s">
        <v>4420</v>
      </c>
      <c r="Y107" s="96"/>
      <c r="Z107" s="98" t="s">
        <v>10690</v>
      </c>
      <c r="AA107" s="153" t="s">
        <v>10530</v>
      </c>
      <c r="AB107" s="91"/>
      <c r="AC107" s="91"/>
      <c r="AD107" s="91"/>
    </row>
    <row r="108" ht="15.75" customHeight="1" outlineLevel="1">
      <c r="A108" s="170" t="s">
        <v>10535</v>
      </c>
      <c r="B108" s="51" t="s">
        <v>26</v>
      </c>
      <c r="C108" s="51" t="s">
        <v>27</v>
      </c>
      <c r="D108" s="52" t="s">
        <v>4</v>
      </c>
      <c r="E108" s="53" t="s">
        <v>27</v>
      </c>
      <c r="F108" s="52" t="s">
        <v>4</v>
      </c>
      <c r="G108" s="52" t="s">
        <v>55</v>
      </c>
      <c r="H108" s="176" t="s">
        <v>454</v>
      </c>
      <c r="I108" s="175" t="s">
        <v>10691</v>
      </c>
      <c r="J108" s="176" t="s">
        <v>4597</v>
      </c>
      <c r="K108" s="175" t="s">
        <v>27</v>
      </c>
      <c r="L108" s="194" t="s">
        <v>4</v>
      </c>
      <c r="M108" s="52" t="s">
        <v>46</v>
      </c>
      <c r="N108" s="54" t="s">
        <v>10496</v>
      </c>
      <c r="O108" s="55" t="str">
        <f t="shared" si="4"/>
        <v>L1.00.00.10.20.00</v>
      </c>
      <c r="P108" s="55" t="str">
        <f t="shared" si="5"/>
        <v>L1.00.00.10.20.00.07</v>
      </c>
      <c r="Q108" s="160" t="s">
        <v>10530</v>
      </c>
      <c r="R108" s="169" t="str">
        <f t="shared" si="6"/>
        <v>Sản phẩm AMIS CRM (MISA)</v>
      </c>
      <c r="S108" s="97" t="s">
        <v>10610</v>
      </c>
      <c r="T108" s="97" t="s">
        <v>10692</v>
      </c>
      <c r="U108" s="96" t="s">
        <v>453</v>
      </c>
      <c r="V108" s="96" t="s">
        <v>454</v>
      </c>
      <c r="W108" s="96" t="s">
        <v>4597</v>
      </c>
      <c r="X108" s="96" t="s">
        <v>4596</v>
      </c>
      <c r="Y108" s="96"/>
      <c r="Z108" s="98" t="s">
        <v>10693</v>
      </c>
      <c r="AA108" s="153" t="s">
        <v>10530</v>
      </c>
      <c r="AB108" s="91"/>
      <c r="AC108" s="91"/>
      <c r="AD108" s="91"/>
    </row>
    <row r="109" ht="15.75" customHeight="1" outlineLevel="1">
      <c r="A109" s="170" t="s">
        <v>10535</v>
      </c>
      <c r="B109" s="51" t="s">
        <v>26</v>
      </c>
      <c r="C109" s="51" t="s">
        <v>27</v>
      </c>
      <c r="D109" s="52" t="s">
        <v>4</v>
      </c>
      <c r="E109" s="53" t="s">
        <v>27</v>
      </c>
      <c r="F109" s="52" t="s">
        <v>4</v>
      </c>
      <c r="G109" s="52" t="s">
        <v>55</v>
      </c>
      <c r="H109" s="176" t="s">
        <v>454</v>
      </c>
      <c r="I109" s="175" t="s">
        <v>10691</v>
      </c>
      <c r="J109" s="176" t="s">
        <v>4597</v>
      </c>
      <c r="K109" s="175" t="s">
        <v>29</v>
      </c>
      <c r="L109" s="176" t="s">
        <v>4596</v>
      </c>
      <c r="M109" s="52" t="s">
        <v>46</v>
      </c>
      <c r="N109" s="54" t="s">
        <v>10496</v>
      </c>
      <c r="O109" s="55" t="str">
        <f t="shared" si="4"/>
        <v>L1.00.00.10.20.01</v>
      </c>
      <c r="P109" s="55" t="str">
        <f t="shared" si="5"/>
        <v>L1.00.00.10.20.01.07</v>
      </c>
      <c r="Q109" s="160" t="s">
        <v>10530</v>
      </c>
      <c r="R109" s="169" t="str">
        <f t="shared" si="6"/>
        <v>Dự án AMIS CRM (MISA)</v>
      </c>
      <c r="S109" s="97" t="s">
        <v>10694</v>
      </c>
      <c r="T109" s="96" t="s">
        <v>4598</v>
      </c>
      <c r="U109" s="96" t="s">
        <v>453</v>
      </c>
      <c r="V109" s="96" t="s">
        <v>454</v>
      </c>
      <c r="W109" s="96" t="s">
        <v>4597</v>
      </c>
      <c r="X109" s="96" t="s">
        <v>4596</v>
      </c>
      <c r="Y109" s="96"/>
      <c r="Z109" s="98" t="s">
        <v>10695</v>
      </c>
      <c r="AA109" s="153" t="s">
        <v>10530</v>
      </c>
      <c r="AB109" s="91"/>
      <c r="AC109" s="91"/>
      <c r="AD109" s="91"/>
    </row>
    <row r="110" ht="15.75" customHeight="1" outlineLevel="1">
      <c r="A110" s="170" t="s">
        <v>10535</v>
      </c>
      <c r="B110" s="51" t="s">
        <v>26</v>
      </c>
      <c r="C110" s="51" t="s">
        <v>27</v>
      </c>
      <c r="D110" s="52" t="s">
        <v>4</v>
      </c>
      <c r="E110" s="53" t="s">
        <v>27</v>
      </c>
      <c r="F110" s="52" t="s">
        <v>4</v>
      </c>
      <c r="G110" s="52" t="s">
        <v>55</v>
      </c>
      <c r="H110" s="176" t="s">
        <v>454</v>
      </c>
      <c r="I110" s="175" t="s">
        <v>10691</v>
      </c>
      <c r="J110" s="176" t="s">
        <v>4597</v>
      </c>
      <c r="K110" s="177" t="s">
        <v>33</v>
      </c>
      <c r="L110" s="176" t="s">
        <v>6639</v>
      </c>
      <c r="M110" s="52" t="s">
        <v>46</v>
      </c>
      <c r="N110" s="54" t="s">
        <v>10496</v>
      </c>
      <c r="O110" s="55" t="str">
        <f t="shared" si="4"/>
        <v>L1.00.00.10.20.02</v>
      </c>
      <c r="P110" s="55" t="str">
        <f t="shared" si="5"/>
        <v>L1.00.00.10.20.02.07</v>
      </c>
      <c r="Q110" s="160" t="s">
        <v>10530</v>
      </c>
      <c r="R110" s="169" t="str">
        <f t="shared" si="6"/>
        <v>[AMIS CRM MISA] Nhóm Phân tích &amp; Thiết kế</v>
      </c>
      <c r="S110" s="97" t="s">
        <v>10694</v>
      </c>
      <c r="T110" s="96" t="s">
        <v>6640</v>
      </c>
      <c r="U110" s="96" t="s">
        <v>453</v>
      </c>
      <c r="V110" s="96" t="s">
        <v>454</v>
      </c>
      <c r="W110" s="96" t="s">
        <v>4597</v>
      </c>
      <c r="X110" s="96" t="s">
        <v>6639</v>
      </c>
      <c r="Y110" s="96"/>
      <c r="Z110" s="98" t="s">
        <v>10696</v>
      </c>
      <c r="AA110" s="153" t="s">
        <v>10530</v>
      </c>
      <c r="AB110" s="91"/>
      <c r="AC110" s="91"/>
      <c r="AD110" s="91"/>
    </row>
    <row r="111" ht="15.75" customHeight="1" outlineLevel="1">
      <c r="A111" s="170" t="s">
        <v>10535</v>
      </c>
      <c r="B111" s="51" t="s">
        <v>26</v>
      </c>
      <c r="C111" s="51" t="s">
        <v>27</v>
      </c>
      <c r="D111" s="52" t="s">
        <v>4</v>
      </c>
      <c r="E111" s="53" t="s">
        <v>27</v>
      </c>
      <c r="F111" s="52" t="s">
        <v>4</v>
      </c>
      <c r="G111" s="52" t="s">
        <v>55</v>
      </c>
      <c r="H111" s="176" t="s">
        <v>454</v>
      </c>
      <c r="I111" s="175" t="s">
        <v>10697</v>
      </c>
      <c r="J111" s="176" t="s">
        <v>5228</v>
      </c>
      <c r="K111" s="175" t="s">
        <v>27</v>
      </c>
      <c r="L111" s="194" t="s">
        <v>4</v>
      </c>
      <c r="M111" s="52" t="s">
        <v>46</v>
      </c>
      <c r="N111" s="54" t="s">
        <v>10496</v>
      </c>
      <c r="O111" s="55" t="str">
        <f t="shared" si="4"/>
        <v>L1.00.00.10.21.00</v>
      </c>
      <c r="P111" s="55" t="str">
        <f t="shared" si="5"/>
        <v>L1.00.00.10.21.00.07</v>
      </c>
      <c r="Q111" s="160" t="s">
        <v>10530</v>
      </c>
      <c r="R111" s="169" t="str">
        <f t="shared" si="6"/>
        <v>Sản phẩm AMIS Quản lý Tài sản</v>
      </c>
      <c r="S111" s="97" t="s">
        <v>10610</v>
      </c>
      <c r="T111" s="97" t="s">
        <v>10698</v>
      </c>
      <c r="U111" s="96" t="s">
        <v>453</v>
      </c>
      <c r="V111" s="96" t="s">
        <v>454</v>
      </c>
      <c r="W111" s="96" t="s">
        <v>5228</v>
      </c>
      <c r="X111" s="96" t="s">
        <v>6809</v>
      </c>
      <c r="Y111" s="96"/>
      <c r="Z111" s="98" t="s">
        <v>10699</v>
      </c>
      <c r="AA111" s="153" t="s">
        <v>10530</v>
      </c>
      <c r="AB111" s="91"/>
      <c r="AC111" s="91"/>
      <c r="AD111" s="91"/>
    </row>
    <row r="112" ht="15.75" customHeight="1" outlineLevel="1">
      <c r="A112" s="170" t="s">
        <v>10535</v>
      </c>
      <c r="B112" s="51" t="s">
        <v>26</v>
      </c>
      <c r="C112" s="51" t="s">
        <v>27</v>
      </c>
      <c r="D112" s="52" t="s">
        <v>4</v>
      </c>
      <c r="E112" s="53" t="s">
        <v>27</v>
      </c>
      <c r="F112" s="52" t="s">
        <v>4</v>
      </c>
      <c r="G112" s="52" t="s">
        <v>55</v>
      </c>
      <c r="H112" s="176" t="s">
        <v>454</v>
      </c>
      <c r="I112" s="175" t="s">
        <v>10697</v>
      </c>
      <c r="J112" s="176" t="s">
        <v>5228</v>
      </c>
      <c r="K112" s="175" t="s">
        <v>29</v>
      </c>
      <c r="L112" s="176" t="s">
        <v>6809</v>
      </c>
      <c r="M112" s="52" t="s">
        <v>46</v>
      </c>
      <c r="N112" s="54" t="s">
        <v>10496</v>
      </c>
      <c r="O112" s="55" t="str">
        <f t="shared" si="4"/>
        <v>L1.00.00.10.21.01</v>
      </c>
      <c r="P112" s="55" t="str">
        <f t="shared" si="5"/>
        <v>L1.00.00.10.21.01.07</v>
      </c>
      <c r="Q112" s="160" t="s">
        <v>10530</v>
      </c>
      <c r="R112" s="169" t="str">
        <f t="shared" si="6"/>
        <v>Dự án AMIS Quản lý Tài sản</v>
      </c>
      <c r="S112" s="97" t="s">
        <v>10700</v>
      </c>
      <c r="T112" s="96" t="s">
        <v>6810</v>
      </c>
      <c r="U112" s="96" t="s">
        <v>453</v>
      </c>
      <c r="V112" s="96" t="s">
        <v>454</v>
      </c>
      <c r="W112" s="96" t="s">
        <v>5228</v>
      </c>
      <c r="X112" s="96" t="s">
        <v>6809</v>
      </c>
      <c r="Y112" s="96"/>
      <c r="Z112" s="98" t="s">
        <v>10701</v>
      </c>
      <c r="AA112" s="153" t="s">
        <v>10530</v>
      </c>
      <c r="AB112" s="91"/>
      <c r="AC112" s="91"/>
      <c r="AD112" s="91"/>
    </row>
    <row r="113" ht="15.75" customHeight="1" outlineLevel="1">
      <c r="A113" s="170" t="s">
        <v>10535</v>
      </c>
      <c r="B113" s="51" t="s">
        <v>26</v>
      </c>
      <c r="C113" s="51" t="s">
        <v>27</v>
      </c>
      <c r="D113" s="52" t="s">
        <v>4</v>
      </c>
      <c r="E113" s="53" t="s">
        <v>27</v>
      </c>
      <c r="F113" s="52" t="s">
        <v>4</v>
      </c>
      <c r="G113" s="52" t="s">
        <v>55</v>
      </c>
      <c r="H113" s="176" t="s">
        <v>454</v>
      </c>
      <c r="I113" s="175" t="s">
        <v>10697</v>
      </c>
      <c r="J113" s="176" t="s">
        <v>5228</v>
      </c>
      <c r="K113" s="177" t="s">
        <v>33</v>
      </c>
      <c r="L113" s="176" t="s">
        <v>5227</v>
      </c>
      <c r="M113" s="52" t="s">
        <v>46</v>
      </c>
      <c r="N113" s="54" t="s">
        <v>10496</v>
      </c>
      <c r="O113" s="55" t="str">
        <f t="shared" si="4"/>
        <v>L1.00.00.10.21.02</v>
      </c>
      <c r="P113" s="55" t="str">
        <f t="shared" si="5"/>
        <v>L1.00.00.10.21.02.07</v>
      </c>
      <c r="Q113" s="160" t="s">
        <v>10530</v>
      </c>
      <c r="R113" s="169" t="str">
        <f t="shared" si="6"/>
        <v>[AMIS QLTS] Nhóm Phân tích &amp; Thiết kế</v>
      </c>
      <c r="S113" s="97" t="s">
        <v>10700</v>
      </c>
      <c r="T113" s="96" t="s">
        <v>5229</v>
      </c>
      <c r="U113" s="96" t="s">
        <v>453</v>
      </c>
      <c r="V113" s="96" t="s">
        <v>454</v>
      </c>
      <c r="W113" s="96" t="s">
        <v>5228</v>
      </c>
      <c r="X113" s="96" t="s">
        <v>5227</v>
      </c>
      <c r="Y113" s="96"/>
      <c r="Z113" s="98" t="s">
        <v>10702</v>
      </c>
      <c r="AA113" s="153" t="s">
        <v>10530</v>
      </c>
      <c r="AB113" s="91"/>
      <c r="AC113" s="91"/>
      <c r="AD113" s="91"/>
    </row>
    <row r="114" ht="15.75" customHeight="1" outlineLevel="1">
      <c r="A114" s="170" t="s">
        <v>10535</v>
      </c>
      <c r="B114" s="51" t="s">
        <v>26</v>
      </c>
      <c r="C114" s="51" t="s">
        <v>27</v>
      </c>
      <c r="D114" s="52" t="s">
        <v>4</v>
      </c>
      <c r="E114" s="53" t="s">
        <v>27</v>
      </c>
      <c r="F114" s="52" t="s">
        <v>4</v>
      </c>
      <c r="G114" s="52" t="s">
        <v>55</v>
      </c>
      <c r="H114" s="176" t="s">
        <v>454</v>
      </c>
      <c r="I114" s="175" t="s">
        <v>10703</v>
      </c>
      <c r="J114" s="176" t="s">
        <v>474</v>
      </c>
      <c r="K114" s="175" t="s">
        <v>27</v>
      </c>
      <c r="L114" s="218" t="s">
        <v>4</v>
      </c>
      <c r="M114" s="52" t="s">
        <v>46</v>
      </c>
      <c r="N114" s="54" t="s">
        <v>10496</v>
      </c>
      <c r="O114" s="55" t="str">
        <f t="shared" si="4"/>
        <v>L1.00.00.10.22.00</v>
      </c>
      <c r="P114" s="55" t="str">
        <f t="shared" si="5"/>
        <v>L1.00.00.10.22.00.07</v>
      </c>
      <c r="Q114" s="160" t="s">
        <v>10530</v>
      </c>
      <c r="R114" s="169" t="str">
        <f t="shared" si="6"/>
        <v>Sản phẩm AMIS Platform Core</v>
      </c>
      <c r="S114" s="97" t="s">
        <v>10610</v>
      </c>
      <c r="T114" s="97" t="s">
        <v>10704</v>
      </c>
      <c r="U114" s="96" t="s">
        <v>453</v>
      </c>
      <c r="V114" s="96" t="s">
        <v>454</v>
      </c>
      <c r="W114" s="96" t="s">
        <v>474</v>
      </c>
      <c r="X114" s="96"/>
      <c r="Y114" s="97"/>
      <c r="Z114" s="98" t="s">
        <v>10705</v>
      </c>
      <c r="AA114" s="153" t="s">
        <v>10530</v>
      </c>
      <c r="AB114" s="91"/>
      <c r="AC114" s="91"/>
      <c r="AD114" s="91"/>
    </row>
    <row r="115" ht="15.75" customHeight="1" outlineLevel="1">
      <c r="A115" s="170" t="s">
        <v>10535</v>
      </c>
      <c r="B115" s="51" t="s">
        <v>26</v>
      </c>
      <c r="C115" s="51" t="s">
        <v>27</v>
      </c>
      <c r="D115" s="52" t="s">
        <v>4</v>
      </c>
      <c r="E115" s="53" t="s">
        <v>27</v>
      </c>
      <c r="F115" s="52" t="s">
        <v>4</v>
      </c>
      <c r="G115" s="52" t="s">
        <v>55</v>
      </c>
      <c r="H115" s="176" t="s">
        <v>454</v>
      </c>
      <c r="I115" s="175" t="s">
        <v>10703</v>
      </c>
      <c r="J115" s="176" t="s">
        <v>474</v>
      </c>
      <c r="K115" s="175" t="s">
        <v>29</v>
      </c>
      <c r="L115" s="176" t="s">
        <v>473</v>
      </c>
      <c r="M115" s="52" t="s">
        <v>46</v>
      </c>
      <c r="N115" s="54" t="s">
        <v>10496</v>
      </c>
      <c r="O115" s="55" t="str">
        <f t="shared" si="4"/>
        <v>L1.00.00.10.22.01</v>
      </c>
      <c r="P115" s="55" t="str">
        <f t="shared" si="5"/>
        <v>L1.00.00.10.22.01.07</v>
      </c>
      <c r="Q115" s="160" t="s">
        <v>10530</v>
      </c>
      <c r="R115" s="169" t="str">
        <f t="shared" si="6"/>
        <v>Dự án AMIS Platform Core</v>
      </c>
      <c r="S115" s="97" t="s">
        <v>10706</v>
      </c>
      <c r="T115" s="96" t="s">
        <v>475</v>
      </c>
      <c r="U115" s="96" t="s">
        <v>453</v>
      </c>
      <c r="V115" s="96" t="s">
        <v>454</v>
      </c>
      <c r="W115" s="96" t="s">
        <v>474</v>
      </c>
      <c r="X115" s="96" t="s">
        <v>473</v>
      </c>
      <c r="Y115" s="96"/>
      <c r="Z115" s="98" t="s">
        <v>10707</v>
      </c>
      <c r="AA115" s="153" t="s">
        <v>10530</v>
      </c>
      <c r="AB115" s="91"/>
      <c r="AC115" s="91"/>
      <c r="AD115" s="91"/>
    </row>
    <row r="116" ht="15.75" customHeight="1" outlineLevel="1">
      <c r="A116" s="170" t="s">
        <v>10535</v>
      </c>
      <c r="B116" s="51" t="s">
        <v>26</v>
      </c>
      <c r="C116" s="51" t="s">
        <v>27</v>
      </c>
      <c r="D116" s="52" t="s">
        <v>4</v>
      </c>
      <c r="E116" s="53" t="s">
        <v>27</v>
      </c>
      <c r="F116" s="52" t="s">
        <v>4</v>
      </c>
      <c r="G116" s="52" t="s">
        <v>55</v>
      </c>
      <c r="H116" s="176" t="s">
        <v>454</v>
      </c>
      <c r="I116" s="175" t="s">
        <v>10703</v>
      </c>
      <c r="J116" s="176" t="s">
        <v>474</v>
      </c>
      <c r="K116" s="177" t="s">
        <v>33</v>
      </c>
      <c r="L116" s="176" t="s">
        <v>483</v>
      </c>
      <c r="M116" s="52" t="s">
        <v>46</v>
      </c>
      <c r="N116" s="54" t="s">
        <v>10496</v>
      </c>
      <c r="O116" s="55" t="str">
        <f t="shared" si="4"/>
        <v>L1.00.00.10.22.02</v>
      </c>
      <c r="P116" s="55" t="str">
        <f t="shared" si="5"/>
        <v>L1.00.00.10.22.02.07</v>
      </c>
      <c r="Q116" s="160" t="s">
        <v>10530</v>
      </c>
      <c r="R116" s="169" t="str">
        <f t="shared" si="6"/>
        <v>[AMIS Platform Core] Nhóm Phân tích &amp; Thiết kế</v>
      </c>
      <c r="S116" s="97" t="s">
        <v>10706</v>
      </c>
      <c r="T116" s="96" t="s">
        <v>484</v>
      </c>
      <c r="U116" s="96" t="s">
        <v>453</v>
      </c>
      <c r="V116" s="96" t="s">
        <v>454</v>
      </c>
      <c r="W116" s="96" t="s">
        <v>474</v>
      </c>
      <c r="X116" s="96" t="s">
        <v>483</v>
      </c>
      <c r="Y116" s="96"/>
      <c r="Z116" s="98" t="s">
        <v>10708</v>
      </c>
      <c r="AA116" s="153" t="s">
        <v>10530</v>
      </c>
      <c r="AB116" s="91"/>
      <c r="AC116" s="91"/>
      <c r="AD116" s="91"/>
    </row>
    <row r="117" ht="15.75" customHeight="1" outlineLevel="1">
      <c r="A117" s="170" t="s">
        <v>10535</v>
      </c>
      <c r="B117" s="51" t="s">
        <v>26</v>
      </c>
      <c r="C117" s="51" t="s">
        <v>27</v>
      </c>
      <c r="D117" s="52" t="s">
        <v>4</v>
      </c>
      <c r="E117" s="53" t="s">
        <v>27</v>
      </c>
      <c r="F117" s="52" t="s">
        <v>4</v>
      </c>
      <c r="G117" s="52" t="s">
        <v>61</v>
      </c>
      <c r="H117" s="176" t="s">
        <v>607</v>
      </c>
      <c r="I117" s="175" t="s">
        <v>27</v>
      </c>
      <c r="J117" s="219" t="s">
        <v>4</v>
      </c>
      <c r="K117" s="172" t="s">
        <v>27</v>
      </c>
      <c r="L117" s="174" t="s">
        <v>4</v>
      </c>
      <c r="M117" s="52" t="s">
        <v>46</v>
      </c>
      <c r="N117" s="54" t="s">
        <v>10496</v>
      </c>
      <c r="O117" s="55" t="str">
        <f t="shared" si="4"/>
        <v>L1.00.00.11.00.00</v>
      </c>
      <c r="P117" s="55" t="str">
        <f t="shared" si="5"/>
        <v>L1.00.00.11.00.00.07</v>
      </c>
      <c r="Q117" s="160" t="s">
        <v>10530</v>
      </c>
      <c r="R117" s="169" t="str">
        <f t="shared" si="6"/>
        <v>Khối sản phẩm Hành chính sự nghiệp</v>
      </c>
      <c r="S117" s="97" t="s">
        <v>10536</v>
      </c>
      <c r="T117" s="97" t="s">
        <v>10709</v>
      </c>
      <c r="U117" s="96" t="s">
        <v>453</v>
      </c>
      <c r="V117" s="96" t="s">
        <v>607</v>
      </c>
      <c r="W117" s="96" t="s">
        <v>63</v>
      </c>
      <c r="X117" s="96"/>
      <c r="Y117" s="96"/>
      <c r="Z117" s="98" t="s">
        <v>10710</v>
      </c>
      <c r="AA117" s="153" t="s">
        <v>10530</v>
      </c>
      <c r="AB117" s="91"/>
      <c r="AC117" s="91"/>
      <c r="AD117" s="91"/>
    </row>
    <row r="118" ht="15.75" customHeight="1" outlineLevel="1">
      <c r="A118" s="170" t="s">
        <v>10535</v>
      </c>
      <c r="B118" s="51" t="s">
        <v>26</v>
      </c>
      <c r="C118" s="51" t="s">
        <v>27</v>
      </c>
      <c r="D118" s="52" t="s">
        <v>4</v>
      </c>
      <c r="E118" s="53" t="s">
        <v>27</v>
      </c>
      <c r="F118" s="52" t="s">
        <v>4</v>
      </c>
      <c r="G118" s="52" t="s">
        <v>61</v>
      </c>
      <c r="H118" s="176" t="s">
        <v>607</v>
      </c>
      <c r="I118" s="172" t="s">
        <v>29</v>
      </c>
      <c r="J118" s="173" t="s">
        <v>63</v>
      </c>
      <c r="K118" s="172" t="s">
        <v>27</v>
      </c>
      <c r="L118" s="174" t="s">
        <v>4</v>
      </c>
      <c r="M118" s="52" t="s">
        <v>46</v>
      </c>
      <c r="N118" s="54" t="s">
        <v>10496</v>
      </c>
      <c r="O118" s="55" t="str">
        <f t="shared" si="4"/>
        <v>L1.00.00.11.01.00</v>
      </c>
      <c r="P118" s="55" t="str">
        <f t="shared" si="5"/>
        <v>L1.00.00.11.01.00.07</v>
      </c>
      <c r="Q118" s="160" t="s">
        <v>10530</v>
      </c>
      <c r="R118" s="169" t="str">
        <f t="shared" si="6"/>
        <v>Ban Giám đốc Khối SP HCSN</v>
      </c>
      <c r="S118" s="97" t="s">
        <v>10517</v>
      </c>
      <c r="T118" s="96" t="s">
        <v>4997</v>
      </c>
      <c r="U118" s="96" t="s">
        <v>453</v>
      </c>
      <c r="V118" s="96" t="s">
        <v>607</v>
      </c>
      <c r="W118" s="96" t="s">
        <v>63</v>
      </c>
      <c r="X118" s="96"/>
      <c r="Y118" s="96"/>
      <c r="Z118" s="98" t="s">
        <v>10711</v>
      </c>
      <c r="AA118" s="153" t="s">
        <v>10530</v>
      </c>
      <c r="AB118" s="91"/>
      <c r="AC118" s="91"/>
      <c r="AD118" s="91"/>
    </row>
    <row r="119" ht="15.75" customHeight="1" outlineLevel="1">
      <c r="A119" s="170" t="s">
        <v>10535</v>
      </c>
      <c r="B119" s="51" t="s">
        <v>26</v>
      </c>
      <c r="C119" s="51" t="s">
        <v>27</v>
      </c>
      <c r="D119" s="52" t="s">
        <v>4</v>
      </c>
      <c r="E119" s="53" t="s">
        <v>27</v>
      </c>
      <c r="F119" s="52" t="s">
        <v>4</v>
      </c>
      <c r="G119" s="52" t="s">
        <v>61</v>
      </c>
      <c r="H119" s="176" t="s">
        <v>607</v>
      </c>
      <c r="I119" s="172" t="s">
        <v>33</v>
      </c>
      <c r="J119" s="176" t="s">
        <v>4415</v>
      </c>
      <c r="K119" s="175" t="s">
        <v>27</v>
      </c>
      <c r="L119" s="194" t="s">
        <v>4</v>
      </c>
      <c r="M119" s="52" t="s">
        <v>46</v>
      </c>
      <c r="N119" s="54" t="s">
        <v>10496</v>
      </c>
      <c r="O119" s="55" t="str">
        <f t="shared" si="4"/>
        <v>L1.00.00.11.02.00</v>
      </c>
      <c r="P119" s="55" t="str">
        <f t="shared" si="5"/>
        <v>L1.00.00.11.02.00.07</v>
      </c>
      <c r="Q119" s="160" t="s">
        <v>10530</v>
      </c>
      <c r="R119" s="169" t="str">
        <f t="shared" si="6"/>
        <v>Sản phẩm MISA MIMOSA Online</v>
      </c>
      <c r="S119" s="97" t="s">
        <v>10517</v>
      </c>
      <c r="T119" s="97" t="s">
        <v>10712</v>
      </c>
      <c r="U119" s="96" t="s">
        <v>453</v>
      </c>
      <c r="V119" s="96" t="s">
        <v>607</v>
      </c>
      <c r="W119" s="96" t="s">
        <v>4415</v>
      </c>
      <c r="X119" s="96" t="s">
        <v>4414</v>
      </c>
      <c r="Y119" s="96"/>
      <c r="Z119" s="98" t="s">
        <v>10713</v>
      </c>
      <c r="AA119" s="153" t="s">
        <v>10530</v>
      </c>
      <c r="AB119" s="91"/>
      <c r="AC119" s="91"/>
      <c r="AD119" s="91"/>
    </row>
    <row r="120" ht="15.75" customHeight="1" outlineLevel="1">
      <c r="A120" s="170" t="s">
        <v>10535</v>
      </c>
      <c r="B120" s="51" t="s">
        <v>26</v>
      </c>
      <c r="C120" s="51" t="s">
        <v>27</v>
      </c>
      <c r="D120" s="52" t="s">
        <v>4</v>
      </c>
      <c r="E120" s="53" t="s">
        <v>27</v>
      </c>
      <c r="F120" s="52" t="s">
        <v>4</v>
      </c>
      <c r="G120" s="52" t="s">
        <v>61</v>
      </c>
      <c r="H120" s="176" t="s">
        <v>607</v>
      </c>
      <c r="I120" s="172" t="s">
        <v>33</v>
      </c>
      <c r="J120" s="176" t="s">
        <v>4415</v>
      </c>
      <c r="K120" s="175" t="s">
        <v>29</v>
      </c>
      <c r="L120" s="176" t="s">
        <v>4414</v>
      </c>
      <c r="M120" s="52" t="s">
        <v>46</v>
      </c>
      <c r="N120" s="54" t="s">
        <v>10496</v>
      </c>
      <c r="O120" s="55" t="str">
        <f t="shared" si="4"/>
        <v>L1.00.00.11.02.01</v>
      </c>
      <c r="P120" s="55" t="str">
        <f t="shared" si="5"/>
        <v>L1.00.00.11.02.01.07</v>
      </c>
      <c r="Q120" s="160" t="s">
        <v>10530</v>
      </c>
      <c r="R120" s="169" t="str">
        <f t="shared" si="6"/>
        <v>Dự án MISA MIMOSA Online</v>
      </c>
      <c r="S120" s="97" t="s">
        <v>10714</v>
      </c>
      <c r="T120" s="96" t="s">
        <v>4416</v>
      </c>
      <c r="U120" s="96" t="s">
        <v>453</v>
      </c>
      <c r="V120" s="96" t="s">
        <v>607</v>
      </c>
      <c r="W120" s="96" t="s">
        <v>4415</v>
      </c>
      <c r="X120" s="96" t="s">
        <v>4414</v>
      </c>
      <c r="Y120" s="96"/>
      <c r="Z120" s="98" t="s">
        <v>10715</v>
      </c>
      <c r="AA120" s="153" t="s">
        <v>10530</v>
      </c>
      <c r="AB120" s="91"/>
      <c r="AC120" s="91"/>
      <c r="AD120" s="91"/>
    </row>
    <row r="121" ht="15.75" customHeight="1" outlineLevel="1">
      <c r="A121" s="170" t="s">
        <v>10535</v>
      </c>
      <c r="B121" s="51" t="s">
        <v>26</v>
      </c>
      <c r="C121" s="51" t="s">
        <v>27</v>
      </c>
      <c r="D121" s="52" t="s">
        <v>4</v>
      </c>
      <c r="E121" s="53" t="s">
        <v>27</v>
      </c>
      <c r="F121" s="52" t="s">
        <v>4</v>
      </c>
      <c r="G121" s="52" t="s">
        <v>61</v>
      </c>
      <c r="H121" s="176" t="s">
        <v>607</v>
      </c>
      <c r="I121" s="172" t="s">
        <v>33</v>
      </c>
      <c r="J121" s="176" t="s">
        <v>4415</v>
      </c>
      <c r="K121" s="177" t="s">
        <v>33</v>
      </c>
      <c r="L121" s="176" t="s">
        <v>6181</v>
      </c>
      <c r="M121" s="52" t="s">
        <v>46</v>
      </c>
      <c r="N121" s="54" t="s">
        <v>10496</v>
      </c>
      <c r="O121" s="55" t="str">
        <f t="shared" si="4"/>
        <v>L1.00.00.11.02.02</v>
      </c>
      <c r="P121" s="55" t="str">
        <f t="shared" si="5"/>
        <v>L1.00.00.11.02.02.07</v>
      </c>
      <c r="Q121" s="160" t="s">
        <v>10530</v>
      </c>
      <c r="R121" s="169" t="str">
        <f t="shared" si="6"/>
        <v>[MIMOSA Online] Nhóm Phân tích và Thiết kế</v>
      </c>
      <c r="S121" s="97" t="s">
        <v>10714</v>
      </c>
      <c r="T121" s="96" t="s">
        <v>6182</v>
      </c>
      <c r="U121" s="96" t="s">
        <v>453</v>
      </c>
      <c r="V121" s="96" t="s">
        <v>607</v>
      </c>
      <c r="W121" s="96" t="s">
        <v>4415</v>
      </c>
      <c r="X121" s="96" t="s">
        <v>6181</v>
      </c>
      <c r="Y121" s="96"/>
      <c r="Z121" s="98" t="s">
        <v>10716</v>
      </c>
      <c r="AA121" s="153" t="s">
        <v>10530</v>
      </c>
      <c r="AB121" s="91"/>
      <c r="AC121" s="91"/>
      <c r="AD121" s="91"/>
    </row>
    <row r="122" ht="15.75" customHeight="1" outlineLevel="1">
      <c r="A122" s="170" t="s">
        <v>10535</v>
      </c>
      <c r="B122" s="51" t="s">
        <v>26</v>
      </c>
      <c r="C122" s="51" t="s">
        <v>27</v>
      </c>
      <c r="D122" s="52" t="s">
        <v>4</v>
      </c>
      <c r="E122" s="53" t="s">
        <v>27</v>
      </c>
      <c r="F122" s="52" t="s">
        <v>4</v>
      </c>
      <c r="G122" s="52" t="s">
        <v>61</v>
      </c>
      <c r="H122" s="176" t="s">
        <v>607</v>
      </c>
      <c r="I122" s="175" t="s">
        <v>35</v>
      </c>
      <c r="J122" s="176" t="s">
        <v>5009</v>
      </c>
      <c r="K122" s="175" t="s">
        <v>27</v>
      </c>
      <c r="L122" s="194" t="s">
        <v>4</v>
      </c>
      <c r="M122" s="52" t="s">
        <v>46</v>
      </c>
      <c r="N122" s="54" t="s">
        <v>10496</v>
      </c>
      <c r="O122" s="55" t="str">
        <f t="shared" si="4"/>
        <v>L1.00.00.11.03.00</v>
      </c>
      <c r="P122" s="55" t="str">
        <f t="shared" si="5"/>
        <v>L1.00.00.11.03.00.07</v>
      </c>
      <c r="Q122" s="160" t="s">
        <v>10530</v>
      </c>
      <c r="R122" s="169" t="str">
        <f t="shared" si="6"/>
        <v>Sản phẩm Mimosa.NET</v>
      </c>
      <c r="S122" s="97" t="s">
        <v>10517</v>
      </c>
      <c r="T122" s="97" t="s">
        <v>10717</v>
      </c>
      <c r="U122" s="96" t="s">
        <v>453</v>
      </c>
      <c r="V122" s="96" t="s">
        <v>607</v>
      </c>
      <c r="W122" s="96" t="s">
        <v>5009</v>
      </c>
      <c r="X122" s="96" t="s">
        <v>5008</v>
      </c>
      <c r="Y122" s="96"/>
      <c r="Z122" s="220" t="s">
        <v>10718</v>
      </c>
      <c r="AA122" s="153" t="s">
        <v>10530</v>
      </c>
      <c r="AB122" s="91"/>
      <c r="AC122" s="91"/>
      <c r="AD122" s="91"/>
    </row>
    <row r="123" ht="15.75" customHeight="1" outlineLevel="1">
      <c r="A123" s="170" t="s">
        <v>10535</v>
      </c>
      <c r="B123" s="51" t="s">
        <v>26</v>
      </c>
      <c r="C123" s="51" t="s">
        <v>27</v>
      </c>
      <c r="D123" s="52" t="s">
        <v>4</v>
      </c>
      <c r="E123" s="53" t="s">
        <v>27</v>
      </c>
      <c r="F123" s="52" t="s">
        <v>4</v>
      </c>
      <c r="G123" s="52" t="s">
        <v>61</v>
      </c>
      <c r="H123" s="176" t="s">
        <v>607</v>
      </c>
      <c r="I123" s="175" t="s">
        <v>35</v>
      </c>
      <c r="J123" s="176" t="s">
        <v>5009</v>
      </c>
      <c r="K123" s="175" t="s">
        <v>29</v>
      </c>
      <c r="L123" s="176" t="s">
        <v>5008</v>
      </c>
      <c r="M123" s="52" t="s">
        <v>46</v>
      </c>
      <c r="N123" s="54" t="s">
        <v>10496</v>
      </c>
      <c r="O123" s="55" t="str">
        <f t="shared" si="4"/>
        <v>L1.00.00.11.03.01</v>
      </c>
      <c r="P123" s="55" t="str">
        <f t="shared" si="5"/>
        <v>L1.00.00.11.03.01.07</v>
      </c>
      <c r="Q123" s="160" t="s">
        <v>10530</v>
      </c>
      <c r="R123" s="169" t="str">
        <f t="shared" si="6"/>
        <v>Dự án Mimosa.NET</v>
      </c>
      <c r="S123" s="97" t="s">
        <v>10719</v>
      </c>
      <c r="T123" s="96" t="s">
        <v>5010</v>
      </c>
      <c r="U123" s="96" t="s">
        <v>453</v>
      </c>
      <c r="V123" s="96" t="s">
        <v>607</v>
      </c>
      <c r="W123" s="96" t="s">
        <v>5009</v>
      </c>
      <c r="X123" s="96" t="s">
        <v>5008</v>
      </c>
      <c r="Y123" s="96"/>
      <c r="Z123" s="98" t="s">
        <v>10720</v>
      </c>
      <c r="AA123" s="153" t="s">
        <v>10530</v>
      </c>
      <c r="AB123" s="91"/>
      <c r="AC123" s="91"/>
      <c r="AD123" s="91"/>
    </row>
    <row r="124" ht="15.75" customHeight="1" outlineLevel="1">
      <c r="A124" s="170" t="s">
        <v>10535</v>
      </c>
      <c r="B124" s="51" t="s">
        <v>26</v>
      </c>
      <c r="C124" s="51" t="s">
        <v>27</v>
      </c>
      <c r="D124" s="52" t="s">
        <v>4</v>
      </c>
      <c r="E124" s="53" t="s">
        <v>27</v>
      </c>
      <c r="F124" s="52" t="s">
        <v>4</v>
      </c>
      <c r="G124" s="52" t="s">
        <v>61</v>
      </c>
      <c r="H124" s="176" t="s">
        <v>607</v>
      </c>
      <c r="I124" s="175" t="s">
        <v>35</v>
      </c>
      <c r="J124" s="176" t="s">
        <v>5009</v>
      </c>
      <c r="K124" s="177" t="s">
        <v>33</v>
      </c>
      <c r="L124" s="176" t="s">
        <v>10047</v>
      </c>
      <c r="M124" s="52" t="s">
        <v>46</v>
      </c>
      <c r="N124" s="54" t="s">
        <v>10496</v>
      </c>
      <c r="O124" s="55" t="str">
        <f t="shared" si="4"/>
        <v>L1.00.00.11.03.02</v>
      </c>
      <c r="P124" s="55" t="str">
        <f t="shared" si="5"/>
        <v>L1.00.00.11.03.02.07</v>
      </c>
      <c r="Q124" s="160" t="s">
        <v>10530</v>
      </c>
      <c r="R124" s="169" t="str">
        <f t="shared" si="6"/>
        <v>[MIMOSA] Nhóm Phân tích &amp; Thiết kế</v>
      </c>
      <c r="S124" s="97" t="s">
        <v>10719</v>
      </c>
      <c r="T124" s="96" t="s">
        <v>10048</v>
      </c>
      <c r="U124" s="96" t="s">
        <v>453</v>
      </c>
      <c r="V124" s="96" t="s">
        <v>607</v>
      </c>
      <c r="W124" s="96" t="s">
        <v>5009</v>
      </c>
      <c r="X124" s="96" t="s">
        <v>10047</v>
      </c>
      <c r="Y124" s="96"/>
      <c r="Z124" s="98" t="s">
        <v>10721</v>
      </c>
      <c r="AA124" s="153" t="s">
        <v>10530</v>
      </c>
      <c r="AB124" s="91"/>
      <c r="AC124" s="91"/>
      <c r="AD124" s="91"/>
    </row>
    <row r="125" ht="15.75" customHeight="1" outlineLevel="1">
      <c r="A125" s="170" t="s">
        <v>10535</v>
      </c>
      <c r="B125" s="51" t="s">
        <v>26</v>
      </c>
      <c r="C125" s="51" t="s">
        <v>27</v>
      </c>
      <c r="D125" s="52" t="s">
        <v>4</v>
      </c>
      <c r="E125" s="53" t="s">
        <v>27</v>
      </c>
      <c r="F125" s="52" t="s">
        <v>4</v>
      </c>
      <c r="G125" s="52" t="s">
        <v>61</v>
      </c>
      <c r="H125" s="176" t="s">
        <v>607</v>
      </c>
      <c r="I125" s="175" t="s">
        <v>37</v>
      </c>
      <c r="J125" s="176" t="s">
        <v>4380</v>
      </c>
      <c r="K125" s="175" t="s">
        <v>27</v>
      </c>
      <c r="L125" s="194" t="s">
        <v>4</v>
      </c>
      <c r="M125" s="52" t="s">
        <v>46</v>
      </c>
      <c r="N125" s="54" t="s">
        <v>10496</v>
      </c>
      <c r="O125" s="55" t="str">
        <f t="shared" si="4"/>
        <v>L1.00.00.11.04.00</v>
      </c>
      <c r="P125" s="55" t="str">
        <f t="shared" si="5"/>
        <v>L1.00.00.11.04.00.07</v>
      </c>
      <c r="Q125" s="160" t="s">
        <v>10530</v>
      </c>
      <c r="R125" s="169" t="str">
        <f t="shared" si="6"/>
        <v>Sản phẩm MISA Bamboo Online</v>
      </c>
      <c r="S125" s="97" t="s">
        <v>10517</v>
      </c>
      <c r="T125" s="96" t="s">
        <v>5429</v>
      </c>
      <c r="U125" s="96" t="s">
        <v>453</v>
      </c>
      <c r="V125" s="96" t="s">
        <v>607</v>
      </c>
      <c r="W125" s="96" t="s">
        <v>4380</v>
      </c>
      <c r="X125" s="96"/>
      <c r="Y125" s="96"/>
      <c r="Z125" s="98" t="s">
        <v>10722</v>
      </c>
      <c r="AA125" s="153" t="s">
        <v>10530</v>
      </c>
      <c r="AB125" s="91"/>
      <c r="AC125" s="91"/>
      <c r="AD125" s="91"/>
    </row>
    <row r="126" ht="15.75" customHeight="1" outlineLevel="1">
      <c r="A126" s="170" t="s">
        <v>10535</v>
      </c>
      <c r="B126" s="51" t="s">
        <v>26</v>
      </c>
      <c r="C126" s="51" t="s">
        <v>27</v>
      </c>
      <c r="D126" s="52" t="s">
        <v>4</v>
      </c>
      <c r="E126" s="53" t="s">
        <v>27</v>
      </c>
      <c r="F126" s="52" t="s">
        <v>4</v>
      </c>
      <c r="G126" s="52" t="s">
        <v>61</v>
      </c>
      <c r="H126" s="176" t="s">
        <v>607</v>
      </c>
      <c r="I126" s="175" t="s">
        <v>37</v>
      </c>
      <c r="J126" s="176" t="s">
        <v>4380</v>
      </c>
      <c r="K126" s="177" t="s">
        <v>29</v>
      </c>
      <c r="L126" s="176" t="s">
        <v>4379</v>
      </c>
      <c r="M126" s="52" t="s">
        <v>46</v>
      </c>
      <c r="N126" s="54" t="s">
        <v>10496</v>
      </c>
      <c r="O126" s="55" t="str">
        <f t="shared" si="4"/>
        <v>L1.00.00.11.04.01</v>
      </c>
      <c r="P126" s="55" t="str">
        <f t="shared" si="5"/>
        <v>L1.00.00.11.04.01.07</v>
      </c>
      <c r="Q126" s="160" t="s">
        <v>10530</v>
      </c>
      <c r="R126" s="169" t="str">
        <f t="shared" si="6"/>
        <v>Dự án MISA Bamboo Online</v>
      </c>
      <c r="S126" s="97" t="s">
        <v>10723</v>
      </c>
      <c r="T126" s="96" t="s">
        <v>4381</v>
      </c>
      <c r="U126" s="96" t="s">
        <v>453</v>
      </c>
      <c r="V126" s="96" t="s">
        <v>607</v>
      </c>
      <c r="W126" s="96" t="s">
        <v>4380</v>
      </c>
      <c r="X126" s="96" t="s">
        <v>4379</v>
      </c>
      <c r="Y126" s="96"/>
      <c r="Z126" s="98" t="s">
        <v>10724</v>
      </c>
      <c r="AA126" s="153" t="s">
        <v>10530</v>
      </c>
      <c r="AB126" s="91"/>
      <c r="AC126" s="91"/>
      <c r="AD126" s="91"/>
    </row>
    <row r="127" ht="15.75" customHeight="1" outlineLevel="1">
      <c r="A127" s="170" t="s">
        <v>10535</v>
      </c>
      <c r="B127" s="51" t="s">
        <v>26</v>
      </c>
      <c r="C127" s="51" t="s">
        <v>27</v>
      </c>
      <c r="D127" s="52" t="s">
        <v>4</v>
      </c>
      <c r="E127" s="53" t="s">
        <v>27</v>
      </c>
      <c r="F127" s="52" t="s">
        <v>4</v>
      </c>
      <c r="G127" s="52" t="s">
        <v>61</v>
      </c>
      <c r="H127" s="176" t="s">
        <v>607</v>
      </c>
      <c r="I127" s="175" t="s">
        <v>37</v>
      </c>
      <c r="J127" s="176" t="s">
        <v>4380</v>
      </c>
      <c r="K127" s="177" t="s">
        <v>33</v>
      </c>
      <c r="L127" s="176" t="s">
        <v>5620</v>
      </c>
      <c r="M127" s="52" t="s">
        <v>46</v>
      </c>
      <c r="N127" s="54" t="s">
        <v>10496</v>
      </c>
      <c r="O127" s="55" t="str">
        <f t="shared" si="4"/>
        <v>L1.00.00.11.04.02</v>
      </c>
      <c r="P127" s="55" t="str">
        <f t="shared" si="5"/>
        <v>L1.00.00.11.04.02.07</v>
      </c>
      <c r="Q127" s="160" t="s">
        <v>10530</v>
      </c>
      <c r="R127" s="169" t="str">
        <f t="shared" si="6"/>
        <v>[Bamboo Online] Nhóm Phân tích &amp; Thiết kế</v>
      </c>
      <c r="S127" s="97" t="s">
        <v>10723</v>
      </c>
      <c r="T127" s="96" t="s">
        <v>5621</v>
      </c>
      <c r="U127" s="96" t="s">
        <v>453</v>
      </c>
      <c r="V127" s="96" t="s">
        <v>607</v>
      </c>
      <c r="W127" s="96" t="s">
        <v>4380</v>
      </c>
      <c r="X127" s="96" t="s">
        <v>5620</v>
      </c>
      <c r="Y127" s="96"/>
      <c r="Z127" s="98" t="s">
        <v>10725</v>
      </c>
      <c r="AA127" s="153" t="s">
        <v>10530</v>
      </c>
      <c r="AB127" s="91"/>
      <c r="AC127" s="91"/>
      <c r="AD127" s="91"/>
    </row>
    <row r="128" ht="15.75" customHeight="1" outlineLevel="1">
      <c r="A128" s="170" t="s">
        <v>10535</v>
      </c>
      <c r="B128" s="51" t="s">
        <v>26</v>
      </c>
      <c r="C128" s="51" t="s">
        <v>27</v>
      </c>
      <c r="D128" s="52" t="s">
        <v>4</v>
      </c>
      <c r="E128" s="53" t="s">
        <v>27</v>
      </c>
      <c r="F128" s="52" t="s">
        <v>4</v>
      </c>
      <c r="G128" s="52" t="s">
        <v>61</v>
      </c>
      <c r="H128" s="176" t="s">
        <v>607</v>
      </c>
      <c r="I128" s="175" t="s">
        <v>42</v>
      </c>
      <c r="J128" s="176" t="s">
        <v>2697</v>
      </c>
      <c r="K128" s="175" t="s">
        <v>27</v>
      </c>
      <c r="L128" s="218" t="s">
        <v>4</v>
      </c>
      <c r="M128" s="52" t="s">
        <v>46</v>
      </c>
      <c r="N128" s="54" t="s">
        <v>10496</v>
      </c>
      <c r="O128" s="55" t="str">
        <f t="shared" si="4"/>
        <v>L1.00.00.11.05.00</v>
      </c>
      <c r="P128" s="55" t="str">
        <f t="shared" si="5"/>
        <v>L1.00.00.11.05.00.07</v>
      </c>
      <c r="Q128" s="160" t="s">
        <v>10530</v>
      </c>
      <c r="R128" s="169" t="str">
        <f t="shared" si="6"/>
        <v>Sản phẩm Quản lý ngân sách (BUMAS)</v>
      </c>
      <c r="S128" s="97" t="s">
        <v>10517</v>
      </c>
      <c r="T128" s="97" t="s">
        <v>10726</v>
      </c>
      <c r="U128" s="96" t="s">
        <v>453</v>
      </c>
      <c r="V128" s="96" t="s">
        <v>607</v>
      </c>
      <c r="W128" s="96" t="s">
        <v>2697</v>
      </c>
      <c r="X128" s="96" t="s">
        <v>2696</v>
      </c>
      <c r="Y128" s="96"/>
      <c r="Z128" s="98" t="s">
        <v>10727</v>
      </c>
      <c r="AA128" s="153" t="s">
        <v>10530</v>
      </c>
      <c r="AB128" s="91"/>
      <c r="AC128" s="91"/>
      <c r="AD128" s="91"/>
    </row>
    <row r="129" ht="15.75" customHeight="1" outlineLevel="1">
      <c r="A129" s="170" t="s">
        <v>10535</v>
      </c>
      <c r="B129" s="51" t="s">
        <v>26</v>
      </c>
      <c r="C129" s="51" t="s">
        <v>27</v>
      </c>
      <c r="D129" s="52" t="s">
        <v>4</v>
      </c>
      <c r="E129" s="53" t="s">
        <v>27</v>
      </c>
      <c r="F129" s="52" t="s">
        <v>4</v>
      </c>
      <c r="G129" s="52" t="s">
        <v>61</v>
      </c>
      <c r="H129" s="176" t="s">
        <v>607</v>
      </c>
      <c r="I129" s="175" t="s">
        <v>42</v>
      </c>
      <c r="J129" s="176" t="s">
        <v>2697</v>
      </c>
      <c r="K129" s="177" t="s">
        <v>29</v>
      </c>
      <c r="L129" s="176" t="s">
        <v>2696</v>
      </c>
      <c r="M129" s="52" t="s">
        <v>46</v>
      </c>
      <c r="N129" s="54" t="s">
        <v>10496</v>
      </c>
      <c r="O129" s="55" t="str">
        <f t="shared" si="4"/>
        <v>L1.00.00.11.05.01</v>
      </c>
      <c r="P129" s="55" t="str">
        <f t="shared" si="5"/>
        <v>L1.00.00.11.05.01.07</v>
      </c>
      <c r="Q129" s="160" t="s">
        <v>10530</v>
      </c>
      <c r="R129" s="169" t="str">
        <f t="shared" si="6"/>
        <v>Dự án Quản lý ngân sách nhà nước BUMAS Địa phương</v>
      </c>
      <c r="S129" s="97" t="s">
        <v>10728</v>
      </c>
      <c r="T129" s="96" t="s">
        <v>2698</v>
      </c>
      <c r="U129" s="96" t="s">
        <v>453</v>
      </c>
      <c r="V129" s="96" t="s">
        <v>607</v>
      </c>
      <c r="W129" s="96" t="s">
        <v>2697</v>
      </c>
      <c r="X129" s="96" t="s">
        <v>2696</v>
      </c>
      <c r="Y129" s="96"/>
      <c r="Z129" s="98" t="s">
        <v>10729</v>
      </c>
      <c r="AA129" s="153" t="s">
        <v>10530</v>
      </c>
      <c r="AB129" s="91"/>
      <c r="AC129" s="91"/>
      <c r="AD129" s="91"/>
    </row>
    <row r="130" ht="15.75" customHeight="1" outlineLevel="1">
      <c r="A130" s="170" t="s">
        <v>10535</v>
      </c>
      <c r="B130" s="51" t="s">
        <v>26</v>
      </c>
      <c r="C130" s="51" t="s">
        <v>27</v>
      </c>
      <c r="D130" s="52" t="s">
        <v>4</v>
      </c>
      <c r="E130" s="53" t="s">
        <v>27</v>
      </c>
      <c r="F130" s="52" t="s">
        <v>4</v>
      </c>
      <c r="G130" s="52" t="s">
        <v>61</v>
      </c>
      <c r="H130" s="176" t="s">
        <v>607</v>
      </c>
      <c r="I130" s="175" t="s">
        <v>42</v>
      </c>
      <c r="J130" s="176" t="s">
        <v>2697</v>
      </c>
      <c r="K130" s="177" t="s">
        <v>33</v>
      </c>
      <c r="L130" s="176" t="s">
        <v>4446</v>
      </c>
      <c r="M130" s="52" t="s">
        <v>46</v>
      </c>
      <c r="N130" s="54" t="s">
        <v>10496</v>
      </c>
      <c r="O130" s="55" t="str">
        <f t="shared" si="4"/>
        <v>L1.00.00.11.05.02</v>
      </c>
      <c r="P130" s="55" t="str">
        <f t="shared" si="5"/>
        <v>L1.00.00.11.05.02.07</v>
      </c>
      <c r="Q130" s="160" t="s">
        <v>10530</v>
      </c>
      <c r="R130" s="169" t="str">
        <f t="shared" si="6"/>
        <v>[BUMAS Địa phương] Nhóm Phân tích &amp; Thiết kế</v>
      </c>
      <c r="S130" s="97" t="s">
        <v>10728</v>
      </c>
      <c r="T130" s="96" t="s">
        <v>4447</v>
      </c>
      <c r="U130" s="96" t="s">
        <v>453</v>
      </c>
      <c r="V130" s="96" t="s">
        <v>607</v>
      </c>
      <c r="W130" s="96" t="s">
        <v>2697</v>
      </c>
      <c r="X130" s="96" t="s">
        <v>4446</v>
      </c>
      <c r="Y130" s="96"/>
      <c r="Z130" s="98" t="s">
        <v>10730</v>
      </c>
      <c r="AA130" s="153" t="s">
        <v>10530</v>
      </c>
      <c r="AB130" s="91"/>
      <c r="AC130" s="91"/>
      <c r="AD130" s="91"/>
    </row>
    <row r="131" ht="15.75" customHeight="1" outlineLevel="1">
      <c r="A131" s="170" t="s">
        <v>10535</v>
      </c>
      <c r="B131" s="51" t="s">
        <v>26</v>
      </c>
      <c r="C131" s="51" t="s">
        <v>27</v>
      </c>
      <c r="D131" s="52" t="s">
        <v>4</v>
      </c>
      <c r="E131" s="53" t="s">
        <v>27</v>
      </c>
      <c r="F131" s="52" t="s">
        <v>4</v>
      </c>
      <c r="G131" s="52" t="s">
        <v>61</v>
      </c>
      <c r="H131" s="176" t="s">
        <v>607</v>
      </c>
      <c r="I131" s="175" t="s">
        <v>44</v>
      </c>
      <c r="J131" s="176" t="s">
        <v>4927</v>
      </c>
      <c r="K131" s="175" t="s">
        <v>27</v>
      </c>
      <c r="L131" s="218" t="s">
        <v>4</v>
      </c>
      <c r="M131" s="52" t="s">
        <v>46</v>
      </c>
      <c r="N131" s="54" t="s">
        <v>10496</v>
      </c>
      <c r="O131" s="55" t="str">
        <f t="shared" si="4"/>
        <v>L1.00.00.11.06.00</v>
      </c>
      <c r="P131" s="55" t="str">
        <f t="shared" si="5"/>
        <v>L1.00.00.11.06.00.07</v>
      </c>
      <c r="Q131" s="160" t="s">
        <v>10530</v>
      </c>
      <c r="R131" s="186" t="str">
        <f t="shared" si="6"/>
        <v>Sản phẩm Tổng hợp báo cáo tài chính HCSN (LEKIMA)</v>
      </c>
      <c r="S131" s="97" t="s">
        <v>10517</v>
      </c>
      <c r="T131" s="97" t="s">
        <v>10731</v>
      </c>
      <c r="U131" s="96" t="s">
        <v>453</v>
      </c>
      <c r="V131" s="96" t="s">
        <v>607</v>
      </c>
      <c r="W131" s="96" t="s">
        <v>4927</v>
      </c>
      <c r="X131" s="96" t="s">
        <v>4926</v>
      </c>
      <c r="Y131" s="96"/>
      <c r="Z131" s="98" t="s">
        <v>10732</v>
      </c>
      <c r="AA131" s="153" t="s">
        <v>10530</v>
      </c>
      <c r="AB131" s="91"/>
      <c r="AC131" s="91"/>
      <c r="AD131" s="91"/>
    </row>
    <row r="132" ht="15.75" customHeight="1" outlineLevel="1">
      <c r="A132" s="170" t="s">
        <v>10535</v>
      </c>
      <c r="B132" s="51" t="s">
        <v>26</v>
      </c>
      <c r="C132" s="51" t="s">
        <v>27</v>
      </c>
      <c r="D132" s="52" t="s">
        <v>4</v>
      </c>
      <c r="E132" s="53" t="s">
        <v>27</v>
      </c>
      <c r="F132" s="52" t="s">
        <v>4</v>
      </c>
      <c r="G132" s="52" t="s">
        <v>61</v>
      </c>
      <c r="H132" s="176" t="s">
        <v>607</v>
      </c>
      <c r="I132" s="175" t="s">
        <v>44</v>
      </c>
      <c r="J132" s="176" t="s">
        <v>4927</v>
      </c>
      <c r="K132" s="177" t="s">
        <v>29</v>
      </c>
      <c r="L132" s="176" t="s">
        <v>4926</v>
      </c>
      <c r="M132" s="52" t="s">
        <v>46</v>
      </c>
      <c r="N132" s="54" t="s">
        <v>10496</v>
      </c>
      <c r="O132" s="55" t="str">
        <f t="shared" si="4"/>
        <v>L1.00.00.11.06.01</v>
      </c>
      <c r="P132" s="55" t="str">
        <f t="shared" si="5"/>
        <v>L1.00.00.11.06.01.07</v>
      </c>
      <c r="Q132" s="160" t="s">
        <v>10530</v>
      </c>
      <c r="R132" s="169" t="str">
        <f t="shared" si="6"/>
        <v>Dự án Tổng hợp báo cáo tài chính HCSN (LEKIMA)</v>
      </c>
      <c r="S132" s="97" t="s">
        <v>10733</v>
      </c>
      <c r="T132" s="96" t="s">
        <v>4928</v>
      </c>
      <c r="U132" s="96" t="s">
        <v>453</v>
      </c>
      <c r="V132" s="96" t="s">
        <v>607</v>
      </c>
      <c r="W132" s="96" t="s">
        <v>4927</v>
      </c>
      <c r="X132" s="96" t="s">
        <v>4926</v>
      </c>
      <c r="Y132" s="96"/>
      <c r="Z132" s="98" t="s">
        <v>10734</v>
      </c>
      <c r="AA132" s="153" t="s">
        <v>10530</v>
      </c>
      <c r="AB132" s="91"/>
      <c r="AC132" s="91"/>
      <c r="AD132" s="91"/>
    </row>
    <row r="133" ht="15.75" customHeight="1" outlineLevel="1">
      <c r="A133" s="170" t="s">
        <v>10535</v>
      </c>
      <c r="B133" s="51" t="s">
        <v>26</v>
      </c>
      <c r="C133" s="51" t="s">
        <v>27</v>
      </c>
      <c r="D133" s="52" t="s">
        <v>4</v>
      </c>
      <c r="E133" s="53" t="s">
        <v>27</v>
      </c>
      <c r="F133" s="52" t="s">
        <v>4</v>
      </c>
      <c r="G133" s="52" t="s">
        <v>61</v>
      </c>
      <c r="H133" s="176" t="s">
        <v>607</v>
      </c>
      <c r="I133" s="175" t="s">
        <v>46</v>
      </c>
      <c r="J133" s="176" t="s">
        <v>3035</v>
      </c>
      <c r="K133" s="175" t="s">
        <v>27</v>
      </c>
      <c r="L133" s="218" t="s">
        <v>4</v>
      </c>
      <c r="M133" s="52" t="s">
        <v>46</v>
      </c>
      <c r="N133" s="54" t="s">
        <v>10496</v>
      </c>
      <c r="O133" s="55" t="str">
        <f t="shared" si="4"/>
        <v>L1.00.00.11.07.00</v>
      </c>
      <c r="P133" s="55" t="str">
        <f t="shared" si="5"/>
        <v>L1.00.00.11.07.00.07</v>
      </c>
      <c r="Q133" s="160" t="s">
        <v>10530</v>
      </c>
      <c r="R133" s="169" t="str">
        <f t="shared" si="6"/>
        <v>Sản phẩm MISA QLCB</v>
      </c>
      <c r="S133" s="97" t="s">
        <v>10517</v>
      </c>
      <c r="T133" s="96" t="s">
        <v>4698</v>
      </c>
      <c r="U133" s="96" t="s">
        <v>453</v>
      </c>
      <c r="V133" s="96" t="s">
        <v>607</v>
      </c>
      <c r="W133" s="96" t="s">
        <v>3035</v>
      </c>
      <c r="X133" s="96"/>
      <c r="Y133" s="96"/>
      <c r="Z133" s="98" t="s">
        <v>10735</v>
      </c>
      <c r="AA133" s="153" t="s">
        <v>10530</v>
      </c>
      <c r="AB133" s="91"/>
      <c r="AC133" s="91"/>
      <c r="AD133" s="91"/>
    </row>
    <row r="134" ht="15.75" customHeight="1" outlineLevel="1">
      <c r="A134" s="170" t="s">
        <v>10535</v>
      </c>
      <c r="B134" s="51" t="s">
        <v>26</v>
      </c>
      <c r="C134" s="51" t="s">
        <v>27</v>
      </c>
      <c r="D134" s="52" t="s">
        <v>4</v>
      </c>
      <c r="E134" s="53" t="s">
        <v>27</v>
      </c>
      <c r="F134" s="52" t="s">
        <v>4</v>
      </c>
      <c r="G134" s="52" t="s">
        <v>61</v>
      </c>
      <c r="H134" s="176" t="s">
        <v>607</v>
      </c>
      <c r="I134" s="175" t="s">
        <v>46</v>
      </c>
      <c r="J134" s="176" t="s">
        <v>3035</v>
      </c>
      <c r="K134" s="177" t="s">
        <v>29</v>
      </c>
      <c r="L134" s="176" t="s">
        <v>5499</v>
      </c>
      <c r="M134" s="52" t="s">
        <v>46</v>
      </c>
      <c r="N134" s="54" t="s">
        <v>10496</v>
      </c>
      <c r="O134" s="55" t="str">
        <f t="shared" si="4"/>
        <v>L1.00.00.11.07.01</v>
      </c>
      <c r="P134" s="55" t="str">
        <f t="shared" si="5"/>
        <v>L1.00.00.11.07.01.07</v>
      </c>
      <c r="Q134" s="160" t="s">
        <v>10530</v>
      </c>
      <c r="R134" s="169" t="str">
        <f t="shared" si="6"/>
        <v>Dự án MISA QLCB</v>
      </c>
      <c r="S134" s="97" t="s">
        <v>10736</v>
      </c>
      <c r="T134" s="96" t="s">
        <v>5500</v>
      </c>
      <c r="U134" s="96" t="s">
        <v>453</v>
      </c>
      <c r="V134" s="96" t="s">
        <v>607</v>
      </c>
      <c r="W134" s="96" t="s">
        <v>3035</v>
      </c>
      <c r="X134" s="96" t="s">
        <v>5499</v>
      </c>
      <c r="Y134" s="96"/>
      <c r="Z134" s="98" t="s">
        <v>10737</v>
      </c>
      <c r="AA134" s="153" t="s">
        <v>10530</v>
      </c>
      <c r="AB134" s="91"/>
      <c r="AC134" s="91"/>
      <c r="AD134" s="91"/>
    </row>
    <row r="135" ht="15.75" customHeight="1" outlineLevel="1">
      <c r="A135" s="170" t="s">
        <v>10535</v>
      </c>
      <c r="B135" s="51" t="s">
        <v>26</v>
      </c>
      <c r="C135" s="51" t="s">
        <v>27</v>
      </c>
      <c r="D135" s="52" t="s">
        <v>4</v>
      </c>
      <c r="E135" s="53" t="s">
        <v>27</v>
      </c>
      <c r="F135" s="52" t="s">
        <v>4</v>
      </c>
      <c r="G135" s="52" t="s">
        <v>61</v>
      </c>
      <c r="H135" s="176" t="s">
        <v>607</v>
      </c>
      <c r="I135" s="175" t="s">
        <v>46</v>
      </c>
      <c r="J135" s="176" t="s">
        <v>3035</v>
      </c>
      <c r="K135" s="177" t="s">
        <v>33</v>
      </c>
      <c r="L135" s="176" t="s">
        <v>3034</v>
      </c>
      <c r="M135" s="52" t="s">
        <v>46</v>
      </c>
      <c r="N135" s="54" t="s">
        <v>10496</v>
      </c>
      <c r="O135" s="55" t="str">
        <f t="shared" si="4"/>
        <v>L1.00.00.11.07.02</v>
      </c>
      <c r="P135" s="55" t="str">
        <f t="shared" si="5"/>
        <v>L1.00.00.11.07.02.07</v>
      </c>
      <c r="Q135" s="160" t="s">
        <v>10530</v>
      </c>
      <c r="R135" s="169" t="str">
        <f t="shared" si="6"/>
        <v>[MISA QLCB] Nhóm Phân tích &amp; Thiết kế</v>
      </c>
      <c r="S135" s="97" t="s">
        <v>10736</v>
      </c>
      <c r="T135" s="96" t="s">
        <v>3036</v>
      </c>
      <c r="U135" s="96" t="s">
        <v>453</v>
      </c>
      <c r="V135" s="96" t="s">
        <v>607</v>
      </c>
      <c r="W135" s="96" t="s">
        <v>3035</v>
      </c>
      <c r="X135" s="96" t="s">
        <v>3034</v>
      </c>
      <c r="Y135" s="96"/>
      <c r="Z135" s="98" t="s">
        <v>10738</v>
      </c>
      <c r="AA135" s="153" t="s">
        <v>10530</v>
      </c>
      <c r="AB135" s="91"/>
      <c r="AC135" s="91"/>
      <c r="AD135" s="91"/>
    </row>
    <row r="136" ht="15.75" customHeight="1" outlineLevel="1">
      <c r="A136" s="170" t="s">
        <v>10535</v>
      </c>
      <c r="B136" s="51" t="s">
        <v>26</v>
      </c>
      <c r="C136" s="51" t="s">
        <v>27</v>
      </c>
      <c r="D136" s="52" t="s">
        <v>4</v>
      </c>
      <c r="E136" s="53" t="s">
        <v>27</v>
      </c>
      <c r="F136" s="52" t="s">
        <v>4</v>
      </c>
      <c r="G136" s="52" t="s">
        <v>61</v>
      </c>
      <c r="H136" s="176" t="s">
        <v>607</v>
      </c>
      <c r="I136" s="175" t="s">
        <v>49</v>
      </c>
      <c r="J136" s="176" t="s">
        <v>5626</v>
      </c>
      <c r="K136" s="175" t="s">
        <v>27</v>
      </c>
      <c r="L136" s="218" t="s">
        <v>4</v>
      </c>
      <c r="M136" s="52" t="s">
        <v>46</v>
      </c>
      <c r="N136" s="54" t="s">
        <v>10496</v>
      </c>
      <c r="O136" s="55" t="str">
        <f t="shared" si="4"/>
        <v>L1.00.00.11.08.00</v>
      </c>
      <c r="P136" s="55" t="str">
        <f t="shared" si="5"/>
        <v>L1.00.00.11.08.00.07</v>
      </c>
      <c r="Q136" s="160" t="s">
        <v>10530</v>
      </c>
      <c r="R136" s="169" t="str">
        <f t="shared" si="6"/>
        <v>Sản phẩm MISA TaskGo</v>
      </c>
      <c r="S136" s="97" t="s">
        <v>10517</v>
      </c>
      <c r="T136" s="97" t="s">
        <v>10739</v>
      </c>
      <c r="U136" s="96" t="s">
        <v>453</v>
      </c>
      <c r="V136" s="96" t="s">
        <v>607</v>
      </c>
      <c r="W136" s="96" t="s">
        <v>5626</v>
      </c>
      <c r="X136" s="96" t="s">
        <v>5625</v>
      </c>
      <c r="Y136" s="96"/>
      <c r="Z136" s="98" t="s">
        <v>10740</v>
      </c>
      <c r="AA136" s="153" t="s">
        <v>10530</v>
      </c>
      <c r="AB136" s="91"/>
      <c r="AC136" s="91"/>
      <c r="AD136" s="91"/>
    </row>
    <row r="137" ht="15.75" customHeight="1" outlineLevel="1">
      <c r="A137" s="170" t="s">
        <v>10535</v>
      </c>
      <c r="B137" s="51" t="s">
        <v>26</v>
      </c>
      <c r="C137" s="51" t="s">
        <v>27</v>
      </c>
      <c r="D137" s="52" t="s">
        <v>4</v>
      </c>
      <c r="E137" s="53" t="s">
        <v>27</v>
      </c>
      <c r="F137" s="52" t="s">
        <v>4</v>
      </c>
      <c r="G137" s="52" t="s">
        <v>61</v>
      </c>
      <c r="H137" s="176" t="s">
        <v>607</v>
      </c>
      <c r="I137" s="175" t="s">
        <v>49</v>
      </c>
      <c r="J137" s="176" t="s">
        <v>5626</v>
      </c>
      <c r="K137" s="177" t="s">
        <v>29</v>
      </c>
      <c r="L137" s="176" t="s">
        <v>5625</v>
      </c>
      <c r="M137" s="52" t="s">
        <v>46</v>
      </c>
      <c r="N137" s="54" t="s">
        <v>10496</v>
      </c>
      <c r="O137" s="55" t="str">
        <f t="shared" si="4"/>
        <v>L1.00.00.11.08.01</v>
      </c>
      <c r="P137" s="55" t="str">
        <f t="shared" si="5"/>
        <v>L1.00.00.11.08.01.07</v>
      </c>
      <c r="Q137" s="160" t="s">
        <v>10530</v>
      </c>
      <c r="R137" s="169" t="str">
        <f t="shared" si="6"/>
        <v>Dự án MISA TaskGo</v>
      </c>
      <c r="S137" s="97" t="s">
        <v>10741</v>
      </c>
      <c r="T137" s="96" t="s">
        <v>5627</v>
      </c>
      <c r="U137" s="96" t="s">
        <v>453</v>
      </c>
      <c r="V137" s="96" t="s">
        <v>607</v>
      </c>
      <c r="W137" s="96" t="s">
        <v>5626</v>
      </c>
      <c r="X137" s="96" t="s">
        <v>5625</v>
      </c>
      <c r="Y137" s="96"/>
      <c r="Z137" s="98" t="s">
        <v>10742</v>
      </c>
      <c r="AA137" s="153" t="s">
        <v>10530</v>
      </c>
      <c r="AB137" s="91"/>
      <c r="AC137" s="91"/>
      <c r="AD137" s="91"/>
    </row>
    <row r="138" ht="15.75" customHeight="1" outlineLevel="1">
      <c r="A138" s="170" t="s">
        <v>10535</v>
      </c>
      <c r="B138" s="51" t="s">
        <v>26</v>
      </c>
      <c r="C138" s="51" t="s">
        <v>27</v>
      </c>
      <c r="D138" s="52" t="s">
        <v>4</v>
      </c>
      <c r="E138" s="53" t="s">
        <v>27</v>
      </c>
      <c r="F138" s="52" t="s">
        <v>4</v>
      </c>
      <c r="G138" s="52" t="s">
        <v>61</v>
      </c>
      <c r="H138" s="176" t="s">
        <v>607</v>
      </c>
      <c r="I138" s="175" t="s">
        <v>49</v>
      </c>
      <c r="J138" s="176" t="s">
        <v>5626</v>
      </c>
      <c r="K138" s="177" t="s">
        <v>33</v>
      </c>
      <c r="L138" s="176" t="s">
        <v>6093</v>
      </c>
      <c r="M138" s="52" t="s">
        <v>46</v>
      </c>
      <c r="N138" s="54" t="s">
        <v>10496</v>
      </c>
      <c r="O138" s="55" t="str">
        <f t="shared" si="4"/>
        <v>L1.00.00.11.08.02</v>
      </c>
      <c r="P138" s="55" t="str">
        <f t="shared" si="5"/>
        <v>L1.00.00.11.08.02.07</v>
      </c>
      <c r="Q138" s="160" t="s">
        <v>10530</v>
      </c>
      <c r="R138" s="169" t="str">
        <f t="shared" si="6"/>
        <v>Dự án MISA TaskGo 2</v>
      </c>
      <c r="S138" s="97" t="s">
        <v>10741</v>
      </c>
      <c r="T138" s="96" t="s">
        <v>6094</v>
      </c>
      <c r="U138" s="96" t="s">
        <v>453</v>
      </c>
      <c r="V138" s="96" t="s">
        <v>607</v>
      </c>
      <c r="W138" s="96" t="s">
        <v>5626</v>
      </c>
      <c r="X138" s="96" t="s">
        <v>6093</v>
      </c>
      <c r="Y138" s="96"/>
      <c r="Z138" s="98" t="s">
        <v>10743</v>
      </c>
      <c r="AA138" s="153" t="s">
        <v>10530</v>
      </c>
      <c r="AB138" s="91"/>
      <c r="AC138" s="91"/>
      <c r="AD138" s="91"/>
    </row>
    <row r="139" ht="15.75" customHeight="1" outlineLevel="1">
      <c r="A139" s="170" t="s">
        <v>10535</v>
      </c>
      <c r="B139" s="51" t="s">
        <v>26</v>
      </c>
      <c r="C139" s="51" t="s">
        <v>27</v>
      </c>
      <c r="D139" s="52" t="s">
        <v>4</v>
      </c>
      <c r="E139" s="53" t="s">
        <v>27</v>
      </c>
      <c r="F139" s="52" t="s">
        <v>4</v>
      </c>
      <c r="G139" s="52" t="s">
        <v>61</v>
      </c>
      <c r="H139" s="176" t="s">
        <v>607</v>
      </c>
      <c r="I139" s="175" t="s">
        <v>51</v>
      </c>
      <c r="J139" s="176" t="s">
        <v>4856</v>
      </c>
      <c r="K139" s="175" t="s">
        <v>27</v>
      </c>
      <c r="L139" s="218" t="s">
        <v>4</v>
      </c>
      <c r="M139" s="52" t="s">
        <v>46</v>
      </c>
      <c r="N139" s="54" t="s">
        <v>10496</v>
      </c>
      <c r="O139" s="55" t="str">
        <f t="shared" si="4"/>
        <v>L1.00.00.11.09.00</v>
      </c>
      <c r="P139" s="55" t="str">
        <f t="shared" si="5"/>
        <v>L1.00.00.11.09.00.07</v>
      </c>
      <c r="Q139" s="160" t="s">
        <v>10530</v>
      </c>
      <c r="R139" s="169" t="str">
        <f t="shared" si="6"/>
        <v>Sản phẩm MISA CeGov</v>
      </c>
      <c r="S139" s="97" t="s">
        <v>10517</v>
      </c>
      <c r="T139" s="97" t="s">
        <v>10744</v>
      </c>
      <c r="U139" s="96" t="s">
        <v>453</v>
      </c>
      <c r="V139" s="96" t="s">
        <v>607</v>
      </c>
      <c r="W139" s="96" t="s">
        <v>4856</v>
      </c>
      <c r="X139" s="96"/>
      <c r="Y139" s="96"/>
      <c r="Z139" s="98" t="s">
        <v>10745</v>
      </c>
      <c r="AA139" s="153" t="s">
        <v>10530</v>
      </c>
      <c r="AB139" s="91"/>
      <c r="AC139" s="91"/>
      <c r="AD139" s="91"/>
    </row>
    <row r="140" ht="15.75" customHeight="1" outlineLevel="1">
      <c r="A140" s="170" t="s">
        <v>10535</v>
      </c>
      <c r="B140" s="51" t="s">
        <v>26</v>
      </c>
      <c r="C140" s="51" t="s">
        <v>27</v>
      </c>
      <c r="D140" s="52" t="s">
        <v>4</v>
      </c>
      <c r="E140" s="53" t="s">
        <v>27</v>
      </c>
      <c r="F140" s="52" t="s">
        <v>4</v>
      </c>
      <c r="G140" s="52" t="s">
        <v>61</v>
      </c>
      <c r="H140" s="176" t="s">
        <v>607</v>
      </c>
      <c r="I140" s="175" t="s">
        <v>51</v>
      </c>
      <c r="J140" s="176" t="s">
        <v>4856</v>
      </c>
      <c r="K140" s="175" t="s">
        <v>29</v>
      </c>
      <c r="L140" s="176" t="s">
        <v>4855</v>
      </c>
      <c r="M140" s="52" t="s">
        <v>46</v>
      </c>
      <c r="N140" s="54" t="s">
        <v>10496</v>
      </c>
      <c r="O140" s="55" t="str">
        <f t="shared" si="4"/>
        <v>L1.00.00.11.09.01</v>
      </c>
      <c r="P140" s="55" t="str">
        <f t="shared" si="5"/>
        <v>L1.00.00.11.09.01.07</v>
      </c>
      <c r="Q140" s="160" t="s">
        <v>10530</v>
      </c>
      <c r="R140" s="169" t="str">
        <f t="shared" si="6"/>
        <v>Dự án MISA CeGov</v>
      </c>
      <c r="S140" s="97" t="s">
        <v>10746</v>
      </c>
      <c r="T140" s="96" t="s">
        <v>4857</v>
      </c>
      <c r="U140" s="96" t="s">
        <v>453</v>
      </c>
      <c r="V140" s="96" t="s">
        <v>607</v>
      </c>
      <c r="W140" s="96" t="s">
        <v>4856</v>
      </c>
      <c r="X140" s="96" t="s">
        <v>4855</v>
      </c>
      <c r="Y140" s="96"/>
      <c r="Z140" s="98" t="s">
        <v>10747</v>
      </c>
      <c r="AA140" s="153" t="s">
        <v>10530</v>
      </c>
      <c r="AB140" s="91"/>
      <c r="AC140" s="91"/>
      <c r="AD140" s="91"/>
    </row>
    <row r="141" ht="15.75" customHeight="1" outlineLevel="1">
      <c r="A141" s="170" t="s">
        <v>10535</v>
      </c>
      <c r="B141" s="51" t="s">
        <v>26</v>
      </c>
      <c r="C141" s="51" t="s">
        <v>27</v>
      </c>
      <c r="D141" s="52" t="s">
        <v>4</v>
      </c>
      <c r="E141" s="53" t="s">
        <v>27</v>
      </c>
      <c r="F141" s="52" t="s">
        <v>4</v>
      </c>
      <c r="G141" s="52" t="s">
        <v>61</v>
      </c>
      <c r="H141" s="176" t="s">
        <v>607</v>
      </c>
      <c r="I141" s="175" t="s">
        <v>55</v>
      </c>
      <c r="J141" s="176" t="s">
        <v>3247</v>
      </c>
      <c r="K141" s="172" t="s">
        <v>27</v>
      </c>
      <c r="L141" s="218" t="s">
        <v>4</v>
      </c>
      <c r="M141" s="52" t="s">
        <v>46</v>
      </c>
      <c r="N141" s="54" t="s">
        <v>10496</v>
      </c>
      <c r="O141" s="55" t="str">
        <f t="shared" si="4"/>
        <v>L1.00.00.11.10.00</v>
      </c>
      <c r="P141" s="55" t="str">
        <f t="shared" si="5"/>
        <v>L1.00.00.11.10.00.07</v>
      </c>
      <c r="Q141" s="160" t="s">
        <v>10530</v>
      </c>
      <c r="R141" s="169" t="str">
        <f t="shared" si="6"/>
        <v>Sản phẩm QLTS.VN</v>
      </c>
      <c r="S141" s="97" t="s">
        <v>10517</v>
      </c>
      <c r="T141" s="96" t="s">
        <v>10432</v>
      </c>
      <c r="U141" s="96" t="s">
        <v>453</v>
      </c>
      <c r="V141" s="96" t="s">
        <v>607</v>
      </c>
      <c r="W141" s="96" t="s">
        <v>3247</v>
      </c>
      <c r="X141" s="96"/>
      <c r="Y141" s="96"/>
      <c r="Z141" s="220" t="s">
        <v>10748</v>
      </c>
      <c r="AA141" s="153" t="s">
        <v>10530</v>
      </c>
      <c r="AB141" s="91"/>
      <c r="AC141" s="91"/>
      <c r="AD141" s="91"/>
    </row>
    <row r="142" ht="15.75" customHeight="1" outlineLevel="1">
      <c r="A142" s="170" t="s">
        <v>10535</v>
      </c>
      <c r="B142" s="51" t="s">
        <v>26</v>
      </c>
      <c r="C142" s="51" t="s">
        <v>27</v>
      </c>
      <c r="D142" s="52" t="s">
        <v>4</v>
      </c>
      <c r="E142" s="53" t="s">
        <v>27</v>
      </c>
      <c r="F142" s="52" t="s">
        <v>4</v>
      </c>
      <c r="G142" s="52" t="s">
        <v>61</v>
      </c>
      <c r="H142" s="176" t="s">
        <v>607</v>
      </c>
      <c r="I142" s="175" t="s">
        <v>55</v>
      </c>
      <c r="J142" s="176" t="s">
        <v>3247</v>
      </c>
      <c r="K142" s="221" t="s">
        <v>29</v>
      </c>
      <c r="L142" s="176" t="s">
        <v>3246</v>
      </c>
      <c r="M142" s="52" t="s">
        <v>46</v>
      </c>
      <c r="N142" s="54" t="s">
        <v>10496</v>
      </c>
      <c r="O142" s="55" t="str">
        <f t="shared" si="4"/>
        <v>L1.00.00.11.10.01</v>
      </c>
      <c r="P142" s="55" t="str">
        <f t="shared" si="5"/>
        <v>L1.00.00.11.10.01.07</v>
      </c>
      <c r="Q142" s="160" t="s">
        <v>10530</v>
      </c>
      <c r="R142" s="169" t="str">
        <f t="shared" si="6"/>
        <v>Dự án QLTS.VN</v>
      </c>
      <c r="S142" s="97" t="s">
        <v>10749</v>
      </c>
      <c r="T142" s="96" t="s">
        <v>3248</v>
      </c>
      <c r="U142" s="96" t="s">
        <v>453</v>
      </c>
      <c r="V142" s="96" t="s">
        <v>607</v>
      </c>
      <c r="W142" s="96" t="s">
        <v>3247</v>
      </c>
      <c r="X142" s="96" t="s">
        <v>3246</v>
      </c>
      <c r="Y142" s="96"/>
      <c r="Z142" s="98" t="s">
        <v>10750</v>
      </c>
      <c r="AA142" s="153" t="s">
        <v>10530</v>
      </c>
      <c r="AB142" s="91"/>
      <c r="AC142" s="91"/>
      <c r="AD142" s="91"/>
    </row>
    <row r="143" ht="15.75" customHeight="1" outlineLevel="1">
      <c r="A143" s="170" t="s">
        <v>10535</v>
      </c>
      <c r="B143" s="51" t="s">
        <v>26</v>
      </c>
      <c r="C143" s="51" t="s">
        <v>27</v>
      </c>
      <c r="D143" s="52" t="s">
        <v>4</v>
      </c>
      <c r="E143" s="53" t="s">
        <v>27</v>
      </c>
      <c r="F143" s="52" t="s">
        <v>4</v>
      </c>
      <c r="G143" s="52" t="s">
        <v>61</v>
      </c>
      <c r="H143" s="176" t="s">
        <v>607</v>
      </c>
      <c r="I143" s="175" t="s">
        <v>55</v>
      </c>
      <c r="J143" s="176" t="s">
        <v>3247</v>
      </c>
      <c r="K143" s="221" t="s">
        <v>33</v>
      </c>
      <c r="L143" s="176" t="s">
        <v>3388</v>
      </c>
      <c r="M143" s="52" t="s">
        <v>46</v>
      </c>
      <c r="N143" s="54" t="s">
        <v>10496</v>
      </c>
      <c r="O143" s="55" t="str">
        <f t="shared" si="4"/>
        <v>L1.00.00.11.10.02</v>
      </c>
      <c r="P143" s="55" t="str">
        <f t="shared" si="5"/>
        <v>L1.00.00.11.10.02.07</v>
      </c>
      <c r="Q143" s="160" t="s">
        <v>10530</v>
      </c>
      <c r="R143" s="169" t="str">
        <f t="shared" si="6"/>
        <v>[QLTS] Nhóm Phân tích &amp; Thiết kế</v>
      </c>
      <c r="S143" s="97" t="s">
        <v>10749</v>
      </c>
      <c r="T143" s="96" t="s">
        <v>3389</v>
      </c>
      <c r="U143" s="96" t="s">
        <v>453</v>
      </c>
      <c r="V143" s="96" t="s">
        <v>607</v>
      </c>
      <c r="W143" s="96" t="s">
        <v>3247</v>
      </c>
      <c r="X143" s="96" t="s">
        <v>3388</v>
      </c>
      <c r="Y143" s="96"/>
      <c r="Z143" s="98" t="s">
        <v>10751</v>
      </c>
      <c r="AA143" s="153" t="s">
        <v>10530</v>
      </c>
      <c r="AB143" s="91"/>
      <c r="AC143" s="91"/>
      <c r="AD143" s="91"/>
    </row>
    <row r="144" ht="15.75" customHeight="1" outlineLevel="1">
      <c r="A144" s="170" t="s">
        <v>10535</v>
      </c>
      <c r="B144" s="51" t="s">
        <v>26</v>
      </c>
      <c r="C144" s="51" t="s">
        <v>27</v>
      </c>
      <c r="D144" s="52" t="s">
        <v>4</v>
      </c>
      <c r="E144" s="53" t="s">
        <v>27</v>
      </c>
      <c r="F144" s="52" t="s">
        <v>4</v>
      </c>
      <c r="G144" s="52" t="s">
        <v>61</v>
      </c>
      <c r="H144" s="176" t="s">
        <v>607</v>
      </c>
      <c r="I144" s="177" t="s">
        <v>61</v>
      </c>
      <c r="J144" s="176" t="s">
        <v>608</v>
      </c>
      <c r="K144" s="172" t="s">
        <v>27</v>
      </c>
      <c r="L144" s="218" t="s">
        <v>4</v>
      </c>
      <c r="M144" s="52" t="s">
        <v>46</v>
      </c>
      <c r="N144" s="54" t="s">
        <v>10496</v>
      </c>
      <c r="O144" s="55" t="str">
        <f t="shared" si="4"/>
        <v>L1.00.00.11.11.00</v>
      </c>
      <c r="P144" s="55" t="str">
        <f t="shared" si="5"/>
        <v>L1.00.00.11.11.00.07</v>
      </c>
      <c r="Q144" s="160" t="s">
        <v>10530</v>
      </c>
      <c r="R144" s="169" t="str">
        <f t="shared" si="6"/>
        <v>Sản phẩm MISA SalaGov</v>
      </c>
      <c r="S144" s="97" t="s">
        <v>10517</v>
      </c>
      <c r="T144" s="97" t="s">
        <v>10752</v>
      </c>
      <c r="U144" s="96" t="s">
        <v>453</v>
      </c>
      <c r="V144" s="96" t="s">
        <v>607</v>
      </c>
      <c r="W144" s="96" t="s">
        <v>608</v>
      </c>
      <c r="X144" s="96" t="s">
        <v>606</v>
      </c>
      <c r="Y144" s="96"/>
      <c r="Z144" s="98" t="s">
        <v>10753</v>
      </c>
      <c r="AA144" s="153" t="s">
        <v>10530</v>
      </c>
      <c r="AB144" s="91"/>
      <c r="AC144" s="91"/>
      <c r="AD144" s="91"/>
    </row>
    <row r="145" ht="15.75" customHeight="1" outlineLevel="1">
      <c r="A145" s="170" t="s">
        <v>10535</v>
      </c>
      <c r="B145" s="51" t="s">
        <v>26</v>
      </c>
      <c r="C145" s="51" t="s">
        <v>27</v>
      </c>
      <c r="D145" s="52" t="s">
        <v>4</v>
      </c>
      <c r="E145" s="53" t="s">
        <v>27</v>
      </c>
      <c r="F145" s="52" t="s">
        <v>4</v>
      </c>
      <c r="G145" s="52" t="s">
        <v>61</v>
      </c>
      <c r="H145" s="176" t="s">
        <v>607</v>
      </c>
      <c r="I145" s="177" t="s">
        <v>61</v>
      </c>
      <c r="J145" s="176" t="s">
        <v>608</v>
      </c>
      <c r="K145" s="221" t="s">
        <v>29</v>
      </c>
      <c r="L145" s="176" t="s">
        <v>606</v>
      </c>
      <c r="M145" s="52" t="s">
        <v>46</v>
      </c>
      <c r="N145" s="54" t="s">
        <v>10496</v>
      </c>
      <c r="O145" s="55" t="str">
        <f t="shared" si="4"/>
        <v>L1.00.00.11.11.01</v>
      </c>
      <c r="P145" s="55" t="str">
        <f t="shared" si="5"/>
        <v>L1.00.00.11.11.01.07</v>
      </c>
      <c r="Q145" s="160" t="s">
        <v>10530</v>
      </c>
      <c r="R145" s="169" t="str">
        <f t="shared" si="6"/>
        <v>Dự án MISA SalaGov</v>
      </c>
      <c r="S145" s="97" t="s">
        <v>10754</v>
      </c>
      <c r="T145" s="96" t="s">
        <v>609</v>
      </c>
      <c r="U145" s="96" t="s">
        <v>453</v>
      </c>
      <c r="V145" s="96" t="s">
        <v>607</v>
      </c>
      <c r="W145" s="96" t="s">
        <v>608</v>
      </c>
      <c r="X145" s="96" t="s">
        <v>606</v>
      </c>
      <c r="Y145" s="96"/>
      <c r="Z145" s="98" t="s">
        <v>10755</v>
      </c>
      <c r="AA145" s="153" t="s">
        <v>10530</v>
      </c>
      <c r="AB145" s="91"/>
      <c r="AC145" s="91"/>
      <c r="AD145" s="91"/>
    </row>
    <row r="146" ht="15.75" customHeight="1" outlineLevel="1">
      <c r="A146" s="177" t="s">
        <v>10535</v>
      </c>
      <c r="B146" s="221" t="s">
        <v>26</v>
      </c>
      <c r="C146" s="221" t="s">
        <v>27</v>
      </c>
      <c r="D146" s="172" t="s">
        <v>4</v>
      </c>
      <c r="E146" s="222" t="s">
        <v>27</v>
      </c>
      <c r="F146" s="172" t="s">
        <v>4</v>
      </c>
      <c r="G146" s="172" t="s">
        <v>61</v>
      </c>
      <c r="H146" s="176" t="s">
        <v>607</v>
      </c>
      <c r="I146" s="177" t="s">
        <v>61</v>
      </c>
      <c r="J146" s="176" t="s">
        <v>608</v>
      </c>
      <c r="K146" s="221" t="s">
        <v>33</v>
      </c>
      <c r="L146" s="176" t="s">
        <v>3425</v>
      </c>
      <c r="M146" s="172" t="s">
        <v>46</v>
      </c>
      <c r="N146" s="171" t="s">
        <v>10496</v>
      </c>
      <c r="O146" s="55" t="str">
        <f t="shared" si="4"/>
        <v>L1.00.00.11.11.02</v>
      </c>
      <c r="P146" s="173" t="str">
        <f t="shared" si="5"/>
        <v>L1.00.00.11.11.02.07</v>
      </c>
      <c r="Q146" s="160" t="s">
        <v>10530</v>
      </c>
      <c r="R146" s="223" t="str">
        <f t="shared" si="6"/>
        <v>[SalaGov] Nhóm Phân tích &amp; Thiết kế</v>
      </c>
      <c r="S146" s="224" t="s">
        <v>10754</v>
      </c>
      <c r="T146" s="176" t="s">
        <v>3426</v>
      </c>
      <c r="U146" s="176" t="s">
        <v>453</v>
      </c>
      <c r="V146" s="176" t="s">
        <v>607</v>
      </c>
      <c r="W146" s="176" t="s">
        <v>608</v>
      </c>
      <c r="X146" s="176" t="s">
        <v>3425</v>
      </c>
      <c r="Y146" s="176"/>
      <c r="Z146" s="225" t="s">
        <v>10756</v>
      </c>
      <c r="AA146" s="153" t="s">
        <v>10530</v>
      </c>
      <c r="AB146" s="226"/>
      <c r="AC146" s="226"/>
      <c r="AD146" s="226"/>
    </row>
    <row r="147" ht="15.75" customHeight="1" outlineLevel="1">
      <c r="A147" s="170" t="s">
        <v>10535</v>
      </c>
      <c r="B147" s="51" t="s">
        <v>26</v>
      </c>
      <c r="C147" s="51" t="s">
        <v>27</v>
      </c>
      <c r="D147" s="52" t="s">
        <v>4</v>
      </c>
      <c r="E147" s="53" t="s">
        <v>27</v>
      </c>
      <c r="F147" s="52" t="s">
        <v>4</v>
      </c>
      <c r="G147" s="52" t="s">
        <v>61</v>
      </c>
      <c r="H147" s="176" t="s">
        <v>607</v>
      </c>
      <c r="I147" s="177" t="s">
        <v>64</v>
      </c>
      <c r="J147" s="176" t="s">
        <v>5207</v>
      </c>
      <c r="K147" s="172" t="s">
        <v>27</v>
      </c>
      <c r="L147" s="174" t="s">
        <v>4</v>
      </c>
      <c r="M147" s="52" t="s">
        <v>46</v>
      </c>
      <c r="N147" s="54" t="s">
        <v>10496</v>
      </c>
      <c r="O147" s="55" t="str">
        <f t="shared" si="4"/>
        <v>L1.00.00.11.12.00</v>
      </c>
      <c r="P147" s="55" t="str">
        <f t="shared" si="5"/>
        <v>L1.00.00.11.12.00.07</v>
      </c>
      <c r="Q147" s="160" t="s">
        <v>10530</v>
      </c>
      <c r="R147" s="169" t="str">
        <f t="shared" si="6"/>
        <v>Nhóm chuyên gia Khối SP HCSN</v>
      </c>
      <c r="S147" s="97" t="s">
        <v>10517</v>
      </c>
      <c r="T147" s="96" t="s">
        <v>5208</v>
      </c>
      <c r="U147" s="96" t="s">
        <v>453</v>
      </c>
      <c r="V147" s="96" t="s">
        <v>607</v>
      </c>
      <c r="W147" s="96" t="s">
        <v>5207</v>
      </c>
      <c r="X147" s="96"/>
      <c r="Y147" s="96"/>
      <c r="Z147" s="98" t="s">
        <v>10757</v>
      </c>
      <c r="AA147" s="153" t="s">
        <v>10530</v>
      </c>
      <c r="AB147" s="91"/>
      <c r="AC147" s="91"/>
      <c r="AD147" s="91"/>
    </row>
    <row r="148" ht="15.75" customHeight="1" outlineLevel="1">
      <c r="A148" s="170" t="s">
        <v>10535</v>
      </c>
      <c r="B148" s="51" t="s">
        <v>26</v>
      </c>
      <c r="C148" s="51" t="s">
        <v>27</v>
      </c>
      <c r="D148" s="52" t="s">
        <v>4</v>
      </c>
      <c r="E148" s="53" t="s">
        <v>27</v>
      </c>
      <c r="F148" s="52" t="s">
        <v>4</v>
      </c>
      <c r="G148" s="52" t="s">
        <v>61</v>
      </c>
      <c r="H148" s="176" t="s">
        <v>607</v>
      </c>
      <c r="I148" s="177" t="s">
        <v>67</v>
      </c>
      <c r="J148" s="176" t="s">
        <v>6890</v>
      </c>
      <c r="K148" s="172" t="s">
        <v>27</v>
      </c>
      <c r="L148" s="194" t="s">
        <v>4</v>
      </c>
      <c r="M148" s="52" t="s">
        <v>46</v>
      </c>
      <c r="N148" s="54" t="s">
        <v>10496</v>
      </c>
      <c r="O148" s="55" t="str">
        <f t="shared" si="4"/>
        <v>L1.00.00.11.13.00</v>
      </c>
      <c r="P148" s="55" t="str">
        <f t="shared" si="5"/>
        <v>L1.00.00.11.13.00.07</v>
      </c>
      <c r="Q148" s="160" t="s">
        <v>10530</v>
      </c>
      <c r="R148" s="169" t="str">
        <f t="shared" si="6"/>
        <v>Sản phẩm MISA Panda Online</v>
      </c>
      <c r="S148" s="97" t="s">
        <v>10517</v>
      </c>
      <c r="T148" s="97" t="s">
        <v>10758</v>
      </c>
      <c r="U148" s="96" t="s">
        <v>453</v>
      </c>
      <c r="V148" s="96" t="s">
        <v>607</v>
      </c>
      <c r="W148" s="96" t="s">
        <v>6890</v>
      </c>
      <c r="X148" s="96" t="s">
        <v>6889</v>
      </c>
      <c r="Y148" s="96"/>
      <c r="Z148" s="98" t="s">
        <v>10759</v>
      </c>
      <c r="AA148" s="153" t="s">
        <v>10530</v>
      </c>
      <c r="AB148" s="91"/>
      <c r="AC148" s="91"/>
      <c r="AD148" s="91"/>
    </row>
    <row r="149" ht="15.75" customHeight="1" outlineLevel="1">
      <c r="A149" s="170" t="s">
        <v>10535</v>
      </c>
      <c r="B149" s="51" t="s">
        <v>26</v>
      </c>
      <c r="C149" s="51" t="s">
        <v>27</v>
      </c>
      <c r="D149" s="52" t="s">
        <v>4</v>
      </c>
      <c r="E149" s="53" t="s">
        <v>27</v>
      </c>
      <c r="F149" s="52" t="s">
        <v>4</v>
      </c>
      <c r="G149" s="52" t="s">
        <v>61</v>
      </c>
      <c r="H149" s="176" t="s">
        <v>607</v>
      </c>
      <c r="I149" s="177" t="s">
        <v>67</v>
      </c>
      <c r="J149" s="176" t="s">
        <v>6890</v>
      </c>
      <c r="K149" s="221" t="s">
        <v>29</v>
      </c>
      <c r="L149" s="176" t="s">
        <v>6889</v>
      </c>
      <c r="M149" s="52" t="s">
        <v>46</v>
      </c>
      <c r="N149" s="54" t="s">
        <v>10496</v>
      </c>
      <c r="O149" s="55" t="str">
        <f t="shared" si="4"/>
        <v>L1.00.00.11.13.01</v>
      </c>
      <c r="P149" s="55" t="str">
        <f t="shared" si="5"/>
        <v>L1.00.00.11.13.01.07</v>
      </c>
      <c r="Q149" s="160" t="s">
        <v>10530</v>
      </c>
      <c r="R149" s="169" t="str">
        <f t="shared" si="6"/>
        <v>[MISA Panda Online] Nhóm Phân tích &amp; Thiết kế</v>
      </c>
      <c r="S149" s="227" t="s">
        <v>10760</v>
      </c>
      <c r="T149" s="96" t="s">
        <v>6891</v>
      </c>
      <c r="U149" s="96" t="s">
        <v>453</v>
      </c>
      <c r="V149" s="96" t="s">
        <v>607</v>
      </c>
      <c r="W149" s="96" t="s">
        <v>6890</v>
      </c>
      <c r="X149" s="96" t="s">
        <v>6889</v>
      </c>
      <c r="Y149" s="96"/>
      <c r="Z149" s="98" t="s">
        <v>10761</v>
      </c>
      <c r="AA149" s="153" t="s">
        <v>10530</v>
      </c>
      <c r="AB149" s="91"/>
      <c r="AC149" s="91"/>
      <c r="AD149" s="91"/>
    </row>
    <row r="150" ht="15.75" customHeight="1" outlineLevel="1">
      <c r="A150" s="178" t="s">
        <v>10535</v>
      </c>
      <c r="B150" s="180" t="s">
        <v>26</v>
      </c>
      <c r="C150" s="180" t="s">
        <v>27</v>
      </c>
      <c r="D150" s="64" t="s">
        <v>4</v>
      </c>
      <c r="E150" s="71" t="s">
        <v>27</v>
      </c>
      <c r="F150" s="64" t="s">
        <v>4</v>
      </c>
      <c r="G150" s="64" t="s">
        <v>61</v>
      </c>
      <c r="H150" s="183" t="s">
        <v>607</v>
      </c>
      <c r="I150" s="228">
        <v>14.0</v>
      </c>
      <c r="J150" s="184" t="s">
        <v>10762</v>
      </c>
      <c r="K150" s="182" t="s">
        <v>27</v>
      </c>
      <c r="L150" s="184" t="s">
        <v>4</v>
      </c>
      <c r="M150" s="64" t="s">
        <v>46</v>
      </c>
      <c r="N150" s="70" t="s">
        <v>10496</v>
      </c>
      <c r="O150" s="58" t="str">
        <f t="shared" si="4"/>
        <v>L1.00.00.11.14.00</v>
      </c>
      <c r="P150" s="58" t="str">
        <f t="shared" si="5"/>
        <v>L1.00.00.11.14.00.07</v>
      </c>
      <c r="Q150" s="185" t="s">
        <v>10530</v>
      </c>
      <c r="R150" s="186" t="str">
        <f t="shared" si="6"/>
        <v>Sản phẩm HCSN Mobile</v>
      </c>
      <c r="S150" s="229" t="s">
        <v>10517</v>
      </c>
      <c r="T150" s="187" t="s">
        <v>10763</v>
      </c>
      <c r="U150" s="189" t="s">
        <v>453</v>
      </c>
      <c r="V150" s="189" t="s">
        <v>607</v>
      </c>
      <c r="W150" s="184" t="s">
        <v>10762</v>
      </c>
      <c r="X150" s="189"/>
      <c r="Y150" s="189"/>
      <c r="Z150" s="191" t="s">
        <v>10764</v>
      </c>
      <c r="AA150" s="192" t="s">
        <v>10530</v>
      </c>
      <c r="AB150" s="193"/>
      <c r="AC150" s="563" t="s">
        <v>11606</v>
      </c>
      <c r="AD150" s="193"/>
    </row>
    <row r="151" ht="15.75" customHeight="1" outlineLevel="1">
      <c r="A151" s="170" t="s">
        <v>10535</v>
      </c>
      <c r="B151" s="51" t="s">
        <v>26</v>
      </c>
      <c r="C151" s="51" t="s">
        <v>27</v>
      </c>
      <c r="D151" s="52" t="s">
        <v>4</v>
      </c>
      <c r="E151" s="53" t="s">
        <v>27</v>
      </c>
      <c r="F151" s="52" t="s">
        <v>4</v>
      </c>
      <c r="G151" s="52" t="s">
        <v>64</v>
      </c>
      <c r="H151" s="230" t="s">
        <v>10765</v>
      </c>
      <c r="I151" s="175" t="s">
        <v>27</v>
      </c>
      <c r="J151" s="195" t="s">
        <v>4</v>
      </c>
      <c r="K151" s="172" t="s">
        <v>27</v>
      </c>
      <c r="L151" s="174" t="s">
        <v>4</v>
      </c>
      <c r="M151" s="52" t="s">
        <v>46</v>
      </c>
      <c r="N151" s="54" t="s">
        <v>10496</v>
      </c>
      <c r="O151" s="55" t="str">
        <f t="shared" si="4"/>
        <v>L1.00.00.12.00.00</v>
      </c>
      <c r="P151" s="55" t="str">
        <f t="shared" si="5"/>
        <v>L1.00.00.12.00.00.07</v>
      </c>
      <c r="Q151" s="160" t="s">
        <v>10530</v>
      </c>
      <c r="R151" s="169" t="str">
        <f t="shared" si="6"/>
        <v>Khối sản phẩm Bán lẻ</v>
      </c>
      <c r="S151" s="97" t="s">
        <v>10536</v>
      </c>
      <c r="T151" s="97" t="s">
        <v>10766</v>
      </c>
      <c r="U151" s="96" t="s">
        <v>453</v>
      </c>
      <c r="V151" s="96" t="s">
        <v>566</v>
      </c>
      <c r="W151" s="96"/>
      <c r="X151" s="96"/>
      <c r="Y151" s="96"/>
      <c r="Z151" s="98" t="s">
        <v>10767</v>
      </c>
      <c r="AA151" s="153" t="s">
        <v>10530</v>
      </c>
      <c r="AB151" s="91"/>
      <c r="AC151" s="91"/>
      <c r="AD151" s="91"/>
    </row>
    <row r="152" ht="15.75" customHeight="1" outlineLevel="1">
      <c r="A152" s="170" t="s">
        <v>10535</v>
      </c>
      <c r="B152" s="51" t="s">
        <v>26</v>
      </c>
      <c r="C152" s="51" t="s">
        <v>27</v>
      </c>
      <c r="D152" s="52" t="s">
        <v>4</v>
      </c>
      <c r="E152" s="53" t="s">
        <v>27</v>
      </c>
      <c r="F152" s="52" t="s">
        <v>4</v>
      </c>
      <c r="G152" s="52" t="s">
        <v>64</v>
      </c>
      <c r="H152" s="230" t="s">
        <v>10765</v>
      </c>
      <c r="I152" s="172" t="s">
        <v>29</v>
      </c>
      <c r="J152" s="173" t="s">
        <v>66</v>
      </c>
      <c r="K152" s="172" t="s">
        <v>27</v>
      </c>
      <c r="L152" s="174" t="s">
        <v>4</v>
      </c>
      <c r="M152" s="52" t="s">
        <v>46</v>
      </c>
      <c r="N152" s="54" t="s">
        <v>10496</v>
      </c>
      <c r="O152" s="55" t="str">
        <f t="shared" si="4"/>
        <v>L1.00.00.12.01.00</v>
      </c>
      <c r="P152" s="55" t="str">
        <f t="shared" si="5"/>
        <v>L1.00.00.12.01.00.07</v>
      </c>
      <c r="Q152" s="160" t="s">
        <v>10530</v>
      </c>
      <c r="R152" s="169" t="str">
        <f t="shared" si="6"/>
        <v>Ban giám đốc Khối SP Bán lẻ</v>
      </c>
      <c r="S152" s="227" t="s">
        <v>10768</v>
      </c>
      <c r="T152" s="96" t="s">
        <v>10335</v>
      </c>
      <c r="U152" s="96" t="s">
        <v>453</v>
      </c>
      <c r="V152" s="96" t="s">
        <v>566</v>
      </c>
      <c r="W152" s="96" t="s">
        <v>10334</v>
      </c>
      <c r="X152" s="96"/>
      <c r="Y152" s="96"/>
      <c r="Z152" s="98" t="s">
        <v>10769</v>
      </c>
      <c r="AA152" s="153" t="s">
        <v>10530</v>
      </c>
      <c r="AB152" s="91"/>
      <c r="AC152" s="91"/>
      <c r="AD152" s="91"/>
    </row>
    <row r="153" ht="15.75" customHeight="1" outlineLevel="1">
      <c r="A153" s="170" t="s">
        <v>10535</v>
      </c>
      <c r="B153" s="51" t="s">
        <v>26</v>
      </c>
      <c r="C153" s="51" t="s">
        <v>27</v>
      </c>
      <c r="D153" s="52" t="s">
        <v>4</v>
      </c>
      <c r="E153" s="53" t="s">
        <v>27</v>
      </c>
      <c r="F153" s="52" t="s">
        <v>4</v>
      </c>
      <c r="G153" s="52" t="s">
        <v>64</v>
      </c>
      <c r="H153" s="230" t="s">
        <v>10765</v>
      </c>
      <c r="I153" s="172" t="s">
        <v>33</v>
      </c>
      <c r="J153" s="176" t="s">
        <v>2888</v>
      </c>
      <c r="K153" s="172" t="s">
        <v>27</v>
      </c>
      <c r="L153" s="194" t="s">
        <v>4</v>
      </c>
      <c r="M153" s="52" t="s">
        <v>46</v>
      </c>
      <c r="N153" s="54" t="s">
        <v>10496</v>
      </c>
      <c r="O153" s="55" t="str">
        <f t="shared" si="4"/>
        <v>L1.00.00.12.02.00</v>
      </c>
      <c r="P153" s="55" t="str">
        <f t="shared" si="5"/>
        <v>L1.00.00.12.02.00.07</v>
      </c>
      <c r="Q153" s="160" t="s">
        <v>10530</v>
      </c>
      <c r="R153" s="169" t="str">
        <f t="shared" si="6"/>
        <v>Sản phẩm CukCuk (TTVN)</v>
      </c>
      <c r="S153" s="227" t="s">
        <v>10768</v>
      </c>
      <c r="T153" s="97" t="s">
        <v>10770</v>
      </c>
      <c r="U153" s="96" t="s">
        <v>453</v>
      </c>
      <c r="V153" s="96" t="s">
        <v>566</v>
      </c>
      <c r="W153" s="96" t="s">
        <v>2888</v>
      </c>
      <c r="X153" s="96"/>
      <c r="Y153" s="96"/>
      <c r="Z153" s="98" t="s">
        <v>10771</v>
      </c>
      <c r="AA153" s="153" t="s">
        <v>10530</v>
      </c>
      <c r="AB153" s="91"/>
      <c r="AC153" s="91"/>
      <c r="AD153" s="91"/>
    </row>
    <row r="154" ht="15.75" customHeight="1" outlineLevel="1">
      <c r="A154" s="170" t="s">
        <v>10535</v>
      </c>
      <c r="B154" s="51" t="s">
        <v>26</v>
      </c>
      <c r="C154" s="51" t="s">
        <v>27</v>
      </c>
      <c r="D154" s="52" t="s">
        <v>4</v>
      </c>
      <c r="E154" s="53" t="s">
        <v>27</v>
      </c>
      <c r="F154" s="52" t="s">
        <v>4</v>
      </c>
      <c r="G154" s="52" t="s">
        <v>64</v>
      </c>
      <c r="H154" s="230" t="s">
        <v>10765</v>
      </c>
      <c r="I154" s="172" t="s">
        <v>33</v>
      </c>
      <c r="J154" s="176" t="s">
        <v>2888</v>
      </c>
      <c r="K154" s="221" t="s">
        <v>29</v>
      </c>
      <c r="L154" s="176" t="s">
        <v>2893</v>
      </c>
      <c r="M154" s="52" t="s">
        <v>46</v>
      </c>
      <c r="N154" s="54" t="s">
        <v>10496</v>
      </c>
      <c r="O154" s="55" t="str">
        <f t="shared" si="4"/>
        <v>L1.00.00.12.02.01</v>
      </c>
      <c r="P154" s="55" t="str">
        <f t="shared" si="5"/>
        <v>L1.00.00.12.02.01.07</v>
      </c>
      <c r="Q154" s="160" t="s">
        <v>10530</v>
      </c>
      <c r="R154" s="169" t="str">
        <f t="shared" si="6"/>
        <v>Dự án Cukcuk W&amp;D (TTVN)</v>
      </c>
      <c r="S154" s="227" t="s">
        <v>10772</v>
      </c>
      <c r="T154" s="96" t="s">
        <v>2894</v>
      </c>
      <c r="U154" s="96" t="s">
        <v>453</v>
      </c>
      <c r="V154" s="96" t="s">
        <v>566</v>
      </c>
      <c r="W154" s="96" t="s">
        <v>2888</v>
      </c>
      <c r="X154" s="96" t="s">
        <v>2893</v>
      </c>
      <c r="Y154" s="96"/>
      <c r="Z154" s="98" t="s">
        <v>10773</v>
      </c>
      <c r="AA154" s="153" t="s">
        <v>10530</v>
      </c>
      <c r="AB154" s="91"/>
      <c r="AC154" s="91"/>
      <c r="AD154" s="91"/>
    </row>
    <row r="155" ht="15.75" customHeight="1" outlineLevel="1">
      <c r="A155" s="170" t="s">
        <v>10535</v>
      </c>
      <c r="B155" s="51" t="s">
        <v>26</v>
      </c>
      <c r="C155" s="51" t="s">
        <v>27</v>
      </c>
      <c r="D155" s="52" t="s">
        <v>4</v>
      </c>
      <c r="E155" s="53" t="s">
        <v>27</v>
      </c>
      <c r="F155" s="52" t="s">
        <v>4</v>
      </c>
      <c r="G155" s="52" t="s">
        <v>64</v>
      </c>
      <c r="H155" s="230" t="s">
        <v>10765</v>
      </c>
      <c r="I155" s="172" t="s">
        <v>33</v>
      </c>
      <c r="J155" s="176" t="s">
        <v>2888</v>
      </c>
      <c r="K155" s="221" t="s">
        <v>33</v>
      </c>
      <c r="L155" s="176" t="s">
        <v>4466</v>
      </c>
      <c r="M155" s="52" t="s">
        <v>46</v>
      </c>
      <c r="N155" s="54" t="s">
        <v>10496</v>
      </c>
      <c r="O155" s="55" t="str">
        <f t="shared" si="4"/>
        <v>L1.00.00.12.02.02</v>
      </c>
      <c r="P155" s="55" t="str">
        <f t="shared" si="5"/>
        <v>L1.00.00.12.02.02.07</v>
      </c>
      <c r="Q155" s="160" t="s">
        <v>10530</v>
      </c>
      <c r="R155" s="169" t="str">
        <f t="shared" si="6"/>
        <v>Dự án CukCuk Mobile TTVN</v>
      </c>
      <c r="S155" s="227" t="s">
        <v>10772</v>
      </c>
      <c r="T155" s="96" t="s">
        <v>4467</v>
      </c>
      <c r="U155" s="96" t="s">
        <v>453</v>
      </c>
      <c r="V155" s="96" t="s">
        <v>566</v>
      </c>
      <c r="W155" s="96" t="s">
        <v>2888</v>
      </c>
      <c r="X155" s="96" t="s">
        <v>4466</v>
      </c>
      <c r="Y155" s="96"/>
      <c r="Z155" s="98" t="s">
        <v>10774</v>
      </c>
      <c r="AA155" s="153" t="s">
        <v>10530</v>
      </c>
      <c r="AB155" s="91"/>
      <c r="AC155" s="91"/>
      <c r="AD155" s="91"/>
    </row>
    <row r="156" ht="15.75" customHeight="1" outlineLevel="1">
      <c r="A156" s="170" t="s">
        <v>10535</v>
      </c>
      <c r="B156" s="51" t="s">
        <v>26</v>
      </c>
      <c r="C156" s="51" t="s">
        <v>27</v>
      </c>
      <c r="D156" s="52" t="s">
        <v>4</v>
      </c>
      <c r="E156" s="53" t="s">
        <v>27</v>
      </c>
      <c r="F156" s="52" t="s">
        <v>4</v>
      </c>
      <c r="G156" s="52" t="s">
        <v>64</v>
      </c>
      <c r="H156" s="230" t="s">
        <v>10765</v>
      </c>
      <c r="I156" s="172" t="s">
        <v>33</v>
      </c>
      <c r="J156" s="176" t="s">
        <v>2888</v>
      </c>
      <c r="K156" s="221" t="s">
        <v>35</v>
      </c>
      <c r="L156" s="176" t="s">
        <v>2887</v>
      </c>
      <c r="M156" s="52" t="s">
        <v>46</v>
      </c>
      <c r="N156" s="54" t="s">
        <v>10496</v>
      </c>
      <c r="O156" s="55" t="str">
        <f t="shared" si="4"/>
        <v>L1.00.00.12.02.03</v>
      </c>
      <c r="P156" s="55" t="str">
        <f t="shared" si="5"/>
        <v>L1.00.00.12.02.03.07</v>
      </c>
      <c r="Q156" s="160" t="s">
        <v>10530</v>
      </c>
      <c r="R156" s="169" t="str">
        <f t="shared" si="6"/>
        <v>[Cukcuk TTVN] Nhóm Phân tích &amp; Thiết kế</v>
      </c>
      <c r="S156" s="227" t="s">
        <v>10772</v>
      </c>
      <c r="T156" s="96" t="s">
        <v>2889</v>
      </c>
      <c r="U156" s="96" t="s">
        <v>453</v>
      </c>
      <c r="V156" s="96" t="s">
        <v>566</v>
      </c>
      <c r="W156" s="96" t="s">
        <v>2888</v>
      </c>
      <c r="X156" s="96" t="s">
        <v>2887</v>
      </c>
      <c r="Y156" s="96"/>
      <c r="Z156" s="98" t="s">
        <v>10775</v>
      </c>
      <c r="AA156" s="153" t="s">
        <v>10530</v>
      </c>
      <c r="AB156" s="91"/>
      <c r="AC156" s="91"/>
      <c r="AD156" s="91"/>
    </row>
    <row r="157" ht="15.75" customHeight="1" outlineLevel="1">
      <c r="A157" s="170" t="s">
        <v>10535</v>
      </c>
      <c r="B157" s="51" t="s">
        <v>26</v>
      </c>
      <c r="C157" s="51" t="s">
        <v>27</v>
      </c>
      <c r="D157" s="52" t="s">
        <v>4</v>
      </c>
      <c r="E157" s="53" t="s">
        <v>27</v>
      </c>
      <c r="F157" s="52" t="s">
        <v>4</v>
      </c>
      <c r="G157" s="52" t="s">
        <v>64</v>
      </c>
      <c r="H157" s="230" t="s">
        <v>10765</v>
      </c>
      <c r="I157" s="221" t="s">
        <v>35</v>
      </c>
      <c r="J157" s="176" t="s">
        <v>567</v>
      </c>
      <c r="K157" s="172" t="s">
        <v>27</v>
      </c>
      <c r="L157" s="194" t="s">
        <v>4</v>
      </c>
      <c r="M157" s="52" t="s">
        <v>46</v>
      </c>
      <c r="N157" s="54" t="s">
        <v>10496</v>
      </c>
      <c r="O157" s="55" t="str">
        <f t="shared" si="4"/>
        <v>L1.00.00.12.03.00</v>
      </c>
      <c r="P157" s="55" t="str">
        <f t="shared" si="5"/>
        <v>L1.00.00.12.03.00.07</v>
      </c>
      <c r="Q157" s="160" t="s">
        <v>10530</v>
      </c>
      <c r="R157" s="169" t="str">
        <f t="shared" si="6"/>
        <v>Sản phẩm eShop (TTVN)</v>
      </c>
      <c r="S157" s="227" t="s">
        <v>10768</v>
      </c>
      <c r="T157" s="97" t="s">
        <v>10776</v>
      </c>
      <c r="U157" s="96" t="s">
        <v>453</v>
      </c>
      <c r="V157" s="96" t="s">
        <v>566</v>
      </c>
      <c r="W157" s="96" t="s">
        <v>567</v>
      </c>
      <c r="X157" s="96"/>
      <c r="Y157" s="96"/>
      <c r="Z157" s="98" t="s">
        <v>10771</v>
      </c>
      <c r="AA157" s="153" t="s">
        <v>10530</v>
      </c>
      <c r="AB157" s="91"/>
      <c r="AC157" s="91"/>
      <c r="AD157" s="91"/>
    </row>
    <row r="158" ht="15.75" customHeight="1" outlineLevel="1">
      <c r="A158" s="170" t="s">
        <v>10535</v>
      </c>
      <c r="B158" s="51" t="s">
        <v>26</v>
      </c>
      <c r="C158" s="51" t="s">
        <v>27</v>
      </c>
      <c r="D158" s="52" t="s">
        <v>4</v>
      </c>
      <c r="E158" s="53" t="s">
        <v>27</v>
      </c>
      <c r="F158" s="52" t="s">
        <v>4</v>
      </c>
      <c r="G158" s="52" t="s">
        <v>64</v>
      </c>
      <c r="H158" s="230" t="s">
        <v>10765</v>
      </c>
      <c r="I158" s="221" t="s">
        <v>35</v>
      </c>
      <c r="J158" s="176" t="s">
        <v>567</v>
      </c>
      <c r="K158" s="221" t="s">
        <v>29</v>
      </c>
      <c r="L158" s="176" t="s">
        <v>2651</v>
      </c>
      <c r="M158" s="52" t="s">
        <v>46</v>
      </c>
      <c r="N158" s="54" t="s">
        <v>10496</v>
      </c>
      <c r="O158" s="55" t="str">
        <f t="shared" si="4"/>
        <v>L1.00.00.12.03.01</v>
      </c>
      <c r="P158" s="55" t="str">
        <f t="shared" si="5"/>
        <v>L1.00.00.12.03.01.07</v>
      </c>
      <c r="Q158" s="160" t="s">
        <v>10530</v>
      </c>
      <c r="R158" s="169" t="str">
        <f t="shared" si="6"/>
        <v>Dự án Quản lý cửa hàng thời trang (TTVN)</v>
      </c>
      <c r="S158" s="227" t="s">
        <v>10777</v>
      </c>
      <c r="T158" s="96" t="s">
        <v>2652</v>
      </c>
      <c r="U158" s="96" t="s">
        <v>453</v>
      </c>
      <c r="V158" s="96" t="s">
        <v>566</v>
      </c>
      <c r="W158" s="96" t="s">
        <v>567</v>
      </c>
      <c r="X158" s="96" t="s">
        <v>2651</v>
      </c>
      <c r="Y158" s="96"/>
      <c r="Z158" s="98" t="s">
        <v>10778</v>
      </c>
      <c r="AA158" s="153" t="s">
        <v>10530</v>
      </c>
      <c r="AB158" s="91"/>
      <c r="AC158" s="91"/>
      <c r="AD158" s="91"/>
    </row>
    <row r="159" ht="15.75" customHeight="1" outlineLevel="1">
      <c r="A159" s="170" t="s">
        <v>10535</v>
      </c>
      <c r="B159" s="51" t="s">
        <v>26</v>
      </c>
      <c r="C159" s="51" t="s">
        <v>27</v>
      </c>
      <c r="D159" s="52" t="s">
        <v>4</v>
      </c>
      <c r="E159" s="53" t="s">
        <v>27</v>
      </c>
      <c r="F159" s="52" t="s">
        <v>4</v>
      </c>
      <c r="G159" s="52" t="s">
        <v>64</v>
      </c>
      <c r="H159" s="230" t="s">
        <v>10765</v>
      </c>
      <c r="I159" s="221" t="s">
        <v>35</v>
      </c>
      <c r="J159" s="176" t="s">
        <v>567</v>
      </c>
      <c r="K159" s="221" t="s">
        <v>33</v>
      </c>
      <c r="L159" s="176" t="s">
        <v>10075</v>
      </c>
      <c r="M159" s="52" t="s">
        <v>46</v>
      </c>
      <c r="N159" s="54" t="s">
        <v>10496</v>
      </c>
      <c r="O159" s="55" t="str">
        <f t="shared" si="4"/>
        <v>L1.00.00.12.03.02</v>
      </c>
      <c r="P159" s="55" t="str">
        <f t="shared" si="5"/>
        <v>L1.00.00.12.03.02.07</v>
      </c>
      <c r="Q159" s="160" t="s">
        <v>10530</v>
      </c>
      <c r="R159" s="169" t="str">
        <f t="shared" si="6"/>
        <v>Dự án Quản lý cửa hàng Mobile (TTVN)</v>
      </c>
      <c r="S159" s="227" t="s">
        <v>10777</v>
      </c>
      <c r="T159" s="96" t="s">
        <v>10076</v>
      </c>
      <c r="U159" s="96" t="s">
        <v>453</v>
      </c>
      <c r="V159" s="96" t="s">
        <v>566</v>
      </c>
      <c r="W159" s="96" t="s">
        <v>567</v>
      </c>
      <c r="X159" s="96" t="s">
        <v>10075</v>
      </c>
      <c r="Y159" s="96"/>
      <c r="Z159" s="98" t="s">
        <v>10779</v>
      </c>
      <c r="AA159" s="153" t="s">
        <v>10530</v>
      </c>
      <c r="AB159" s="91"/>
      <c r="AC159" s="91"/>
      <c r="AD159" s="91"/>
    </row>
    <row r="160" ht="15.75" customHeight="1" outlineLevel="1">
      <c r="A160" s="170" t="s">
        <v>10535</v>
      </c>
      <c r="B160" s="51" t="s">
        <v>26</v>
      </c>
      <c r="C160" s="51" t="s">
        <v>27</v>
      </c>
      <c r="D160" s="52" t="s">
        <v>4</v>
      </c>
      <c r="E160" s="53" t="s">
        <v>27</v>
      </c>
      <c r="F160" s="52" t="s">
        <v>4</v>
      </c>
      <c r="G160" s="52" t="s">
        <v>64</v>
      </c>
      <c r="H160" s="230" t="s">
        <v>10765</v>
      </c>
      <c r="I160" s="221" t="s">
        <v>35</v>
      </c>
      <c r="J160" s="176" t="s">
        <v>567</v>
      </c>
      <c r="K160" s="221" t="s">
        <v>35</v>
      </c>
      <c r="L160" s="176" t="s">
        <v>565</v>
      </c>
      <c r="M160" s="52" t="s">
        <v>46</v>
      </c>
      <c r="N160" s="54" t="s">
        <v>10496</v>
      </c>
      <c r="O160" s="55" t="str">
        <f t="shared" si="4"/>
        <v>L1.00.00.12.03.03</v>
      </c>
      <c r="P160" s="55" t="str">
        <f t="shared" si="5"/>
        <v>L1.00.00.12.03.03.07</v>
      </c>
      <c r="Q160" s="160" t="s">
        <v>10530</v>
      </c>
      <c r="R160" s="169" t="str">
        <f t="shared" si="6"/>
        <v>[eShop TTVN] Nhóm Phân tích &amp; Thiết kế</v>
      </c>
      <c r="S160" s="227" t="s">
        <v>10777</v>
      </c>
      <c r="T160" s="96" t="s">
        <v>568</v>
      </c>
      <c r="U160" s="96" t="s">
        <v>453</v>
      </c>
      <c r="V160" s="96" t="s">
        <v>566</v>
      </c>
      <c r="W160" s="96" t="s">
        <v>567</v>
      </c>
      <c r="X160" s="96" t="s">
        <v>565</v>
      </c>
      <c r="Y160" s="96"/>
      <c r="Z160" s="98" t="s">
        <v>10780</v>
      </c>
      <c r="AA160" s="153" t="s">
        <v>10530</v>
      </c>
      <c r="AB160" s="91"/>
      <c r="AC160" s="91"/>
      <c r="AD160" s="91"/>
    </row>
    <row r="161" ht="15.75" customHeight="1" outlineLevel="1">
      <c r="A161" s="170" t="s">
        <v>10535</v>
      </c>
      <c r="B161" s="51" t="s">
        <v>26</v>
      </c>
      <c r="C161" s="51" t="s">
        <v>27</v>
      </c>
      <c r="D161" s="52" t="s">
        <v>4</v>
      </c>
      <c r="E161" s="53" t="s">
        <v>27</v>
      </c>
      <c r="F161" s="52" t="s">
        <v>4</v>
      </c>
      <c r="G161" s="52" t="s">
        <v>64</v>
      </c>
      <c r="H161" s="230" t="s">
        <v>10765</v>
      </c>
      <c r="I161" s="221" t="s">
        <v>37</v>
      </c>
      <c r="J161" s="176" t="s">
        <v>6383</v>
      </c>
      <c r="K161" s="172" t="s">
        <v>27</v>
      </c>
      <c r="L161" s="218" t="s">
        <v>4</v>
      </c>
      <c r="M161" s="52" t="s">
        <v>46</v>
      </c>
      <c r="N161" s="54" t="s">
        <v>10496</v>
      </c>
      <c r="O161" s="55" t="str">
        <f t="shared" si="4"/>
        <v>L1.00.00.12.04.00</v>
      </c>
      <c r="P161" s="55" t="str">
        <f t="shared" si="5"/>
        <v>L1.00.00.12.04.00.07</v>
      </c>
      <c r="Q161" s="160" t="s">
        <v>10530</v>
      </c>
      <c r="R161" s="169" t="str">
        <f t="shared" si="6"/>
        <v>Sản phẩm AMIS Kế toán (HKD)</v>
      </c>
      <c r="S161" s="227" t="s">
        <v>10768</v>
      </c>
      <c r="T161" s="96" t="s">
        <v>6522</v>
      </c>
      <c r="U161" s="96" t="s">
        <v>453</v>
      </c>
      <c r="V161" s="96" t="s">
        <v>566</v>
      </c>
      <c r="W161" s="96" t="s">
        <v>6383</v>
      </c>
      <c r="X161" s="96"/>
      <c r="Y161" s="96"/>
      <c r="Z161" s="98" t="s">
        <v>10781</v>
      </c>
      <c r="AA161" s="153" t="s">
        <v>10530</v>
      </c>
      <c r="AB161" s="91"/>
      <c r="AC161" s="91"/>
      <c r="AD161" s="91"/>
    </row>
    <row r="162" ht="15.75" customHeight="1" outlineLevel="1">
      <c r="A162" s="170" t="s">
        <v>10535</v>
      </c>
      <c r="B162" s="51" t="s">
        <v>26</v>
      </c>
      <c r="C162" s="51" t="s">
        <v>27</v>
      </c>
      <c r="D162" s="52" t="s">
        <v>4</v>
      </c>
      <c r="E162" s="53" t="s">
        <v>27</v>
      </c>
      <c r="F162" s="52" t="s">
        <v>4</v>
      </c>
      <c r="G162" s="52" t="s">
        <v>64</v>
      </c>
      <c r="H162" s="230" t="s">
        <v>10765</v>
      </c>
      <c r="I162" s="221" t="s">
        <v>37</v>
      </c>
      <c r="J162" s="176" t="s">
        <v>6383</v>
      </c>
      <c r="K162" s="221" t="s">
        <v>29</v>
      </c>
      <c r="L162" s="176" t="s">
        <v>6382</v>
      </c>
      <c r="M162" s="52" t="s">
        <v>46</v>
      </c>
      <c r="N162" s="54" t="s">
        <v>10496</v>
      </c>
      <c r="O162" s="55" t="str">
        <f t="shared" si="4"/>
        <v>L1.00.00.12.04.01</v>
      </c>
      <c r="P162" s="55" t="str">
        <f t="shared" si="5"/>
        <v>L1.00.00.12.04.01.07</v>
      </c>
      <c r="Q162" s="160" t="s">
        <v>10530</v>
      </c>
      <c r="R162" s="169" t="str">
        <f t="shared" si="6"/>
        <v>Dự án AMIS Kế toán (HKD)</v>
      </c>
      <c r="S162" s="227" t="s">
        <v>10782</v>
      </c>
      <c r="T162" s="96" t="s">
        <v>6384</v>
      </c>
      <c r="U162" s="96" t="s">
        <v>453</v>
      </c>
      <c r="V162" s="96" t="s">
        <v>566</v>
      </c>
      <c r="W162" s="96" t="s">
        <v>6383</v>
      </c>
      <c r="X162" s="96" t="s">
        <v>6382</v>
      </c>
      <c r="Y162" s="96"/>
      <c r="Z162" s="98" t="s">
        <v>10783</v>
      </c>
      <c r="AA162" s="153" t="s">
        <v>10530</v>
      </c>
      <c r="AB162" s="91"/>
      <c r="AC162" s="91"/>
      <c r="AD162" s="91"/>
    </row>
    <row r="163" ht="15.75" customHeight="1" outlineLevel="1">
      <c r="A163" s="170" t="s">
        <v>10535</v>
      </c>
      <c r="B163" s="51" t="s">
        <v>26</v>
      </c>
      <c r="C163" s="51" t="s">
        <v>27</v>
      </c>
      <c r="D163" s="52" t="s">
        <v>4</v>
      </c>
      <c r="E163" s="53" t="s">
        <v>27</v>
      </c>
      <c r="F163" s="52" t="s">
        <v>4</v>
      </c>
      <c r="G163" s="52" t="s">
        <v>64</v>
      </c>
      <c r="H163" s="230" t="s">
        <v>10765</v>
      </c>
      <c r="I163" s="221" t="s">
        <v>37</v>
      </c>
      <c r="J163" s="176" t="s">
        <v>6383</v>
      </c>
      <c r="K163" s="221" t="s">
        <v>33</v>
      </c>
      <c r="L163" s="176" t="s">
        <v>6484</v>
      </c>
      <c r="M163" s="52" t="s">
        <v>46</v>
      </c>
      <c r="N163" s="54" t="s">
        <v>10496</v>
      </c>
      <c r="O163" s="55" t="str">
        <f t="shared" si="4"/>
        <v>L1.00.00.12.04.02</v>
      </c>
      <c r="P163" s="55" t="str">
        <f t="shared" si="5"/>
        <v>L1.00.00.12.04.02.07</v>
      </c>
      <c r="Q163" s="160" t="s">
        <v>10530</v>
      </c>
      <c r="R163" s="169" t="str">
        <f t="shared" si="6"/>
        <v>[AMIS Kế toán HKD] Nhóm Phân tích &amp; Thiết kế</v>
      </c>
      <c r="S163" s="227" t="s">
        <v>10782</v>
      </c>
      <c r="T163" s="96" t="s">
        <v>6485</v>
      </c>
      <c r="U163" s="96" t="s">
        <v>453</v>
      </c>
      <c r="V163" s="96" t="s">
        <v>566</v>
      </c>
      <c r="W163" s="96" t="s">
        <v>6383</v>
      </c>
      <c r="X163" s="96" t="s">
        <v>6484</v>
      </c>
      <c r="Y163" s="96"/>
      <c r="Z163" s="98" t="s">
        <v>10784</v>
      </c>
      <c r="AA163" s="153" t="s">
        <v>10530</v>
      </c>
      <c r="AB163" s="91"/>
      <c r="AC163" s="91"/>
      <c r="AD163" s="91"/>
    </row>
    <row r="164" ht="15.75" customHeight="1" outlineLevel="1">
      <c r="A164" s="170" t="s">
        <v>10535</v>
      </c>
      <c r="B164" s="51" t="s">
        <v>26</v>
      </c>
      <c r="C164" s="51" t="s">
        <v>27</v>
      </c>
      <c r="D164" s="52" t="s">
        <v>4</v>
      </c>
      <c r="E164" s="53" t="s">
        <v>27</v>
      </c>
      <c r="F164" s="52" t="s">
        <v>4</v>
      </c>
      <c r="G164" s="52" t="s">
        <v>64</v>
      </c>
      <c r="H164" s="230" t="s">
        <v>10765</v>
      </c>
      <c r="I164" s="221" t="s">
        <v>42</v>
      </c>
      <c r="J164" s="176" t="s">
        <v>6545</v>
      </c>
      <c r="K164" s="172" t="s">
        <v>27</v>
      </c>
      <c r="L164" s="174" t="s">
        <v>4</v>
      </c>
      <c r="M164" s="52" t="s">
        <v>46</v>
      </c>
      <c r="N164" s="54" t="s">
        <v>10496</v>
      </c>
      <c r="O164" s="55" t="str">
        <f t="shared" si="4"/>
        <v>L1.00.00.12.05.00</v>
      </c>
      <c r="P164" s="55" t="str">
        <f t="shared" si="5"/>
        <v>L1.00.00.12.05.00.07</v>
      </c>
      <c r="Q164" s="160" t="s">
        <v>10530</v>
      </c>
      <c r="R164" s="169" t="str">
        <f t="shared" si="6"/>
        <v>Nhóm chuyên gia Khối SP Hộ cá thể</v>
      </c>
      <c r="S164" s="227" t="s">
        <v>10768</v>
      </c>
      <c r="T164" s="96" t="s">
        <v>6546</v>
      </c>
      <c r="U164" s="96" t="s">
        <v>453</v>
      </c>
      <c r="V164" s="96" t="s">
        <v>566</v>
      </c>
      <c r="W164" s="96" t="s">
        <v>6545</v>
      </c>
      <c r="X164" s="96"/>
      <c r="Y164" s="96"/>
      <c r="Z164" s="98" t="s">
        <v>10785</v>
      </c>
      <c r="AA164" s="153" t="s">
        <v>10530</v>
      </c>
      <c r="AB164" s="91"/>
      <c r="AC164" s="91"/>
      <c r="AD164" s="91"/>
    </row>
    <row r="165" ht="15.75" customHeight="1" outlineLevel="1">
      <c r="A165" s="170" t="s">
        <v>10535</v>
      </c>
      <c r="B165" s="57" t="s">
        <v>26</v>
      </c>
      <c r="C165" s="51" t="s">
        <v>27</v>
      </c>
      <c r="D165" s="52" t="s">
        <v>4</v>
      </c>
      <c r="E165" s="53" t="s">
        <v>27</v>
      </c>
      <c r="F165" s="52" t="s">
        <v>4</v>
      </c>
      <c r="G165" s="52" t="s">
        <v>67</v>
      </c>
      <c r="H165" s="230" t="s">
        <v>10786</v>
      </c>
      <c r="I165" s="168" t="s">
        <v>27</v>
      </c>
      <c r="J165" s="218" t="s">
        <v>4</v>
      </c>
      <c r="K165" s="172" t="s">
        <v>27</v>
      </c>
      <c r="L165" s="194" t="s">
        <v>4</v>
      </c>
      <c r="M165" s="52" t="s">
        <v>46</v>
      </c>
      <c r="N165" s="54" t="s">
        <v>10496</v>
      </c>
      <c r="O165" s="55" t="str">
        <f t="shared" si="4"/>
        <v>L1.00.00.13.00.00</v>
      </c>
      <c r="P165" s="55" t="str">
        <f t="shared" si="5"/>
        <v>L1.00.00.13.00.00.07</v>
      </c>
      <c r="Q165" s="160" t="s">
        <v>10530</v>
      </c>
      <c r="R165" s="169" t="str">
        <f t="shared" si="6"/>
        <v>Khối nền tảng Giáo dục</v>
      </c>
      <c r="S165" s="97" t="s">
        <v>10536</v>
      </c>
      <c r="T165" s="97" t="s">
        <v>10787</v>
      </c>
      <c r="U165" s="96" t="s">
        <v>453</v>
      </c>
      <c r="V165" s="96" t="s">
        <v>555</v>
      </c>
      <c r="W165" s="96"/>
      <c r="X165" s="96"/>
      <c r="Y165" s="96"/>
      <c r="Z165" s="98" t="s">
        <v>10788</v>
      </c>
      <c r="AA165" s="153" t="s">
        <v>10530</v>
      </c>
      <c r="AB165" s="91"/>
      <c r="AC165" s="91"/>
      <c r="AD165" s="91"/>
    </row>
    <row r="166" ht="15.75" customHeight="1" outlineLevel="1">
      <c r="A166" s="170" t="s">
        <v>10535</v>
      </c>
      <c r="B166" s="57" t="s">
        <v>26</v>
      </c>
      <c r="C166" s="51" t="s">
        <v>27</v>
      </c>
      <c r="D166" s="52" t="s">
        <v>4</v>
      </c>
      <c r="E166" s="53" t="s">
        <v>27</v>
      </c>
      <c r="F166" s="52" t="s">
        <v>4</v>
      </c>
      <c r="G166" s="52" t="s">
        <v>67</v>
      </c>
      <c r="H166" s="230" t="s">
        <v>10786</v>
      </c>
      <c r="I166" s="157" t="s">
        <v>29</v>
      </c>
      <c r="J166" s="176" t="s">
        <v>556</v>
      </c>
      <c r="K166" s="172" t="s">
        <v>27</v>
      </c>
      <c r="L166" s="194" t="s">
        <v>4</v>
      </c>
      <c r="M166" s="52" t="s">
        <v>46</v>
      </c>
      <c r="N166" s="54" t="s">
        <v>10496</v>
      </c>
      <c r="O166" s="55" t="str">
        <f t="shared" si="4"/>
        <v>L1.00.00.13.01.00</v>
      </c>
      <c r="P166" s="55" t="str">
        <f t="shared" si="5"/>
        <v>L1.00.00.13.01.00.07</v>
      </c>
      <c r="Q166" s="160" t="s">
        <v>10530</v>
      </c>
      <c r="R166" s="169" t="str">
        <f t="shared" si="6"/>
        <v>Sản phẩm MISA EMIS</v>
      </c>
      <c r="S166" s="227" t="s">
        <v>10789</v>
      </c>
      <c r="T166" s="96" t="s">
        <v>5189</v>
      </c>
      <c r="U166" s="96" t="s">
        <v>453</v>
      </c>
      <c r="V166" s="96" t="s">
        <v>555</v>
      </c>
      <c r="W166" s="96" t="s">
        <v>556</v>
      </c>
      <c r="X166" s="96"/>
      <c r="Y166" s="96"/>
      <c r="Z166" s="98" t="s">
        <v>10790</v>
      </c>
      <c r="AA166" s="153" t="s">
        <v>10530</v>
      </c>
      <c r="AB166" s="91"/>
      <c r="AC166" s="91"/>
      <c r="AD166" s="91"/>
    </row>
    <row r="167" ht="15.75" customHeight="1" outlineLevel="1">
      <c r="A167" s="170" t="s">
        <v>10535</v>
      </c>
      <c r="B167" s="57" t="s">
        <v>26</v>
      </c>
      <c r="C167" s="51" t="s">
        <v>27</v>
      </c>
      <c r="D167" s="52" t="s">
        <v>4</v>
      </c>
      <c r="E167" s="53" t="s">
        <v>27</v>
      </c>
      <c r="F167" s="52" t="s">
        <v>4</v>
      </c>
      <c r="G167" s="52" t="s">
        <v>67</v>
      </c>
      <c r="H167" s="230" t="s">
        <v>10786</v>
      </c>
      <c r="I167" s="157" t="s">
        <v>29</v>
      </c>
      <c r="J167" s="176" t="s">
        <v>556</v>
      </c>
      <c r="K167" s="221" t="s">
        <v>29</v>
      </c>
      <c r="L167" s="176" t="s">
        <v>3055</v>
      </c>
      <c r="M167" s="52" t="s">
        <v>46</v>
      </c>
      <c r="N167" s="54" t="s">
        <v>10496</v>
      </c>
      <c r="O167" s="55" t="str">
        <f t="shared" si="4"/>
        <v>L1.00.00.13.01.01</v>
      </c>
      <c r="P167" s="55" t="str">
        <f t="shared" si="5"/>
        <v>L1.00.00.13.01.01.07</v>
      </c>
      <c r="Q167" s="160" t="s">
        <v>10530</v>
      </c>
      <c r="R167" s="169" t="str">
        <f t="shared" si="6"/>
        <v>Dự án EMIS Công lập</v>
      </c>
      <c r="S167" s="227" t="s">
        <v>10791</v>
      </c>
      <c r="T167" s="96" t="s">
        <v>3056</v>
      </c>
      <c r="U167" s="96" t="s">
        <v>453</v>
      </c>
      <c r="V167" s="96" t="s">
        <v>555</v>
      </c>
      <c r="W167" s="96" t="s">
        <v>556</v>
      </c>
      <c r="X167" s="96" t="s">
        <v>3055</v>
      </c>
      <c r="Y167" s="96"/>
      <c r="Z167" s="98" t="s">
        <v>10792</v>
      </c>
      <c r="AA167" s="153" t="s">
        <v>10530</v>
      </c>
      <c r="AB167" s="91"/>
      <c r="AC167" s="91"/>
      <c r="AD167" s="91"/>
    </row>
    <row r="168" ht="15.75" customHeight="1" outlineLevel="1">
      <c r="A168" s="170" t="s">
        <v>10535</v>
      </c>
      <c r="B168" s="57" t="s">
        <v>26</v>
      </c>
      <c r="C168" s="51" t="s">
        <v>27</v>
      </c>
      <c r="D168" s="52" t="s">
        <v>4</v>
      </c>
      <c r="E168" s="53" t="s">
        <v>27</v>
      </c>
      <c r="F168" s="52" t="s">
        <v>4</v>
      </c>
      <c r="G168" s="52" t="s">
        <v>67</v>
      </c>
      <c r="H168" s="230" t="s">
        <v>10786</v>
      </c>
      <c r="I168" s="157" t="s">
        <v>29</v>
      </c>
      <c r="J168" s="176" t="s">
        <v>556</v>
      </c>
      <c r="K168" s="221" t="s">
        <v>33</v>
      </c>
      <c r="L168" s="176" t="s">
        <v>4492</v>
      </c>
      <c r="M168" s="52" t="s">
        <v>46</v>
      </c>
      <c r="N168" s="54" t="s">
        <v>10496</v>
      </c>
      <c r="O168" s="55" t="str">
        <f t="shared" si="4"/>
        <v>L1.00.00.13.01.02</v>
      </c>
      <c r="P168" s="55" t="str">
        <f t="shared" si="5"/>
        <v>L1.00.00.13.01.02.07</v>
      </c>
      <c r="Q168" s="160" t="s">
        <v>10530</v>
      </c>
      <c r="R168" s="169" t="str">
        <f t="shared" si="6"/>
        <v>Dự án EMIS Core Platform</v>
      </c>
      <c r="S168" s="227" t="s">
        <v>10791</v>
      </c>
      <c r="T168" s="96" t="s">
        <v>4493</v>
      </c>
      <c r="U168" s="96" t="s">
        <v>453</v>
      </c>
      <c r="V168" s="96" t="s">
        <v>555</v>
      </c>
      <c r="W168" s="96" t="s">
        <v>556</v>
      </c>
      <c r="X168" s="96" t="s">
        <v>4492</v>
      </c>
      <c r="Y168" s="96"/>
      <c r="Z168" s="98" t="s">
        <v>10793</v>
      </c>
      <c r="AA168" s="153" t="s">
        <v>10530</v>
      </c>
      <c r="AB168" s="91"/>
      <c r="AC168" s="91"/>
      <c r="AD168" s="91"/>
    </row>
    <row r="169" ht="15.75" customHeight="1" outlineLevel="1">
      <c r="A169" s="170" t="s">
        <v>10535</v>
      </c>
      <c r="B169" s="57" t="s">
        <v>26</v>
      </c>
      <c r="C169" s="51" t="s">
        <v>27</v>
      </c>
      <c r="D169" s="52" t="s">
        <v>4</v>
      </c>
      <c r="E169" s="53" t="s">
        <v>27</v>
      </c>
      <c r="F169" s="52" t="s">
        <v>4</v>
      </c>
      <c r="G169" s="52" t="s">
        <v>67</v>
      </c>
      <c r="H169" s="230" t="s">
        <v>10786</v>
      </c>
      <c r="I169" s="157" t="s">
        <v>29</v>
      </c>
      <c r="J169" s="176" t="s">
        <v>556</v>
      </c>
      <c r="K169" s="221" t="s">
        <v>35</v>
      </c>
      <c r="L169" s="176" t="s">
        <v>554</v>
      </c>
      <c r="M169" s="52" t="s">
        <v>46</v>
      </c>
      <c r="N169" s="54" t="s">
        <v>10496</v>
      </c>
      <c r="O169" s="55" t="str">
        <f t="shared" si="4"/>
        <v>L1.00.00.13.01.03</v>
      </c>
      <c r="P169" s="55" t="str">
        <f t="shared" si="5"/>
        <v>L1.00.00.13.01.03.07</v>
      </c>
      <c r="Q169" s="160" t="s">
        <v>10530</v>
      </c>
      <c r="R169" s="169" t="str">
        <f t="shared" si="6"/>
        <v>Dự án EMIS Mầm non</v>
      </c>
      <c r="S169" s="227" t="s">
        <v>10791</v>
      </c>
      <c r="T169" s="96" t="s">
        <v>557</v>
      </c>
      <c r="U169" s="96" t="s">
        <v>453</v>
      </c>
      <c r="V169" s="96" t="s">
        <v>555</v>
      </c>
      <c r="W169" s="96" t="s">
        <v>556</v>
      </c>
      <c r="X169" s="96" t="s">
        <v>554</v>
      </c>
      <c r="Y169" s="96"/>
      <c r="Z169" s="98" t="s">
        <v>10794</v>
      </c>
      <c r="AA169" s="153" t="s">
        <v>10530</v>
      </c>
      <c r="AB169" s="91"/>
      <c r="AC169" s="91"/>
      <c r="AD169" s="91"/>
    </row>
    <row r="170" ht="15.75" customHeight="1" outlineLevel="1">
      <c r="A170" s="170" t="s">
        <v>10535</v>
      </c>
      <c r="B170" s="57" t="s">
        <v>26</v>
      </c>
      <c r="C170" s="51" t="s">
        <v>27</v>
      </c>
      <c r="D170" s="52" t="s">
        <v>4</v>
      </c>
      <c r="E170" s="53" t="s">
        <v>27</v>
      </c>
      <c r="F170" s="52" t="s">
        <v>4</v>
      </c>
      <c r="G170" s="52" t="s">
        <v>67</v>
      </c>
      <c r="H170" s="230" t="s">
        <v>10786</v>
      </c>
      <c r="I170" s="157" t="s">
        <v>29</v>
      </c>
      <c r="J170" s="176" t="s">
        <v>556</v>
      </c>
      <c r="K170" s="221" t="s">
        <v>37</v>
      </c>
      <c r="L170" s="176" t="s">
        <v>3292</v>
      </c>
      <c r="M170" s="52" t="s">
        <v>46</v>
      </c>
      <c r="N170" s="54" t="s">
        <v>10496</v>
      </c>
      <c r="O170" s="55" t="str">
        <f t="shared" si="4"/>
        <v>L1.00.00.13.01.04</v>
      </c>
      <c r="P170" s="55" t="str">
        <f t="shared" si="5"/>
        <v>L1.00.00.13.01.04.07</v>
      </c>
      <c r="Q170" s="160" t="s">
        <v>10530</v>
      </c>
      <c r="R170" s="169" t="str">
        <f t="shared" si="6"/>
        <v>Dự án EMIS Mobile</v>
      </c>
      <c r="S170" s="227" t="s">
        <v>10791</v>
      </c>
      <c r="T170" s="96" t="s">
        <v>3293</v>
      </c>
      <c r="U170" s="96" t="s">
        <v>453</v>
      </c>
      <c r="V170" s="96" t="s">
        <v>555</v>
      </c>
      <c r="W170" s="96" t="s">
        <v>556</v>
      </c>
      <c r="X170" s="96" t="s">
        <v>3292</v>
      </c>
      <c r="Y170" s="96"/>
      <c r="Z170" s="98" t="s">
        <v>10795</v>
      </c>
      <c r="AA170" s="153" t="s">
        <v>10530</v>
      </c>
      <c r="AB170" s="91"/>
      <c r="AC170" s="91"/>
      <c r="AD170" s="91"/>
    </row>
    <row r="171" ht="15.75" customHeight="1" outlineLevel="1">
      <c r="A171" s="170" t="s">
        <v>10535</v>
      </c>
      <c r="B171" s="57" t="s">
        <v>26</v>
      </c>
      <c r="C171" s="51" t="s">
        <v>27</v>
      </c>
      <c r="D171" s="52" t="s">
        <v>4</v>
      </c>
      <c r="E171" s="53" t="s">
        <v>27</v>
      </c>
      <c r="F171" s="52" t="s">
        <v>4</v>
      </c>
      <c r="G171" s="52" t="s">
        <v>67</v>
      </c>
      <c r="H171" s="230" t="s">
        <v>10786</v>
      </c>
      <c r="I171" s="157" t="s">
        <v>29</v>
      </c>
      <c r="J171" s="176" t="s">
        <v>556</v>
      </c>
      <c r="K171" s="221" t="s">
        <v>42</v>
      </c>
      <c r="L171" s="176" t="s">
        <v>616</v>
      </c>
      <c r="M171" s="52" t="s">
        <v>46</v>
      </c>
      <c r="N171" s="54" t="s">
        <v>10496</v>
      </c>
      <c r="O171" s="55" t="str">
        <f t="shared" si="4"/>
        <v>L1.00.00.13.01.05</v>
      </c>
      <c r="P171" s="55" t="str">
        <f t="shared" si="5"/>
        <v>L1.00.00.13.01.05.07</v>
      </c>
      <c r="Q171" s="160" t="s">
        <v>10530</v>
      </c>
      <c r="R171" s="169" t="str">
        <f t="shared" si="6"/>
        <v>[EMIS Ngoài công lập] Nhóm Phân tích và Thiết kế</v>
      </c>
      <c r="S171" s="227" t="s">
        <v>10791</v>
      </c>
      <c r="T171" s="96" t="s">
        <v>617</v>
      </c>
      <c r="U171" s="96" t="s">
        <v>453</v>
      </c>
      <c r="V171" s="96" t="s">
        <v>555</v>
      </c>
      <c r="W171" s="96" t="s">
        <v>556</v>
      </c>
      <c r="X171" s="96" t="s">
        <v>616</v>
      </c>
      <c r="Y171" s="96"/>
      <c r="Z171" s="98" t="s">
        <v>10796</v>
      </c>
      <c r="AA171" s="153" t="s">
        <v>10530</v>
      </c>
      <c r="AB171" s="91"/>
      <c r="AC171" s="91"/>
      <c r="AD171" s="91"/>
    </row>
    <row r="172" ht="15.75" customHeight="1" outlineLevel="1">
      <c r="A172" s="170" t="s">
        <v>10535</v>
      </c>
      <c r="B172" s="57" t="s">
        <v>26</v>
      </c>
      <c r="C172" s="51" t="s">
        <v>27</v>
      </c>
      <c r="D172" s="52" t="s">
        <v>4</v>
      </c>
      <c r="E172" s="53" t="s">
        <v>27</v>
      </c>
      <c r="F172" s="52" t="s">
        <v>4</v>
      </c>
      <c r="G172" s="52" t="s">
        <v>67</v>
      </c>
      <c r="H172" s="230" t="s">
        <v>10786</v>
      </c>
      <c r="I172" s="157" t="s">
        <v>29</v>
      </c>
      <c r="J172" s="176" t="s">
        <v>556</v>
      </c>
      <c r="K172" s="221" t="s">
        <v>44</v>
      </c>
      <c r="L172" s="176" t="s">
        <v>2995</v>
      </c>
      <c r="M172" s="52" t="s">
        <v>46</v>
      </c>
      <c r="N172" s="54" t="s">
        <v>10496</v>
      </c>
      <c r="O172" s="55" t="str">
        <f t="shared" si="4"/>
        <v>L1.00.00.13.01.06</v>
      </c>
      <c r="P172" s="55" t="str">
        <f t="shared" si="5"/>
        <v>L1.00.00.13.01.06.07</v>
      </c>
      <c r="Q172" s="160" t="s">
        <v>10530</v>
      </c>
      <c r="R172" s="169" t="str">
        <f t="shared" si="6"/>
        <v>[EMIS Công lập] Nhóm Phân tích và Thiết kế</v>
      </c>
      <c r="S172" s="227" t="s">
        <v>10791</v>
      </c>
      <c r="T172" s="96" t="s">
        <v>2996</v>
      </c>
      <c r="U172" s="96" t="s">
        <v>453</v>
      </c>
      <c r="V172" s="96" t="s">
        <v>555</v>
      </c>
      <c r="W172" s="96" t="s">
        <v>556</v>
      </c>
      <c r="X172" s="96" t="s">
        <v>2995</v>
      </c>
      <c r="Y172" s="96"/>
      <c r="Z172" s="98" t="s">
        <v>10797</v>
      </c>
      <c r="AA172" s="153" t="s">
        <v>10530</v>
      </c>
      <c r="AB172" s="91"/>
      <c r="AC172" s="91"/>
      <c r="AD172" s="91"/>
    </row>
    <row r="173" ht="15.75" customHeight="1" outlineLevel="1">
      <c r="A173" s="170" t="s">
        <v>10535</v>
      </c>
      <c r="B173" s="57" t="s">
        <v>26</v>
      </c>
      <c r="C173" s="51" t="s">
        <v>27</v>
      </c>
      <c r="D173" s="52" t="s">
        <v>4</v>
      </c>
      <c r="E173" s="53" t="s">
        <v>27</v>
      </c>
      <c r="F173" s="52" t="s">
        <v>4</v>
      </c>
      <c r="G173" s="52" t="s">
        <v>67</v>
      </c>
      <c r="H173" s="230" t="s">
        <v>10786</v>
      </c>
      <c r="I173" s="231" t="s">
        <v>33</v>
      </c>
      <c r="J173" s="176" t="s">
        <v>5194</v>
      </c>
      <c r="K173" s="172" t="s">
        <v>27</v>
      </c>
      <c r="L173" s="174" t="s">
        <v>4</v>
      </c>
      <c r="M173" s="52" t="s">
        <v>46</v>
      </c>
      <c r="N173" s="54" t="s">
        <v>10496</v>
      </c>
      <c r="O173" s="55" t="str">
        <f t="shared" si="4"/>
        <v>L1.00.00.13.02.00</v>
      </c>
      <c r="P173" s="55" t="str">
        <f t="shared" si="5"/>
        <v>L1.00.00.13.02.00.07</v>
      </c>
      <c r="Q173" s="160" t="s">
        <v>10530</v>
      </c>
      <c r="R173" s="169" t="str">
        <f t="shared" si="6"/>
        <v>Nhóm chuyên gia Khối Nền tảng GD</v>
      </c>
      <c r="S173" s="227" t="s">
        <v>10789</v>
      </c>
      <c r="T173" s="96" t="s">
        <v>5195</v>
      </c>
      <c r="U173" s="96" t="s">
        <v>453</v>
      </c>
      <c r="V173" s="96" t="s">
        <v>555</v>
      </c>
      <c r="W173" s="96" t="s">
        <v>5194</v>
      </c>
      <c r="X173" s="96"/>
      <c r="Y173" s="96"/>
      <c r="Z173" s="98" t="s">
        <v>10798</v>
      </c>
      <c r="AA173" s="153" t="s">
        <v>10530</v>
      </c>
      <c r="AB173" s="91"/>
      <c r="AC173" s="91"/>
      <c r="AD173" s="91"/>
    </row>
    <row r="174" ht="15.75" customHeight="1" outlineLevel="1">
      <c r="A174" s="170" t="s">
        <v>10535</v>
      </c>
      <c r="B174" s="57" t="s">
        <v>26</v>
      </c>
      <c r="C174" s="51" t="s">
        <v>27</v>
      </c>
      <c r="D174" s="52" t="s">
        <v>4</v>
      </c>
      <c r="E174" s="53" t="s">
        <v>27</v>
      </c>
      <c r="F174" s="52" t="s">
        <v>4</v>
      </c>
      <c r="G174" s="52" t="s">
        <v>69</v>
      </c>
      <c r="H174" s="230" t="s">
        <v>10799</v>
      </c>
      <c r="I174" s="168" t="s">
        <v>27</v>
      </c>
      <c r="J174" s="218" t="s">
        <v>4</v>
      </c>
      <c r="K174" s="172" t="s">
        <v>27</v>
      </c>
      <c r="L174" s="194" t="s">
        <v>4</v>
      </c>
      <c r="M174" s="52" t="s">
        <v>46</v>
      </c>
      <c r="N174" s="54" t="s">
        <v>10496</v>
      </c>
      <c r="O174" s="55" t="str">
        <f t="shared" si="4"/>
        <v>L1.00.00.14.00.00</v>
      </c>
      <c r="P174" s="55" t="str">
        <f t="shared" si="5"/>
        <v>L1.00.00.14.00.00.07</v>
      </c>
      <c r="Q174" s="160" t="s">
        <v>10530</v>
      </c>
      <c r="R174" s="169" t="str">
        <f t="shared" si="6"/>
        <v>Khối nền tảng Kế toán dịch vụ</v>
      </c>
      <c r="S174" s="97" t="s">
        <v>10536</v>
      </c>
      <c r="T174" s="97" t="s">
        <v>10800</v>
      </c>
      <c r="U174" s="96" t="s">
        <v>453</v>
      </c>
      <c r="V174" s="96" t="s">
        <v>4330</v>
      </c>
      <c r="W174" s="96" t="s">
        <v>4331</v>
      </c>
      <c r="X174" s="96"/>
      <c r="Y174" s="96"/>
      <c r="Z174" s="98" t="s">
        <v>10801</v>
      </c>
      <c r="AA174" s="153" t="s">
        <v>10530</v>
      </c>
      <c r="AB174" s="91"/>
      <c r="AC174" s="91"/>
      <c r="AD174" s="91"/>
    </row>
    <row r="175" ht="15.75" customHeight="1" outlineLevel="1">
      <c r="A175" s="170" t="s">
        <v>10535</v>
      </c>
      <c r="B175" s="57" t="s">
        <v>26</v>
      </c>
      <c r="C175" s="51" t="s">
        <v>27</v>
      </c>
      <c r="D175" s="52" t="s">
        <v>4</v>
      </c>
      <c r="E175" s="53" t="s">
        <v>27</v>
      </c>
      <c r="F175" s="52" t="s">
        <v>4</v>
      </c>
      <c r="G175" s="52" t="s">
        <v>69</v>
      </c>
      <c r="H175" s="230" t="s">
        <v>10799</v>
      </c>
      <c r="I175" s="157" t="s">
        <v>29</v>
      </c>
      <c r="J175" s="176" t="s">
        <v>4331</v>
      </c>
      <c r="K175" s="172" t="s">
        <v>27</v>
      </c>
      <c r="L175" s="194" t="s">
        <v>4</v>
      </c>
      <c r="M175" s="52" t="s">
        <v>46</v>
      </c>
      <c r="N175" s="54" t="s">
        <v>10496</v>
      </c>
      <c r="O175" s="55" t="str">
        <f t="shared" si="4"/>
        <v>L1.00.00.14.01.00</v>
      </c>
      <c r="P175" s="55" t="str">
        <f t="shared" si="5"/>
        <v>L1.00.00.14.01.00.07</v>
      </c>
      <c r="Q175" s="160" t="s">
        <v>10530</v>
      </c>
      <c r="R175" s="169" t="str">
        <f t="shared" si="6"/>
        <v>Sản phẩm MISA ASP</v>
      </c>
      <c r="S175" s="227" t="s">
        <v>10802</v>
      </c>
      <c r="T175" s="96" t="s">
        <v>5728</v>
      </c>
      <c r="U175" s="96" t="s">
        <v>453</v>
      </c>
      <c r="V175" s="96" t="s">
        <v>4330</v>
      </c>
      <c r="W175" s="96" t="s">
        <v>4331</v>
      </c>
      <c r="X175" s="96"/>
      <c r="Y175" s="96"/>
      <c r="Z175" s="98" t="s">
        <v>10803</v>
      </c>
      <c r="AA175" s="153" t="s">
        <v>10530</v>
      </c>
      <c r="AB175" s="91"/>
      <c r="AC175" s="91"/>
      <c r="AD175" s="91"/>
    </row>
    <row r="176" ht="15.75" customHeight="1" outlineLevel="1">
      <c r="A176" s="170" t="s">
        <v>10535</v>
      </c>
      <c r="B176" s="57" t="s">
        <v>26</v>
      </c>
      <c r="C176" s="51" t="s">
        <v>27</v>
      </c>
      <c r="D176" s="52" t="s">
        <v>4</v>
      </c>
      <c r="E176" s="53" t="s">
        <v>27</v>
      </c>
      <c r="F176" s="52" t="s">
        <v>4</v>
      </c>
      <c r="G176" s="52" t="s">
        <v>69</v>
      </c>
      <c r="H176" s="230" t="s">
        <v>10799</v>
      </c>
      <c r="I176" s="157" t="s">
        <v>29</v>
      </c>
      <c r="J176" s="176" t="s">
        <v>4331</v>
      </c>
      <c r="K176" s="221" t="s">
        <v>29</v>
      </c>
      <c r="L176" s="176" t="s">
        <v>4983</v>
      </c>
      <c r="M176" s="52" t="s">
        <v>46</v>
      </c>
      <c r="N176" s="54" t="s">
        <v>10496</v>
      </c>
      <c r="O176" s="55" t="str">
        <f t="shared" si="4"/>
        <v>L1.00.00.14.01.01</v>
      </c>
      <c r="P176" s="55" t="str">
        <f t="shared" si="5"/>
        <v>L1.00.00.14.01.01.07</v>
      </c>
      <c r="Q176" s="160" t="s">
        <v>10530</v>
      </c>
      <c r="R176" s="169" t="str">
        <f t="shared" si="6"/>
        <v>Dự án MISA ASP</v>
      </c>
      <c r="S176" s="227" t="s">
        <v>10804</v>
      </c>
      <c r="T176" s="96" t="s">
        <v>4984</v>
      </c>
      <c r="U176" s="96" t="s">
        <v>453</v>
      </c>
      <c r="V176" s="96" t="s">
        <v>4330</v>
      </c>
      <c r="W176" s="96" t="s">
        <v>4331</v>
      </c>
      <c r="X176" s="96" t="s">
        <v>4983</v>
      </c>
      <c r="Y176" s="96"/>
      <c r="Z176" s="98" t="s">
        <v>10805</v>
      </c>
      <c r="AA176" s="153" t="s">
        <v>10530</v>
      </c>
      <c r="AB176" s="91"/>
      <c r="AC176" s="91"/>
      <c r="AD176" s="91"/>
    </row>
    <row r="177" ht="15.75" customHeight="1" outlineLevel="1">
      <c r="A177" s="170" t="s">
        <v>10535</v>
      </c>
      <c r="B177" s="57" t="s">
        <v>26</v>
      </c>
      <c r="C177" s="51" t="s">
        <v>27</v>
      </c>
      <c r="D177" s="52" t="s">
        <v>4</v>
      </c>
      <c r="E177" s="53" t="s">
        <v>27</v>
      </c>
      <c r="F177" s="52" t="s">
        <v>4</v>
      </c>
      <c r="G177" s="52" t="s">
        <v>69</v>
      </c>
      <c r="H177" s="230" t="s">
        <v>10799</v>
      </c>
      <c r="I177" s="157" t="s">
        <v>29</v>
      </c>
      <c r="J177" s="176" t="s">
        <v>4331</v>
      </c>
      <c r="K177" s="221" t="s">
        <v>33</v>
      </c>
      <c r="L177" s="176" t="s">
        <v>4329</v>
      </c>
      <c r="M177" s="52" t="s">
        <v>46</v>
      </c>
      <c r="N177" s="54" t="s">
        <v>10496</v>
      </c>
      <c r="O177" s="55" t="str">
        <f t="shared" si="4"/>
        <v>L1.00.00.14.01.02</v>
      </c>
      <c r="P177" s="55" t="str">
        <f t="shared" si="5"/>
        <v>L1.00.00.14.01.02.07</v>
      </c>
      <c r="Q177" s="160" t="s">
        <v>10530</v>
      </c>
      <c r="R177" s="169" t="str">
        <f t="shared" si="6"/>
        <v>[MISA ASP] Nhóm Phân tích &amp; Thiết kế</v>
      </c>
      <c r="S177" s="227" t="s">
        <v>10804</v>
      </c>
      <c r="T177" s="96" t="s">
        <v>4332</v>
      </c>
      <c r="U177" s="96" t="s">
        <v>453</v>
      </c>
      <c r="V177" s="96" t="s">
        <v>4330</v>
      </c>
      <c r="W177" s="96" t="s">
        <v>4331</v>
      </c>
      <c r="X177" s="96" t="s">
        <v>4329</v>
      </c>
      <c r="Y177" s="96"/>
      <c r="Z177" s="98" t="s">
        <v>10806</v>
      </c>
      <c r="AA177" s="153" t="s">
        <v>10530</v>
      </c>
      <c r="AB177" s="91"/>
      <c r="AC177" s="91"/>
      <c r="AD177" s="91"/>
    </row>
    <row r="178" ht="15.75" customHeight="1" outlineLevel="1">
      <c r="A178" s="170" t="s">
        <v>10535</v>
      </c>
      <c r="B178" s="57" t="s">
        <v>26</v>
      </c>
      <c r="C178" s="51" t="s">
        <v>27</v>
      </c>
      <c r="D178" s="52" t="s">
        <v>4</v>
      </c>
      <c r="E178" s="53" t="s">
        <v>27</v>
      </c>
      <c r="F178" s="52" t="s">
        <v>4</v>
      </c>
      <c r="G178" s="52" t="s">
        <v>71</v>
      </c>
      <c r="H178" s="230" t="s">
        <v>10807</v>
      </c>
      <c r="I178" s="168" t="s">
        <v>27</v>
      </c>
      <c r="J178" s="218" t="s">
        <v>4</v>
      </c>
      <c r="K178" s="175" t="s">
        <v>27</v>
      </c>
      <c r="L178" s="218" t="s">
        <v>4</v>
      </c>
      <c r="M178" s="52" t="s">
        <v>46</v>
      </c>
      <c r="N178" s="54" t="s">
        <v>10496</v>
      </c>
      <c r="O178" s="55" t="str">
        <f t="shared" si="4"/>
        <v>L1.00.00.15.00.00</v>
      </c>
      <c r="P178" s="55" t="str">
        <f t="shared" si="5"/>
        <v>L1.00.00.15.00.00.07</v>
      </c>
      <c r="Q178" s="160" t="s">
        <v>10530</v>
      </c>
      <c r="R178" s="169" t="str">
        <f t="shared" si="6"/>
        <v>Khối nền tảng Thị trường nước ngoài</v>
      </c>
      <c r="S178" s="97" t="s">
        <v>10536</v>
      </c>
      <c r="T178" s="97" t="s">
        <v>10808</v>
      </c>
      <c r="U178" s="96" t="s">
        <v>453</v>
      </c>
      <c r="V178" s="96" t="s">
        <v>2835</v>
      </c>
      <c r="W178" s="96" t="s">
        <v>3564</v>
      </c>
      <c r="X178" s="96" t="s">
        <v>3563</v>
      </c>
      <c r="Y178" s="96"/>
      <c r="Z178" s="98" t="s">
        <v>10809</v>
      </c>
      <c r="AA178" s="153" t="s">
        <v>10530</v>
      </c>
      <c r="AB178" s="91"/>
      <c r="AC178" s="91"/>
      <c r="AD178" s="91"/>
    </row>
    <row r="179" ht="15.75" customHeight="1" outlineLevel="1">
      <c r="A179" s="170" t="s">
        <v>10535</v>
      </c>
      <c r="B179" s="57" t="s">
        <v>26</v>
      </c>
      <c r="C179" s="51" t="s">
        <v>27</v>
      </c>
      <c r="D179" s="52" t="s">
        <v>4</v>
      </c>
      <c r="E179" s="53" t="s">
        <v>27</v>
      </c>
      <c r="F179" s="52" t="s">
        <v>4</v>
      </c>
      <c r="G179" s="52" t="s">
        <v>71</v>
      </c>
      <c r="H179" s="230" t="s">
        <v>10807</v>
      </c>
      <c r="I179" s="157" t="s">
        <v>29</v>
      </c>
      <c r="J179" s="176" t="s">
        <v>3564</v>
      </c>
      <c r="K179" s="175" t="s">
        <v>27</v>
      </c>
      <c r="L179" s="218" t="s">
        <v>4</v>
      </c>
      <c r="M179" s="52" t="s">
        <v>46</v>
      </c>
      <c r="N179" s="54" t="s">
        <v>10496</v>
      </c>
      <c r="O179" s="55" t="str">
        <f t="shared" si="4"/>
        <v>L1.00.00.15.01.00</v>
      </c>
      <c r="P179" s="55" t="str">
        <f t="shared" si="5"/>
        <v>L1.00.00.15.01.00.07</v>
      </c>
      <c r="Q179" s="160" t="s">
        <v>10530</v>
      </c>
      <c r="R179" s="169" t="str">
        <f t="shared" si="6"/>
        <v>Sản phẩm CukCuk (TTNN)</v>
      </c>
      <c r="S179" s="227" t="s">
        <v>10810</v>
      </c>
      <c r="T179" s="97" t="s">
        <v>10811</v>
      </c>
      <c r="U179" s="96" t="s">
        <v>453</v>
      </c>
      <c r="V179" s="96" t="s">
        <v>2835</v>
      </c>
      <c r="W179" s="96" t="s">
        <v>3564</v>
      </c>
      <c r="X179" s="96" t="s">
        <v>3563</v>
      </c>
      <c r="Y179" s="96"/>
      <c r="Z179" s="98" t="s">
        <v>10812</v>
      </c>
      <c r="AA179" s="153" t="s">
        <v>10530</v>
      </c>
      <c r="AB179" s="91"/>
      <c r="AC179" s="91"/>
      <c r="AD179" s="91"/>
    </row>
    <row r="180" ht="15.75" customHeight="1" outlineLevel="1">
      <c r="A180" s="170" t="s">
        <v>10535</v>
      </c>
      <c r="B180" s="57" t="s">
        <v>26</v>
      </c>
      <c r="C180" s="51" t="s">
        <v>27</v>
      </c>
      <c r="D180" s="52" t="s">
        <v>4</v>
      </c>
      <c r="E180" s="53" t="s">
        <v>27</v>
      </c>
      <c r="F180" s="52" t="s">
        <v>4</v>
      </c>
      <c r="G180" s="52" t="s">
        <v>71</v>
      </c>
      <c r="H180" s="230" t="s">
        <v>10807</v>
      </c>
      <c r="I180" s="157" t="s">
        <v>29</v>
      </c>
      <c r="J180" s="176" t="s">
        <v>3564</v>
      </c>
      <c r="K180" s="221" t="s">
        <v>29</v>
      </c>
      <c r="L180" s="176" t="s">
        <v>3563</v>
      </c>
      <c r="M180" s="52" t="s">
        <v>46</v>
      </c>
      <c r="N180" s="54" t="s">
        <v>10496</v>
      </c>
      <c r="O180" s="55" t="str">
        <f t="shared" si="4"/>
        <v>L1.00.00.15.01.01</v>
      </c>
      <c r="P180" s="55" t="str">
        <f t="shared" si="5"/>
        <v>L1.00.00.15.01.01.07</v>
      </c>
      <c r="Q180" s="160" t="s">
        <v>10530</v>
      </c>
      <c r="R180" s="169" t="str">
        <f t="shared" si="6"/>
        <v>Dự án Cukcuk W&amp;D (TTNN)</v>
      </c>
      <c r="S180" s="227" t="s">
        <v>10813</v>
      </c>
      <c r="T180" s="96" t="s">
        <v>3565</v>
      </c>
      <c r="U180" s="96" t="s">
        <v>453</v>
      </c>
      <c r="V180" s="96" t="s">
        <v>2835</v>
      </c>
      <c r="W180" s="96" t="s">
        <v>3564</v>
      </c>
      <c r="X180" s="96" t="s">
        <v>3563</v>
      </c>
      <c r="Y180" s="96"/>
      <c r="Z180" s="98" t="s">
        <v>10814</v>
      </c>
      <c r="AA180" s="153" t="s">
        <v>10530</v>
      </c>
      <c r="AB180" s="91"/>
      <c r="AC180" s="91"/>
      <c r="AD180" s="91"/>
    </row>
    <row r="181" ht="15.75" customHeight="1" outlineLevel="1">
      <c r="A181" s="170" t="s">
        <v>10535</v>
      </c>
      <c r="B181" s="57" t="s">
        <v>26</v>
      </c>
      <c r="C181" s="51" t="s">
        <v>27</v>
      </c>
      <c r="D181" s="52" t="s">
        <v>4</v>
      </c>
      <c r="E181" s="53" t="s">
        <v>27</v>
      </c>
      <c r="F181" s="52" t="s">
        <v>4</v>
      </c>
      <c r="G181" s="52" t="s">
        <v>71</v>
      </c>
      <c r="H181" s="230" t="s">
        <v>10807</v>
      </c>
      <c r="I181" s="157" t="s">
        <v>29</v>
      </c>
      <c r="J181" s="176" t="s">
        <v>3564</v>
      </c>
      <c r="K181" s="221" t="s">
        <v>33</v>
      </c>
      <c r="L181" s="176" t="s">
        <v>5387</v>
      </c>
      <c r="M181" s="52" t="s">
        <v>46</v>
      </c>
      <c r="N181" s="54" t="s">
        <v>10496</v>
      </c>
      <c r="O181" s="55" t="str">
        <f t="shared" si="4"/>
        <v>L1.00.00.15.01.02</v>
      </c>
      <c r="P181" s="55" t="str">
        <f t="shared" si="5"/>
        <v>L1.00.00.15.01.02.07</v>
      </c>
      <c r="Q181" s="160" t="s">
        <v>10530</v>
      </c>
      <c r="R181" s="169" t="str">
        <f t="shared" si="6"/>
        <v>[Cukcuk TTNN] Nhóm Phân tích &amp; Thiết kế</v>
      </c>
      <c r="S181" s="227" t="s">
        <v>10813</v>
      </c>
      <c r="T181" s="96" t="s">
        <v>5388</v>
      </c>
      <c r="U181" s="96" t="s">
        <v>453</v>
      </c>
      <c r="V181" s="96" t="s">
        <v>2835</v>
      </c>
      <c r="W181" s="96" t="s">
        <v>3564</v>
      </c>
      <c r="X181" s="96" t="s">
        <v>5387</v>
      </c>
      <c r="Y181" s="96"/>
      <c r="Z181" s="98" t="s">
        <v>10815</v>
      </c>
      <c r="AA181" s="153" t="s">
        <v>10530</v>
      </c>
      <c r="AB181" s="91"/>
      <c r="AC181" s="91"/>
      <c r="AD181" s="91"/>
    </row>
    <row r="182" ht="15.75" customHeight="1" outlineLevel="1">
      <c r="A182" s="170" t="s">
        <v>10535</v>
      </c>
      <c r="B182" s="57" t="s">
        <v>26</v>
      </c>
      <c r="C182" s="51" t="s">
        <v>27</v>
      </c>
      <c r="D182" s="52" t="s">
        <v>4</v>
      </c>
      <c r="E182" s="53" t="s">
        <v>27</v>
      </c>
      <c r="F182" s="52" t="s">
        <v>4</v>
      </c>
      <c r="G182" s="52" t="s">
        <v>71</v>
      </c>
      <c r="H182" s="230" t="s">
        <v>10807</v>
      </c>
      <c r="I182" s="231" t="s">
        <v>33</v>
      </c>
      <c r="J182" s="176" t="s">
        <v>4612</v>
      </c>
      <c r="K182" s="175" t="s">
        <v>27</v>
      </c>
      <c r="L182" s="218" t="s">
        <v>4</v>
      </c>
      <c r="M182" s="52" t="s">
        <v>46</v>
      </c>
      <c r="N182" s="54" t="s">
        <v>10496</v>
      </c>
      <c r="O182" s="55" t="str">
        <f t="shared" si="4"/>
        <v>L1.00.00.15.02.00</v>
      </c>
      <c r="P182" s="55" t="str">
        <f t="shared" si="5"/>
        <v>L1.00.00.15.02.00.07</v>
      </c>
      <c r="Q182" s="160" t="s">
        <v>10530</v>
      </c>
      <c r="R182" s="169" t="str">
        <f t="shared" si="6"/>
        <v>Sản phẩm CukCuk (TT Mỹ)</v>
      </c>
      <c r="S182" s="227" t="s">
        <v>10810</v>
      </c>
      <c r="T182" s="97" t="s">
        <v>10816</v>
      </c>
      <c r="U182" s="96" t="s">
        <v>453</v>
      </c>
      <c r="V182" s="96" t="s">
        <v>2835</v>
      </c>
      <c r="W182" s="96" t="s">
        <v>4612</v>
      </c>
      <c r="X182" s="96" t="s">
        <v>5091</v>
      </c>
      <c r="Y182" s="96"/>
      <c r="Z182" s="98" t="s">
        <v>10817</v>
      </c>
      <c r="AA182" s="153" t="s">
        <v>10530</v>
      </c>
      <c r="AB182" s="91"/>
      <c r="AC182" s="91"/>
      <c r="AD182" s="91"/>
    </row>
    <row r="183" ht="15.75" customHeight="1" outlineLevel="1">
      <c r="A183" s="170" t="s">
        <v>10535</v>
      </c>
      <c r="B183" s="57" t="s">
        <v>26</v>
      </c>
      <c r="C183" s="51" t="s">
        <v>27</v>
      </c>
      <c r="D183" s="52" t="s">
        <v>4</v>
      </c>
      <c r="E183" s="53" t="s">
        <v>27</v>
      </c>
      <c r="F183" s="52" t="s">
        <v>4</v>
      </c>
      <c r="G183" s="52" t="s">
        <v>71</v>
      </c>
      <c r="H183" s="230" t="s">
        <v>10807</v>
      </c>
      <c r="I183" s="231" t="s">
        <v>33</v>
      </c>
      <c r="J183" s="176" t="s">
        <v>4612</v>
      </c>
      <c r="K183" s="221" t="s">
        <v>29</v>
      </c>
      <c r="L183" s="176" t="s">
        <v>5091</v>
      </c>
      <c r="M183" s="52" t="s">
        <v>46</v>
      </c>
      <c r="N183" s="54" t="s">
        <v>10496</v>
      </c>
      <c r="O183" s="55" t="str">
        <f t="shared" si="4"/>
        <v>L1.00.00.15.02.01</v>
      </c>
      <c r="P183" s="55" t="str">
        <f t="shared" si="5"/>
        <v>L1.00.00.15.02.01.07</v>
      </c>
      <c r="Q183" s="160" t="s">
        <v>10530</v>
      </c>
      <c r="R183" s="169" t="str">
        <f t="shared" si="6"/>
        <v>Dự án Cukcuk W&amp;D (TT Mỹ)</v>
      </c>
      <c r="S183" s="227" t="s">
        <v>10818</v>
      </c>
      <c r="T183" s="96" t="s">
        <v>5092</v>
      </c>
      <c r="U183" s="96" t="s">
        <v>453</v>
      </c>
      <c r="V183" s="96" t="s">
        <v>2835</v>
      </c>
      <c r="W183" s="96" t="s">
        <v>4612</v>
      </c>
      <c r="X183" s="96" t="s">
        <v>5091</v>
      </c>
      <c r="Y183" s="96"/>
      <c r="Z183" s="98" t="s">
        <v>10819</v>
      </c>
      <c r="AA183" s="153" t="s">
        <v>10530</v>
      </c>
      <c r="AB183" s="91"/>
      <c r="AC183" s="91"/>
      <c r="AD183" s="91"/>
    </row>
    <row r="184" ht="15.75" customHeight="1" outlineLevel="1">
      <c r="A184" s="170" t="s">
        <v>10535</v>
      </c>
      <c r="B184" s="57" t="s">
        <v>26</v>
      </c>
      <c r="C184" s="51" t="s">
        <v>27</v>
      </c>
      <c r="D184" s="52" t="s">
        <v>4</v>
      </c>
      <c r="E184" s="53" t="s">
        <v>27</v>
      </c>
      <c r="F184" s="52" t="s">
        <v>4</v>
      </c>
      <c r="G184" s="52" t="s">
        <v>71</v>
      </c>
      <c r="H184" s="230" t="s">
        <v>10807</v>
      </c>
      <c r="I184" s="231" t="s">
        <v>33</v>
      </c>
      <c r="J184" s="176" t="s">
        <v>4612</v>
      </c>
      <c r="K184" s="221" t="s">
        <v>33</v>
      </c>
      <c r="L184" s="176" t="s">
        <v>4611</v>
      </c>
      <c r="M184" s="52" t="s">
        <v>46</v>
      </c>
      <c r="N184" s="54" t="s">
        <v>10496</v>
      </c>
      <c r="O184" s="55" t="str">
        <f t="shared" si="4"/>
        <v>L1.00.00.15.02.02</v>
      </c>
      <c r="P184" s="55" t="str">
        <f t="shared" si="5"/>
        <v>L1.00.00.15.02.02.07</v>
      </c>
      <c r="Q184" s="160" t="s">
        <v>10530</v>
      </c>
      <c r="R184" s="169" t="str">
        <f t="shared" si="6"/>
        <v>Dự án CukCuk Mobile TT Mỹ</v>
      </c>
      <c r="S184" s="227" t="s">
        <v>10818</v>
      </c>
      <c r="T184" s="96" t="s">
        <v>4613</v>
      </c>
      <c r="U184" s="96" t="s">
        <v>453</v>
      </c>
      <c r="V184" s="96" t="s">
        <v>2835</v>
      </c>
      <c r="W184" s="96" t="s">
        <v>4612</v>
      </c>
      <c r="X184" s="96" t="s">
        <v>4611</v>
      </c>
      <c r="Y184" s="96"/>
      <c r="Z184" s="98" t="s">
        <v>10820</v>
      </c>
      <c r="AA184" s="153" t="s">
        <v>10530</v>
      </c>
      <c r="AB184" s="91"/>
      <c r="AC184" s="91"/>
      <c r="AD184" s="91"/>
    </row>
    <row r="185" ht="15.75" customHeight="1" outlineLevel="1">
      <c r="A185" s="170" t="s">
        <v>10535</v>
      </c>
      <c r="B185" s="57" t="s">
        <v>26</v>
      </c>
      <c r="C185" s="51" t="s">
        <v>27</v>
      </c>
      <c r="D185" s="52" t="s">
        <v>4</v>
      </c>
      <c r="E185" s="53" t="s">
        <v>27</v>
      </c>
      <c r="F185" s="52" t="s">
        <v>4</v>
      </c>
      <c r="G185" s="52" t="s">
        <v>71</v>
      </c>
      <c r="H185" s="230" t="s">
        <v>10807</v>
      </c>
      <c r="I185" s="231" t="s">
        <v>35</v>
      </c>
      <c r="J185" s="176" t="s">
        <v>2836</v>
      </c>
      <c r="K185" s="175" t="s">
        <v>27</v>
      </c>
      <c r="L185" s="218" t="s">
        <v>4</v>
      </c>
      <c r="M185" s="52" t="s">
        <v>46</v>
      </c>
      <c r="N185" s="54" t="s">
        <v>10496</v>
      </c>
      <c r="O185" s="55" t="str">
        <f t="shared" si="4"/>
        <v>L1.00.00.15.03.00</v>
      </c>
      <c r="P185" s="55" t="str">
        <f t="shared" si="5"/>
        <v>L1.00.00.15.03.00.07</v>
      </c>
      <c r="Q185" s="160" t="s">
        <v>10530</v>
      </c>
      <c r="R185" s="169" t="str">
        <f t="shared" si="6"/>
        <v>Sản phẩm CukCuk (TT Philippines)</v>
      </c>
      <c r="S185" s="227" t="s">
        <v>10810</v>
      </c>
      <c r="T185" s="97" t="s">
        <v>10821</v>
      </c>
      <c r="U185" s="96" t="s">
        <v>453</v>
      </c>
      <c r="V185" s="96" t="s">
        <v>2835</v>
      </c>
      <c r="W185" s="96" t="s">
        <v>2836</v>
      </c>
      <c r="X185" s="96" t="s">
        <v>2834</v>
      </c>
      <c r="Y185" s="96"/>
      <c r="Z185" s="98" t="s">
        <v>10822</v>
      </c>
      <c r="AA185" s="153" t="s">
        <v>10530</v>
      </c>
      <c r="AB185" s="91"/>
      <c r="AC185" s="91"/>
      <c r="AD185" s="91"/>
    </row>
    <row r="186" ht="15.75" customHeight="1" outlineLevel="1">
      <c r="A186" s="170" t="s">
        <v>10535</v>
      </c>
      <c r="B186" s="57" t="s">
        <v>26</v>
      </c>
      <c r="C186" s="51" t="s">
        <v>27</v>
      </c>
      <c r="D186" s="52" t="s">
        <v>4</v>
      </c>
      <c r="E186" s="53" t="s">
        <v>27</v>
      </c>
      <c r="F186" s="52" t="s">
        <v>4</v>
      </c>
      <c r="G186" s="52" t="s">
        <v>71</v>
      </c>
      <c r="H186" s="230" t="s">
        <v>10807</v>
      </c>
      <c r="I186" s="231" t="s">
        <v>35</v>
      </c>
      <c r="J186" s="176" t="s">
        <v>2836</v>
      </c>
      <c r="K186" s="221" t="s">
        <v>29</v>
      </c>
      <c r="L186" s="176" t="s">
        <v>2834</v>
      </c>
      <c r="M186" s="52" t="s">
        <v>46</v>
      </c>
      <c r="N186" s="54" t="s">
        <v>10496</v>
      </c>
      <c r="O186" s="55" t="str">
        <f t="shared" si="4"/>
        <v>L1.00.00.15.03.01</v>
      </c>
      <c r="P186" s="55" t="str">
        <f t="shared" si="5"/>
        <v>L1.00.00.15.03.01.07</v>
      </c>
      <c r="Q186" s="160" t="s">
        <v>10530</v>
      </c>
      <c r="R186" s="169" t="str">
        <f t="shared" si="6"/>
        <v>Dự án CukCuk W&amp;D (TT Philippines)</v>
      </c>
      <c r="S186" s="227" t="s">
        <v>10823</v>
      </c>
      <c r="T186" s="96" t="s">
        <v>2837</v>
      </c>
      <c r="U186" s="96" t="s">
        <v>453</v>
      </c>
      <c r="V186" s="96" t="s">
        <v>2835</v>
      </c>
      <c r="W186" s="96" t="s">
        <v>2836</v>
      </c>
      <c r="X186" s="96" t="s">
        <v>2834</v>
      </c>
      <c r="Y186" s="96"/>
      <c r="Z186" s="98" t="s">
        <v>10824</v>
      </c>
      <c r="AA186" s="153" t="s">
        <v>10530</v>
      </c>
      <c r="AB186" s="91"/>
      <c r="AC186" s="91"/>
      <c r="AD186" s="91"/>
    </row>
    <row r="187" ht="18.75" customHeight="1" outlineLevel="1">
      <c r="A187" s="170" t="s">
        <v>10535</v>
      </c>
      <c r="B187" s="57" t="s">
        <v>26</v>
      </c>
      <c r="C187" s="51" t="s">
        <v>27</v>
      </c>
      <c r="D187" s="52" t="s">
        <v>4</v>
      </c>
      <c r="E187" s="53" t="s">
        <v>27</v>
      </c>
      <c r="F187" s="52" t="s">
        <v>4</v>
      </c>
      <c r="G187" s="51">
        <v>16.0</v>
      </c>
      <c r="H187" s="171" t="s">
        <v>28</v>
      </c>
      <c r="I187" s="168" t="s">
        <v>27</v>
      </c>
      <c r="J187" s="218" t="s">
        <v>4</v>
      </c>
      <c r="K187" s="175" t="s">
        <v>27</v>
      </c>
      <c r="L187" s="218" t="s">
        <v>4</v>
      </c>
      <c r="M187" s="52" t="s">
        <v>46</v>
      </c>
      <c r="N187" s="54" t="s">
        <v>10496</v>
      </c>
      <c r="O187" s="55" t="str">
        <f t="shared" si="4"/>
        <v>L1.00.00.16.00.00</v>
      </c>
      <c r="P187" s="55" t="str">
        <f t="shared" si="5"/>
        <v>L1.00.00.16.00.00.07</v>
      </c>
      <c r="Q187" s="160" t="s">
        <v>10530</v>
      </c>
      <c r="R187" s="169" t="str">
        <f t="shared" si="6"/>
        <v>Khối thị trường khách hàng cá nhân</v>
      </c>
      <c r="S187" s="187" t="s">
        <v>10536</v>
      </c>
      <c r="T187" s="97" t="s">
        <v>10825</v>
      </c>
      <c r="U187" s="96" t="s">
        <v>453</v>
      </c>
      <c r="V187" s="96" t="s">
        <v>6077</v>
      </c>
      <c r="W187" s="96" t="s">
        <v>6078</v>
      </c>
      <c r="X187" s="96" t="s">
        <v>6076</v>
      </c>
      <c r="Y187" s="96"/>
      <c r="Z187" s="98" t="s">
        <v>10826</v>
      </c>
      <c r="AA187" s="153" t="s">
        <v>10530</v>
      </c>
      <c r="AB187" s="91"/>
      <c r="AC187" s="91"/>
      <c r="AD187" s="91"/>
    </row>
    <row r="188" ht="18.75" customHeight="1" outlineLevel="1">
      <c r="A188" s="170" t="s">
        <v>10535</v>
      </c>
      <c r="B188" s="57" t="s">
        <v>26</v>
      </c>
      <c r="C188" s="51" t="s">
        <v>27</v>
      </c>
      <c r="D188" s="52" t="s">
        <v>4</v>
      </c>
      <c r="E188" s="53" t="s">
        <v>27</v>
      </c>
      <c r="F188" s="52" t="s">
        <v>4</v>
      </c>
      <c r="G188" s="51">
        <v>16.0</v>
      </c>
      <c r="H188" s="171" t="s">
        <v>28</v>
      </c>
      <c r="I188" s="168" t="s">
        <v>29</v>
      </c>
      <c r="J188" s="176" t="s">
        <v>6078</v>
      </c>
      <c r="K188" s="175" t="s">
        <v>27</v>
      </c>
      <c r="L188" s="218" t="s">
        <v>4</v>
      </c>
      <c r="M188" s="52" t="s">
        <v>46</v>
      </c>
      <c r="N188" s="54" t="s">
        <v>10496</v>
      </c>
      <c r="O188" s="55" t="str">
        <f t="shared" si="4"/>
        <v>L1.00.00.16.01.00</v>
      </c>
      <c r="P188" s="55" t="str">
        <f t="shared" si="5"/>
        <v>L1.00.00.16.01.00.07</v>
      </c>
      <c r="Q188" s="160" t="s">
        <v>10530</v>
      </c>
      <c r="R188" s="169" t="str">
        <f t="shared" si="6"/>
        <v>Sản phẩm MISA MoneyKeeper</v>
      </c>
      <c r="S188" s="229" t="str">
        <f>P187</f>
        <v>L1.00.00.16.00.00.07</v>
      </c>
      <c r="T188" s="97" t="s">
        <v>10827</v>
      </c>
      <c r="U188" s="96" t="s">
        <v>453</v>
      </c>
      <c r="V188" s="96" t="s">
        <v>6077</v>
      </c>
      <c r="W188" s="96" t="s">
        <v>6078</v>
      </c>
      <c r="X188" s="96" t="s">
        <v>6076</v>
      </c>
      <c r="Y188" s="96"/>
      <c r="Z188" s="98" t="s">
        <v>10828</v>
      </c>
      <c r="AA188" s="153" t="s">
        <v>10530</v>
      </c>
      <c r="AB188" s="91"/>
      <c r="AC188" s="91"/>
      <c r="AD188" s="91"/>
    </row>
    <row r="189" ht="18.75" customHeight="1" outlineLevel="1">
      <c r="A189" s="170" t="s">
        <v>10535</v>
      </c>
      <c r="B189" s="57" t="s">
        <v>26</v>
      </c>
      <c r="C189" s="51" t="s">
        <v>27</v>
      </c>
      <c r="D189" s="52" t="s">
        <v>4</v>
      </c>
      <c r="E189" s="53" t="s">
        <v>27</v>
      </c>
      <c r="F189" s="52" t="s">
        <v>4</v>
      </c>
      <c r="G189" s="51">
        <v>16.0</v>
      </c>
      <c r="H189" s="171" t="s">
        <v>28</v>
      </c>
      <c r="I189" s="168" t="s">
        <v>29</v>
      </c>
      <c r="J189" s="176" t="s">
        <v>6078</v>
      </c>
      <c r="K189" s="175" t="s">
        <v>29</v>
      </c>
      <c r="L189" s="176" t="s">
        <v>6076</v>
      </c>
      <c r="M189" s="52" t="s">
        <v>46</v>
      </c>
      <c r="N189" s="54" t="s">
        <v>10496</v>
      </c>
      <c r="O189" s="55" t="str">
        <f t="shared" si="4"/>
        <v>L1.00.00.16.01.01</v>
      </c>
      <c r="P189" s="55" t="str">
        <f t="shared" si="5"/>
        <v>L1.00.00.16.01.01.07</v>
      </c>
      <c r="Q189" s="160" t="s">
        <v>10530</v>
      </c>
      <c r="R189" s="169" t="str">
        <f t="shared" si="6"/>
        <v>Dự án MISA MoneyKeeper</v>
      </c>
      <c r="S189" s="229" t="s">
        <v>10829</v>
      </c>
      <c r="T189" s="96" t="s">
        <v>6079</v>
      </c>
      <c r="U189" s="96" t="s">
        <v>453</v>
      </c>
      <c r="V189" s="96" t="s">
        <v>6077</v>
      </c>
      <c r="W189" s="96" t="s">
        <v>6078</v>
      </c>
      <c r="X189" s="96" t="s">
        <v>6076</v>
      </c>
      <c r="Y189" s="96"/>
      <c r="Z189" s="98" t="s">
        <v>10830</v>
      </c>
      <c r="AA189" s="153" t="s">
        <v>10530</v>
      </c>
      <c r="AB189" s="91"/>
      <c r="AC189" s="91"/>
      <c r="AD189" s="91"/>
    </row>
    <row r="190" ht="18.75" customHeight="1" outlineLevel="1">
      <c r="A190" s="178" t="s">
        <v>10535</v>
      </c>
      <c r="B190" s="179" t="s">
        <v>26</v>
      </c>
      <c r="C190" s="180" t="s">
        <v>27</v>
      </c>
      <c r="D190" s="64" t="s">
        <v>4</v>
      </c>
      <c r="E190" s="71" t="s">
        <v>27</v>
      </c>
      <c r="F190" s="64" t="s">
        <v>4</v>
      </c>
      <c r="G190" s="178">
        <v>17.0</v>
      </c>
      <c r="H190" s="212" t="s">
        <v>10831</v>
      </c>
      <c r="I190" s="182" t="s">
        <v>27</v>
      </c>
      <c r="J190" s="218" t="s">
        <v>4</v>
      </c>
      <c r="K190" s="182" t="s">
        <v>27</v>
      </c>
      <c r="L190" s="218" t="s">
        <v>4</v>
      </c>
      <c r="M190" s="64" t="s">
        <v>46</v>
      </c>
      <c r="N190" s="70" t="s">
        <v>10496</v>
      </c>
      <c r="O190" s="58" t="str">
        <f t="shared" si="4"/>
        <v>L1.00.00.17.00.00</v>
      </c>
      <c r="P190" s="58" t="str">
        <f t="shared" si="5"/>
        <v>L1.00.00.17.00.00.07</v>
      </c>
      <c r="Q190" s="185" t="s">
        <v>10530</v>
      </c>
      <c r="R190" s="169" t="str">
        <f t="shared" si="6"/>
        <v>Ban giám đốc khối sản xuất</v>
      </c>
      <c r="S190" s="229" t="s">
        <v>10536</v>
      </c>
      <c r="T190" s="232" t="s">
        <v>5357</v>
      </c>
      <c r="U190" s="232" t="s">
        <v>453</v>
      </c>
      <c r="V190" s="232" t="s">
        <v>5356</v>
      </c>
      <c r="W190" s="189" t="s">
        <v>6078</v>
      </c>
      <c r="X190" s="189" t="s">
        <v>6076</v>
      </c>
      <c r="Y190" s="189"/>
      <c r="Z190" s="191" t="s">
        <v>10830</v>
      </c>
      <c r="AA190" s="192" t="s">
        <v>10530</v>
      </c>
      <c r="AB190" s="193"/>
      <c r="AC190" s="563" t="s">
        <v>11607</v>
      </c>
      <c r="AD190" s="193"/>
    </row>
    <row r="191" ht="15.75" customHeight="1">
      <c r="A191" s="233" t="s">
        <v>10832</v>
      </c>
      <c r="B191" s="47"/>
      <c r="C191" s="47"/>
      <c r="D191" s="47"/>
      <c r="E191" s="47"/>
      <c r="F191" s="47"/>
      <c r="G191" s="48"/>
      <c r="H191" s="49"/>
      <c r="I191" s="48"/>
      <c r="J191" s="48"/>
      <c r="K191" s="48"/>
      <c r="L191" s="48"/>
      <c r="M191" s="48"/>
      <c r="N191" s="49"/>
      <c r="O191" s="55" t="str">
        <f t="shared" si="4"/>
        <v>Khối kinh doanh thị trường HCSN.....</v>
      </c>
      <c r="P191" s="48"/>
      <c r="Q191" s="169"/>
      <c r="R191" s="169" t="str">
        <f t="shared" si="6"/>
        <v/>
      </c>
      <c r="S191" s="96"/>
      <c r="T191" s="96"/>
      <c r="U191" s="96"/>
      <c r="V191" s="96"/>
      <c r="W191" s="96"/>
      <c r="X191" s="96"/>
      <c r="Y191" s="96"/>
      <c r="Z191" s="152"/>
      <c r="AA191" s="153" t="s">
        <v>10530</v>
      </c>
      <c r="AB191" s="91"/>
      <c r="AC191" s="91"/>
      <c r="AD191" s="91"/>
    </row>
    <row r="192" ht="15.75" customHeight="1" outlineLevel="1">
      <c r="A192" s="234" t="s">
        <v>10833</v>
      </c>
      <c r="B192" s="235" t="s">
        <v>77</v>
      </c>
      <c r="C192" s="236" t="s">
        <v>29</v>
      </c>
      <c r="D192" s="236" t="s">
        <v>78</v>
      </c>
      <c r="E192" s="237" t="s">
        <v>27</v>
      </c>
      <c r="F192" s="236" t="s">
        <v>4</v>
      </c>
      <c r="G192" s="238" t="s">
        <v>27</v>
      </c>
      <c r="H192" s="239" t="s">
        <v>4</v>
      </c>
      <c r="I192" s="238" t="s">
        <v>27</v>
      </c>
      <c r="J192" s="240" t="s">
        <v>4</v>
      </c>
      <c r="K192" s="236" t="s">
        <v>27</v>
      </c>
      <c r="L192" s="241" t="s">
        <v>4</v>
      </c>
      <c r="M192" s="238" t="s">
        <v>27</v>
      </c>
      <c r="N192" s="242"/>
      <c r="O192" s="55" t="str">
        <f t="shared" si="4"/>
        <v>L2.01.00.00.00.00</v>
      </c>
      <c r="P192" s="243" t="str">
        <f t="shared" ref="P192:P240" si="8">A192&amp;"."&amp;C192&amp;"."&amp;E192&amp;"."&amp;G192&amp;"."&amp;I192&amp;"."&amp;K192&amp;"."&amp;M192</f>
        <v>L2.01.00.00.00.00.00</v>
      </c>
      <c r="Q192" s="161" t="s">
        <v>10530</v>
      </c>
      <c r="R192" s="244" t="s">
        <v>10834</v>
      </c>
      <c r="S192" s="245" t="s">
        <v>22</v>
      </c>
      <c r="T192" s="246"/>
      <c r="U192" s="247"/>
      <c r="V192" s="247"/>
      <c r="W192" s="247"/>
      <c r="X192" s="247"/>
      <c r="Y192" s="246" t="s">
        <v>10835</v>
      </c>
      <c r="Z192" s="248" t="s">
        <v>78</v>
      </c>
      <c r="AA192" s="153" t="s">
        <v>10530</v>
      </c>
      <c r="AB192" s="249"/>
      <c r="AC192" s="249"/>
      <c r="AD192" s="249"/>
    </row>
    <row r="193" ht="15.75" customHeight="1" outlineLevel="1">
      <c r="A193" s="170" t="s">
        <v>10833</v>
      </c>
      <c r="B193" s="57" t="s">
        <v>77</v>
      </c>
      <c r="C193" s="52" t="s">
        <v>29</v>
      </c>
      <c r="D193" s="52" t="s">
        <v>78</v>
      </c>
      <c r="E193" s="53" t="s">
        <v>27</v>
      </c>
      <c r="F193" s="52" t="s">
        <v>4</v>
      </c>
      <c r="G193" s="52" t="s">
        <v>29</v>
      </c>
      <c r="H193" s="230" t="s">
        <v>10836</v>
      </c>
      <c r="I193" s="250" t="s">
        <v>27</v>
      </c>
      <c r="J193" s="251" t="s">
        <v>4</v>
      </c>
      <c r="K193" s="52" t="s">
        <v>27</v>
      </c>
      <c r="L193" s="56" t="s">
        <v>4</v>
      </c>
      <c r="M193" s="52" t="s">
        <v>29</v>
      </c>
      <c r="N193" s="54" t="s">
        <v>10498</v>
      </c>
      <c r="O193" s="55" t="str">
        <f t="shared" si="4"/>
        <v>L2.01.00.01.00.00</v>
      </c>
      <c r="P193" s="55" t="str">
        <f t="shared" si="8"/>
        <v>L2.01.00.01.00.00.01</v>
      </c>
      <c r="Q193" s="161" t="s">
        <v>10530</v>
      </c>
      <c r="R193" s="252" t="str">
        <f t="shared" ref="R193:R241" si="9">if(L193&lt;&gt;"-",L193,if(AND(L193="-",J193&lt;&gt;"-"),J193,if(AND(J193="-",H193&lt;&gt;"-"),H193,"NA")))</f>
        <v>Trung tâm KD Hành chính sự nghiệp - Hà Nội</v>
      </c>
      <c r="S193" s="227" t="s">
        <v>10837</v>
      </c>
      <c r="T193" s="97" t="s">
        <v>10838</v>
      </c>
      <c r="U193" s="96" t="s">
        <v>346</v>
      </c>
      <c r="V193" s="96" t="s">
        <v>315</v>
      </c>
      <c r="W193" s="96" t="s">
        <v>8332</v>
      </c>
      <c r="X193" s="96"/>
      <c r="Y193" s="96"/>
      <c r="Z193" s="98" t="s">
        <v>10839</v>
      </c>
      <c r="AA193" s="153" t="s">
        <v>10530</v>
      </c>
      <c r="AB193" s="91"/>
      <c r="AC193" s="565" t="s">
        <v>11608</v>
      </c>
      <c r="AD193" s="91"/>
    </row>
    <row r="194" ht="15.75" customHeight="1" outlineLevel="1">
      <c r="A194" s="170" t="s">
        <v>10833</v>
      </c>
      <c r="B194" s="57" t="s">
        <v>77</v>
      </c>
      <c r="C194" s="52" t="s">
        <v>29</v>
      </c>
      <c r="D194" s="52" t="s">
        <v>78</v>
      </c>
      <c r="E194" s="53" t="s">
        <v>27</v>
      </c>
      <c r="F194" s="52" t="s">
        <v>4</v>
      </c>
      <c r="G194" s="52" t="s">
        <v>29</v>
      </c>
      <c r="H194" s="230" t="s">
        <v>10836</v>
      </c>
      <c r="I194" s="52" t="s">
        <v>29</v>
      </c>
      <c r="J194" s="253" t="s">
        <v>84</v>
      </c>
      <c r="K194" s="52" t="s">
        <v>27</v>
      </c>
      <c r="L194" s="56" t="s">
        <v>4</v>
      </c>
      <c r="M194" s="52" t="s">
        <v>29</v>
      </c>
      <c r="N194" s="54" t="s">
        <v>10498</v>
      </c>
      <c r="O194" s="55" t="str">
        <f t="shared" si="4"/>
        <v>L2.01.00.01.01.00</v>
      </c>
      <c r="P194" s="55" t="str">
        <f t="shared" si="8"/>
        <v>L2.01.00.01.01.00.01</v>
      </c>
      <c r="Q194" s="161" t="s">
        <v>10530</v>
      </c>
      <c r="R194" s="169" t="str">
        <f t="shared" si="9"/>
        <v>Ban giám đốc TT KD HCSN</v>
      </c>
      <c r="S194" s="227" t="s">
        <v>10840</v>
      </c>
      <c r="T194" s="96" t="s">
        <v>8333</v>
      </c>
      <c r="U194" s="96" t="s">
        <v>346</v>
      </c>
      <c r="V194" s="96" t="s">
        <v>315</v>
      </c>
      <c r="W194" s="96" t="s">
        <v>8332</v>
      </c>
      <c r="X194" s="96"/>
      <c r="Y194" s="96"/>
      <c r="Z194" s="98" t="s">
        <v>10841</v>
      </c>
      <c r="AA194" s="153" t="s">
        <v>10530</v>
      </c>
      <c r="AB194" s="91"/>
      <c r="AC194" s="91"/>
      <c r="AD194" s="91"/>
    </row>
    <row r="195" ht="15.75" customHeight="1" outlineLevel="1">
      <c r="A195" s="170" t="s">
        <v>10833</v>
      </c>
      <c r="B195" s="57" t="s">
        <v>77</v>
      </c>
      <c r="C195" s="51" t="s">
        <v>29</v>
      </c>
      <c r="D195" s="52" t="s">
        <v>78</v>
      </c>
      <c r="E195" s="53" t="s">
        <v>27</v>
      </c>
      <c r="F195" s="52" t="s">
        <v>4</v>
      </c>
      <c r="G195" s="52" t="s">
        <v>29</v>
      </c>
      <c r="H195" s="230" t="s">
        <v>10836</v>
      </c>
      <c r="I195" s="52" t="s">
        <v>33</v>
      </c>
      <c r="J195" s="176" t="s">
        <v>1577</v>
      </c>
      <c r="K195" s="52" t="s">
        <v>27</v>
      </c>
      <c r="L195" s="254" t="s">
        <v>4</v>
      </c>
      <c r="M195" s="52" t="s">
        <v>29</v>
      </c>
      <c r="N195" s="54" t="s">
        <v>10498</v>
      </c>
      <c r="O195" s="55" t="str">
        <f t="shared" si="4"/>
        <v>L2.01.00.01.02.00</v>
      </c>
      <c r="P195" s="55" t="str">
        <f t="shared" si="8"/>
        <v>L2.01.00.01.02.00.01</v>
      </c>
      <c r="Q195" s="161" t="s">
        <v>10530</v>
      </c>
      <c r="R195" s="169" t="str">
        <f t="shared" si="9"/>
        <v>Phòng KD HCSN 01</v>
      </c>
      <c r="S195" s="227" t="s">
        <v>10840</v>
      </c>
      <c r="T195" s="96" t="s">
        <v>3697</v>
      </c>
      <c r="U195" s="96" t="s">
        <v>346</v>
      </c>
      <c r="V195" s="96" t="s">
        <v>315</v>
      </c>
      <c r="W195" s="96" t="s">
        <v>1577</v>
      </c>
      <c r="X195" s="96"/>
      <c r="Y195" s="96"/>
      <c r="Z195" s="98" t="s">
        <v>10842</v>
      </c>
      <c r="AA195" s="153" t="s">
        <v>10530</v>
      </c>
      <c r="AB195" s="91"/>
      <c r="AC195" s="91"/>
      <c r="AD195" s="91"/>
    </row>
    <row r="196" ht="15.75" customHeight="1" outlineLevel="1">
      <c r="A196" s="170" t="s">
        <v>10833</v>
      </c>
      <c r="B196" s="57" t="s">
        <v>77</v>
      </c>
      <c r="C196" s="51" t="s">
        <v>29</v>
      </c>
      <c r="D196" s="52" t="s">
        <v>78</v>
      </c>
      <c r="E196" s="53" t="s">
        <v>27</v>
      </c>
      <c r="F196" s="52" t="s">
        <v>4</v>
      </c>
      <c r="G196" s="52" t="s">
        <v>29</v>
      </c>
      <c r="H196" s="230" t="s">
        <v>10836</v>
      </c>
      <c r="I196" s="52" t="s">
        <v>33</v>
      </c>
      <c r="J196" s="176" t="s">
        <v>1577</v>
      </c>
      <c r="K196" s="250" t="s">
        <v>29</v>
      </c>
      <c r="L196" s="96" t="s">
        <v>1598</v>
      </c>
      <c r="M196" s="52" t="s">
        <v>29</v>
      </c>
      <c r="N196" s="54" t="s">
        <v>10498</v>
      </c>
      <c r="O196" s="55" t="str">
        <f t="shared" si="4"/>
        <v>L2.01.00.01.02.01</v>
      </c>
      <c r="P196" s="55" t="str">
        <f t="shared" si="8"/>
        <v>L2.01.00.01.02.01.01</v>
      </c>
      <c r="Q196" s="161" t="s">
        <v>10530</v>
      </c>
      <c r="R196" s="169" t="str">
        <f t="shared" si="9"/>
        <v>Nhóm KD HCSN 02</v>
      </c>
      <c r="S196" s="227" t="s">
        <v>10843</v>
      </c>
      <c r="T196" s="96" t="s">
        <v>1599</v>
      </c>
      <c r="U196" s="96" t="s">
        <v>346</v>
      </c>
      <c r="V196" s="96" t="s">
        <v>315</v>
      </c>
      <c r="W196" s="96" t="s">
        <v>1577</v>
      </c>
      <c r="X196" s="96" t="s">
        <v>1598</v>
      </c>
      <c r="Y196" s="96"/>
      <c r="Z196" s="98" t="s">
        <v>10844</v>
      </c>
      <c r="AA196" s="153" t="s">
        <v>10530</v>
      </c>
      <c r="AB196" s="91"/>
      <c r="AC196" s="91"/>
      <c r="AD196" s="91"/>
    </row>
    <row r="197" ht="15.75" customHeight="1" outlineLevel="1">
      <c r="A197" s="170" t="s">
        <v>10833</v>
      </c>
      <c r="B197" s="57" t="s">
        <v>77</v>
      </c>
      <c r="C197" s="51" t="s">
        <v>29</v>
      </c>
      <c r="D197" s="52" t="s">
        <v>78</v>
      </c>
      <c r="E197" s="53" t="s">
        <v>27</v>
      </c>
      <c r="F197" s="52" t="s">
        <v>4</v>
      </c>
      <c r="G197" s="52" t="s">
        <v>29</v>
      </c>
      <c r="H197" s="230" t="s">
        <v>10836</v>
      </c>
      <c r="I197" s="52" t="s">
        <v>33</v>
      </c>
      <c r="J197" s="176" t="s">
        <v>1577</v>
      </c>
      <c r="K197" s="170" t="s">
        <v>33</v>
      </c>
      <c r="L197" s="96" t="s">
        <v>1576</v>
      </c>
      <c r="M197" s="52" t="s">
        <v>29</v>
      </c>
      <c r="N197" s="54" t="s">
        <v>10498</v>
      </c>
      <c r="O197" s="55" t="str">
        <f t="shared" si="4"/>
        <v>L2.01.00.01.02.02</v>
      </c>
      <c r="P197" s="55" t="str">
        <f t="shared" si="8"/>
        <v>L2.01.00.01.02.02.01</v>
      </c>
      <c r="Q197" s="161" t="s">
        <v>10530</v>
      </c>
      <c r="R197" s="169" t="str">
        <f t="shared" si="9"/>
        <v>Nhóm KD HCSN 03</v>
      </c>
      <c r="S197" s="227" t="s">
        <v>10843</v>
      </c>
      <c r="T197" s="96" t="s">
        <v>1578</v>
      </c>
      <c r="U197" s="96" t="s">
        <v>346</v>
      </c>
      <c r="V197" s="96" t="s">
        <v>315</v>
      </c>
      <c r="W197" s="96" t="s">
        <v>1577</v>
      </c>
      <c r="X197" s="96" t="s">
        <v>1576</v>
      </c>
      <c r="Y197" s="96"/>
      <c r="Z197" s="98" t="s">
        <v>10845</v>
      </c>
      <c r="AA197" s="153" t="s">
        <v>10530</v>
      </c>
      <c r="AB197" s="91"/>
      <c r="AC197" s="91"/>
      <c r="AD197" s="91"/>
    </row>
    <row r="198" ht="15.75" customHeight="1" outlineLevel="1">
      <c r="A198" s="170" t="s">
        <v>10833</v>
      </c>
      <c r="B198" s="57" t="s">
        <v>77</v>
      </c>
      <c r="C198" s="51" t="s">
        <v>29</v>
      </c>
      <c r="D198" s="52" t="s">
        <v>78</v>
      </c>
      <c r="E198" s="53" t="s">
        <v>27</v>
      </c>
      <c r="F198" s="52" t="s">
        <v>4</v>
      </c>
      <c r="G198" s="52" t="s">
        <v>29</v>
      </c>
      <c r="H198" s="230" t="s">
        <v>10836</v>
      </c>
      <c r="I198" s="250" t="s">
        <v>35</v>
      </c>
      <c r="J198" s="176" t="s">
        <v>1487</v>
      </c>
      <c r="K198" s="52" t="s">
        <v>27</v>
      </c>
      <c r="L198" s="254" t="s">
        <v>4</v>
      </c>
      <c r="M198" s="52" t="s">
        <v>29</v>
      </c>
      <c r="N198" s="54" t="s">
        <v>10498</v>
      </c>
      <c r="O198" s="55" t="str">
        <f t="shared" si="4"/>
        <v>L2.01.00.01.03.00</v>
      </c>
      <c r="P198" s="55" t="str">
        <f t="shared" si="8"/>
        <v>L2.01.00.01.03.00.01</v>
      </c>
      <c r="Q198" s="161" t="s">
        <v>10530</v>
      </c>
      <c r="R198" s="169" t="str">
        <f t="shared" si="9"/>
        <v>Phòng KD HCSN 02</v>
      </c>
      <c r="S198" s="227" t="s">
        <v>10840</v>
      </c>
      <c r="T198" s="96" t="s">
        <v>3702</v>
      </c>
      <c r="U198" s="96" t="s">
        <v>346</v>
      </c>
      <c r="V198" s="96" t="s">
        <v>315</v>
      </c>
      <c r="W198" s="96" t="s">
        <v>1487</v>
      </c>
      <c r="X198" s="96"/>
      <c r="Y198" s="96"/>
      <c r="Z198" s="98" t="s">
        <v>10846</v>
      </c>
      <c r="AA198" s="153" t="s">
        <v>10530</v>
      </c>
      <c r="AB198" s="91"/>
      <c r="AC198" s="91"/>
      <c r="AD198" s="91"/>
    </row>
    <row r="199" ht="15.75" customHeight="1" outlineLevel="1">
      <c r="A199" s="170" t="s">
        <v>10833</v>
      </c>
      <c r="B199" s="57" t="s">
        <v>77</v>
      </c>
      <c r="C199" s="51" t="s">
        <v>29</v>
      </c>
      <c r="D199" s="52" t="s">
        <v>78</v>
      </c>
      <c r="E199" s="53" t="s">
        <v>27</v>
      </c>
      <c r="F199" s="52" t="s">
        <v>4</v>
      </c>
      <c r="G199" s="52" t="s">
        <v>29</v>
      </c>
      <c r="H199" s="230" t="s">
        <v>10836</v>
      </c>
      <c r="I199" s="250" t="s">
        <v>35</v>
      </c>
      <c r="J199" s="176" t="s">
        <v>1487</v>
      </c>
      <c r="K199" s="250" t="s">
        <v>29</v>
      </c>
      <c r="L199" s="96" t="s">
        <v>1486</v>
      </c>
      <c r="M199" s="52" t="s">
        <v>29</v>
      </c>
      <c r="N199" s="54" t="s">
        <v>10498</v>
      </c>
      <c r="O199" s="55" t="str">
        <f t="shared" si="4"/>
        <v>L2.01.00.01.03.01</v>
      </c>
      <c r="P199" s="55" t="str">
        <f t="shared" si="8"/>
        <v>L2.01.00.01.03.01.01</v>
      </c>
      <c r="Q199" s="161" t="s">
        <v>10530</v>
      </c>
      <c r="R199" s="169" t="str">
        <f t="shared" si="9"/>
        <v>Nhóm KD HCSN 04</v>
      </c>
      <c r="S199" s="227" t="s">
        <v>10847</v>
      </c>
      <c r="T199" s="96" t="s">
        <v>1488</v>
      </c>
      <c r="U199" s="96" t="s">
        <v>346</v>
      </c>
      <c r="V199" s="96" t="s">
        <v>315</v>
      </c>
      <c r="W199" s="96" t="s">
        <v>1487</v>
      </c>
      <c r="X199" s="96" t="s">
        <v>1486</v>
      </c>
      <c r="Y199" s="96"/>
      <c r="Z199" s="98" t="s">
        <v>10848</v>
      </c>
      <c r="AA199" s="153" t="s">
        <v>10530</v>
      </c>
      <c r="AB199" s="91"/>
      <c r="AC199" s="91"/>
      <c r="AD199" s="91"/>
    </row>
    <row r="200" ht="15.75" customHeight="1" outlineLevel="1">
      <c r="A200" s="170" t="s">
        <v>10833</v>
      </c>
      <c r="B200" s="57" t="s">
        <v>77</v>
      </c>
      <c r="C200" s="51" t="s">
        <v>29</v>
      </c>
      <c r="D200" s="52" t="s">
        <v>78</v>
      </c>
      <c r="E200" s="53" t="s">
        <v>27</v>
      </c>
      <c r="F200" s="52" t="s">
        <v>4</v>
      </c>
      <c r="G200" s="52" t="s">
        <v>29</v>
      </c>
      <c r="H200" s="230" t="s">
        <v>10836</v>
      </c>
      <c r="I200" s="250" t="s">
        <v>35</v>
      </c>
      <c r="J200" s="176" t="s">
        <v>1487</v>
      </c>
      <c r="K200" s="170" t="s">
        <v>33</v>
      </c>
      <c r="L200" s="96" t="s">
        <v>1507</v>
      </c>
      <c r="M200" s="52" t="s">
        <v>29</v>
      </c>
      <c r="N200" s="54" t="s">
        <v>10498</v>
      </c>
      <c r="O200" s="55" t="str">
        <f t="shared" si="4"/>
        <v>L2.01.00.01.03.02</v>
      </c>
      <c r="P200" s="55" t="str">
        <f t="shared" si="8"/>
        <v>L2.01.00.01.03.02.01</v>
      </c>
      <c r="Q200" s="161" t="s">
        <v>10530</v>
      </c>
      <c r="R200" s="169" t="str">
        <f t="shared" si="9"/>
        <v>Nhóm KD HCSN 05</v>
      </c>
      <c r="S200" s="227" t="s">
        <v>10847</v>
      </c>
      <c r="T200" s="96" t="s">
        <v>1508</v>
      </c>
      <c r="U200" s="96" t="s">
        <v>346</v>
      </c>
      <c r="V200" s="96" t="s">
        <v>315</v>
      </c>
      <c r="W200" s="96" t="s">
        <v>1487</v>
      </c>
      <c r="X200" s="96" t="s">
        <v>1507</v>
      </c>
      <c r="Y200" s="96"/>
      <c r="Z200" s="98" t="s">
        <v>10849</v>
      </c>
      <c r="AA200" s="153" t="s">
        <v>10530</v>
      </c>
      <c r="AB200" s="91"/>
      <c r="AC200" s="91"/>
      <c r="AD200" s="91"/>
    </row>
    <row r="201" ht="15.75" customHeight="1" outlineLevel="1">
      <c r="A201" s="170" t="s">
        <v>10833</v>
      </c>
      <c r="B201" s="57" t="s">
        <v>77</v>
      </c>
      <c r="C201" s="51" t="s">
        <v>29</v>
      </c>
      <c r="D201" s="52" t="s">
        <v>78</v>
      </c>
      <c r="E201" s="53" t="s">
        <v>27</v>
      </c>
      <c r="F201" s="52" t="s">
        <v>4</v>
      </c>
      <c r="G201" s="52" t="s">
        <v>29</v>
      </c>
      <c r="H201" s="230" t="s">
        <v>10836</v>
      </c>
      <c r="I201" s="250" t="s">
        <v>37</v>
      </c>
      <c r="J201" s="176" t="s">
        <v>316</v>
      </c>
      <c r="K201" s="52" t="s">
        <v>27</v>
      </c>
      <c r="L201" s="254" t="s">
        <v>4</v>
      </c>
      <c r="M201" s="52" t="s">
        <v>29</v>
      </c>
      <c r="N201" s="54" t="s">
        <v>10498</v>
      </c>
      <c r="O201" s="55" t="str">
        <f t="shared" si="4"/>
        <v>L2.01.00.01.04.00</v>
      </c>
      <c r="P201" s="55" t="str">
        <f t="shared" si="8"/>
        <v>L2.01.00.01.04.00.01</v>
      </c>
      <c r="Q201" s="161" t="s">
        <v>10530</v>
      </c>
      <c r="R201" s="169" t="str">
        <f t="shared" si="9"/>
        <v>Phòng KD HCSN 03</v>
      </c>
      <c r="S201" s="227" t="s">
        <v>10840</v>
      </c>
      <c r="T201" s="96" t="s">
        <v>3971</v>
      </c>
      <c r="U201" s="96" t="s">
        <v>346</v>
      </c>
      <c r="V201" s="96" t="s">
        <v>315</v>
      </c>
      <c r="W201" s="96" t="s">
        <v>316</v>
      </c>
      <c r="X201" s="96"/>
      <c r="Y201" s="96"/>
      <c r="Z201" s="98" t="s">
        <v>10850</v>
      </c>
      <c r="AA201" s="153" t="s">
        <v>10530</v>
      </c>
      <c r="AB201" s="91"/>
      <c r="AC201" s="91"/>
      <c r="AD201" s="91"/>
    </row>
    <row r="202" ht="15.75" customHeight="1" outlineLevel="1">
      <c r="A202" s="170" t="s">
        <v>10833</v>
      </c>
      <c r="B202" s="57" t="s">
        <v>77</v>
      </c>
      <c r="C202" s="51" t="s">
        <v>29</v>
      </c>
      <c r="D202" s="52" t="s">
        <v>78</v>
      </c>
      <c r="E202" s="53" t="s">
        <v>27</v>
      </c>
      <c r="F202" s="52" t="s">
        <v>4</v>
      </c>
      <c r="G202" s="52" t="s">
        <v>29</v>
      </c>
      <c r="H202" s="230" t="s">
        <v>10836</v>
      </c>
      <c r="I202" s="250" t="s">
        <v>37</v>
      </c>
      <c r="J202" s="176" t="s">
        <v>316</v>
      </c>
      <c r="K202" s="250" t="s">
        <v>29</v>
      </c>
      <c r="L202" s="96" t="s">
        <v>314</v>
      </c>
      <c r="M202" s="52" t="s">
        <v>29</v>
      </c>
      <c r="N202" s="54" t="s">
        <v>10498</v>
      </c>
      <c r="O202" s="55" t="str">
        <f t="shared" si="4"/>
        <v>L2.01.00.01.04.01</v>
      </c>
      <c r="P202" s="55" t="str">
        <f t="shared" si="8"/>
        <v>L2.01.00.01.04.01.01</v>
      </c>
      <c r="Q202" s="161" t="s">
        <v>10530</v>
      </c>
      <c r="R202" s="169" t="str">
        <f t="shared" si="9"/>
        <v>Nhóm KD HCSN 06</v>
      </c>
      <c r="S202" s="227" t="s">
        <v>10851</v>
      </c>
      <c r="T202" s="96" t="s">
        <v>1530</v>
      </c>
      <c r="U202" s="96" t="s">
        <v>346</v>
      </c>
      <c r="V202" s="96" t="s">
        <v>315</v>
      </c>
      <c r="W202" s="96" t="s">
        <v>316</v>
      </c>
      <c r="X202" s="96" t="s">
        <v>314</v>
      </c>
      <c r="Y202" s="96"/>
      <c r="Z202" s="98" t="s">
        <v>10852</v>
      </c>
      <c r="AA202" s="153" t="s">
        <v>10530</v>
      </c>
      <c r="AB202" s="91"/>
      <c r="AC202" s="91"/>
      <c r="AD202" s="91"/>
    </row>
    <row r="203" ht="15.75" customHeight="1" outlineLevel="1">
      <c r="A203" s="170" t="s">
        <v>10833</v>
      </c>
      <c r="B203" s="57" t="s">
        <v>77</v>
      </c>
      <c r="C203" s="51" t="s">
        <v>29</v>
      </c>
      <c r="D203" s="52" t="s">
        <v>78</v>
      </c>
      <c r="E203" s="53" t="s">
        <v>27</v>
      </c>
      <c r="F203" s="52" t="s">
        <v>4</v>
      </c>
      <c r="G203" s="52" t="s">
        <v>29</v>
      </c>
      <c r="H203" s="230" t="s">
        <v>10836</v>
      </c>
      <c r="I203" s="250" t="s">
        <v>37</v>
      </c>
      <c r="J203" s="176" t="s">
        <v>316</v>
      </c>
      <c r="K203" s="170" t="s">
        <v>33</v>
      </c>
      <c r="L203" s="96" t="s">
        <v>1501</v>
      </c>
      <c r="M203" s="52" t="s">
        <v>29</v>
      </c>
      <c r="N203" s="54" t="s">
        <v>10498</v>
      </c>
      <c r="O203" s="55" t="str">
        <f t="shared" si="4"/>
        <v>L2.01.00.01.04.02</v>
      </c>
      <c r="P203" s="55" t="str">
        <f t="shared" si="8"/>
        <v>L2.01.00.01.04.02.01</v>
      </c>
      <c r="Q203" s="161" t="s">
        <v>10530</v>
      </c>
      <c r="R203" s="169" t="str">
        <f t="shared" si="9"/>
        <v>Nhóm KD HCSN 07</v>
      </c>
      <c r="S203" s="227" t="s">
        <v>10851</v>
      </c>
      <c r="T203" s="96" t="s">
        <v>1502</v>
      </c>
      <c r="U203" s="96" t="s">
        <v>346</v>
      </c>
      <c r="V203" s="96" t="s">
        <v>315</v>
      </c>
      <c r="W203" s="96" t="s">
        <v>316</v>
      </c>
      <c r="X203" s="96" t="s">
        <v>1501</v>
      </c>
      <c r="Y203" s="96"/>
      <c r="Z203" s="98" t="s">
        <v>10853</v>
      </c>
      <c r="AA203" s="153" t="s">
        <v>10530</v>
      </c>
      <c r="AB203" s="91"/>
      <c r="AC203" s="91"/>
      <c r="AD203" s="91"/>
    </row>
    <row r="204" ht="15.75" customHeight="1" outlineLevel="1">
      <c r="A204" s="170" t="s">
        <v>10833</v>
      </c>
      <c r="B204" s="57" t="s">
        <v>77</v>
      </c>
      <c r="C204" s="51" t="s">
        <v>29</v>
      </c>
      <c r="D204" s="52" t="s">
        <v>78</v>
      </c>
      <c r="E204" s="53" t="s">
        <v>27</v>
      </c>
      <c r="F204" s="52" t="s">
        <v>4</v>
      </c>
      <c r="G204" s="52" t="s">
        <v>29</v>
      </c>
      <c r="H204" s="230" t="s">
        <v>10836</v>
      </c>
      <c r="I204" s="170" t="s">
        <v>42</v>
      </c>
      <c r="J204" s="176" t="s">
        <v>1493</v>
      </c>
      <c r="K204" s="52" t="s">
        <v>27</v>
      </c>
      <c r="L204" s="254" t="s">
        <v>4</v>
      </c>
      <c r="M204" s="52" t="s">
        <v>29</v>
      </c>
      <c r="N204" s="54" t="s">
        <v>10498</v>
      </c>
      <c r="O204" s="55" t="str">
        <f t="shared" si="4"/>
        <v>L2.01.00.01.05.00</v>
      </c>
      <c r="P204" s="55" t="str">
        <f t="shared" si="8"/>
        <v>L2.01.00.01.05.00.01</v>
      </c>
      <c r="Q204" s="161" t="s">
        <v>10530</v>
      </c>
      <c r="R204" s="169" t="str">
        <f t="shared" si="9"/>
        <v>Phòng KD HCSN 04</v>
      </c>
      <c r="S204" s="227" t="s">
        <v>10840</v>
      </c>
      <c r="T204" s="96" t="s">
        <v>1536</v>
      </c>
      <c r="U204" s="96" t="s">
        <v>346</v>
      </c>
      <c r="V204" s="96" t="s">
        <v>315</v>
      </c>
      <c r="W204" s="96" t="s">
        <v>1493</v>
      </c>
      <c r="X204" s="96"/>
      <c r="Y204" s="96"/>
      <c r="Z204" s="98" t="s">
        <v>10854</v>
      </c>
      <c r="AA204" s="153" t="s">
        <v>10530</v>
      </c>
      <c r="AB204" s="91"/>
      <c r="AC204" s="91"/>
      <c r="AD204" s="91"/>
    </row>
    <row r="205" ht="15.75" customHeight="1" outlineLevel="1">
      <c r="A205" s="170" t="s">
        <v>10833</v>
      </c>
      <c r="B205" s="57" t="s">
        <v>77</v>
      </c>
      <c r="C205" s="51" t="s">
        <v>29</v>
      </c>
      <c r="D205" s="52" t="s">
        <v>78</v>
      </c>
      <c r="E205" s="53" t="s">
        <v>27</v>
      </c>
      <c r="F205" s="52" t="s">
        <v>4</v>
      </c>
      <c r="G205" s="52" t="s">
        <v>29</v>
      </c>
      <c r="H205" s="230" t="s">
        <v>10836</v>
      </c>
      <c r="I205" s="170" t="s">
        <v>42</v>
      </c>
      <c r="J205" s="176" t="s">
        <v>1493</v>
      </c>
      <c r="K205" s="250" t="s">
        <v>29</v>
      </c>
      <c r="L205" s="96" t="s">
        <v>1564</v>
      </c>
      <c r="M205" s="52" t="s">
        <v>29</v>
      </c>
      <c r="N205" s="54" t="s">
        <v>10498</v>
      </c>
      <c r="O205" s="55" t="str">
        <f t="shared" si="4"/>
        <v>L2.01.00.01.05.01</v>
      </c>
      <c r="P205" s="55" t="str">
        <f t="shared" si="8"/>
        <v>L2.01.00.01.05.01.01</v>
      </c>
      <c r="Q205" s="161" t="s">
        <v>10530</v>
      </c>
      <c r="R205" s="169" t="str">
        <f t="shared" si="9"/>
        <v>Nhóm KD HCSN 08</v>
      </c>
      <c r="S205" s="227" t="s">
        <v>10855</v>
      </c>
      <c r="T205" s="96" t="s">
        <v>1565</v>
      </c>
      <c r="U205" s="96" t="s">
        <v>346</v>
      </c>
      <c r="V205" s="96" t="s">
        <v>315</v>
      </c>
      <c r="W205" s="96" t="s">
        <v>1493</v>
      </c>
      <c r="X205" s="96" t="s">
        <v>1564</v>
      </c>
      <c r="Y205" s="96"/>
      <c r="Z205" s="98" t="s">
        <v>10856</v>
      </c>
      <c r="AA205" s="153" t="s">
        <v>10530</v>
      </c>
      <c r="AB205" s="91"/>
      <c r="AC205" s="91"/>
      <c r="AD205" s="91"/>
    </row>
    <row r="206" ht="15.75" customHeight="1" outlineLevel="1">
      <c r="A206" s="170" t="s">
        <v>10833</v>
      </c>
      <c r="B206" s="57" t="s">
        <v>77</v>
      </c>
      <c r="C206" s="51" t="s">
        <v>29</v>
      </c>
      <c r="D206" s="52" t="s">
        <v>78</v>
      </c>
      <c r="E206" s="53" t="s">
        <v>27</v>
      </c>
      <c r="F206" s="52" t="s">
        <v>4</v>
      </c>
      <c r="G206" s="52" t="s">
        <v>29</v>
      </c>
      <c r="H206" s="230" t="s">
        <v>10836</v>
      </c>
      <c r="I206" s="170" t="s">
        <v>42</v>
      </c>
      <c r="J206" s="176" t="s">
        <v>1493</v>
      </c>
      <c r="K206" s="170" t="s">
        <v>33</v>
      </c>
      <c r="L206" s="96" t="s">
        <v>1525</v>
      </c>
      <c r="M206" s="52" t="s">
        <v>29</v>
      </c>
      <c r="N206" s="54" t="s">
        <v>10498</v>
      </c>
      <c r="O206" s="55" t="str">
        <f t="shared" si="4"/>
        <v>L2.01.00.01.05.02</v>
      </c>
      <c r="P206" s="55" t="str">
        <f t="shared" si="8"/>
        <v>L2.01.00.01.05.02.01</v>
      </c>
      <c r="Q206" s="161" t="s">
        <v>10530</v>
      </c>
      <c r="R206" s="169" t="str">
        <f t="shared" si="9"/>
        <v>Nhóm KD HCSN 09</v>
      </c>
      <c r="S206" s="227" t="s">
        <v>10855</v>
      </c>
      <c r="T206" s="96" t="s">
        <v>1526</v>
      </c>
      <c r="U206" s="96" t="s">
        <v>346</v>
      </c>
      <c r="V206" s="96" t="s">
        <v>315</v>
      </c>
      <c r="W206" s="96" t="s">
        <v>1493</v>
      </c>
      <c r="X206" s="96" t="s">
        <v>1525</v>
      </c>
      <c r="Y206" s="96"/>
      <c r="Z206" s="98" t="s">
        <v>10857</v>
      </c>
      <c r="AA206" s="153" t="s">
        <v>10530</v>
      </c>
      <c r="AB206" s="91"/>
      <c r="AC206" s="91"/>
      <c r="AD206" s="91"/>
    </row>
    <row r="207" ht="15.75" customHeight="1" outlineLevel="1">
      <c r="A207" s="170" t="s">
        <v>10833</v>
      </c>
      <c r="B207" s="57" t="s">
        <v>77</v>
      </c>
      <c r="C207" s="51" t="s">
        <v>29</v>
      </c>
      <c r="D207" s="52" t="s">
        <v>78</v>
      </c>
      <c r="E207" s="53" t="s">
        <v>27</v>
      </c>
      <c r="F207" s="52" t="s">
        <v>4</v>
      </c>
      <c r="G207" s="52" t="s">
        <v>29</v>
      </c>
      <c r="H207" s="230" t="s">
        <v>10836</v>
      </c>
      <c r="I207" s="170" t="s">
        <v>42</v>
      </c>
      <c r="J207" s="176" t="s">
        <v>1493</v>
      </c>
      <c r="K207" s="170" t="s">
        <v>35</v>
      </c>
      <c r="L207" s="96" t="s">
        <v>1492</v>
      </c>
      <c r="M207" s="52" t="s">
        <v>29</v>
      </c>
      <c r="N207" s="54" t="s">
        <v>10498</v>
      </c>
      <c r="O207" s="55" t="str">
        <f t="shared" si="4"/>
        <v>L2.01.00.01.05.03</v>
      </c>
      <c r="P207" s="55" t="str">
        <f t="shared" si="8"/>
        <v>L2.01.00.01.05.03.01</v>
      </c>
      <c r="Q207" s="161" t="s">
        <v>10530</v>
      </c>
      <c r="R207" s="169" t="str">
        <f t="shared" si="9"/>
        <v>Nhóm KD DA TW</v>
      </c>
      <c r="S207" s="227" t="s">
        <v>10855</v>
      </c>
      <c r="T207" s="96" t="s">
        <v>1494</v>
      </c>
      <c r="U207" s="96" t="s">
        <v>346</v>
      </c>
      <c r="V207" s="96" t="s">
        <v>315</v>
      </c>
      <c r="W207" s="96" t="s">
        <v>1493</v>
      </c>
      <c r="X207" s="96" t="s">
        <v>1492</v>
      </c>
      <c r="Y207" s="96"/>
      <c r="Z207" s="98" t="s">
        <v>10858</v>
      </c>
      <c r="AA207" s="153" t="s">
        <v>10530</v>
      </c>
      <c r="AB207" s="91"/>
      <c r="AC207" s="91"/>
      <c r="AD207" s="91"/>
    </row>
    <row r="208" ht="15.75" customHeight="1" outlineLevel="1">
      <c r="A208" s="170" t="s">
        <v>10833</v>
      </c>
      <c r="B208" s="57" t="s">
        <v>77</v>
      </c>
      <c r="C208" s="51" t="s">
        <v>29</v>
      </c>
      <c r="D208" s="52" t="s">
        <v>78</v>
      </c>
      <c r="E208" s="53" t="s">
        <v>27</v>
      </c>
      <c r="F208" s="52" t="s">
        <v>4</v>
      </c>
      <c r="G208" s="52" t="s">
        <v>29</v>
      </c>
      <c r="H208" s="230" t="s">
        <v>10836</v>
      </c>
      <c r="I208" s="170" t="s">
        <v>44</v>
      </c>
      <c r="J208" s="176" t="s">
        <v>1366</v>
      </c>
      <c r="K208" s="172" t="s">
        <v>27</v>
      </c>
      <c r="L208" s="218" t="s">
        <v>4</v>
      </c>
      <c r="M208" s="52" t="s">
        <v>29</v>
      </c>
      <c r="N208" s="54" t="s">
        <v>10498</v>
      </c>
      <c r="O208" s="55" t="str">
        <f t="shared" si="4"/>
        <v>L2.01.00.01.06.00</v>
      </c>
      <c r="P208" s="55" t="str">
        <f t="shared" si="8"/>
        <v>L2.01.00.01.06.00.01</v>
      </c>
      <c r="Q208" s="161" t="s">
        <v>10530</v>
      </c>
      <c r="R208" s="169" t="str">
        <f t="shared" si="9"/>
        <v>Phòng Triển khai &amp; CSKH 01</v>
      </c>
      <c r="S208" s="227" t="s">
        <v>10840</v>
      </c>
      <c r="T208" s="96" t="s">
        <v>1550</v>
      </c>
      <c r="U208" s="96" t="s">
        <v>346</v>
      </c>
      <c r="V208" s="96" t="s">
        <v>315</v>
      </c>
      <c r="W208" s="96" t="s">
        <v>1366</v>
      </c>
      <c r="X208" s="96"/>
      <c r="Y208" s="97"/>
      <c r="Z208" s="98" t="s">
        <v>10859</v>
      </c>
      <c r="AA208" s="153" t="s">
        <v>10530</v>
      </c>
      <c r="AB208" s="91"/>
      <c r="AC208" s="91"/>
      <c r="AD208" s="91"/>
    </row>
    <row r="209" ht="15.75" customHeight="1" outlineLevel="1">
      <c r="A209" s="170" t="s">
        <v>10833</v>
      </c>
      <c r="B209" s="57" t="s">
        <v>77</v>
      </c>
      <c r="C209" s="51" t="s">
        <v>29</v>
      </c>
      <c r="D209" s="52" t="s">
        <v>78</v>
      </c>
      <c r="E209" s="53" t="s">
        <v>27</v>
      </c>
      <c r="F209" s="52" t="s">
        <v>4</v>
      </c>
      <c r="G209" s="52" t="s">
        <v>29</v>
      </c>
      <c r="H209" s="230" t="s">
        <v>10836</v>
      </c>
      <c r="I209" s="170" t="s">
        <v>44</v>
      </c>
      <c r="J209" s="176" t="s">
        <v>1366</v>
      </c>
      <c r="K209" s="175" t="s">
        <v>29</v>
      </c>
      <c r="L209" s="224" t="s">
        <v>10860</v>
      </c>
      <c r="M209" s="52" t="s">
        <v>29</v>
      </c>
      <c r="N209" s="54" t="s">
        <v>10498</v>
      </c>
      <c r="O209" s="55" t="str">
        <f t="shared" si="4"/>
        <v>L2.01.00.01.06.01</v>
      </c>
      <c r="P209" s="55" t="str">
        <f t="shared" si="8"/>
        <v>L2.01.00.01.06.01.01</v>
      </c>
      <c r="Q209" s="161" t="s">
        <v>10530</v>
      </c>
      <c r="R209" s="169" t="str">
        <f t="shared" si="9"/>
        <v>Nhóm Triển khai &amp; CSKH sản phẩm tài chính</v>
      </c>
      <c r="S209" s="227" t="s">
        <v>10861</v>
      </c>
      <c r="T209" s="96"/>
      <c r="U209" s="96"/>
      <c r="V209" s="96"/>
      <c r="W209" s="96"/>
      <c r="X209" s="96"/>
      <c r="Y209" s="97" t="s">
        <v>10862</v>
      </c>
      <c r="Z209" s="98" t="s">
        <v>10863</v>
      </c>
      <c r="AA209" s="153" t="s">
        <v>10530</v>
      </c>
      <c r="AB209" s="91"/>
      <c r="AC209" s="91"/>
      <c r="AD209" s="91"/>
    </row>
    <row r="210" ht="15.75" customHeight="1" outlineLevel="1">
      <c r="A210" s="170" t="s">
        <v>10833</v>
      </c>
      <c r="B210" s="57" t="s">
        <v>77</v>
      </c>
      <c r="C210" s="51" t="s">
        <v>29</v>
      </c>
      <c r="D210" s="52" t="s">
        <v>78</v>
      </c>
      <c r="E210" s="53" t="s">
        <v>27</v>
      </c>
      <c r="F210" s="52" t="s">
        <v>4</v>
      </c>
      <c r="G210" s="52" t="s">
        <v>29</v>
      </c>
      <c r="H210" s="230" t="s">
        <v>10836</v>
      </c>
      <c r="I210" s="170" t="s">
        <v>44</v>
      </c>
      <c r="J210" s="176" t="s">
        <v>1366</v>
      </c>
      <c r="K210" s="177" t="s">
        <v>33</v>
      </c>
      <c r="L210" s="224" t="s">
        <v>10864</v>
      </c>
      <c r="M210" s="52" t="s">
        <v>29</v>
      </c>
      <c r="N210" s="54" t="s">
        <v>10498</v>
      </c>
      <c r="O210" s="55" t="str">
        <f t="shared" si="4"/>
        <v>L2.01.00.01.06.02</v>
      </c>
      <c r="P210" s="55" t="str">
        <f t="shared" si="8"/>
        <v>L2.01.00.01.06.02.01</v>
      </c>
      <c r="Q210" s="161" t="s">
        <v>10530</v>
      </c>
      <c r="R210" s="169" t="str">
        <f t="shared" si="9"/>
        <v>Nhóm Triển khai &amp; CSKH sản phẩm điều hành</v>
      </c>
      <c r="S210" s="227" t="s">
        <v>10861</v>
      </c>
      <c r="T210" s="96"/>
      <c r="U210" s="96"/>
      <c r="V210" s="96"/>
      <c r="W210" s="96"/>
      <c r="X210" s="96"/>
      <c r="Y210" s="97" t="s">
        <v>10862</v>
      </c>
      <c r="Z210" s="98" t="s">
        <v>10865</v>
      </c>
      <c r="AA210" s="153" t="s">
        <v>10530</v>
      </c>
      <c r="AB210" s="91"/>
      <c r="AC210" s="91"/>
      <c r="AD210" s="91"/>
    </row>
    <row r="211" ht="15.75" customHeight="1" outlineLevel="1">
      <c r="A211" s="170" t="s">
        <v>10833</v>
      </c>
      <c r="B211" s="57" t="s">
        <v>77</v>
      </c>
      <c r="C211" s="51" t="s">
        <v>29</v>
      </c>
      <c r="D211" s="52" t="s">
        <v>78</v>
      </c>
      <c r="E211" s="53" t="s">
        <v>27</v>
      </c>
      <c r="F211" s="52" t="s">
        <v>4</v>
      </c>
      <c r="G211" s="52" t="s">
        <v>29</v>
      </c>
      <c r="H211" s="230" t="s">
        <v>10836</v>
      </c>
      <c r="I211" s="170" t="s">
        <v>46</v>
      </c>
      <c r="J211" s="176" t="s">
        <v>1221</v>
      </c>
      <c r="K211" s="52" t="s">
        <v>27</v>
      </c>
      <c r="L211" s="254" t="s">
        <v>4</v>
      </c>
      <c r="M211" s="52" t="s">
        <v>29</v>
      </c>
      <c r="N211" s="54" t="s">
        <v>10498</v>
      </c>
      <c r="O211" s="55" t="str">
        <f t="shared" si="4"/>
        <v>L2.01.00.01.07.00</v>
      </c>
      <c r="P211" s="55" t="str">
        <f t="shared" si="8"/>
        <v>L2.01.00.01.07.00.01</v>
      </c>
      <c r="Q211" s="161" t="s">
        <v>10530</v>
      </c>
      <c r="R211" s="169" t="str">
        <f t="shared" si="9"/>
        <v>Phòng Triển khai &amp; CSKH 02</v>
      </c>
      <c r="S211" s="227" t="s">
        <v>10840</v>
      </c>
      <c r="T211" s="96" t="s">
        <v>1318</v>
      </c>
      <c r="U211" s="96" t="s">
        <v>346</v>
      </c>
      <c r="V211" s="96" t="s">
        <v>315</v>
      </c>
      <c r="W211" s="96" t="s">
        <v>1221</v>
      </c>
      <c r="X211" s="96"/>
      <c r="Y211" s="96"/>
      <c r="Z211" s="98" t="s">
        <v>10866</v>
      </c>
      <c r="AA211" s="153" t="s">
        <v>10530</v>
      </c>
      <c r="AB211" s="91"/>
      <c r="AC211" s="91"/>
      <c r="AD211" s="91"/>
    </row>
    <row r="212" ht="15.75" customHeight="1" outlineLevel="1">
      <c r="A212" s="170" t="s">
        <v>10833</v>
      </c>
      <c r="B212" s="57" t="s">
        <v>77</v>
      </c>
      <c r="C212" s="51" t="s">
        <v>29</v>
      </c>
      <c r="D212" s="52" t="s">
        <v>78</v>
      </c>
      <c r="E212" s="53" t="s">
        <v>27</v>
      </c>
      <c r="F212" s="52" t="s">
        <v>4</v>
      </c>
      <c r="G212" s="52" t="s">
        <v>29</v>
      </c>
      <c r="H212" s="230" t="s">
        <v>10836</v>
      </c>
      <c r="I212" s="170" t="s">
        <v>46</v>
      </c>
      <c r="J212" s="176" t="s">
        <v>1221</v>
      </c>
      <c r="K212" s="250" t="s">
        <v>29</v>
      </c>
      <c r="L212" s="224" t="s">
        <v>10860</v>
      </c>
      <c r="M212" s="52" t="s">
        <v>29</v>
      </c>
      <c r="N212" s="54" t="s">
        <v>10498</v>
      </c>
      <c r="O212" s="55" t="str">
        <f t="shared" si="4"/>
        <v>L2.01.00.01.07.01</v>
      </c>
      <c r="P212" s="55" t="str">
        <f t="shared" si="8"/>
        <v>L2.01.00.01.07.01.01</v>
      </c>
      <c r="Q212" s="161" t="s">
        <v>10530</v>
      </c>
      <c r="R212" s="169" t="str">
        <f t="shared" si="9"/>
        <v>Nhóm Triển khai &amp; CSKH sản phẩm tài chính</v>
      </c>
      <c r="S212" s="227" t="s">
        <v>10867</v>
      </c>
      <c r="T212" s="96"/>
      <c r="U212" s="96"/>
      <c r="V212" s="96"/>
      <c r="W212" s="96"/>
      <c r="X212" s="96"/>
      <c r="Y212" s="97" t="s">
        <v>10862</v>
      </c>
      <c r="Z212" s="98" t="s">
        <v>10868</v>
      </c>
      <c r="AA212" s="153" t="s">
        <v>10530</v>
      </c>
      <c r="AB212" s="91"/>
      <c r="AC212" s="91"/>
      <c r="AD212" s="91"/>
    </row>
    <row r="213" ht="15.75" customHeight="1" outlineLevel="1">
      <c r="A213" s="170" t="s">
        <v>10833</v>
      </c>
      <c r="B213" s="57" t="s">
        <v>77</v>
      </c>
      <c r="C213" s="51" t="s">
        <v>29</v>
      </c>
      <c r="D213" s="52" t="s">
        <v>78</v>
      </c>
      <c r="E213" s="53" t="s">
        <v>27</v>
      </c>
      <c r="F213" s="52" t="s">
        <v>4</v>
      </c>
      <c r="G213" s="52" t="s">
        <v>29</v>
      </c>
      <c r="H213" s="230" t="s">
        <v>10836</v>
      </c>
      <c r="I213" s="170" t="s">
        <v>46</v>
      </c>
      <c r="J213" s="176" t="s">
        <v>1221</v>
      </c>
      <c r="K213" s="170" t="s">
        <v>33</v>
      </c>
      <c r="L213" s="224" t="s">
        <v>10864</v>
      </c>
      <c r="M213" s="52" t="s">
        <v>29</v>
      </c>
      <c r="N213" s="54" t="s">
        <v>10498</v>
      </c>
      <c r="O213" s="55" t="str">
        <f t="shared" si="4"/>
        <v>L2.01.00.01.07.02</v>
      </c>
      <c r="P213" s="55" t="str">
        <f t="shared" si="8"/>
        <v>L2.01.00.01.07.02.01</v>
      </c>
      <c r="Q213" s="161" t="s">
        <v>10530</v>
      </c>
      <c r="R213" s="169" t="str">
        <f t="shared" si="9"/>
        <v>Nhóm Triển khai &amp; CSKH sản phẩm điều hành</v>
      </c>
      <c r="S213" s="227" t="s">
        <v>10867</v>
      </c>
      <c r="T213" s="96"/>
      <c r="U213" s="96"/>
      <c r="V213" s="96"/>
      <c r="W213" s="96"/>
      <c r="X213" s="96"/>
      <c r="Y213" s="97" t="s">
        <v>10862</v>
      </c>
      <c r="Z213" s="98" t="s">
        <v>10869</v>
      </c>
      <c r="AA213" s="153" t="s">
        <v>10530</v>
      </c>
      <c r="AB213" s="91"/>
      <c r="AC213" s="91"/>
      <c r="AD213" s="91"/>
    </row>
    <row r="214" ht="15.75" customHeight="1" outlineLevel="1">
      <c r="A214" s="170" t="s">
        <v>10833</v>
      </c>
      <c r="B214" s="57" t="s">
        <v>77</v>
      </c>
      <c r="C214" s="51" t="s">
        <v>29</v>
      </c>
      <c r="D214" s="52" t="s">
        <v>78</v>
      </c>
      <c r="E214" s="53" t="s">
        <v>27</v>
      </c>
      <c r="F214" s="52" t="s">
        <v>4</v>
      </c>
      <c r="G214" s="52" t="s">
        <v>29</v>
      </c>
      <c r="H214" s="230" t="s">
        <v>10870</v>
      </c>
      <c r="I214" s="250" t="s">
        <v>27</v>
      </c>
      <c r="J214" s="251" t="s">
        <v>4</v>
      </c>
      <c r="K214" s="52" t="s">
        <v>27</v>
      </c>
      <c r="L214" s="56" t="s">
        <v>4</v>
      </c>
      <c r="M214" s="52" t="s">
        <v>33</v>
      </c>
      <c r="N214" s="54" t="s">
        <v>10499</v>
      </c>
      <c r="O214" s="55" t="str">
        <f t="shared" si="4"/>
        <v>L2.01.00.01.00.00</v>
      </c>
      <c r="P214" s="55" t="str">
        <f t="shared" si="8"/>
        <v>L2.01.00.01.00.00.02</v>
      </c>
      <c r="Q214" s="161" t="s">
        <v>10530</v>
      </c>
      <c r="R214" s="169" t="str">
        <f t="shared" si="9"/>
        <v>Trung tâm KD Hành chính sự nghiệp - Hồ Chí Minh</v>
      </c>
      <c r="S214" s="227" t="s">
        <v>10837</v>
      </c>
      <c r="T214" s="97" t="s">
        <v>10871</v>
      </c>
      <c r="U214" s="96" t="s">
        <v>262</v>
      </c>
      <c r="V214" s="96" t="s">
        <v>315</v>
      </c>
      <c r="W214" s="96"/>
      <c r="X214" s="96"/>
      <c r="Y214" s="96"/>
      <c r="Z214" s="98" t="s">
        <v>10872</v>
      </c>
      <c r="AA214" s="153" t="s">
        <v>10530</v>
      </c>
      <c r="AB214" s="91"/>
      <c r="AC214" s="91"/>
      <c r="AD214" s="91"/>
    </row>
    <row r="215" ht="15.75" customHeight="1" outlineLevel="1">
      <c r="A215" s="170" t="s">
        <v>10833</v>
      </c>
      <c r="B215" s="57" t="s">
        <v>77</v>
      </c>
      <c r="C215" s="51" t="s">
        <v>29</v>
      </c>
      <c r="D215" s="52" t="s">
        <v>78</v>
      </c>
      <c r="E215" s="53" t="s">
        <v>27</v>
      </c>
      <c r="F215" s="52" t="s">
        <v>4</v>
      </c>
      <c r="G215" s="52" t="s">
        <v>29</v>
      </c>
      <c r="H215" s="230" t="s">
        <v>10870</v>
      </c>
      <c r="I215" s="52" t="s">
        <v>29</v>
      </c>
      <c r="J215" s="55" t="s">
        <v>84</v>
      </c>
      <c r="K215" s="52" t="s">
        <v>27</v>
      </c>
      <c r="L215" s="56" t="s">
        <v>4</v>
      </c>
      <c r="M215" s="52" t="s">
        <v>33</v>
      </c>
      <c r="N215" s="54" t="s">
        <v>10499</v>
      </c>
      <c r="O215" s="55" t="str">
        <f t="shared" si="4"/>
        <v>L2.01.00.01.01.00</v>
      </c>
      <c r="P215" s="55" t="str">
        <f t="shared" si="8"/>
        <v>L2.01.00.01.01.00.02</v>
      </c>
      <c r="Q215" s="161" t="s">
        <v>10530</v>
      </c>
      <c r="R215" s="169" t="str">
        <f t="shared" si="9"/>
        <v>Ban giám đốc TT KD HCSN</v>
      </c>
      <c r="S215" s="227" t="s">
        <v>10873</v>
      </c>
      <c r="T215" s="96" t="s">
        <v>8680</v>
      </c>
      <c r="U215" s="96" t="s">
        <v>262</v>
      </c>
      <c r="V215" s="96" t="s">
        <v>315</v>
      </c>
      <c r="W215" s="96" t="s">
        <v>8679</v>
      </c>
      <c r="X215" s="96"/>
      <c r="Y215" s="96"/>
      <c r="Z215" s="98" t="s">
        <v>10874</v>
      </c>
      <c r="AA215" s="153" t="s">
        <v>10530</v>
      </c>
      <c r="AB215" s="91"/>
      <c r="AC215" s="91"/>
      <c r="AD215" s="91"/>
    </row>
    <row r="216" ht="15.75" customHeight="1" outlineLevel="1">
      <c r="A216" s="170" t="s">
        <v>10833</v>
      </c>
      <c r="B216" s="57" t="s">
        <v>77</v>
      </c>
      <c r="C216" s="51" t="s">
        <v>29</v>
      </c>
      <c r="D216" s="52" t="s">
        <v>78</v>
      </c>
      <c r="E216" s="53" t="s">
        <v>27</v>
      </c>
      <c r="F216" s="52" t="s">
        <v>4</v>
      </c>
      <c r="G216" s="52" t="s">
        <v>29</v>
      </c>
      <c r="H216" s="230" t="s">
        <v>10870</v>
      </c>
      <c r="I216" s="52" t="s">
        <v>33</v>
      </c>
      <c r="J216" s="176" t="s">
        <v>1577</v>
      </c>
      <c r="K216" s="52" t="s">
        <v>27</v>
      </c>
      <c r="L216" s="254" t="s">
        <v>4</v>
      </c>
      <c r="M216" s="52" t="s">
        <v>33</v>
      </c>
      <c r="N216" s="54" t="s">
        <v>10499</v>
      </c>
      <c r="O216" s="55" t="str">
        <f t="shared" si="4"/>
        <v>L2.01.00.01.02.00</v>
      </c>
      <c r="P216" s="55" t="str">
        <f t="shared" si="8"/>
        <v>L2.01.00.01.02.00.02</v>
      </c>
      <c r="Q216" s="161" t="s">
        <v>10530</v>
      </c>
      <c r="R216" s="169" t="str">
        <f t="shared" si="9"/>
        <v>Phòng KD HCSN 01</v>
      </c>
      <c r="S216" s="227" t="s">
        <v>10873</v>
      </c>
      <c r="T216" s="96" t="s">
        <v>8389</v>
      </c>
      <c r="U216" s="96" t="s">
        <v>262</v>
      </c>
      <c r="V216" s="96" t="s">
        <v>315</v>
      </c>
      <c r="W216" s="96" t="s">
        <v>1577</v>
      </c>
      <c r="X216" s="96"/>
      <c r="Y216" s="96"/>
      <c r="Z216" s="98" t="s">
        <v>10875</v>
      </c>
      <c r="AA216" s="153" t="s">
        <v>10530</v>
      </c>
      <c r="AB216" s="91"/>
      <c r="AC216" s="91"/>
      <c r="AD216" s="91"/>
    </row>
    <row r="217" ht="15.75" customHeight="1" outlineLevel="1">
      <c r="A217" s="170" t="s">
        <v>10833</v>
      </c>
      <c r="B217" s="57" t="s">
        <v>77</v>
      </c>
      <c r="C217" s="51" t="s">
        <v>29</v>
      </c>
      <c r="D217" s="52" t="s">
        <v>78</v>
      </c>
      <c r="E217" s="53" t="s">
        <v>27</v>
      </c>
      <c r="F217" s="52" t="s">
        <v>4</v>
      </c>
      <c r="G217" s="52" t="s">
        <v>29</v>
      </c>
      <c r="H217" s="230" t="s">
        <v>10870</v>
      </c>
      <c r="I217" s="52" t="s">
        <v>33</v>
      </c>
      <c r="J217" s="176" t="s">
        <v>1577</v>
      </c>
      <c r="K217" s="250" t="s">
        <v>29</v>
      </c>
      <c r="L217" s="96" t="s">
        <v>2439</v>
      </c>
      <c r="M217" s="52" t="s">
        <v>33</v>
      </c>
      <c r="N217" s="54" t="s">
        <v>10499</v>
      </c>
      <c r="O217" s="55" t="str">
        <f t="shared" si="4"/>
        <v>L2.01.00.01.02.01</v>
      </c>
      <c r="P217" s="55" t="str">
        <f t="shared" si="8"/>
        <v>L2.01.00.01.02.01.02</v>
      </c>
      <c r="Q217" s="161" t="s">
        <v>10530</v>
      </c>
      <c r="R217" s="169" t="str">
        <f t="shared" si="9"/>
        <v>Nhóm KD HCSN 01</v>
      </c>
      <c r="S217" s="227" t="s">
        <v>10876</v>
      </c>
      <c r="T217" s="96" t="s">
        <v>2440</v>
      </c>
      <c r="U217" s="96" t="s">
        <v>262</v>
      </c>
      <c r="V217" s="96" t="s">
        <v>315</v>
      </c>
      <c r="W217" s="96" t="s">
        <v>1577</v>
      </c>
      <c r="X217" s="96" t="s">
        <v>2439</v>
      </c>
      <c r="Y217" s="96"/>
      <c r="Z217" s="98" t="s">
        <v>10877</v>
      </c>
      <c r="AA217" s="153" t="s">
        <v>10530</v>
      </c>
      <c r="AB217" s="91"/>
      <c r="AC217" s="91"/>
      <c r="AD217" s="91"/>
    </row>
    <row r="218" ht="15.75" customHeight="1" outlineLevel="1">
      <c r="A218" s="170" t="s">
        <v>10833</v>
      </c>
      <c r="B218" s="57" t="s">
        <v>77</v>
      </c>
      <c r="C218" s="51" t="s">
        <v>29</v>
      </c>
      <c r="D218" s="52" t="s">
        <v>78</v>
      </c>
      <c r="E218" s="53" t="s">
        <v>27</v>
      </c>
      <c r="F218" s="52" t="s">
        <v>4</v>
      </c>
      <c r="G218" s="52" t="s">
        <v>29</v>
      </c>
      <c r="H218" s="230" t="s">
        <v>10870</v>
      </c>
      <c r="I218" s="52" t="s">
        <v>33</v>
      </c>
      <c r="J218" s="176" t="s">
        <v>1577</v>
      </c>
      <c r="K218" s="170" t="s">
        <v>33</v>
      </c>
      <c r="L218" s="96" t="s">
        <v>1598</v>
      </c>
      <c r="M218" s="52" t="s">
        <v>33</v>
      </c>
      <c r="N218" s="54" t="s">
        <v>10499</v>
      </c>
      <c r="O218" s="55" t="str">
        <f t="shared" si="4"/>
        <v>L2.01.00.01.02.02</v>
      </c>
      <c r="P218" s="55" t="str">
        <f t="shared" si="8"/>
        <v>L2.01.00.01.02.02.02</v>
      </c>
      <c r="Q218" s="161" t="s">
        <v>10530</v>
      </c>
      <c r="R218" s="169" t="str">
        <f t="shared" si="9"/>
        <v>Nhóm KD HCSN 02</v>
      </c>
      <c r="S218" s="227" t="s">
        <v>10876</v>
      </c>
      <c r="T218" s="96" t="s">
        <v>8419</v>
      </c>
      <c r="U218" s="96" t="s">
        <v>262</v>
      </c>
      <c r="V218" s="96" t="s">
        <v>315</v>
      </c>
      <c r="W218" s="96" t="s">
        <v>1577</v>
      </c>
      <c r="X218" s="96" t="s">
        <v>1598</v>
      </c>
      <c r="Y218" s="96"/>
      <c r="Z218" s="98" t="s">
        <v>10878</v>
      </c>
      <c r="AA218" s="153" t="s">
        <v>10530</v>
      </c>
      <c r="AB218" s="91"/>
      <c r="AC218" s="91"/>
      <c r="AD218" s="91"/>
    </row>
    <row r="219" ht="15.75" customHeight="1" outlineLevel="1">
      <c r="A219" s="170" t="s">
        <v>10833</v>
      </c>
      <c r="B219" s="57" t="s">
        <v>77</v>
      </c>
      <c r="C219" s="51" t="s">
        <v>29</v>
      </c>
      <c r="D219" s="52" t="s">
        <v>78</v>
      </c>
      <c r="E219" s="53" t="s">
        <v>27</v>
      </c>
      <c r="F219" s="52" t="s">
        <v>4</v>
      </c>
      <c r="G219" s="52" t="s">
        <v>29</v>
      </c>
      <c r="H219" s="230" t="s">
        <v>10870</v>
      </c>
      <c r="I219" s="52" t="s">
        <v>33</v>
      </c>
      <c r="J219" s="176" t="s">
        <v>1577</v>
      </c>
      <c r="K219" s="170" t="s">
        <v>35</v>
      </c>
      <c r="L219" s="96" t="s">
        <v>1576</v>
      </c>
      <c r="M219" s="52" t="s">
        <v>33</v>
      </c>
      <c r="N219" s="54" t="s">
        <v>10499</v>
      </c>
      <c r="O219" s="55" t="str">
        <f t="shared" si="4"/>
        <v>L2.01.00.01.02.03</v>
      </c>
      <c r="P219" s="55" t="str">
        <f t="shared" si="8"/>
        <v>L2.01.00.01.02.03.02</v>
      </c>
      <c r="Q219" s="161" t="s">
        <v>10530</v>
      </c>
      <c r="R219" s="169" t="str">
        <f t="shared" si="9"/>
        <v>Nhóm KD HCSN 03</v>
      </c>
      <c r="S219" s="227" t="s">
        <v>10876</v>
      </c>
      <c r="T219" s="96" t="s">
        <v>7194</v>
      </c>
      <c r="U219" s="96" t="s">
        <v>262</v>
      </c>
      <c r="V219" s="96" t="s">
        <v>315</v>
      </c>
      <c r="W219" s="96" t="s">
        <v>1577</v>
      </c>
      <c r="X219" s="96" t="s">
        <v>1576</v>
      </c>
      <c r="Y219" s="96"/>
      <c r="Z219" s="98" t="s">
        <v>10879</v>
      </c>
      <c r="AA219" s="153" t="s">
        <v>10530</v>
      </c>
      <c r="AB219" s="91"/>
      <c r="AC219" s="91"/>
      <c r="AD219" s="91"/>
    </row>
    <row r="220" ht="15.75" customHeight="1" outlineLevel="1">
      <c r="A220" s="170" t="s">
        <v>10833</v>
      </c>
      <c r="B220" s="57" t="s">
        <v>77</v>
      </c>
      <c r="C220" s="51" t="s">
        <v>29</v>
      </c>
      <c r="D220" s="52" t="s">
        <v>78</v>
      </c>
      <c r="E220" s="53" t="s">
        <v>27</v>
      </c>
      <c r="F220" s="52" t="s">
        <v>4</v>
      </c>
      <c r="G220" s="52" t="s">
        <v>29</v>
      </c>
      <c r="H220" s="230" t="s">
        <v>10870</v>
      </c>
      <c r="I220" s="51" t="s">
        <v>35</v>
      </c>
      <c r="J220" s="176" t="s">
        <v>316</v>
      </c>
      <c r="K220" s="52" t="s">
        <v>27</v>
      </c>
      <c r="L220" s="254" t="s">
        <v>4</v>
      </c>
      <c r="M220" s="52" t="s">
        <v>33</v>
      </c>
      <c r="N220" s="54" t="s">
        <v>10499</v>
      </c>
      <c r="O220" s="55" t="str">
        <f t="shared" si="4"/>
        <v>L2.01.00.01.03.00</v>
      </c>
      <c r="P220" s="55" t="str">
        <f t="shared" si="8"/>
        <v>L2.01.00.01.03.00.02</v>
      </c>
      <c r="Q220" s="161" t="s">
        <v>10530</v>
      </c>
      <c r="R220" s="169" t="str">
        <f t="shared" si="9"/>
        <v>Phòng KD HCSN 03</v>
      </c>
      <c r="S220" s="227" t="s">
        <v>10873</v>
      </c>
      <c r="T220" s="96" t="s">
        <v>8724</v>
      </c>
      <c r="U220" s="96" t="s">
        <v>262</v>
      </c>
      <c r="V220" s="96" t="s">
        <v>315</v>
      </c>
      <c r="W220" s="96" t="s">
        <v>316</v>
      </c>
      <c r="X220" s="96"/>
      <c r="Y220" s="96"/>
      <c r="Z220" s="98" t="s">
        <v>10880</v>
      </c>
      <c r="AA220" s="153" t="s">
        <v>10530</v>
      </c>
      <c r="AB220" s="91"/>
      <c r="AC220" s="91"/>
      <c r="AD220" s="91"/>
    </row>
    <row r="221" ht="15.75" customHeight="1" outlineLevel="1">
      <c r="A221" s="170" t="s">
        <v>10833</v>
      </c>
      <c r="B221" s="57" t="s">
        <v>77</v>
      </c>
      <c r="C221" s="51" t="s">
        <v>29</v>
      </c>
      <c r="D221" s="52" t="s">
        <v>78</v>
      </c>
      <c r="E221" s="53" t="s">
        <v>27</v>
      </c>
      <c r="F221" s="52" t="s">
        <v>4</v>
      </c>
      <c r="G221" s="52" t="s">
        <v>29</v>
      </c>
      <c r="H221" s="230" t="s">
        <v>10870</v>
      </c>
      <c r="I221" s="51" t="s">
        <v>35</v>
      </c>
      <c r="J221" s="176" t="s">
        <v>316</v>
      </c>
      <c r="K221" s="250" t="s">
        <v>29</v>
      </c>
      <c r="L221" s="96" t="s">
        <v>1507</v>
      </c>
      <c r="M221" s="52" t="s">
        <v>33</v>
      </c>
      <c r="N221" s="54" t="s">
        <v>10499</v>
      </c>
      <c r="O221" s="55" t="str">
        <f t="shared" si="4"/>
        <v>L2.01.00.01.03.01</v>
      </c>
      <c r="P221" s="55" t="str">
        <f t="shared" si="8"/>
        <v>L2.01.00.01.03.01.02</v>
      </c>
      <c r="Q221" s="161" t="s">
        <v>10530</v>
      </c>
      <c r="R221" s="169" t="str">
        <f t="shared" si="9"/>
        <v>Nhóm KD HCSN 05</v>
      </c>
      <c r="S221" s="227" t="s">
        <v>10881</v>
      </c>
      <c r="T221" s="96" t="s">
        <v>2390</v>
      </c>
      <c r="U221" s="96" t="s">
        <v>262</v>
      </c>
      <c r="V221" s="96" t="s">
        <v>315</v>
      </c>
      <c r="W221" s="96" t="s">
        <v>316</v>
      </c>
      <c r="X221" s="96" t="s">
        <v>1507</v>
      </c>
      <c r="Y221" s="96"/>
      <c r="Z221" s="98" t="s">
        <v>10882</v>
      </c>
      <c r="AA221" s="153" t="s">
        <v>10530</v>
      </c>
      <c r="AB221" s="91"/>
      <c r="AC221" s="91"/>
      <c r="AD221" s="91"/>
    </row>
    <row r="222" ht="15.75" customHeight="1" outlineLevel="1">
      <c r="A222" s="170" t="s">
        <v>10833</v>
      </c>
      <c r="B222" s="57" t="s">
        <v>77</v>
      </c>
      <c r="C222" s="51" t="s">
        <v>29</v>
      </c>
      <c r="D222" s="52" t="s">
        <v>78</v>
      </c>
      <c r="E222" s="53" t="s">
        <v>27</v>
      </c>
      <c r="F222" s="52" t="s">
        <v>4</v>
      </c>
      <c r="G222" s="52" t="s">
        <v>29</v>
      </c>
      <c r="H222" s="230" t="s">
        <v>10870</v>
      </c>
      <c r="I222" s="51" t="s">
        <v>35</v>
      </c>
      <c r="J222" s="176" t="s">
        <v>316</v>
      </c>
      <c r="K222" s="170" t="s">
        <v>33</v>
      </c>
      <c r="L222" s="96" t="s">
        <v>314</v>
      </c>
      <c r="M222" s="52" t="s">
        <v>33</v>
      </c>
      <c r="N222" s="54" t="s">
        <v>10499</v>
      </c>
      <c r="O222" s="55" t="str">
        <f t="shared" si="4"/>
        <v>L2.01.00.01.03.02</v>
      </c>
      <c r="P222" s="55" t="str">
        <f t="shared" si="8"/>
        <v>L2.01.00.01.03.02.02</v>
      </c>
      <c r="Q222" s="161" t="s">
        <v>10530</v>
      </c>
      <c r="R222" s="169" t="str">
        <f t="shared" si="9"/>
        <v>Nhóm KD HCSN 06</v>
      </c>
      <c r="S222" s="227" t="s">
        <v>10881</v>
      </c>
      <c r="T222" s="96" t="s">
        <v>317</v>
      </c>
      <c r="U222" s="96" t="s">
        <v>262</v>
      </c>
      <c r="V222" s="96" t="s">
        <v>315</v>
      </c>
      <c r="W222" s="96" t="s">
        <v>316</v>
      </c>
      <c r="X222" s="96" t="s">
        <v>314</v>
      </c>
      <c r="Y222" s="96"/>
      <c r="Z222" s="98" t="s">
        <v>10883</v>
      </c>
      <c r="AA222" s="153" t="s">
        <v>10530</v>
      </c>
      <c r="AB222" s="91"/>
      <c r="AC222" s="91"/>
      <c r="AD222" s="91"/>
    </row>
    <row r="223" ht="15.75" customHeight="1" outlineLevel="1">
      <c r="A223" s="170" t="s">
        <v>10833</v>
      </c>
      <c r="B223" s="57" t="s">
        <v>77</v>
      </c>
      <c r="C223" s="51" t="s">
        <v>29</v>
      </c>
      <c r="D223" s="52" t="s">
        <v>78</v>
      </c>
      <c r="E223" s="53" t="s">
        <v>27</v>
      </c>
      <c r="F223" s="52" t="s">
        <v>4</v>
      </c>
      <c r="G223" s="52" t="s">
        <v>29</v>
      </c>
      <c r="H223" s="230" t="s">
        <v>10870</v>
      </c>
      <c r="I223" s="51" t="s">
        <v>35</v>
      </c>
      <c r="J223" s="176" t="s">
        <v>316</v>
      </c>
      <c r="K223" s="170" t="s">
        <v>35</v>
      </c>
      <c r="L223" s="96" t="s">
        <v>1486</v>
      </c>
      <c r="M223" s="52" t="s">
        <v>33</v>
      </c>
      <c r="N223" s="54" t="s">
        <v>10499</v>
      </c>
      <c r="O223" s="55" t="str">
        <f t="shared" si="4"/>
        <v>L2.01.00.01.03.03</v>
      </c>
      <c r="P223" s="55" t="str">
        <f t="shared" si="8"/>
        <v>L2.01.00.01.03.03.02</v>
      </c>
      <c r="Q223" s="161" t="s">
        <v>10530</v>
      </c>
      <c r="R223" s="169" t="str">
        <f t="shared" si="9"/>
        <v>Nhóm KD HCSN 04</v>
      </c>
      <c r="S223" s="227" t="s">
        <v>10881</v>
      </c>
      <c r="T223" s="96" t="s">
        <v>2394</v>
      </c>
      <c r="U223" s="96" t="s">
        <v>262</v>
      </c>
      <c r="V223" s="96" t="s">
        <v>315</v>
      </c>
      <c r="W223" s="96" t="s">
        <v>316</v>
      </c>
      <c r="X223" s="96" t="s">
        <v>1486</v>
      </c>
      <c r="Y223" s="96"/>
      <c r="Z223" s="98" t="s">
        <v>10884</v>
      </c>
      <c r="AA223" s="153" t="s">
        <v>10530</v>
      </c>
      <c r="AB223" s="91"/>
      <c r="AC223" s="91"/>
      <c r="AD223" s="91"/>
    </row>
    <row r="224" ht="15.75" customHeight="1" outlineLevel="1">
      <c r="A224" s="170" t="s">
        <v>10833</v>
      </c>
      <c r="B224" s="57" t="s">
        <v>77</v>
      </c>
      <c r="C224" s="51" t="s">
        <v>29</v>
      </c>
      <c r="D224" s="52" t="s">
        <v>78</v>
      </c>
      <c r="E224" s="53" t="s">
        <v>27</v>
      </c>
      <c r="F224" s="52" t="s">
        <v>4</v>
      </c>
      <c r="G224" s="52" t="s">
        <v>29</v>
      </c>
      <c r="H224" s="230" t="s">
        <v>10870</v>
      </c>
      <c r="I224" s="51" t="s">
        <v>37</v>
      </c>
      <c r="J224" s="176" t="s">
        <v>86</v>
      </c>
      <c r="K224" s="52" t="s">
        <v>27</v>
      </c>
      <c r="L224" s="254" t="s">
        <v>4</v>
      </c>
      <c r="M224" s="52" t="s">
        <v>33</v>
      </c>
      <c r="N224" s="54" t="s">
        <v>10499</v>
      </c>
      <c r="O224" s="55" t="str">
        <f t="shared" si="4"/>
        <v>L2.01.00.01.04.00</v>
      </c>
      <c r="P224" s="55" t="str">
        <f t="shared" si="8"/>
        <v>L2.01.00.01.04.00.02</v>
      </c>
      <c r="Q224" s="161" t="s">
        <v>10530</v>
      </c>
      <c r="R224" s="169" t="str">
        <f t="shared" si="9"/>
        <v>Phòng Triển khai &amp; CSKH</v>
      </c>
      <c r="S224" s="227" t="s">
        <v>10873</v>
      </c>
      <c r="T224" s="96" t="s">
        <v>8703</v>
      </c>
      <c r="U224" s="96" t="s">
        <v>262</v>
      </c>
      <c r="V224" s="96" t="s">
        <v>315</v>
      </c>
      <c r="W224" s="96" t="s">
        <v>86</v>
      </c>
      <c r="X224" s="96"/>
      <c r="Y224" s="96"/>
      <c r="Z224" s="98" t="s">
        <v>10885</v>
      </c>
      <c r="AA224" s="153" t="s">
        <v>10530</v>
      </c>
      <c r="AB224" s="91"/>
      <c r="AC224" s="91"/>
      <c r="AD224" s="91"/>
    </row>
    <row r="225" ht="15.75" customHeight="1" outlineLevel="1">
      <c r="A225" s="170" t="s">
        <v>10833</v>
      </c>
      <c r="B225" s="57" t="s">
        <v>77</v>
      </c>
      <c r="C225" s="51" t="s">
        <v>29</v>
      </c>
      <c r="D225" s="52" t="s">
        <v>78</v>
      </c>
      <c r="E225" s="53" t="s">
        <v>27</v>
      </c>
      <c r="F225" s="52" t="s">
        <v>4</v>
      </c>
      <c r="G225" s="52" t="s">
        <v>29</v>
      </c>
      <c r="H225" s="230" t="s">
        <v>10870</v>
      </c>
      <c r="I225" s="51" t="s">
        <v>37</v>
      </c>
      <c r="J225" s="176" t="s">
        <v>86</v>
      </c>
      <c r="K225" s="250" t="s">
        <v>29</v>
      </c>
      <c r="L225" s="187" t="s">
        <v>10886</v>
      </c>
      <c r="M225" s="52" t="s">
        <v>33</v>
      </c>
      <c r="N225" s="54" t="s">
        <v>10499</v>
      </c>
      <c r="O225" s="55" t="str">
        <f t="shared" si="4"/>
        <v>L2.01.00.01.04.01</v>
      </c>
      <c r="P225" s="55" t="str">
        <f t="shared" si="8"/>
        <v>L2.01.00.01.04.01.02</v>
      </c>
      <c r="Q225" s="161" t="s">
        <v>10530</v>
      </c>
      <c r="R225" s="186" t="str">
        <f t="shared" si="9"/>
        <v>Nhóm Triển khai &amp; CSKH sản phẩm tài chính 01</v>
      </c>
      <c r="S225" s="227" t="s">
        <v>10887</v>
      </c>
      <c r="T225" s="96"/>
      <c r="U225" s="96"/>
      <c r="V225" s="96"/>
      <c r="W225" s="96"/>
      <c r="X225" s="96"/>
      <c r="Y225" s="97" t="s">
        <v>10862</v>
      </c>
      <c r="Z225" s="98" t="s">
        <v>11609</v>
      </c>
      <c r="AA225" s="153" t="s">
        <v>10530</v>
      </c>
      <c r="AB225" s="91"/>
      <c r="AC225" s="565" t="s">
        <v>11610</v>
      </c>
      <c r="AD225" s="91"/>
    </row>
    <row r="226" ht="15.75" customHeight="1" outlineLevel="1">
      <c r="A226" s="178" t="s">
        <v>10833</v>
      </c>
      <c r="B226" s="179" t="s">
        <v>77</v>
      </c>
      <c r="C226" s="180" t="s">
        <v>29</v>
      </c>
      <c r="D226" s="64" t="s">
        <v>78</v>
      </c>
      <c r="E226" s="71" t="s">
        <v>27</v>
      </c>
      <c r="F226" s="64" t="s">
        <v>4</v>
      </c>
      <c r="G226" s="64" t="s">
        <v>29</v>
      </c>
      <c r="H226" s="212" t="s">
        <v>10870</v>
      </c>
      <c r="I226" s="180" t="s">
        <v>37</v>
      </c>
      <c r="J226" s="183" t="s">
        <v>86</v>
      </c>
      <c r="K226" s="255" t="s">
        <v>35</v>
      </c>
      <c r="L226" s="187" t="s">
        <v>10889</v>
      </c>
      <c r="M226" s="64" t="s">
        <v>33</v>
      </c>
      <c r="N226" s="70" t="s">
        <v>10499</v>
      </c>
      <c r="O226" s="58" t="str">
        <f t="shared" si="4"/>
        <v>L2.01.00.01.04.03</v>
      </c>
      <c r="P226" s="58" t="str">
        <f t="shared" si="8"/>
        <v>L2.01.00.01.04.03.02</v>
      </c>
      <c r="Q226" s="185" t="s">
        <v>10530</v>
      </c>
      <c r="R226" s="186" t="str">
        <f t="shared" si="9"/>
        <v>Nhóm Triển khai &amp; CSKH sản phẩm tài chính 02</v>
      </c>
      <c r="S226" s="229" t="s">
        <v>10887</v>
      </c>
      <c r="T226" s="189"/>
      <c r="U226" s="189"/>
      <c r="V226" s="189"/>
      <c r="W226" s="189"/>
      <c r="X226" s="189"/>
      <c r="Y226" s="187" t="s">
        <v>10862</v>
      </c>
      <c r="Z226" s="98" t="s">
        <v>11611</v>
      </c>
      <c r="AA226" s="192" t="s">
        <v>10530</v>
      </c>
      <c r="AB226" s="193"/>
      <c r="AC226" s="563" t="s">
        <v>11612</v>
      </c>
      <c r="AD226" s="193"/>
    </row>
    <row r="227" ht="15.75" customHeight="1" outlineLevel="1">
      <c r="A227" s="178" t="s">
        <v>10833</v>
      </c>
      <c r="B227" s="179" t="s">
        <v>77</v>
      </c>
      <c r="C227" s="180" t="s">
        <v>29</v>
      </c>
      <c r="D227" s="64" t="s">
        <v>78</v>
      </c>
      <c r="E227" s="71" t="s">
        <v>27</v>
      </c>
      <c r="F227" s="64" t="s">
        <v>4</v>
      </c>
      <c r="G227" s="64" t="s">
        <v>29</v>
      </c>
      <c r="H227" s="212" t="s">
        <v>10870</v>
      </c>
      <c r="I227" s="180" t="s">
        <v>37</v>
      </c>
      <c r="J227" s="183" t="s">
        <v>86</v>
      </c>
      <c r="K227" s="255" t="s">
        <v>37</v>
      </c>
      <c r="L227" s="187" t="s">
        <v>10890</v>
      </c>
      <c r="M227" s="64" t="s">
        <v>33</v>
      </c>
      <c r="N227" s="70" t="s">
        <v>10499</v>
      </c>
      <c r="O227" s="58" t="str">
        <f t="shared" si="4"/>
        <v>L2.01.00.01.04.04</v>
      </c>
      <c r="P227" s="58" t="str">
        <f t="shared" si="8"/>
        <v>L2.01.00.01.04.04.02</v>
      </c>
      <c r="Q227" s="185" t="s">
        <v>10530</v>
      </c>
      <c r="R227" s="186" t="str">
        <f t="shared" si="9"/>
        <v>Nhóm Triển khai &amp; CSKH sản phẩm tài chính 03</v>
      </c>
      <c r="S227" s="229" t="s">
        <v>10887</v>
      </c>
      <c r="T227" s="189"/>
      <c r="U227" s="189"/>
      <c r="V227" s="189"/>
      <c r="W227" s="189"/>
      <c r="X227" s="189"/>
      <c r="Y227" s="187" t="s">
        <v>10862</v>
      </c>
      <c r="Z227" s="98" t="s">
        <v>11613</v>
      </c>
      <c r="AA227" s="192" t="s">
        <v>10530</v>
      </c>
      <c r="AB227" s="193"/>
      <c r="AC227" s="563" t="s">
        <v>11612</v>
      </c>
      <c r="AD227" s="193"/>
    </row>
    <row r="228" ht="15.75" customHeight="1" outlineLevel="1">
      <c r="A228" s="170" t="s">
        <v>10833</v>
      </c>
      <c r="B228" s="57" t="s">
        <v>77</v>
      </c>
      <c r="C228" s="51" t="s">
        <v>29</v>
      </c>
      <c r="D228" s="52" t="s">
        <v>78</v>
      </c>
      <c r="E228" s="53" t="s">
        <v>27</v>
      </c>
      <c r="F228" s="52" t="s">
        <v>4</v>
      </c>
      <c r="G228" s="52" t="s">
        <v>29</v>
      </c>
      <c r="H228" s="230" t="s">
        <v>10870</v>
      </c>
      <c r="I228" s="51" t="s">
        <v>37</v>
      </c>
      <c r="J228" s="176" t="s">
        <v>86</v>
      </c>
      <c r="K228" s="170" t="s">
        <v>33</v>
      </c>
      <c r="L228" s="96" t="s">
        <v>10864</v>
      </c>
      <c r="M228" s="52" t="s">
        <v>33</v>
      </c>
      <c r="N228" s="54" t="s">
        <v>10499</v>
      </c>
      <c r="O228" s="55" t="str">
        <f t="shared" si="4"/>
        <v>L2.01.00.01.04.02</v>
      </c>
      <c r="P228" s="55" t="str">
        <f t="shared" si="8"/>
        <v>L2.01.00.01.04.02.02</v>
      </c>
      <c r="Q228" s="161" t="s">
        <v>10530</v>
      </c>
      <c r="R228" s="169" t="str">
        <f t="shared" si="9"/>
        <v>Nhóm Triển khai &amp; CSKH sản phẩm điều hành</v>
      </c>
      <c r="S228" s="227" t="s">
        <v>10887</v>
      </c>
      <c r="T228" s="96"/>
      <c r="U228" s="96"/>
      <c r="V228" s="96"/>
      <c r="W228" s="96"/>
      <c r="X228" s="96"/>
      <c r="Y228" s="97" t="s">
        <v>10862</v>
      </c>
      <c r="Z228" s="98" t="s">
        <v>10891</v>
      </c>
      <c r="AA228" s="153" t="s">
        <v>10530</v>
      </c>
      <c r="AB228" s="91"/>
      <c r="AC228" s="91"/>
      <c r="AD228" s="91"/>
    </row>
    <row r="229" ht="15.75" customHeight="1" outlineLevel="1">
      <c r="A229" s="170" t="s">
        <v>10833</v>
      </c>
      <c r="B229" s="57" t="s">
        <v>77</v>
      </c>
      <c r="C229" s="51" t="s">
        <v>29</v>
      </c>
      <c r="D229" s="52" t="s">
        <v>78</v>
      </c>
      <c r="E229" s="53" t="s">
        <v>27</v>
      </c>
      <c r="F229" s="52" t="s">
        <v>4</v>
      </c>
      <c r="G229" s="52" t="s">
        <v>29</v>
      </c>
      <c r="H229" s="256" t="s">
        <v>10892</v>
      </c>
      <c r="I229" s="52" t="s">
        <v>29</v>
      </c>
      <c r="J229" s="257" t="s">
        <v>80</v>
      </c>
      <c r="K229" s="52" t="s">
        <v>27</v>
      </c>
      <c r="L229" s="56" t="s">
        <v>4</v>
      </c>
      <c r="M229" s="52" t="s">
        <v>35</v>
      </c>
      <c r="N229" s="54" t="s">
        <v>10500</v>
      </c>
      <c r="O229" s="55" t="str">
        <f t="shared" si="4"/>
        <v>L2.01.00.01.01.00</v>
      </c>
      <c r="P229" s="55" t="str">
        <f t="shared" si="8"/>
        <v>L2.01.00.01.01.00.03</v>
      </c>
      <c r="Q229" s="161" t="s">
        <v>10530</v>
      </c>
      <c r="R229" s="169" t="str">
        <f t="shared" si="9"/>
        <v>Ban giám đốc KD</v>
      </c>
      <c r="S229" s="227" t="s">
        <v>10893</v>
      </c>
      <c r="T229" s="96"/>
      <c r="U229" s="96"/>
      <c r="V229" s="96"/>
      <c r="W229" s="96"/>
      <c r="X229" s="96"/>
      <c r="Y229" s="97" t="s">
        <v>10894</v>
      </c>
      <c r="Z229" s="98" t="s">
        <v>10895</v>
      </c>
      <c r="AA229" s="153" t="s">
        <v>10530</v>
      </c>
      <c r="AB229" s="91"/>
      <c r="AC229" s="91"/>
      <c r="AD229" s="91"/>
    </row>
    <row r="230" ht="15.75" customHeight="1" outlineLevel="1">
      <c r="A230" s="170" t="s">
        <v>10833</v>
      </c>
      <c r="B230" s="57" t="s">
        <v>77</v>
      </c>
      <c r="C230" s="51" t="s">
        <v>29</v>
      </c>
      <c r="D230" s="52" t="s">
        <v>78</v>
      </c>
      <c r="E230" s="53" t="s">
        <v>27</v>
      </c>
      <c r="F230" s="52" t="s">
        <v>4</v>
      </c>
      <c r="G230" s="52" t="s">
        <v>29</v>
      </c>
      <c r="H230" s="256" t="s">
        <v>10892</v>
      </c>
      <c r="I230" s="250" t="s">
        <v>27</v>
      </c>
      <c r="J230" s="258" t="s">
        <v>4</v>
      </c>
      <c r="K230" s="52" t="s">
        <v>27</v>
      </c>
      <c r="L230" s="56" t="s">
        <v>4</v>
      </c>
      <c r="M230" s="52" t="s">
        <v>35</v>
      </c>
      <c r="N230" s="54" t="s">
        <v>10500</v>
      </c>
      <c r="O230" s="55" t="str">
        <f t="shared" si="4"/>
        <v>L2.01.00.01.00.00</v>
      </c>
      <c r="P230" s="55" t="str">
        <f t="shared" si="8"/>
        <v>L2.01.00.01.00.00.03</v>
      </c>
      <c r="Q230" s="161" t="s">
        <v>10530</v>
      </c>
      <c r="R230" s="169" t="str">
        <f t="shared" si="9"/>
        <v>Phòng KD Hành chính sự nghiệp - Đà Nẵng</v>
      </c>
      <c r="S230" s="97" t="s">
        <v>10837</v>
      </c>
      <c r="T230" s="96" t="s">
        <v>9177</v>
      </c>
      <c r="U230" s="96" t="s">
        <v>2811</v>
      </c>
      <c r="V230" s="96" t="s">
        <v>2797</v>
      </c>
      <c r="W230" s="96"/>
      <c r="X230" s="96"/>
      <c r="Y230" s="96"/>
      <c r="Z230" s="98" t="s">
        <v>10896</v>
      </c>
      <c r="AA230" s="153" t="s">
        <v>10530</v>
      </c>
      <c r="AB230" s="91"/>
      <c r="AC230" s="91"/>
      <c r="AD230" s="91"/>
    </row>
    <row r="231" ht="15.75" customHeight="1" outlineLevel="1">
      <c r="A231" s="170" t="s">
        <v>10833</v>
      </c>
      <c r="B231" s="57" t="s">
        <v>77</v>
      </c>
      <c r="C231" s="51" t="s">
        <v>29</v>
      </c>
      <c r="D231" s="52" t="s">
        <v>78</v>
      </c>
      <c r="E231" s="53" t="s">
        <v>27</v>
      </c>
      <c r="F231" s="52" t="s">
        <v>4</v>
      </c>
      <c r="G231" s="52" t="s">
        <v>29</v>
      </c>
      <c r="H231" s="256" t="s">
        <v>10892</v>
      </c>
      <c r="I231" s="52" t="s">
        <v>33</v>
      </c>
      <c r="J231" s="56" t="s">
        <v>81</v>
      </c>
      <c r="K231" s="52" t="s">
        <v>27</v>
      </c>
      <c r="L231" s="56" t="s">
        <v>4</v>
      </c>
      <c r="M231" s="52" t="s">
        <v>35</v>
      </c>
      <c r="N231" s="54" t="s">
        <v>10500</v>
      </c>
      <c r="O231" s="55" t="str">
        <f t="shared" si="4"/>
        <v>L2.01.00.01.02.00</v>
      </c>
      <c r="P231" s="55" t="str">
        <f t="shared" si="8"/>
        <v>L2.01.00.01.02.00.03</v>
      </c>
      <c r="Q231" s="161" t="s">
        <v>10530</v>
      </c>
      <c r="R231" s="169" t="str">
        <f t="shared" si="9"/>
        <v>Nhóm KD HCSN</v>
      </c>
      <c r="S231" s="227" t="s">
        <v>10893</v>
      </c>
      <c r="T231" s="96" t="s">
        <v>3069</v>
      </c>
      <c r="U231" s="96" t="s">
        <v>2811</v>
      </c>
      <c r="V231" s="96" t="s">
        <v>2797</v>
      </c>
      <c r="W231" s="96" t="s">
        <v>3068</v>
      </c>
      <c r="X231" s="96"/>
      <c r="Y231" s="96"/>
      <c r="Z231" s="98" t="s">
        <v>10897</v>
      </c>
      <c r="AA231" s="153" t="s">
        <v>10530</v>
      </c>
      <c r="AB231" s="91"/>
      <c r="AC231" s="91"/>
      <c r="AD231" s="91"/>
    </row>
    <row r="232" ht="15.75" customHeight="1" outlineLevel="1">
      <c r="A232" s="170" t="s">
        <v>10833</v>
      </c>
      <c r="B232" s="57" t="s">
        <v>77</v>
      </c>
      <c r="C232" s="51" t="s">
        <v>29</v>
      </c>
      <c r="D232" s="52" t="s">
        <v>78</v>
      </c>
      <c r="E232" s="53" t="s">
        <v>27</v>
      </c>
      <c r="F232" s="52" t="s">
        <v>4</v>
      </c>
      <c r="G232" s="52" t="s">
        <v>29</v>
      </c>
      <c r="H232" s="256" t="s">
        <v>10892</v>
      </c>
      <c r="I232" s="52" t="s">
        <v>35</v>
      </c>
      <c r="J232" s="56" t="s">
        <v>82</v>
      </c>
      <c r="K232" s="52" t="s">
        <v>27</v>
      </c>
      <c r="L232" s="56" t="s">
        <v>4</v>
      </c>
      <c r="M232" s="52" t="s">
        <v>35</v>
      </c>
      <c r="N232" s="54" t="s">
        <v>10500</v>
      </c>
      <c r="O232" s="55" t="str">
        <f t="shared" si="4"/>
        <v>L2.01.00.01.03.00</v>
      </c>
      <c r="P232" s="55" t="str">
        <f t="shared" si="8"/>
        <v>L2.01.00.01.03.00.03</v>
      </c>
      <c r="Q232" s="161" t="s">
        <v>10530</v>
      </c>
      <c r="R232" s="169" t="str">
        <f t="shared" si="9"/>
        <v>Nhóm Triển khai &amp; CSKH</v>
      </c>
      <c r="S232" s="227" t="s">
        <v>10893</v>
      </c>
      <c r="T232" s="96" t="s">
        <v>7533</v>
      </c>
      <c r="U232" s="96" t="s">
        <v>2811</v>
      </c>
      <c r="V232" s="96" t="s">
        <v>2797</v>
      </c>
      <c r="W232" s="96" t="s">
        <v>7532</v>
      </c>
      <c r="X232" s="96"/>
      <c r="Y232" s="96"/>
      <c r="Z232" s="98" t="s">
        <v>10898</v>
      </c>
      <c r="AA232" s="153" t="s">
        <v>10530</v>
      </c>
      <c r="AB232" s="91"/>
      <c r="AC232" s="91"/>
      <c r="AD232" s="91"/>
    </row>
    <row r="233" ht="15.75" customHeight="1" outlineLevel="1">
      <c r="A233" s="170" t="s">
        <v>10833</v>
      </c>
      <c r="B233" s="57" t="s">
        <v>77</v>
      </c>
      <c r="C233" s="51" t="s">
        <v>29</v>
      </c>
      <c r="D233" s="52" t="s">
        <v>78</v>
      </c>
      <c r="E233" s="53" t="s">
        <v>27</v>
      </c>
      <c r="F233" s="52" t="s">
        <v>4</v>
      </c>
      <c r="G233" s="52" t="s">
        <v>29</v>
      </c>
      <c r="H233" s="256" t="s">
        <v>10899</v>
      </c>
      <c r="I233" s="52" t="s">
        <v>29</v>
      </c>
      <c r="J233" s="159" t="s">
        <v>80</v>
      </c>
      <c r="K233" s="52" t="s">
        <v>27</v>
      </c>
      <c r="L233" s="56" t="s">
        <v>4</v>
      </c>
      <c r="M233" s="52" t="s">
        <v>37</v>
      </c>
      <c r="N233" s="256" t="s">
        <v>10900</v>
      </c>
      <c r="O233" s="55" t="str">
        <f t="shared" si="4"/>
        <v>L2.01.00.01.01.00</v>
      </c>
      <c r="P233" s="55" t="str">
        <f t="shared" si="8"/>
        <v>L2.01.00.01.01.00.04</v>
      </c>
      <c r="Q233" s="161" t="s">
        <v>10530</v>
      </c>
      <c r="R233" s="169" t="str">
        <f t="shared" si="9"/>
        <v>Ban giám đốc KD</v>
      </c>
      <c r="S233" s="227" t="s">
        <v>10901</v>
      </c>
      <c r="T233" s="96"/>
      <c r="U233" s="96"/>
      <c r="V233" s="96"/>
      <c r="W233" s="96"/>
      <c r="X233" s="96"/>
      <c r="Y233" s="97" t="s">
        <v>10894</v>
      </c>
      <c r="Z233" s="98" t="s">
        <v>10902</v>
      </c>
      <c r="AA233" s="153" t="s">
        <v>10530</v>
      </c>
      <c r="AB233" s="91"/>
      <c r="AC233" s="91"/>
      <c r="AD233" s="91"/>
    </row>
    <row r="234" ht="15.75" customHeight="1" outlineLevel="1">
      <c r="A234" s="170" t="s">
        <v>10833</v>
      </c>
      <c r="B234" s="57" t="s">
        <v>77</v>
      </c>
      <c r="C234" s="51" t="s">
        <v>29</v>
      </c>
      <c r="D234" s="52" t="s">
        <v>78</v>
      </c>
      <c r="E234" s="53" t="s">
        <v>27</v>
      </c>
      <c r="F234" s="52" t="s">
        <v>4</v>
      </c>
      <c r="G234" s="52" t="s">
        <v>29</v>
      </c>
      <c r="H234" s="256" t="s">
        <v>10899</v>
      </c>
      <c r="I234" s="52" t="s">
        <v>33</v>
      </c>
      <c r="J234" s="56" t="s">
        <v>81</v>
      </c>
      <c r="K234" s="52" t="s">
        <v>27</v>
      </c>
      <c r="L234" s="56" t="s">
        <v>4</v>
      </c>
      <c r="M234" s="52" t="s">
        <v>37</v>
      </c>
      <c r="N234" s="256" t="s">
        <v>10900</v>
      </c>
      <c r="O234" s="55" t="str">
        <f t="shared" si="4"/>
        <v>L2.01.00.01.02.00</v>
      </c>
      <c r="P234" s="55" t="str">
        <f t="shared" si="8"/>
        <v>L2.01.00.01.02.00.04</v>
      </c>
      <c r="Q234" s="161" t="s">
        <v>10530</v>
      </c>
      <c r="R234" s="169" t="str">
        <f t="shared" si="9"/>
        <v>Nhóm KD HCSN</v>
      </c>
      <c r="S234" s="227" t="s">
        <v>10901</v>
      </c>
      <c r="T234" s="96" t="s">
        <v>7439</v>
      </c>
      <c r="U234" s="96" t="s">
        <v>2732</v>
      </c>
      <c r="V234" s="96" t="s">
        <v>2797</v>
      </c>
      <c r="W234" s="96" t="s">
        <v>81</v>
      </c>
      <c r="X234" s="96"/>
      <c r="Y234" s="96"/>
      <c r="Z234" s="98" t="s">
        <v>10903</v>
      </c>
      <c r="AA234" s="153" t="s">
        <v>10530</v>
      </c>
      <c r="AB234" s="91"/>
      <c r="AC234" s="91"/>
      <c r="AD234" s="91"/>
    </row>
    <row r="235" ht="15.75" customHeight="1" outlineLevel="1">
      <c r="A235" s="170" t="s">
        <v>10833</v>
      </c>
      <c r="B235" s="57" t="s">
        <v>77</v>
      </c>
      <c r="C235" s="51" t="s">
        <v>29</v>
      </c>
      <c r="D235" s="52" t="s">
        <v>78</v>
      </c>
      <c r="E235" s="53" t="s">
        <v>27</v>
      </c>
      <c r="F235" s="52" t="s">
        <v>4</v>
      </c>
      <c r="G235" s="52" t="s">
        <v>29</v>
      </c>
      <c r="H235" s="256" t="s">
        <v>10899</v>
      </c>
      <c r="I235" s="250" t="s">
        <v>27</v>
      </c>
      <c r="J235" s="259" t="s">
        <v>4</v>
      </c>
      <c r="K235" s="52" t="s">
        <v>27</v>
      </c>
      <c r="L235" s="56" t="s">
        <v>4</v>
      </c>
      <c r="M235" s="52" t="s">
        <v>37</v>
      </c>
      <c r="N235" s="256" t="s">
        <v>10900</v>
      </c>
      <c r="O235" s="55" t="str">
        <f t="shared" si="4"/>
        <v>L2.01.00.01.00.00</v>
      </c>
      <c r="P235" s="55" t="str">
        <f t="shared" si="8"/>
        <v>L2.01.00.01.00.00.04</v>
      </c>
      <c r="Q235" s="161" t="s">
        <v>10530</v>
      </c>
      <c r="R235" s="169" t="str">
        <f t="shared" si="9"/>
        <v>Phòng KD Hành chính sự nghiệp - Buôn Ma Thuột</v>
      </c>
      <c r="S235" s="227" t="s">
        <v>10837</v>
      </c>
      <c r="T235" s="97" t="s">
        <v>10904</v>
      </c>
      <c r="U235" s="96" t="s">
        <v>2732</v>
      </c>
      <c r="V235" s="96" t="s">
        <v>2797</v>
      </c>
      <c r="W235" s="96" t="s">
        <v>2796</v>
      </c>
      <c r="X235" s="96"/>
      <c r="Y235" s="96"/>
      <c r="Z235" s="98" t="s">
        <v>10905</v>
      </c>
      <c r="AA235" s="153" t="s">
        <v>10530</v>
      </c>
      <c r="AB235" s="91"/>
      <c r="AC235" s="91"/>
      <c r="AD235" s="91"/>
    </row>
    <row r="236" ht="15.75" customHeight="1" outlineLevel="1">
      <c r="A236" s="170" t="s">
        <v>10833</v>
      </c>
      <c r="B236" s="57" t="s">
        <v>77</v>
      </c>
      <c r="C236" s="51" t="s">
        <v>29</v>
      </c>
      <c r="D236" s="52" t="s">
        <v>78</v>
      </c>
      <c r="E236" s="53" t="s">
        <v>27</v>
      </c>
      <c r="F236" s="52" t="s">
        <v>4</v>
      </c>
      <c r="G236" s="52" t="s">
        <v>29</v>
      </c>
      <c r="H236" s="256" t="s">
        <v>10899</v>
      </c>
      <c r="I236" s="52" t="s">
        <v>35</v>
      </c>
      <c r="J236" s="56" t="s">
        <v>82</v>
      </c>
      <c r="K236" s="52" t="s">
        <v>27</v>
      </c>
      <c r="L236" s="56" t="s">
        <v>4</v>
      </c>
      <c r="M236" s="52" t="s">
        <v>37</v>
      </c>
      <c r="N236" s="256" t="s">
        <v>10900</v>
      </c>
      <c r="O236" s="55" t="str">
        <f t="shared" si="4"/>
        <v>L2.01.00.01.03.00</v>
      </c>
      <c r="P236" s="55" t="str">
        <f t="shared" si="8"/>
        <v>L2.01.00.01.03.00.04</v>
      </c>
      <c r="Q236" s="161" t="s">
        <v>10530</v>
      </c>
      <c r="R236" s="169" t="str">
        <f t="shared" si="9"/>
        <v>Nhóm Triển khai &amp; CSKH</v>
      </c>
      <c r="S236" s="227" t="s">
        <v>10901</v>
      </c>
      <c r="T236" s="96" t="s">
        <v>2798</v>
      </c>
      <c r="U236" s="96" t="s">
        <v>2732</v>
      </c>
      <c r="V236" s="96" t="s">
        <v>2797</v>
      </c>
      <c r="W236" s="96" t="s">
        <v>2796</v>
      </c>
      <c r="X236" s="96"/>
      <c r="Y236" s="96"/>
      <c r="Z236" s="98" t="s">
        <v>10906</v>
      </c>
      <c r="AA236" s="153" t="s">
        <v>10530</v>
      </c>
      <c r="AB236" s="91"/>
      <c r="AC236" s="91"/>
      <c r="AD236" s="91"/>
    </row>
    <row r="237" ht="15.75" customHeight="1" outlineLevel="1">
      <c r="A237" s="170" t="s">
        <v>10833</v>
      </c>
      <c r="B237" s="57" t="s">
        <v>77</v>
      </c>
      <c r="C237" s="51" t="s">
        <v>29</v>
      </c>
      <c r="D237" s="52" t="s">
        <v>78</v>
      </c>
      <c r="E237" s="53" t="s">
        <v>27</v>
      </c>
      <c r="F237" s="52" t="s">
        <v>4</v>
      </c>
      <c r="G237" s="52" t="s">
        <v>29</v>
      </c>
      <c r="H237" s="256" t="s">
        <v>10907</v>
      </c>
      <c r="I237" s="52" t="s">
        <v>29</v>
      </c>
      <c r="J237" s="159" t="s">
        <v>80</v>
      </c>
      <c r="K237" s="52" t="s">
        <v>27</v>
      </c>
      <c r="L237" s="56" t="s">
        <v>4</v>
      </c>
      <c r="M237" s="52" t="s">
        <v>42</v>
      </c>
      <c r="N237" s="54" t="s">
        <v>10502</v>
      </c>
      <c r="O237" s="55" t="str">
        <f t="shared" si="4"/>
        <v>L2.01.00.01.01.00</v>
      </c>
      <c r="P237" s="55" t="str">
        <f t="shared" si="8"/>
        <v>L2.01.00.01.01.00.05</v>
      </c>
      <c r="Q237" s="161" t="s">
        <v>10530</v>
      </c>
      <c r="R237" s="169" t="str">
        <f t="shared" si="9"/>
        <v>Ban giám đốc KD</v>
      </c>
      <c r="S237" s="227" t="s">
        <v>10908</v>
      </c>
      <c r="T237" s="96"/>
      <c r="U237" s="96"/>
      <c r="V237" s="96"/>
      <c r="W237" s="96"/>
      <c r="X237" s="96"/>
      <c r="Y237" s="97" t="s">
        <v>10894</v>
      </c>
      <c r="Z237" s="98" t="s">
        <v>10909</v>
      </c>
      <c r="AA237" s="153" t="s">
        <v>10530</v>
      </c>
      <c r="AB237" s="91"/>
      <c r="AC237" s="91"/>
      <c r="AD237" s="91"/>
    </row>
    <row r="238" ht="15.75" customHeight="1" outlineLevel="1">
      <c r="A238" s="170" t="s">
        <v>10833</v>
      </c>
      <c r="B238" s="57" t="s">
        <v>77</v>
      </c>
      <c r="C238" s="51" t="s">
        <v>29</v>
      </c>
      <c r="D238" s="52" t="s">
        <v>78</v>
      </c>
      <c r="E238" s="53" t="s">
        <v>27</v>
      </c>
      <c r="F238" s="52" t="s">
        <v>4</v>
      </c>
      <c r="G238" s="52" t="s">
        <v>29</v>
      </c>
      <c r="H238" s="256" t="s">
        <v>10907</v>
      </c>
      <c r="I238" s="250" t="s">
        <v>27</v>
      </c>
      <c r="J238" s="260" t="s">
        <v>4</v>
      </c>
      <c r="K238" s="52" t="s">
        <v>27</v>
      </c>
      <c r="L238" s="56" t="s">
        <v>4</v>
      </c>
      <c r="M238" s="52" t="s">
        <v>42</v>
      </c>
      <c r="N238" s="54" t="s">
        <v>10502</v>
      </c>
      <c r="O238" s="55" t="str">
        <f t="shared" si="4"/>
        <v>L2.01.00.01.00.00</v>
      </c>
      <c r="P238" s="55" t="str">
        <f t="shared" si="8"/>
        <v>L2.01.00.01.00.00.05</v>
      </c>
      <c r="Q238" s="161" t="s">
        <v>10530</v>
      </c>
      <c r="R238" s="169" t="str">
        <f t="shared" si="9"/>
        <v>Phòng KD Hành chính sự nghiệp - Cần Thơ</v>
      </c>
      <c r="S238" s="227" t="s">
        <v>10837</v>
      </c>
      <c r="T238" s="96" t="s">
        <v>9621</v>
      </c>
      <c r="U238" s="96" t="s">
        <v>325</v>
      </c>
      <c r="V238" s="96" t="s">
        <v>2797</v>
      </c>
      <c r="W238" s="96"/>
      <c r="X238" s="96"/>
      <c r="Y238" s="96"/>
      <c r="Z238" s="98" t="s">
        <v>10910</v>
      </c>
      <c r="AA238" s="153" t="s">
        <v>10530</v>
      </c>
      <c r="AB238" s="91"/>
      <c r="AC238" s="91"/>
      <c r="AD238" s="91"/>
    </row>
    <row r="239" ht="15.75" customHeight="1" outlineLevel="1">
      <c r="A239" s="170" t="s">
        <v>10833</v>
      </c>
      <c r="B239" s="57" t="s">
        <v>77</v>
      </c>
      <c r="C239" s="51" t="s">
        <v>29</v>
      </c>
      <c r="D239" s="52" t="s">
        <v>78</v>
      </c>
      <c r="E239" s="53" t="s">
        <v>27</v>
      </c>
      <c r="F239" s="52" t="s">
        <v>4</v>
      </c>
      <c r="G239" s="52" t="s">
        <v>29</v>
      </c>
      <c r="H239" s="256" t="s">
        <v>10907</v>
      </c>
      <c r="I239" s="52" t="s">
        <v>33</v>
      </c>
      <c r="J239" s="56" t="s">
        <v>81</v>
      </c>
      <c r="K239" s="52" t="s">
        <v>27</v>
      </c>
      <c r="L239" s="56" t="s">
        <v>4</v>
      </c>
      <c r="M239" s="52" t="s">
        <v>42</v>
      </c>
      <c r="N239" s="54" t="s">
        <v>10502</v>
      </c>
      <c r="O239" s="55" t="str">
        <f t="shared" si="4"/>
        <v>L2.01.00.01.02.00</v>
      </c>
      <c r="P239" s="55" t="str">
        <f t="shared" si="8"/>
        <v>L2.01.00.01.02.00.05</v>
      </c>
      <c r="Q239" s="161" t="s">
        <v>10530</v>
      </c>
      <c r="R239" s="169" t="str">
        <f t="shared" si="9"/>
        <v>Nhóm KD HCSN</v>
      </c>
      <c r="S239" s="227" t="s">
        <v>10908</v>
      </c>
      <c r="T239" s="96" t="s">
        <v>3589</v>
      </c>
      <c r="U239" s="96" t="s">
        <v>325</v>
      </c>
      <c r="V239" s="96" t="s">
        <v>2797</v>
      </c>
      <c r="W239" s="96" t="s">
        <v>3588</v>
      </c>
      <c r="X239" s="96"/>
      <c r="Y239" s="96"/>
      <c r="Z239" s="98" t="s">
        <v>10909</v>
      </c>
      <c r="AA239" s="153" t="s">
        <v>10530</v>
      </c>
      <c r="AB239" s="91"/>
      <c r="AC239" s="91"/>
      <c r="AD239" s="91"/>
    </row>
    <row r="240" ht="15.75" customHeight="1" outlineLevel="1">
      <c r="A240" s="170" t="s">
        <v>10833</v>
      </c>
      <c r="B240" s="57" t="s">
        <v>77</v>
      </c>
      <c r="C240" s="51" t="s">
        <v>29</v>
      </c>
      <c r="D240" s="52" t="s">
        <v>78</v>
      </c>
      <c r="E240" s="53" t="s">
        <v>27</v>
      </c>
      <c r="F240" s="52" t="s">
        <v>4</v>
      </c>
      <c r="G240" s="52" t="s">
        <v>29</v>
      </c>
      <c r="H240" s="256" t="s">
        <v>10907</v>
      </c>
      <c r="I240" s="52" t="s">
        <v>35</v>
      </c>
      <c r="J240" s="56" t="s">
        <v>82</v>
      </c>
      <c r="K240" s="52" t="s">
        <v>27</v>
      </c>
      <c r="L240" s="56" t="s">
        <v>4</v>
      </c>
      <c r="M240" s="52" t="s">
        <v>42</v>
      </c>
      <c r="N240" s="54" t="s">
        <v>10502</v>
      </c>
      <c r="O240" s="55" t="str">
        <f t="shared" si="4"/>
        <v>L2.01.00.01.03.00</v>
      </c>
      <c r="P240" s="55" t="str">
        <f t="shared" si="8"/>
        <v>L2.01.00.01.03.00.05</v>
      </c>
      <c r="Q240" s="161" t="s">
        <v>10530</v>
      </c>
      <c r="R240" s="169" t="str">
        <f t="shared" si="9"/>
        <v>Nhóm Triển khai &amp; CSKH</v>
      </c>
      <c r="S240" s="227" t="s">
        <v>10908</v>
      </c>
      <c r="T240" s="96" t="s">
        <v>7299</v>
      </c>
      <c r="U240" s="96" t="s">
        <v>325</v>
      </c>
      <c r="V240" s="96" t="s">
        <v>2797</v>
      </c>
      <c r="W240" s="96" t="s">
        <v>7298</v>
      </c>
      <c r="X240" s="96"/>
      <c r="Y240" s="96"/>
      <c r="Z240" s="98" t="s">
        <v>10911</v>
      </c>
      <c r="AA240" s="153" t="s">
        <v>10530</v>
      </c>
      <c r="AB240" s="91"/>
      <c r="AC240" s="91"/>
      <c r="AD240" s="91"/>
    </row>
    <row r="241" ht="15.75" customHeight="1">
      <c r="A241" s="233" t="s">
        <v>10912</v>
      </c>
      <c r="B241" s="47"/>
      <c r="C241" s="47"/>
      <c r="D241" s="47"/>
      <c r="E241" s="47"/>
      <c r="F241" s="47"/>
      <c r="G241" s="48"/>
      <c r="H241" s="49"/>
      <c r="I241" s="48"/>
      <c r="J241" s="48"/>
      <c r="K241" s="48"/>
      <c r="L241" s="48"/>
      <c r="M241" s="48"/>
      <c r="N241" s="49"/>
      <c r="O241" s="55" t="str">
        <f t="shared" si="4"/>
        <v>Khối kinh doanh thị trường Doanh nghiệp.....</v>
      </c>
      <c r="P241" s="48"/>
      <c r="Q241" s="169"/>
      <c r="R241" s="169" t="str">
        <f t="shared" si="9"/>
        <v/>
      </c>
      <c r="S241" s="96"/>
      <c r="T241" s="96"/>
      <c r="U241" s="96"/>
      <c r="V241" s="96"/>
      <c r="W241" s="96"/>
      <c r="X241" s="96"/>
      <c r="Y241" s="96"/>
      <c r="Z241" s="152"/>
      <c r="AA241" s="99"/>
      <c r="AB241" s="91"/>
      <c r="AC241" s="91"/>
      <c r="AD241" s="91"/>
    </row>
    <row r="242" ht="15.75" customHeight="1" outlineLevel="1">
      <c r="A242" s="261" t="s">
        <v>10833</v>
      </c>
      <c r="B242" s="231" t="s">
        <v>77</v>
      </c>
      <c r="C242" s="157" t="s">
        <v>33</v>
      </c>
      <c r="D242" s="157" t="s">
        <v>89</v>
      </c>
      <c r="E242" s="168" t="s">
        <v>27</v>
      </c>
      <c r="F242" s="168" t="s">
        <v>4</v>
      </c>
      <c r="G242" s="168" t="s">
        <v>27</v>
      </c>
      <c r="H242" s="262" t="s">
        <v>4</v>
      </c>
      <c r="I242" s="157" t="s">
        <v>27</v>
      </c>
      <c r="J242" s="156" t="s">
        <v>4</v>
      </c>
      <c r="K242" s="157" t="s">
        <v>27</v>
      </c>
      <c r="L242" s="156" t="s">
        <v>4</v>
      </c>
      <c r="M242" s="168" t="s">
        <v>27</v>
      </c>
      <c r="N242" s="167"/>
      <c r="O242" s="55" t="str">
        <f t="shared" si="4"/>
        <v>L2.02.00.00.00.00</v>
      </c>
      <c r="P242" s="257" t="str">
        <f>A242&amp;"."&amp;C242&amp;"."&amp;E242&amp;"."&amp;G242&amp;"."&amp;I242&amp;"."&amp;K242&amp;"."&amp;M242</f>
        <v>L2.02.00.00.00.00.00</v>
      </c>
      <c r="Q242" s="161" t="s">
        <v>10530</v>
      </c>
      <c r="R242" s="263" t="s">
        <v>10913</v>
      </c>
      <c r="S242" s="264" t="s">
        <v>22</v>
      </c>
      <c r="T242" s="265"/>
      <c r="U242" s="265"/>
      <c r="V242" s="265"/>
      <c r="W242" s="265"/>
      <c r="X242" s="265"/>
      <c r="Y242" s="264" t="s">
        <v>10894</v>
      </c>
      <c r="Z242" s="225" t="s">
        <v>89</v>
      </c>
      <c r="AA242" s="266"/>
      <c r="AB242" s="267"/>
      <c r="AC242" s="267"/>
      <c r="AD242" s="267"/>
    </row>
    <row r="243" ht="15.75" customHeight="1">
      <c r="A243" s="268" t="s">
        <v>10914</v>
      </c>
      <c r="B243" s="66"/>
      <c r="C243" s="66"/>
      <c r="D243" s="66"/>
      <c r="E243" s="67"/>
      <c r="F243" s="66"/>
      <c r="G243" s="66"/>
      <c r="H243" s="68"/>
      <c r="I243" s="66"/>
      <c r="J243" s="69"/>
      <c r="K243" s="66"/>
      <c r="L243" s="68"/>
      <c r="M243" s="66"/>
      <c r="N243" s="68"/>
      <c r="O243" s="55" t="str">
        <f t="shared" si="4"/>
        <v>Khối giải pháp bán lẻ.....</v>
      </c>
      <c r="P243" s="69"/>
      <c r="Q243" s="169"/>
      <c r="R243" s="169" t="str">
        <f>if(L243&lt;&gt;"-",L243,if(AND(L243="-",J243&lt;&gt;"-"),J243,if(AND(J243="-",H243&lt;&gt;"-"),H243,"NA")))</f>
        <v/>
      </c>
      <c r="S243" s="96"/>
      <c r="T243" s="96"/>
      <c r="U243" s="96"/>
      <c r="V243" s="96"/>
      <c r="W243" s="96"/>
      <c r="X243" s="96"/>
      <c r="Y243" s="96"/>
      <c r="Z243" s="152"/>
      <c r="AA243" s="99"/>
      <c r="AB243" s="91"/>
      <c r="AC243" s="91"/>
      <c r="AD243" s="91"/>
    </row>
    <row r="244" ht="15.75" customHeight="1" outlineLevel="1">
      <c r="A244" s="261" t="s">
        <v>10833</v>
      </c>
      <c r="B244" s="231" t="s">
        <v>77</v>
      </c>
      <c r="C244" s="157" t="s">
        <v>33</v>
      </c>
      <c r="D244" s="157" t="s">
        <v>89</v>
      </c>
      <c r="E244" s="168" t="s">
        <v>29</v>
      </c>
      <c r="F244" s="157" t="s">
        <v>90</v>
      </c>
      <c r="G244" s="168" t="s">
        <v>27</v>
      </c>
      <c r="H244" s="262" t="s">
        <v>4</v>
      </c>
      <c r="I244" s="157" t="s">
        <v>27</v>
      </c>
      <c r="J244" s="156" t="s">
        <v>4</v>
      </c>
      <c r="K244" s="157" t="s">
        <v>27</v>
      </c>
      <c r="L244" s="156" t="s">
        <v>4</v>
      </c>
      <c r="M244" s="168" t="s">
        <v>27</v>
      </c>
      <c r="N244" s="167"/>
      <c r="O244" s="55" t="str">
        <f t="shared" si="4"/>
        <v>L2.02.01.00.00.00</v>
      </c>
      <c r="P244" s="257" t="str">
        <f t="shared" ref="P244:P281" si="10">A244&amp;"."&amp;C244&amp;"."&amp;E244&amp;"."&amp;G244&amp;"."&amp;I244&amp;"."&amp;K244&amp;"."&amp;M244</f>
        <v>L2.02.01.00.00.00.00</v>
      </c>
      <c r="Q244" s="161" t="s">
        <v>10530</v>
      </c>
      <c r="R244" s="263" t="s">
        <v>10915</v>
      </c>
      <c r="S244" s="269" t="s">
        <v>10916</v>
      </c>
      <c r="T244" s="265"/>
      <c r="U244" s="265"/>
      <c r="V244" s="265"/>
      <c r="W244" s="265"/>
      <c r="X244" s="265"/>
      <c r="Y244" s="265"/>
      <c r="Z244" s="225" t="s">
        <v>10917</v>
      </c>
      <c r="AA244" s="266"/>
      <c r="AB244" s="267"/>
      <c r="AC244" s="267"/>
      <c r="AD244" s="267"/>
    </row>
    <row r="245" ht="30.0" customHeight="1" outlineLevel="1">
      <c r="A245" s="228" t="s">
        <v>10833</v>
      </c>
      <c r="B245" s="270" t="s">
        <v>77</v>
      </c>
      <c r="C245" s="209" t="s">
        <v>33</v>
      </c>
      <c r="D245" s="209" t="s">
        <v>89</v>
      </c>
      <c r="E245" s="271" t="s">
        <v>29</v>
      </c>
      <c r="F245" s="209" t="s">
        <v>90</v>
      </c>
      <c r="G245" s="209" t="s">
        <v>29</v>
      </c>
      <c r="H245" s="212" t="s">
        <v>10918</v>
      </c>
      <c r="I245" s="209" t="s">
        <v>27</v>
      </c>
      <c r="J245" s="210" t="s">
        <v>4</v>
      </c>
      <c r="K245" s="209" t="s">
        <v>27</v>
      </c>
      <c r="L245" s="210" t="s">
        <v>4</v>
      </c>
      <c r="M245" s="182" t="s">
        <v>27</v>
      </c>
      <c r="N245" s="181"/>
      <c r="O245" s="58" t="str">
        <f t="shared" si="4"/>
        <v>L2.02.01.01.00.00</v>
      </c>
      <c r="P245" s="272" t="str">
        <f t="shared" si="10"/>
        <v>L2.02.01.01.00.00.00</v>
      </c>
      <c r="Q245" s="185" t="s">
        <v>10530</v>
      </c>
      <c r="R245" s="273" t="str">
        <f t="shared" ref="R245:R252" si="11">if(L245&lt;&gt;"-",L245,if(AND(L245="-",J245&lt;&gt;"-"),J245,if(AND(J245="-",H245&lt;&gt;"-"),H245,"NA")))</f>
        <v>Ban giám đốc khối Giải pháp bán lẻ</v>
      </c>
      <c r="S245" s="274" t="s">
        <v>10919</v>
      </c>
      <c r="T245" s="183"/>
      <c r="U245" s="183"/>
      <c r="V245" s="183"/>
      <c r="W245" s="183"/>
      <c r="X245" s="183"/>
      <c r="Y245" s="184" t="s">
        <v>10894</v>
      </c>
      <c r="Z245" s="275" t="s">
        <v>10920</v>
      </c>
      <c r="AA245" s="276"/>
      <c r="AB245" s="277"/>
      <c r="AC245" s="566" t="s">
        <v>11614</v>
      </c>
      <c r="AD245" s="277"/>
    </row>
    <row r="246" ht="20.25" customHeight="1" outlineLevel="1">
      <c r="A246" s="567" t="s">
        <v>10833</v>
      </c>
      <c r="B246" s="568" t="s">
        <v>77</v>
      </c>
      <c r="C246" s="568" t="s">
        <v>33</v>
      </c>
      <c r="D246" s="569" t="s">
        <v>89</v>
      </c>
      <c r="E246" s="570" t="s">
        <v>29</v>
      </c>
      <c r="F246" s="569" t="s">
        <v>90</v>
      </c>
      <c r="G246" s="569" t="s">
        <v>33</v>
      </c>
      <c r="H246" s="571" t="s">
        <v>10921</v>
      </c>
      <c r="I246" s="569" t="s">
        <v>27</v>
      </c>
      <c r="J246" s="572" t="s">
        <v>4</v>
      </c>
      <c r="K246" s="569" t="s">
        <v>27</v>
      </c>
      <c r="L246" s="572" t="s">
        <v>4</v>
      </c>
      <c r="M246" s="573" t="s">
        <v>27</v>
      </c>
      <c r="N246" s="574"/>
      <c r="O246" s="575" t="str">
        <f t="shared" si="4"/>
        <v>L2.02.01.02.00.00</v>
      </c>
      <c r="P246" s="575" t="str">
        <f t="shared" si="10"/>
        <v>L2.02.01.02.00.00.00</v>
      </c>
      <c r="Q246" s="576" t="s">
        <v>10530</v>
      </c>
      <c r="R246" s="350" t="str">
        <f t="shared" si="11"/>
        <v>Khối KD bán mới Giải pháp bán lẻ</v>
      </c>
      <c r="S246" s="577" t="s">
        <v>10919</v>
      </c>
      <c r="T246" s="368"/>
      <c r="U246" s="368"/>
      <c r="V246" s="368"/>
      <c r="W246" s="368"/>
      <c r="X246" s="368"/>
      <c r="Y246" s="578"/>
      <c r="Z246" s="579" t="s">
        <v>11615</v>
      </c>
      <c r="AA246" s="580" t="s">
        <v>10530</v>
      </c>
      <c r="AB246" s="581"/>
      <c r="AC246" s="582" t="s">
        <v>11616</v>
      </c>
      <c r="AD246" s="581"/>
    </row>
    <row r="247" ht="15.75" customHeight="1" outlineLevel="1">
      <c r="A247" s="261" t="s">
        <v>10833</v>
      </c>
      <c r="B247" s="231" t="s">
        <v>77</v>
      </c>
      <c r="C247" s="231" t="s">
        <v>33</v>
      </c>
      <c r="D247" s="157" t="s">
        <v>89</v>
      </c>
      <c r="E247" s="297" t="s">
        <v>29</v>
      </c>
      <c r="F247" s="157" t="s">
        <v>90</v>
      </c>
      <c r="G247" s="157" t="s">
        <v>33</v>
      </c>
      <c r="H247" s="298" t="s">
        <v>10922</v>
      </c>
      <c r="I247" s="168" t="s">
        <v>27</v>
      </c>
      <c r="J247" s="258" t="s">
        <v>4</v>
      </c>
      <c r="K247" s="157" t="s">
        <v>27</v>
      </c>
      <c r="L247" s="156" t="s">
        <v>4</v>
      </c>
      <c r="M247" s="157" t="s">
        <v>29</v>
      </c>
      <c r="N247" s="167" t="s">
        <v>10498</v>
      </c>
      <c r="O247" s="55" t="str">
        <f t="shared" si="4"/>
        <v>L2.02.01.02.00.00</v>
      </c>
      <c r="P247" s="257" t="str">
        <f t="shared" si="10"/>
        <v>L2.02.01.02.00.00.01</v>
      </c>
      <c r="Q247" s="161" t="s">
        <v>10530</v>
      </c>
      <c r="R247" s="299" t="str">
        <f t="shared" si="11"/>
        <v>Trung tâm KD Giải pháp bán lẻ - Hà Nội</v>
      </c>
      <c r="S247" s="274" t="str">
        <f>P246</f>
        <v>L2.02.01.02.00.00.00</v>
      </c>
      <c r="T247" s="264" t="s">
        <v>10924</v>
      </c>
      <c r="U247" s="265" t="s">
        <v>346</v>
      </c>
      <c r="V247" s="265" t="s">
        <v>93</v>
      </c>
      <c r="W247" s="265" t="s">
        <v>94</v>
      </c>
      <c r="X247" s="265"/>
      <c r="Y247" s="265"/>
      <c r="Z247" s="225" t="s">
        <v>10925</v>
      </c>
      <c r="AA247" s="300" t="s">
        <v>10530</v>
      </c>
      <c r="AB247" s="267"/>
      <c r="AC247" s="376" t="s">
        <v>11617</v>
      </c>
      <c r="AD247" s="267"/>
    </row>
    <row r="248" ht="15.75" customHeight="1" outlineLevel="1">
      <c r="A248" s="261" t="s">
        <v>10833</v>
      </c>
      <c r="B248" s="231" t="s">
        <v>77</v>
      </c>
      <c r="C248" s="231" t="s">
        <v>33</v>
      </c>
      <c r="D248" s="157" t="s">
        <v>89</v>
      </c>
      <c r="E248" s="297" t="s">
        <v>29</v>
      </c>
      <c r="F248" s="157" t="s">
        <v>90</v>
      </c>
      <c r="G248" s="157" t="s">
        <v>33</v>
      </c>
      <c r="H248" s="298" t="s">
        <v>10922</v>
      </c>
      <c r="I248" s="157" t="s">
        <v>29</v>
      </c>
      <c r="J248" s="301" t="s">
        <v>10926</v>
      </c>
      <c r="K248" s="157" t="s">
        <v>27</v>
      </c>
      <c r="L248" s="156" t="s">
        <v>4</v>
      </c>
      <c r="M248" s="157" t="s">
        <v>29</v>
      </c>
      <c r="N248" s="167" t="s">
        <v>10498</v>
      </c>
      <c r="O248" s="55" t="str">
        <f t="shared" si="4"/>
        <v>L2.02.01.02.01.00</v>
      </c>
      <c r="P248" s="257" t="str">
        <f t="shared" si="10"/>
        <v>L2.02.01.02.01.00.01</v>
      </c>
      <c r="Q248" s="161" t="s">
        <v>10530</v>
      </c>
      <c r="R248" s="299" t="str">
        <f t="shared" si="11"/>
        <v>Ban giám đốc TTKD Giải pháp bán lẻ</v>
      </c>
      <c r="S248" s="269" t="s">
        <v>10927</v>
      </c>
      <c r="T248" s="265" t="s">
        <v>1626</v>
      </c>
      <c r="U248" s="265" t="s">
        <v>346</v>
      </c>
      <c r="V248" s="265" t="s">
        <v>93</v>
      </c>
      <c r="W248" s="265" t="s">
        <v>94</v>
      </c>
      <c r="X248" s="265"/>
      <c r="Y248" s="265"/>
      <c r="Z248" s="225" t="s">
        <v>10928</v>
      </c>
      <c r="AA248" s="300" t="s">
        <v>10530</v>
      </c>
      <c r="AB248" s="267"/>
      <c r="AC248" s="267"/>
      <c r="AD248" s="267"/>
    </row>
    <row r="249" ht="15.75" customHeight="1" outlineLevel="1">
      <c r="A249" s="228" t="s">
        <v>10833</v>
      </c>
      <c r="B249" s="270" t="s">
        <v>77</v>
      </c>
      <c r="C249" s="270" t="s">
        <v>33</v>
      </c>
      <c r="D249" s="209" t="s">
        <v>89</v>
      </c>
      <c r="E249" s="271" t="s">
        <v>29</v>
      </c>
      <c r="F249" s="209" t="s">
        <v>90</v>
      </c>
      <c r="G249" s="209" t="s">
        <v>33</v>
      </c>
      <c r="H249" s="212" t="s">
        <v>10922</v>
      </c>
      <c r="I249" s="228">
        <v>80.0</v>
      </c>
      <c r="J249" s="303" t="s">
        <v>10929</v>
      </c>
      <c r="K249" s="209" t="s">
        <v>27</v>
      </c>
      <c r="L249" s="210" t="s">
        <v>4</v>
      </c>
      <c r="M249" s="209" t="s">
        <v>29</v>
      </c>
      <c r="N249" s="181" t="s">
        <v>10498</v>
      </c>
      <c r="O249" s="58" t="str">
        <f t="shared" si="4"/>
        <v>L2.02.01.02.80.00</v>
      </c>
      <c r="P249" s="272" t="str">
        <f t="shared" si="10"/>
        <v>L2.02.01.02.80.00.01</v>
      </c>
      <c r="Q249" s="185" t="s">
        <v>10530</v>
      </c>
      <c r="R249" s="273" t="str">
        <f t="shared" si="11"/>
        <v>Phòng KD bán mới MISA CUKCUK</v>
      </c>
      <c r="S249" s="274" t="s">
        <v>10927</v>
      </c>
      <c r="T249" s="583" t="s">
        <v>10930</v>
      </c>
      <c r="U249" s="183" t="s">
        <v>346</v>
      </c>
      <c r="V249" s="183" t="s">
        <v>93</v>
      </c>
      <c r="W249" s="584" t="s">
        <v>903</v>
      </c>
      <c r="X249" s="183"/>
      <c r="Y249" s="183"/>
      <c r="Z249" s="275" t="s">
        <v>10931</v>
      </c>
      <c r="AA249" s="304" t="s">
        <v>10530</v>
      </c>
      <c r="AB249" s="277"/>
      <c r="AC249" s="330" t="s">
        <v>11618</v>
      </c>
      <c r="AD249" s="277"/>
    </row>
    <row r="250" ht="15.75" customHeight="1" outlineLevel="1">
      <c r="A250" s="228" t="s">
        <v>10833</v>
      </c>
      <c r="B250" s="270" t="s">
        <v>77</v>
      </c>
      <c r="C250" s="270" t="s">
        <v>33</v>
      </c>
      <c r="D250" s="209" t="s">
        <v>89</v>
      </c>
      <c r="E250" s="271" t="s">
        <v>29</v>
      </c>
      <c r="F250" s="209" t="s">
        <v>90</v>
      </c>
      <c r="G250" s="209" t="s">
        <v>33</v>
      </c>
      <c r="H250" s="212" t="s">
        <v>10922</v>
      </c>
      <c r="I250" s="209" t="s">
        <v>33</v>
      </c>
      <c r="J250" s="184" t="s">
        <v>11619</v>
      </c>
      <c r="K250" s="209" t="s">
        <v>27</v>
      </c>
      <c r="L250" s="210" t="s">
        <v>4</v>
      </c>
      <c r="M250" s="209" t="s">
        <v>29</v>
      </c>
      <c r="N250" s="181" t="s">
        <v>10498</v>
      </c>
      <c r="O250" s="58" t="str">
        <f t="shared" si="4"/>
        <v>L2.02.01.02.02.00</v>
      </c>
      <c r="P250" s="272" t="str">
        <f t="shared" si="10"/>
        <v>L2.02.01.02.02.00.01</v>
      </c>
      <c r="Q250" s="185" t="s">
        <v>10530</v>
      </c>
      <c r="R250" s="273" t="str">
        <f t="shared" si="11"/>
        <v>Phòng KD bán mới CUKCUK 01</v>
      </c>
      <c r="S250" s="274" t="str">
        <f>P249</f>
        <v>L2.02.01.02.80.00.01</v>
      </c>
      <c r="T250" s="183" t="s">
        <v>904</v>
      </c>
      <c r="U250" s="183" t="s">
        <v>346</v>
      </c>
      <c r="V250" s="183" t="s">
        <v>93</v>
      </c>
      <c r="W250" s="183" t="s">
        <v>903</v>
      </c>
      <c r="X250" s="183" t="s">
        <v>902</v>
      </c>
      <c r="Y250" s="183"/>
      <c r="Z250" s="275" t="s">
        <v>10933</v>
      </c>
      <c r="AA250" s="304" t="s">
        <v>10530</v>
      </c>
      <c r="AB250" s="277"/>
      <c r="AC250" s="566" t="s">
        <v>11620</v>
      </c>
      <c r="AD250" s="277"/>
    </row>
    <row r="251" ht="15.75" customHeight="1" outlineLevel="1">
      <c r="A251" s="228" t="s">
        <v>10833</v>
      </c>
      <c r="B251" s="270" t="s">
        <v>77</v>
      </c>
      <c r="C251" s="270" t="s">
        <v>33</v>
      </c>
      <c r="D251" s="209" t="s">
        <v>89</v>
      </c>
      <c r="E251" s="271" t="s">
        <v>29</v>
      </c>
      <c r="F251" s="209" t="s">
        <v>90</v>
      </c>
      <c r="G251" s="209" t="s">
        <v>33</v>
      </c>
      <c r="H251" s="212" t="s">
        <v>10922</v>
      </c>
      <c r="I251" s="182" t="s">
        <v>42</v>
      </c>
      <c r="J251" s="184" t="s">
        <v>11621</v>
      </c>
      <c r="K251" s="209" t="s">
        <v>27</v>
      </c>
      <c r="L251" s="210" t="s">
        <v>4</v>
      </c>
      <c r="M251" s="209" t="s">
        <v>29</v>
      </c>
      <c r="N251" s="181" t="s">
        <v>10498</v>
      </c>
      <c r="O251" s="58" t="str">
        <f t="shared" si="4"/>
        <v>L2.02.01.02.05.00</v>
      </c>
      <c r="P251" s="272" t="str">
        <f t="shared" si="10"/>
        <v>L2.02.01.02.05.00.01</v>
      </c>
      <c r="Q251" s="185" t="s">
        <v>10530</v>
      </c>
      <c r="R251" s="273" t="str">
        <f t="shared" si="11"/>
        <v>Phòng KD bán mới CUKCUK 03</v>
      </c>
      <c r="S251" s="274" t="str">
        <f>P249</f>
        <v>L2.02.01.02.80.00.01</v>
      </c>
      <c r="T251" s="183" t="s">
        <v>915</v>
      </c>
      <c r="U251" s="183" t="s">
        <v>346</v>
      </c>
      <c r="V251" s="183" t="s">
        <v>93</v>
      </c>
      <c r="W251" s="183" t="s">
        <v>903</v>
      </c>
      <c r="X251" s="183" t="s">
        <v>914</v>
      </c>
      <c r="Y251" s="183"/>
      <c r="Z251" s="275" t="s">
        <v>10934</v>
      </c>
      <c r="AA251" s="304" t="s">
        <v>10530</v>
      </c>
      <c r="AB251" s="277"/>
      <c r="AC251" s="566" t="s">
        <v>11620</v>
      </c>
      <c r="AD251" s="277"/>
    </row>
    <row r="252" ht="15.75" customHeight="1" outlineLevel="1">
      <c r="A252" s="228" t="s">
        <v>10833</v>
      </c>
      <c r="B252" s="270" t="s">
        <v>77</v>
      </c>
      <c r="C252" s="270" t="s">
        <v>33</v>
      </c>
      <c r="D252" s="209" t="s">
        <v>89</v>
      </c>
      <c r="E252" s="271" t="s">
        <v>29</v>
      </c>
      <c r="F252" s="209" t="s">
        <v>90</v>
      </c>
      <c r="G252" s="209" t="s">
        <v>33</v>
      </c>
      <c r="H252" s="212" t="s">
        <v>10922</v>
      </c>
      <c r="I252" s="228">
        <v>81.0</v>
      </c>
      <c r="J252" s="303" t="s">
        <v>10935</v>
      </c>
      <c r="K252" s="209" t="s">
        <v>27</v>
      </c>
      <c r="L252" s="210" t="s">
        <v>4</v>
      </c>
      <c r="M252" s="209" t="s">
        <v>29</v>
      </c>
      <c r="N252" s="181" t="s">
        <v>10498</v>
      </c>
      <c r="O252" s="58" t="str">
        <f t="shared" si="4"/>
        <v>L2.02.01.02.81.00</v>
      </c>
      <c r="P252" s="272" t="str">
        <f t="shared" si="10"/>
        <v>L2.02.01.02.81.00.01</v>
      </c>
      <c r="Q252" s="185" t="s">
        <v>10530</v>
      </c>
      <c r="R252" s="273" t="str">
        <f t="shared" si="11"/>
        <v>Phòng KD bán mới MISA ESHOP</v>
      </c>
      <c r="S252" s="274" t="s">
        <v>10927</v>
      </c>
      <c r="T252" s="583" t="s">
        <v>10936</v>
      </c>
      <c r="U252" s="183" t="s">
        <v>346</v>
      </c>
      <c r="V252" s="183" t="s">
        <v>93</v>
      </c>
      <c r="W252" s="584" t="s">
        <v>366</v>
      </c>
      <c r="X252" s="183"/>
      <c r="Y252" s="183"/>
      <c r="Z252" s="275" t="s">
        <v>10937</v>
      </c>
      <c r="AA252" s="304" t="s">
        <v>10530</v>
      </c>
      <c r="AB252" s="277"/>
      <c r="AC252" s="330" t="s">
        <v>11618</v>
      </c>
      <c r="AD252" s="277"/>
    </row>
    <row r="253" ht="15.75" customHeight="1" outlineLevel="1">
      <c r="A253" s="228" t="s">
        <v>10833</v>
      </c>
      <c r="B253" s="270" t="s">
        <v>77</v>
      </c>
      <c r="C253" s="270" t="s">
        <v>33</v>
      </c>
      <c r="D253" s="209" t="s">
        <v>89</v>
      </c>
      <c r="E253" s="271" t="s">
        <v>29</v>
      </c>
      <c r="F253" s="209" t="s">
        <v>90</v>
      </c>
      <c r="G253" s="209" t="s">
        <v>33</v>
      </c>
      <c r="H253" s="212" t="s">
        <v>10922</v>
      </c>
      <c r="I253" s="209" t="s">
        <v>35</v>
      </c>
      <c r="J253" s="303" t="s">
        <v>10938</v>
      </c>
      <c r="K253" s="209" t="s">
        <v>29</v>
      </c>
      <c r="L253" s="210" t="s">
        <v>4</v>
      </c>
      <c r="M253" s="209" t="s">
        <v>29</v>
      </c>
      <c r="N253" s="181" t="s">
        <v>10498</v>
      </c>
      <c r="O253" s="58" t="str">
        <f t="shared" si="4"/>
        <v>L2.02.01.02.03.01</v>
      </c>
      <c r="P253" s="272" t="str">
        <f t="shared" si="10"/>
        <v>L2.02.01.02.03.01.01</v>
      </c>
      <c r="Q253" s="185" t="s">
        <v>10530</v>
      </c>
      <c r="R253" s="273" t="str">
        <f t="shared" ref="R253:R254" si="12">if(J253&lt;&gt;"-",J253,if(AND(J253="-",#REF!&lt;&gt;"-"),#REF!,if(AND(#REF!="-",H253&lt;&gt;"-"),H253,"NA")))</f>
        <v>Phòng KD bán mới MISA ESHOP 01</v>
      </c>
      <c r="S253" s="274" t="str">
        <f>P252</f>
        <v>L2.02.01.02.81.00.01</v>
      </c>
      <c r="T253" s="183" t="s">
        <v>367</v>
      </c>
      <c r="U253" s="183" t="s">
        <v>346</v>
      </c>
      <c r="V253" s="183" t="s">
        <v>93</v>
      </c>
      <c r="W253" s="183" t="s">
        <v>366</v>
      </c>
      <c r="X253" s="183" t="s">
        <v>365</v>
      </c>
      <c r="Y253" s="183"/>
      <c r="Z253" s="275" t="s">
        <v>10940</v>
      </c>
      <c r="AA253" s="304" t="s">
        <v>10530</v>
      </c>
      <c r="AB253" s="277"/>
      <c r="AC253" s="566" t="s">
        <v>11620</v>
      </c>
      <c r="AD253" s="277"/>
    </row>
    <row r="254" ht="15.75" customHeight="1" outlineLevel="1">
      <c r="A254" s="228" t="s">
        <v>10833</v>
      </c>
      <c r="B254" s="270" t="s">
        <v>77</v>
      </c>
      <c r="C254" s="270" t="s">
        <v>33</v>
      </c>
      <c r="D254" s="209" t="s">
        <v>89</v>
      </c>
      <c r="E254" s="271" t="s">
        <v>29</v>
      </c>
      <c r="F254" s="209" t="s">
        <v>90</v>
      </c>
      <c r="G254" s="209" t="s">
        <v>33</v>
      </c>
      <c r="H254" s="212" t="s">
        <v>10922</v>
      </c>
      <c r="I254" s="182" t="s">
        <v>44</v>
      </c>
      <c r="J254" s="303" t="s">
        <v>10941</v>
      </c>
      <c r="K254" s="209" t="s">
        <v>33</v>
      </c>
      <c r="L254" s="210" t="s">
        <v>4</v>
      </c>
      <c r="M254" s="209" t="s">
        <v>29</v>
      </c>
      <c r="N254" s="181" t="s">
        <v>10498</v>
      </c>
      <c r="O254" s="58" t="str">
        <f t="shared" si="4"/>
        <v>L2.02.01.02.06.02</v>
      </c>
      <c r="P254" s="272" t="str">
        <f t="shared" si="10"/>
        <v>L2.02.01.02.06.02.01</v>
      </c>
      <c r="Q254" s="185" t="s">
        <v>10530</v>
      </c>
      <c r="R254" s="273" t="str">
        <f t="shared" si="12"/>
        <v>Phòng KD bán mới MISA ESHOP 02</v>
      </c>
      <c r="S254" s="274" t="str">
        <f>P252</f>
        <v>L2.02.01.02.81.00.01</v>
      </c>
      <c r="T254" s="183" t="s">
        <v>973</v>
      </c>
      <c r="U254" s="183" t="s">
        <v>346</v>
      </c>
      <c r="V254" s="183" t="s">
        <v>93</v>
      </c>
      <c r="W254" s="183" t="s">
        <v>366</v>
      </c>
      <c r="X254" s="183" t="s">
        <v>972</v>
      </c>
      <c r="Y254" s="183"/>
      <c r="Z254" s="275" t="s">
        <v>10942</v>
      </c>
      <c r="AA254" s="304" t="s">
        <v>10530</v>
      </c>
      <c r="AB254" s="277"/>
      <c r="AC254" s="566" t="s">
        <v>11620</v>
      </c>
      <c r="AD254" s="277"/>
    </row>
    <row r="255" ht="15.75" customHeight="1" outlineLevel="1">
      <c r="A255" s="228" t="s">
        <v>10833</v>
      </c>
      <c r="B255" s="270" t="s">
        <v>77</v>
      </c>
      <c r="C255" s="270" t="s">
        <v>33</v>
      </c>
      <c r="D255" s="209" t="s">
        <v>89</v>
      </c>
      <c r="E255" s="271" t="s">
        <v>29</v>
      </c>
      <c r="F255" s="209" t="s">
        <v>90</v>
      </c>
      <c r="G255" s="209" t="s">
        <v>33</v>
      </c>
      <c r="H255" s="212" t="s">
        <v>10922</v>
      </c>
      <c r="I255" s="209" t="s">
        <v>37</v>
      </c>
      <c r="J255" s="303" t="s">
        <v>101</v>
      </c>
      <c r="K255" s="209" t="s">
        <v>27</v>
      </c>
      <c r="L255" s="210" t="s">
        <v>4</v>
      </c>
      <c r="M255" s="209" t="s">
        <v>29</v>
      </c>
      <c r="N255" s="181" t="s">
        <v>10498</v>
      </c>
      <c r="O255" s="58" t="str">
        <f t="shared" si="4"/>
        <v>L2.02.01.02.04.00</v>
      </c>
      <c r="P255" s="272" t="str">
        <f t="shared" si="10"/>
        <v>L2.02.01.02.04.00.01</v>
      </c>
      <c r="Q255" s="185" t="s">
        <v>10530</v>
      </c>
      <c r="R255" s="273" t="str">
        <f t="shared" ref="R255:R258" si="13">if(L255&lt;&gt;"-",L255,if(AND(L255="-",J255&lt;&gt;"-"),J255,if(AND(J255="-",H255&lt;&gt;"-"),H255,"NA")))</f>
        <v>Phòng chuyển giao</v>
      </c>
      <c r="S255" s="274" t="s">
        <v>10927</v>
      </c>
      <c r="T255" s="183" t="s">
        <v>958</v>
      </c>
      <c r="U255" s="183" t="s">
        <v>346</v>
      </c>
      <c r="V255" s="183" t="s">
        <v>93</v>
      </c>
      <c r="W255" s="183" t="s">
        <v>153</v>
      </c>
      <c r="X255" s="183"/>
      <c r="Y255" s="183"/>
      <c r="Z255" s="275" t="s">
        <v>10943</v>
      </c>
      <c r="AA255" s="304" t="s">
        <v>10530</v>
      </c>
      <c r="AB255" s="277"/>
      <c r="AC255" s="566" t="s">
        <v>11622</v>
      </c>
      <c r="AD255" s="277"/>
    </row>
    <row r="256" ht="15.75" customHeight="1" outlineLevel="1">
      <c r="A256" s="261" t="s">
        <v>10833</v>
      </c>
      <c r="B256" s="231" t="s">
        <v>77</v>
      </c>
      <c r="C256" s="231" t="s">
        <v>33</v>
      </c>
      <c r="D256" s="157" t="s">
        <v>89</v>
      </c>
      <c r="E256" s="297" t="s">
        <v>29</v>
      </c>
      <c r="F256" s="157" t="s">
        <v>90</v>
      </c>
      <c r="G256" s="157" t="s">
        <v>33</v>
      </c>
      <c r="H256" s="212" t="s">
        <v>10944</v>
      </c>
      <c r="I256" s="168" t="s">
        <v>27</v>
      </c>
      <c r="J256" s="258" t="s">
        <v>4</v>
      </c>
      <c r="K256" s="157" t="s">
        <v>27</v>
      </c>
      <c r="L256" s="156" t="s">
        <v>4</v>
      </c>
      <c r="M256" s="157" t="s">
        <v>33</v>
      </c>
      <c r="N256" s="167" t="s">
        <v>10499</v>
      </c>
      <c r="O256" s="55" t="str">
        <f t="shared" si="4"/>
        <v>L2.02.01.02.00.00</v>
      </c>
      <c r="P256" s="257" t="str">
        <f t="shared" si="10"/>
        <v>L2.02.01.02.00.00.02</v>
      </c>
      <c r="Q256" s="161" t="s">
        <v>10530</v>
      </c>
      <c r="R256" s="273" t="str">
        <f t="shared" si="13"/>
        <v>Trung tâm KD Giải pháp bán lẻ - Hồ Chí Minh</v>
      </c>
      <c r="S256" s="274" t="s">
        <v>10923</v>
      </c>
      <c r="T256" s="264" t="s">
        <v>10945</v>
      </c>
      <c r="U256" s="265" t="s">
        <v>262</v>
      </c>
      <c r="V256" s="265" t="s">
        <v>93</v>
      </c>
      <c r="W256" s="265"/>
      <c r="X256" s="265"/>
      <c r="Y256" s="265"/>
      <c r="Z256" s="225" t="s">
        <v>10946</v>
      </c>
      <c r="AA256" s="300" t="s">
        <v>10530</v>
      </c>
      <c r="AB256" s="267"/>
      <c r="AC256" s="376" t="s">
        <v>11623</v>
      </c>
      <c r="AD256" s="267"/>
    </row>
    <row r="257" ht="15.75" customHeight="1" outlineLevel="1">
      <c r="A257" s="261" t="s">
        <v>10833</v>
      </c>
      <c r="B257" s="231" t="s">
        <v>77</v>
      </c>
      <c r="C257" s="231" t="s">
        <v>33</v>
      </c>
      <c r="D257" s="157" t="s">
        <v>89</v>
      </c>
      <c r="E257" s="297" t="s">
        <v>29</v>
      </c>
      <c r="F257" s="157" t="s">
        <v>90</v>
      </c>
      <c r="G257" s="157" t="s">
        <v>33</v>
      </c>
      <c r="H257" s="212" t="s">
        <v>10944</v>
      </c>
      <c r="I257" s="157" t="s">
        <v>29</v>
      </c>
      <c r="J257" s="301" t="s">
        <v>10926</v>
      </c>
      <c r="K257" s="157" t="s">
        <v>27</v>
      </c>
      <c r="L257" s="156" t="s">
        <v>4</v>
      </c>
      <c r="M257" s="157" t="s">
        <v>33</v>
      </c>
      <c r="N257" s="167" t="s">
        <v>10499</v>
      </c>
      <c r="O257" s="55" t="str">
        <f t="shared" si="4"/>
        <v>L2.02.01.02.01.00</v>
      </c>
      <c r="P257" s="257" t="str">
        <f t="shared" si="10"/>
        <v>L2.02.01.02.01.00.02</v>
      </c>
      <c r="Q257" s="161" t="s">
        <v>10530</v>
      </c>
      <c r="R257" s="299" t="str">
        <f t="shared" si="13"/>
        <v>Ban giám đốc TTKD Giải pháp bán lẻ</v>
      </c>
      <c r="S257" s="269" t="s">
        <v>10947</v>
      </c>
      <c r="T257" s="265" t="s">
        <v>7245</v>
      </c>
      <c r="U257" s="265" t="s">
        <v>262</v>
      </c>
      <c r="V257" s="265" t="s">
        <v>93</v>
      </c>
      <c r="W257" s="265" t="s">
        <v>7230</v>
      </c>
      <c r="X257" s="265"/>
      <c r="Y257" s="265"/>
      <c r="Z257" s="225" t="s">
        <v>10948</v>
      </c>
      <c r="AA257" s="300" t="s">
        <v>10530</v>
      </c>
      <c r="AB257" s="267"/>
      <c r="AC257" s="376" t="s">
        <v>11623</v>
      </c>
      <c r="AD257" s="267"/>
    </row>
    <row r="258" ht="15.75" customHeight="1" outlineLevel="1">
      <c r="A258" s="228" t="s">
        <v>10833</v>
      </c>
      <c r="B258" s="270" t="s">
        <v>77</v>
      </c>
      <c r="C258" s="270" t="s">
        <v>33</v>
      </c>
      <c r="D258" s="209" t="s">
        <v>89</v>
      </c>
      <c r="E258" s="271" t="s">
        <v>29</v>
      </c>
      <c r="F258" s="209" t="s">
        <v>90</v>
      </c>
      <c r="G258" s="209" t="s">
        <v>33</v>
      </c>
      <c r="H258" s="212" t="s">
        <v>10944</v>
      </c>
      <c r="I258" s="228">
        <v>80.0</v>
      </c>
      <c r="J258" s="303" t="s">
        <v>10929</v>
      </c>
      <c r="K258" s="209" t="s">
        <v>27</v>
      </c>
      <c r="L258" s="210" t="s">
        <v>4</v>
      </c>
      <c r="M258" s="209" t="s">
        <v>33</v>
      </c>
      <c r="N258" s="181" t="s">
        <v>10499</v>
      </c>
      <c r="O258" s="58" t="str">
        <f t="shared" si="4"/>
        <v>L2.02.01.02.80.00</v>
      </c>
      <c r="P258" s="272" t="str">
        <f t="shared" si="10"/>
        <v>L2.02.01.02.80.00.02</v>
      </c>
      <c r="Q258" s="185" t="s">
        <v>10530</v>
      </c>
      <c r="R258" s="273" t="str">
        <f t="shared" si="13"/>
        <v>Phòng KD bán mới MISA CUKCUK</v>
      </c>
      <c r="S258" s="274" t="s">
        <v>10947</v>
      </c>
      <c r="T258" s="583" t="s">
        <v>10949</v>
      </c>
      <c r="U258" s="183" t="s">
        <v>262</v>
      </c>
      <c r="V258" s="183" t="s">
        <v>93</v>
      </c>
      <c r="W258" s="584" t="s">
        <v>1918</v>
      </c>
      <c r="X258" s="183"/>
      <c r="Y258" s="183"/>
      <c r="Z258" s="275" t="s">
        <v>10950</v>
      </c>
      <c r="AA258" s="304" t="s">
        <v>10530</v>
      </c>
      <c r="AB258" s="277"/>
      <c r="AC258" s="376" t="s">
        <v>11624</v>
      </c>
      <c r="AD258" s="277"/>
    </row>
    <row r="259" ht="15.75" customHeight="1" outlineLevel="1">
      <c r="A259" s="228" t="s">
        <v>10833</v>
      </c>
      <c r="B259" s="270" t="s">
        <v>77</v>
      </c>
      <c r="C259" s="270" t="s">
        <v>33</v>
      </c>
      <c r="D259" s="209" t="s">
        <v>89</v>
      </c>
      <c r="E259" s="271" t="s">
        <v>29</v>
      </c>
      <c r="F259" s="209" t="s">
        <v>90</v>
      </c>
      <c r="G259" s="209" t="s">
        <v>33</v>
      </c>
      <c r="H259" s="212" t="s">
        <v>10944</v>
      </c>
      <c r="I259" s="209" t="s">
        <v>33</v>
      </c>
      <c r="J259" s="303" t="s">
        <v>10951</v>
      </c>
      <c r="K259" s="209" t="s">
        <v>29</v>
      </c>
      <c r="L259" s="210" t="s">
        <v>4</v>
      </c>
      <c r="M259" s="209" t="s">
        <v>33</v>
      </c>
      <c r="N259" s="181" t="s">
        <v>10499</v>
      </c>
      <c r="O259" s="58" t="str">
        <f t="shared" si="4"/>
        <v>L2.02.01.02.02.01</v>
      </c>
      <c r="P259" s="272" t="str">
        <f t="shared" si="10"/>
        <v>L2.02.01.02.02.01.02</v>
      </c>
      <c r="Q259" s="185" t="s">
        <v>10530</v>
      </c>
      <c r="R259" s="273" t="str">
        <f t="shared" ref="R259:R261" si="14">if(J259&lt;&gt;"-",J259,if(AND(J259="-",#REF!&lt;&gt;"-"),#REF!,if(AND(#REF!="-",H259&lt;&gt;"-"),H259,"NA")))</f>
        <v>Phòng KD bán mới MISA CUKCUK 01</v>
      </c>
      <c r="S259" s="274" t="str">
        <f>P258</f>
        <v>L2.02.01.02.80.00.02</v>
      </c>
      <c r="T259" s="183" t="s">
        <v>2005</v>
      </c>
      <c r="U259" s="183" t="s">
        <v>262</v>
      </c>
      <c r="V259" s="183" t="s">
        <v>93</v>
      </c>
      <c r="W259" s="183" t="s">
        <v>1918</v>
      </c>
      <c r="X259" s="183" t="s">
        <v>902</v>
      </c>
      <c r="Y259" s="183"/>
      <c r="Z259" s="275" t="s">
        <v>10953</v>
      </c>
      <c r="AA259" s="304" t="s">
        <v>10530</v>
      </c>
      <c r="AB259" s="277"/>
      <c r="AC259" s="566" t="s">
        <v>11625</v>
      </c>
      <c r="AD259" s="277"/>
    </row>
    <row r="260" ht="15.75" customHeight="1" outlineLevel="1">
      <c r="A260" s="228" t="s">
        <v>10833</v>
      </c>
      <c r="B260" s="270" t="s">
        <v>77</v>
      </c>
      <c r="C260" s="270" t="s">
        <v>33</v>
      </c>
      <c r="D260" s="209" t="s">
        <v>89</v>
      </c>
      <c r="E260" s="271" t="s">
        <v>29</v>
      </c>
      <c r="F260" s="209" t="s">
        <v>90</v>
      </c>
      <c r="G260" s="209" t="s">
        <v>33</v>
      </c>
      <c r="H260" s="212" t="s">
        <v>10944</v>
      </c>
      <c r="I260" s="209" t="s">
        <v>33</v>
      </c>
      <c r="J260" s="303" t="s">
        <v>10954</v>
      </c>
      <c r="K260" s="209" t="s">
        <v>33</v>
      </c>
      <c r="L260" s="210" t="s">
        <v>4</v>
      </c>
      <c r="M260" s="209" t="s">
        <v>33</v>
      </c>
      <c r="N260" s="181" t="s">
        <v>10499</v>
      </c>
      <c r="O260" s="58" t="str">
        <f t="shared" si="4"/>
        <v>L2.02.01.02.02.02</v>
      </c>
      <c r="P260" s="272" t="str">
        <f t="shared" si="10"/>
        <v>L2.02.01.02.02.02.02</v>
      </c>
      <c r="Q260" s="185" t="s">
        <v>10530</v>
      </c>
      <c r="R260" s="273" t="str">
        <f t="shared" si="14"/>
        <v>Phòng KD bán mới MISA CUKCUK 02</v>
      </c>
      <c r="S260" s="274" t="str">
        <f>P258</f>
        <v>L2.02.01.02.80.00.02</v>
      </c>
      <c r="T260" s="183" t="s">
        <v>1992</v>
      </c>
      <c r="U260" s="183" t="s">
        <v>262</v>
      </c>
      <c r="V260" s="183" t="s">
        <v>93</v>
      </c>
      <c r="W260" s="183" t="s">
        <v>1918</v>
      </c>
      <c r="X260" s="183" t="s">
        <v>1991</v>
      </c>
      <c r="Y260" s="183"/>
      <c r="Z260" s="275" t="s">
        <v>10955</v>
      </c>
      <c r="AA260" s="304" t="s">
        <v>10530</v>
      </c>
      <c r="AB260" s="277"/>
      <c r="AC260" s="566" t="s">
        <v>11625</v>
      </c>
      <c r="AD260" s="277"/>
    </row>
    <row r="261" ht="15.75" customHeight="1" outlineLevel="1">
      <c r="A261" s="228" t="s">
        <v>10833</v>
      </c>
      <c r="B261" s="270" t="s">
        <v>77</v>
      </c>
      <c r="C261" s="270" t="s">
        <v>33</v>
      </c>
      <c r="D261" s="209" t="s">
        <v>89</v>
      </c>
      <c r="E261" s="271" t="s">
        <v>29</v>
      </c>
      <c r="F261" s="209" t="s">
        <v>90</v>
      </c>
      <c r="G261" s="209" t="s">
        <v>33</v>
      </c>
      <c r="H261" s="212" t="s">
        <v>10944</v>
      </c>
      <c r="I261" s="209" t="s">
        <v>33</v>
      </c>
      <c r="J261" s="303" t="s">
        <v>10956</v>
      </c>
      <c r="K261" s="182" t="s">
        <v>35</v>
      </c>
      <c r="L261" s="210" t="s">
        <v>4</v>
      </c>
      <c r="M261" s="209" t="s">
        <v>33</v>
      </c>
      <c r="N261" s="181" t="s">
        <v>10499</v>
      </c>
      <c r="O261" s="58" t="str">
        <f t="shared" si="4"/>
        <v>L2.02.01.02.02.03</v>
      </c>
      <c r="P261" s="272" t="str">
        <f t="shared" si="10"/>
        <v>L2.02.01.02.02.03.02</v>
      </c>
      <c r="Q261" s="185" t="s">
        <v>10530</v>
      </c>
      <c r="R261" s="273" t="str">
        <f t="shared" si="14"/>
        <v>Phòng KD bán mới MISA CUKCUK 03</v>
      </c>
      <c r="S261" s="274" t="str">
        <f>P258</f>
        <v>L2.02.01.02.80.00.02</v>
      </c>
      <c r="T261" s="183" t="s">
        <v>1919</v>
      </c>
      <c r="U261" s="183" t="s">
        <v>262</v>
      </c>
      <c r="V261" s="183" t="s">
        <v>93</v>
      </c>
      <c r="W261" s="183" t="s">
        <v>1918</v>
      </c>
      <c r="X261" s="183" t="s">
        <v>914</v>
      </c>
      <c r="Y261" s="183"/>
      <c r="Z261" s="275" t="s">
        <v>10957</v>
      </c>
      <c r="AA261" s="304" t="s">
        <v>10530</v>
      </c>
      <c r="AB261" s="277"/>
      <c r="AC261" s="566" t="s">
        <v>11625</v>
      </c>
      <c r="AD261" s="277"/>
    </row>
    <row r="262" ht="15.75" customHeight="1" outlineLevel="1">
      <c r="A262" s="228" t="s">
        <v>10833</v>
      </c>
      <c r="B262" s="270" t="s">
        <v>77</v>
      </c>
      <c r="C262" s="270" t="s">
        <v>33</v>
      </c>
      <c r="D262" s="209" t="s">
        <v>89</v>
      </c>
      <c r="E262" s="271" t="s">
        <v>29</v>
      </c>
      <c r="F262" s="209" t="s">
        <v>90</v>
      </c>
      <c r="G262" s="209" t="s">
        <v>33</v>
      </c>
      <c r="H262" s="212" t="s">
        <v>10944</v>
      </c>
      <c r="I262" s="228">
        <v>81.0</v>
      </c>
      <c r="J262" s="303" t="s">
        <v>10935</v>
      </c>
      <c r="K262" s="209" t="s">
        <v>27</v>
      </c>
      <c r="L262" s="210" t="s">
        <v>4</v>
      </c>
      <c r="M262" s="209" t="s">
        <v>33</v>
      </c>
      <c r="N262" s="181" t="s">
        <v>10499</v>
      </c>
      <c r="O262" s="58" t="str">
        <f t="shared" si="4"/>
        <v>L2.02.01.02.81.00</v>
      </c>
      <c r="P262" s="272" t="str">
        <f t="shared" si="10"/>
        <v>L2.02.01.02.81.00.02</v>
      </c>
      <c r="Q262" s="185" t="s">
        <v>10530</v>
      </c>
      <c r="R262" s="273" t="str">
        <f>if(L262&lt;&gt;"-",L262,if(AND(L262="-",J262&lt;&gt;"-"),J262,if(AND(J262="-",H262&lt;&gt;"-"),H262,"NA")))</f>
        <v>Phòng KD bán mới MISA ESHOP</v>
      </c>
      <c r="S262" s="274" t="s">
        <v>10947</v>
      </c>
      <c r="T262" s="583" t="s">
        <v>10958</v>
      </c>
      <c r="U262" s="183" t="s">
        <v>262</v>
      </c>
      <c r="V262" s="183" t="s">
        <v>93</v>
      </c>
      <c r="W262" s="584" t="s">
        <v>1912</v>
      </c>
      <c r="X262" s="183"/>
      <c r="Y262" s="183"/>
      <c r="Z262" s="275" t="s">
        <v>10959</v>
      </c>
      <c r="AA262" s="304" t="s">
        <v>10530</v>
      </c>
      <c r="AB262" s="277"/>
      <c r="AC262" s="376" t="s">
        <v>11618</v>
      </c>
      <c r="AD262" s="277"/>
    </row>
    <row r="263" ht="15.75" customHeight="1" outlineLevel="1">
      <c r="A263" s="228" t="s">
        <v>10833</v>
      </c>
      <c r="B263" s="270" t="s">
        <v>77</v>
      </c>
      <c r="C263" s="270" t="s">
        <v>33</v>
      </c>
      <c r="D263" s="209" t="s">
        <v>89</v>
      </c>
      <c r="E263" s="271" t="s">
        <v>29</v>
      </c>
      <c r="F263" s="209" t="s">
        <v>90</v>
      </c>
      <c r="G263" s="209" t="s">
        <v>33</v>
      </c>
      <c r="H263" s="212" t="s">
        <v>10944</v>
      </c>
      <c r="I263" s="209" t="s">
        <v>35</v>
      </c>
      <c r="J263" s="303" t="s">
        <v>10938</v>
      </c>
      <c r="K263" s="209" t="s">
        <v>29</v>
      </c>
      <c r="L263" s="232"/>
      <c r="M263" s="209" t="s">
        <v>33</v>
      </c>
      <c r="N263" s="181" t="s">
        <v>10499</v>
      </c>
      <c r="O263" s="58" t="str">
        <f t="shared" si="4"/>
        <v>L2.02.01.02.03.01</v>
      </c>
      <c r="P263" s="272" t="str">
        <f t="shared" si="10"/>
        <v>L2.02.01.02.03.01.02</v>
      </c>
      <c r="Q263" s="185" t="s">
        <v>10530</v>
      </c>
      <c r="R263" s="273" t="str">
        <f>if(J263&lt;&gt;"-",J263,if(AND(J263="-",#REF!&lt;&gt;"-"),#REF!,if(AND(#REF!="-",H263&lt;&gt;"-"),H263,"NA")))</f>
        <v>Phòng KD bán mới MISA ESHOP 01</v>
      </c>
      <c r="S263" s="274" t="str">
        <f>P262</f>
        <v>L2.02.01.02.81.00.02</v>
      </c>
      <c r="T263" s="183" t="s">
        <v>1913</v>
      </c>
      <c r="U263" s="183" t="s">
        <v>262</v>
      </c>
      <c r="V263" s="183" t="s">
        <v>93</v>
      </c>
      <c r="W263" s="183" t="s">
        <v>1912</v>
      </c>
      <c r="X263" s="183" t="s">
        <v>365</v>
      </c>
      <c r="Y263" s="183"/>
      <c r="Z263" s="275" t="s">
        <v>10961</v>
      </c>
      <c r="AA263" s="304" t="s">
        <v>10530</v>
      </c>
      <c r="AB263" s="277"/>
      <c r="AC263" s="566" t="s">
        <v>11625</v>
      </c>
      <c r="AD263" s="277"/>
    </row>
    <row r="264" ht="15.75" customHeight="1" outlineLevel="1">
      <c r="A264" s="261" t="s">
        <v>10833</v>
      </c>
      <c r="B264" s="231" t="s">
        <v>77</v>
      </c>
      <c r="C264" s="231" t="s">
        <v>33</v>
      </c>
      <c r="D264" s="157" t="s">
        <v>89</v>
      </c>
      <c r="E264" s="297" t="s">
        <v>29</v>
      </c>
      <c r="F264" s="157" t="s">
        <v>90</v>
      </c>
      <c r="G264" s="157" t="s">
        <v>33</v>
      </c>
      <c r="H264" s="212" t="s">
        <v>10944</v>
      </c>
      <c r="I264" s="157" t="s">
        <v>37</v>
      </c>
      <c r="J264" s="303" t="s">
        <v>101</v>
      </c>
      <c r="K264" s="157" t="s">
        <v>27</v>
      </c>
      <c r="L264" s="156" t="s">
        <v>4</v>
      </c>
      <c r="M264" s="157" t="s">
        <v>33</v>
      </c>
      <c r="N264" s="167" t="s">
        <v>10499</v>
      </c>
      <c r="O264" s="55" t="str">
        <f t="shared" si="4"/>
        <v>L2.02.01.02.04.00</v>
      </c>
      <c r="P264" s="257" t="str">
        <f t="shared" si="10"/>
        <v>L2.02.01.02.04.00.02</v>
      </c>
      <c r="Q264" s="161" t="s">
        <v>10530</v>
      </c>
      <c r="R264" s="273" t="str">
        <f t="shared" ref="R264:R282" si="15">if(L264&lt;&gt;"-",L264,if(AND(L264="-",J264&lt;&gt;"-"),J264,if(AND(J264="-",H264&lt;&gt;"-"),H264,"NA")))</f>
        <v>Phòng chuyển giao</v>
      </c>
      <c r="S264" s="269" t="s">
        <v>10947</v>
      </c>
      <c r="T264" s="265" t="s">
        <v>1850</v>
      </c>
      <c r="U264" s="265" t="s">
        <v>262</v>
      </c>
      <c r="V264" s="265" t="s">
        <v>93</v>
      </c>
      <c r="W264" s="265" t="s">
        <v>153</v>
      </c>
      <c r="X264" s="265"/>
      <c r="Y264" s="265"/>
      <c r="Z264" s="225" t="s">
        <v>10962</v>
      </c>
      <c r="AA264" s="300" t="s">
        <v>10530</v>
      </c>
      <c r="AB264" s="267"/>
      <c r="AC264" s="566" t="s">
        <v>11626</v>
      </c>
      <c r="AD264" s="267"/>
    </row>
    <row r="265" ht="15.75" customHeight="1" outlineLevel="1">
      <c r="A265" s="261" t="s">
        <v>10833</v>
      </c>
      <c r="B265" s="231" t="s">
        <v>77</v>
      </c>
      <c r="C265" s="231" t="s">
        <v>33</v>
      </c>
      <c r="D265" s="157" t="s">
        <v>89</v>
      </c>
      <c r="E265" s="297" t="s">
        <v>29</v>
      </c>
      <c r="F265" s="157" t="s">
        <v>90</v>
      </c>
      <c r="G265" s="157" t="s">
        <v>33</v>
      </c>
      <c r="H265" s="298" t="s">
        <v>10963</v>
      </c>
      <c r="I265" s="157" t="s">
        <v>27</v>
      </c>
      <c r="J265" s="305" t="s">
        <v>4</v>
      </c>
      <c r="K265" s="157" t="s">
        <v>27</v>
      </c>
      <c r="L265" s="156" t="s">
        <v>4</v>
      </c>
      <c r="M265" s="157" t="s">
        <v>35</v>
      </c>
      <c r="N265" s="167" t="s">
        <v>10500</v>
      </c>
      <c r="O265" s="55" t="str">
        <f t="shared" si="4"/>
        <v>L2.02.01.02.00.00</v>
      </c>
      <c r="P265" s="257" t="str">
        <f t="shared" si="10"/>
        <v>L2.02.01.02.00.00.03</v>
      </c>
      <c r="Q265" s="161" t="s">
        <v>10530</v>
      </c>
      <c r="R265" s="299" t="str">
        <f t="shared" si="15"/>
        <v>Phòng KD Giải pháp bán lẻ - Đà Nẵng</v>
      </c>
      <c r="S265" s="274" t="s">
        <v>10923</v>
      </c>
      <c r="T265" s="265" t="s">
        <v>8625</v>
      </c>
      <c r="U265" s="265" t="s">
        <v>2811</v>
      </c>
      <c r="V265" s="265" t="s">
        <v>2909</v>
      </c>
      <c r="W265" s="265"/>
      <c r="X265" s="265"/>
      <c r="Y265" s="265"/>
      <c r="Z265" s="225" t="s">
        <v>10964</v>
      </c>
      <c r="AA265" s="300" t="s">
        <v>10530</v>
      </c>
      <c r="AB265" s="267"/>
      <c r="AC265" s="376" t="s">
        <v>11627</v>
      </c>
      <c r="AD265" s="267"/>
    </row>
    <row r="266" ht="15.75" customHeight="1" outlineLevel="1">
      <c r="A266" s="261" t="s">
        <v>10833</v>
      </c>
      <c r="B266" s="231" t="s">
        <v>77</v>
      </c>
      <c r="C266" s="231" t="s">
        <v>33</v>
      </c>
      <c r="D266" s="157" t="s">
        <v>89</v>
      </c>
      <c r="E266" s="297" t="s">
        <v>29</v>
      </c>
      <c r="F266" s="157" t="s">
        <v>90</v>
      </c>
      <c r="G266" s="157" t="s">
        <v>33</v>
      </c>
      <c r="H266" s="298" t="s">
        <v>10963</v>
      </c>
      <c r="I266" s="168" t="s">
        <v>29</v>
      </c>
      <c r="J266" s="265" t="s">
        <v>2908</v>
      </c>
      <c r="K266" s="157" t="s">
        <v>27</v>
      </c>
      <c r="L266" s="156" t="s">
        <v>4</v>
      </c>
      <c r="M266" s="157" t="s">
        <v>35</v>
      </c>
      <c r="N266" s="167" t="s">
        <v>10500</v>
      </c>
      <c r="O266" s="55" t="str">
        <f t="shared" si="4"/>
        <v>L2.02.01.02.01.00</v>
      </c>
      <c r="P266" s="257" t="str">
        <f t="shared" si="10"/>
        <v>L2.02.01.02.01.00.03</v>
      </c>
      <c r="Q266" s="161" t="s">
        <v>10530</v>
      </c>
      <c r="R266" s="299" t="str">
        <f t="shared" si="15"/>
        <v>Nhóm KD CUKCUK &amp; ESHOP</v>
      </c>
      <c r="S266" s="269" t="s">
        <v>10965</v>
      </c>
      <c r="T266" s="265" t="s">
        <v>2910</v>
      </c>
      <c r="U266" s="265" t="s">
        <v>2811</v>
      </c>
      <c r="V266" s="265" t="s">
        <v>2909</v>
      </c>
      <c r="W266" s="265" t="s">
        <v>2908</v>
      </c>
      <c r="X266" s="265"/>
      <c r="Y266" s="265"/>
      <c r="Z266" s="225" t="s">
        <v>10966</v>
      </c>
      <c r="AA266" s="300" t="s">
        <v>10530</v>
      </c>
      <c r="AB266" s="267"/>
      <c r="AC266" s="267"/>
      <c r="AD266" s="267"/>
    </row>
    <row r="267" ht="15.75" customHeight="1" outlineLevel="1">
      <c r="A267" s="261" t="s">
        <v>10833</v>
      </c>
      <c r="B267" s="231" t="s">
        <v>77</v>
      </c>
      <c r="C267" s="231" t="s">
        <v>33</v>
      </c>
      <c r="D267" s="157" t="s">
        <v>89</v>
      </c>
      <c r="E267" s="297" t="s">
        <v>29</v>
      </c>
      <c r="F267" s="157" t="s">
        <v>90</v>
      </c>
      <c r="G267" s="157" t="s">
        <v>33</v>
      </c>
      <c r="H267" s="298" t="s">
        <v>11628</v>
      </c>
      <c r="I267" s="157" t="s">
        <v>27</v>
      </c>
      <c r="J267" s="156" t="s">
        <v>4</v>
      </c>
      <c r="K267" s="157" t="s">
        <v>27</v>
      </c>
      <c r="L267" s="156" t="s">
        <v>4</v>
      </c>
      <c r="M267" s="157" t="s">
        <v>37</v>
      </c>
      <c r="N267" s="298" t="s">
        <v>10900</v>
      </c>
      <c r="O267" s="55" t="str">
        <f t="shared" si="4"/>
        <v>L2.02.01.02.00.00</v>
      </c>
      <c r="P267" s="257" t="str">
        <f t="shared" si="10"/>
        <v>L2.02.01.02.00.00.04</v>
      </c>
      <c r="Q267" s="161" t="s">
        <v>10530</v>
      </c>
      <c r="R267" s="299" t="str">
        <f t="shared" si="15"/>
        <v>Phòng KD Giải pháp bán lẻ - Buôn Ma Thuột</v>
      </c>
      <c r="S267" s="274" t="s">
        <v>10923</v>
      </c>
      <c r="T267" s="265" t="s">
        <v>9079</v>
      </c>
      <c r="U267" s="265" t="s">
        <v>2732</v>
      </c>
      <c r="V267" s="265" t="s">
        <v>2761</v>
      </c>
      <c r="W267" s="265"/>
      <c r="X267" s="265"/>
      <c r="Y267" s="265"/>
      <c r="Z267" s="225" t="s">
        <v>10968</v>
      </c>
      <c r="AA267" s="300" t="s">
        <v>10530</v>
      </c>
      <c r="AB267" s="267"/>
      <c r="AC267" s="376" t="s">
        <v>11629</v>
      </c>
      <c r="AD267" s="267"/>
    </row>
    <row r="268" ht="15.75" customHeight="1" outlineLevel="1">
      <c r="A268" s="261" t="s">
        <v>10833</v>
      </c>
      <c r="B268" s="231" t="s">
        <v>77</v>
      </c>
      <c r="C268" s="231" t="s">
        <v>33</v>
      </c>
      <c r="D268" s="157" t="s">
        <v>89</v>
      </c>
      <c r="E268" s="297" t="s">
        <v>29</v>
      </c>
      <c r="F268" s="157" t="s">
        <v>90</v>
      </c>
      <c r="G268" s="157" t="s">
        <v>33</v>
      </c>
      <c r="H268" s="298" t="s">
        <v>11630</v>
      </c>
      <c r="I268" s="168" t="s">
        <v>29</v>
      </c>
      <c r="J268" s="265" t="s">
        <v>2908</v>
      </c>
      <c r="K268" s="157" t="s">
        <v>27</v>
      </c>
      <c r="L268" s="156" t="s">
        <v>4</v>
      </c>
      <c r="M268" s="157" t="s">
        <v>37</v>
      </c>
      <c r="N268" s="298" t="s">
        <v>10900</v>
      </c>
      <c r="O268" s="55" t="str">
        <f t="shared" si="4"/>
        <v>L2.02.01.02.01.00</v>
      </c>
      <c r="P268" s="257" t="str">
        <f t="shared" si="10"/>
        <v>L2.02.01.02.01.00.04</v>
      </c>
      <c r="Q268" s="161" t="s">
        <v>10530</v>
      </c>
      <c r="R268" s="299" t="str">
        <f t="shared" si="15"/>
        <v>Nhóm KD CUKCUK &amp; ESHOP</v>
      </c>
      <c r="S268" s="269" t="s">
        <v>10970</v>
      </c>
      <c r="T268" s="265" t="s">
        <v>7611</v>
      </c>
      <c r="U268" s="265" t="s">
        <v>2732</v>
      </c>
      <c r="V268" s="265" t="s">
        <v>2761</v>
      </c>
      <c r="W268" s="265" t="s">
        <v>2908</v>
      </c>
      <c r="X268" s="265"/>
      <c r="Y268" s="265"/>
      <c r="Z268" s="225" t="s">
        <v>10971</v>
      </c>
      <c r="AA268" s="300" t="s">
        <v>10530</v>
      </c>
      <c r="AB268" s="267"/>
      <c r="AC268" s="376" t="s">
        <v>11631</v>
      </c>
      <c r="AD268" s="267"/>
    </row>
    <row r="269" ht="15.75" customHeight="1" outlineLevel="1">
      <c r="A269" s="261" t="s">
        <v>10833</v>
      </c>
      <c r="B269" s="231" t="s">
        <v>77</v>
      </c>
      <c r="C269" s="231" t="s">
        <v>33</v>
      </c>
      <c r="D269" s="157" t="s">
        <v>89</v>
      </c>
      <c r="E269" s="297" t="s">
        <v>29</v>
      </c>
      <c r="F269" s="157" t="s">
        <v>90</v>
      </c>
      <c r="G269" s="157" t="s">
        <v>33</v>
      </c>
      <c r="H269" s="298" t="s">
        <v>10972</v>
      </c>
      <c r="I269" s="157" t="s">
        <v>27</v>
      </c>
      <c r="J269" s="156" t="s">
        <v>4</v>
      </c>
      <c r="K269" s="157" t="s">
        <v>27</v>
      </c>
      <c r="L269" s="156" t="s">
        <v>4</v>
      </c>
      <c r="M269" s="157" t="s">
        <v>42</v>
      </c>
      <c r="N269" s="167" t="s">
        <v>10502</v>
      </c>
      <c r="O269" s="55" t="str">
        <f t="shared" si="4"/>
        <v>L2.02.01.02.00.00</v>
      </c>
      <c r="P269" s="257" t="str">
        <f t="shared" si="10"/>
        <v>L2.02.01.02.00.00.05</v>
      </c>
      <c r="Q269" s="161" t="s">
        <v>10530</v>
      </c>
      <c r="R269" s="299" t="str">
        <f t="shared" si="15"/>
        <v>Phòng KD Giải pháp bán lẻ - Cần Thơ</v>
      </c>
      <c r="S269" s="274" t="s">
        <v>10923</v>
      </c>
      <c r="T269" s="265" t="s">
        <v>3361</v>
      </c>
      <c r="U269" s="265" t="s">
        <v>325</v>
      </c>
      <c r="V269" s="265" t="s">
        <v>2761</v>
      </c>
      <c r="W269" s="265"/>
      <c r="X269" s="265"/>
      <c r="Y269" s="265"/>
      <c r="Z269" s="225" t="s">
        <v>10973</v>
      </c>
      <c r="AA269" s="300" t="s">
        <v>10530</v>
      </c>
      <c r="AB269" s="267"/>
      <c r="AC269" s="267"/>
      <c r="AD269" s="267"/>
    </row>
    <row r="270" ht="15.75" customHeight="1" outlineLevel="1">
      <c r="A270" s="261" t="s">
        <v>10833</v>
      </c>
      <c r="B270" s="231" t="s">
        <v>77</v>
      </c>
      <c r="C270" s="231" t="s">
        <v>33</v>
      </c>
      <c r="D270" s="157" t="s">
        <v>89</v>
      </c>
      <c r="E270" s="297" t="s">
        <v>29</v>
      </c>
      <c r="F270" s="157" t="s">
        <v>90</v>
      </c>
      <c r="G270" s="157" t="s">
        <v>33</v>
      </c>
      <c r="H270" s="298" t="s">
        <v>10972</v>
      </c>
      <c r="I270" s="168" t="s">
        <v>29</v>
      </c>
      <c r="J270" s="265" t="s">
        <v>2908</v>
      </c>
      <c r="K270" s="157" t="s">
        <v>27</v>
      </c>
      <c r="L270" s="156" t="s">
        <v>4</v>
      </c>
      <c r="M270" s="157" t="s">
        <v>42</v>
      </c>
      <c r="N270" s="167" t="s">
        <v>10502</v>
      </c>
      <c r="O270" s="55" t="str">
        <f t="shared" si="4"/>
        <v>L2.02.01.02.01.00</v>
      </c>
      <c r="P270" s="257" t="str">
        <f t="shared" si="10"/>
        <v>L2.02.01.02.01.00.05</v>
      </c>
      <c r="Q270" s="161" t="s">
        <v>10530</v>
      </c>
      <c r="R270" s="299" t="str">
        <f t="shared" si="15"/>
        <v>Nhóm KD CUKCUK &amp; ESHOP</v>
      </c>
      <c r="S270" s="269" t="s">
        <v>10974</v>
      </c>
      <c r="T270" s="265" t="s">
        <v>3407</v>
      </c>
      <c r="U270" s="265" t="s">
        <v>325</v>
      </c>
      <c r="V270" s="265" t="s">
        <v>2761</v>
      </c>
      <c r="W270" s="265" t="s">
        <v>2908</v>
      </c>
      <c r="X270" s="265"/>
      <c r="Y270" s="265"/>
      <c r="Z270" s="225" t="s">
        <v>10975</v>
      </c>
      <c r="AA270" s="300" t="s">
        <v>10530</v>
      </c>
      <c r="AB270" s="267"/>
      <c r="AC270" s="267"/>
      <c r="AD270" s="267"/>
    </row>
    <row r="271" ht="15.75" customHeight="1" outlineLevel="1">
      <c r="A271" s="100" t="s">
        <v>10833</v>
      </c>
      <c r="B271" s="101" t="s">
        <v>77</v>
      </c>
      <c r="C271" s="101" t="s">
        <v>33</v>
      </c>
      <c r="D271" s="102" t="s">
        <v>89</v>
      </c>
      <c r="E271" s="103" t="s">
        <v>29</v>
      </c>
      <c r="F271" s="102" t="s">
        <v>90</v>
      </c>
      <c r="G271" s="102" t="s">
        <v>35</v>
      </c>
      <c r="H271" s="306" t="s">
        <v>10976</v>
      </c>
      <c r="I271" s="102" t="s">
        <v>27</v>
      </c>
      <c r="J271" s="105" t="s">
        <v>4</v>
      </c>
      <c r="K271" s="102" t="s">
        <v>27</v>
      </c>
      <c r="L271" s="105" t="s">
        <v>4</v>
      </c>
      <c r="M271" s="106" t="s">
        <v>27</v>
      </c>
      <c r="N271" s="104"/>
      <c r="O271" s="136" t="str">
        <f t="shared" si="4"/>
        <v>L2.02.01.03.00.00</v>
      </c>
      <c r="P271" s="107" t="str">
        <f t="shared" si="10"/>
        <v>L2.02.01.03.00.00.00</v>
      </c>
      <c r="Q271" s="307" t="s">
        <v>10530</v>
      </c>
      <c r="R271" s="308" t="str">
        <f t="shared" si="15"/>
        <v>Phòng KD bán thêm Giải pháp bán lẻ</v>
      </c>
      <c r="S271" s="309" t="s">
        <v>10919</v>
      </c>
      <c r="T271" s="310"/>
      <c r="U271" s="310"/>
      <c r="V271" s="310"/>
      <c r="W271" s="310"/>
      <c r="X271" s="310"/>
      <c r="Y271" s="311" t="s">
        <v>10977</v>
      </c>
      <c r="Z271" s="112" t="s">
        <v>10978</v>
      </c>
      <c r="AA271" s="312"/>
      <c r="AB271" s="313"/>
      <c r="AC271" s="313"/>
      <c r="AD271" s="313"/>
    </row>
    <row r="272" ht="15.75" customHeight="1" outlineLevel="1">
      <c r="A272" s="314" t="s">
        <v>10833</v>
      </c>
      <c r="B272" s="315" t="s">
        <v>77</v>
      </c>
      <c r="C272" s="315" t="s">
        <v>33</v>
      </c>
      <c r="D272" s="122" t="s">
        <v>89</v>
      </c>
      <c r="E272" s="121" t="s">
        <v>29</v>
      </c>
      <c r="F272" s="122" t="s">
        <v>90</v>
      </c>
      <c r="G272" s="122" t="s">
        <v>35</v>
      </c>
      <c r="H272" s="316" t="s">
        <v>10976</v>
      </c>
      <c r="I272" s="122" t="s">
        <v>27</v>
      </c>
      <c r="J272" s="120" t="s">
        <v>4</v>
      </c>
      <c r="K272" s="122" t="s">
        <v>27</v>
      </c>
      <c r="L272" s="120" t="s">
        <v>4</v>
      </c>
      <c r="M272" s="122" t="s">
        <v>29</v>
      </c>
      <c r="N272" s="123" t="s">
        <v>10498</v>
      </c>
      <c r="O272" s="149" t="str">
        <f t="shared" si="4"/>
        <v>L2.02.01.03.00.00</v>
      </c>
      <c r="P272" s="317" t="str">
        <f t="shared" si="10"/>
        <v>L2.02.01.03.00.00.01</v>
      </c>
      <c r="Q272" s="318"/>
      <c r="R272" s="318" t="str">
        <f t="shared" si="15"/>
        <v>Phòng KD bán thêm Giải pháp bán lẻ</v>
      </c>
      <c r="S272" s="319" t="s">
        <v>10979</v>
      </c>
      <c r="T272" s="320"/>
      <c r="U272" s="320"/>
      <c r="V272" s="320"/>
      <c r="W272" s="320"/>
      <c r="X272" s="320"/>
      <c r="Y272" s="321" t="s">
        <v>10977</v>
      </c>
      <c r="Z272" s="322"/>
      <c r="AA272" s="323"/>
      <c r="AB272" s="324"/>
      <c r="AC272" s="324"/>
      <c r="AD272" s="324"/>
    </row>
    <row r="273" ht="15.75" customHeight="1" outlineLevel="1">
      <c r="A273" s="314" t="s">
        <v>10833</v>
      </c>
      <c r="B273" s="315" t="s">
        <v>77</v>
      </c>
      <c r="C273" s="315" t="s">
        <v>33</v>
      </c>
      <c r="D273" s="122" t="s">
        <v>89</v>
      </c>
      <c r="E273" s="121" t="s">
        <v>29</v>
      </c>
      <c r="F273" s="122" t="s">
        <v>90</v>
      </c>
      <c r="G273" s="122" t="s">
        <v>35</v>
      </c>
      <c r="H273" s="316" t="s">
        <v>10976</v>
      </c>
      <c r="I273" s="122" t="s">
        <v>27</v>
      </c>
      <c r="J273" s="120" t="s">
        <v>4</v>
      </c>
      <c r="K273" s="122" t="s">
        <v>27</v>
      </c>
      <c r="L273" s="120" t="s">
        <v>4</v>
      </c>
      <c r="M273" s="122" t="s">
        <v>33</v>
      </c>
      <c r="N273" s="123" t="s">
        <v>10499</v>
      </c>
      <c r="O273" s="149" t="str">
        <f t="shared" si="4"/>
        <v>L2.02.01.03.00.00</v>
      </c>
      <c r="P273" s="317" t="str">
        <f t="shared" si="10"/>
        <v>L2.02.01.03.00.00.02</v>
      </c>
      <c r="Q273" s="318"/>
      <c r="R273" s="318" t="str">
        <f t="shared" si="15"/>
        <v>Phòng KD bán thêm Giải pháp bán lẻ</v>
      </c>
      <c r="S273" s="319" t="s">
        <v>10979</v>
      </c>
      <c r="T273" s="320"/>
      <c r="U273" s="320"/>
      <c r="V273" s="320"/>
      <c r="W273" s="320"/>
      <c r="X273" s="320"/>
      <c r="Y273" s="321" t="s">
        <v>10977</v>
      </c>
      <c r="Z273" s="322"/>
      <c r="AA273" s="323"/>
      <c r="AB273" s="324"/>
      <c r="AC273" s="324"/>
      <c r="AD273" s="324"/>
    </row>
    <row r="274" ht="15.75" customHeight="1" outlineLevel="1">
      <c r="A274" s="100" t="s">
        <v>10833</v>
      </c>
      <c r="B274" s="101" t="s">
        <v>77</v>
      </c>
      <c r="C274" s="101" t="s">
        <v>33</v>
      </c>
      <c r="D274" s="102" t="s">
        <v>89</v>
      </c>
      <c r="E274" s="103" t="s">
        <v>29</v>
      </c>
      <c r="F274" s="102" t="s">
        <v>90</v>
      </c>
      <c r="G274" s="102" t="s">
        <v>37</v>
      </c>
      <c r="H274" s="306" t="s">
        <v>10980</v>
      </c>
      <c r="I274" s="102" t="s">
        <v>27</v>
      </c>
      <c r="J274" s="105" t="s">
        <v>4</v>
      </c>
      <c r="K274" s="102" t="s">
        <v>27</v>
      </c>
      <c r="L274" s="105" t="s">
        <v>4</v>
      </c>
      <c r="M274" s="106" t="s">
        <v>27</v>
      </c>
      <c r="N274" s="104"/>
      <c r="O274" s="136" t="str">
        <f t="shared" si="4"/>
        <v>L2.02.01.04.00.00</v>
      </c>
      <c r="P274" s="107" t="str">
        <f t="shared" si="10"/>
        <v>L2.02.01.04.00.00.00</v>
      </c>
      <c r="Q274" s="307" t="s">
        <v>10530</v>
      </c>
      <c r="R274" s="308" t="str">
        <f t="shared" si="15"/>
        <v>Phòng KD mạng lưới Giải pháp bán lẻ</v>
      </c>
      <c r="S274" s="309" t="s">
        <v>10919</v>
      </c>
      <c r="T274" s="310"/>
      <c r="U274" s="310"/>
      <c r="V274" s="310"/>
      <c r="W274" s="310"/>
      <c r="X274" s="310"/>
      <c r="Y274" s="311" t="s">
        <v>10977</v>
      </c>
      <c r="Z274" s="112" t="s">
        <v>10981</v>
      </c>
      <c r="AA274" s="312"/>
      <c r="AB274" s="313"/>
      <c r="AC274" s="313"/>
      <c r="AD274" s="313"/>
    </row>
    <row r="275" ht="15.75" customHeight="1" outlineLevel="1">
      <c r="A275" s="314" t="s">
        <v>10833</v>
      </c>
      <c r="B275" s="315" t="s">
        <v>77</v>
      </c>
      <c r="C275" s="315" t="s">
        <v>33</v>
      </c>
      <c r="D275" s="122" t="s">
        <v>89</v>
      </c>
      <c r="E275" s="121" t="s">
        <v>29</v>
      </c>
      <c r="F275" s="122" t="s">
        <v>90</v>
      </c>
      <c r="G275" s="122" t="s">
        <v>37</v>
      </c>
      <c r="H275" s="316" t="s">
        <v>10980</v>
      </c>
      <c r="I275" s="122" t="s">
        <v>27</v>
      </c>
      <c r="J275" s="120" t="s">
        <v>4</v>
      </c>
      <c r="K275" s="122" t="s">
        <v>27</v>
      </c>
      <c r="L275" s="120" t="s">
        <v>4</v>
      </c>
      <c r="M275" s="122" t="s">
        <v>29</v>
      </c>
      <c r="N275" s="123" t="s">
        <v>10498</v>
      </c>
      <c r="O275" s="149" t="str">
        <f t="shared" si="4"/>
        <v>L2.02.01.04.00.00</v>
      </c>
      <c r="P275" s="317" t="str">
        <f t="shared" si="10"/>
        <v>L2.02.01.04.00.00.01</v>
      </c>
      <c r="Q275" s="318"/>
      <c r="R275" s="318" t="str">
        <f t="shared" si="15"/>
        <v>Phòng KD mạng lưới Giải pháp bán lẻ</v>
      </c>
      <c r="S275" s="319" t="s">
        <v>10982</v>
      </c>
      <c r="T275" s="320"/>
      <c r="U275" s="320"/>
      <c r="V275" s="320"/>
      <c r="W275" s="320"/>
      <c r="X275" s="320"/>
      <c r="Y275" s="321" t="s">
        <v>10977</v>
      </c>
      <c r="Z275" s="322"/>
      <c r="AA275" s="323"/>
      <c r="AB275" s="324"/>
      <c r="AC275" s="324"/>
      <c r="AD275" s="324"/>
    </row>
    <row r="276" ht="15.75" customHeight="1" outlineLevel="1">
      <c r="A276" s="314" t="s">
        <v>10833</v>
      </c>
      <c r="B276" s="315" t="s">
        <v>77</v>
      </c>
      <c r="C276" s="315" t="s">
        <v>33</v>
      </c>
      <c r="D276" s="122" t="s">
        <v>89</v>
      </c>
      <c r="E276" s="121" t="s">
        <v>29</v>
      </c>
      <c r="F276" s="122" t="s">
        <v>90</v>
      </c>
      <c r="G276" s="122" t="s">
        <v>37</v>
      </c>
      <c r="H276" s="316" t="s">
        <v>10980</v>
      </c>
      <c r="I276" s="122" t="s">
        <v>27</v>
      </c>
      <c r="J276" s="120" t="s">
        <v>4</v>
      </c>
      <c r="K276" s="122" t="s">
        <v>27</v>
      </c>
      <c r="L276" s="120" t="s">
        <v>4</v>
      </c>
      <c r="M276" s="122" t="s">
        <v>33</v>
      </c>
      <c r="N276" s="123" t="s">
        <v>10499</v>
      </c>
      <c r="O276" s="149" t="str">
        <f t="shared" si="4"/>
        <v>L2.02.01.04.00.00</v>
      </c>
      <c r="P276" s="317" t="str">
        <f t="shared" si="10"/>
        <v>L2.02.01.04.00.00.02</v>
      </c>
      <c r="Q276" s="318"/>
      <c r="R276" s="318" t="str">
        <f t="shared" si="15"/>
        <v>Phòng KD mạng lưới Giải pháp bán lẻ</v>
      </c>
      <c r="S276" s="319" t="s">
        <v>10982</v>
      </c>
      <c r="T276" s="320"/>
      <c r="U276" s="320"/>
      <c r="V276" s="320"/>
      <c r="W276" s="320"/>
      <c r="X276" s="320"/>
      <c r="Y276" s="321" t="s">
        <v>10977</v>
      </c>
      <c r="Z276" s="322"/>
      <c r="AA276" s="323"/>
      <c r="AB276" s="324"/>
      <c r="AC276" s="324"/>
      <c r="AD276" s="324"/>
    </row>
    <row r="277" ht="15.75" customHeight="1" outlineLevel="1">
      <c r="A277" s="261" t="s">
        <v>10833</v>
      </c>
      <c r="B277" s="231" t="s">
        <v>77</v>
      </c>
      <c r="C277" s="231" t="s">
        <v>33</v>
      </c>
      <c r="D277" s="157" t="s">
        <v>89</v>
      </c>
      <c r="E277" s="297" t="s">
        <v>29</v>
      </c>
      <c r="F277" s="157" t="s">
        <v>90</v>
      </c>
      <c r="G277" s="297" t="s">
        <v>42</v>
      </c>
      <c r="H277" s="167" t="s">
        <v>104</v>
      </c>
      <c r="I277" s="157" t="s">
        <v>27</v>
      </c>
      <c r="J277" s="156" t="s">
        <v>4</v>
      </c>
      <c r="K277" s="157" t="s">
        <v>27</v>
      </c>
      <c r="L277" s="156" t="s">
        <v>4</v>
      </c>
      <c r="M277" s="157" t="s">
        <v>44</v>
      </c>
      <c r="N277" s="167" t="s">
        <v>10505</v>
      </c>
      <c r="O277" s="55" t="str">
        <f t="shared" si="4"/>
        <v>L2.02.01.05.00.00</v>
      </c>
      <c r="P277" s="257" t="str">
        <f t="shared" si="10"/>
        <v>L2.02.01.05.00.00.06</v>
      </c>
      <c r="Q277" s="161" t="s">
        <v>10530</v>
      </c>
      <c r="R277" s="299" t="str">
        <f t="shared" si="15"/>
        <v>Nhóm MKT Bán lẻ</v>
      </c>
      <c r="S277" s="269" t="s">
        <v>10919</v>
      </c>
      <c r="T277" s="265" t="s">
        <v>337</v>
      </c>
      <c r="U277" s="265" t="s">
        <v>303</v>
      </c>
      <c r="V277" s="265" t="s">
        <v>335</v>
      </c>
      <c r="W277" s="265" t="s">
        <v>336</v>
      </c>
      <c r="X277" s="265" t="s">
        <v>104</v>
      </c>
      <c r="Y277" s="265"/>
      <c r="Z277" s="225" t="s">
        <v>10983</v>
      </c>
      <c r="AA277" s="266"/>
      <c r="AB277" s="267"/>
      <c r="AC277" s="267"/>
      <c r="AD277" s="267"/>
    </row>
    <row r="278" ht="15.75" customHeight="1" outlineLevel="1">
      <c r="A278" s="261" t="s">
        <v>10833</v>
      </c>
      <c r="B278" s="231" t="s">
        <v>77</v>
      </c>
      <c r="C278" s="231" t="s">
        <v>33</v>
      </c>
      <c r="D278" s="157" t="s">
        <v>89</v>
      </c>
      <c r="E278" s="297" t="s">
        <v>29</v>
      </c>
      <c r="F278" s="157" t="s">
        <v>90</v>
      </c>
      <c r="G278" s="297" t="s">
        <v>42</v>
      </c>
      <c r="H278" s="167" t="s">
        <v>104</v>
      </c>
      <c r="I278" s="168" t="s">
        <v>35</v>
      </c>
      <c r="J278" s="298" t="s">
        <v>10984</v>
      </c>
      <c r="K278" s="157" t="s">
        <v>27</v>
      </c>
      <c r="L278" s="156" t="s">
        <v>4</v>
      </c>
      <c r="M278" s="157" t="s">
        <v>44</v>
      </c>
      <c r="N278" s="167" t="s">
        <v>10505</v>
      </c>
      <c r="O278" s="55" t="str">
        <f t="shared" si="4"/>
        <v>L2.02.01.05.03.00</v>
      </c>
      <c r="P278" s="257" t="str">
        <f t="shared" si="10"/>
        <v>L2.02.01.05.03.00.06</v>
      </c>
      <c r="Q278" s="161" t="s">
        <v>10530</v>
      </c>
      <c r="R278" s="299" t="str">
        <f t="shared" si="15"/>
        <v>Nhóm Quản lý</v>
      </c>
      <c r="S278" s="269" t="s">
        <v>10985</v>
      </c>
      <c r="T278" s="265"/>
      <c r="U278" s="265"/>
      <c r="V278" s="265"/>
      <c r="W278" s="265"/>
      <c r="X278" s="265"/>
      <c r="Y278" s="264" t="s">
        <v>10986</v>
      </c>
      <c r="Z278" s="225" t="s">
        <v>10987</v>
      </c>
      <c r="AA278" s="266"/>
      <c r="AB278" s="267"/>
      <c r="AC278" s="267"/>
      <c r="AD278" s="267"/>
    </row>
    <row r="279" ht="15.75" customHeight="1" outlineLevel="1">
      <c r="A279" s="261" t="s">
        <v>10833</v>
      </c>
      <c r="B279" s="231" t="s">
        <v>77</v>
      </c>
      <c r="C279" s="231" t="s">
        <v>33</v>
      </c>
      <c r="D279" s="157" t="s">
        <v>89</v>
      </c>
      <c r="E279" s="297" t="s">
        <v>29</v>
      </c>
      <c r="F279" s="157" t="s">
        <v>90</v>
      </c>
      <c r="G279" s="297" t="s">
        <v>42</v>
      </c>
      <c r="H279" s="167" t="s">
        <v>104</v>
      </c>
      <c r="I279" s="157" t="s">
        <v>29</v>
      </c>
      <c r="J279" s="167" t="s">
        <v>105</v>
      </c>
      <c r="K279" s="157" t="s">
        <v>27</v>
      </c>
      <c r="L279" s="156" t="s">
        <v>4</v>
      </c>
      <c r="M279" s="157" t="s">
        <v>44</v>
      </c>
      <c r="N279" s="167" t="s">
        <v>10505</v>
      </c>
      <c r="O279" s="55" t="str">
        <f t="shared" si="4"/>
        <v>L2.02.01.05.01.00</v>
      </c>
      <c r="P279" s="257" t="str">
        <f t="shared" si="10"/>
        <v>L2.02.01.05.01.00.06</v>
      </c>
      <c r="Q279" s="161" t="s">
        <v>10530</v>
      </c>
      <c r="R279" s="299" t="str">
        <f t="shared" si="15"/>
        <v>Nhóm MKT Sản phẩm CUKCUK</v>
      </c>
      <c r="S279" s="269" t="s">
        <v>10985</v>
      </c>
      <c r="T279" s="265"/>
      <c r="U279" s="265"/>
      <c r="V279" s="265"/>
      <c r="W279" s="265"/>
      <c r="X279" s="265"/>
      <c r="Y279" s="264" t="s">
        <v>10986</v>
      </c>
      <c r="Z279" s="225" t="s">
        <v>10988</v>
      </c>
      <c r="AA279" s="266"/>
      <c r="AB279" s="267"/>
      <c r="AC279" s="267"/>
      <c r="AD279" s="267"/>
    </row>
    <row r="280" ht="15.75" customHeight="1" outlineLevel="1">
      <c r="A280" s="261" t="s">
        <v>10833</v>
      </c>
      <c r="B280" s="231" t="s">
        <v>77</v>
      </c>
      <c r="C280" s="231" t="s">
        <v>33</v>
      </c>
      <c r="D280" s="157" t="s">
        <v>89</v>
      </c>
      <c r="E280" s="297" t="s">
        <v>29</v>
      </c>
      <c r="F280" s="157" t="s">
        <v>90</v>
      </c>
      <c r="G280" s="297" t="s">
        <v>42</v>
      </c>
      <c r="H280" s="167" t="s">
        <v>104</v>
      </c>
      <c r="I280" s="157" t="s">
        <v>33</v>
      </c>
      <c r="J280" s="167" t="s">
        <v>106</v>
      </c>
      <c r="K280" s="157" t="s">
        <v>27</v>
      </c>
      <c r="L280" s="156" t="s">
        <v>4</v>
      </c>
      <c r="M280" s="157" t="s">
        <v>44</v>
      </c>
      <c r="N280" s="167" t="s">
        <v>10505</v>
      </c>
      <c r="O280" s="55" t="str">
        <f t="shared" si="4"/>
        <v>L2.02.01.05.02.00</v>
      </c>
      <c r="P280" s="257" t="str">
        <f t="shared" si="10"/>
        <v>L2.02.01.05.02.00.06</v>
      </c>
      <c r="Q280" s="161" t="s">
        <v>10530</v>
      </c>
      <c r="R280" s="299" t="str">
        <f t="shared" si="15"/>
        <v>Nhóm MKT Sản phẩm ESHOP</v>
      </c>
      <c r="S280" s="269" t="s">
        <v>10985</v>
      </c>
      <c r="T280" s="265"/>
      <c r="U280" s="265"/>
      <c r="V280" s="265"/>
      <c r="W280" s="265"/>
      <c r="X280" s="265"/>
      <c r="Y280" s="264" t="s">
        <v>10986</v>
      </c>
      <c r="Z280" s="225" t="s">
        <v>10989</v>
      </c>
      <c r="AA280" s="266"/>
      <c r="AB280" s="267"/>
      <c r="AC280" s="267"/>
      <c r="AD280" s="267"/>
    </row>
    <row r="281" ht="15.75" customHeight="1" outlineLevel="1">
      <c r="A281" s="261" t="s">
        <v>10833</v>
      </c>
      <c r="B281" s="231" t="s">
        <v>77</v>
      </c>
      <c r="C281" s="231" t="s">
        <v>33</v>
      </c>
      <c r="D281" s="157" t="s">
        <v>89</v>
      </c>
      <c r="E281" s="297" t="s">
        <v>29</v>
      </c>
      <c r="F281" s="157" t="s">
        <v>90</v>
      </c>
      <c r="G281" s="297" t="s">
        <v>42</v>
      </c>
      <c r="H281" s="167" t="s">
        <v>104</v>
      </c>
      <c r="I281" s="168" t="s">
        <v>37</v>
      </c>
      <c r="J281" s="298" t="s">
        <v>148</v>
      </c>
      <c r="K281" s="157" t="s">
        <v>27</v>
      </c>
      <c r="L281" s="156" t="s">
        <v>4</v>
      </c>
      <c r="M281" s="157" t="s">
        <v>44</v>
      </c>
      <c r="N281" s="167" t="s">
        <v>10505</v>
      </c>
      <c r="O281" s="55" t="str">
        <f t="shared" si="4"/>
        <v>L2.02.01.05.04.00</v>
      </c>
      <c r="P281" s="257" t="str">
        <f t="shared" si="10"/>
        <v>L2.02.01.05.04.00.06</v>
      </c>
      <c r="Q281" s="161" t="s">
        <v>10530</v>
      </c>
      <c r="R281" s="299" t="str">
        <f t="shared" si="15"/>
        <v>Nhóm MDR</v>
      </c>
      <c r="S281" s="269" t="s">
        <v>10985</v>
      </c>
      <c r="T281" s="265"/>
      <c r="U281" s="265"/>
      <c r="V281" s="265"/>
      <c r="W281" s="265"/>
      <c r="X281" s="265"/>
      <c r="Y281" s="264" t="s">
        <v>10986</v>
      </c>
      <c r="Z281" s="225" t="s">
        <v>10990</v>
      </c>
      <c r="AA281" s="266"/>
      <c r="AB281" s="267"/>
      <c r="AC281" s="267"/>
      <c r="AD281" s="267"/>
    </row>
    <row r="282" ht="15.75" customHeight="1">
      <c r="A282" s="268" t="s">
        <v>10991</v>
      </c>
      <c r="B282" s="66"/>
      <c r="C282" s="66"/>
      <c r="D282" s="66"/>
      <c r="E282" s="67"/>
      <c r="F282" s="66"/>
      <c r="G282" s="66"/>
      <c r="H282" s="68"/>
      <c r="I282" s="66"/>
      <c r="J282" s="69"/>
      <c r="K282" s="66"/>
      <c r="L282" s="68"/>
      <c r="M282" s="66"/>
      <c r="N282" s="68"/>
      <c r="O282" s="55" t="str">
        <f t="shared" si="4"/>
        <v>Khối doanh nghiệp nhỏ.....</v>
      </c>
      <c r="P282" s="69"/>
      <c r="Q282" s="169"/>
      <c r="R282" s="169" t="str">
        <f t="shared" si="15"/>
        <v/>
      </c>
      <c r="S282" s="96"/>
      <c r="T282" s="96"/>
      <c r="U282" s="96"/>
      <c r="V282" s="96"/>
      <c r="W282" s="96"/>
      <c r="X282" s="96"/>
      <c r="Y282" s="96"/>
      <c r="Z282" s="152"/>
      <c r="AA282" s="99"/>
      <c r="AB282" s="91"/>
      <c r="AC282" s="91"/>
      <c r="AD282" s="91"/>
    </row>
    <row r="283" ht="15.75" customHeight="1" outlineLevel="1">
      <c r="A283" s="170" t="s">
        <v>10833</v>
      </c>
      <c r="B283" s="57" t="s">
        <v>77</v>
      </c>
      <c r="C283" s="51" t="s">
        <v>33</v>
      </c>
      <c r="D283" s="52" t="s">
        <v>89</v>
      </c>
      <c r="E283" s="53" t="s">
        <v>33</v>
      </c>
      <c r="F283" s="250" t="s">
        <v>10992</v>
      </c>
      <c r="G283" s="325" t="s">
        <v>27</v>
      </c>
      <c r="H283" s="256"/>
      <c r="I283" s="53" t="s">
        <v>27</v>
      </c>
      <c r="J283" s="155" t="s">
        <v>4</v>
      </c>
      <c r="K283" s="166" t="s">
        <v>27</v>
      </c>
      <c r="L283" s="155" t="s">
        <v>4</v>
      </c>
      <c r="M283" s="326" t="s">
        <v>27</v>
      </c>
      <c r="N283" s="158"/>
      <c r="O283" s="55" t="str">
        <f t="shared" si="4"/>
        <v>L2.02.02.00.00.00</v>
      </c>
      <c r="P283" s="55" t="str">
        <f t="shared" ref="P283:P393" si="16">A283&amp;"."&amp;C283&amp;"."&amp;E283&amp;"."&amp;G283&amp;"."&amp;I283&amp;"."&amp;K283&amp;"."&amp;M283</f>
        <v>L2.02.02.00.00.00.00</v>
      </c>
      <c r="Q283" s="161" t="s">
        <v>10530</v>
      </c>
      <c r="R283" s="161" t="s">
        <v>10993</v>
      </c>
      <c r="S283" s="269" t="s">
        <v>10916</v>
      </c>
      <c r="T283" s="96"/>
      <c r="U283" s="96"/>
      <c r="V283" s="96"/>
      <c r="W283" s="96"/>
      <c r="X283" s="96"/>
      <c r="Y283" s="97" t="s">
        <v>10894</v>
      </c>
      <c r="Z283" s="98" t="s">
        <v>10994</v>
      </c>
      <c r="AA283" s="99"/>
      <c r="AB283" s="91"/>
      <c r="AC283" s="91"/>
      <c r="AD283" s="91"/>
    </row>
    <row r="284" ht="15.75" customHeight="1" outlineLevel="1">
      <c r="A284" s="228" t="s">
        <v>10833</v>
      </c>
      <c r="B284" s="270" t="s">
        <v>77</v>
      </c>
      <c r="C284" s="270" t="s">
        <v>33</v>
      </c>
      <c r="D284" s="209" t="s">
        <v>89</v>
      </c>
      <c r="E284" s="271" t="s">
        <v>33</v>
      </c>
      <c r="F284" s="182" t="s">
        <v>10992</v>
      </c>
      <c r="G284" s="209" t="s">
        <v>29</v>
      </c>
      <c r="H284" s="212" t="s">
        <v>10995</v>
      </c>
      <c r="I284" s="271" t="s">
        <v>27</v>
      </c>
      <c r="J284" s="209" t="s">
        <v>4</v>
      </c>
      <c r="K284" s="271" t="s">
        <v>27</v>
      </c>
      <c r="L284" s="209" t="s">
        <v>4</v>
      </c>
      <c r="M284" s="327" t="s">
        <v>27</v>
      </c>
      <c r="N284" s="70"/>
      <c r="O284" s="58" t="str">
        <f t="shared" si="4"/>
        <v>L2.02.02.01.00.00</v>
      </c>
      <c r="P284" s="272" t="str">
        <f t="shared" si="16"/>
        <v>L2.02.02.01.00.00.00</v>
      </c>
      <c r="Q284" s="185" t="s">
        <v>10530</v>
      </c>
      <c r="R284" s="273" t="str">
        <f t="shared" ref="R284:R300" si="17">if(L284&lt;&gt;"-",L284,if(AND(L284="-",J284&lt;&gt;"-"),J284,if(AND(J284="-",H284&lt;&gt;"-"),H284,"NA")))</f>
        <v>Ban giám đốc Khối Doanh nghiệp nhỏ</v>
      </c>
      <c r="S284" s="274" t="s">
        <v>10996</v>
      </c>
      <c r="T284" s="183"/>
      <c r="U284" s="183"/>
      <c r="V284" s="183"/>
      <c r="W284" s="183"/>
      <c r="X284" s="183"/>
      <c r="Y284" s="184" t="s">
        <v>10894</v>
      </c>
      <c r="Z284" s="275" t="s">
        <v>10997</v>
      </c>
      <c r="AA284" s="276"/>
      <c r="AB284" s="277"/>
      <c r="AC284" s="277"/>
      <c r="AD284" s="277"/>
    </row>
    <row r="285" outlineLevel="1">
      <c r="A285" s="278" t="s">
        <v>10833</v>
      </c>
      <c r="B285" s="279" t="s">
        <v>77</v>
      </c>
      <c r="C285" s="279" t="s">
        <v>33</v>
      </c>
      <c r="D285" s="280" t="s">
        <v>89</v>
      </c>
      <c r="E285" s="281" t="s">
        <v>33</v>
      </c>
      <c r="F285" s="283" t="s">
        <v>10992</v>
      </c>
      <c r="G285" s="280" t="s">
        <v>33</v>
      </c>
      <c r="H285" s="282" t="s">
        <v>10998</v>
      </c>
      <c r="I285" s="283" t="s">
        <v>27</v>
      </c>
      <c r="J285" s="328" t="s">
        <v>4</v>
      </c>
      <c r="K285" s="281" t="s">
        <v>27</v>
      </c>
      <c r="L285" s="328" t="s">
        <v>4</v>
      </c>
      <c r="M285" s="280" t="s">
        <v>27</v>
      </c>
      <c r="N285" s="286"/>
      <c r="O285" s="286"/>
      <c r="P285" s="287" t="str">
        <f t="shared" si="16"/>
        <v>L2.02.02.02.00.00.00</v>
      </c>
      <c r="Q285" s="288" t="s">
        <v>10530</v>
      </c>
      <c r="R285" s="329" t="str">
        <f t="shared" si="17"/>
        <v>Khối KD giải pháp KTDN</v>
      </c>
      <c r="S285" s="290" t="str">
        <f>P283</f>
        <v>L2.02.02.00.00.00.00</v>
      </c>
      <c r="T285" s="291"/>
      <c r="U285" s="292"/>
      <c r="V285" s="292"/>
      <c r="W285" s="292"/>
      <c r="X285" s="292"/>
      <c r="Y285" s="292"/>
      <c r="Z285" s="330" t="s">
        <v>10999</v>
      </c>
      <c r="AA285" s="293"/>
      <c r="AB285" s="295"/>
      <c r="AC285" s="585" t="s">
        <v>11632</v>
      </c>
      <c r="AD285" s="296"/>
    </row>
    <row r="286" ht="15.75" customHeight="1" outlineLevel="1">
      <c r="A286" s="331" t="s">
        <v>10833</v>
      </c>
      <c r="B286" s="332" t="s">
        <v>77</v>
      </c>
      <c r="C286" s="332" t="s">
        <v>33</v>
      </c>
      <c r="D286" s="333" t="s">
        <v>89</v>
      </c>
      <c r="E286" s="334" t="s">
        <v>33</v>
      </c>
      <c r="F286" s="335" t="s">
        <v>10992</v>
      </c>
      <c r="G286" s="333" t="s">
        <v>35</v>
      </c>
      <c r="H286" s="336" t="s">
        <v>11000</v>
      </c>
      <c r="I286" s="335" t="s">
        <v>27</v>
      </c>
      <c r="J286" s="328" t="s">
        <v>4</v>
      </c>
      <c r="K286" s="334" t="s">
        <v>27</v>
      </c>
      <c r="L286" s="328" t="s">
        <v>4</v>
      </c>
      <c r="M286" s="333" t="s">
        <v>27</v>
      </c>
      <c r="N286" s="337"/>
      <c r="O286" s="337"/>
      <c r="P286" s="338" t="str">
        <f t="shared" si="16"/>
        <v>L2.02.02.03.00.00.00</v>
      </c>
      <c r="Q286" s="339" t="s">
        <v>10530</v>
      </c>
      <c r="R286" s="329" t="str">
        <f t="shared" si="17"/>
        <v>Khối KD bán thêm</v>
      </c>
      <c r="S286" s="290" t="s">
        <v>10996</v>
      </c>
      <c r="T286" s="340"/>
      <c r="U286" s="341"/>
      <c r="V286" s="341"/>
      <c r="W286" s="341"/>
      <c r="X286" s="341"/>
      <c r="Y286" s="341"/>
      <c r="Z286" s="330" t="s">
        <v>11001</v>
      </c>
      <c r="AA286" s="293"/>
      <c r="AB286" s="295"/>
      <c r="AC286" s="585" t="s">
        <v>11632</v>
      </c>
      <c r="AD286" s="296"/>
    </row>
    <row r="287" ht="15.75" customHeight="1" outlineLevel="1">
      <c r="A287" s="261" t="s">
        <v>10833</v>
      </c>
      <c r="B287" s="231" t="s">
        <v>77</v>
      </c>
      <c r="C287" s="231" t="s">
        <v>33</v>
      </c>
      <c r="D287" s="157" t="s">
        <v>89</v>
      </c>
      <c r="E287" s="297" t="s">
        <v>33</v>
      </c>
      <c r="F287" s="168" t="s">
        <v>10992</v>
      </c>
      <c r="G287" s="157" t="s">
        <v>33</v>
      </c>
      <c r="H287" s="298" t="s">
        <v>11002</v>
      </c>
      <c r="I287" s="168" t="s">
        <v>27</v>
      </c>
      <c r="J287" s="258" t="s">
        <v>4</v>
      </c>
      <c r="K287" s="297" t="s">
        <v>27</v>
      </c>
      <c r="L287" s="157" t="s">
        <v>4</v>
      </c>
      <c r="M287" s="157" t="s">
        <v>29</v>
      </c>
      <c r="N287" s="167" t="s">
        <v>10498</v>
      </c>
      <c r="O287" s="55" t="str">
        <f t="shared" ref="O287:O398" si="18">A287&amp;"."&amp;C287&amp;"."&amp;E287&amp;"."&amp;G287&amp;"."&amp;I287&amp;"."&amp;K287</f>
        <v>L2.02.02.02.00.00</v>
      </c>
      <c r="P287" s="257" t="str">
        <f t="shared" si="16"/>
        <v>L2.02.02.02.00.00.01</v>
      </c>
      <c r="Q287" s="161" t="s">
        <v>10530</v>
      </c>
      <c r="R287" s="299" t="str">
        <f t="shared" si="17"/>
        <v>Trung tâm KD giải pháp KTDN - Hà Nội</v>
      </c>
      <c r="S287" s="274" t="s">
        <v>11003</v>
      </c>
      <c r="T287" s="264" t="s">
        <v>11004</v>
      </c>
      <c r="U287" s="265" t="s">
        <v>346</v>
      </c>
      <c r="V287" s="265" t="s">
        <v>112</v>
      </c>
      <c r="W287" s="265" t="s">
        <v>113</v>
      </c>
      <c r="X287" s="265"/>
      <c r="Y287" s="265"/>
      <c r="Z287" s="225" t="s">
        <v>11005</v>
      </c>
      <c r="AA287" s="300" t="s">
        <v>10530</v>
      </c>
      <c r="AB287" s="267"/>
      <c r="AC287" s="376" t="s">
        <v>11627</v>
      </c>
      <c r="AD287" s="267"/>
    </row>
    <row r="288" ht="15.75" customHeight="1" outlineLevel="1">
      <c r="A288" s="261" t="s">
        <v>10833</v>
      </c>
      <c r="B288" s="231" t="s">
        <v>77</v>
      </c>
      <c r="C288" s="231" t="s">
        <v>33</v>
      </c>
      <c r="D288" s="157" t="s">
        <v>89</v>
      </c>
      <c r="E288" s="297" t="s">
        <v>33</v>
      </c>
      <c r="F288" s="168" t="s">
        <v>10992</v>
      </c>
      <c r="G288" s="157" t="s">
        <v>33</v>
      </c>
      <c r="H288" s="298" t="s">
        <v>11002</v>
      </c>
      <c r="I288" s="157" t="s">
        <v>29</v>
      </c>
      <c r="J288" s="257" t="s">
        <v>113</v>
      </c>
      <c r="K288" s="297" t="s">
        <v>27</v>
      </c>
      <c r="L288" s="157" t="s">
        <v>4</v>
      </c>
      <c r="M288" s="157" t="s">
        <v>29</v>
      </c>
      <c r="N288" s="167" t="s">
        <v>10498</v>
      </c>
      <c r="O288" s="55" t="str">
        <f t="shared" si="18"/>
        <v>L2.02.02.02.01.00</v>
      </c>
      <c r="P288" s="257" t="str">
        <f t="shared" si="16"/>
        <v>L2.02.02.02.01.00.01</v>
      </c>
      <c r="Q288" s="161" t="s">
        <v>10530</v>
      </c>
      <c r="R288" s="299" t="str">
        <f t="shared" si="17"/>
        <v>Ban giám đốc TTKD GP KTDN</v>
      </c>
      <c r="S288" s="269" t="s">
        <v>11006</v>
      </c>
      <c r="T288" s="265" t="s">
        <v>9647</v>
      </c>
      <c r="U288" s="265" t="s">
        <v>346</v>
      </c>
      <c r="V288" s="265" t="s">
        <v>112</v>
      </c>
      <c r="W288" s="265" t="s">
        <v>113</v>
      </c>
      <c r="X288" s="265"/>
      <c r="Y288" s="265"/>
      <c r="Z288" s="225" t="s">
        <v>11007</v>
      </c>
      <c r="AA288" s="300" t="s">
        <v>10530</v>
      </c>
      <c r="AB288" s="267"/>
      <c r="AC288" s="267"/>
      <c r="AD288" s="267"/>
    </row>
    <row r="289" ht="15.75" customHeight="1" outlineLevel="1">
      <c r="A289" s="261" t="s">
        <v>10833</v>
      </c>
      <c r="B289" s="231" t="s">
        <v>77</v>
      </c>
      <c r="C289" s="231" t="s">
        <v>33</v>
      </c>
      <c r="D289" s="157" t="s">
        <v>89</v>
      </c>
      <c r="E289" s="297" t="s">
        <v>33</v>
      </c>
      <c r="F289" s="168" t="s">
        <v>10992</v>
      </c>
      <c r="G289" s="157" t="s">
        <v>33</v>
      </c>
      <c r="H289" s="298" t="s">
        <v>11002</v>
      </c>
      <c r="I289" s="231" t="s">
        <v>33</v>
      </c>
      <c r="J289" s="184" t="s">
        <v>11633</v>
      </c>
      <c r="K289" s="297" t="s">
        <v>27</v>
      </c>
      <c r="L289" s="157" t="s">
        <v>4</v>
      </c>
      <c r="M289" s="157" t="s">
        <v>29</v>
      </c>
      <c r="N289" s="167" t="s">
        <v>10498</v>
      </c>
      <c r="O289" s="55" t="str">
        <f t="shared" si="18"/>
        <v>L2.02.02.02.02.00</v>
      </c>
      <c r="P289" s="257" t="str">
        <f t="shared" si="16"/>
        <v>L2.02.02.02.02.00.01</v>
      </c>
      <c r="Q289" s="161" t="s">
        <v>10530</v>
      </c>
      <c r="R289" s="273" t="str">
        <f t="shared" si="17"/>
        <v>Phòng KD Bán mới KTDN 01</v>
      </c>
      <c r="S289" s="269" t="s">
        <v>11006</v>
      </c>
      <c r="T289" s="265" t="s">
        <v>1261</v>
      </c>
      <c r="U289" s="265" t="s">
        <v>346</v>
      </c>
      <c r="V289" s="265" t="s">
        <v>112</v>
      </c>
      <c r="W289" s="265" t="s">
        <v>1260</v>
      </c>
      <c r="X289" s="265"/>
      <c r="Y289" s="265"/>
      <c r="Z289" s="225" t="s">
        <v>11009</v>
      </c>
      <c r="AA289" s="300" t="s">
        <v>10530</v>
      </c>
      <c r="AB289" s="267"/>
      <c r="AC289" s="376" t="s">
        <v>11634</v>
      </c>
      <c r="AD289" s="267"/>
    </row>
    <row r="290" ht="15.75" customHeight="1" outlineLevel="1">
      <c r="A290" s="261" t="s">
        <v>10833</v>
      </c>
      <c r="B290" s="231" t="s">
        <v>77</v>
      </c>
      <c r="C290" s="231" t="s">
        <v>33</v>
      </c>
      <c r="D290" s="157" t="s">
        <v>89</v>
      </c>
      <c r="E290" s="297" t="s">
        <v>33</v>
      </c>
      <c r="F290" s="168" t="s">
        <v>10992</v>
      </c>
      <c r="G290" s="157" t="s">
        <v>33</v>
      </c>
      <c r="H290" s="298" t="s">
        <v>11002</v>
      </c>
      <c r="I290" s="231" t="s">
        <v>35</v>
      </c>
      <c r="J290" s="184" t="s">
        <v>11635</v>
      </c>
      <c r="K290" s="297" t="s">
        <v>27</v>
      </c>
      <c r="L290" s="157" t="s">
        <v>4</v>
      </c>
      <c r="M290" s="157" t="s">
        <v>29</v>
      </c>
      <c r="N290" s="167" t="s">
        <v>10498</v>
      </c>
      <c r="O290" s="55" t="str">
        <f t="shared" si="18"/>
        <v>L2.02.02.02.03.00</v>
      </c>
      <c r="P290" s="257" t="str">
        <f t="shared" si="16"/>
        <v>L2.02.02.02.03.00.01</v>
      </c>
      <c r="Q290" s="161" t="s">
        <v>10530</v>
      </c>
      <c r="R290" s="273" t="str">
        <f t="shared" si="17"/>
        <v>Phòng KD Bán mới KTDN 03</v>
      </c>
      <c r="S290" s="269" t="s">
        <v>11006</v>
      </c>
      <c r="T290" s="265" t="s">
        <v>391</v>
      </c>
      <c r="U290" s="265" t="s">
        <v>346</v>
      </c>
      <c r="V290" s="265" t="s">
        <v>112</v>
      </c>
      <c r="W290" s="265" t="s">
        <v>390</v>
      </c>
      <c r="X290" s="265"/>
      <c r="Y290" s="265"/>
      <c r="Z290" s="225" t="s">
        <v>11011</v>
      </c>
      <c r="AA290" s="300" t="s">
        <v>10530</v>
      </c>
      <c r="AB290" s="267"/>
      <c r="AC290" s="376" t="s">
        <v>11634</v>
      </c>
      <c r="AD290" s="267"/>
    </row>
    <row r="291" ht="15.75" customHeight="1" outlineLevel="1">
      <c r="A291" s="261" t="s">
        <v>10833</v>
      </c>
      <c r="B291" s="231" t="s">
        <v>77</v>
      </c>
      <c r="C291" s="231" t="s">
        <v>33</v>
      </c>
      <c r="D291" s="157" t="s">
        <v>89</v>
      </c>
      <c r="E291" s="297" t="s">
        <v>33</v>
      </c>
      <c r="F291" s="168" t="s">
        <v>10992</v>
      </c>
      <c r="G291" s="157" t="s">
        <v>33</v>
      </c>
      <c r="H291" s="298" t="s">
        <v>11002</v>
      </c>
      <c r="I291" s="231" t="s">
        <v>37</v>
      </c>
      <c r="J291" s="184" t="s">
        <v>11636</v>
      </c>
      <c r="K291" s="297" t="s">
        <v>27</v>
      </c>
      <c r="L291" s="157" t="s">
        <v>4</v>
      </c>
      <c r="M291" s="157" t="s">
        <v>29</v>
      </c>
      <c r="N291" s="167" t="s">
        <v>10498</v>
      </c>
      <c r="O291" s="55" t="str">
        <f t="shared" si="18"/>
        <v>L2.02.02.02.04.00</v>
      </c>
      <c r="P291" s="257" t="str">
        <f t="shared" si="16"/>
        <v>L2.02.02.02.04.00.01</v>
      </c>
      <c r="Q291" s="161" t="s">
        <v>10530</v>
      </c>
      <c r="R291" s="273" t="str">
        <f t="shared" si="17"/>
        <v>Phòng KD Bán mới KTDN 04</v>
      </c>
      <c r="S291" s="269" t="s">
        <v>11006</v>
      </c>
      <c r="T291" s="265" t="s">
        <v>404</v>
      </c>
      <c r="U291" s="265" t="s">
        <v>346</v>
      </c>
      <c r="V291" s="265" t="s">
        <v>112</v>
      </c>
      <c r="W291" s="265" t="s">
        <v>403</v>
      </c>
      <c r="X291" s="265"/>
      <c r="Y291" s="265"/>
      <c r="Z291" s="225" t="s">
        <v>11013</v>
      </c>
      <c r="AA291" s="300" t="s">
        <v>10530</v>
      </c>
      <c r="AB291" s="267"/>
      <c r="AC291" s="376" t="s">
        <v>11634</v>
      </c>
      <c r="AD291" s="267"/>
    </row>
    <row r="292" ht="15.75" customHeight="1" outlineLevel="1">
      <c r="A292" s="261" t="s">
        <v>10833</v>
      </c>
      <c r="B292" s="231" t="s">
        <v>77</v>
      </c>
      <c r="C292" s="231" t="s">
        <v>33</v>
      </c>
      <c r="D292" s="157" t="s">
        <v>89</v>
      </c>
      <c r="E292" s="297" t="s">
        <v>33</v>
      </c>
      <c r="F292" s="168" t="s">
        <v>10992</v>
      </c>
      <c r="G292" s="157" t="s">
        <v>33</v>
      </c>
      <c r="H292" s="298" t="s">
        <v>11002</v>
      </c>
      <c r="I292" s="231" t="s">
        <v>42</v>
      </c>
      <c r="J292" s="184" t="s">
        <v>11637</v>
      </c>
      <c r="K292" s="297" t="s">
        <v>27</v>
      </c>
      <c r="L292" s="157" t="s">
        <v>4</v>
      </c>
      <c r="M292" s="157" t="s">
        <v>29</v>
      </c>
      <c r="N292" s="167" t="s">
        <v>10498</v>
      </c>
      <c r="O292" s="55" t="str">
        <f t="shared" si="18"/>
        <v>L2.02.02.02.05.00</v>
      </c>
      <c r="P292" s="257" t="str">
        <f t="shared" si="16"/>
        <v>L2.02.02.02.05.00.01</v>
      </c>
      <c r="Q292" s="161" t="s">
        <v>10530</v>
      </c>
      <c r="R292" s="273" t="str">
        <f t="shared" si="17"/>
        <v>Phòng KD Bán mới KTDN 05</v>
      </c>
      <c r="S292" s="269" t="s">
        <v>11006</v>
      </c>
      <c r="T292" s="265" t="s">
        <v>1131</v>
      </c>
      <c r="U292" s="265" t="s">
        <v>346</v>
      </c>
      <c r="V292" s="265" t="s">
        <v>112</v>
      </c>
      <c r="W292" s="265" t="s">
        <v>1130</v>
      </c>
      <c r="X292" s="265"/>
      <c r="Y292" s="265"/>
      <c r="Z292" s="225" t="s">
        <v>11015</v>
      </c>
      <c r="AA292" s="300" t="s">
        <v>10530</v>
      </c>
      <c r="AB292" s="267"/>
      <c r="AC292" s="376" t="s">
        <v>11634</v>
      </c>
      <c r="AD292" s="267"/>
    </row>
    <row r="293" ht="15.75" customHeight="1" outlineLevel="1">
      <c r="A293" s="261" t="s">
        <v>10833</v>
      </c>
      <c r="B293" s="231" t="s">
        <v>77</v>
      </c>
      <c r="C293" s="231" t="s">
        <v>33</v>
      </c>
      <c r="D293" s="157" t="s">
        <v>89</v>
      </c>
      <c r="E293" s="297" t="s">
        <v>33</v>
      </c>
      <c r="F293" s="168" t="s">
        <v>10992</v>
      </c>
      <c r="G293" s="157" t="s">
        <v>33</v>
      </c>
      <c r="H293" s="298" t="s">
        <v>11002</v>
      </c>
      <c r="I293" s="231" t="s">
        <v>44</v>
      </c>
      <c r="J293" s="184" t="s">
        <v>11638</v>
      </c>
      <c r="K293" s="297" t="s">
        <v>27</v>
      </c>
      <c r="L293" s="157" t="s">
        <v>4</v>
      </c>
      <c r="M293" s="157" t="s">
        <v>29</v>
      </c>
      <c r="N293" s="167" t="s">
        <v>10498</v>
      </c>
      <c r="O293" s="55" t="str">
        <f t="shared" si="18"/>
        <v>L2.02.02.02.06.00</v>
      </c>
      <c r="P293" s="257" t="str">
        <f t="shared" si="16"/>
        <v>L2.02.02.02.06.00.01</v>
      </c>
      <c r="Q293" s="161" t="s">
        <v>10530</v>
      </c>
      <c r="R293" s="273" t="str">
        <f t="shared" si="17"/>
        <v>Phòng KD Bán mới KTDN 07</v>
      </c>
      <c r="S293" s="269" t="s">
        <v>11006</v>
      </c>
      <c r="T293" s="265" t="s">
        <v>1140</v>
      </c>
      <c r="U293" s="265" t="s">
        <v>346</v>
      </c>
      <c r="V293" s="265" t="s">
        <v>112</v>
      </c>
      <c r="W293" s="265" t="s">
        <v>1139</v>
      </c>
      <c r="X293" s="265"/>
      <c r="Y293" s="265"/>
      <c r="Z293" s="225" t="s">
        <v>11017</v>
      </c>
      <c r="AA293" s="300" t="s">
        <v>10530</v>
      </c>
      <c r="AB293" s="267"/>
      <c r="AC293" s="376" t="s">
        <v>11634</v>
      </c>
      <c r="AD293" s="267"/>
    </row>
    <row r="294" ht="15.75" customHeight="1" outlineLevel="1">
      <c r="A294" s="261" t="s">
        <v>10833</v>
      </c>
      <c r="B294" s="231" t="s">
        <v>77</v>
      </c>
      <c r="C294" s="231" t="s">
        <v>33</v>
      </c>
      <c r="D294" s="157" t="s">
        <v>89</v>
      </c>
      <c r="E294" s="297" t="s">
        <v>33</v>
      </c>
      <c r="F294" s="168" t="s">
        <v>10992</v>
      </c>
      <c r="G294" s="157" t="s">
        <v>33</v>
      </c>
      <c r="H294" s="298" t="s">
        <v>11002</v>
      </c>
      <c r="I294" s="231" t="s">
        <v>46</v>
      </c>
      <c r="J294" s="184" t="s">
        <v>11639</v>
      </c>
      <c r="K294" s="297" t="s">
        <v>27</v>
      </c>
      <c r="L294" s="157" t="s">
        <v>4</v>
      </c>
      <c r="M294" s="157" t="s">
        <v>29</v>
      </c>
      <c r="N294" s="167" t="s">
        <v>10498</v>
      </c>
      <c r="O294" s="55" t="str">
        <f t="shared" si="18"/>
        <v>L2.02.02.02.07.00</v>
      </c>
      <c r="P294" s="257" t="str">
        <f t="shared" si="16"/>
        <v>L2.02.02.02.07.00.01</v>
      </c>
      <c r="Q294" s="161" t="s">
        <v>10530</v>
      </c>
      <c r="R294" s="273" t="str">
        <f t="shared" si="17"/>
        <v>Phòng KD Bán mới KTDN 08</v>
      </c>
      <c r="S294" s="269" t="s">
        <v>11006</v>
      </c>
      <c r="T294" s="265" t="s">
        <v>398</v>
      </c>
      <c r="U294" s="265" t="s">
        <v>346</v>
      </c>
      <c r="V294" s="265" t="s">
        <v>112</v>
      </c>
      <c r="W294" s="265" t="s">
        <v>397</v>
      </c>
      <c r="X294" s="265"/>
      <c r="Y294" s="265"/>
      <c r="Z294" s="225" t="s">
        <v>11019</v>
      </c>
      <c r="AA294" s="300" t="s">
        <v>10530</v>
      </c>
      <c r="AB294" s="267"/>
      <c r="AC294" s="376" t="s">
        <v>11634</v>
      </c>
      <c r="AD294" s="267"/>
    </row>
    <row r="295" ht="15.75" customHeight="1" outlineLevel="1">
      <c r="A295" s="261" t="s">
        <v>10833</v>
      </c>
      <c r="B295" s="231" t="s">
        <v>77</v>
      </c>
      <c r="C295" s="231" t="s">
        <v>33</v>
      </c>
      <c r="D295" s="157" t="s">
        <v>89</v>
      </c>
      <c r="E295" s="297" t="s">
        <v>33</v>
      </c>
      <c r="F295" s="168" t="s">
        <v>10992</v>
      </c>
      <c r="G295" s="157" t="s">
        <v>35</v>
      </c>
      <c r="H295" s="298" t="s">
        <v>11020</v>
      </c>
      <c r="I295" s="168" t="s">
        <v>27</v>
      </c>
      <c r="J295" s="258" t="s">
        <v>4</v>
      </c>
      <c r="K295" s="297" t="s">
        <v>27</v>
      </c>
      <c r="L295" s="157" t="s">
        <v>4</v>
      </c>
      <c r="M295" s="157" t="s">
        <v>29</v>
      </c>
      <c r="N295" s="167" t="s">
        <v>10498</v>
      </c>
      <c r="O295" s="55" t="str">
        <f t="shared" si="18"/>
        <v>L2.02.02.03.00.00</v>
      </c>
      <c r="P295" s="257" t="str">
        <f t="shared" si="16"/>
        <v>L2.02.02.03.00.00.01</v>
      </c>
      <c r="Q295" s="161" t="s">
        <v>10530</v>
      </c>
      <c r="R295" s="273" t="str">
        <f t="shared" si="17"/>
        <v>Trung tâm KD bán thêm - Hà Nội</v>
      </c>
      <c r="S295" s="274" t="str">
        <f>P286</f>
        <v>L2.02.02.03.00.00.00</v>
      </c>
      <c r="T295" s="264" t="s">
        <v>11021</v>
      </c>
      <c r="U295" s="265" t="s">
        <v>346</v>
      </c>
      <c r="V295" s="265" t="s">
        <v>263</v>
      </c>
      <c r="W295" s="265" t="s">
        <v>122</v>
      </c>
      <c r="X295" s="265"/>
      <c r="Y295" s="265"/>
      <c r="Z295" s="225" t="s">
        <v>11022</v>
      </c>
      <c r="AA295" s="300" t="s">
        <v>10530</v>
      </c>
      <c r="AB295" s="267"/>
      <c r="AC295" s="267"/>
      <c r="AD295" s="267"/>
    </row>
    <row r="296" ht="15.75" customHeight="1" outlineLevel="1">
      <c r="A296" s="261" t="s">
        <v>10833</v>
      </c>
      <c r="B296" s="231" t="s">
        <v>77</v>
      </c>
      <c r="C296" s="231" t="s">
        <v>33</v>
      </c>
      <c r="D296" s="157" t="s">
        <v>89</v>
      </c>
      <c r="E296" s="297" t="s">
        <v>33</v>
      </c>
      <c r="F296" s="168" t="s">
        <v>10992</v>
      </c>
      <c r="G296" s="157" t="s">
        <v>35</v>
      </c>
      <c r="H296" s="298" t="s">
        <v>11020</v>
      </c>
      <c r="I296" s="157" t="s">
        <v>29</v>
      </c>
      <c r="J296" s="301" t="s">
        <v>122</v>
      </c>
      <c r="K296" s="297" t="s">
        <v>27</v>
      </c>
      <c r="L296" s="157" t="s">
        <v>4</v>
      </c>
      <c r="M296" s="157" t="s">
        <v>29</v>
      </c>
      <c r="N296" s="167" t="s">
        <v>10498</v>
      </c>
      <c r="O296" s="55" t="str">
        <f t="shared" si="18"/>
        <v>L2.02.02.03.01.00</v>
      </c>
      <c r="P296" s="257" t="str">
        <f t="shared" si="16"/>
        <v>L2.02.02.03.01.00.01</v>
      </c>
      <c r="Q296" s="161" t="s">
        <v>10530</v>
      </c>
      <c r="R296" s="299" t="str">
        <f t="shared" si="17"/>
        <v>Ban giám đốc TTKD Bán thêm</v>
      </c>
      <c r="S296" s="269" t="s">
        <v>11023</v>
      </c>
      <c r="T296" s="265" t="s">
        <v>2663</v>
      </c>
      <c r="U296" s="265" t="s">
        <v>346</v>
      </c>
      <c r="V296" s="265" t="s">
        <v>263</v>
      </c>
      <c r="W296" s="265" t="s">
        <v>122</v>
      </c>
      <c r="X296" s="265"/>
      <c r="Y296" s="265"/>
      <c r="Z296" s="225" t="s">
        <v>11024</v>
      </c>
      <c r="AA296" s="300" t="s">
        <v>10530</v>
      </c>
      <c r="AB296" s="267"/>
      <c r="AC296" s="267"/>
      <c r="AD296" s="267"/>
    </row>
    <row r="297" ht="15.75" customHeight="1" outlineLevel="1">
      <c r="A297" s="228" t="s">
        <v>10833</v>
      </c>
      <c r="B297" s="270" t="s">
        <v>77</v>
      </c>
      <c r="C297" s="270" t="s">
        <v>33</v>
      </c>
      <c r="D297" s="209" t="s">
        <v>89</v>
      </c>
      <c r="E297" s="271" t="s">
        <v>33</v>
      </c>
      <c r="F297" s="182" t="s">
        <v>10992</v>
      </c>
      <c r="G297" s="209" t="s">
        <v>35</v>
      </c>
      <c r="H297" s="212" t="s">
        <v>11020</v>
      </c>
      <c r="I297" s="228">
        <v>90.0</v>
      </c>
      <c r="J297" s="303" t="s">
        <v>11640</v>
      </c>
      <c r="K297" s="271" t="s">
        <v>27</v>
      </c>
      <c r="L297" s="209" t="s">
        <v>4</v>
      </c>
      <c r="M297" s="209" t="s">
        <v>29</v>
      </c>
      <c r="N297" s="181" t="s">
        <v>10498</v>
      </c>
      <c r="O297" s="58" t="str">
        <f t="shared" si="18"/>
        <v>L2.02.02.03.90.00</v>
      </c>
      <c r="P297" s="272" t="str">
        <f t="shared" si="16"/>
        <v>L2.02.02.03.90.00.01</v>
      </c>
      <c r="Q297" s="185" t="s">
        <v>10530</v>
      </c>
      <c r="R297" s="273" t="str">
        <f t="shared" si="17"/>
        <v>Phòng Bán thêm GP KTDN</v>
      </c>
      <c r="S297" s="274" t="s">
        <v>11023</v>
      </c>
      <c r="T297" s="586" t="s">
        <v>11025</v>
      </c>
      <c r="U297" s="183" t="s">
        <v>346</v>
      </c>
      <c r="V297" s="183" t="s">
        <v>263</v>
      </c>
      <c r="W297" s="584" t="s">
        <v>123</v>
      </c>
      <c r="X297" s="183"/>
      <c r="Y297" s="183"/>
      <c r="Z297" s="275" t="s">
        <v>11026</v>
      </c>
      <c r="AA297" s="304" t="s">
        <v>10530</v>
      </c>
      <c r="AB297" s="277"/>
      <c r="AC297" s="566" t="s">
        <v>11641</v>
      </c>
      <c r="AD297" s="277"/>
    </row>
    <row r="298" ht="15.75" customHeight="1" outlineLevel="1">
      <c r="A298" s="228" t="s">
        <v>10833</v>
      </c>
      <c r="B298" s="270" t="s">
        <v>77</v>
      </c>
      <c r="C298" s="270" t="s">
        <v>33</v>
      </c>
      <c r="D298" s="209" t="s">
        <v>89</v>
      </c>
      <c r="E298" s="271" t="s">
        <v>33</v>
      </c>
      <c r="F298" s="182" t="s">
        <v>10992</v>
      </c>
      <c r="G298" s="209" t="s">
        <v>35</v>
      </c>
      <c r="H298" s="212" t="s">
        <v>11020</v>
      </c>
      <c r="I298" s="209" t="s">
        <v>33</v>
      </c>
      <c r="J298" s="272" t="s">
        <v>124</v>
      </c>
      <c r="K298" s="271" t="s">
        <v>27</v>
      </c>
      <c r="L298" s="157" t="s">
        <v>4</v>
      </c>
      <c r="M298" s="209" t="s">
        <v>29</v>
      </c>
      <c r="N298" s="181" t="s">
        <v>10498</v>
      </c>
      <c r="O298" s="58" t="str">
        <f t="shared" si="18"/>
        <v>L2.02.02.03.02.00</v>
      </c>
      <c r="P298" s="272" t="str">
        <f t="shared" si="16"/>
        <v>L2.02.02.03.02.00.01</v>
      </c>
      <c r="Q298" s="185" t="s">
        <v>10530</v>
      </c>
      <c r="R298" s="273" t="str">
        <f t="shared" si="17"/>
        <v>Phòng bán thêm GP KTDN 01</v>
      </c>
      <c r="S298" s="274" t="str">
        <f>P297</f>
        <v>L2.02.02.03.90.00.01</v>
      </c>
      <c r="T298" s="183" t="s">
        <v>535</v>
      </c>
      <c r="U298" s="183" t="s">
        <v>346</v>
      </c>
      <c r="V298" s="183" t="s">
        <v>263</v>
      </c>
      <c r="W298" s="183" t="s">
        <v>123</v>
      </c>
      <c r="X298" s="183" t="s">
        <v>124</v>
      </c>
      <c r="Y298" s="183"/>
      <c r="Z298" s="275" t="s">
        <v>11028</v>
      </c>
      <c r="AA298" s="304" t="s">
        <v>10530</v>
      </c>
      <c r="AB298" s="277"/>
      <c r="AC298" s="566" t="s">
        <v>11642</v>
      </c>
      <c r="AD298" s="277"/>
    </row>
    <row r="299" ht="15.75" customHeight="1" outlineLevel="1">
      <c r="A299" s="228" t="s">
        <v>10833</v>
      </c>
      <c r="B299" s="270" t="s">
        <v>77</v>
      </c>
      <c r="C299" s="270" t="s">
        <v>33</v>
      </c>
      <c r="D299" s="209" t="s">
        <v>89</v>
      </c>
      <c r="E299" s="271" t="s">
        <v>33</v>
      </c>
      <c r="F299" s="182" t="s">
        <v>10992</v>
      </c>
      <c r="G299" s="209" t="s">
        <v>35</v>
      </c>
      <c r="H299" s="212" t="s">
        <v>11020</v>
      </c>
      <c r="I299" s="182" t="s">
        <v>46</v>
      </c>
      <c r="J299" s="272" t="s">
        <v>125</v>
      </c>
      <c r="K299" s="271" t="s">
        <v>27</v>
      </c>
      <c r="L299" s="157" t="s">
        <v>4</v>
      </c>
      <c r="M299" s="209" t="s">
        <v>29</v>
      </c>
      <c r="N299" s="181" t="s">
        <v>10498</v>
      </c>
      <c r="O299" s="58" t="str">
        <f t="shared" si="18"/>
        <v>L2.02.02.03.07.00</v>
      </c>
      <c r="P299" s="272" t="str">
        <f t="shared" si="16"/>
        <v>L2.02.02.03.07.00.01</v>
      </c>
      <c r="Q299" s="185" t="s">
        <v>10530</v>
      </c>
      <c r="R299" s="273" t="str">
        <f t="shared" si="17"/>
        <v>Phòng bán thêm GP KTDN 02</v>
      </c>
      <c r="S299" s="274" t="str">
        <f>P297</f>
        <v>L2.02.02.03.90.00.01</v>
      </c>
      <c r="T299" s="183" t="s">
        <v>430</v>
      </c>
      <c r="U299" s="183" t="s">
        <v>346</v>
      </c>
      <c r="V299" s="183" t="s">
        <v>263</v>
      </c>
      <c r="W299" s="183" t="s">
        <v>123</v>
      </c>
      <c r="X299" s="183" t="s">
        <v>125</v>
      </c>
      <c r="Y299" s="183"/>
      <c r="Z299" s="275" t="s">
        <v>11029</v>
      </c>
      <c r="AA299" s="304" t="s">
        <v>10530</v>
      </c>
      <c r="AB299" s="277"/>
      <c r="AC299" s="566" t="s">
        <v>11642</v>
      </c>
      <c r="AD299" s="277"/>
    </row>
    <row r="300" ht="15.75" customHeight="1" outlineLevel="1">
      <c r="A300" s="228" t="s">
        <v>10833</v>
      </c>
      <c r="B300" s="270" t="s">
        <v>77</v>
      </c>
      <c r="C300" s="270" t="s">
        <v>33</v>
      </c>
      <c r="D300" s="209" t="s">
        <v>89</v>
      </c>
      <c r="E300" s="271" t="s">
        <v>33</v>
      </c>
      <c r="F300" s="182" t="s">
        <v>10992</v>
      </c>
      <c r="G300" s="209" t="s">
        <v>35</v>
      </c>
      <c r="H300" s="212" t="s">
        <v>11020</v>
      </c>
      <c r="I300" s="228">
        <v>91.0</v>
      </c>
      <c r="J300" s="303" t="s">
        <v>11643</v>
      </c>
      <c r="K300" s="271" t="s">
        <v>27</v>
      </c>
      <c r="L300" s="157" t="s">
        <v>4</v>
      </c>
      <c r="M300" s="209" t="s">
        <v>29</v>
      </c>
      <c r="N300" s="181" t="s">
        <v>10498</v>
      </c>
      <c r="O300" s="58" t="str">
        <f t="shared" si="18"/>
        <v>L2.02.02.03.91.00</v>
      </c>
      <c r="P300" s="272" t="str">
        <f t="shared" si="16"/>
        <v>L2.02.02.03.91.00.01</v>
      </c>
      <c r="Q300" s="185" t="s">
        <v>10530</v>
      </c>
      <c r="R300" s="273" t="str">
        <f t="shared" si="17"/>
        <v>Phòng Bán thêm GP HDDT</v>
      </c>
      <c r="S300" s="274" t="s">
        <v>11023</v>
      </c>
      <c r="T300" s="586" t="s">
        <v>11030</v>
      </c>
      <c r="U300" s="183" t="s">
        <v>346</v>
      </c>
      <c r="V300" s="183" t="s">
        <v>263</v>
      </c>
      <c r="W300" s="584" t="s">
        <v>356</v>
      </c>
      <c r="X300" s="183"/>
      <c r="Y300" s="183"/>
      <c r="Z300" s="275" t="s">
        <v>11031</v>
      </c>
      <c r="AA300" s="304" t="s">
        <v>10530</v>
      </c>
      <c r="AB300" s="277"/>
      <c r="AC300" s="566" t="s">
        <v>11641</v>
      </c>
      <c r="AD300" s="277"/>
    </row>
    <row r="301" ht="15.75" customHeight="1" outlineLevel="1">
      <c r="A301" s="228" t="s">
        <v>10833</v>
      </c>
      <c r="B301" s="270" t="s">
        <v>77</v>
      </c>
      <c r="C301" s="270" t="s">
        <v>33</v>
      </c>
      <c r="D301" s="209" t="s">
        <v>89</v>
      </c>
      <c r="E301" s="271" t="s">
        <v>33</v>
      </c>
      <c r="F301" s="182" t="s">
        <v>10992</v>
      </c>
      <c r="G301" s="209" t="s">
        <v>35</v>
      </c>
      <c r="H301" s="212" t="s">
        <v>11020</v>
      </c>
      <c r="I301" s="209" t="s">
        <v>35</v>
      </c>
      <c r="J301" s="272" t="s">
        <v>127</v>
      </c>
      <c r="K301" s="271" t="s">
        <v>27</v>
      </c>
      <c r="L301" s="157" t="s">
        <v>4</v>
      </c>
      <c r="M301" s="209" t="s">
        <v>29</v>
      </c>
      <c r="N301" s="181" t="s">
        <v>10498</v>
      </c>
      <c r="O301" s="58" t="str">
        <f t="shared" si="18"/>
        <v>L2.02.02.03.03.00</v>
      </c>
      <c r="P301" s="272" t="str">
        <f t="shared" si="16"/>
        <v>L2.02.02.03.03.00.01</v>
      </c>
      <c r="Q301" s="185" t="s">
        <v>10530</v>
      </c>
      <c r="R301" s="273" t="str">
        <f t="shared" ref="R301:R304" si="19">if(J301&lt;&gt;"-",J301,if(AND(J301="-",#REF!&lt;&gt;"-"),#REF!,if(AND(#REF!="-",H301&lt;&gt;"-"),H301,"NA")))</f>
        <v>Phòng bán thêm GP HDDT 01</v>
      </c>
      <c r="S301" s="274" t="str">
        <f>P300</f>
        <v>L2.02.02.03.91.00.01</v>
      </c>
      <c r="T301" s="183" t="s">
        <v>357</v>
      </c>
      <c r="U301" s="183" t="s">
        <v>346</v>
      </c>
      <c r="V301" s="183" t="s">
        <v>263</v>
      </c>
      <c r="W301" s="183" t="s">
        <v>356</v>
      </c>
      <c r="X301" s="183" t="s">
        <v>355</v>
      </c>
      <c r="Y301" s="183"/>
      <c r="Z301" s="275" t="s">
        <v>11033</v>
      </c>
      <c r="AA301" s="304" t="s">
        <v>10530</v>
      </c>
      <c r="AB301" s="277"/>
      <c r="AC301" s="566" t="s">
        <v>11642</v>
      </c>
      <c r="AD301" s="277"/>
    </row>
    <row r="302" ht="15.75" customHeight="1" outlineLevel="1">
      <c r="A302" s="228" t="s">
        <v>10833</v>
      </c>
      <c r="B302" s="270" t="s">
        <v>77</v>
      </c>
      <c r="C302" s="270" t="s">
        <v>33</v>
      </c>
      <c r="D302" s="209" t="s">
        <v>89</v>
      </c>
      <c r="E302" s="271" t="s">
        <v>33</v>
      </c>
      <c r="F302" s="182" t="s">
        <v>10992</v>
      </c>
      <c r="G302" s="209" t="s">
        <v>35</v>
      </c>
      <c r="H302" s="212" t="s">
        <v>11020</v>
      </c>
      <c r="I302" s="182" t="s">
        <v>49</v>
      </c>
      <c r="J302" s="272" t="s">
        <v>128</v>
      </c>
      <c r="K302" s="271" t="s">
        <v>27</v>
      </c>
      <c r="L302" s="157" t="s">
        <v>4</v>
      </c>
      <c r="M302" s="209" t="s">
        <v>29</v>
      </c>
      <c r="N302" s="181" t="s">
        <v>10498</v>
      </c>
      <c r="O302" s="58" t="str">
        <f t="shared" si="18"/>
        <v>L2.02.02.03.08.00</v>
      </c>
      <c r="P302" s="272" t="str">
        <f t="shared" si="16"/>
        <v>L2.02.02.03.08.00.01</v>
      </c>
      <c r="Q302" s="185" t="s">
        <v>10530</v>
      </c>
      <c r="R302" s="273" t="str">
        <f t="shared" si="19"/>
        <v>Phòng bán thêm GP HDDT 02</v>
      </c>
      <c r="S302" s="274" t="str">
        <f>P300</f>
        <v>L2.02.02.03.91.00.01</v>
      </c>
      <c r="T302" s="183" t="s">
        <v>548</v>
      </c>
      <c r="U302" s="183" t="s">
        <v>346</v>
      </c>
      <c r="V302" s="183" t="s">
        <v>263</v>
      </c>
      <c r="W302" s="183" t="s">
        <v>356</v>
      </c>
      <c r="X302" s="183" t="s">
        <v>547</v>
      </c>
      <c r="Y302" s="183"/>
      <c r="Z302" s="275" t="s">
        <v>11034</v>
      </c>
      <c r="AA302" s="304" t="s">
        <v>10530</v>
      </c>
      <c r="AB302" s="277"/>
      <c r="AC302" s="566" t="s">
        <v>11642</v>
      </c>
      <c r="AD302" s="277"/>
    </row>
    <row r="303" ht="15.75" customHeight="1" outlineLevel="1">
      <c r="A303" s="228" t="s">
        <v>10833</v>
      </c>
      <c r="B303" s="270" t="s">
        <v>77</v>
      </c>
      <c r="C303" s="270" t="s">
        <v>33</v>
      </c>
      <c r="D303" s="209" t="s">
        <v>89</v>
      </c>
      <c r="E303" s="271" t="s">
        <v>33</v>
      </c>
      <c r="F303" s="182" t="s">
        <v>10992</v>
      </c>
      <c r="G303" s="209" t="s">
        <v>35</v>
      </c>
      <c r="H303" s="212" t="s">
        <v>11020</v>
      </c>
      <c r="I303" s="182" t="s">
        <v>51</v>
      </c>
      <c r="J303" s="303" t="s">
        <v>11035</v>
      </c>
      <c r="K303" s="271" t="s">
        <v>27</v>
      </c>
      <c r="L303" s="157" t="s">
        <v>4</v>
      </c>
      <c r="M303" s="209" t="s">
        <v>29</v>
      </c>
      <c r="N303" s="181" t="s">
        <v>10498</v>
      </c>
      <c r="O303" s="58" t="str">
        <f t="shared" si="18"/>
        <v>L2.02.02.03.09.00</v>
      </c>
      <c r="P303" s="272" t="str">
        <f t="shared" si="16"/>
        <v>L2.02.02.03.09.00.01</v>
      </c>
      <c r="Q303" s="185" t="s">
        <v>10530</v>
      </c>
      <c r="R303" s="273" t="str">
        <f t="shared" si="19"/>
        <v>Phòng bán thêm GP HDDT 03</v>
      </c>
      <c r="S303" s="274" t="str">
        <f>P300</f>
        <v>L2.02.02.03.91.00.01</v>
      </c>
      <c r="T303" s="183" t="s">
        <v>541</v>
      </c>
      <c r="U303" s="183" t="s">
        <v>346</v>
      </c>
      <c r="V303" s="183" t="s">
        <v>263</v>
      </c>
      <c r="W303" s="183" t="s">
        <v>356</v>
      </c>
      <c r="X303" s="183" t="s">
        <v>540</v>
      </c>
      <c r="Y303" s="183"/>
      <c r="Z303" s="275" t="s">
        <v>11036</v>
      </c>
      <c r="AA303" s="304" t="s">
        <v>10530</v>
      </c>
      <c r="AB303" s="277"/>
      <c r="AC303" s="566" t="s">
        <v>11642</v>
      </c>
      <c r="AD303" s="277"/>
    </row>
    <row r="304" ht="15.75" customHeight="1" outlineLevel="1">
      <c r="A304" s="228" t="s">
        <v>10833</v>
      </c>
      <c r="B304" s="270" t="s">
        <v>77</v>
      </c>
      <c r="C304" s="270" t="s">
        <v>33</v>
      </c>
      <c r="D304" s="209" t="s">
        <v>89</v>
      </c>
      <c r="E304" s="271" t="s">
        <v>33</v>
      </c>
      <c r="F304" s="182" t="s">
        <v>10992</v>
      </c>
      <c r="G304" s="209" t="s">
        <v>35</v>
      </c>
      <c r="H304" s="212" t="s">
        <v>11020</v>
      </c>
      <c r="I304" s="182" t="s">
        <v>55</v>
      </c>
      <c r="J304" s="303" t="s">
        <v>11644</v>
      </c>
      <c r="K304" s="271" t="s">
        <v>27</v>
      </c>
      <c r="L304" s="157" t="s">
        <v>4</v>
      </c>
      <c r="M304" s="209" t="s">
        <v>29</v>
      </c>
      <c r="N304" s="181" t="s">
        <v>10498</v>
      </c>
      <c r="O304" s="58" t="str">
        <f t="shared" si="18"/>
        <v>L2.02.02.03.10.00</v>
      </c>
      <c r="P304" s="272" t="str">
        <f t="shared" si="16"/>
        <v>L2.02.02.03.10.00.01</v>
      </c>
      <c r="Q304" s="185" t="s">
        <v>10530</v>
      </c>
      <c r="R304" s="273" t="str">
        <f t="shared" si="19"/>
        <v>Phòng bán thêm GP HDDT 04</v>
      </c>
      <c r="S304" s="274" t="str">
        <f>P300</f>
        <v>L2.02.02.03.91.00.01</v>
      </c>
      <c r="T304" s="184" t="s">
        <v>11645</v>
      </c>
      <c r="U304" s="183" t="s">
        <v>346</v>
      </c>
      <c r="V304" s="183" t="s">
        <v>263</v>
      </c>
      <c r="W304" s="183" t="s">
        <v>356</v>
      </c>
      <c r="X304" s="184" t="s">
        <v>11646</v>
      </c>
      <c r="Y304" s="183"/>
      <c r="Z304" s="275" t="s">
        <v>11647</v>
      </c>
      <c r="AA304" s="304" t="s">
        <v>10530</v>
      </c>
      <c r="AB304" s="277"/>
      <c r="AC304" s="566" t="s">
        <v>11642</v>
      </c>
      <c r="AD304" s="277"/>
    </row>
    <row r="305" ht="15.75" customHeight="1" outlineLevel="1">
      <c r="A305" s="261" t="s">
        <v>10833</v>
      </c>
      <c r="B305" s="231" t="s">
        <v>77</v>
      </c>
      <c r="C305" s="231" t="s">
        <v>33</v>
      </c>
      <c r="D305" s="157" t="s">
        <v>89</v>
      </c>
      <c r="E305" s="297" t="s">
        <v>33</v>
      </c>
      <c r="F305" s="168" t="s">
        <v>10992</v>
      </c>
      <c r="G305" s="157" t="s">
        <v>35</v>
      </c>
      <c r="H305" s="298" t="s">
        <v>11020</v>
      </c>
      <c r="I305" s="157" t="s">
        <v>37</v>
      </c>
      <c r="J305" s="257" t="s">
        <v>129</v>
      </c>
      <c r="K305" s="297" t="s">
        <v>27</v>
      </c>
      <c r="L305" s="157" t="s">
        <v>4</v>
      </c>
      <c r="M305" s="157" t="s">
        <v>29</v>
      </c>
      <c r="N305" s="167" t="s">
        <v>10498</v>
      </c>
      <c r="O305" s="159" t="str">
        <f t="shared" si="18"/>
        <v>L2.02.02.03.04.00</v>
      </c>
      <c r="P305" s="257" t="str">
        <f t="shared" si="16"/>
        <v>L2.02.02.03.04.00.01</v>
      </c>
      <c r="Q305" s="160" t="s">
        <v>10530</v>
      </c>
      <c r="R305" s="299" t="str">
        <f t="shared" ref="R305:R306" si="20">if(L305&lt;&gt;"-",L305,if(AND(L305="-",J305&lt;&gt;"-"),J305,if(AND(J305="-",H305&lt;&gt;"-"),H305,"NA")))</f>
        <v>Phòng KD chuyển đổi GPKT</v>
      </c>
      <c r="S305" s="269" t="s">
        <v>11023</v>
      </c>
      <c r="T305" s="265" t="s">
        <v>768</v>
      </c>
      <c r="U305" s="265" t="s">
        <v>346</v>
      </c>
      <c r="V305" s="265" t="s">
        <v>263</v>
      </c>
      <c r="W305" s="265" t="s">
        <v>767</v>
      </c>
      <c r="X305" s="265" t="s">
        <v>766</v>
      </c>
      <c r="Y305" s="265"/>
      <c r="Z305" s="225" t="s">
        <v>11037</v>
      </c>
      <c r="AA305" s="300" t="s">
        <v>10530</v>
      </c>
      <c r="AB305" s="267"/>
      <c r="AC305" s="587"/>
      <c r="AD305" s="267"/>
    </row>
    <row r="306" ht="15.75" customHeight="1" outlineLevel="1">
      <c r="A306" s="228" t="s">
        <v>10833</v>
      </c>
      <c r="B306" s="270" t="s">
        <v>77</v>
      </c>
      <c r="C306" s="270" t="s">
        <v>33</v>
      </c>
      <c r="D306" s="209" t="s">
        <v>89</v>
      </c>
      <c r="E306" s="271" t="s">
        <v>33</v>
      </c>
      <c r="F306" s="182" t="s">
        <v>10992</v>
      </c>
      <c r="G306" s="209" t="s">
        <v>35</v>
      </c>
      <c r="H306" s="212" t="s">
        <v>11020</v>
      </c>
      <c r="I306" s="228">
        <v>92.0</v>
      </c>
      <c r="J306" s="303" t="s">
        <v>261</v>
      </c>
      <c r="K306" s="271" t="s">
        <v>27</v>
      </c>
      <c r="L306" s="209" t="s">
        <v>4</v>
      </c>
      <c r="M306" s="209" t="s">
        <v>29</v>
      </c>
      <c r="N306" s="181" t="s">
        <v>10498</v>
      </c>
      <c r="O306" s="58" t="str">
        <f t="shared" si="18"/>
        <v>L2.02.02.03.92.00</v>
      </c>
      <c r="P306" s="272" t="str">
        <f t="shared" si="16"/>
        <v>L2.02.02.03.92.00.01</v>
      </c>
      <c r="Q306" s="185" t="s">
        <v>10530</v>
      </c>
      <c r="R306" s="273" t="str">
        <f t="shared" si="20"/>
        <v>Phòng Bán thêm GP Ký điện tử</v>
      </c>
      <c r="S306" s="274" t="s">
        <v>11023</v>
      </c>
      <c r="T306" s="183" t="s">
        <v>410</v>
      </c>
      <c r="U306" s="183" t="s">
        <v>346</v>
      </c>
      <c r="V306" s="183" t="s">
        <v>263</v>
      </c>
      <c r="W306" s="183" t="s">
        <v>130</v>
      </c>
      <c r="X306" s="183"/>
      <c r="Y306" s="183"/>
      <c r="Z306" s="275" t="s">
        <v>11038</v>
      </c>
      <c r="AA306" s="304" t="s">
        <v>10530</v>
      </c>
      <c r="AB306" s="277"/>
      <c r="AC306" s="566" t="s">
        <v>11641</v>
      </c>
      <c r="AD306" s="277"/>
    </row>
    <row r="307" ht="15.75" customHeight="1" outlineLevel="1">
      <c r="A307" s="228" t="s">
        <v>10833</v>
      </c>
      <c r="B307" s="270" t="s">
        <v>77</v>
      </c>
      <c r="C307" s="270" t="s">
        <v>33</v>
      </c>
      <c r="D307" s="209" t="s">
        <v>89</v>
      </c>
      <c r="E307" s="271" t="s">
        <v>33</v>
      </c>
      <c r="F307" s="182" t="s">
        <v>10992</v>
      </c>
      <c r="G307" s="209" t="s">
        <v>35</v>
      </c>
      <c r="H307" s="212" t="s">
        <v>11020</v>
      </c>
      <c r="I307" s="209" t="s">
        <v>42</v>
      </c>
      <c r="J307" s="303" t="s">
        <v>11039</v>
      </c>
      <c r="K307" s="271" t="s">
        <v>27</v>
      </c>
      <c r="L307" s="209" t="s">
        <v>4</v>
      </c>
      <c r="M307" s="209" t="s">
        <v>29</v>
      </c>
      <c r="N307" s="181" t="s">
        <v>10498</v>
      </c>
      <c r="O307" s="58" t="str">
        <f t="shared" si="18"/>
        <v>L2.02.02.03.05.00</v>
      </c>
      <c r="P307" s="272" t="str">
        <f t="shared" si="16"/>
        <v>L2.02.02.03.05.00.01</v>
      </c>
      <c r="Q307" s="185" t="s">
        <v>10530</v>
      </c>
      <c r="R307" s="273" t="str">
        <f>if(J307&lt;&gt;"-",J307,if(AND(J307="-",#REF!&lt;&gt;"-"),#REF!,if(AND(#REF!="-",H307&lt;&gt;"-"),H307,"NA")))</f>
        <v>Phòng bán thêm GP Ký điện tử 01</v>
      </c>
      <c r="S307" s="274" t="str">
        <f>P306</f>
        <v>L2.02.02.03.92.00.01</v>
      </c>
      <c r="T307" s="183" t="s">
        <v>410</v>
      </c>
      <c r="U307" s="183" t="s">
        <v>346</v>
      </c>
      <c r="V307" s="183" t="s">
        <v>263</v>
      </c>
      <c r="W307" s="183" t="s">
        <v>130</v>
      </c>
      <c r="X307" s="183"/>
      <c r="Y307" s="183"/>
      <c r="Z307" s="275" t="s">
        <v>11040</v>
      </c>
      <c r="AA307" s="304" t="s">
        <v>10530</v>
      </c>
      <c r="AB307" s="277"/>
      <c r="AC307" s="566" t="s">
        <v>11648</v>
      </c>
      <c r="AD307" s="277"/>
    </row>
    <row r="308" ht="15.75" customHeight="1" outlineLevel="1">
      <c r="A308" s="261" t="s">
        <v>10833</v>
      </c>
      <c r="B308" s="231" t="s">
        <v>77</v>
      </c>
      <c r="C308" s="231" t="s">
        <v>33</v>
      </c>
      <c r="D308" s="157" t="s">
        <v>89</v>
      </c>
      <c r="E308" s="297" t="s">
        <v>33</v>
      </c>
      <c r="F308" s="168" t="s">
        <v>10992</v>
      </c>
      <c r="G308" s="157" t="s">
        <v>35</v>
      </c>
      <c r="H308" s="298" t="s">
        <v>11020</v>
      </c>
      <c r="I308" s="157" t="s">
        <v>44</v>
      </c>
      <c r="J308" s="257" t="s">
        <v>131</v>
      </c>
      <c r="K308" s="297" t="s">
        <v>27</v>
      </c>
      <c r="L308" s="157" t="s">
        <v>4</v>
      </c>
      <c r="M308" s="157" t="s">
        <v>29</v>
      </c>
      <c r="N308" s="167" t="s">
        <v>10498</v>
      </c>
      <c r="O308" s="55" t="str">
        <f t="shared" si="18"/>
        <v>L2.02.02.03.06.00</v>
      </c>
      <c r="P308" s="257" t="str">
        <f t="shared" si="16"/>
        <v>L2.02.02.03.06.00.01</v>
      </c>
      <c r="Q308" s="161" t="s">
        <v>10530</v>
      </c>
      <c r="R308" s="299" t="str">
        <f t="shared" ref="R308:R320" si="21">if(L308&lt;&gt;"-",L308,if(AND(L308="-",J308&lt;&gt;"-"),J308,if(AND(J308="-",H308&lt;&gt;"-"),H308,"NA")))</f>
        <v>Phòng KD meInvoice dự án</v>
      </c>
      <c r="S308" s="269" t="s">
        <v>11023</v>
      </c>
      <c r="T308" s="265" t="s">
        <v>748</v>
      </c>
      <c r="U308" s="265" t="s">
        <v>346</v>
      </c>
      <c r="V308" s="265" t="s">
        <v>263</v>
      </c>
      <c r="W308" s="265" t="s">
        <v>747</v>
      </c>
      <c r="X308" s="265"/>
      <c r="Y308" s="265"/>
      <c r="Z308" s="225" t="s">
        <v>11041</v>
      </c>
      <c r="AA308" s="300" t="s">
        <v>10530</v>
      </c>
      <c r="AB308" s="267"/>
      <c r="AC308" s="267"/>
      <c r="AD308" s="267"/>
    </row>
    <row r="309" ht="15.75" customHeight="1" outlineLevel="1">
      <c r="A309" s="261" t="s">
        <v>10833</v>
      </c>
      <c r="B309" s="231" t="s">
        <v>77</v>
      </c>
      <c r="C309" s="231" t="s">
        <v>33</v>
      </c>
      <c r="D309" s="157" t="s">
        <v>89</v>
      </c>
      <c r="E309" s="297" t="s">
        <v>33</v>
      </c>
      <c r="F309" s="168" t="s">
        <v>10992</v>
      </c>
      <c r="G309" s="157" t="s">
        <v>33</v>
      </c>
      <c r="H309" s="298" t="s">
        <v>11042</v>
      </c>
      <c r="I309" s="168" t="s">
        <v>27</v>
      </c>
      <c r="J309" s="258" t="s">
        <v>4</v>
      </c>
      <c r="K309" s="297" t="s">
        <v>27</v>
      </c>
      <c r="L309" s="157" t="s">
        <v>4</v>
      </c>
      <c r="M309" s="157" t="s">
        <v>33</v>
      </c>
      <c r="N309" s="167" t="s">
        <v>10499</v>
      </c>
      <c r="O309" s="55" t="str">
        <f t="shared" si="18"/>
        <v>L2.02.02.02.00.00</v>
      </c>
      <c r="P309" s="257" t="str">
        <f t="shared" si="16"/>
        <v>L2.02.02.02.00.00.02</v>
      </c>
      <c r="Q309" s="161" t="s">
        <v>10530</v>
      </c>
      <c r="R309" s="299" t="str">
        <f t="shared" si="21"/>
        <v>Trung tâm KD giải pháp KTDN - Hồ Chí Minh</v>
      </c>
      <c r="S309" s="274" t="s">
        <v>11003</v>
      </c>
      <c r="T309" s="264" t="s">
        <v>11043</v>
      </c>
      <c r="U309" s="265" t="s">
        <v>262</v>
      </c>
      <c r="V309" s="265" t="s">
        <v>2219</v>
      </c>
      <c r="W309" s="265"/>
      <c r="X309" s="265"/>
      <c r="Y309" s="265"/>
      <c r="Z309" s="225" t="s">
        <v>11044</v>
      </c>
      <c r="AA309" s="300" t="s">
        <v>10530</v>
      </c>
      <c r="AB309" s="267"/>
      <c r="AC309" s="267"/>
      <c r="AD309" s="267"/>
    </row>
    <row r="310" ht="15.75" customHeight="1" outlineLevel="1">
      <c r="A310" s="261" t="s">
        <v>10833</v>
      </c>
      <c r="B310" s="231" t="s">
        <v>77</v>
      </c>
      <c r="C310" s="231" t="s">
        <v>33</v>
      </c>
      <c r="D310" s="157" t="s">
        <v>89</v>
      </c>
      <c r="E310" s="297" t="s">
        <v>33</v>
      </c>
      <c r="F310" s="168" t="s">
        <v>10992</v>
      </c>
      <c r="G310" s="157" t="s">
        <v>33</v>
      </c>
      <c r="H310" s="298" t="s">
        <v>11042</v>
      </c>
      <c r="I310" s="157" t="s">
        <v>29</v>
      </c>
      <c r="J310" s="257" t="s">
        <v>113</v>
      </c>
      <c r="K310" s="297" t="s">
        <v>27</v>
      </c>
      <c r="L310" s="157" t="s">
        <v>4</v>
      </c>
      <c r="M310" s="157" t="s">
        <v>33</v>
      </c>
      <c r="N310" s="167" t="s">
        <v>10499</v>
      </c>
      <c r="O310" s="55" t="str">
        <f t="shared" si="18"/>
        <v>L2.02.02.02.01.00</v>
      </c>
      <c r="P310" s="257" t="str">
        <f t="shared" si="16"/>
        <v>L2.02.02.02.01.00.02</v>
      </c>
      <c r="Q310" s="161" t="s">
        <v>10530</v>
      </c>
      <c r="R310" s="299" t="str">
        <f t="shared" si="21"/>
        <v>Ban giám đốc TTKD GP KTDN</v>
      </c>
      <c r="S310" s="269" t="s">
        <v>11045</v>
      </c>
      <c r="T310" s="265" t="s">
        <v>7661</v>
      </c>
      <c r="U310" s="265" t="s">
        <v>262</v>
      </c>
      <c r="V310" s="265" t="s">
        <v>2219</v>
      </c>
      <c r="W310" s="265" t="s">
        <v>7230</v>
      </c>
      <c r="X310" s="265"/>
      <c r="Y310" s="265"/>
      <c r="Z310" s="225" t="s">
        <v>11046</v>
      </c>
      <c r="AA310" s="300" t="s">
        <v>10530</v>
      </c>
      <c r="AB310" s="267"/>
      <c r="AC310" s="267"/>
      <c r="AD310" s="267"/>
    </row>
    <row r="311" ht="15.75" customHeight="1" outlineLevel="1">
      <c r="A311" s="261" t="s">
        <v>10833</v>
      </c>
      <c r="B311" s="231" t="s">
        <v>77</v>
      </c>
      <c r="C311" s="231" t="s">
        <v>33</v>
      </c>
      <c r="D311" s="157" t="s">
        <v>89</v>
      </c>
      <c r="E311" s="297" t="s">
        <v>33</v>
      </c>
      <c r="F311" s="168" t="s">
        <v>10992</v>
      </c>
      <c r="G311" s="157" t="s">
        <v>33</v>
      </c>
      <c r="H311" s="298" t="s">
        <v>11042</v>
      </c>
      <c r="I311" s="231" t="s">
        <v>33</v>
      </c>
      <c r="J311" s="184" t="s">
        <v>11633</v>
      </c>
      <c r="K311" s="297" t="s">
        <v>27</v>
      </c>
      <c r="L311" s="157" t="s">
        <v>4</v>
      </c>
      <c r="M311" s="157" t="s">
        <v>33</v>
      </c>
      <c r="N311" s="167" t="s">
        <v>10499</v>
      </c>
      <c r="O311" s="55" t="str">
        <f t="shared" si="18"/>
        <v>L2.02.02.02.02.00</v>
      </c>
      <c r="P311" s="257" t="str">
        <f t="shared" si="16"/>
        <v>L2.02.02.02.02.00.02</v>
      </c>
      <c r="Q311" s="161" t="s">
        <v>10530</v>
      </c>
      <c r="R311" s="273" t="str">
        <f t="shared" si="21"/>
        <v>Phòng KD Bán mới KTDN 01</v>
      </c>
      <c r="S311" s="269" t="s">
        <v>11045</v>
      </c>
      <c r="T311" s="265" t="s">
        <v>2281</v>
      </c>
      <c r="U311" s="265" t="s">
        <v>262</v>
      </c>
      <c r="V311" s="265" t="s">
        <v>2219</v>
      </c>
      <c r="W311" s="265" t="s">
        <v>1260</v>
      </c>
      <c r="X311" s="265"/>
      <c r="Y311" s="265"/>
      <c r="Z311" s="225" t="s">
        <v>11047</v>
      </c>
      <c r="AA311" s="300" t="s">
        <v>10530</v>
      </c>
      <c r="AB311" s="267"/>
      <c r="AC311" s="376" t="s">
        <v>11634</v>
      </c>
      <c r="AD311" s="267"/>
    </row>
    <row r="312" ht="15.75" customHeight="1" outlineLevel="1">
      <c r="A312" s="261" t="s">
        <v>10833</v>
      </c>
      <c r="B312" s="231" t="s">
        <v>77</v>
      </c>
      <c r="C312" s="231" t="s">
        <v>33</v>
      </c>
      <c r="D312" s="157" t="s">
        <v>89</v>
      </c>
      <c r="E312" s="297" t="s">
        <v>33</v>
      </c>
      <c r="F312" s="168" t="s">
        <v>10992</v>
      </c>
      <c r="G312" s="157" t="s">
        <v>33</v>
      </c>
      <c r="H312" s="298" t="s">
        <v>11042</v>
      </c>
      <c r="I312" s="231" t="s">
        <v>35</v>
      </c>
      <c r="J312" s="184" t="s">
        <v>11649</v>
      </c>
      <c r="K312" s="297" t="s">
        <v>27</v>
      </c>
      <c r="L312" s="157" t="s">
        <v>4</v>
      </c>
      <c r="M312" s="157" t="s">
        <v>33</v>
      </c>
      <c r="N312" s="167" t="s">
        <v>10499</v>
      </c>
      <c r="O312" s="55" t="str">
        <f t="shared" si="18"/>
        <v>L2.02.02.02.03.00</v>
      </c>
      <c r="P312" s="257" t="str">
        <f t="shared" si="16"/>
        <v>L2.02.02.02.03.00.02</v>
      </c>
      <c r="Q312" s="161" t="s">
        <v>10530</v>
      </c>
      <c r="R312" s="273" t="str">
        <f t="shared" si="21"/>
        <v>Phòng KD Bán mới KTDN 02</v>
      </c>
      <c r="S312" s="269" t="s">
        <v>11045</v>
      </c>
      <c r="T312" s="265" t="s">
        <v>2286</v>
      </c>
      <c r="U312" s="265" t="s">
        <v>262</v>
      </c>
      <c r="V312" s="265" t="s">
        <v>2219</v>
      </c>
      <c r="W312" s="265" t="s">
        <v>2285</v>
      </c>
      <c r="X312" s="265"/>
      <c r="Y312" s="265"/>
      <c r="Z312" s="225" t="s">
        <v>11049</v>
      </c>
      <c r="AA312" s="300" t="s">
        <v>10530</v>
      </c>
      <c r="AB312" s="267"/>
      <c r="AC312" s="376" t="s">
        <v>11634</v>
      </c>
      <c r="AD312" s="267"/>
    </row>
    <row r="313" ht="15.75" customHeight="1" outlineLevel="1">
      <c r="A313" s="261" t="s">
        <v>10833</v>
      </c>
      <c r="B313" s="231" t="s">
        <v>77</v>
      </c>
      <c r="C313" s="231" t="s">
        <v>33</v>
      </c>
      <c r="D313" s="157" t="s">
        <v>89</v>
      </c>
      <c r="E313" s="297" t="s">
        <v>33</v>
      </c>
      <c r="F313" s="168" t="s">
        <v>10992</v>
      </c>
      <c r="G313" s="157" t="s">
        <v>33</v>
      </c>
      <c r="H313" s="298" t="s">
        <v>11042</v>
      </c>
      <c r="I313" s="231" t="s">
        <v>37</v>
      </c>
      <c r="J313" s="184" t="s">
        <v>11635</v>
      </c>
      <c r="K313" s="297" t="s">
        <v>27</v>
      </c>
      <c r="L313" s="157" t="s">
        <v>4</v>
      </c>
      <c r="M313" s="157" t="s">
        <v>33</v>
      </c>
      <c r="N313" s="167" t="s">
        <v>10499</v>
      </c>
      <c r="O313" s="55" t="str">
        <f t="shared" si="18"/>
        <v>L2.02.02.02.04.00</v>
      </c>
      <c r="P313" s="257" t="str">
        <f t="shared" si="16"/>
        <v>L2.02.02.02.04.00.02</v>
      </c>
      <c r="Q313" s="161" t="s">
        <v>10530</v>
      </c>
      <c r="R313" s="273" t="str">
        <f t="shared" si="21"/>
        <v>Phòng KD Bán mới KTDN 03</v>
      </c>
      <c r="S313" s="269" t="s">
        <v>11045</v>
      </c>
      <c r="T313" s="265" t="s">
        <v>2290</v>
      </c>
      <c r="U313" s="265" t="s">
        <v>262</v>
      </c>
      <c r="V313" s="265" t="s">
        <v>2219</v>
      </c>
      <c r="W313" s="265" t="s">
        <v>390</v>
      </c>
      <c r="X313" s="265"/>
      <c r="Y313" s="265"/>
      <c r="Z313" s="225" t="s">
        <v>11050</v>
      </c>
      <c r="AA313" s="300" t="s">
        <v>10530</v>
      </c>
      <c r="AB313" s="267"/>
      <c r="AC313" s="376" t="s">
        <v>11634</v>
      </c>
      <c r="AD313" s="267"/>
    </row>
    <row r="314" ht="15.75" customHeight="1" outlineLevel="1">
      <c r="A314" s="261" t="s">
        <v>10833</v>
      </c>
      <c r="B314" s="231" t="s">
        <v>77</v>
      </c>
      <c r="C314" s="231" t="s">
        <v>33</v>
      </c>
      <c r="D314" s="157" t="s">
        <v>89</v>
      </c>
      <c r="E314" s="297" t="s">
        <v>33</v>
      </c>
      <c r="F314" s="168" t="s">
        <v>10992</v>
      </c>
      <c r="G314" s="157" t="s">
        <v>33</v>
      </c>
      <c r="H314" s="298" t="s">
        <v>11042</v>
      </c>
      <c r="I314" s="231" t="s">
        <v>42</v>
      </c>
      <c r="J314" s="184" t="s">
        <v>11636</v>
      </c>
      <c r="K314" s="297" t="s">
        <v>27</v>
      </c>
      <c r="L314" s="157" t="s">
        <v>4</v>
      </c>
      <c r="M314" s="157" t="s">
        <v>33</v>
      </c>
      <c r="N314" s="167" t="s">
        <v>10499</v>
      </c>
      <c r="O314" s="55" t="str">
        <f t="shared" si="18"/>
        <v>L2.02.02.02.05.00</v>
      </c>
      <c r="P314" s="257" t="str">
        <f t="shared" si="16"/>
        <v>L2.02.02.02.05.00.02</v>
      </c>
      <c r="Q314" s="161" t="s">
        <v>10530</v>
      </c>
      <c r="R314" s="273" t="str">
        <f t="shared" si="21"/>
        <v>Phòng KD Bán mới KTDN 04</v>
      </c>
      <c r="S314" s="269" t="s">
        <v>11045</v>
      </c>
      <c r="T314" s="265" t="s">
        <v>2227</v>
      </c>
      <c r="U314" s="265" t="s">
        <v>262</v>
      </c>
      <c r="V314" s="265" t="s">
        <v>2219</v>
      </c>
      <c r="W314" s="265" t="s">
        <v>403</v>
      </c>
      <c r="X314" s="265"/>
      <c r="Y314" s="265"/>
      <c r="Z314" s="225" t="s">
        <v>11051</v>
      </c>
      <c r="AA314" s="300" t="s">
        <v>10530</v>
      </c>
      <c r="AB314" s="267"/>
      <c r="AC314" s="376" t="s">
        <v>11634</v>
      </c>
      <c r="AD314" s="267"/>
    </row>
    <row r="315" ht="15.75" customHeight="1" outlineLevel="1">
      <c r="A315" s="261" t="s">
        <v>10833</v>
      </c>
      <c r="B315" s="231" t="s">
        <v>77</v>
      </c>
      <c r="C315" s="231" t="s">
        <v>33</v>
      </c>
      <c r="D315" s="157" t="s">
        <v>89</v>
      </c>
      <c r="E315" s="297" t="s">
        <v>33</v>
      </c>
      <c r="F315" s="168" t="s">
        <v>10992</v>
      </c>
      <c r="G315" s="157" t="s">
        <v>33</v>
      </c>
      <c r="H315" s="298" t="s">
        <v>11042</v>
      </c>
      <c r="I315" s="231" t="s">
        <v>44</v>
      </c>
      <c r="J315" s="184" t="s">
        <v>11637</v>
      </c>
      <c r="K315" s="297" t="s">
        <v>27</v>
      </c>
      <c r="L315" s="157" t="s">
        <v>4</v>
      </c>
      <c r="M315" s="157" t="s">
        <v>33</v>
      </c>
      <c r="N315" s="167" t="s">
        <v>10499</v>
      </c>
      <c r="O315" s="55" t="str">
        <f t="shared" si="18"/>
        <v>L2.02.02.02.06.00</v>
      </c>
      <c r="P315" s="257" t="str">
        <f t="shared" si="16"/>
        <v>L2.02.02.02.06.00.02</v>
      </c>
      <c r="Q315" s="161" t="s">
        <v>10530</v>
      </c>
      <c r="R315" s="273" t="str">
        <f t="shared" si="21"/>
        <v>Phòng KD Bán mới KTDN 05</v>
      </c>
      <c r="S315" s="269" t="s">
        <v>11045</v>
      </c>
      <c r="T315" s="265" t="s">
        <v>2236</v>
      </c>
      <c r="U315" s="265" t="s">
        <v>262</v>
      </c>
      <c r="V315" s="265" t="s">
        <v>2219</v>
      </c>
      <c r="W315" s="265" t="s">
        <v>1130</v>
      </c>
      <c r="X315" s="265"/>
      <c r="Y315" s="265"/>
      <c r="Z315" s="225" t="s">
        <v>11052</v>
      </c>
      <c r="AA315" s="300" t="s">
        <v>10530</v>
      </c>
      <c r="AB315" s="267"/>
      <c r="AC315" s="376" t="s">
        <v>11634</v>
      </c>
      <c r="AD315" s="267"/>
    </row>
    <row r="316" ht="15.75" customHeight="1" outlineLevel="1">
      <c r="A316" s="261" t="s">
        <v>10833</v>
      </c>
      <c r="B316" s="231" t="s">
        <v>77</v>
      </c>
      <c r="C316" s="231" t="s">
        <v>33</v>
      </c>
      <c r="D316" s="157" t="s">
        <v>89</v>
      </c>
      <c r="E316" s="297" t="s">
        <v>33</v>
      </c>
      <c r="F316" s="168" t="s">
        <v>10992</v>
      </c>
      <c r="G316" s="157" t="s">
        <v>33</v>
      </c>
      <c r="H316" s="298" t="s">
        <v>11042</v>
      </c>
      <c r="I316" s="231" t="s">
        <v>46</v>
      </c>
      <c r="J316" s="184" t="s">
        <v>11650</v>
      </c>
      <c r="K316" s="297" t="s">
        <v>27</v>
      </c>
      <c r="L316" s="157" t="s">
        <v>4</v>
      </c>
      <c r="M316" s="157" t="s">
        <v>33</v>
      </c>
      <c r="N316" s="167" t="s">
        <v>10499</v>
      </c>
      <c r="O316" s="55" t="str">
        <f t="shared" si="18"/>
        <v>L2.02.02.02.07.00</v>
      </c>
      <c r="P316" s="257" t="str">
        <f t="shared" si="16"/>
        <v>L2.02.02.02.07.00.02</v>
      </c>
      <c r="Q316" s="161" t="s">
        <v>10530</v>
      </c>
      <c r="R316" s="273" t="str">
        <f t="shared" si="21"/>
        <v>Phòng KD Bán mới KTDN 06</v>
      </c>
      <c r="S316" s="269" t="s">
        <v>11045</v>
      </c>
      <c r="T316" s="265" t="s">
        <v>2232</v>
      </c>
      <c r="U316" s="265" t="s">
        <v>262</v>
      </c>
      <c r="V316" s="265" t="s">
        <v>2219</v>
      </c>
      <c r="W316" s="265" t="s">
        <v>2231</v>
      </c>
      <c r="X316" s="265"/>
      <c r="Y316" s="265"/>
      <c r="Z316" s="225" t="s">
        <v>11054</v>
      </c>
      <c r="AA316" s="300" t="s">
        <v>10530</v>
      </c>
      <c r="AB316" s="267"/>
      <c r="AC316" s="376" t="s">
        <v>11634</v>
      </c>
      <c r="AD316" s="267"/>
    </row>
    <row r="317" ht="15.75" customHeight="1" outlineLevel="1">
      <c r="A317" s="261" t="s">
        <v>10833</v>
      </c>
      <c r="B317" s="231" t="s">
        <v>77</v>
      </c>
      <c r="C317" s="231" t="s">
        <v>33</v>
      </c>
      <c r="D317" s="157" t="s">
        <v>89</v>
      </c>
      <c r="E317" s="297" t="s">
        <v>33</v>
      </c>
      <c r="F317" s="168" t="s">
        <v>10992</v>
      </c>
      <c r="G317" s="157" t="s">
        <v>33</v>
      </c>
      <c r="H317" s="298" t="s">
        <v>11042</v>
      </c>
      <c r="I317" s="231" t="s">
        <v>49</v>
      </c>
      <c r="J317" s="184" t="s">
        <v>11638</v>
      </c>
      <c r="K317" s="297" t="s">
        <v>27</v>
      </c>
      <c r="L317" s="157" t="s">
        <v>4</v>
      </c>
      <c r="M317" s="157" t="s">
        <v>33</v>
      </c>
      <c r="N317" s="167" t="s">
        <v>10499</v>
      </c>
      <c r="O317" s="55" t="str">
        <f t="shared" si="18"/>
        <v>L2.02.02.02.08.00</v>
      </c>
      <c r="P317" s="257" t="str">
        <f t="shared" si="16"/>
        <v>L2.02.02.02.08.00.02</v>
      </c>
      <c r="Q317" s="161" t="s">
        <v>10530</v>
      </c>
      <c r="R317" s="273" t="str">
        <f t="shared" si="21"/>
        <v>Phòng KD Bán mới KTDN 07</v>
      </c>
      <c r="S317" s="269" t="s">
        <v>11045</v>
      </c>
      <c r="T317" s="265" t="s">
        <v>2220</v>
      </c>
      <c r="U317" s="265" t="s">
        <v>262</v>
      </c>
      <c r="V317" s="265" t="s">
        <v>2219</v>
      </c>
      <c r="W317" s="265" t="s">
        <v>1139</v>
      </c>
      <c r="X317" s="265"/>
      <c r="Y317" s="265"/>
      <c r="Z317" s="225" t="s">
        <v>11055</v>
      </c>
      <c r="AA317" s="300" t="s">
        <v>10530</v>
      </c>
      <c r="AB317" s="267"/>
      <c r="AC317" s="376" t="s">
        <v>11634</v>
      </c>
      <c r="AD317" s="267"/>
    </row>
    <row r="318" ht="15.75" customHeight="1" outlineLevel="1">
      <c r="A318" s="261" t="s">
        <v>10833</v>
      </c>
      <c r="B318" s="231" t="s">
        <v>77</v>
      </c>
      <c r="C318" s="231" t="s">
        <v>33</v>
      </c>
      <c r="D318" s="157" t="s">
        <v>89</v>
      </c>
      <c r="E318" s="297" t="s">
        <v>33</v>
      </c>
      <c r="F318" s="168" t="s">
        <v>10992</v>
      </c>
      <c r="G318" s="157" t="s">
        <v>35</v>
      </c>
      <c r="H318" s="298" t="s">
        <v>11056</v>
      </c>
      <c r="I318" s="168" t="s">
        <v>27</v>
      </c>
      <c r="J318" s="258" t="s">
        <v>4</v>
      </c>
      <c r="K318" s="297" t="s">
        <v>27</v>
      </c>
      <c r="L318" s="157" t="s">
        <v>4</v>
      </c>
      <c r="M318" s="157" t="s">
        <v>33</v>
      </c>
      <c r="N318" s="167" t="s">
        <v>10499</v>
      </c>
      <c r="O318" s="55" t="str">
        <f t="shared" si="18"/>
        <v>L2.02.02.03.00.00</v>
      </c>
      <c r="P318" s="257" t="str">
        <f t="shared" si="16"/>
        <v>L2.02.02.03.00.00.02</v>
      </c>
      <c r="Q318" s="161" t="s">
        <v>10530</v>
      </c>
      <c r="R318" s="299" t="str">
        <f t="shared" si="21"/>
        <v>Trung tâm KD bán thêm - Hồ Chí Minh</v>
      </c>
      <c r="S318" s="274" t="s">
        <v>11057</v>
      </c>
      <c r="T318" s="264" t="s">
        <v>11058</v>
      </c>
      <c r="U318" s="265" t="s">
        <v>262</v>
      </c>
      <c r="V318" s="265" t="s">
        <v>263</v>
      </c>
      <c r="W318" s="265"/>
      <c r="X318" s="265"/>
      <c r="Y318" s="265"/>
      <c r="Z318" s="225" t="s">
        <v>11059</v>
      </c>
      <c r="AA318" s="300" t="s">
        <v>10530</v>
      </c>
      <c r="AB318" s="267"/>
      <c r="AC318" s="267"/>
      <c r="AD318" s="267"/>
    </row>
    <row r="319" ht="15.75" customHeight="1" outlineLevel="1">
      <c r="A319" s="261" t="s">
        <v>10833</v>
      </c>
      <c r="B319" s="231" t="s">
        <v>77</v>
      </c>
      <c r="C319" s="231" t="s">
        <v>33</v>
      </c>
      <c r="D319" s="157" t="s">
        <v>89</v>
      </c>
      <c r="E319" s="297" t="s">
        <v>33</v>
      </c>
      <c r="F319" s="168" t="s">
        <v>10992</v>
      </c>
      <c r="G319" s="157" t="s">
        <v>35</v>
      </c>
      <c r="H319" s="298" t="s">
        <v>11056</v>
      </c>
      <c r="I319" s="157" t="s">
        <v>29</v>
      </c>
      <c r="J319" s="301" t="s">
        <v>122</v>
      </c>
      <c r="K319" s="297" t="s">
        <v>27</v>
      </c>
      <c r="L319" s="157" t="s">
        <v>4</v>
      </c>
      <c r="M319" s="157" t="s">
        <v>33</v>
      </c>
      <c r="N319" s="167" t="s">
        <v>10499</v>
      </c>
      <c r="O319" s="55" t="str">
        <f t="shared" si="18"/>
        <v>L2.02.02.03.01.00</v>
      </c>
      <c r="P319" s="257" t="str">
        <f t="shared" si="16"/>
        <v>L2.02.02.03.01.00.02</v>
      </c>
      <c r="Q319" s="161" t="s">
        <v>10530</v>
      </c>
      <c r="R319" s="299" t="str">
        <f t="shared" si="21"/>
        <v>Ban giám đốc TTKD Bán thêm</v>
      </c>
      <c r="S319" s="269" t="s">
        <v>11060</v>
      </c>
      <c r="T319" s="265" t="s">
        <v>7241</v>
      </c>
      <c r="U319" s="265" t="s">
        <v>262</v>
      </c>
      <c r="V319" s="265" t="s">
        <v>263</v>
      </c>
      <c r="W319" s="265" t="s">
        <v>7230</v>
      </c>
      <c r="X319" s="265"/>
      <c r="Y319" s="265"/>
      <c r="Z319" s="225" t="s">
        <v>11061</v>
      </c>
      <c r="AA319" s="300" t="s">
        <v>10530</v>
      </c>
      <c r="AB319" s="267"/>
      <c r="AC319" s="267"/>
      <c r="AD319" s="267"/>
    </row>
    <row r="320" ht="15.75" customHeight="1" outlineLevel="1">
      <c r="A320" s="228" t="s">
        <v>10833</v>
      </c>
      <c r="B320" s="270" t="s">
        <v>77</v>
      </c>
      <c r="C320" s="270" t="s">
        <v>33</v>
      </c>
      <c r="D320" s="209" t="s">
        <v>89</v>
      </c>
      <c r="E320" s="271" t="s">
        <v>33</v>
      </c>
      <c r="F320" s="182" t="s">
        <v>10992</v>
      </c>
      <c r="G320" s="209" t="s">
        <v>35</v>
      </c>
      <c r="H320" s="212" t="s">
        <v>11056</v>
      </c>
      <c r="I320" s="228">
        <v>90.0</v>
      </c>
      <c r="J320" s="303" t="s">
        <v>11640</v>
      </c>
      <c r="K320" s="271" t="s">
        <v>27</v>
      </c>
      <c r="L320" s="209" t="s">
        <v>4</v>
      </c>
      <c r="M320" s="209" t="s">
        <v>33</v>
      </c>
      <c r="N320" s="181" t="s">
        <v>10499</v>
      </c>
      <c r="O320" s="58" t="str">
        <f t="shared" si="18"/>
        <v>L2.02.02.03.90.00</v>
      </c>
      <c r="P320" s="272" t="str">
        <f t="shared" si="16"/>
        <v>L2.02.02.03.90.00.02</v>
      </c>
      <c r="Q320" s="185" t="s">
        <v>10530</v>
      </c>
      <c r="R320" s="273" t="str">
        <f t="shared" si="21"/>
        <v>Phòng Bán thêm GP KTDN</v>
      </c>
      <c r="S320" s="274" t="s">
        <v>11060</v>
      </c>
      <c r="T320" s="586" t="s">
        <v>11062</v>
      </c>
      <c r="U320" s="183" t="s">
        <v>262</v>
      </c>
      <c r="V320" s="183" t="s">
        <v>263</v>
      </c>
      <c r="W320" s="584" t="s">
        <v>123</v>
      </c>
      <c r="X320" s="183"/>
      <c r="Y320" s="183"/>
      <c r="Z320" s="275" t="s">
        <v>11063</v>
      </c>
      <c r="AA320" s="304" t="s">
        <v>10530</v>
      </c>
      <c r="AB320" s="277"/>
      <c r="AC320" s="566" t="s">
        <v>11641</v>
      </c>
      <c r="AD320" s="277"/>
    </row>
    <row r="321" ht="15.75" customHeight="1" outlineLevel="1">
      <c r="A321" s="228" t="s">
        <v>10833</v>
      </c>
      <c r="B321" s="270" t="s">
        <v>77</v>
      </c>
      <c r="C321" s="270" t="s">
        <v>33</v>
      </c>
      <c r="D321" s="209" t="s">
        <v>89</v>
      </c>
      <c r="E321" s="271" t="s">
        <v>33</v>
      </c>
      <c r="F321" s="182" t="s">
        <v>10992</v>
      </c>
      <c r="G321" s="209" t="s">
        <v>35</v>
      </c>
      <c r="H321" s="212" t="s">
        <v>11056</v>
      </c>
      <c r="I321" s="209" t="s">
        <v>33</v>
      </c>
      <c r="J321" s="272" t="s">
        <v>124</v>
      </c>
      <c r="K321" s="271" t="s">
        <v>27</v>
      </c>
      <c r="L321" s="209" t="s">
        <v>4</v>
      </c>
      <c r="M321" s="209" t="s">
        <v>33</v>
      </c>
      <c r="N321" s="181" t="s">
        <v>10499</v>
      </c>
      <c r="O321" s="58" t="str">
        <f t="shared" si="18"/>
        <v>L2.02.02.03.02.00</v>
      </c>
      <c r="P321" s="272" t="str">
        <f t="shared" si="16"/>
        <v>L2.02.02.03.02.00.02</v>
      </c>
      <c r="Q321" s="185" t="s">
        <v>10530</v>
      </c>
      <c r="R321" s="273" t="str">
        <f t="shared" ref="R321:R322" si="22">if(J321&lt;&gt;"-",J321,if(AND(J321="-",#REF!&lt;&gt;"-"),#REF!,if(AND(#REF!="-",H321&lt;&gt;"-"),H321,"NA")))</f>
        <v>Phòng bán thêm GP KTDN 01</v>
      </c>
      <c r="S321" s="274" t="str">
        <f>P320</f>
        <v>L2.02.02.03.90.00.02</v>
      </c>
      <c r="T321" s="183" t="s">
        <v>1855</v>
      </c>
      <c r="U321" s="183" t="s">
        <v>262</v>
      </c>
      <c r="V321" s="183" t="s">
        <v>263</v>
      </c>
      <c r="W321" s="183" t="s">
        <v>123</v>
      </c>
      <c r="X321" s="183" t="s">
        <v>1854</v>
      </c>
      <c r="Y321" s="183"/>
      <c r="Z321" s="275" t="s">
        <v>11065</v>
      </c>
      <c r="AA321" s="304" t="s">
        <v>10530</v>
      </c>
      <c r="AB321" s="277"/>
      <c r="AC321" s="566" t="s">
        <v>11642</v>
      </c>
      <c r="AD321" s="277"/>
    </row>
    <row r="322" ht="15.75" customHeight="1" outlineLevel="1">
      <c r="A322" s="228" t="s">
        <v>10833</v>
      </c>
      <c r="B322" s="270" t="s">
        <v>77</v>
      </c>
      <c r="C322" s="270" t="s">
        <v>33</v>
      </c>
      <c r="D322" s="209" t="s">
        <v>89</v>
      </c>
      <c r="E322" s="271" t="s">
        <v>33</v>
      </c>
      <c r="F322" s="182" t="s">
        <v>10992</v>
      </c>
      <c r="G322" s="209" t="s">
        <v>35</v>
      </c>
      <c r="H322" s="212" t="s">
        <v>11056</v>
      </c>
      <c r="I322" s="182" t="s">
        <v>46</v>
      </c>
      <c r="J322" s="272" t="s">
        <v>125</v>
      </c>
      <c r="K322" s="271" t="s">
        <v>27</v>
      </c>
      <c r="L322" s="209" t="s">
        <v>4</v>
      </c>
      <c r="M322" s="209" t="s">
        <v>33</v>
      </c>
      <c r="N322" s="181" t="s">
        <v>10499</v>
      </c>
      <c r="O322" s="58" t="str">
        <f t="shared" si="18"/>
        <v>L2.02.02.03.07.00</v>
      </c>
      <c r="P322" s="272" t="str">
        <f t="shared" si="16"/>
        <v>L2.02.02.03.07.00.02</v>
      </c>
      <c r="Q322" s="185" t="s">
        <v>10530</v>
      </c>
      <c r="R322" s="273" t="str">
        <f t="shared" si="22"/>
        <v>Phòng bán thêm GP KTDN 02</v>
      </c>
      <c r="S322" s="274" t="str">
        <f>P320</f>
        <v>L2.02.02.03.90.00.02</v>
      </c>
      <c r="T322" s="183" t="s">
        <v>1863</v>
      </c>
      <c r="U322" s="183" t="s">
        <v>262</v>
      </c>
      <c r="V322" s="183" t="s">
        <v>263</v>
      </c>
      <c r="W322" s="183" t="s">
        <v>123</v>
      </c>
      <c r="X322" s="183" t="s">
        <v>1862</v>
      </c>
      <c r="Y322" s="183"/>
      <c r="Z322" s="275" t="s">
        <v>11066</v>
      </c>
      <c r="AA322" s="304" t="s">
        <v>10530</v>
      </c>
      <c r="AB322" s="277"/>
      <c r="AC322" s="566" t="s">
        <v>11642</v>
      </c>
      <c r="AD322" s="277"/>
    </row>
    <row r="323" ht="15.75" customHeight="1" outlineLevel="1">
      <c r="A323" s="228" t="s">
        <v>10833</v>
      </c>
      <c r="B323" s="270" t="s">
        <v>77</v>
      </c>
      <c r="C323" s="270" t="s">
        <v>33</v>
      </c>
      <c r="D323" s="209" t="s">
        <v>89</v>
      </c>
      <c r="E323" s="271" t="s">
        <v>33</v>
      </c>
      <c r="F323" s="182" t="s">
        <v>10992</v>
      </c>
      <c r="G323" s="209" t="s">
        <v>35</v>
      </c>
      <c r="H323" s="212" t="s">
        <v>11056</v>
      </c>
      <c r="I323" s="228">
        <v>91.0</v>
      </c>
      <c r="J323" s="303" t="s">
        <v>11643</v>
      </c>
      <c r="K323" s="271" t="s">
        <v>27</v>
      </c>
      <c r="L323" s="209" t="s">
        <v>4</v>
      </c>
      <c r="M323" s="209" t="s">
        <v>33</v>
      </c>
      <c r="N323" s="181" t="s">
        <v>10499</v>
      </c>
      <c r="O323" s="58" t="str">
        <f t="shared" si="18"/>
        <v>L2.02.02.03.91.00</v>
      </c>
      <c r="P323" s="272" t="str">
        <f t="shared" si="16"/>
        <v>L2.02.02.03.91.00.02</v>
      </c>
      <c r="Q323" s="185" t="s">
        <v>10530</v>
      </c>
      <c r="R323" s="273" t="str">
        <f>if(L323&lt;&gt;"-",L323,if(AND(L323="-",J323&lt;&gt;"-"),J323,if(AND(J323="-",H323&lt;&gt;"-"),H323,"NA")))</f>
        <v>Phòng Bán thêm GP HDDT</v>
      </c>
      <c r="S323" s="274" t="s">
        <v>11060</v>
      </c>
      <c r="T323" s="586" t="s">
        <v>11067</v>
      </c>
      <c r="U323" s="183" t="s">
        <v>262</v>
      </c>
      <c r="V323" s="183" t="s">
        <v>263</v>
      </c>
      <c r="W323" s="584" t="s">
        <v>356</v>
      </c>
      <c r="X323" s="183"/>
      <c r="Y323" s="183"/>
      <c r="Z323" s="275" t="s">
        <v>11068</v>
      </c>
      <c r="AA323" s="304" t="s">
        <v>10530</v>
      </c>
      <c r="AB323" s="277"/>
      <c r="AC323" s="566" t="s">
        <v>11641</v>
      </c>
      <c r="AD323" s="277"/>
    </row>
    <row r="324" ht="15.75" customHeight="1" outlineLevel="1">
      <c r="A324" s="228" t="s">
        <v>10833</v>
      </c>
      <c r="B324" s="270" t="s">
        <v>77</v>
      </c>
      <c r="C324" s="270" t="s">
        <v>33</v>
      </c>
      <c r="D324" s="209" t="s">
        <v>89</v>
      </c>
      <c r="E324" s="271" t="s">
        <v>33</v>
      </c>
      <c r="F324" s="182" t="s">
        <v>10992</v>
      </c>
      <c r="G324" s="209" t="s">
        <v>35</v>
      </c>
      <c r="H324" s="212" t="s">
        <v>11056</v>
      </c>
      <c r="I324" s="209" t="s">
        <v>35</v>
      </c>
      <c r="J324" s="272" t="s">
        <v>127</v>
      </c>
      <c r="K324" s="271" t="s">
        <v>27</v>
      </c>
      <c r="L324" s="209" t="s">
        <v>4</v>
      </c>
      <c r="M324" s="209" t="s">
        <v>33</v>
      </c>
      <c r="N324" s="181" t="s">
        <v>10499</v>
      </c>
      <c r="O324" s="58" t="str">
        <f t="shared" si="18"/>
        <v>L2.02.02.03.03.00</v>
      </c>
      <c r="P324" s="272" t="str">
        <f t="shared" si="16"/>
        <v>L2.02.02.03.03.00.02</v>
      </c>
      <c r="Q324" s="185" t="s">
        <v>10530</v>
      </c>
      <c r="R324" s="273" t="str">
        <f t="shared" ref="R324:R326" si="23">if(J324&lt;&gt;"-",J324,if(AND(J324="-",#REF!&lt;&gt;"-"),#REF!,if(AND(#REF!="-",H324&lt;&gt;"-"),H324,"NA")))</f>
        <v>Phòng bán thêm GP HDDT 01</v>
      </c>
      <c r="S324" s="274" t="str">
        <f>P323</f>
        <v>L2.02.02.03.91.00.02</v>
      </c>
      <c r="T324" s="183" t="s">
        <v>1787</v>
      </c>
      <c r="U324" s="183" t="s">
        <v>262</v>
      </c>
      <c r="V324" s="183" t="s">
        <v>263</v>
      </c>
      <c r="W324" s="183" t="s">
        <v>356</v>
      </c>
      <c r="X324" s="183" t="s">
        <v>1786</v>
      </c>
      <c r="Y324" s="183"/>
      <c r="Z324" s="275" t="s">
        <v>11070</v>
      </c>
      <c r="AA324" s="304" t="s">
        <v>10530</v>
      </c>
      <c r="AB324" s="277"/>
      <c r="AC324" s="566" t="s">
        <v>11642</v>
      </c>
      <c r="AD324" s="277"/>
    </row>
    <row r="325" ht="15.75" customHeight="1" outlineLevel="1">
      <c r="A325" s="228" t="s">
        <v>10833</v>
      </c>
      <c r="B325" s="270" t="s">
        <v>77</v>
      </c>
      <c r="C325" s="270" t="s">
        <v>33</v>
      </c>
      <c r="D325" s="209" t="s">
        <v>89</v>
      </c>
      <c r="E325" s="271" t="s">
        <v>33</v>
      </c>
      <c r="F325" s="182" t="s">
        <v>10992</v>
      </c>
      <c r="G325" s="209" t="s">
        <v>35</v>
      </c>
      <c r="H325" s="212" t="s">
        <v>11056</v>
      </c>
      <c r="I325" s="182" t="s">
        <v>49</v>
      </c>
      <c r="J325" s="272" t="s">
        <v>128</v>
      </c>
      <c r="K325" s="271" t="s">
        <v>27</v>
      </c>
      <c r="L325" s="209" t="s">
        <v>4</v>
      </c>
      <c r="M325" s="209" t="s">
        <v>33</v>
      </c>
      <c r="N325" s="181" t="s">
        <v>10499</v>
      </c>
      <c r="O325" s="58" t="str">
        <f t="shared" si="18"/>
        <v>L2.02.02.03.08.00</v>
      </c>
      <c r="P325" s="272" t="str">
        <f t="shared" si="16"/>
        <v>L2.02.02.03.08.00.02</v>
      </c>
      <c r="Q325" s="185" t="s">
        <v>10530</v>
      </c>
      <c r="R325" s="273" t="str">
        <f t="shared" si="23"/>
        <v>Phòng bán thêm GP HDDT 02</v>
      </c>
      <c r="S325" s="274" t="str">
        <f>P323</f>
        <v>L2.02.02.03.91.00.02</v>
      </c>
      <c r="T325" s="183" t="s">
        <v>1781</v>
      </c>
      <c r="U325" s="183" t="s">
        <v>262</v>
      </c>
      <c r="V325" s="183" t="s">
        <v>263</v>
      </c>
      <c r="W325" s="183" t="s">
        <v>356</v>
      </c>
      <c r="X325" s="183" t="s">
        <v>1780</v>
      </c>
      <c r="Y325" s="183"/>
      <c r="Z325" s="275" t="s">
        <v>11071</v>
      </c>
      <c r="AA325" s="304" t="s">
        <v>10530</v>
      </c>
      <c r="AB325" s="277"/>
      <c r="AC325" s="566" t="s">
        <v>11642</v>
      </c>
      <c r="AD325" s="277"/>
    </row>
    <row r="326" ht="15.75" customHeight="1" outlineLevel="1">
      <c r="A326" s="228" t="s">
        <v>10833</v>
      </c>
      <c r="B326" s="270" t="s">
        <v>77</v>
      </c>
      <c r="C326" s="270" t="s">
        <v>33</v>
      </c>
      <c r="D326" s="209" t="s">
        <v>89</v>
      </c>
      <c r="E326" s="271" t="s">
        <v>33</v>
      </c>
      <c r="F326" s="182" t="s">
        <v>10992</v>
      </c>
      <c r="G326" s="209" t="s">
        <v>35</v>
      </c>
      <c r="H326" s="212" t="s">
        <v>11056</v>
      </c>
      <c r="I326" s="182" t="s">
        <v>51</v>
      </c>
      <c r="J326" s="303" t="s">
        <v>11035</v>
      </c>
      <c r="K326" s="271" t="s">
        <v>27</v>
      </c>
      <c r="L326" s="209" t="s">
        <v>4</v>
      </c>
      <c r="M326" s="209" t="s">
        <v>33</v>
      </c>
      <c r="N326" s="181" t="s">
        <v>10499</v>
      </c>
      <c r="O326" s="58" t="str">
        <f t="shared" si="18"/>
        <v>L2.02.02.03.09.00</v>
      </c>
      <c r="P326" s="272" t="str">
        <f t="shared" si="16"/>
        <v>L2.02.02.03.09.00.02</v>
      </c>
      <c r="Q326" s="185" t="s">
        <v>10530</v>
      </c>
      <c r="R326" s="273" t="str">
        <f t="shared" si="23"/>
        <v>Phòng bán thêm GP HDDT 03</v>
      </c>
      <c r="S326" s="274" t="str">
        <f>P323</f>
        <v>L2.02.02.03.91.00.02</v>
      </c>
      <c r="T326" s="183" t="s">
        <v>1718</v>
      </c>
      <c r="U326" s="183" t="s">
        <v>262</v>
      </c>
      <c r="V326" s="183" t="s">
        <v>263</v>
      </c>
      <c r="W326" s="183" t="s">
        <v>356</v>
      </c>
      <c r="X326" s="183" t="s">
        <v>1717</v>
      </c>
      <c r="Y326" s="183"/>
      <c r="Z326" s="275" t="s">
        <v>11072</v>
      </c>
      <c r="AA326" s="304" t="s">
        <v>10530</v>
      </c>
      <c r="AB326" s="277"/>
      <c r="AC326" s="566" t="s">
        <v>11642</v>
      </c>
      <c r="AD326" s="277"/>
    </row>
    <row r="327" ht="15.75" customHeight="1" outlineLevel="1">
      <c r="A327" s="261" t="s">
        <v>10833</v>
      </c>
      <c r="B327" s="231" t="s">
        <v>77</v>
      </c>
      <c r="C327" s="231" t="s">
        <v>33</v>
      </c>
      <c r="D327" s="157" t="s">
        <v>89</v>
      </c>
      <c r="E327" s="297" t="s">
        <v>33</v>
      </c>
      <c r="F327" s="168" t="s">
        <v>10992</v>
      </c>
      <c r="G327" s="157" t="s">
        <v>35</v>
      </c>
      <c r="H327" s="298" t="s">
        <v>11056</v>
      </c>
      <c r="I327" s="157" t="s">
        <v>37</v>
      </c>
      <c r="J327" s="257" t="s">
        <v>129</v>
      </c>
      <c r="K327" s="297" t="s">
        <v>27</v>
      </c>
      <c r="L327" s="157" t="s">
        <v>4</v>
      </c>
      <c r="M327" s="157" t="s">
        <v>33</v>
      </c>
      <c r="N327" s="167" t="s">
        <v>10499</v>
      </c>
      <c r="O327" s="159" t="str">
        <f t="shared" si="18"/>
        <v>L2.02.02.03.04.00</v>
      </c>
      <c r="P327" s="257" t="str">
        <f t="shared" si="16"/>
        <v>L2.02.02.03.04.00.02</v>
      </c>
      <c r="Q327" s="160" t="s">
        <v>10530</v>
      </c>
      <c r="R327" s="299" t="str">
        <f t="shared" ref="R327:R341" si="24">if(L327&lt;&gt;"-",L327,if(AND(L327="-",J327&lt;&gt;"-"),J327,if(AND(J327="-",H327&lt;&gt;"-"),H327,"NA")))</f>
        <v>Phòng KD chuyển đổi GPKT</v>
      </c>
      <c r="S327" s="269" t="s">
        <v>11060</v>
      </c>
      <c r="T327" s="265" t="s">
        <v>1702</v>
      </c>
      <c r="U327" s="265" t="s">
        <v>262</v>
      </c>
      <c r="V327" s="265" t="s">
        <v>263</v>
      </c>
      <c r="W327" s="265" t="s">
        <v>767</v>
      </c>
      <c r="X327" s="265" t="s">
        <v>1701</v>
      </c>
      <c r="Y327" s="265"/>
      <c r="Z327" s="225" t="s">
        <v>11073</v>
      </c>
      <c r="AA327" s="300" t="s">
        <v>10530</v>
      </c>
      <c r="AB327" s="267"/>
      <c r="AC327" s="267"/>
      <c r="AD327" s="267"/>
    </row>
    <row r="328" ht="15.75" customHeight="1" outlineLevel="1">
      <c r="A328" s="228" t="s">
        <v>10833</v>
      </c>
      <c r="B328" s="270" t="s">
        <v>77</v>
      </c>
      <c r="C328" s="270" t="s">
        <v>33</v>
      </c>
      <c r="D328" s="209" t="s">
        <v>89</v>
      </c>
      <c r="E328" s="271" t="s">
        <v>33</v>
      </c>
      <c r="F328" s="182" t="s">
        <v>10992</v>
      </c>
      <c r="G328" s="209" t="s">
        <v>35</v>
      </c>
      <c r="H328" s="212" t="s">
        <v>11056</v>
      </c>
      <c r="I328" s="228">
        <v>92.0</v>
      </c>
      <c r="J328" s="303" t="s">
        <v>261</v>
      </c>
      <c r="K328" s="271" t="s">
        <v>27</v>
      </c>
      <c r="L328" s="209" t="s">
        <v>4</v>
      </c>
      <c r="M328" s="209" t="s">
        <v>33</v>
      </c>
      <c r="N328" s="181" t="s">
        <v>10499</v>
      </c>
      <c r="O328" s="58" t="str">
        <f t="shared" si="18"/>
        <v>L2.02.02.03.92.00</v>
      </c>
      <c r="P328" s="272" t="str">
        <f t="shared" si="16"/>
        <v>L2.02.02.03.92.00.02</v>
      </c>
      <c r="Q328" s="185" t="s">
        <v>10530</v>
      </c>
      <c r="R328" s="273" t="str">
        <f t="shared" si="24"/>
        <v>Phòng Bán thêm GP Ký điện tử</v>
      </c>
      <c r="S328" s="274" t="s">
        <v>11060</v>
      </c>
      <c r="T328" s="343" t="s">
        <v>11074</v>
      </c>
      <c r="U328" s="344" t="s">
        <v>262</v>
      </c>
      <c r="V328" s="344" t="s">
        <v>263</v>
      </c>
      <c r="W328" s="344" t="s">
        <v>261</v>
      </c>
      <c r="X328" s="344"/>
      <c r="Y328" s="344"/>
      <c r="Z328" s="345" t="s">
        <v>11075</v>
      </c>
      <c r="AA328" s="304" t="s">
        <v>10530</v>
      </c>
      <c r="AB328" s="277"/>
      <c r="AC328" s="566" t="s">
        <v>11641</v>
      </c>
      <c r="AD328" s="277"/>
    </row>
    <row r="329" ht="15.75" customHeight="1" outlineLevel="1">
      <c r="A329" s="228" t="s">
        <v>10833</v>
      </c>
      <c r="B329" s="270" t="s">
        <v>77</v>
      </c>
      <c r="C329" s="270" t="s">
        <v>33</v>
      </c>
      <c r="D329" s="209" t="s">
        <v>89</v>
      </c>
      <c r="E329" s="271" t="s">
        <v>33</v>
      </c>
      <c r="F329" s="182" t="s">
        <v>10992</v>
      </c>
      <c r="G329" s="209" t="s">
        <v>35</v>
      </c>
      <c r="H329" s="212" t="s">
        <v>11056</v>
      </c>
      <c r="I329" s="182" t="s">
        <v>42</v>
      </c>
      <c r="J329" s="303" t="s">
        <v>11651</v>
      </c>
      <c r="K329" s="271" t="s">
        <v>27</v>
      </c>
      <c r="L329" s="209" t="s">
        <v>4</v>
      </c>
      <c r="M329" s="209" t="s">
        <v>33</v>
      </c>
      <c r="N329" s="181" t="s">
        <v>10499</v>
      </c>
      <c r="O329" s="58" t="str">
        <f t="shared" si="18"/>
        <v>L2.02.02.03.05.00</v>
      </c>
      <c r="P329" s="272" t="str">
        <f t="shared" si="16"/>
        <v>L2.02.02.03.05.00.02</v>
      </c>
      <c r="Q329" s="185" t="s">
        <v>10530</v>
      </c>
      <c r="R329" s="273" t="str">
        <f t="shared" si="24"/>
        <v>Phòng Bán thêm GP Ký điện tử 01</v>
      </c>
      <c r="S329" s="274" t="str">
        <f>P328</f>
        <v>L2.02.02.03.92.00.02</v>
      </c>
      <c r="T329" s="183" t="s">
        <v>264</v>
      </c>
      <c r="U329" s="183" t="s">
        <v>262</v>
      </c>
      <c r="V329" s="183" t="s">
        <v>263</v>
      </c>
      <c r="W329" s="183" t="s">
        <v>261</v>
      </c>
      <c r="X329" s="183"/>
      <c r="Y329" s="183"/>
      <c r="Z329" s="275" t="s">
        <v>11075</v>
      </c>
      <c r="AA329" s="304" t="s">
        <v>10530</v>
      </c>
      <c r="AB329" s="277"/>
      <c r="AC329" s="566" t="s">
        <v>11642</v>
      </c>
      <c r="AD329" s="277"/>
    </row>
    <row r="330" ht="15.75" customHeight="1" outlineLevel="1">
      <c r="A330" s="228" t="s">
        <v>10833</v>
      </c>
      <c r="B330" s="270" t="s">
        <v>77</v>
      </c>
      <c r="C330" s="270" t="s">
        <v>33</v>
      </c>
      <c r="D330" s="209" t="s">
        <v>89</v>
      </c>
      <c r="E330" s="271" t="s">
        <v>33</v>
      </c>
      <c r="F330" s="182" t="s">
        <v>10992</v>
      </c>
      <c r="G330" s="209" t="s">
        <v>35</v>
      </c>
      <c r="H330" s="212" t="s">
        <v>11056</v>
      </c>
      <c r="I330" s="228">
        <v>10.0</v>
      </c>
      <c r="J330" s="303" t="s">
        <v>11078</v>
      </c>
      <c r="K330" s="271" t="s">
        <v>27</v>
      </c>
      <c r="L330" s="209" t="s">
        <v>4</v>
      </c>
      <c r="M330" s="209" t="s">
        <v>33</v>
      </c>
      <c r="N330" s="181" t="s">
        <v>10499</v>
      </c>
      <c r="O330" s="58" t="str">
        <f t="shared" si="18"/>
        <v>L2.02.02.03.10.00</v>
      </c>
      <c r="P330" s="272" t="str">
        <f t="shared" si="16"/>
        <v>L2.02.02.03.10.00.02</v>
      </c>
      <c r="Q330" s="185" t="s">
        <v>10530</v>
      </c>
      <c r="R330" s="273" t="str">
        <f t="shared" si="24"/>
        <v>Phòng Bán thêm GP Ký điện tử 02</v>
      </c>
      <c r="S330" s="274" t="str">
        <f>P328</f>
        <v>L2.02.02.03.92.00.02</v>
      </c>
      <c r="T330" s="211" t="s">
        <v>11077</v>
      </c>
      <c r="U330" s="183" t="s">
        <v>262</v>
      </c>
      <c r="V330" s="183" t="s">
        <v>263</v>
      </c>
      <c r="W330" s="184" t="s">
        <v>11078</v>
      </c>
      <c r="X330" s="183"/>
      <c r="Y330" s="183"/>
      <c r="Z330" s="275" t="s">
        <v>11075</v>
      </c>
      <c r="AA330" s="304" t="s">
        <v>10530</v>
      </c>
      <c r="AB330" s="277"/>
      <c r="AC330" s="566" t="s">
        <v>11642</v>
      </c>
      <c r="AD330" s="277"/>
    </row>
    <row r="331" ht="15.75" customHeight="1" outlineLevel="1">
      <c r="A331" s="261" t="s">
        <v>10833</v>
      </c>
      <c r="B331" s="231" t="s">
        <v>77</v>
      </c>
      <c r="C331" s="231" t="s">
        <v>33</v>
      </c>
      <c r="D331" s="157" t="s">
        <v>89</v>
      </c>
      <c r="E331" s="297" t="s">
        <v>33</v>
      </c>
      <c r="F331" s="168" t="s">
        <v>10992</v>
      </c>
      <c r="G331" s="157" t="s">
        <v>35</v>
      </c>
      <c r="H331" s="298" t="s">
        <v>11056</v>
      </c>
      <c r="I331" s="157" t="s">
        <v>44</v>
      </c>
      <c r="J331" s="257" t="s">
        <v>131</v>
      </c>
      <c r="K331" s="297" t="s">
        <v>27</v>
      </c>
      <c r="L331" s="157" t="s">
        <v>4</v>
      </c>
      <c r="M331" s="157" t="s">
        <v>33</v>
      </c>
      <c r="N331" s="167" t="s">
        <v>10499</v>
      </c>
      <c r="O331" s="55" t="str">
        <f t="shared" si="18"/>
        <v>L2.02.02.03.06.00</v>
      </c>
      <c r="P331" s="257" t="str">
        <f t="shared" si="16"/>
        <v>L2.02.02.03.06.00.02</v>
      </c>
      <c r="Q331" s="161" t="s">
        <v>10530</v>
      </c>
      <c r="R331" s="299" t="str">
        <f t="shared" si="24"/>
        <v>Phòng KD meInvoice dự án</v>
      </c>
      <c r="S331" s="269" t="s">
        <v>11060</v>
      </c>
      <c r="T331" s="265" t="s">
        <v>1694</v>
      </c>
      <c r="U331" s="265" t="s">
        <v>262</v>
      </c>
      <c r="V331" s="265" t="s">
        <v>263</v>
      </c>
      <c r="W331" s="265" t="s">
        <v>1693</v>
      </c>
      <c r="X331" s="265"/>
      <c r="Y331" s="265"/>
      <c r="Z331" s="225" t="s">
        <v>11079</v>
      </c>
      <c r="AA331" s="300" t="s">
        <v>10530</v>
      </c>
      <c r="AB331" s="267"/>
      <c r="AC331" s="267"/>
      <c r="AD331" s="267"/>
    </row>
    <row r="332" ht="15.75" customHeight="1" outlineLevel="1">
      <c r="A332" s="261" t="s">
        <v>10833</v>
      </c>
      <c r="B332" s="231" t="s">
        <v>77</v>
      </c>
      <c r="C332" s="231" t="s">
        <v>33</v>
      </c>
      <c r="D332" s="157" t="s">
        <v>89</v>
      </c>
      <c r="E332" s="297" t="s">
        <v>33</v>
      </c>
      <c r="F332" s="168" t="s">
        <v>10992</v>
      </c>
      <c r="G332" s="157" t="s">
        <v>33</v>
      </c>
      <c r="H332" s="298" t="s">
        <v>11080</v>
      </c>
      <c r="I332" s="297" t="s">
        <v>27</v>
      </c>
      <c r="J332" s="157" t="s">
        <v>4</v>
      </c>
      <c r="K332" s="297" t="s">
        <v>27</v>
      </c>
      <c r="L332" s="157" t="s">
        <v>4</v>
      </c>
      <c r="M332" s="157" t="s">
        <v>35</v>
      </c>
      <c r="N332" s="167" t="s">
        <v>10500</v>
      </c>
      <c r="O332" s="55" t="str">
        <f t="shared" si="18"/>
        <v>L2.02.02.02.00.00</v>
      </c>
      <c r="P332" s="257" t="str">
        <f t="shared" si="16"/>
        <v>L2.02.02.02.00.00.03</v>
      </c>
      <c r="Q332" s="161" t="s">
        <v>10530</v>
      </c>
      <c r="R332" s="299" t="str">
        <f t="shared" si="24"/>
        <v>Phòng KD bán mới GPKT - Đà Nẵng</v>
      </c>
      <c r="S332" s="274" t="s">
        <v>11003</v>
      </c>
      <c r="T332" s="264" t="s">
        <v>11081</v>
      </c>
      <c r="U332" s="265" t="s">
        <v>2811</v>
      </c>
      <c r="V332" s="302" t="s">
        <v>2768</v>
      </c>
      <c r="W332" s="265"/>
      <c r="X332" s="265"/>
      <c r="Y332" s="265"/>
      <c r="Z332" s="225" t="s">
        <v>11082</v>
      </c>
      <c r="AA332" s="300" t="s">
        <v>10530</v>
      </c>
      <c r="AB332" s="267"/>
      <c r="AC332" s="267"/>
      <c r="AD332" s="267"/>
    </row>
    <row r="333" ht="15.75" customHeight="1" outlineLevel="1">
      <c r="A333" s="261" t="s">
        <v>10833</v>
      </c>
      <c r="B333" s="231" t="s">
        <v>77</v>
      </c>
      <c r="C333" s="231" t="s">
        <v>33</v>
      </c>
      <c r="D333" s="157" t="s">
        <v>89</v>
      </c>
      <c r="E333" s="297" t="s">
        <v>33</v>
      </c>
      <c r="F333" s="168" t="s">
        <v>10992</v>
      </c>
      <c r="G333" s="157" t="s">
        <v>33</v>
      </c>
      <c r="H333" s="298" t="s">
        <v>11080</v>
      </c>
      <c r="I333" s="297" t="s">
        <v>29</v>
      </c>
      <c r="J333" s="298" t="s">
        <v>11652</v>
      </c>
      <c r="K333" s="297" t="s">
        <v>27</v>
      </c>
      <c r="L333" s="157" t="s">
        <v>4</v>
      </c>
      <c r="M333" s="157" t="s">
        <v>35</v>
      </c>
      <c r="N333" s="167" t="s">
        <v>10500</v>
      </c>
      <c r="O333" s="55" t="str">
        <f t="shared" si="18"/>
        <v>L2.02.02.02.01.00</v>
      </c>
      <c r="P333" s="257" t="str">
        <f t="shared" si="16"/>
        <v>L2.02.02.02.01.00.03</v>
      </c>
      <c r="Q333" s="161" t="s">
        <v>10530</v>
      </c>
      <c r="R333" s="299" t="str">
        <f t="shared" si="24"/>
        <v>Phòng KD Bán mới GPKT 01</v>
      </c>
      <c r="S333" s="269" t="s">
        <v>11083</v>
      </c>
      <c r="T333" s="265" t="s">
        <v>3080</v>
      </c>
      <c r="U333" s="265" t="s">
        <v>2811</v>
      </c>
      <c r="V333" s="265" t="s">
        <v>2768</v>
      </c>
      <c r="W333" s="265" t="s">
        <v>2767</v>
      </c>
      <c r="X333" s="265"/>
      <c r="Y333" s="265"/>
      <c r="Z333" s="225" t="s">
        <v>11084</v>
      </c>
      <c r="AA333" s="300" t="s">
        <v>10530</v>
      </c>
      <c r="AB333" s="267"/>
      <c r="AC333" s="267"/>
      <c r="AD333" s="267"/>
    </row>
    <row r="334" ht="15.75" customHeight="1" outlineLevel="1">
      <c r="A334" s="261" t="s">
        <v>10833</v>
      </c>
      <c r="B334" s="231" t="s">
        <v>77</v>
      </c>
      <c r="C334" s="231" t="s">
        <v>33</v>
      </c>
      <c r="D334" s="157" t="s">
        <v>89</v>
      </c>
      <c r="E334" s="297" t="s">
        <v>33</v>
      </c>
      <c r="F334" s="168" t="s">
        <v>10992</v>
      </c>
      <c r="G334" s="157" t="s">
        <v>33</v>
      </c>
      <c r="H334" s="298" t="s">
        <v>11080</v>
      </c>
      <c r="I334" s="297" t="s">
        <v>33</v>
      </c>
      <c r="J334" s="298" t="s">
        <v>11653</v>
      </c>
      <c r="K334" s="297" t="s">
        <v>27</v>
      </c>
      <c r="L334" s="157" t="s">
        <v>4</v>
      </c>
      <c r="M334" s="157" t="s">
        <v>35</v>
      </c>
      <c r="N334" s="167" t="s">
        <v>10500</v>
      </c>
      <c r="O334" s="55" t="str">
        <f t="shared" si="18"/>
        <v>L2.02.02.02.02.00</v>
      </c>
      <c r="P334" s="257" t="str">
        <f t="shared" si="16"/>
        <v>L2.02.02.02.02.00.03</v>
      </c>
      <c r="Q334" s="161" t="s">
        <v>10530</v>
      </c>
      <c r="R334" s="299" t="str">
        <f t="shared" si="24"/>
        <v>Phòng KD Bán mới GPKT 02</v>
      </c>
      <c r="S334" s="269" t="s">
        <v>11083</v>
      </c>
      <c r="T334" s="265" t="s">
        <v>3074</v>
      </c>
      <c r="U334" s="265" t="s">
        <v>2811</v>
      </c>
      <c r="V334" s="265" t="s">
        <v>2768</v>
      </c>
      <c r="W334" s="265" t="s">
        <v>2858</v>
      </c>
      <c r="X334" s="265"/>
      <c r="Y334" s="265"/>
      <c r="Z334" s="225" t="s">
        <v>11085</v>
      </c>
      <c r="AA334" s="300" t="s">
        <v>10530</v>
      </c>
      <c r="AB334" s="267"/>
      <c r="AC334" s="267"/>
      <c r="AD334" s="267"/>
    </row>
    <row r="335" ht="15.75" customHeight="1" outlineLevel="1">
      <c r="A335" s="261" t="s">
        <v>10833</v>
      </c>
      <c r="B335" s="231" t="s">
        <v>77</v>
      </c>
      <c r="C335" s="231" t="s">
        <v>33</v>
      </c>
      <c r="D335" s="157" t="s">
        <v>89</v>
      </c>
      <c r="E335" s="297" t="s">
        <v>33</v>
      </c>
      <c r="F335" s="168" t="s">
        <v>10992</v>
      </c>
      <c r="G335" s="157" t="s">
        <v>35</v>
      </c>
      <c r="H335" s="298" t="s">
        <v>11086</v>
      </c>
      <c r="I335" s="168" t="s">
        <v>27</v>
      </c>
      <c r="J335" s="258" t="s">
        <v>4</v>
      </c>
      <c r="K335" s="297" t="s">
        <v>27</v>
      </c>
      <c r="L335" s="157" t="s">
        <v>4</v>
      </c>
      <c r="M335" s="157" t="s">
        <v>35</v>
      </c>
      <c r="N335" s="167" t="s">
        <v>10500</v>
      </c>
      <c r="O335" s="55" t="str">
        <f t="shared" si="18"/>
        <v>L2.02.02.03.00.00</v>
      </c>
      <c r="P335" s="257" t="str">
        <f t="shared" si="16"/>
        <v>L2.02.02.03.00.00.03</v>
      </c>
      <c r="Q335" s="161" t="s">
        <v>10530</v>
      </c>
      <c r="R335" s="299" t="str">
        <f t="shared" si="24"/>
        <v>Phòng KD Bán thêm - Đà Nẵng</v>
      </c>
      <c r="S335" s="274" t="s">
        <v>11057</v>
      </c>
      <c r="T335" s="265" t="s">
        <v>8579</v>
      </c>
      <c r="U335" s="265" t="s">
        <v>2811</v>
      </c>
      <c r="V335" s="265" t="s">
        <v>326</v>
      </c>
      <c r="W335" s="265"/>
      <c r="X335" s="265"/>
      <c r="Y335" s="265"/>
      <c r="Z335" s="225" t="s">
        <v>11087</v>
      </c>
      <c r="AA335" s="300" t="s">
        <v>10530</v>
      </c>
      <c r="AB335" s="267"/>
      <c r="AC335" s="267"/>
      <c r="AD335" s="267"/>
    </row>
    <row r="336" ht="15.75" customHeight="1" outlineLevel="1">
      <c r="A336" s="261" t="s">
        <v>10833</v>
      </c>
      <c r="B336" s="231" t="s">
        <v>77</v>
      </c>
      <c r="C336" s="231" t="s">
        <v>33</v>
      </c>
      <c r="D336" s="157" t="s">
        <v>89</v>
      </c>
      <c r="E336" s="297" t="s">
        <v>33</v>
      </c>
      <c r="F336" s="168" t="s">
        <v>10992</v>
      </c>
      <c r="G336" s="157" t="s">
        <v>35</v>
      </c>
      <c r="H336" s="298" t="s">
        <v>11086</v>
      </c>
      <c r="I336" s="168" t="s">
        <v>42</v>
      </c>
      <c r="J336" s="301" t="s">
        <v>10984</v>
      </c>
      <c r="K336" s="297" t="s">
        <v>27</v>
      </c>
      <c r="L336" s="157" t="s">
        <v>4</v>
      </c>
      <c r="M336" s="157" t="s">
        <v>35</v>
      </c>
      <c r="N336" s="167" t="s">
        <v>10500</v>
      </c>
      <c r="O336" s="55" t="str">
        <f t="shared" si="18"/>
        <v>L2.02.02.03.05.00</v>
      </c>
      <c r="P336" s="257" t="str">
        <f t="shared" si="16"/>
        <v>L2.02.02.03.05.00.03</v>
      </c>
      <c r="Q336" s="161" t="s">
        <v>10530</v>
      </c>
      <c r="R336" s="299" t="str">
        <f t="shared" si="24"/>
        <v>Nhóm Quản lý</v>
      </c>
      <c r="S336" s="269" t="s">
        <v>11088</v>
      </c>
      <c r="T336" s="265"/>
      <c r="U336" s="265"/>
      <c r="V336" s="265"/>
      <c r="W336" s="265"/>
      <c r="X336" s="265"/>
      <c r="Y336" s="264" t="s">
        <v>11089</v>
      </c>
      <c r="Z336" s="225" t="s">
        <v>11090</v>
      </c>
      <c r="AA336" s="266"/>
      <c r="AB336" s="267"/>
      <c r="AC336" s="267"/>
      <c r="AD336" s="267"/>
    </row>
    <row r="337" ht="15.75" customHeight="1" outlineLevel="1">
      <c r="A337" s="261" t="s">
        <v>10833</v>
      </c>
      <c r="B337" s="231" t="s">
        <v>77</v>
      </c>
      <c r="C337" s="231" t="s">
        <v>33</v>
      </c>
      <c r="D337" s="157" t="s">
        <v>89</v>
      </c>
      <c r="E337" s="297" t="s">
        <v>33</v>
      </c>
      <c r="F337" s="168" t="s">
        <v>10992</v>
      </c>
      <c r="G337" s="157" t="s">
        <v>35</v>
      </c>
      <c r="H337" s="298" t="s">
        <v>11086</v>
      </c>
      <c r="I337" s="261" t="s">
        <v>29</v>
      </c>
      <c r="J337" s="301" t="s">
        <v>117</v>
      </c>
      <c r="K337" s="297" t="s">
        <v>27</v>
      </c>
      <c r="L337" s="157" t="s">
        <v>4</v>
      </c>
      <c r="M337" s="157" t="s">
        <v>35</v>
      </c>
      <c r="N337" s="167" t="s">
        <v>10500</v>
      </c>
      <c r="O337" s="55" t="str">
        <f t="shared" si="18"/>
        <v>L2.02.02.03.01.00</v>
      </c>
      <c r="P337" s="257" t="str">
        <f t="shared" si="16"/>
        <v>L2.02.02.03.01.00.03</v>
      </c>
      <c r="Q337" s="161" t="s">
        <v>10530</v>
      </c>
      <c r="R337" s="299" t="str">
        <f t="shared" si="24"/>
        <v>Nhóm KD Bán thêm GP KTDN</v>
      </c>
      <c r="S337" s="269" t="s">
        <v>11088</v>
      </c>
      <c r="T337" s="265" t="s">
        <v>3356</v>
      </c>
      <c r="U337" s="265" t="s">
        <v>2811</v>
      </c>
      <c r="V337" s="265" t="s">
        <v>326</v>
      </c>
      <c r="W337" s="265" t="s">
        <v>2737</v>
      </c>
      <c r="X337" s="265"/>
      <c r="Y337" s="265"/>
      <c r="Z337" s="225" t="s">
        <v>11091</v>
      </c>
      <c r="AA337" s="300" t="s">
        <v>10530</v>
      </c>
      <c r="AB337" s="267"/>
      <c r="AC337" s="267"/>
      <c r="AD337" s="267"/>
    </row>
    <row r="338" ht="15.75" customHeight="1" outlineLevel="1">
      <c r="A338" s="261" t="s">
        <v>10833</v>
      </c>
      <c r="B338" s="231" t="s">
        <v>77</v>
      </c>
      <c r="C338" s="231" t="s">
        <v>33</v>
      </c>
      <c r="D338" s="157" t="s">
        <v>89</v>
      </c>
      <c r="E338" s="297" t="s">
        <v>33</v>
      </c>
      <c r="F338" s="168" t="s">
        <v>10992</v>
      </c>
      <c r="G338" s="157" t="s">
        <v>35</v>
      </c>
      <c r="H338" s="298" t="s">
        <v>11086</v>
      </c>
      <c r="I338" s="261" t="s">
        <v>33</v>
      </c>
      <c r="J338" s="301" t="s">
        <v>118</v>
      </c>
      <c r="K338" s="297" t="s">
        <v>27</v>
      </c>
      <c r="L338" s="157" t="s">
        <v>4</v>
      </c>
      <c r="M338" s="157" t="s">
        <v>35</v>
      </c>
      <c r="N338" s="167" t="s">
        <v>10500</v>
      </c>
      <c r="O338" s="55" t="str">
        <f t="shared" si="18"/>
        <v>L2.02.02.03.02.00</v>
      </c>
      <c r="P338" s="257" t="str">
        <f t="shared" si="16"/>
        <v>L2.02.02.03.02.00.03</v>
      </c>
      <c r="Q338" s="161" t="s">
        <v>10530</v>
      </c>
      <c r="R338" s="299" t="str">
        <f t="shared" si="24"/>
        <v>Nhóm KD Bán thêm GP HDDT</v>
      </c>
      <c r="S338" s="269" t="s">
        <v>11088</v>
      </c>
      <c r="T338" s="265" t="s">
        <v>4554</v>
      </c>
      <c r="U338" s="265" t="s">
        <v>2811</v>
      </c>
      <c r="V338" s="265" t="s">
        <v>326</v>
      </c>
      <c r="W338" s="265" t="s">
        <v>324</v>
      </c>
      <c r="X338" s="265"/>
      <c r="Y338" s="265"/>
      <c r="Z338" s="225" t="s">
        <v>11092</v>
      </c>
      <c r="AA338" s="300" t="s">
        <v>10530</v>
      </c>
      <c r="AB338" s="267"/>
      <c r="AC338" s="267"/>
      <c r="AD338" s="267"/>
    </row>
    <row r="339" ht="15.75" customHeight="1" outlineLevel="1">
      <c r="A339" s="261" t="s">
        <v>10833</v>
      </c>
      <c r="B339" s="231" t="s">
        <v>77</v>
      </c>
      <c r="C339" s="231" t="s">
        <v>33</v>
      </c>
      <c r="D339" s="157" t="s">
        <v>89</v>
      </c>
      <c r="E339" s="297" t="s">
        <v>33</v>
      </c>
      <c r="F339" s="168" t="s">
        <v>10992</v>
      </c>
      <c r="G339" s="157" t="s">
        <v>35</v>
      </c>
      <c r="H339" s="298" t="s">
        <v>11086</v>
      </c>
      <c r="I339" s="261" t="s">
        <v>35</v>
      </c>
      <c r="J339" s="301" t="s">
        <v>119</v>
      </c>
      <c r="K339" s="297" t="s">
        <v>27</v>
      </c>
      <c r="L339" s="157" t="s">
        <v>4</v>
      </c>
      <c r="M339" s="157" t="s">
        <v>35</v>
      </c>
      <c r="N339" s="167" t="s">
        <v>10500</v>
      </c>
      <c r="O339" s="55" t="str">
        <f t="shared" si="18"/>
        <v>L2.02.02.03.03.00</v>
      </c>
      <c r="P339" s="257" t="str">
        <f t="shared" si="16"/>
        <v>L2.02.02.03.03.00.03</v>
      </c>
      <c r="Q339" s="161" t="s">
        <v>10530</v>
      </c>
      <c r="R339" s="299" t="str">
        <f t="shared" si="24"/>
        <v>Nhóm KD Bán thêm chuyển đổi KTDN</v>
      </c>
      <c r="S339" s="269" t="s">
        <v>11088</v>
      </c>
      <c r="T339" s="265" t="s">
        <v>8613</v>
      </c>
      <c r="U339" s="265" t="s">
        <v>2811</v>
      </c>
      <c r="V339" s="265" t="s">
        <v>326</v>
      </c>
      <c r="W339" s="265" t="s">
        <v>8612</v>
      </c>
      <c r="X339" s="265"/>
      <c r="Y339" s="265"/>
      <c r="Z339" s="225" t="s">
        <v>11093</v>
      </c>
      <c r="AA339" s="300" t="s">
        <v>10530</v>
      </c>
      <c r="AB339" s="267"/>
      <c r="AC339" s="267"/>
      <c r="AD339" s="267"/>
    </row>
    <row r="340" ht="15.75" customHeight="1" outlineLevel="1">
      <c r="A340" s="261" t="s">
        <v>10833</v>
      </c>
      <c r="B340" s="231" t="s">
        <v>77</v>
      </c>
      <c r="C340" s="231" t="s">
        <v>33</v>
      </c>
      <c r="D340" s="157" t="s">
        <v>89</v>
      </c>
      <c r="E340" s="297" t="s">
        <v>33</v>
      </c>
      <c r="F340" s="168" t="s">
        <v>10992</v>
      </c>
      <c r="G340" s="157" t="s">
        <v>35</v>
      </c>
      <c r="H340" s="298" t="s">
        <v>11086</v>
      </c>
      <c r="I340" s="261" t="s">
        <v>37</v>
      </c>
      <c r="J340" s="301" t="s">
        <v>120</v>
      </c>
      <c r="K340" s="297" t="s">
        <v>27</v>
      </c>
      <c r="L340" s="157" t="s">
        <v>4</v>
      </c>
      <c r="M340" s="157" t="s">
        <v>35</v>
      </c>
      <c r="N340" s="167" t="s">
        <v>10500</v>
      </c>
      <c r="O340" s="55" t="str">
        <f t="shared" si="18"/>
        <v>L2.02.02.03.04.00</v>
      </c>
      <c r="P340" s="257" t="str">
        <f t="shared" si="16"/>
        <v>L2.02.02.03.04.00.03</v>
      </c>
      <c r="Q340" s="161" t="s">
        <v>10530</v>
      </c>
      <c r="R340" s="299" t="str">
        <f t="shared" si="24"/>
        <v>Nhóm KD Bán thêm GP ký điện tử</v>
      </c>
      <c r="S340" s="269" t="s">
        <v>11088</v>
      </c>
      <c r="T340" s="342" t="s">
        <v>11094</v>
      </c>
      <c r="U340" s="265" t="s">
        <v>2811</v>
      </c>
      <c r="V340" s="265" t="s">
        <v>326</v>
      </c>
      <c r="W340" s="302" t="s">
        <v>11095</v>
      </c>
      <c r="X340" s="265"/>
      <c r="Y340" s="265"/>
      <c r="Z340" s="225" t="s">
        <v>11096</v>
      </c>
      <c r="AA340" s="300" t="s">
        <v>10530</v>
      </c>
      <c r="AB340" s="267"/>
      <c r="AC340" s="267"/>
      <c r="AD340" s="267"/>
    </row>
    <row r="341" ht="15.75" customHeight="1" outlineLevel="1">
      <c r="A341" s="228" t="s">
        <v>10833</v>
      </c>
      <c r="B341" s="270" t="s">
        <v>77</v>
      </c>
      <c r="C341" s="270" t="s">
        <v>33</v>
      </c>
      <c r="D341" s="209" t="s">
        <v>89</v>
      </c>
      <c r="E341" s="271" t="s">
        <v>33</v>
      </c>
      <c r="F341" s="182" t="s">
        <v>10992</v>
      </c>
      <c r="G341" s="209" t="s">
        <v>33</v>
      </c>
      <c r="H341" s="212" t="s">
        <v>11097</v>
      </c>
      <c r="I341" s="182" t="s">
        <v>27</v>
      </c>
      <c r="J341" s="346" t="s">
        <v>4</v>
      </c>
      <c r="K341" s="271" t="s">
        <v>27</v>
      </c>
      <c r="L341" s="209" t="s">
        <v>4</v>
      </c>
      <c r="M341" s="209" t="s">
        <v>37</v>
      </c>
      <c r="N341" s="212" t="s">
        <v>10900</v>
      </c>
      <c r="O341" s="58" t="str">
        <f t="shared" si="18"/>
        <v>L2.02.02.02.00.00</v>
      </c>
      <c r="P341" s="272" t="str">
        <f t="shared" si="16"/>
        <v>L2.02.02.02.00.00.04</v>
      </c>
      <c r="Q341" s="185" t="s">
        <v>10530</v>
      </c>
      <c r="R341" s="273" t="str">
        <f t="shared" si="24"/>
        <v>Phòng KD bán mới GPKT - Buôn Ma Thuột</v>
      </c>
      <c r="S341" s="274" t="s">
        <v>11003</v>
      </c>
      <c r="T341" s="183"/>
      <c r="U341" s="183"/>
      <c r="V341" s="183"/>
      <c r="W341" s="183"/>
      <c r="X341" s="183"/>
      <c r="Y341" s="183"/>
      <c r="Z341" s="275" t="s">
        <v>11098</v>
      </c>
      <c r="AA341" s="304" t="s">
        <v>10530</v>
      </c>
      <c r="AB341" s="277"/>
      <c r="AC341" s="566" t="s">
        <v>11654</v>
      </c>
      <c r="AD341" s="277"/>
    </row>
    <row r="342" ht="15.75" customHeight="1" outlineLevel="1">
      <c r="A342" s="228" t="s">
        <v>10833</v>
      </c>
      <c r="B342" s="270" t="s">
        <v>77</v>
      </c>
      <c r="C342" s="270" t="s">
        <v>33</v>
      </c>
      <c r="D342" s="209" t="s">
        <v>89</v>
      </c>
      <c r="E342" s="271" t="s">
        <v>33</v>
      </c>
      <c r="F342" s="182" t="s">
        <v>10992</v>
      </c>
      <c r="G342" s="209" t="s">
        <v>33</v>
      </c>
      <c r="H342" s="212" t="s">
        <v>11097</v>
      </c>
      <c r="I342" s="182" t="s">
        <v>29</v>
      </c>
      <c r="J342" s="346" t="s">
        <v>11652</v>
      </c>
      <c r="K342" s="182" t="s">
        <v>27</v>
      </c>
      <c r="L342" s="347" t="s">
        <v>4</v>
      </c>
      <c r="M342" s="209" t="s">
        <v>37</v>
      </c>
      <c r="N342" s="212" t="s">
        <v>10900</v>
      </c>
      <c r="O342" s="58" t="str">
        <f t="shared" si="18"/>
        <v>L2.02.02.02.01.00</v>
      </c>
      <c r="P342" s="272" t="str">
        <f t="shared" si="16"/>
        <v>L2.02.02.02.01.00.04</v>
      </c>
      <c r="Q342" s="185" t="s">
        <v>10530</v>
      </c>
      <c r="R342" s="273" t="str">
        <f>if(J342&lt;&gt;"-",J342,if(AND(J342="-",#REF!&lt;&gt;"-"),#REF!,if(AND(#REF!="-",H342&lt;&gt;"-"),H342,"NA")))</f>
        <v>Phòng KD Bán mới GPKT 01</v>
      </c>
      <c r="S342" s="274" t="str">
        <f>P341</f>
        <v>L2.02.02.02.00.00.04</v>
      </c>
      <c r="T342" s="183" t="s">
        <v>2859</v>
      </c>
      <c r="U342" s="183" t="s">
        <v>2732</v>
      </c>
      <c r="V342" s="183" t="s">
        <v>2768</v>
      </c>
      <c r="W342" s="183" t="s">
        <v>2858</v>
      </c>
      <c r="X342" s="183"/>
      <c r="Y342" s="183"/>
      <c r="Z342" s="275" t="s">
        <v>11099</v>
      </c>
      <c r="AA342" s="304" t="s">
        <v>10530</v>
      </c>
      <c r="AB342" s="277"/>
      <c r="AC342" s="566" t="s">
        <v>11655</v>
      </c>
      <c r="AD342" s="277"/>
    </row>
    <row r="343" ht="15.75" customHeight="1" outlineLevel="1">
      <c r="A343" s="261" t="s">
        <v>10833</v>
      </c>
      <c r="B343" s="231" t="s">
        <v>77</v>
      </c>
      <c r="C343" s="231" t="s">
        <v>33</v>
      </c>
      <c r="D343" s="157" t="s">
        <v>89</v>
      </c>
      <c r="E343" s="297" t="s">
        <v>33</v>
      </c>
      <c r="F343" s="168" t="s">
        <v>10992</v>
      </c>
      <c r="G343" s="157" t="s">
        <v>35</v>
      </c>
      <c r="H343" s="298" t="s">
        <v>11100</v>
      </c>
      <c r="I343" s="168" t="s">
        <v>27</v>
      </c>
      <c r="J343" s="258" t="s">
        <v>4</v>
      </c>
      <c r="K343" s="297" t="s">
        <v>27</v>
      </c>
      <c r="L343" s="157" t="s">
        <v>4</v>
      </c>
      <c r="M343" s="157" t="s">
        <v>37</v>
      </c>
      <c r="N343" s="298" t="s">
        <v>10900</v>
      </c>
      <c r="O343" s="55" t="str">
        <f t="shared" si="18"/>
        <v>L2.02.02.03.00.00</v>
      </c>
      <c r="P343" s="257" t="str">
        <f t="shared" si="16"/>
        <v>L2.02.02.03.00.00.04</v>
      </c>
      <c r="Q343" s="161" t="s">
        <v>10530</v>
      </c>
      <c r="R343" s="299" t="str">
        <f t="shared" ref="R343:R384" si="25">if(L343&lt;&gt;"-",L343,if(AND(L343="-",J343&lt;&gt;"-"),J343,if(AND(J343="-",H343&lt;&gt;"-"),H343,"NA")))</f>
        <v>Phòng KD Bán thêm - Buôn Ma Thuột</v>
      </c>
      <c r="S343" s="274" t="s">
        <v>11057</v>
      </c>
      <c r="T343" s="265" t="s">
        <v>9032</v>
      </c>
      <c r="U343" s="265" t="s">
        <v>2732</v>
      </c>
      <c r="V343" s="265" t="s">
        <v>326</v>
      </c>
      <c r="W343" s="265"/>
      <c r="X343" s="265"/>
      <c r="Y343" s="265"/>
      <c r="Z343" s="225" t="s">
        <v>11101</v>
      </c>
      <c r="AA343" s="300" t="s">
        <v>10530</v>
      </c>
      <c r="AB343" s="267"/>
      <c r="AC343" s="267"/>
      <c r="AD343" s="267"/>
    </row>
    <row r="344" ht="15.75" customHeight="1" outlineLevel="1">
      <c r="A344" s="261" t="s">
        <v>10833</v>
      </c>
      <c r="B344" s="231" t="s">
        <v>77</v>
      </c>
      <c r="C344" s="231" t="s">
        <v>33</v>
      </c>
      <c r="D344" s="157" t="s">
        <v>89</v>
      </c>
      <c r="E344" s="297" t="s">
        <v>33</v>
      </c>
      <c r="F344" s="168" t="s">
        <v>10992</v>
      </c>
      <c r="G344" s="157" t="s">
        <v>35</v>
      </c>
      <c r="H344" s="298" t="s">
        <v>11100</v>
      </c>
      <c r="I344" s="168" t="s">
        <v>42</v>
      </c>
      <c r="J344" s="301" t="s">
        <v>10984</v>
      </c>
      <c r="K344" s="297" t="s">
        <v>27</v>
      </c>
      <c r="L344" s="157" t="s">
        <v>4</v>
      </c>
      <c r="M344" s="157" t="s">
        <v>37</v>
      </c>
      <c r="N344" s="298" t="s">
        <v>10900</v>
      </c>
      <c r="O344" s="55" t="str">
        <f t="shared" si="18"/>
        <v>L2.02.02.03.05.00</v>
      </c>
      <c r="P344" s="257" t="str">
        <f t="shared" si="16"/>
        <v>L2.02.02.03.05.00.04</v>
      </c>
      <c r="Q344" s="161" t="s">
        <v>10530</v>
      </c>
      <c r="R344" s="299" t="str">
        <f t="shared" si="25"/>
        <v>Nhóm Quản lý</v>
      </c>
      <c r="S344" s="269" t="s">
        <v>11102</v>
      </c>
      <c r="T344" s="265"/>
      <c r="U344" s="265"/>
      <c r="V344" s="265"/>
      <c r="W344" s="265"/>
      <c r="X344" s="265"/>
      <c r="Y344" s="264" t="s">
        <v>11089</v>
      </c>
      <c r="Z344" s="225" t="s">
        <v>11103</v>
      </c>
      <c r="AA344" s="266"/>
      <c r="AB344" s="267"/>
      <c r="AC344" s="267"/>
      <c r="AD344" s="267"/>
    </row>
    <row r="345" ht="15.75" customHeight="1" outlineLevel="1">
      <c r="A345" s="261" t="s">
        <v>10833</v>
      </c>
      <c r="B345" s="231" t="s">
        <v>77</v>
      </c>
      <c r="C345" s="231" t="s">
        <v>33</v>
      </c>
      <c r="D345" s="157" t="s">
        <v>89</v>
      </c>
      <c r="E345" s="297" t="s">
        <v>33</v>
      </c>
      <c r="F345" s="168" t="s">
        <v>10992</v>
      </c>
      <c r="G345" s="157" t="s">
        <v>35</v>
      </c>
      <c r="H345" s="298" t="s">
        <v>11100</v>
      </c>
      <c r="I345" s="261" t="s">
        <v>29</v>
      </c>
      <c r="J345" s="301" t="s">
        <v>117</v>
      </c>
      <c r="K345" s="297" t="s">
        <v>27</v>
      </c>
      <c r="L345" s="157" t="s">
        <v>4</v>
      </c>
      <c r="M345" s="157" t="s">
        <v>37</v>
      </c>
      <c r="N345" s="298" t="s">
        <v>10900</v>
      </c>
      <c r="O345" s="55" t="str">
        <f t="shared" si="18"/>
        <v>L2.02.02.03.01.00</v>
      </c>
      <c r="P345" s="257" t="str">
        <f t="shared" si="16"/>
        <v>L2.02.02.03.01.00.04</v>
      </c>
      <c r="Q345" s="161" t="s">
        <v>10530</v>
      </c>
      <c r="R345" s="299" t="str">
        <f t="shared" si="25"/>
        <v>Nhóm KD Bán thêm GP KTDN</v>
      </c>
      <c r="S345" s="269" t="s">
        <v>11102</v>
      </c>
      <c r="T345" s="265" t="s">
        <v>2738</v>
      </c>
      <c r="U345" s="265" t="s">
        <v>2732</v>
      </c>
      <c r="V345" s="265" t="s">
        <v>326</v>
      </c>
      <c r="W345" s="265" t="s">
        <v>2737</v>
      </c>
      <c r="X345" s="265"/>
      <c r="Y345" s="265"/>
      <c r="Z345" s="225" t="s">
        <v>11104</v>
      </c>
      <c r="AA345" s="300" t="s">
        <v>10530</v>
      </c>
      <c r="AB345" s="267"/>
      <c r="AC345" s="267"/>
      <c r="AD345" s="267"/>
    </row>
    <row r="346" ht="15.75" customHeight="1" outlineLevel="1">
      <c r="A346" s="261" t="s">
        <v>10833</v>
      </c>
      <c r="B346" s="231" t="s">
        <v>77</v>
      </c>
      <c r="C346" s="231" t="s">
        <v>33</v>
      </c>
      <c r="D346" s="157" t="s">
        <v>89</v>
      </c>
      <c r="E346" s="297" t="s">
        <v>33</v>
      </c>
      <c r="F346" s="168" t="s">
        <v>10992</v>
      </c>
      <c r="G346" s="157" t="s">
        <v>35</v>
      </c>
      <c r="H346" s="298" t="s">
        <v>11100</v>
      </c>
      <c r="I346" s="261" t="s">
        <v>33</v>
      </c>
      <c r="J346" s="301" t="s">
        <v>118</v>
      </c>
      <c r="K346" s="297" t="s">
        <v>27</v>
      </c>
      <c r="L346" s="157" t="s">
        <v>4</v>
      </c>
      <c r="M346" s="157" t="s">
        <v>37</v>
      </c>
      <c r="N346" s="298" t="s">
        <v>10900</v>
      </c>
      <c r="O346" s="55" t="str">
        <f t="shared" si="18"/>
        <v>L2.02.02.03.02.00</v>
      </c>
      <c r="P346" s="257" t="str">
        <f t="shared" si="16"/>
        <v>L2.02.02.03.02.00.04</v>
      </c>
      <c r="Q346" s="161" t="s">
        <v>10530</v>
      </c>
      <c r="R346" s="299" t="str">
        <f t="shared" si="25"/>
        <v>Nhóm KD Bán thêm GP HDDT</v>
      </c>
      <c r="S346" s="269" t="s">
        <v>11102</v>
      </c>
      <c r="T346" s="265" t="s">
        <v>2733</v>
      </c>
      <c r="U346" s="265" t="s">
        <v>2732</v>
      </c>
      <c r="V346" s="265" t="s">
        <v>326</v>
      </c>
      <c r="W346" s="265" t="s">
        <v>324</v>
      </c>
      <c r="X346" s="265"/>
      <c r="Y346" s="265"/>
      <c r="Z346" s="225" t="s">
        <v>11105</v>
      </c>
      <c r="AA346" s="300" t="s">
        <v>10530</v>
      </c>
      <c r="AB346" s="267"/>
      <c r="AC346" s="267"/>
      <c r="AD346" s="267"/>
    </row>
    <row r="347" ht="15.75" customHeight="1" outlineLevel="1">
      <c r="A347" s="261" t="s">
        <v>10833</v>
      </c>
      <c r="B347" s="231" t="s">
        <v>77</v>
      </c>
      <c r="C347" s="231" t="s">
        <v>33</v>
      </c>
      <c r="D347" s="157" t="s">
        <v>89</v>
      </c>
      <c r="E347" s="297" t="s">
        <v>33</v>
      </c>
      <c r="F347" s="168" t="s">
        <v>10992</v>
      </c>
      <c r="G347" s="157" t="s">
        <v>35</v>
      </c>
      <c r="H347" s="298" t="s">
        <v>11100</v>
      </c>
      <c r="I347" s="261" t="s">
        <v>35</v>
      </c>
      <c r="J347" s="301" t="s">
        <v>119</v>
      </c>
      <c r="K347" s="297" t="s">
        <v>27</v>
      </c>
      <c r="L347" s="157" t="s">
        <v>4</v>
      </c>
      <c r="M347" s="157" t="s">
        <v>37</v>
      </c>
      <c r="N347" s="298" t="s">
        <v>10900</v>
      </c>
      <c r="O347" s="55" t="str">
        <f t="shared" si="18"/>
        <v>L2.02.02.03.03.00</v>
      </c>
      <c r="P347" s="257" t="str">
        <f t="shared" si="16"/>
        <v>L2.02.02.03.03.00.04</v>
      </c>
      <c r="Q347" s="161" t="s">
        <v>10530</v>
      </c>
      <c r="R347" s="299" t="str">
        <f t="shared" si="25"/>
        <v>Nhóm KD Bán thêm chuyển đổi KTDN</v>
      </c>
      <c r="S347" s="269" t="s">
        <v>11102</v>
      </c>
      <c r="T347" s="265" t="s">
        <v>9059</v>
      </c>
      <c r="U347" s="265" t="s">
        <v>2732</v>
      </c>
      <c r="V347" s="265" t="s">
        <v>326</v>
      </c>
      <c r="W347" s="265" t="s">
        <v>9058</v>
      </c>
      <c r="X347" s="265"/>
      <c r="Y347" s="265"/>
      <c r="Z347" s="225" t="s">
        <v>11106</v>
      </c>
      <c r="AA347" s="300" t="s">
        <v>10530</v>
      </c>
      <c r="AB347" s="267"/>
      <c r="AC347" s="267"/>
      <c r="AD347" s="267"/>
    </row>
    <row r="348" ht="15.75" customHeight="1" outlineLevel="1">
      <c r="A348" s="261" t="s">
        <v>10833</v>
      </c>
      <c r="B348" s="231" t="s">
        <v>77</v>
      </c>
      <c r="C348" s="231" t="s">
        <v>33</v>
      </c>
      <c r="D348" s="157" t="s">
        <v>89</v>
      </c>
      <c r="E348" s="297" t="s">
        <v>33</v>
      </c>
      <c r="F348" s="168" t="s">
        <v>10992</v>
      </c>
      <c r="G348" s="157" t="s">
        <v>35</v>
      </c>
      <c r="H348" s="298" t="s">
        <v>11100</v>
      </c>
      <c r="I348" s="261" t="s">
        <v>37</v>
      </c>
      <c r="J348" s="301" t="s">
        <v>120</v>
      </c>
      <c r="K348" s="297" t="s">
        <v>27</v>
      </c>
      <c r="L348" s="157" t="s">
        <v>4</v>
      </c>
      <c r="M348" s="157" t="s">
        <v>37</v>
      </c>
      <c r="N348" s="298" t="s">
        <v>10900</v>
      </c>
      <c r="O348" s="55" t="str">
        <f t="shared" si="18"/>
        <v>L2.02.02.03.04.00</v>
      </c>
      <c r="P348" s="257" t="str">
        <f t="shared" si="16"/>
        <v>L2.02.02.03.04.00.04</v>
      </c>
      <c r="Q348" s="161" t="s">
        <v>10530</v>
      </c>
      <c r="R348" s="299" t="str">
        <f t="shared" si="25"/>
        <v>Nhóm KD Bán thêm GP ký điện tử</v>
      </c>
      <c r="S348" s="269" t="s">
        <v>11102</v>
      </c>
      <c r="T348" s="265"/>
      <c r="U348" s="265"/>
      <c r="V348" s="265"/>
      <c r="W348" s="265"/>
      <c r="X348" s="265"/>
      <c r="Y348" s="264" t="s">
        <v>11089</v>
      </c>
      <c r="Z348" s="225" t="s">
        <v>11107</v>
      </c>
      <c r="AA348" s="266"/>
      <c r="AB348" s="267"/>
      <c r="AC348" s="267"/>
      <c r="AD348" s="267"/>
    </row>
    <row r="349" ht="15.75" customHeight="1" outlineLevel="1">
      <c r="A349" s="228" t="s">
        <v>10833</v>
      </c>
      <c r="B349" s="270" t="s">
        <v>77</v>
      </c>
      <c r="C349" s="270" t="s">
        <v>33</v>
      </c>
      <c r="D349" s="209" t="s">
        <v>89</v>
      </c>
      <c r="E349" s="271" t="s">
        <v>33</v>
      </c>
      <c r="F349" s="182" t="s">
        <v>10992</v>
      </c>
      <c r="G349" s="209" t="s">
        <v>33</v>
      </c>
      <c r="H349" s="212" t="s">
        <v>11108</v>
      </c>
      <c r="I349" s="182" t="s">
        <v>27</v>
      </c>
      <c r="J349" s="212" t="s">
        <v>4</v>
      </c>
      <c r="K349" s="271" t="s">
        <v>27</v>
      </c>
      <c r="L349" s="209" t="s">
        <v>4</v>
      </c>
      <c r="M349" s="209" t="s">
        <v>42</v>
      </c>
      <c r="N349" s="181" t="s">
        <v>10502</v>
      </c>
      <c r="O349" s="58" t="str">
        <f t="shared" si="18"/>
        <v>L2.02.02.02.00.00</v>
      </c>
      <c r="P349" s="272" t="str">
        <f t="shared" si="16"/>
        <v>L2.02.02.02.00.00.05</v>
      </c>
      <c r="Q349" s="185" t="s">
        <v>10530</v>
      </c>
      <c r="R349" s="273" t="str">
        <f t="shared" si="25"/>
        <v>Phòng KD bán mới GPKT - Cần Thơ</v>
      </c>
      <c r="S349" s="274" t="s">
        <v>11003</v>
      </c>
      <c r="T349" s="232"/>
      <c r="U349" s="232"/>
      <c r="V349" s="232"/>
      <c r="W349" s="232"/>
      <c r="X349" s="183"/>
      <c r="Y349" s="183"/>
      <c r="Z349" s="275" t="s">
        <v>11109</v>
      </c>
      <c r="AA349" s="304" t="s">
        <v>10530</v>
      </c>
      <c r="AB349" s="277"/>
      <c r="AC349" s="566" t="s">
        <v>11654</v>
      </c>
      <c r="AD349" s="277"/>
    </row>
    <row r="350" ht="15.75" customHeight="1" outlineLevel="1">
      <c r="A350" s="261" t="s">
        <v>10833</v>
      </c>
      <c r="B350" s="231" t="s">
        <v>77</v>
      </c>
      <c r="C350" s="231" t="s">
        <v>33</v>
      </c>
      <c r="D350" s="157" t="s">
        <v>89</v>
      </c>
      <c r="E350" s="297" t="s">
        <v>33</v>
      </c>
      <c r="F350" s="168" t="s">
        <v>10992</v>
      </c>
      <c r="G350" s="157" t="s">
        <v>33</v>
      </c>
      <c r="H350" s="298" t="s">
        <v>11108</v>
      </c>
      <c r="I350" s="297" t="s">
        <v>29</v>
      </c>
      <c r="J350" s="298" t="s">
        <v>11652</v>
      </c>
      <c r="K350" s="297" t="s">
        <v>27</v>
      </c>
      <c r="L350" s="157" t="s">
        <v>4</v>
      </c>
      <c r="M350" s="157" t="s">
        <v>42</v>
      </c>
      <c r="N350" s="167" t="s">
        <v>10502</v>
      </c>
      <c r="O350" s="55" t="str">
        <f t="shared" si="18"/>
        <v>L2.02.02.02.01.00</v>
      </c>
      <c r="P350" s="257" t="str">
        <f t="shared" si="16"/>
        <v>L2.02.02.02.01.00.05</v>
      </c>
      <c r="Q350" s="161" t="s">
        <v>10530</v>
      </c>
      <c r="R350" s="299" t="str">
        <f t="shared" si="25"/>
        <v>Phòng KD Bán mới GPKT 01</v>
      </c>
      <c r="S350" s="274" t="s">
        <v>11110</v>
      </c>
      <c r="T350" s="2" t="s">
        <v>2769</v>
      </c>
      <c r="U350" s="2" t="s">
        <v>325</v>
      </c>
      <c r="V350" s="2" t="s">
        <v>2768</v>
      </c>
      <c r="W350" s="2" t="s">
        <v>2767</v>
      </c>
      <c r="X350" s="265"/>
      <c r="Y350" s="265"/>
      <c r="Z350" s="225" t="s">
        <v>11111</v>
      </c>
      <c r="AA350" s="300" t="s">
        <v>10530</v>
      </c>
      <c r="AB350" s="267"/>
      <c r="AC350" s="267"/>
      <c r="AD350" s="267"/>
    </row>
    <row r="351" ht="15.75" customHeight="1" outlineLevel="1">
      <c r="A351" s="261" t="s">
        <v>10833</v>
      </c>
      <c r="B351" s="231" t="s">
        <v>77</v>
      </c>
      <c r="C351" s="231" t="s">
        <v>33</v>
      </c>
      <c r="D351" s="157" t="s">
        <v>89</v>
      </c>
      <c r="E351" s="297" t="s">
        <v>33</v>
      </c>
      <c r="F351" s="168" t="s">
        <v>10992</v>
      </c>
      <c r="G351" s="157" t="s">
        <v>35</v>
      </c>
      <c r="H351" s="298" t="s">
        <v>11112</v>
      </c>
      <c r="I351" s="168" t="s">
        <v>27</v>
      </c>
      <c r="J351" s="258" t="s">
        <v>4</v>
      </c>
      <c r="K351" s="297" t="s">
        <v>27</v>
      </c>
      <c r="L351" s="157" t="s">
        <v>4</v>
      </c>
      <c r="M351" s="157" t="s">
        <v>42</v>
      </c>
      <c r="N351" s="167" t="s">
        <v>10502</v>
      </c>
      <c r="O351" s="55" t="str">
        <f t="shared" si="18"/>
        <v>L2.02.02.03.00.00</v>
      </c>
      <c r="P351" s="257" t="str">
        <f t="shared" si="16"/>
        <v>L2.02.02.03.00.00.05</v>
      </c>
      <c r="Q351" s="161" t="s">
        <v>10530</v>
      </c>
      <c r="R351" s="299" t="str">
        <f t="shared" si="25"/>
        <v>Phòng KD Bán thêm - Cần Thơ</v>
      </c>
      <c r="S351" s="274" t="s">
        <v>11057</v>
      </c>
      <c r="T351" s="2" t="s">
        <v>7434</v>
      </c>
      <c r="U351" s="2" t="s">
        <v>325</v>
      </c>
      <c r="V351" s="2" t="s">
        <v>326</v>
      </c>
      <c r="X351" s="265"/>
      <c r="Y351" s="265"/>
      <c r="Z351" s="225" t="s">
        <v>11113</v>
      </c>
      <c r="AA351" s="300" t="s">
        <v>10530</v>
      </c>
      <c r="AB351" s="267"/>
      <c r="AC351" s="267"/>
      <c r="AD351" s="267"/>
    </row>
    <row r="352" ht="15.75" customHeight="1" outlineLevel="1">
      <c r="A352" s="261" t="s">
        <v>10833</v>
      </c>
      <c r="B352" s="231" t="s">
        <v>77</v>
      </c>
      <c r="C352" s="231" t="s">
        <v>33</v>
      </c>
      <c r="D352" s="157" t="s">
        <v>89</v>
      </c>
      <c r="E352" s="297" t="s">
        <v>33</v>
      </c>
      <c r="F352" s="168" t="s">
        <v>10992</v>
      </c>
      <c r="G352" s="157" t="s">
        <v>35</v>
      </c>
      <c r="H352" s="298" t="s">
        <v>11112</v>
      </c>
      <c r="I352" s="261" t="s">
        <v>29</v>
      </c>
      <c r="J352" s="301" t="s">
        <v>10984</v>
      </c>
      <c r="K352" s="297" t="s">
        <v>27</v>
      </c>
      <c r="L352" s="157" t="s">
        <v>4</v>
      </c>
      <c r="M352" s="157" t="s">
        <v>42</v>
      </c>
      <c r="N352" s="167" t="s">
        <v>10502</v>
      </c>
      <c r="O352" s="55" t="str">
        <f t="shared" si="18"/>
        <v>L2.02.02.03.01.00</v>
      </c>
      <c r="P352" s="257" t="str">
        <f t="shared" si="16"/>
        <v>L2.02.02.03.01.00.05</v>
      </c>
      <c r="Q352" s="161" t="s">
        <v>10530</v>
      </c>
      <c r="R352" s="299" t="str">
        <f t="shared" si="25"/>
        <v>Nhóm Quản lý</v>
      </c>
      <c r="S352" s="269" t="s">
        <v>11114</v>
      </c>
      <c r="T352" s="265"/>
      <c r="U352" s="265"/>
      <c r="V352" s="265"/>
      <c r="W352" s="265"/>
      <c r="X352" s="265"/>
      <c r="Y352" s="264" t="s">
        <v>11089</v>
      </c>
      <c r="Z352" s="225" t="s">
        <v>11115</v>
      </c>
      <c r="AA352" s="266"/>
      <c r="AB352" s="267"/>
      <c r="AC352" s="267"/>
      <c r="AD352" s="267"/>
    </row>
    <row r="353" ht="15.75" customHeight="1" outlineLevel="1">
      <c r="A353" s="261" t="s">
        <v>10833</v>
      </c>
      <c r="B353" s="231" t="s">
        <v>77</v>
      </c>
      <c r="C353" s="231" t="s">
        <v>33</v>
      </c>
      <c r="D353" s="157" t="s">
        <v>89</v>
      </c>
      <c r="E353" s="297" t="s">
        <v>33</v>
      </c>
      <c r="F353" s="168" t="s">
        <v>10992</v>
      </c>
      <c r="G353" s="157" t="s">
        <v>35</v>
      </c>
      <c r="H353" s="298" t="s">
        <v>11112</v>
      </c>
      <c r="I353" s="261" t="s">
        <v>33</v>
      </c>
      <c r="J353" s="301" t="s">
        <v>117</v>
      </c>
      <c r="K353" s="297" t="s">
        <v>27</v>
      </c>
      <c r="L353" s="157" t="s">
        <v>4</v>
      </c>
      <c r="M353" s="157" t="s">
        <v>42</v>
      </c>
      <c r="N353" s="167" t="s">
        <v>10502</v>
      </c>
      <c r="O353" s="55" t="str">
        <f t="shared" si="18"/>
        <v>L2.02.02.03.02.00</v>
      </c>
      <c r="P353" s="257" t="str">
        <f t="shared" si="16"/>
        <v>L2.02.02.03.02.00.05</v>
      </c>
      <c r="Q353" s="161" t="s">
        <v>10530</v>
      </c>
      <c r="R353" s="299" t="str">
        <f t="shared" si="25"/>
        <v>Nhóm KD Bán thêm GP KTDN</v>
      </c>
      <c r="S353" s="269" t="s">
        <v>11114</v>
      </c>
      <c r="T353" s="2" t="s">
        <v>2755</v>
      </c>
      <c r="U353" s="2" t="s">
        <v>325</v>
      </c>
      <c r="V353" s="2" t="s">
        <v>326</v>
      </c>
      <c r="W353" s="2" t="s">
        <v>2737</v>
      </c>
      <c r="X353" s="265"/>
      <c r="Y353" s="265"/>
      <c r="Z353" s="225" t="s">
        <v>11116</v>
      </c>
      <c r="AA353" s="300" t="s">
        <v>10530</v>
      </c>
      <c r="AB353" s="267"/>
      <c r="AC353" s="267"/>
      <c r="AD353" s="267"/>
    </row>
    <row r="354" ht="15.75" customHeight="1" outlineLevel="1">
      <c r="A354" s="261" t="s">
        <v>10833</v>
      </c>
      <c r="B354" s="231" t="s">
        <v>77</v>
      </c>
      <c r="C354" s="231" t="s">
        <v>33</v>
      </c>
      <c r="D354" s="157" t="s">
        <v>89</v>
      </c>
      <c r="E354" s="297" t="s">
        <v>33</v>
      </c>
      <c r="F354" s="168" t="s">
        <v>10992</v>
      </c>
      <c r="G354" s="157" t="s">
        <v>35</v>
      </c>
      <c r="H354" s="298" t="s">
        <v>11112</v>
      </c>
      <c r="I354" s="261" t="s">
        <v>35</v>
      </c>
      <c r="J354" s="301" t="s">
        <v>118</v>
      </c>
      <c r="K354" s="297" t="s">
        <v>27</v>
      </c>
      <c r="L354" s="157" t="s">
        <v>4</v>
      </c>
      <c r="M354" s="157" t="s">
        <v>42</v>
      </c>
      <c r="N354" s="167" t="s">
        <v>10502</v>
      </c>
      <c r="O354" s="55" t="str">
        <f t="shared" si="18"/>
        <v>L2.02.02.03.03.00</v>
      </c>
      <c r="P354" s="257" t="str">
        <f t="shared" si="16"/>
        <v>L2.02.02.03.03.00.05</v>
      </c>
      <c r="Q354" s="161" t="s">
        <v>10530</v>
      </c>
      <c r="R354" s="299" t="str">
        <f t="shared" si="25"/>
        <v>Nhóm KD Bán thêm GP HDDT</v>
      </c>
      <c r="S354" s="269" t="s">
        <v>11114</v>
      </c>
      <c r="T354" s="2" t="s">
        <v>327</v>
      </c>
      <c r="U354" s="2" t="s">
        <v>325</v>
      </c>
      <c r="V354" s="2" t="s">
        <v>326</v>
      </c>
      <c r="W354" s="2" t="s">
        <v>324</v>
      </c>
      <c r="X354" s="265"/>
      <c r="Y354" s="265"/>
      <c r="Z354" s="225" t="s">
        <v>11117</v>
      </c>
      <c r="AA354" s="300" t="s">
        <v>10530</v>
      </c>
      <c r="AB354" s="267"/>
      <c r="AC354" s="267"/>
      <c r="AD354" s="267"/>
    </row>
    <row r="355" ht="15.75" customHeight="1" outlineLevel="1">
      <c r="A355" s="261" t="s">
        <v>10833</v>
      </c>
      <c r="B355" s="231" t="s">
        <v>77</v>
      </c>
      <c r="C355" s="231" t="s">
        <v>33</v>
      </c>
      <c r="D355" s="157" t="s">
        <v>89</v>
      </c>
      <c r="E355" s="297" t="s">
        <v>33</v>
      </c>
      <c r="F355" s="168" t="s">
        <v>10992</v>
      </c>
      <c r="G355" s="157" t="s">
        <v>35</v>
      </c>
      <c r="H355" s="298" t="s">
        <v>11112</v>
      </c>
      <c r="I355" s="261" t="s">
        <v>37</v>
      </c>
      <c r="J355" s="301" t="s">
        <v>119</v>
      </c>
      <c r="K355" s="297" t="s">
        <v>27</v>
      </c>
      <c r="L355" s="157" t="s">
        <v>4</v>
      </c>
      <c r="M355" s="157" t="s">
        <v>42</v>
      </c>
      <c r="N355" s="167" t="s">
        <v>10502</v>
      </c>
      <c r="O355" s="55" t="str">
        <f t="shared" si="18"/>
        <v>L2.02.02.03.04.00</v>
      </c>
      <c r="P355" s="257" t="str">
        <f t="shared" si="16"/>
        <v>L2.02.02.03.04.00.05</v>
      </c>
      <c r="Q355" s="161" t="s">
        <v>10530</v>
      </c>
      <c r="R355" s="299" t="str">
        <f t="shared" si="25"/>
        <v>Nhóm KD Bán thêm chuyển đổi KTDN</v>
      </c>
      <c r="S355" s="269" t="s">
        <v>11114</v>
      </c>
      <c r="T355" s="2" t="s">
        <v>3639</v>
      </c>
      <c r="U355" s="2" t="s">
        <v>325</v>
      </c>
      <c r="V355" s="2" t="s">
        <v>326</v>
      </c>
      <c r="W355" s="2" t="s">
        <v>3638</v>
      </c>
      <c r="X355" s="265"/>
      <c r="Y355" s="265"/>
      <c r="Z355" s="225" t="s">
        <v>11118</v>
      </c>
      <c r="AA355" s="300" t="s">
        <v>10530</v>
      </c>
      <c r="AB355" s="267"/>
      <c r="AC355" s="267"/>
      <c r="AD355" s="267"/>
    </row>
    <row r="356" ht="15.75" customHeight="1" outlineLevel="1">
      <c r="A356" s="261" t="s">
        <v>10833</v>
      </c>
      <c r="B356" s="231" t="s">
        <v>77</v>
      </c>
      <c r="C356" s="231" t="s">
        <v>33</v>
      </c>
      <c r="D356" s="157" t="s">
        <v>89</v>
      </c>
      <c r="E356" s="297" t="s">
        <v>33</v>
      </c>
      <c r="F356" s="168" t="s">
        <v>10992</v>
      </c>
      <c r="G356" s="157" t="s">
        <v>35</v>
      </c>
      <c r="H356" s="298" t="s">
        <v>11112</v>
      </c>
      <c r="I356" s="261" t="s">
        <v>42</v>
      </c>
      <c r="J356" s="301" t="s">
        <v>120</v>
      </c>
      <c r="K356" s="297" t="s">
        <v>27</v>
      </c>
      <c r="L356" s="157" t="s">
        <v>4</v>
      </c>
      <c r="M356" s="157" t="s">
        <v>42</v>
      </c>
      <c r="N356" s="167" t="s">
        <v>10502</v>
      </c>
      <c r="O356" s="55" t="str">
        <f t="shared" si="18"/>
        <v>L2.02.02.03.05.00</v>
      </c>
      <c r="P356" s="257" t="str">
        <f t="shared" si="16"/>
        <v>L2.02.02.03.05.00.05</v>
      </c>
      <c r="Q356" s="161" t="s">
        <v>10530</v>
      </c>
      <c r="R356" s="299" t="str">
        <f t="shared" si="25"/>
        <v>Nhóm KD Bán thêm GP ký điện tử</v>
      </c>
      <c r="S356" s="269" t="s">
        <v>11114</v>
      </c>
      <c r="T356" s="265"/>
      <c r="U356" s="265"/>
      <c r="V356" s="265"/>
      <c r="W356" s="265"/>
      <c r="X356" s="265"/>
      <c r="Y356" s="264" t="s">
        <v>11089</v>
      </c>
      <c r="Z356" s="225" t="s">
        <v>11119</v>
      </c>
      <c r="AA356" s="266"/>
      <c r="AB356" s="267"/>
      <c r="AC356" s="267"/>
      <c r="AD356" s="267"/>
    </row>
    <row r="357" ht="15.75" customHeight="1" outlineLevel="1">
      <c r="A357" s="100" t="s">
        <v>10833</v>
      </c>
      <c r="B357" s="101" t="s">
        <v>77</v>
      </c>
      <c r="C357" s="101" t="s">
        <v>33</v>
      </c>
      <c r="D357" s="102" t="s">
        <v>89</v>
      </c>
      <c r="E357" s="103" t="s">
        <v>33</v>
      </c>
      <c r="F357" s="106" t="s">
        <v>10992</v>
      </c>
      <c r="G357" s="102" t="s">
        <v>37</v>
      </c>
      <c r="H357" s="104" t="s">
        <v>132</v>
      </c>
      <c r="I357" s="106" t="s">
        <v>27</v>
      </c>
      <c r="J357" s="348" t="s">
        <v>4</v>
      </c>
      <c r="K357" s="103" t="s">
        <v>27</v>
      </c>
      <c r="L357" s="102" t="s">
        <v>4</v>
      </c>
      <c r="M357" s="106" t="s">
        <v>27</v>
      </c>
      <c r="N357" s="104"/>
      <c r="O357" s="136" t="str">
        <f t="shared" si="18"/>
        <v>L2.02.02.04.00.00</v>
      </c>
      <c r="P357" s="107" t="str">
        <f t="shared" si="16"/>
        <v>L2.02.02.04.00.00.00</v>
      </c>
      <c r="Q357" s="108" t="s">
        <v>10530</v>
      </c>
      <c r="R357" s="308" t="str">
        <f t="shared" si="25"/>
        <v>Trung tâm chuyển giao</v>
      </c>
      <c r="S357" s="309" t="s">
        <v>10996</v>
      </c>
      <c r="T357" s="310" t="s">
        <v>7135</v>
      </c>
      <c r="U357" s="310" t="s">
        <v>303</v>
      </c>
      <c r="V357" s="310" t="s">
        <v>132</v>
      </c>
      <c r="W357" s="310"/>
      <c r="X357" s="310"/>
      <c r="Y357" s="310"/>
      <c r="Z357" s="112" t="s">
        <v>11120</v>
      </c>
      <c r="AA357" s="312"/>
      <c r="AB357" s="313"/>
      <c r="AC357" s="313"/>
      <c r="AD357" s="313"/>
    </row>
    <row r="358" ht="15.75" customHeight="1" outlineLevel="1">
      <c r="A358" s="228" t="s">
        <v>10833</v>
      </c>
      <c r="B358" s="270" t="s">
        <v>77</v>
      </c>
      <c r="C358" s="270" t="s">
        <v>33</v>
      </c>
      <c r="D358" s="209" t="s">
        <v>89</v>
      </c>
      <c r="E358" s="271" t="s">
        <v>33</v>
      </c>
      <c r="F358" s="182" t="s">
        <v>10992</v>
      </c>
      <c r="G358" s="209" t="s">
        <v>37</v>
      </c>
      <c r="H358" s="181" t="s">
        <v>132</v>
      </c>
      <c r="I358" s="209" t="s">
        <v>29</v>
      </c>
      <c r="J358" s="272" t="s">
        <v>133</v>
      </c>
      <c r="K358" s="271" t="s">
        <v>27</v>
      </c>
      <c r="L358" s="209" t="s">
        <v>4</v>
      </c>
      <c r="M358" s="209" t="s">
        <v>29</v>
      </c>
      <c r="N358" s="181" t="s">
        <v>10498</v>
      </c>
      <c r="O358" s="58" t="str">
        <f t="shared" si="18"/>
        <v>L2.02.02.04.01.00</v>
      </c>
      <c r="P358" s="272" t="str">
        <f t="shared" si="16"/>
        <v>L2.02.02.04.01.00.01</v>
      </c>
      <c r="Q358" s="185" t="s">
        <v>10530</v>
      </c>
      <c r="R358" s="273" t="str">
        <f t="shared" si="25"/>
        <v>Ban giám đốc TT chuyển giao</v>
      </c>
      <c r="S358" s="274" t="s">
        <v>11121</v>
      </c>
      <c r="T358" s="588" t="s">
        <v>11656</v>
      </c>
      <c r="U358" s="184" t="s">
        <v>303</v>
      </c>
      <c r="V358" s="184" t="s">
        <v>132</v>
      </c>
      <c r="W358" s="272" t="s">
        <v>133</v>
      </c>
      <c r="X358" s="183"/>
      <c r="Y358" s="184" t="s">
        <v>11089</v>
      </c>
      <c r="Z358" s="275" t="s">
        <v>11122</v>
      </c>
      <c r="AA358" s="276"/>
      <c r="AB358" s="277"/>
      <c r="AC358" s="566" t="s">
        <v>11657</v>
      </c>
      <c r="AD358" s="277"/>
    </row>
    <row r="359" ht="15.75" customHeight="1" outlineLevel="1">
      <c r="A359" s="567" t="s">
        <v>10833</v>
      </c>
      <c r="B359" s="568" t="s">
        <v>77</v>
      </c>
      <c r="C359" s="568" t="s">
        <v>33</v>
      </c>
      <c r="D359" s="569" t="s">
        <v>89</v>
      </c>
      <c r="E359" s="570" t="s">
        <v>33</v>
      </c>
      <c r="F359" s="573" t="s">
        <v>10992</v>
      </c>
      <c r="G359" s="569" t="s">
        <v>37</v>
      </c>
      <c r="H359" s="574" t="s">
        <v>132</v>
      </c>
      <c r="I359" s="569" t="s">
        <v>33</v>
      </c>
      <c r="J359" s="349" t="s">
        <v>11123</v>
      </c>
      <c r="K359" s="573" t="s">
        <v>27</v>
      </c>
      <c r="L359" s="569" t="s">
        <v>4</v>
      </c>
      <c r="M359" s="573" t="s">
        <v>27</v>
      </c>
      <c r="N359" s="574"/>
      <c r="O359" s="575" t="str">
        <f t="shared" si="18"/>
        <v>L2.02.02.04.02.00</v>
      </c>
      <c r="P359" s="575" t="str">
        <f t="shared" si="16"/>
        <v>L2.02.02.04.02.00.00</v>
      </c>
      <c r="Q359" s="576" t="s">
        <v>10530</v>
      </c>
      <c r="R359" s="350" t="str">
        <f t="shared" si="25"/>
        <v>Phòng chuyển giao GP Kế toán</v>
      </c>
      <c r="S359" s="577" t="s">
        <v>11121</v>
      </c>
      <c r="T359" s="588" t="s">
        <v>11658</v>
      </c>
      <c r="U359" s="184" t="s">
        <v>303</v>
      </c>
      <c r="V359" s="184" t="s">
        <v>132</v>
      </c>
      <c r="W359" s="184" t="s">
        <v>11123</v>
      </c>
      <c r="X359" s="368"/>
      <c r="Y359" s="578" t="s">
        <v>11124</v>
      </c>
      <c r="Z359" s="579" t="s">
        <v>11125</v>
      </c>
      <c r="AA359" s="580"/>
      <c r="AB359" s="581"/>
      <c r="AC359" s="566" t="s">
        <v>11657</v>
      </c>
      <c r="AD359" s="581"/>
    </row>
    <row r="360" ht="15.75" customHeight="1" outlineLevel="1">
      <c r="A360" s="351" t="s">
        <v>10833</v>
      </c>
      <c r="B360" s="352" t="s">
        <v>77</v>
      </c>
      <c r="C360" s="352" t="s">
        <v>33</v>
      </c>
      <c r="D360" s="353" t="s">
        <v>89</v>
      </c>
      <c r="E360" s="354" t="s">
        <v>33</v>
      </c>
      <c r="F360" s="355" t="s">
        <v>10992</v>
      </c>
      <c r="G360" s="353" t="s">
        <v>37</v>
      </c>
      <c r="H360" s="356" t="s">
        <v>132</v>
      </c>
      <c r="I360" s="353" t="s">
        <v>33</v>
      </c>
      <c r="J360" s="357" t="s">
        <v>11123</v>
      </c>
      <c r="K360" s="355" t="s">
        <v>27</v>
      </c>
      <c r="L360" s="358"/>
      <c r="M360" s="353" t="s">
        <v>29</v>
      </c>
      <c r="N360" s="356" t="s">
        <v>10498</v>
      </c>
      <c r="O360" s="359" t="str">
        <f t="shared" si="18"/>
        <v>L2.02.02.04.02.00</v>
      </c>
      <c r="P360" s="358" t="str">
        <f t="shared" si="16"/>
        <v>L2.02.02.04.02.00.01</v>
      </c>
      <c r="Q360" s="360"/>
      <c r="R360" s="360" t="str">
        <f t="shared" si="25"/>
        <v/>
      </c>
      <c r="S360" s="361" t="s">
        <v>11126</v>
      </c>
      <c r="T360" s="232"/>
      <c r="U360" s="232"/>
      <c r="V360" s="232"/>
      <c r="W360" s="232"/>
      <c r="X360" s="362"/>
      <c r="Y360" s="362"/>
      <c r="Z360" s="363"/>
      <c r="AA360" s="364"/>
      <c r="AB360" s="365"/>
      <c r="AC360" s="366" t="s">
        <v>11127</v>
      </c>
      <c r="AD360" s="365"/>
    </row>
    <row r="361" ht="15.75" customHeight="1" outlineLevel="1">
      <c r="A361" s="351" t="s">
        <v>10833</v>
      </c>
      <c r="B361" s="352" t="s">
        <v>77</v>
      </c>
      <c r="C361" s="352" t="s">
        <v>33</v>
      </c>
      <c r="D361" s="353" t="s">
        <v>89</v>
      </c>
      <c r="E361" s="354" t="s">
        <v>33</v>
      </c>
      <c r="F361" s="355" t="s">
        <v>10992</v>
      </c>
      <c r="G361" s="353" t="s">
        <v>37</v>
      </c>
      <c r="H361" s="356" t="s">
        <v>132</v>
      </c>
      <c r="I361" s="353" t="s">
        <v>33</v>
      </c>
      <c r="J361" s="357" t="s">
        <v>11123</v>
      </c>
      <c r="K361" s="355" t="s">
        <v>27</v>
      </c>
      <c r="L361" s="358"/>
      <c r="M361" s="209" t="s">
        <v>42</v>
      </c>
      <c r="N361" s="181" t="s">
        <v>10502</v>
      </c>
      <c r="O361" s="359" t="str">
        <f t="shared" si="18"/>
        <v>L2.02.02.04.02.00</v>
      </c>
      <c r="P361" s="358" t="str">
        <f t="shared" si="16"/>
        <v>L2.02.02.04.02.00.05</v>
      </c>
      <c r="Q361" s="360"/>
      <c r="R361" s="360" t="str">
        <f t="shared" si="25"/>
        <v/>
      </c>
      <c r="S361" s="361" t="s">
        <v>11126</v>
      </c>
      <c r="T361" s="232"/>
      <c r="U361" s="232"/>
      <c r="V361" s="232"/>
      <c r="W361" s="232"/>
      <c r="X361" s="362"/>
      <c r="Y361" s="362"/>
      <c r="Z361" s="363"/>
      <c r="AA361" s="364"/>
      <c r="AB361" s="365"/>
      <c r="AC361" s="366" t="s">
        <v>11127</v>
      </c>
      <c r="AD361" s="365"/>
    </row>
    <row r="362" ht="15.75" customHeight="1" outlineLevel="1">
      <c r="A362" s="351" t="s">
        <v>10833</v>
      </c>
      <c r="B362" s="352" t="s">
        <v>77</v>
      </c>
      <c r="C362" s="352" t="s">
        <v>33</v>
      </c>
      <c r="D362" s="353" t="s">
        <v>89</v>
      </c>
      <c r="E362" s="354" t="s">
        <v>33</v>
      </c>
      <c r="F362" s="355" t="s">
        <v>10992</v>
      </c>
      <c r="G362" s="353" t="s">
        <v>37</v>
      </c>
      <c r="H362" s="356" t="s">
        <v>132</v>
      </c>
      <c r="I362" s="353" t="s">
        <v>33</v>
      </c>
      <c r="J362" s="357" t="s">
        <v>11123</v>
      </c>
      <c r="K362" s="355" t="s">
        <v>27</v>
      </c>
      <c r="L362" s="358"/>
      <c r="M362" s="209" t="s">
        <v>37</v>
      </c>
      <c r="N362" s="212" t="s">
        <v>10900</v>
      </c>
      <c r="O362" s="359" t="str">
        <f t="shared" si="18"/>
        <v>L2.02.02.04.02.00</v>
      </c>
      <c r="P362" s="358" t="str">
        <f t="shared" si="16"/>
        <v>L2.02.02.04.02.00.04</v>
      </c>
      <c r="Q362" s="360"/>
      <c r="R362" s="360" t="str">
        <f t="shared" si="25"/>
        <v/>
      </c>
      <c r="S362" s="361" t="s">
        <v>11126</v>
      </c>
      <c r="T362" s="232"/>
      <c r="U362" s="232"/>
      <c r="V362" s="232"/>
      <c r="W362" s="232"/>
      <c r="X362" s="362"/>
      <c r="Y362" s="362"/>
      <c r="Z362" s="363"/>
      <c r="AA362" s="364"/>
      <c r="AB362" s="365"/>
      <c r="AC362" s="366" t="s">
        <v>11127</v>
      </c>
      <c r="AD362" s="365"/>
    </row>
    <row r="363" ht="15.75" customHeight="1" outlineLevel="1">
      <c r="A363" s="351" t="s">
        <v>10833</v>
      </c>
      <c r="B363" s="352" t="s">
        <v>77</v>
      </c>
      <c r="C363" s="352" t="s">
        <v>33</v>
      </c>
      <c r="D363" s="353" t="s">
        <v>89</v>
      </c>
      <c r="E363" s="354" t="s">
        <v>33</v>
      </c>
      <c r="F363" s="355" t="s">
        <v>10992</v>
      </c>
      <c r="G363" s="353" t="s">
        <v>37</v>
      </c>
      <c r="H363" s="356" t="s">
        <v>132</v>
      </c>
      <c r="I363" s="353" t="s">
        <v>33</v>
      </c>
      <c r="J363" s="357" t="s">
        <v>11123</v>
      </c>
      <c r="K363" s="355" t="s">
        <v>27</v>
      </c>
      <c r="L363" s="358"/>
      <c r="M363" s="353" t="s">
        <v>33</v>
      </c>
      <c r="N363" s="356" t="s">
        <v>10499</v>
      </c>
      <c r="O363" s="359" t="str">
        <f t="shared" si="18"/>
        <v>L2.02.02.04.02.00</v>
      </c>
      <c r="P363" s="358" t="str">
        <f t="shared" si="16"/>
        <v>L2.02.02.04.02.00.02</v>
      </c>
      <c r="Q363" s="360"/>
      <c r="R363" s="360" t="str">
        <f t="shared" si="25"/>
        <v/>
      </c>
      <c r="S363" s="361" t="s">
        <v>11126</v>
      </c>
      <c r="T363" s="232"/>
      <c r="U363" s="232"/>
      <c r="V363" s="232"/>
      <c r="W363" s="232"/>
      <c r="X363" s="362"/>
      <c r="Y363" s="362"/>
      <c r="Z363" s="363"/>
      <c r="AA363" s="364"/>
      <c r="AB363" s="365"/>
      <c r="AC363" s="366" t="s">
        <v>11127</v>
      </c>
      <c r="AD363" s="365"/>
    </row>
    <row r="364" ht="15.75" customHeight="1" outlineLevel="1">
      <c r="A364" s="567" t="s">
        <v>10833</v>
      </c>
      <c r="B364" s="568" t="s">
        <v>77</v>
      </c>
      <c r="C364" s="568" t="s">
        <v>33</v>
      </c>
      <c r="D364" s="569" t="s">
        <v>89</v>
      </c>
      <c r="E364" s="570" t="s">
        <v>33</v>
      </c>
      <c r="F364" s="573" t="s">
        <v>10992</v>
      </c>
      <c r="G364" s="569" t="s">
        <v>37</v>
      </c>
      <c r="H364" s="574" t="s">
        <v>132</v>
      </c>
      <c r="I364" s="569" t="s">
        <v>35</v>
      </c>
      <c r="J364" s="349" t="s">
        <v>11128</v>
      </c>
      <c r="K364" s="573" t="s">
        <v>27</v>
      </c>
      <c r="L364" s="569" t="s">
        <v>4</v>
      </c>
      <c r="M364" s="573" t="s">
        <v>27</v>
      </c>
      <c r="N364" s="574"/>
      <c r="O364" s="575" t="str">
        <f t="shared" si="18"/>
        <v>L2.02.02.04.03.00</v>
      </c>
      <c r="P364" s="575" t="str">
        <f t="shared" si="16"/>
        <v>L2.02.02.04.03.00.00</v>
      </c>
      <c r="Q364" s="576" t="s">
        <v>10530</v>
      </c>
      <c r="R364" s="350" t="str">
        <f t="shared" si="25"/>
        <v>Phòng chuyển giao GP HDDT - Ký số</v>
      </c>
      <c r="S364" s="577" t="s">
        <v>11121</v>
      </c>
      <c r="T364" s="588" t="s">
        <v>11659</v>
      </c>
      <c r="U364" s="184" t="s">
        <v>303</v>
      </c>
      <c r="V364" s="184" t="s">
        <v>132</v>
      </c>
      <c r="W364" s="184" t="s">
        <v>11128</v>
      </c>
      <c r="X364" s="368"/>
      <c r="Y364" s="578" t="s">
        <v>11124</v>
      </c>
      <c r="Z364" s="579" t="s">
        <v>11129</v>
      </c>
      <c r="AA364" s="580"/>
      <c r="AB364" s="581"/>
      <c r="AC364" s="566" t="s">
        <v>11657</v>
      </c>
      <c r="AD364" s="581"/>
    </row>
    <row r="365" ht="15.75" customHeight="1" outlineLevel="1">
      <c r="A365" s="351" t="s">
        <v>10833</v>
      </c>
      <c r="B365" s="352" t="s">
        <v>77</v>
      </c>
      <c r="C365" s="352" t="s">
        <v>33</v>
      </c>
      <c r="D365" s="353" t="s">
        <v>89</v>
      </c>
      <c r="E365" s="354" t="s">
        <v>33</v>
      </c>
      <c r="F365" s="355" t="s">
        <v>10992</v>
      </c>
      <c r="G365" s="353" t="s">
        <v>37</v>
      </c>
      <c r="H365" s="356" t="s">
        <v>132</v>
      </c>
      <c r="I365" s="353" t="s">
        <v>35</v>
      </c>
      <c r="J365" s="357" t="s">
        <v>11128</v>
      </c>
      <c r="K365" s="355" t="s">
        <v>27</v>
      </c>
      <c r="L365" s="357"/>
      <c r="M365" s="353" t="s">
        <v>29</v>
      </c>
      <c r="N365" s="356" t="s">
        <v>10498</v>
      </c>
      <c r="O365" s="359" t="str">
        <f t="shared" si="18"/>
        <v>L2.02.02.04.03.00</v>
      </c>
      <c r="P365" s="358" t="str">
        <f t="shared" si="16"/>
        <v>L2.02.02.04.03.00.01</v>
      </c>
      <c r="Q365" s="360"/>
      <c r="R365" s="360" t="str">
        <f t="shared" si="25"/>
        <v/>
      </c>
      <c r="S365" s="361" t="s">
        <v>11130</v>
      </c>
      <c r="T365" s="232"/>
      <c r="U365" s="232"/>
      <c r="V365" s="232"/>
      <c r="W365" s="232"/>
      <c r="X365" s="362"/>
      <c r="Y365" s="362"/>
      <c r="Z365" s="363"/>
      <c r="AA365" s="364"/>
      <c r="AB365" s="365"/>
      <c r="AC365" s="366" t="s">
        <v>11127</v>
      </c>
      <c r="AD365" s="365"/>
    </row>
    <row r="366" ht="15.75" customHeight="1" outlineLevel="1">
      <c r="A366" s="351" t="s">
        <v>10833</v>
      </c>
      <c r="B366" s="352" t="s">
        <v>77</v>
      </c>
      <c r="C366" s="352" t="s">
        <v>33</v>
      </c>
      <c r="D366" s="353" t="s">
        <v>89</v>
      </c>
      <c r="E366" s="354" t="s">
        <v>33</v>
      </c>
      <c r="F366" s="355" t="s">
        <v>10992</v>
      </c>
      <c r="G366" s="353" t="s">
        <v>37</v>
      </c>
      <c r="H366" s="356" t="s">
        <v>132</v>
      </c>
      <c r="I366" s="353" t="s">
        <v>35</v>
      </c>
      <c r="J366" s="357" t="s">
        <v>11128</v>
      </c>
      <c r="K366" s="355" t="s">
        <v>27</v>
      </c>
      <c r="L366" s="357"/>
      <c r="M366" s="209" t="s">
        <v>42</v>
      </c>
      <c r="N366" s="181" t="s">
        <v>10502</v>
      </c>
      <c r="O366" s="359" t="str">
        <f t="shared" si="18"/>
        <v>L2.02.02.04.03.00</v>
      </c>
      <c r="P366" s="358" t="str">
        <f t="shared" si="16"/>
        <v>L2.02.02.04.03.00.05</v>
      </c>
      <c r="Q366" s="360"/>
      <c r="R366" s="360" t="str">
        <f t="shared" si="25"/>
        <v/>
      </c>
      <c r="S366" s="361" t="s">
        <v>11130</v>
      </c>
      <c r="T366" s="232"/>
      <c r="U366" s="232"/>
      <c r="V366" s="232"/>
      <c r="W366" s="232"/>
      <c r="X366" s="362"/>
      <c r="Y366" s="362"/>
      <c r="Z366" s="363"/>
      <c r="AA366" s="364"/>
      <c r="AB366" s="365"/>
      <c r="AC366" s="366" t="s">
        <v>11127</v>
      </c>
      <c r="AD366" s="365"/>
    </row>
    <row r="367" ht="15.75" customHeight="1" outlineLevel="1">
      <c r="A367" s="351" t="s">
        <v>10833</v>
      </c>
      <c r="B367" s="352" t="s">
        <v>77</v>
      </c>
      <c r="C367" s="352" t="s">
        <v>33</v>
      </c>
      <c r="D367" s="353" t="s">
        <v>89</v>
      </c>
      <c r="E367" s="354" t="s">
        <v>33</v>
      </c>
      <c r="F367" s="355" t="s">
        <v>10992</v>
      </c>
      <c r="G367" s="353" t="s">
        <v>37</v>
      </c>
      <c r="H367" s="356" t="s">
        <v>132</v>
      </c>
      <c r="I367" s="353" t="s">
        <v>35</v>
      </c>
      <c r="J367" s="357" t="s">
        <v>11128</v>
      </c>
      <c r="K367" s="355" t="s">
        <v>27</v>
      </c>
      <c r="L367" s="357"/>
      <c r="M367" s="209" t="s">
        <v>37</v>
      </c>
      <c r="N367" s="212" t="s">
        <v>10900</v>
      </c>
      <c r="O367" s="359" t="str">
        <f t="shared" si="18"/>
        <v>L2.02.02.04.03.00</v>
      </c>
      <c r="P367" s="358" t="str">
        <f t="shared" si="16"/>
        <v>L2.02.02.04.03.00.04</v>
      </c>
      <c r="Q367" s="360"/>
      <c r="R367" s="360" t="str">
        <f t="shared" si="25"/>
        <v/>
      </c>
      <c r="S367" s="361" t="s">
        <v>11130</v>
      </c>
      <c r="T367" s="232"/>
      <c r="U367" s="232"/>
      <c r="V367" s="232"/>
      <c r="W367" s="232"/>
      <c r="X367" s="362"/>
      <c r="Y367" s="362"/>
      <c r="Z367" s="363"/>
      <c r="AA367" s="364"/>
      <c r="AB367" s="365"/>
      <c r="AC367" s="366" t="s">
        <v>11127</v>
      </c>
      <c r="AD367" s="365"/>
    </row>
    <row r="368" ht="15.75" customHeight="1" outlineLevel="1">
      <c r="A368" s="351" t="s">
        <v>10833</v>
      </c>
      <c r="B368" s="352" t="s">
        <v>77</v>
      </c>
      <c r="C368" s="352" t="s">
        <v>33</v>
      </c>
      <c r="D368" s="353" t="s">
        <v>89</v>
      </c>
      <c r="E368" s="354" t="s">
        <v>33</v>
      </c>
      <c r="F368" s="355" t="s">
        <v>10992</v>
      </c>
      <c r="G368" s="353" t="s">
        <v>37</v>
      </c>
      <c r="H368" s="356" t="s">
        <v>132</v>
      </c>
      <c r="I368" s="353" t="s">
        <v>35</v>
      </c>
      <c r="J368" s="357" t="s">
        <v>11128</v>
      </c>
      <c r="K368" s="355" t="s">
        <v>27</v>
      </c>
      <c r="L368" s="357"/>
      <c r="M368" s="353" t="s">
        <v>33</v>
      </c>
      <c r="N368" s="356" t="s">
        <v>10499</v>
      </c>
      <c r="O368" s="359" t="str">
        <f t="shared" si="18"/>
        <v>L2.02.02.04.03.00</v>
      </c>
      <c r="P368" s="358" t="str">
        <f t="shared" si="16"/>
        <v>L2.02.02.04.03.00.02</v>
      </c>
      <c r="Q368" s="360"/>
      <c r="R368" s="360" t="str">
        <f t="shared" si="25"/>
        <v/>
      </c>
      <c r="S368" s="361" t="s">
        <v>11130</v>
      </c>
      <c r="T368" s="232"/>
      <c r="U368" s="232"/>
      <c r="V368" s="232"/>
      <c r="W368" s="232"/>
      <c r="X368" s="362"/>
      <c r="Y368" s="362"/>
      <c r="Z368" s="363"/>
      <c r="AA368" s="364"/>
      <c r="AB368" s="365"/>
      <c r="AC368" s="366" t="s">
        <v>11127</v>
      </c>
      <c r="AD368" s="365"/>
    </row>
    <row r="369" ht="15.75" customHeight="1" outlineLevel="1">
      <c r="A369" s="100" t="s">
        <v>10833</v>
      </c>
      <c r="B369" s="101" t="s">
        <v>77</v>
      </c>
      <c r="C369" s="101" t="s">
        <v>33</v>
      </c>
      <c r="D369" s="102" t="s">
        <v>89</v>
      </c>
      <c r="E369" s="103" t="s">
        <v>33</v>
      </c>
      <c r="F369" s="106" t="s">
        <v>10992</v>
      </c>
      <c r="G369" s="102" t="s">
        <v>42</v>
      </c>
      <c r="H369" s="212" t="s">
        <v>1209</v>
      </c>
      <c r="I369" s="103" t="s">
        <v>27</v>
      </c>
      <c r="J369" s="102" t="s">
        <v>4</v>
      </c>
      <c r="K369" s="103" t="s">
        <v>27</v>
      </c>
      <c r="L369" s="102" t="s">
        <v>4</v>
      </c>
      <c r="M369" s="106" t="s">
        <v>27</v>
      </c>
      <c r="N369" s="104"/>
      <c r="O369" s="136" t="str">
        <f t="shared" si="18"/>
        <v>L2.02.02.05.00.00</v>
      </c>
      <c r="P369" s="107" t="str">
        <f t="shared" si="16"/>
        <v>L2.02.02.05.00.00.00</v>
      </c>
      <c r="Q369" s="307" t="s">
        <v>10530</v>
      </c>
      <c r="R369" s="350" t="str">
        <f t="shared" si="25"/>
        <v>Phòng kinh doanh mạng lưới</v>
      </c>
      <c r="S369" s="309" t="s">
        <v>10996</v>
      </c>
      <c r="T369" s="589" t="s">
        <v>11660</v>
      </c>
      <c r="U369" s="310"/>
      <c r="V369" s="310"/>
      <c r="W369" s="310"/>
      <c r="X369" s="310"/>
      <c r="Y369" s="311" t="s">
        <v>11124</v>
      </c>
      <c r="Z369" s="112" t="s">
        <v>11131</v>
      </c>
      <c r="AA369" s="312"/>
      <c r="AB369" s="313"/>
      <c r="AC369" s="590" t="s">
        <v>11661</v>
      </c>
      <c r="AD369" s="313"/>
    </row>
    <row r="370" ht="15.75" customHeight="1" outlineLevel="1">
      <c r="A370" s="314" t="s">
        <v>10833</v>
      </c>
      <c r="B370" s="315" t="s">
        <v>77</v>
      </c>
      <c r="C370" s="315" t="s">
        <v>33</v>
      </c>
      <c r="D370" s="122" t="s">
        <v>89</v>
      </c>
      <c r="E370" s="121" t="s">
        <v>33</v>
      </c>
      <c r="F370" s="369" t="s">
        <v>10992</v>
      </c>
      <c r="G370" s="122" t="s">
        <v>42</v>
      </c>
      <c r="H370" s="370" t="s">
        <v>1209</v>
      </c>
      <c r="I370" s="121" t="s">
        <v>27</v>
      </c>
      <c r="J370" s="122" t="s">
        <v>4</v>
      </c>
      <c r="K370" s="121" t="s">
        <v>27</v>
      </c>
      <c r="L370" s="122" t="s">
        <v>4</v>
      </c>
      <c r="M370" s="122" t="s">
        <v>29</v>
      </c>
      <c r="N370" s="123" t="s">
        <v>10498</v>
      </c>
      <c r="O370" s="124" t="str">
        <f t="shared" si="18"/>
        <v>L2.02.02.05.00.00</v>
      </c>
      <c r="P370" s="317" t="str">
        <f t="shared" si="16"/>
        <v>L2.02.02.05.00.00.01</v>
      </c>
      <c r="Q370" s="318"/>
      <c r="R370" s="360" t="str">
        <f t="shared" si="25"/>
        <v>Phòng kinh doanh mạng lưới</v>
      </c>
      <c r="S370" s="319" t="s">
        <v>11132</v>
      </c>
      <c r="T370" s="320" t="s">
        <v>1210</v>
      </c>
      <c r="U370" s="320" t="s">
        <v>346</v>
      </c>
      <c r="V370" s="320" t="s">
        <v>1209</v>
      </c>
      <c r="W370" s="320"/>
      <c r="X370" s="320"/>
      <c r="Y370" s="320"/>
      <c r="Z370" s="322"/>
      <c r="AA370" s="323"/>
      <c r="AB370" s="324"/>
      <c r="AC370" s="324"/>
      <c r="AD370" s="324"/>
    </row>
    <row r="371" ht="15.75" customHeight="1" outlineLevel="1">
      <c r="A371" s="314" t="s">
        <v>10833</v>
      </c>
      <c r="B371" s="315" t="s">
        <v>77</v>
      </c>
      <c r="C371" s="315" t="s">
        <v>33</v>
      </c>
      <c r="D371" s="122" t="s">
        <v>89</v>
      </c>
      <c r="E371" s="121" t="s">
        <v>33</v>
      </c>
      <c r="F371" s="369" t="s">
        <v>10992</v>
      </c>
      <c r="G371" s="122" t="s">
        <v>42</v>
      </c>
      <c r="H371" s="370" t="s">
        <v>1209</v>
      </c>
      <c r="I371" s="121" t="s">
        <v>27</v>
      </c>
      <c r="J371" s="122" t="s">
        <v>4</v>
      </c>
      <c r="K371" s="121" t="s">
        <v>27</v>
      </c>
      <c r="L371" s="122" t="s">
        <v>4</v>
      </c>
      <c r="M371" s="122" t="s">
        <v>33</v>
      </c>
      <c r="N371" s="123" t="s">
        <v>10499</v>
      </c>
      <c r="O371" s="124" t="str">
        <f t="shared" si="18"/>
        <v>L2.02.02.05.00.00</v>
      </c>
      <c r="P371" s="317" t="str">
        <f t="shared" si="16"/>
        <v>L2.02.02.05.00.00.02</v>
      </c>
      <c r="Q371" s="318"/>
      <c r="R371" s="360" t="str">
        <f t="shared" si="25"/>
        <v>Phòng kinh doanh mạng lưới</v>
      </c>
      <c r="S371" s="319" t="s">
        <v>11132</v>
      </c>
      <c r="T371" s="320" t="s">
        <v>2305</v>
      </c>
      <c r="U371" s="320" t="s">
        <v>262</v>
      </c>
      <c r="V371" s="320" t="s">
        <v>1209</v>
      </c>
      <c r="W371" s="320"/>
      <c r="X371" s="320"/>
      <c r="Y371" s="320"/>
      <c r="Z371" s="322"/>
      <c r="AA371" s="323"/>
      <c r="AB371" s="324"/>
      <c r="AC371" s="324"/>
      <c r="AD371" s="324"/>
    </row>
    <row r="372" ht="15.75" customHeight="1" outlineLevel="1">
      <c r="A372" s="314" t="s">
        <v>10833</v>
      </c>
      <c r="B372" s="315" t="s">
        <v>77</v>
      </c>
      <c r="C372" s="315" t="s">
        <v>33</v>
      </c>
      <c r="D372" s="122" t="s">
        <v>89</v>
      </c>
      <c r="E372" s="121" t="s">
        <v>33</v>
      </c>
      <c r="F372" s="369" t="s">
        <v>10992</v>
      </c>
      <c r="G372" s="122" t="s">
        <v>42</v>
      </c>
      <c r="H372" s="370" t="s">
        <v>1209</v>
      </c>
      <c r="I372" s="121" t="s">
        <v>27</v>
      </c>
      <c r="J372" s="122" t="s">
        <v>4</v>
      </c>
      <c r="K372" s="121" t="s">
        <v>27</v>
      </c>
      <c r="L372" s="122" t="s">
        <v>4</v>
      </c>
      <c r="M372" s="122" t="s">
        <v>35</v>
      </c>
      <c r="N372" s="123" t="s">
        <v>10500</v>
      </c>
      <c r="O372" s="124" t="str">
        <f t="shared" si="18"/>
        <v>L2.02.02.05.00.00</v>
      </c>
      <c r="P372" s="317" t="str">
        <f t="shared" si="16"/>
        <v>L2.02.02.05.00.00.03</v>
      </c>
      <c r="Q372" s="318"/>
      <c r="R372" s="360" t="str">
        <f t="shared" si="25"/>
        <v>Phòng kinh doanh mạng lưới</v>
      </c>
      <c r="S372" s="319" t="s">
        <v>11132</v>
      </c>
      <c r="T372" s="320" t="s">
        <v>4560</v>
      </c>
      <c r="U372" s="320" t="s">
        <v>2811</v>
      </c>
      <c r="V372" s="320" t="s">
        <v>4559</v>
      </c>
      <c r="W372" s="320"/>
      <c r="X372" s="320"/>
      <c r="Y372" s="320"/>
      <c r="Z372" s="322"/>
      <c r="AA372" s="323"/>
      <c r="AB372" s="324"/>
      <c r="AC372" s="324"/>
      <c r="AD372" s="324"/>
    </row>
    <row r="373" ht="15.75" customHeight="1" outlineLevel="1">
      <c r="A373" s="314" t="s">
        <v>10833</v>
      </c>
      <c r="B373" s="315" t="s">
        <v>77</v>
      </c>
      <c r="C373" s="315" t="s">
        <v>33</v>
      </c>
      <c r="D373" s="122" t="s">
        <v>89</v>
      </c>
      <c r="E373" s="121" t="s">
        <v>33</v>
      </c>
      <c r="F373" s="369" t="s">
        <v>10992</v>
      </c>
      <c r="G373" s="122" t="s">
        <v>42</v>
      </c>
      <c r="H373" s="370" t="s">
        <v>1209</v>
      </c>
      <c r="I373" s="121" t="s">
        <v>27</v>
      </c>
      <c r="J373" s="122" t="s">
        <v>4</v>
      </c>
      <c r="K373" s="121" t="s">
        <v>27</v>
      </c>
      <c r="L373" s="122" t="s">
        <v>4</v>
      </c>
      <c r="M373" s="122" t="s">
        <v>37</v>
      </c>
      <c r="N373" s="316" t="s">
        <v>10900</v>
      </c>
      <c r="O373" s="124" t="str">
        <f t="shared" si="18"/>
        <v>L2.02.02.05.00.00</v>
      </c>
      <c r="P373" s="317" t="str">
        <f t="shared" si="16"/>
        <v>L2.02.02.05.00.00.04</v>
      </c>
      <c r="Q373" s="318"/>
      <c r="R373" s="360" t="str">
        <f t="shared" si="25"/>
        <v>Phòng kinh doanh mạng lưới</v>
      </c>
      <c r="S373" s="319" t="s">
        <v>11132</v>
      </c>
      <c r="T373" s="320" t="s">
        <v>9085</v>
      </c>
      <c r="U373" s="320" t="s">
        <v>2732</v>
      </c>
      <c r="V373" s="320" t="s">
        <v>2791</v>
      </c>
      <c r="W373" s="320"/>
      <c r="X373" s="320"/>
      <c r="Y373" s="320"/>
      <c r="Z373" s="322"/>
      <c r="AA373" s="323"/>
      <c r="AB373" s="324"/>
      <c r="AC373" s="324"/>
      <c r="AD373" s="324"/>
    </row>
    <row r="374" ht="15.75" customHeight="1" outlineLevel="1">
      <c r="A374" s="314" t="s">
        <v>10833</v>
      </c>
      <c r="B374" s="315" t="s">
        <v>77</v>
      </c>
      <c r="C374" s="315" t="s">
        <v>33</v>
      </c>
      <c r="D374" s="122" t="s">
        <v>89</v>
      </c>
      <c r="E374" s="121" t="s">
        <v>33</v>
      </c>
      <c r="F374" s="369" t="s">
        <v>10992</v>
      </c>
      <c r="G374" s="122" t="s">
        <v>42</v>
      </c>
      <c r="H374" s="370" t="s">
        <v>1209</v>
      </c>
      <c r="I374" s="121" t="s">
        <v>27</v>
      </c>
      <c r="J374" s="122" t="s">
        <v>4</v>
      </c>
      <c r="K374" s="121" t="s">
        <v>27</v>
      </c>
      <c r="L374" s="122" t="s">
        <v>4</v>
      </c>
      <c r="M374" s="122" t="s">
        <v>42</v>
      </c>
      <c r="N374" s="123" t="s">
        <v>10502</v>
      </c>
      <c r="O374" s="124" t="str">
        <f t="shared" si="18"/>
        <v>L2.02.02.05.00.00</v>
      </c>
      <c r="P374" s="317" t="str">
        <f t="shared" si="16"/>
        <v>L2.02.02.05.00.00.05</v>
      </c>
      <c r="Q374" s="318"/>
      <c r="R374" s="360" t="str">
        <f t="shared" si="25"/>
        <v>Phòng kinh doanh mạng lưới</v>
      </c>
      <c r="S374" s="319" t="s">
        <v>11132</v>
      </c>
      <c r="T374" s="320" t="s">
        <v>2792</v>
      </c>
      <c r="U374" s="320" t="s">
        <v>325</v>
      </c>
      <c r="V374" s="320" t="s">
        <v>2791</v>
      </c>
      <c r="W374" s="320"/>
      <c r="X374" s="320"/>
      <c r="Y374" s="320"/>
      <c r="Z374" s="322"/>
      <c r="AA374" s="323"/>
      <c r="AB374" s="324"/>
      <c r="AC374" s="324"/>
      <c r="AD374" s="324"/>
    </row>
    <row r="375" ht="15.75" customHeight="1" outlineLevel="1">
      <c r="A375" s="261" t="s">
        <v>10833</v>
      </c>
      <c r="B375" s="231" t="s">
        <v>77</v>
      </c>
      <c r="C375" s="231" t="s">
        <v>33</v>
      </c>
      <c r="D375" s="157" t="s">
        <v>89</v>
      </c>
      <c r="E375" s="297" t="s">
        <v>33</v>
      </c>
      <c r="F375" s="168" t="s">
        <v>10992</v>
      </c>
      <c r="G375" s="157" t="s">
        <v>44</v>
      </c>
      <c r="H375" s="371" t="s">
        <v>11134</v>
      </c>
      <c r="I375" s="168" t="s">
        <v>27</v>
      </c>
      <c r="J375" s="262" t="s">
        <v>4</v>
      </c>
      <c r="K375" s="297" t="s">
        <v>27</v>
      </c>
      <c r="L375" s="157" t="s">
        <v>4</v>
      </c>
      <c r="M375" s="168" t="s">
        <v>27</v>
      </c>
      <c r="N375" s="167"/>
      <c r="O375" s="55" t="str">
        <f t="shared" si="18"/>
        <v>L2.02.02.06.00.00</v>
      </c>
      <c r="P375" s="257" t="str">
        <f t="shared" si="16"/>
        <v>L2.02.02.06.00.00.00</v>
      </c>
      <c r="Q375" s="161" t="s">
        <v>10530</v>
      </c>
      <c r="R375" s="372" t="str">
        <f t="shared" si="25"/>
        <v>Trung tâm KD Online </v>
      </c>
      <c r="S375" s="269" t="s">
        <v>10996</v>
      </c>
      <c r="T375" s="264" t="s">
        <v>2710</v>
      </c>
      <c r="U375" s="265" t="s">
        <v>303</v>
      </c>
      <c r="V375" s="265" t="s">
        <v>335</v>
      </c>
      <c r="W375" s="265" t="s">
        <v>140</v>
      </c>
      <c r="X375" s="265"/>
      <c r="Y375" s="265"/>
      <c r="Z375" s="225" t="s">
        <v>11135</v>
      </c>
      <c r="AA375" s="300" t="s">
        <v>10530</v>
      </c>
      <c r="AB375" s="267"/>
      <c r="AC375" s="267"/>
      <c r="AD375" s="267"/>
    </row>
    <row r="376" ht="15.75" customHeight="1" outlineLevel="1">
      <c r="A376" s="261" t="s">
        <v>10833</v>
      </c>
      <c r="B376" s="231" t="s">
        <v>77</v>
      </c>
      <c r="C376" s="231" t="s">
        <v>33</v>
      </c>
      <c r="D376" s="157" t="s">
        <v>89</v>
      </c>
      <c r="E376" s="297" t="s">
        <v>33</v>
      </c>
      <c r="F376" s="168" t="s">
        <v>10992</v>
      </c>
      <c r="G376" s="157" t="s">
        <v>44</v>
      </c>
      <c r="H376" s="371" t="s">
        <v>11136</v>
      </c>
      <c r="I376" s="157" t="s">
        <v>29</v>
      </c>
      <c r="J376" s="167" t="s">
        <v>140</v>
      </c>
      <c r="K376" s="297" t="s">
        <v>27</v>
      </c>
      <c r="L376" s="157" t="s">
        <v>4</v>
      </c>
      <c r="M376" s="355" t="s">
        <v>44</v>
      </c>
      <c r="N376" s="181" t="s">
        <v>10505</v>
      </c>
      <c r="O376" s="55" t="str">
        <f t="shared" si="18"/>
        <v>L2.02.02.06.01.00</v>
      </c>
      <c r="P376" s="257" t="str">
        <f t="shared" si="16"/>
        <v>L2.02.02.06.01.00.06</v>
      </c>
      <c r="Q376" s="161" t="s">
        <v>10530</v>
      </c>
      <c r="R376" s="299" t="str">
        <f t="shared" si="25"/>
        <v>Ban GĐ TTKD Online</v>
      </c>
      <c r="S376" s="269" t="s">
        <v>11137</v>
      </c>
      <c r="T376" s="265" t="s">
        <v>9390</v>
      </c>
      <c r="U376" s="265" t="s">
        <v>303</v>
      </c>
      <c r="V376" s="265" t="s">
        <v>335</v>
      </c>
      <c r="W376" s="265" t="s">
        <v>140</v>
      </c>
      <c r="X376" s="265"/>
      <c r="Y376" s="265"/>
      <c r="Z376" s="225" t="s">
        <v>11138</v>
      </c>
      <c r="AA376" s="300" t="s">
        <v>10530</v>
      </c>
      <c r="AB376" s="267"/>
      <c r="AC376" s="376" t="s">
        <v>11662</v>
      </c>
      <c r="AD376" s="267"/>
    </row>
    <row r="377" ht="15.75" customHeight="1" outlineLevel="1">
      <c r="A377" s="100" t="s">
        <v>10833</v>
      </c>
      <c r="B377" s="101" t="s">
        <v>77</v>
      </c>
      <c r="C377" s="101" t="s">
        <v>33</v>
      </c>
      <c r="D377" s="102" t="s">
        <v>89</v>
      </c>
      <c r="E377" s="103" t="s">
        <v>33</v>
      </c>
      <c r="F377" s="106" t="s">
        <v>10992</v>
      </c>
      <c r="G377" s="102" t="s">
        <v>44</v>
      </c>
      <c r="H377" s="373" t="s">
        <v>11136</v>
      </c>
      <c r="I377" s="102" t="s">
        <v>33</v>
      </c>
      <c r="J377" s="571" t="s">
        <v>11663</v>
      </c>
      <c r="K377" s="106" t="s">
        <v>27</v>
      </c>
      <c r="L377" s="102" t="s">
        <v>4</v>
      </c>
      <c r="M377" s="106" t="s">
        <v>27</v>
      </c>
      <c r="N377" s="104"/>
      <c r="O377" s="136" t="str">
        <f t="shared" si="18"/>
        <v>L2.02.02.06.02.00</v>
      </c>
      <c r="P377" s="107" t="str">
        <f t="shared" si="16"/>
        <v>L2.02.02.06.02.00.00</v>
      </c>
      <c r="Q377" s="108" t="s">
        <v>10530</v>
      </c>
      <c r="R377" s="308" t="str">
        <f t="shared" si="25"/>
        <v>Phòng KD Giải pháp kế toán</v>
      </c>
      <c r="S377" s="107" t="s">
        <v>11137</v>
      </c>
      <c r="T377" s="374" t="s">
        <v>11140</v>
      </c>
      <c r="U377" s="310" t="s">
        <v>303</v>
      </c>
      <c r="V377" s="310" t="s">
        <v>335</v>
      </c>
      <c r="W377" s="375" t="s">
        <v>2499</v>
      </c>
      <c r="X377" s="310"/>
      <c r="Y377" s="311"/>
      <c r="Z377" s="112" t="s">
        <v>11141</v>
      </c>
      <c r="AA377" s="300" t="s">
        <v>10530</v>
      </c>
      <c r="AB377" s="313"/>
      <c r="AC377" s="590" t="s">
        <v>11664</v>
      </c>
      <c r="AD377" s="313"/>
    </row>
    <row r="378" ht="15.75" customHeight="1" outlineLevel="1">
      <c r="A378" s="261" t="s">
        <v>10833</v>
      </c>
      <c r="B378" s="231" t="s">
        <v>77</v>
      </c>
      <c r="C378" s="231" t="s">
        <v>33</v>
      </c>
      <c r="D378" s="157" t="s">
        <v>89</v>
      </c>
      <c r="E378" s="297" t="s">
        <v>33</v>
      </c>
      <c r="F378" s="168" t="s">
        <v>10992</v>
      </c>
      <c r="G378" s="157" t="s">
        <v>44</v>
      </c>
      <c r="H378" s="371" t="s">
        <v>11136</v>
      </c>
      <c r="I378" s="157" t="s">
        <v>33</v>
      </c>
      <c r="J378" s="212" t="s">
        <v>11663</v>
      </c>
      <c r="K378" s="157" t="s">
        <v>29</v>
      </c>
      <c r="L378" s="212" t="s">
        <v>11665</v>
      </c>
      <c r="M378" s="157" t="s">
        <v>44</v>
      </c>
      <c r="N378" s="167" t="s">
        <v>10505</v>
      </c>
      <c r="O378" s="55" t="str">
        <f t="shared" si="18"/>
        <v>L2.02.02.06.02.01</v>
      </c>
      <c r="P378" s="257" t="str">
        <f t="shared" si="16"/>
        <v>L2.02.02.06.02.01.06</v>
      </c>
      <c r="Q378" s="161" t="s">
        <v>10530</v>
      </c>
      <c r="R378" s="299" t="str">
        <f t="shared" si="25"/>
        <v>Nhóm KD Giải pháp kế toán 01</v>
      </c>
      <c r="S378" s="272" t="s">
        <v>11143</v>
      </c>
      <c r="T378" s="265" t="s">
        <v>2551</v>
      </c>
      <c r="U378" s="265" t="s">
        <v>303</v>
      </c>
      <c r="V378" s="265" t="s">
        <v>335</v>
      </c>
      <c r="W378" s="265" t="s">
        <v>2499</v>
      </c>
      <c r="X378" s="265" t="s">
        <v>2550</v>
      </c>
      <c r="Y378" s="265"/>
      <c r="Z378" s="225" t="s">
        <v>11144</v>
      </c>
      <c r="AA378" s="300" t="s">
        <v>10530</v>
      </c>
      <c r="AB378" s="267"/>
      <c r="AC378" s="590" t="s">
        <v>11664</v>
      </c>
      <c r="AD378" s="267"/>
    </row>
    <row r="379" ht="15.75" customHeight="1" outlineLevel="1">
      <c r="A379" s="261" t="s">
        <v>10833</v>
      </c>
      <c r="B379" s="231" t="s">
        <v>77</v>
      </c>
      <c r="C379" s="231" t="s">
        <v>33</v>
      </c>
      <c r="D379" s="157" t="s">
        <v>89</v>
      </c>
      <c r="E379" s="297" t="s">
        <v>33</v>
      </c>
      <c r="F379" s="168" t="s">
        <v>10992</v>
      </c>
      <c r="G379" s="157" t="s">
        <v>44</v>
      </c>
      <c r="H379" s="371" t="s">
        <v>11136</v>
      </c>
      <c r="I379" s="157" t="s">
        <v>33</v>
      </c>
      <c r="J379" s="212" t="s">
        <v>11663</v>
      </c>
      <c r="K379" s="168" t="s">
        <v>33</v>
      </c>
      <c r="L379" s="212" t="s">
        <v>11666</v>
      </c>
      <c r="M379" s="157" t="s">
        <v>33</v>
      </c>
      <c r="N379" s="167" t="s">
        <v>10499</v>
      </c>
      <c r="O379" s="55" t="str">
        <f t="shared" si="18"/>
        <v>L2.02.02.06.02.02</v>
      </c>
      <c r="P379" s="257" t="str">
        <f t="shared" si="16"/>
        <v>L2.02.02.06.02.02.02</v>
      </c>
      <c r="Q379" s="161" t="s">
        <v>10530</v>
      </c>
      <c r="R379" s="299" t="str">
        <f t="shared" si="25"/>
        <v>Nhóm KD Giải pháp kế toán 02</v>
      </c>
      <c r="S379" s="272" t="s">
        <v>11143</v>
      </c>
      <c r="T379" s="265" t="s">
        <v>2500</v>
      </c>
      <c r="U379" s="265" t="s">
        <v>303</v>
      </c>
      <c r="V379" s="265" t="s">
        <v>335</v>
      </c>
      <c r="W379" s="265" t="s">
        <v>2499</v>
      </c>
      <c r="X379" s="265" t="s">
        <v>2498</v>
      </c>
      <c r="Y379" s="265"/>
      <c r="Z379" s="225" t="s">
        <v>11146</v>
      </c>
      <c r="AA379" s="300" t="s">
        <v>10530</v>
      </c>
      <c r="AB379" s="267"/>
      <c r="AC379" s="590" t="s">
        <v>11664</v>
      </c>
      <c r="AD379" s="267"/>
    </row>
    <row r="380" ht="15.75" customHeight="1" outlineLevel="1">
      <c r="A380" s="261" t="s">
        <v>10833</v>
      </c>
      <c r="B380" s="231" t="s">
        <v>77</v>
      </c>
      <c r="C380" s="231" t="s">
        <v>33</v>
      </c>
      <c r="D380" s="157" t="s">
        <v>89</v>
      </c>
      <c r="E380" s="297" t="s">
        <v>33</v>
      </c>
      <c r="F380" s="168" t="s">
        <v>10992</v>
      </c>
      <c r="G380" s="157" t="s">
        <v>44</v>
      </c>
      <c r="H380" s="371" t="s">
        <v>11136</v>
      </c>
      <c r="I380" s="157" t="s">
        <v>33</v>
      </c>
      <c r="J380" s="212" t="s">
        <v>11663</v>
      </c>
      <c r="K380" s="182" t="s">
        <v>35</v>
      </c>
      <c r="L380" s="167" t="s">
        <v>143</v>
      </c>
      <c r="M380" s="157" t="s">
        <v>44</v>
      </c>
      <c r="N380" s="167" t="s">
        <v>10505</v>
      </c>
      <c r="O380" s="55" t="str">
        <f t="shared" si="18"/>
        <v>L2.02.02.06.02.03</v>
      </c>
      <c r="P380" s="272" t="str">
        <f t="shared" si="16"/>
        <v>L2.02.02.06.02.03.06</v>
      </c>
      <c r="Q380" s="161" t="s">
        <v>10530</v>
      </c>
      <c r="R380" s="299" t="str">
        <f t="shared" si="25"/>
        <v>Nhóm Marketing SP Kế toán</v>
      </c>
      <c r="S380" s="272" t="s">
        <v>11143</v>
      </c>
      <c r="T380" s="265" t="s">
        <v>3341</v>
      </c>
      <c r="U380" s="265" t="s">
        <v>303</v>
      </c>
      <c r="V380" s="265" t="s">
        <v>335</v>
      </c>
      <c r="W380" s="265" t="s">
        <v>2499</v>
      </c>
      <c r="X380" s="265" t="s">
        <v>3340</v>
      </c>
      <c r="Y380" s="265"/>
      <c r="Z380" s="225" t="s">
        <v>11147</v>
      </c>
      <c r="AA380" s="300" t="s">
        <v>10530</v>
      </c>
      <c r="AB380" s="267"/>
      <c r="AC380" s="376" t="s">
        <v>11667</v>
      </c>
      <c r="AD380" s="267"/>
    </row>
    <row r="381" ht="15.75" customHeight="1" outlineLevel="1">
      <c r="A381" s="100" t="s">
        <v>10833</v>
      </c>
      <c r="B381" s="101" t="s">
        <v>77</v>
      </c>
      <c r="C381" s="101" t="s">
        <v>33</v>
      </c>
      <c r="D381" s="102" t="s">
        <v>89</v>
      </c>
      <c r="E381" s="103" t="s">
        <v>33</v>
      </c>
      <c r="F381" s="106" t="s">
        <v>10992</v>
      </c>
      <c r="G381" s="102" t="s">
        <v>44</v>
      </c>
      <c r="H381" s="373" t="s">
        <v>11136</v>
      </c>
      <c r="I381" s="102" t="s">
        <v>35</v>
      </c>
      <c r="J381" s="571" t="s">
        <v>11668</v>
      </c>
      <c r="K381" s="106" t="s">
        <v>27</v>
      </c>
      <c r="L381" s="377" t="s">
        <v>4</v>
      </c>
      <c r="M381" s="106" t="s">
        <v>27</v>
      </c>
      <c r="N381" s="104"/>
      <c r="O381" s="136" t="str">
        <f t="shared" si="18"/>
        <v>L2.02.02.06.03.00</v>
      </c>
      <c r="P381" s="107" t="str">
        <f t="shared" si="16"/>
        <v>L2.02.02.06.03.00.00</v>
      </c>
      <c r="Q381" s="108" t="s">
        <v>10530</v>
      </c>
      <c r="R381" s="308" t="str">
        <f t="shared" si="25"/>
        <v>Phòng KD Giải pháp hóa đơn điện tử</v>
      </c>
      <c r="S381" s="309" t="s">
        <v>11137</v>
      </c>
      <c r="T381" s="374" t="s">
        <v>11150</v>
      </c>
      <c r="U381" s="310" t="s">
        <v>303</v>
      </c>
      <c r="V381" s="310" t="s">
        <v>335</v>
      </c>
      <c r="W381" s="375" t="s">
        <v>1963</v>
      </c>
      <c r="X381" s="310"/>
      <c r="Y381" s="310"/>
      <c r="Z381" s="112" t="s">
        <v>11151</v>
      </c>
      <c r="AA381" s="300" t="s">
        <v>10530</v>
      </c>
      <c r="AB381" s="313"/>
      <c r="AC381" s="590" t="s">
        <v>11669</v>
      </c>
      <c r="AD381" s="313"/>
    </row>
    <row r="382" ht="15.75" customHeight="1" outlineLevel="1">
      <c r="A382" s="261" t="s">
        <v>10833</v>
      </c>
      <c r="B382" s="231" t="s">
        <v>77</v>
      </c>
      <c r="C382" s="231" t="s">
        <v>33</v>
      </c>
      <c r="D382" s="157" t="s">
        <v>89</v>
      </c>
      <c r="E382" s="297" t="s">
        <v>33</v>
      </c>
      <c r="F382" s="168" t="s">
        <v>10992</v>
      </c>
      <c r="G382" s="157" t="s">
        <v>44</v>
      </c>
      <c r="H382" s="371" t="s">
        <v>11136</v>
      </c>
      <c r="I382" s="157" t="s">
        <v>35</v>
      </c>
      <c r="J382" s="212" t="s">
        <v>11668</v>
      </c>
      <c r="K382" s="168" t="s">
        <v>35</v>
      </c>
      <c r="L382" s="298" t="s">
        <v>10984</v>
      </c>
      <c r="M382" s="355" t="s">
        <v>44</v>
      </c>
      <c r="N382" s="181" t="s">
        <v>10505</v>
      </c>
      <c r="O382" s="55" t="str">
        <f t="shared" si="18"/>
        <v>L2.02.02.06.03.03</v>
      </c>
      <c r="P382" s="257" t="str">
        <f t="shared" si="16"/>
        <v>L2.02.02.06.03.03.06</v>
      </c>
      <c r="Q382" s="161" t="s">
        <v>10530</v>
      </c>
      <c r="R382" s="299" t="str">
        <f t="shared" si="25"/>
        <v>Nhóm Quản lý</v>
      </c>
      <c r="S382" s="257" t="s">
        <v>11152</v>
      </c>
      <c r="T382" s="265"/>
      <c r="U382" s="265"/>
      <c r="V382" s="265"/>
      <c r="W382" s="265"/>
      <c r="X382" s="265"/>
      <c r="Y382" s="265"/>
      <c r="Z382" s="225" t="s">
        <v>11153</v>
      </c>
      <c r="AA382" s="300" t="s">
        <v>10530</v>
      </c>
      <c r="AB382" s="267"/>
      <c r="AC382" s="590" t="s">
        <v>11664</v>
      </c>
      <c r="AD382" s="267"/>
    </row>
    <row r="383" ht="15.75" customHeight="1" outlineLevel="1">
      <c r="A383" s="100" t="s">
        <v>10833</v>
      </c>
      <c r="B383" s="101" t="s">
        <v>77</v>
      </c>
      <c r="C383" s="101" t="s">
        <v>33</v>
      </c>
      <c r="D383" s="102" t="s">
        <v>89</v>
      </c>
      <c r="E383" s="103" t="s">
        <v>33</v>
      </c>
      <c r="F383" s="106" t="s">
        <v>10992</v>
      </c>
      <c r="G383" s="102" t="s">
        <v>44</v>
      </c>
      <c r="H383" s="373" t="s">
        <v>11136</v>
      </c>
      <c r="I383" s="102" t="s">
        <v>35</v>
      </c>
      <c r="J383" s="571" t="s">
        <v>11668</v>
      </c>
      <c r="K383" s="103" t="s">
        <v>29</v>
      </c>
      <c r="L383" s="571" t="s">
        <v>11670</v>
      </c>
      <c r="M383" s="106" t="s">
        <v>27</v>
      </c>
      <c r="N383" s="104"/>
      <c r="O383" s="136" t="str">
        <f t="shared" si="18"/>
        <v>L2.02.02.06.03.01</v>
      </c>
      <c r="P383" s="107" t="str">
        <f t="shared" si="16"/>
        <v>L2.02.02.06.03.01.00</v>
      </c>
      <c r="Q383" s="307" t="s">
        <v>10530</v>
      </c>
      <c r="R383" s="308" t="str">
        <f t="shared" si="25"/>
        <v>Nhóm KD Giải pháp hóa đơn điện tử</v>
      </c>
      <c r="S383" s="309" t="s">
        <v>11152</v>
      </c>
      <c r="T383" s="310" t="s">
        <v>1964</v>
      </c>
      <c r="U383" s="310" t="s">
        <v>303</v>
      </c>
      <c r="V383" s="310" t="s">
        <v>335</v>
      </c>
      <c r="W383" s="310" t="s">
        <v>1963</v>
      </c>
      <c r="X383" s="310" t="s">
        <v>1962</v>
      </c>
      <c r="Y383" s="310"/>
      <c r="Z383" s="112" t="s">
        <v>11155</v>
      </c>
      <c r="AA383" s="312"/>
      <c r="AB383" s="313"/>
      <c r="AC383" s="590" t="s">
        <v>11664</v>
      </c>
      <c r="AD383" s="313"/>
    </row>
    <row r="384" ht="15.75" customHeight="1" outlineLevel="1">
      <c r="A384" s="314" t="s">
        <v>10833</v>
      </c>
      <c r="B384" s="315" t="s">
        <v>77</v>
      </c>
      <c r="C384" s="315" t="s">
        <v>33</v>
      </c>
      <c r="D384" s="122" t="s">
        <v>89</v>
      </c>
      <c r="E384" s="121" t="s">
        <v>33</v>
      </c>
      <c r="F384" s="369" t="s">
        <v>10992</v>
      </c>
      <c r="G384" s="122" t="s">
        <v>44</v>
      </c>
      <c r="H384" s="378" t="s">
        <v>11136</v>
      </c>
      <c r="I384" s="122" t="s">
        <v>35</v>
      </c>
      <c r="J384" s="370" t="s">
        <v>11668</v>
      </c>
      <c r="K384" s="121" t="s">
        <v>29</v>
      </c>
      <c r="L384" s="370" t="s">
        <v>11670</v>
      </c>
      <c r="M384" s="355" t="s">
        <v>44</v>
      </c>
      <c r="N384" s="181" t="s">
        <v>10505</v>
      </c>
      <c r="O384" s="149" t="str">
        <f t="shared" si="18"/>
        <v>L2.02.02.06.03.01</v>
      </c>
      <c r="P384" s="317" t="str">
        <f t="shared" si="16"/>
        <v>L2.02.02.06.03.01.06</v>
      </c>
      <c r="Q384" s="318"/>
      <c r="R384" s="318" t="str">
        <f t="shared" si="25"/>
        <v>Nhóm KD Giải pháp hóa đơn điện tử</v>
      </c>
      <c r="S384" s="319" t="s">
        <v>11156</v>
      </c>
      <c r="T384" s="320"/>
      <c r="U384" s="320"/>
      <c r="V384" s="320"/>
      <c r="W384" s="320"/>
      <c r="X384" s="320"/>
      <c r="Y384" s="320"/>
      <c r="Z384" s="322"/>
      <c r="AA384" s="323"/>
      <c r="AB384" s="324"/>
      <c r="AC384" s="591" t="s">
        <v>11669</v>
      </c>
      <c r="AD384" s="324"/>
    </row>
    <row r="385" ht="15.75" customHeight="1" outlineLevel="1">
      <c r="A385" s="314" t="s">
        <v>10833</v>
      </c>
      <c r="B385" s="315" t="s">
        <v>77</v>
      </c>
      <c r="C385" s="315" t="s">
        <v>33</v>
      </c>
      <c r="D385" s="316" t="s">
        <v>11154</v>
      </c>
      <c r="E385" s="121" t="s">
        <v>33</v>
      </c>
      <c r="F385" s="369" t="s">
        <v>10992</v>
      </c>
      <c r="G385" s="122" t="s">
        <v>44</v>
      </c>
      <c r="H385" s="378" t="s">
        <v>11136</v>
      </c>
      <c r="I385" s="122" t="s">
        <v>35</v>
      </c>
      <c r="J385" s="370" t="s">
        <v>11668</v>
      </c>
      <c r="K385" s="122" t="s">
        <v>29</v>
      </c>
      <c r="L385" s="370" t="s">
        <v>11670</v>
      </c>
      <c r="M385" s="122" t="s">
        <v>33</v>
      </c>
      <c r="N385" s="123" t="s">
        <v>10499</v>
      </c>
      <c r="O385" s="149" t="str">
        <f t="shared" si="18"/>
        <v>L2.02.02.06.03.01</v>
      </c>
      <c r="P385" s="317" t="str">
        <f t="shared" si="16"/>
        <v>L2.02.02.06.03.01.02</v>
      </c>
      <c r="Q385" s="318"/>
      <c r="R385" s="318" t="str">
        <f>if(D385&lt;&gt;"-",D385,if(AND(D385="-",J385&lt;&gt;"-"),J385,if(AND(J385="-",H385&lt;&gt;"-"),H385,"NA")))</f>
        <v>Nhóm KD Sản phẩm Hóa đơn</v>
      </c>
      <c r="S385" s="319" t="s">
        <v>11156</v>
      </c>
      <c r="T385" s="320"/>
      <c r="U385" s="320"/>
      <c r="V385" s="320"/>
      <c r="W385" s="320"/>
      <c r="X385" s="320"/>
      <c r="Y385" s="320"/>
      <c r="Z385" s="322"/>
      <c r="AA385" s="323"/>
      <c r="AB385" s="324"/>
      <c r="AC385" s="590" t="s">
        <v>11664</v>
      </c>
      <c r="AD385" s="324"/>
    </row>
    <row r="386" ht="15.75" customHeight="1" outlineLevel="1">
      <c r="A386" s="100" t="s">
        <v>10833</v>
      </c>
      <c r="B386" s="101" t="s">
        <v>77</v>
      </c>
      <c r="C386" s="101" t="s">
        <v>33</v>
      </c>
      <c r="D386" s="102" t="s">
        <v>89</v>
      </c>
      <c r="E386" s="103" t="s">
        <v>33</v>
      </c>
      <c r="F386" s="106" t="s">
        <v>10992</v>
      </c>
      <c r="G386" s="102" t="s">
        <v>44</v>
      </c>
      <c r="H386" s="373" t="s">
        <v>11136</v>
      </c>
      <c r="I386" s="102" t="s">
        <v>35</v>
      </c>
      <c r="J386" s="571" t="s">
        <v>11668</v>
      </c>
      <c r="K386" s="101" t="s">
        <v>33</v>
      </c>
      <c r="L386" s="571" t="s">
        <v>11671</v>
      </c>
      <c r="M386" s="106" t="s">
        <v>27</v>
      </c>
      <c r="N386" s="104"/>
      <c r="O386" s="136" t="str">
        <f t="shared" si="18"/>
        <v>L2.02.02.06.03.02</v>
      </c>
      <c r="P386" s="107" t="str">
        <f t="shared" si="16"/>
        <v>L2.02.02.06.03.02.00</v>
      </c>
      <c r="Q386" s="307" t="s">
        <v>10530</v>
      </c>
      <c r="R386" s="308" t="str">
        <f t="shared" ref="R386:R394" si="26">if(L386&lt;&gt;"-",L386,if(AND(L386="-",J386&lt;&gt;"-"),J386,if(AND(J386="-",H386&lt;&gt;"-"),H386,"NA")))</f>
        <v>Nhóm KD Giải pháp ký điện tử</v>
      </c>
      <c r="S386" s="309" t="s">
        <v>11152</v>
      </c>
      <c r="T386" s="310" t="s">
        <v>2609</v>
      </c>
      <c r="U386" s="310" t="s">
        <v>303</v>
      </c>
      <c r="V386" s="310" t="s">
        <v>335</v>
      </c>
      <c r="W386" s="310" t="s">
        <v>2608</v>
      </c>
      <c r="X386" s="310" t="s">
        <v>2607</v>
      </c>
      <c r="Y386" s="310"/>
      <c r="Z386" s="112" t="s">
        <v>11158</v>
      </c>
      <c r="AA386" s="312"/>
      <c r="AB386" s="313"/>
      <c r="AC386" s="590" t="s">
        <v>11664</v>
      </c>
      <c r="AD386" s="313"/>
    </row>
    <row r="387" ht="15.75" customHeight="1" outlineLevel="1">
      <c r="A387" s="314" t="s">
        <v>10833</v>
      </c>
      <c r="B387" s="315" t="s">
        <v>77</v>
      </c>
      <c r="C387" s="315" t="s">
        <v>33</v>
      </c>
      <c r="D387" s="122" t="s">
        <v>89</v>
      </c>
      <c r="E387" s="121" t="s">
        <v>33</v>
      </c>
      <c r="F387" s="369" t="s">
        <v>10992</v>
      </c>
      <c r="G387" s="122" t="s">
        <v>44</v>
      </c>
      <c r="H387" s="378" t="s">
        <v>11136</v>
      </c>
      <c r="I387" s="122" t="s">
        <v>35</v>
      </c>
      <c r="J387" s="370" t="s">
        <v>11668</v>
      </c>
      <c r="K387" s="315" t="s">
        <v>33</v>
      </c>
      <c r="L387" s="370" t="s">
        <v>11671</v>
      </c>
      <c r="M387" s="355" t="s">
        <v>44</v>
      </c>
      <c r="N387" s="181" t="s">
        <v>10505</v>
      </c>
      <c r="O387" s="149" t="str">
        <f t="shared" si="18"/>
        <v>L2.02.02.06.03.02</v>
      </c>
      <c r="P387" s="317" t="str">
        <f t="shared" si="16"/>
        <v>L2.02.02.06.03.02.06</v>
      </c>
      <c r="Q387" s="318"/>
      <c r="R387" s="318" t="str">
        <f t="shared" si="26"/>
        <v>Nhóm KD Giải pháp ký điện tử</v>
      </c>
      <c r="S387" s="319" t="s">
        <v>11159</v>
      </c>
      <c r="T387" s="320"/>
      <c r="U387" s="320"/>
      <c r="V387" s="320"/>
      <c r="W387" s="320"/>
      <c r="X387" s="320"/>
      <c r="Y387" s="320"/>
      <c r="Z387" s="322"/>
      <c r="AA387" s="323"/>
      <c r="AB387" s="324"/>
      <c r="AC387" s="591" t="s">
        <v>11669</v>
      </c>
      <c r="AD387" s="324"/>
    </row>
    <row r="388" ht="15.75" customHeight="1" outlineLevel="1">
      <c r="A388" s="314" t="s">
        <v>10833</v>
      </c>
      <c r="B388" s="315" t="s">
        <v>77</v>
      </c>
      <c r="C388" s="315" t="s">
        <v>33</v>
      </c>
      <c r="D388" s="122" t="s">
        <v>89</v>
      </c>
      <c r="E388" s="121" t="s">
        <v>33</v>
      </c>
      <c r="F388" s="369" t="s">
        <v>10992</v>
      </c>
      <c r="G388" s="122" t="s">
        <v>44</v>
      </c>
      <c r="H388" s="378" t="s">
        <v>11136</v>
      </c>
      <c r="I388" s="122" t="s">
        <v>35</v>
      </c>
      <c r="J388" s="370" t="s">
        <v>11668</v>
      </c>
      <c r="K388" s="315" t="s">
        <v>33</v>
      </c>
      <c r="L388" s="370" t="s">
        <v>11671</v>
      </c>
      <c r="M388" s="122" t="s">
        <v>33</v>
      </c>
      <c r="N388" s="123" t="s">
        <v>10499</v>
      </c>
      <c r="O388" s="149" t="str">
        <f t="shared" si="18"/>
        <v>L2.02.02.06.03.02</v>
      </c>
      <c r="P388" s="317" t="str">
        <f t="shared" si="16"/>
        <v>L2.02.02.06.03.02.02</v>
      </c>
      <c r="Q388" s="318"/>
      <c r="R388" s="318" t="str">
        <f t="shared" si="26"/>
        <v>Nhóm KD Giải pháp ký điện tử</v>
      </c>
      <c r="S388" s="319" t="s">
        <v>11159</v>
      </c>
      <c r="T388" s="320"/>
      <c r="U388" s="320"/>
      <c r="V388" s="320"/>
      <c r="W388" s="320"/>
      <c r="X388" s="320"/>
      <c r="Y388" s="320"/>
      <c r="Z388" s="322"/>
      <c r="AA388" s="323"/>
      <c r="AB388" s="324"/>
      <c r="AC388" s="590" t="s">
        <v>11664</v>
      </c>
      <c r="AD388" s="324"/>
    </row>
    <row r="389" ht="15.75" customHeight="1" outlineLevel="1">
      <c r="A389" s="261" t="s">
        <v>10833</v>
      </c>
      <c r="B389" s="231" t="s">
        <v>77</v>
      </c>
      <c r="C389" s="231" t="s">
        <v>33</v>
      </c>
      <c r="D389" s="157" t="s">
        <v>89</v>
      </c>
      <c r="E389" s="297" t="s">
        <v>33</v>
      </c>
      <c r="F389" s="168" t="s">
        <v>10992</v>
      </c>
      <c r="G389" s="157" t="s">
        <v>44</v>
      </c>
      <c r="H389" s="371" t="s">
        <v>11136</v>
      </c>
      <c r="I389" s="157" t="s">
        <v>35</v>
      </c>
      <c r="J389" s="212" t="s">
        <v>11668</v>
      </c>
      <c r="K389" s="168" t="s">
        <v>37</v>
      </c>
      <c r="L389" s="167" t="s">
        <v>146</v>
      </c>
      <c r="M389" s="157" t="s">
        <v>44</v>
      </c>
      <c r="N389" s="167" t="s">
        <v>10505</v>
      </c>
      <c r="O389" s="55" t="str">
        <f t="shared" si="18"/>
        <v>L2.02.02.06.03.04</v>
      </c>
      <c r="P389" s="257" t="str">
        <f t="shared" si="16"/>
        <v>L2.02.02.06.03.04.06</v>
      </c>
      <c r="Q389" s="161" t="s">
        <v>10530</v>
      </c>
      <c r="R389" s="299" t="str">
        <f t="shared" si="26"/>
        <v>Nhóm Marketing SP Hóa đơn, ký điện tử</v>
      </c>
      <c r="S389" s="269" t="s">
        <v>11152</v>
      </c>
      <c r="T389" s="379" t="s">
        <v>4790</v>
      </c>
      <c r="U389" s="380" t="s">
        <v>303</v>
      </c>
      <c r="V389" s="380" t="s">
        <v>335</v>
      </c>
      <c r="W389" s="381" t="s">
        <v>1963</v>
      </c>
      <c r="X389" s="381" t="s">
        <v>11160</v>
      </c>
      <c r="Y389" s="183"/>
      <c r="Z389" s="112" t="s">
        <v>11161</v>
      </c>
      <c r="AA389" s="266"/>
      <c r="AB389" s="267"/>
      <c r="AC389" s="590" t="s">
        <v>11664</v>
      </c>
      <c r="AD389" s="267"/>
    </row>
    <row r="390" ht="15.75" customHeight="1" outlineLevel="1">
      <c r="A390" s="100" t="s">
        <v>10833</v>
      </c>
      <c r="B390" s="101" t="s">
        <v>77</v>
      </c>
      <c r="C390" s="101" t="s">
        <v>33</v>
      </c>
      <c r="D390" s="102" t="s">
        <v>89</v>
      </c>
      <c r="E390" s="103" t="s">
        <v>33</v>
      </c>
      <c r="F390" s="106" t="s">
        <v>10992</v>
      </c>
      <c r="G390" s="102" t="s">
        <v>44</v>
      </c>
      <c r="H390" s="373" t="s">
        <v>11136</v>
      </c>
      <c r="I390" s="102" t="s">
        <v>42</v>
      </c>
      <c r="J390" s="104" t="s">
        <v>148</v>
      </c>
      <c r="K390" s="103" t="s">
        <v>27</v>
      </c>
      <c r="L390" s="102" t="s">
        <v>4</v>
      </c>
      <c r="M390" s="106" t="s">
        <v>27</v>
      </c>
      <c r="N390" s="104"/>
      <c r="O390" s="136" t="str">
        <f t="shared" si="18"/>
        <v>L2.02.02.06.05.00</v>
      </c>
      <c r="P390" s="107" t="str">
        <f t="shared" si="16"/>
        <v>L2.02.02.06.05.00.00</v>
      </c>
      <c r="Q390" s="307" t="s">
        <v>10530</v>
      </c>
      <c r="R390" s="308" t="str">
        <f t="shared" si="26"/>
        <v>Nhóm MDR</v>
      </c>
      <c r="S390" s="107" t="s">
        <v>11137</v>
      </c>
      <c r="T390" s="310" t="s">
        <v>2532</v>
      </c>
      <c r="U390" s="310" t="s">
        <v>303</v>
      </c>
      <c r="V390" s="310" t="s">
        <v>335</v>
      </c>
      <c r="W390" s="310" t="s">
        <v>336</v>
      </c>
      <c r="X390" s="310" t="s">
        <v>148</v>
      </c>
      <c r="Y390" s="310"/>
      <c r="Z390" s="112" t="s">
        <v>11162</v>
      </c>
      <c r="AA390" s="312"/>
      <c r="AB390" s="313"/>
      <c r="AC390" s="313"/>
      <c r="AD390" s="313"/>
    </row>
    <row r="391" ht="15.75" customHeight="1" outlineLevel="1">
      <c r="A391" s="314" t="s">
        <v>10833</v>
      </c>
      <c r="B391" s="315" t="s">
        <v>77</v>
      </c>
      <c r="C391" s="315" t="s">
        <v>33</v>
      </c>
      <c r="D391" s="122" t="s">
        <v>89</v>
      </c>
      <c r="E391" s="121" t="s">
        <v>33</v>
      </c>
      <c r="F391" s="369" t="s">
        <v>10992</v>
      </c>
      <c r="G391" s="122" t="s">
        <v>44</v>
      </c>
      <c r="H391" s="378" t="s">
        <v>11136</v>
      </c>
      <c r="I391" s="122" t="s">
        <v>42</v>
      </c>
      <c r="J391" s="123" t="s">
        <v>148</v>
      </c>
      <c r="K391" s="121" t="s">
        <v>27</v>
      </c>
      <c r="L391" s="122" t="s">
        <v>4</v>
      </c>
      <c r="M391" s="122" t="s">
        <v>44</v>
      </c>
      <c r="N391" s="123" t="s">
        <v>10505</v>
      </c>
      <c r="O391" s="149" t="str">
        <f t="shared" si="18"/>
        <v>L2.02.02.06.05.00</v>
      </c>
      <c r="P391" s="317" t="str">
        <f t="shared" si="16"/>
        <v>L2.02.02.06.05.00.06</v>
      </c>
      <c r="Q391" s="318"/>
      <c r="R391" s="318" t="str">
        <f t="shared" si="26"/>
        <v>Nhóm MDR</v>
      </c>
      <c r="S391" s="317" t="s">
        <v>11163</v>
      </c>
      <c r="T391" s="320"/>
      <c r="U391" s="320"/>
      <c r="V391" s="320"/>
      <c r="W391" s="320"/>
      <c r="X391" s="320"/>
      <c r="Y391" s="320"/>
      <c r="Z391" s="322"/>
      <c r="AA391" s="323"/>
      <c r="AB391" s="324"/>
      <c r="AC391" s="324"/>
      <c r="AD391" s="324"/>
    </row>
    <row r="392" ht="15.75" customHeight="1" outlineLevel="1">
      <c r="A392" s="314" t="s">
        <v>10833</v>
      </c>
      <c r="B392" s="315" t="s">
        <v>77</v>
      </c>
      <c r="C392" s="315" t="s">
        <v>33</v>
      </c>
      <c r="D392" s="122" t="s">
        <v>89</v>
      </c>
      <c r="E392" s="121" t="s">
        <v>33</v>
      </c>
      <c r="F392" s="369" t="s">
        <v>10992</v>
      </c>
      <c r="G392" s="122" t="s">
        <v>44</v>
      </c>
      <c r="H392" s="378" t="s">
        <v>11136</v>
      </c>
      <c r="I392" s="122" t="s">
        <v>42</v>
      </c>
      <c r="J392" s="123" t="s">
        <v>148</v>
      </c>
      <c r="K392" s="121" t="s">
        <v>27</v>
      </c>
      <c r="L392" s="122" t="s">
        <v>4</v>
      </c>
      <c r="M392" s="122" t="s">
        <v>33</v>
      </c>
      <c r="N392" s="123" t="s">
        <v>10499</v>
      </c>
      <c r="O392" s="149" t="str">
        <f t="shared" si="18"/>
        <v>L2.02.02.06.05.00</v>
      </c>
      <c r="P392" s="317" t="str">
        <f t="shared" si="16"/>
        <v>L2.02.02.06.05.00.02</v>
      </c>
      <c r="Q392" s="318"/>
      <c r="R392" s="318" t="str">
        <f t="shared" si="26"/>
        <v>Nhóm MDR</v>
      </c>
      <c r="S392" s="317" t="s">
        <v>11163</v>
      </c>
      <c r="T392" s="320"/>
      <c r="U392" s="320"/>
      <c r="V392" s="320"/>
      <c r="W392" s="320"/>
      <c r="X392" s="320"/>
      <c r="Y392" s="320"/>
      <c r="Z392" s="322"/>
      <c r="AA392" s="323"/>
      <c r="AB392" s="324"/>
      <c r="AC392" s="324"/>
      <c r="AD392" s="324"/>
    </row>
    <row r="393" ht="15.75" customHeight="1" outlineLevel="1">
      <c r="A393" s="261" t="s">
        <v>10833</v>
      </c>
      <c r="B393" s="231" t="s">
        <v>77</v>
      </c>
      <c r="C393" s="231" t="s">
        <v>33</v>
      </c>
      <c r="D393" s="157" t="s">
        <v>89</v>
      </c>
      <c r="E393" s="297" t="s">
        <v>33</v>
      </c>
      <c r="F393" s="168" t="s">
        <v>10992</v>
      </c>
      <c r="G393" s="157" t="s">
        <v>44</v>
      </c>
      <c r="H393" s="371" t="s">
        <v>11136</v>
      </c>
      <c r="I393" s="157" t="s">
        <v>37</v>
      </c>
      <c r="J393" s="167" t="s">
        <v>147</v>
      </c>
      <c r="K393" s="297" t="s">
        <v>27</v>
      </c>
      <c r="L393" s="157" t="s">
        <v>4</v>
      </c>
      <c r="M393" s="157" t="s">
        <v>44</v>
      </c>
      <c r="N393" s="167" t="s">
        <v>10505</v>
      </c>
      <c r="O393" s="55" t="str">
        <f t="shared" si="18"/>
        <v>L2.02.02.06.04.00</v>
      </c>
      <c r="P393" s="257" t="str">
        <f t="shared" si="16"/>
        <v>L2.02.02.06.04.00.06</v>
      </c>
      <c r="Q393" s="161" t="s">
        <v>10530</v>
      </c>
      <c r="R393" s="299" t="str">
        <f t="shared" si="26"/>
        <v>Nhóm KD Automation sales</v>
      </c>
      <c r="S393" s="257" t="s">
        <v>11137</v>
      </c>
      <c r="T393" s="264" t="s">
        <v>11164</v>
      </c>
      <c r="U393" s="265" t="s">
        <v>303</v>
      </c>
      <c r="V393" s="265" t="s">
        <v>335</v>
      </c>
      <c r="W393" s="167" t="s">
        <v>147</v>
      </c>
      <c r="X393" s="265"/>
      <c r="Y393" s="265"/>
      <c r="Z393" s="225" t="s">
        <v>11165</v>
      </c>
      <c r="AA393" s="266"/>
      <c r="AB393" s="267"/>
      <c r="AC393" s="267"/>
      <c r="AD393" s="267"/>
    </row>
    <row r="394" ht="15.75" customHeight="1">
      <c r="A394" s="268" t="s">
        <v>11166</v>
      </c>
      <c r="B394" s="66"/>
      <c r="C394" s="66"/>
      <c r="D394" s="66"/>
      <c r="E394" s="67"/>
      <c r="F394" s="66"/>
      <c r="G394" s="66"/>
      <c r="H394" s="68"/>
      <c r="I394" s="66"/>
      <c r="J394" s="382"/>
      <c r="K394" s="383"/>
      <c r="L394" s="384"/>
      <c r="M394" s="383"/>
      <c r="N394" s="384"/>
      <c r="O394" s="55" t="str">
        <f t="shared" si="18"/>
        <v>Khối doanh nghiệp vừa.....</v>
      </c>
      <c r="P394" s="69"/>
      <c r="Q394" s="169"/>
      <c r="R394" s="169" t="str">
        <f t="shared" si="26"/>
        <v/>
      </c>
      <c r="S394" s="96"/>
      <c r="T394" s="96"/>
      <c r="U394" s="96"/>
      <c r="V394" s="96"/>
      <c r="W394" s="96"/>
      <c r="X394" s="96"/>
      <c r="Y394" s="96"/>
      <c r="Z394" s="152"/>
      <c r="AA394" s="99"/>
      <c r="AB394" s="91"/>
      <c r="AC394" s="91"/>
      <c r="AD394" s="91"/>
    </row>
    <row r="395" ht="15.75" customHeight="1" outlineLevel="1">
      <c r="A395" s="261" t="s">
        <v>10833</v>
      </c>
      <c r="B395" s="231" t="s">
        <v>77</v>
      </c>
      <c r="C395" s="231" t="s">
        <v>33</v>
      </c>
      <c r="D395" s="157" t="s">
        <v>89</v>
      </c>
      <c r="E395" s="297" t="s">
        <v>35</v>
      </c>
      <c r="F395" s="168" t="s">
        <v>11167</v>
      </c>
      <c r="G395" s="168" t="s">
        <v>27</v>
      </c>
      <c r="H395" s="262" t="s">
        <v>4</v>
      </c>
      <c r="I395" s="297" t="s">
        <v>27</v>
      </c>
      <c r="J395" s="157" t="s">
        <v>4</v>
      </c>
      <c r="K395" s="297" t="s">
        <v>27</v>
      </c>
      <c r="L395" s="157" t="s">
        <v>4</v>
      </c>
      <c r="M395" s="168" t="s">
        <v>27</v>
      </c>
      <c r="N395" s="262" t="s">
        <v>4</v>
      </c>
      <c r="O395" s="55" t="str">
        <f t="shared" si="18"/>
        <v>L2.02.03.00.00.00</v>
      </c>
      <c r="P395" s="257" t="str">
        <f t="shared" ref="P395:P534" si="27">A395&amp;"."&amp;C395&amp;"."&amp;E395&amp;"."&amp;G395&amp;"."&amp;I395&amp;"."&amp;K395&amp;"."&amp;M395</f>
        <v>L2.02.03.00.00.00.00</v>
      </c>
      <c r="Q395" s="161" t="s">
        <v>10530</v>
      </c>
      <c r="R395" s="263" t="s">
        <v>11168</v>
      </c>
      <c r="S395" s="269" t="s">
        <v>10916</v>
      </c>
      <c r="T395" s="265"/>
      <c r="U395" s="265"/>
      <c r="V395" s="265"/>
      <c r="W395" s="265"/>
      <c r="X395" s="265"/>
      <c r="Y395" s="264" t="s">
        <v>11089</v>
      </c>
      <c r="Z395" s="225" t="s">
        <v>11169</v>
      </c>
      <c r="AA395" s="266"/>
      <c r="AB395" s="267"/>
      <c r="AC395" s="267"/>
      <c r="AD395" s="267"/>
    </row>
    <row r="396" ht="15.75" customHeight="1" outlineLevel="1">
      <c r="A396" s="228" t="s">
        <v>10833</v>
      </c>
      <c r="B396" s="270" t="s">
        <v>77</v>
      </c>
      <c r="C396" s="270" t="s">
        <v>33</v>
      </c>
      <c r="D396" s="209" t="s">
        <v>89</v>
      </c>
      <c r="E396" s="271" t="s">
        <v>35</v>
      </c>
      <c r="F396" s="182" t="s">
        <v>11167</v>
      </c>
      <c r="G396" s="209" t="s">
        <v>29</v>
      </c>
      <c r="H396" s="181" t="s">
        <v>150</v>
      </c>
      <c r="I396" s="271" t="s">
        <v>27</v>
      </c>
      <c r="J396" s="209" t="s">
        <v>4</v>
      </c>
      <c r="K396" s="271" t="s">
        <v>27</v>
      </c>
      <c r="L396" s="209" t="s">
        <v>4</v>
      </c>
      <c r="M396" s="182" t="s">
        <v>27</v>
      </c>
      <c r="N396" s="212" t="s">
        <v>4</v>
      </c>
      <c r="O396" s="58" t="str">
        <f t="shared" si="18"/>
        <v>L2.02.03.01.00.00</v>
      </c>
      <c r="P396" s="272" t="str">
        <f t="shared" si="27"/>
        <v>L2.02.03.01.00.00.00</v>
      </c>
      <c r="Q396" s="185" t="s">
        <v>10530</v>
      </c>
      <c r="R396" s="273" t="str">
        <f t="shared" ref="R396:R535" si="28">if(L396&lt;&gt;"-",L396,if(AND(L396="-",J396&lt;&gt;"-"),J396,if(AND(J396="-",H396&lt;&gt;"-"),H396,"NA")))</f>
        <v>Ban Giám đốc khối DN Vừa</v>
      </c>
      <c r="S396" s="274" t="s">
        <v>11170</v>
      </c>
      <c r="T396" s="183"/>
      <c r="U396" s="183"/>
      <c r="V396" s="183"/>
      <c r="W396" s="183"/>
      <c r="X396" s="183"/>
      <c r="Y396" s="184" t="s">
        <v>11089</v>
      </c>
      <c r="Z396" s="275" t="s">
        <v>11171</v>
      </c>
      <c r="AA396" s="276"/>
      <c r="AB396" s="277"/>
      <c r="AC396" s="566" t="s">
        <v>11672</v>
      </c>
      <c r="AD396" s="277"/>
    </row>
    <row r="397" ht="15.75" customHeight="1" outlineLevel="1">
      <c r="A397" s="261" t="s">
        <v>10833</v>
      </c>
      <c r="B397" s="231" t="s">
        <v>77</v>
      </c>
      <c r="C397" s="231" t="s">
        <v>33</v>
      </c>
      <c r="D397" s="157" t="s">
        <v>89</v>
      </c>
      <c r="E397" s="297" t="s">
        <v>35</v>
      </c>
      <c r="F397" s="168" t="s">
        <v>11167</v>
      </c>
      <c r="G397" s="157" t="s">
        <v>33</v>
      </c>
      <c r="H397" s="212" t="s">
        <v>11172</v>
      </c>
      <c r="I397" s="168" t="s">
        <v>27</v>
      </c>
      <c r="J397" s="258" t="s">
        <v>4</v>
      </c>
      <c r="K397" s="297" t="s">
        <v>27</v>
      </c>
      <c r="L397" s="157" t="s">
        <v>4</v>
      </c>
      <c r="M397" s="157" t="s">
        <v>29</v>
      </c>
      <c r="N397" s="167" t="s">
        <v>10498</v>
      </c>
      <c r="O397" s="55" t="str">
        <f t="shared" si="18"/>
        <v>L2.02.03.02.00.00</v>
      </c>
      <c r="P397" s="257" t="str">
        <f t="shared" si="27"/>
        <v>L2.02.03.02.00.00.01</v>
      </c>
      <c r="Q397" s="161" t="s">
        <v>10530</v>
      </c>
      <c r="R397" s="273" t="str">
        <f t="shared" si="28"/>
        <v>Trung tâm KD giải pháp DN Vừa - Hà Nội</v>
      </c>
      <c r="S397" s="269" t="s">
        <v>11170</v>
      </c>
      <c r="T397" s="264" t="s">
        <v>11173</v>
      </c>
      <c r="U397" s="265" t="s">
        <v>346</v>
      </c>
      <c r="V397" s="265" t="s">
        <v>275</v>
      </c>
      <c r="W397" s="265"/>
      <c r="X397" s="265"/>
      <c r="Y397" s="265"/>
      <c r="Z397" s="225" t="s">
        <v>11174</v>
      </c>
      <c r="AA397" s="300" t="s">
        <v>10530</v>
      </c>
      <c r="AB397" s="267"/>
      <c r="AC397" s="566" t="s">
        <v>11672</v>
      </c>
      <c r="AD397" s="267"/>
    </row>
    <row r="398" ht="15.75" customHeight="1" outlineLevel="1">
      <c r="A398" s="261" t="s">
        <v>10833</v>
      </c>
      <c r="B398" s="231" t="s">
        <v>77</v>
      </c>
      <c r="C398" s="231" t="s">
        <v>33</v>
      </c>
      <c r="D398" s="157" t="s">
        <v>89</v>
      </c>
      <c r="E398" s="297" t="s">
        <v>35</v>
      </c>
      <c r="F398" s="168" t="s">
        <v>11167</v>
      </c>
      <c r="G398" s="157" t="s">
        <v>33</v>
      </c>
      <c r="H398" s="212" t="s">
        <v>11172</v>
      </c>
      <c r="I398" s="157" t="s">
        <v>29</v>
      </c>
      <c r="J398" s="257" t="s">
        <v>155</v>
      </c>
      <c r="K398" s="297" t="s">
        <v>27</v>
      </c>
      <c r="L398" s="157" t="s">
        <v>4</v>
      </c>
      <c r="M398" s="157" t="s">
        <v>29</v>
      </c>
      <c r="N398" s="167" t="s">
        <v>10498</v>
      </c>
      <c r="O398" s="55" t="str">
        <f t="shared" si="18"/>
        <v>L2.02.03.02.01.00</v>
      </c>
      <c r="P398" s="257" t="str">
        <f t="shared" si="27"/>
        <v>L2.02.03.02.01.00.01</v>
      </c>
      <c r="Q398" s="161" t="s">
        <v>10530</v>
      </c>
      <c r="R398" s="299" t="str">
        <f t="shared" si="28"/>
        <v>Ban Giám đốc</v>
      </c>
      <c r="S398" s="269" t="s">
        <v>11175</v>
      </c>
      <c r="T398" s="265" t="s">
        <v>7285</v>
      </c>
      <c r="U398" s="265" t="s">
        <v>346</v>
      </c>
      <c r="V398" s="265" t="s">
        <v>275</v>
      </c>
      <c r="W398" s="265" t="s">
        <v>155</v>
      </c>
      <c r="X398" s="265"/>
      <c r="Y398" s="265"/>
      <c r="Z398" s="225" t="s">
        <v>11176</v>
      </c>
      <c r="AA398" s="300" t="s">
        <v>10530</v>
      </c>
      <c r="AB398" s="267"/>
      <c r="AC398" s="566" t="s">
        <v>11672</v>
      </c>
      <c r="AD398" s="267"/>
    </row>
    <row r="399" ht="15.75" customHeight="1" outlineLevel="1">
      <c r="A399" s="228" t="s">
        <v>10833</v>
      </c>
      <c r="B399" s="270" t="s">
        <v>77</v>
      </c>
      <c r="C399" s="270" t="s">
        <v>33</v>
      </c>
      <c r="D399" s="209" t="s">
        <v>89</v>
      </c>
      <c r="E399" s="271" t="s">
        <v>35</v>
      </c>
      <c r="F399" s="182" t="s">
        <v>11167</v>
      </c>
      <c r="G399" s="209" t="s">
        <v>33</v>
      </c>
      <c r="H399" s="212" t="s">
        <v>11172</v>
      </c>
      <c r="I399" s="228">
        <v>98.0</v>
      </c>
      <c r="J399" s="303" t="s">
        <v>156</v>
      </c>
      <c r="K399" s="271" t="s">
        <v>27</v>
      </c>
      <c r="L399" s="209" t="s">
        <v>4</v>
      </c>
      <c r="M399" s="209" t="s">
        <v>29</v>
      </c>
      <c r="N399" s="181" t="s">
        <v>10498</v>
      </c>
      <c r="O399" s="58"/>
      <c r="P399" s="272" t="str">
        <f t="shared" si="27"/>
        <v>L2.02.03.02.98.00.01</v>
      </c>
      <c r="Q399" s="185" t="s">
        <v>10530</v>
      </c>
      <c r="R399" s="299" t="str">
        <f t="shared" si="28"/>
        <v>Phòng KD Bán mới</v>
      </c>
      <c r="S399" s="274" t="str">
        <f>P397</f>
        <v>L2.02.03.02.00.00.01</v>
      </c>
      <c r="T399" s="184"/>
      <c r="U399" s="183"/>
      <c r="V399" s="183"/>
      <c r="W399" s="183"/>
      <c r="X399" s="183"/>
      <c r="Y399" s="184"/>
      <c r="Z399" s="275"/>
      <c r="AA399" s="276"/>
      <c r="AB399" s="277"/>
      <c r="AC399" s="566" t="s">
        <v>11673</v>
      </c>
      <c r="AD399" s="277"/>
    </row>
    <row r="400" ht="15.75" customHeight="1" outlineLevel="1">
      <c r="A400" s="261" t="s">
        <v>10833</v>
      </c>
      <c r="B400" s="231" t="s">
        <v>77</v>
      </c>
      <c r="C400" s="231" t="s">
        <v>33</v>
      </c>
      <c r="D400" s="157" t="s">
        <v>89</v>
      </c>
      <c r="E400" s="297" t="s">
        <v>35</v>
      </c>
      <c r="F400" s="168" t="s">
        <v>11167</v>
      </c>
      <c r="G400" s="157" t="s">
        <v>33</v>
      </c>
      <c r="H400" s="212" t="s">
        <v>11172</v>
      </c>
      <c r="I400" s="157" t="s">
        <v>33</v>
      </c>
      <c r="J400" s="301" t="s">
        <v>157</v>
      </c>
      <c r="K400" s="168" t="s">
        <v>27</v>
      </c>
      <c r="L400" s="157" t="s">
        <v>4</v>
      </c>
      <c r="M400" s="157" t="s">
        <v>29</v>
      </c>
      <c r="N400" s="167" t="s">
        <v>10498</v>
      </c>
      <c r="O400" s="159" t="str">
        <f t="shared" ref="O400:O719" si="29">A400&amp;"."&amp;C400&amp;"."&amp;E400&amp;"."&amp;G400&amp;"."&amp;I400&amp;"."&amp;K400</f>
        <v>L2.02.03.02.02.00</v>
      </c>
      <c r="P400" s="257" t="str">
        <f t="shared" si="27"/>
        <v>L2.02.03.02.02.00.01</v>
      </c>
      <c r="Q400" s="160" t="s">
        <v>10530</v>
      </c>
      <c r="R400" s="299" t="str">
        <f t="shared" si="28"/>
        <v>Phòng KD Bán mới 01</v>
      </c>
      <c r="S400" s="269" t="str">
        <f>P399</f>
        <v>L2.02.03.02.98.00.01</v>
      </c>
      <c r="T400" s="592" t="s">
        <v>11674</v>
      </c>
      <c r="U400" s="265" t="s">
        <v>346</v>
      </c>
      <c r="V400" s="265" t="s">
        <v>275</v>
      </c>
      <c r="W400" s="265" t="str">
        <f>J400</f>
        <v>Phòng KD Bán mới 01</v>
      </c>
      <c r="X400" s="265"/>
      <c r="Y400" s="264"/>
      <c r="Z400" s="275" t="s">
        <v>11177</v>
      </c>
      <c r="AA400" s="266"/>
      <c r="AB400" s="267"/>
      <c r="AC400" s="566" t="s">
        <v>11675</v>
      </c>
      <c r="AD400" s="267"/>
    </row>
    <row r="401" ht="15.75" customHeight="1" outlineLevel="1">
      <c r="A401" s="261" t="s">
        <v>10833</v>
      </c>
      <c r="B401" s="231" t="s">
        <v>77</v>
      </c>
      <c r="C401" s="231" t="s">
        <v>33</v>
      </c>
      <c r="D401" s="157" t="s">
        <v>89</v>
      </c>
      <c r="E401" s="297" t="s">
        <v>35</v>
      </c>
      <c r="F401" s="168" t="s">
        <v>11167</v>
      </c>
      <c r="G401" s="157" t="s">
        <v>33</v>
      </c>
      <c r="H401" s="212" t="s">
        <v>11172</v>
      </c>
      <c r="I401" s="157" t="s">
        <v>33</v>
      </c>
      <c r="J401" s="301" t="s">
        <v>157</v>
      </c>
      <c r="K401" s="168" t="s">
        <v>29</v>
      </c>
      <c r="L401" s="301" t="s">
        <v>11178</v>
      </c>
      <c r="M401" s="157" t="s">
        <v>29</v>
      </c>
      <c r="N401" s="167" t="s">
        <v>10498</v>
      </c>
      <c r="O401" s="159" t="str">
        <f t="shared" si="29"/>
        <v>L2.02.03.02.02.01</v>
      </c>
      <c r="P401" s="257" t="str">
        <f t="shared" si="27"/>
        <v>L2.02.03.02.02.01.01</v>
      </c>
      <c r="Q401" s="160" t="s">
        <v>10530</v>
      </c>
      <c r="R401" s="299" t="str">
        <f t="shared" si="28"/>
        <v>Nhóm Quản lý 01</v>
      </c>
      <c r="S401" s="269" t="s">
        <v>11179</v>
      </c>
      <c r="T401" s="592" t="s">
        <v>11676</v>
      </c>
      <c r="U401" s="265"/>
      <c r="V401" s="265"/>
      <c r="W401" s="265"/>
      <c r="X401" s="265"/>
      <c r="Y401" s="264"/>
      <c r="Z401" s="275" t="s">
        <v>11180</v>
      </c>
      <c r="AA401" s="266"/>
      <c r="AB401" s="267"/>
      <c r="AC401" s="566" t="s">
        <v>11675</v>
      </c>
      <c r="AD401" s="267"/>
    </row>
    <row r="402" ht="15.75" customHeight="1" outlineLevel="1">
      <c r="A402" s="261" t="s">
        <v>10833</v>
      </c>
      <c r="B402" s="231" t="s">
        <v>77</v>
      </c>
      <c r="C402" s="231" t="s">
        <v>33</v>
      </c>
      <c r="D402" s="157" t="s">
        <v>89</v>
      </c>
      <c r="E402" s="297" t="s">
        <v>35</v>
      </c>
      <c r="F402" s="168" t="s">
        <v>11167</v>
      </c>
      <c r="G402" s="157" t="s">
        <v>33</v>
      </c>
      <c r="H402" s="212" t="s">
        <v>11172</v>
      </c>
      <c r="I402" s="157" t="s">
        <v>33</v>
      </c>
      <c r="J402" s="301" t="s">
        <v>157</v>
      </c>
      <c r="K402" s="261" t="s">
        <v>33</v>
      </c>
      <c r="L402" s="301" t="s">
        <v>11181</v>
      </c>
      <c r="M402" s="157" t="s">
        <v>29</v>
      </c>
      <c r="N402" s="167" t="s">
        <v>10498</v>
      </c>
      <c r="O402" s="159" t="str">
        <f t="shared" si="29"/>
        <v>L2.02.03.02.02.02</v>
      </c>
      <c r="P402" s="257" t="str">
        <f t="shared" si="27"/>
        <v>L2.02.03.02.02.02.01</v>
      </c>
      <c r="Q402" s="160" t="s">
        <v>10530</v>
      </c>
      <c r="R402" s="299" t="str">
        <f t="shared" si="28"/>
        <v>Nhóm KD MISA AMIS Kế toán 01</v>
      </c>
      <c r="S402" s="269" t="s">
        <v>11179</v>
      </c>
      <c r="T402" s="592" t="s">
        <v>11677</v>
      </c>
      <c r="U402" s="265"/>
      <c r="V402" s="265"/>
      <c r="W402" s="265"/>
      <c r="X402" s="265"/>
      <c r="Y402" s="264"/>
      <c r="Z402" s="275" t="s">
        <v>11182</v>
      </c>
      <c r="AA402" s="266"/>
      <c r="AB402" s="267"/>
      <c r="AC402" s="566" t="s">
        <v>11675</v>
      </c>
      <c r="AD402" s="267"/>
    </row>
    <row r="403" ht="15.75" customHeight="1" outlineLevel="1">
      <c r="A403" s="261" t="s">
        <v>10833</v>
      </c>
      <c r="B403" s="231" t="s">
        <v>77</v>
      </c>
      <c r="C403" s="231" t="s">
        <v>33</v>
      </c>
      <c r="D403" s="157" t="s">
        <v>89</v>
      </c>
      <c r="E403" s="297" t="s">
        <v>35</v>
      </c>
      <c r="F403" s="168" t="s">
        <v>11167</v>
      </c>
      <c r="G403" s="157" t="s">
        <v>33</v>
      </c>
      <c r="H403" s="212" t="s">
        <v>11172</v>
      </c>
      <c r="I403" s="157" t="s">
        <v>33</v>
      </c>
      <c r="J403" s="301" t="s">
        <v>157</v>
      </c>
      <c r="K403" s="261" t="s">
        <v>35</v>
      </c>
      <c r="L403" s="301" t="s">
        <v>11183</v>
      </c>
      <c r="M403" s="157" t="s">
        <v>29</v>
      </c>
      <c r="N403" s="167" t="s">
        <v>10498</v>
      </c>
      <c r="O403" s="159" t="str">
        <f t="shared" si="29"/>
        <v>L2.02.03.02.02.03</v>
      </c>
      <c r="P403" s="257" t="str">
        <f t="shared" si="27"/>
        <v>L2.02.03.02.02.03.01</v>
      </c>
      <c r="Q403" s="160" t="s">
        <v>10530</v>
      </c>
      <c r="R403" s="299" t="str">
        <f t="shared" si="28"/>
        <v>Nhóm KD MISA AMIS Điều hành 01</v>
      </c>
      <c r="S403" s="269" t="s">
        <v>11179</v>
      </c>
      <c r="T403" s="592" t="s">
        <v>11678</v>
      </c>
      <c r="U403" s="265"/>
      <c r="V403" s="265"/>
      <c r="W403" s="265"/>
      <c r="X403" s="265"/>
      <c r="Y403" s="264"/>
      <c r="Z403" s="275" t="s">
        <v>11184</v>
      </c>
      <c r="AA403" s="266"/>
      <c r="AB403" s="267"/>
      <c r="AC403" s="566" t="s">
        <v>11675</v>
      </c>
      <c r="AD403" s="267"/>
    </row>
    <row r="404" ht="15.75" customHeight="1" outlineLevel="1">
      <c r="A404" s="385" t="s">
        <v>10833</v>
      </c>
      <c r="B404" s="386" t="s">
        <v>77</v>
      </c>
      <c r="C404" s="386" t="s">
        <v>33</v>
      </c>
      <c r="D404" s="387" t="s">
        <v>89</v>
      </c>
      <c r="E404" s="388" t="s">
        <v>35</v>
      </c>
      <c r="F404" s="389" t="s">
        <v>11167</v>
      </c>
      <c r="G404" s="387" t="s">
        <v>33</v>
      </c>
      <c r="H404" s="390" t="s">
        <v>11172</v>
      </c>
      <c r="I404" s="387" t="s">
        <v>33</v>
      </c>
      <c r="J404" s="392" t="s">
        <v>157</v>
      </c>
      <c r="K404" s="261" t="s">
        <v>37</v>
      </c>
      <c r="L404" s="392" t="s">
        <v>11185</v>
      </c>
      <c r="M404" s="387" t="s">
        <v>29</v>
      </c>
      <c r="N404" s="391" t="s">
        <v>10498</v>
      </c>
      <c r="O404" s="391" t="str">
        <f t="shared" si="29"/>
        <v>L2.02.03.02.02.04</v>
      </c>
      <c r="P404" s="391" t="str">
        <f t="shared" si="27"/>
        <v>L2.02.03.02.02.04.01</v>
      </c>
      <c r="Q404" s="393" t="s">
        <v>10530</v>
      </c>
      <c r="R404" s="394" t="str">
        <f t="shared" si="28"/>
        <v>Nhóm KD MISA AMIS Nhân sự 01</v>
      </c>
      <c r="S404" s="395" t="s">
        <v>11179</v>
      </c>
      <c r="T404" s="592" t="s">
        <v>11679</v>
      </c>
      <c r="U404" s="396"/>
      <c r="V404" s="396"/>
      <c r="W404" s="396"/>
      <c r="X404" s="396"/>
      <c r="Y404" s="397"/>
      <c r="Z404" s="275" t="s">
        <v>11186</v>
      </c>
      <c r="AA404" s="398"/>
      <c r="AB404" s="399"/>
      <c r="AC404" s="566" t="s">
        <v>11675</v>
      </c>
      <c r="AD404" s="399"/>
    </row>
    <row r="405" ht="15.75" customHeight="1" outlineLevel="1">
      <c r="A405" s="385" t="s">
        <v>10833</v>
      </c>
      <c r="B405" s="386" t="s">
        <v>77</v>
      </c>
      <c r="C405" s="386" t="s">
        <v>33</v>
      </c>
      <c r="D405" s="387" t="s">
        <v>89</v>
      </c>
      <c r="E405" s="388" t="s">
        <v>35</v>
      </c>
      <c r="F405" s="389" t="s">
        <v>11167</v>
      </c>
      <c r="G405" s="387" t="s">
        <v>33</v>
      </c>
      <c r="H405" s="390" t="s">
        <v>11172</v>
      </c>
      <c r="I405" s="387" t="s">
        <v>33</v>
      </c>
      <c r="J405" s="392" t="s">
        <v>157</v>
      </c>
      <c r="K405" s="261" t="s">
        <v>42</v>
      </c>
      <c r="L405" s="392" t="s">
        <v>11187</v>
      </c>
      <c r="M405" s="387" t="s">
        <v>29</v>
      </c>
      <c r="N405" s="391" t="s">
        <v>10498</v>
      </c>
      <c r="O405" s="391" t="str">
        <f t="shared" si="29"/>
        <v>L2.02.03.02.02.05</v>
      </c>
      <c r="P405" s="391" t="str">
        <f t="shared" si="27"/>
        <v>L2.02.03.02.02.05.01</v>
      </c>
      <c r="Q405" s="393" t="s">
        <v>10530</v>
      </c>
      <c r="R405" s="394" t="str">
        <f t="shared" si="28"/>
        <v>Nhóm KD MISA AMIS Bán hàng 01</v>
      </c>
      <c r="S405" s="395" t="s">
        <v>11179</v>
      </c>
      <c r="T405" s="592" t="s">
        <v>11680</v>
      </c>
      <c r="U405" s="396"/>
      <c r="V405" s="396"/>
      <c r="W405" s="396"/>
      <c r="X405" s="396"/>
      <c r="Y405" s="397"/>
      <c r="Z405" s="275" t="s">
        <v>11188</v>
      </c>
      <c r="AA405" s="398"/>
      <c r="AB405" s="399"/>
      <c r="AC405" s="566" t="s">
        <v>11675</v>
      </c>
      <c r="AD405" s="399"/>
    </row>
    <row r="406" ht="15.75" customHeight="1" outlineLevel="1">
      <c r="A406" s="228" t="s">
        <v>10833</v>
      </c>
      <c r="B406" s="270" t="s">
        <v>77</v>
      </c>
      <c r="C406" s="270" t="s">
        <v>33</v>
      </c>
      <c r="D406" s="209" t="s">
        <v>89</v>
      </c>
      <c r="E406" s="271" t="s">
        <v>35</v>
      </c>
      <c r="F406" s="182" t="s">
        <v>11167</v>
      </c>
      <c r="G406" s="209" t="s">
        <v>33</v>
      </c>
      <c r="H406" s="212" t="s">
        <v>11172</v>
      </c>
      <c r="I406" s="182" t="s">
        <v>46</v>
      </c>
      <c r="J406" s="303" t="s">
        <v>158</v>
      </c>
      <c r="K406" s="182" t="s">
        <v>27</v>
      </c>
      <c r="L406" s="209" t="s">
        <v>4</v>
      </c>
      <c r="M406" s="209" t="s">
        <v>29</v>
      </c>
      <c r="N406" s="181" t="s">
        <v>10498</v>
      </c>
      <c r="O406" s="58" t="str">
        <f t="shared" si="29"/>
        <v>L2.02.03.02.07.00</v>
      </c>
      <c r="P406" s="272" t="str">
        <f t="shared" si="27"/>
        <v>L2.02.03.02.07.00.01</v>
      </c>
      <c r="Q406" s="185" t="s">
        <v>10530</v>
      </c>
      <c r="R406" s="273" t="str">
        <f t="shared" si="28"/>
        <v>Phòng KD Bán mới 02</v>
      </c>
      <c r="S406" s="274" t="str">
        <f>P399</f>
        <v>L2.02.03.02.98.00.01</v>
      </c>
      <c r="T406" s="592" t="s">
        <v>11681</v>
      </c>
      <c r="U406" s="265" t="s">
        <v>346</v>
      </c>
      <c r="V406" s="265" t="s">
        <v>275</v>
      </c>
      <c r="W406" s="265" t="str">
        <f>J406</f>
        <v>Phòng KD Bán mới 02</v>
      </c>
      <c r="X406" s="183"/>
      <c r="Y406" s="184"/>
      <c r="Z406" s="275" t="s">
        <v>11189</v>
      </c>
      <c r="AA406" s="276"/>
      <c r="AB406" s="277"/>
      <c r="AC406" s="566" t="s">
        <v>11682</v>
      </c>
      <c r="AD406" s="277"/>
    </row>
    <row r="407" ht="15.75" customHeight="1" outlineLevel="1">
      <c r="A407" s="228" t="s">
        <v>10833</v>
      </c>
      <c r="B407" s="270" t="s">
        <v>77</v>
      </c>
      <c r="C407" s="270" t="s">
        <v>33</v>
      </c>
      <c r="D407" s="209" t="s">
        <v>89</v>
      </c>
      <c r="E407" s="271" t="s">
        <v>35</v>
      </c>
      <c r="F407" s="182" t="s">
        <v>11167</v>
      </c>
      <c r="G407" s="209" t="s">
        <v>33</v>
      </c>
      <c r="H407" s="212" t="s">
        <v>11172</v>
      </c>
      <c r="I407" s="182" t="s">
        <v>46</v>
      </c>
      <c r="J407" s="303" t="s">
        <v>158</v>
      </c>
      <c r="K407" s="182" t="s">
        <v>29</v>
      </c>
      <c r="L407" s="303" t="s">
        <v>11190</v>
      </c>
      <c r="M407" s="209" t="s">
        <v>29</v>
      </c>
      <c r="N407" s="181" t="s">
        <v>10498</v>
      </c>
      <c r="O407" s="58" t="str">
        <f t="shared" si="29"/>
        <v>L2.02.03.02.07.01</v>
      </c>
      <c r="P407" s="272" t="str">
        <f t="shared" si="27"/>
        <v>L2.02.03.02.07.01.01</v>
      </c>
      <c r="Q407" s="185" t="s">
        <v>10530</v>
      </c>
      <c r="R407" s="273" t="str">
        <f t="shared" si="28"/>
        <v>Nhóm Quản lý 02</v>
      </c>
      <c r="S407" s="274" t="str">
        <f>P406</f>
        <v>L2.02.03.02.07.00.01</v>
      </c>
      <c r="T407" s="592" t="s">
        <v>11683</v>
      </c>
      <c r="U407" s="183"/>
      <c r="V407" s="183"/>
      <c r="W407" s="183"/>
      <c r="X407" s="183"/>
      <c r="Y407" s="184"/>
      <c r="Z407" s="275" t="s">
        <v>11191</v>
      </c>
      <c r="AA407" s="276"/>
      <c r="AB407" s="277"/>
      <c r="AC407" s="566" t="s">
        <v>11682</v>
      </c>
      <c r="AD407" s="277"/>
    </row>
    <row r="408" ht="15.75" customHeight="1" outlineLevel="1">
      <c r="A408" s="228" t="s">
        <v>10833</v>
      </c>
      <c r="B408" s="270" t="s">
        <v>77</v>
      </c>
      <c r="C408" s="270" t="s">
        <v>33</v>
      </c>
      <c r="D408" s="209" t="s">
        <v>89</v>
      </c>
      <c r="E408" s="271" t="s">
        <v>35</v>
      </c>
      <c r="F408" s="182" t="s">
        <v>11167</v>
      </c>
      <c r="G408" s="209" t="s">
        <v>33</v>
      </c>
      <c r="H408" s="212" t="s">
        <v>11172</v>
      </c>
      <c r="I408" s="182" t="s">
        <v>46</v>
      </c>
      <c r="J408" s="303" t="s">
        <v>158</v>
      </c>
      <c r="K408" s="228" t="s">
        <v>33</v>
      </c>
      <c r="L408" s="303" t="s">
        <v>11192</v>
      </c>
      <c r="M408" s="209" t="s">
        <v>29</v>
      </c>
      <c r="N408" s="181" t="s">
        <v>10498</v>
      </c>
      <c r="O408" s="58" t="str">
        <f t="shared" si="29"/>
        <v>L2.02.03.02.07.02</v>
      </c>
      <c r="P408" s="272" t="str">
        <f t="shared" si="27"/>
        <v>L2.02.03.02.07.02.01</v>
      </c>
      <c r="Q408" s="185" t="s">
        <v>10530</v>
      </c>
      <c r="R408" s="273" t="str">
        <f t="shared" si="28"/>
        <v>Nhóm KD MISA AMIS Kế toán 02</v>
      </c>
      <c r="S408" s="274" t="str">
        <f>P406</f>
        <v>L2.02.03.02.07.00.01</v>
      </c>
      <c r="T408" s="592" t="s">
        <v>11684</v>
      </c>
      <c r="U408" s="183"/>
      <c r="V408" s="183"/>
      <c r="W408" s="183"/>
      <c r="X408" s="183"/>
      <c r="Y408" s="184"/>
      <c r="Z408" s="275" t="s">
        <v>11193</v>
      </c>
      <c r="AA408" s="276"/>
      <c r="AB408" s="277"/>
      <c r="AC408" s="566" t="s">
        <v>11682</v>
      </c>
      <c r="AD408" s="277"/>
    </row>
    <row r="409" ht="15.75" customHeight="1" outlineLevel="1">
      <c r="A409" s="228" t="s">
        <v>10833</v>
      </c>
      <c r="B409" s="270" t="s">
        <v>77</v>
      </c>
      <c r="C409" s="270" t="s">
        <v>33</v>
      </c>
      <c r="D409" s="209" t="s">
        <v>89</v>
      </c>
      <c r="E409" s="271" t="s">
        <v>35</v>
      </c>
      <c r="F409" s="182" t="s">
        <v>11167</v>
      </c>
      <c r="G409" s="209" t="s">
        <v>33</v>
      </c>
      <c r="H409" s="212" t="s">
        <v>11172</v>
      </c>
      <c r="I409" s="182" t="s">
        <v>46</v>
      </c>
      <c r="J409" s="303" t="s">
        <v>158</v>
      </c>
      <c r="K409" s="228" t="s">
        <v>35</v>
      </c>
      <c r="L409" s="303" t="s">
        <v>11194</v>
      </c>
      <c r="M409" s="209" t="s">
        <v>29</v>
      </c>
      <c r="N409" s="181" t="s">
        <v>10498</v>
      </c>
      <c r="O409" s="58" t="str">
        <f t="shared" si="29"/>
        <v>L2.02.03.02.07.03</v>
      </c>
      <c r="P409" s="272" t="str">
        <f t="shared" si="27"/>
        <v>L2.02.03.02.07.03.01</v>
      </c>
      <c r="Q409" s="185" t="s">
        <v>10530</v>
      </c>
      <c r="R409" s="273" t="str">
        <f t="shared" si="28"/>
        <v>Nhóm KD MISA AMIS Điều hành 02</v>
      </c>
      <c r="S409" s="274" t="str">
        <f>P406</f>
        <v>L2.02.03.02.07.00.01</v>
      </c>
      <c r="T409" s="592" t="s">
        <v>11685</v>
      </c>
      <c r="U409" s="183"/>
      <c r="V409" s="183"/>
      <c r="W409" s="183"/>
      <c r="X409" s="183"/>
      <c r="Y409" s="184"/>
      <c r="Z409" s="275" t="s">
        <v>11195</v>
      </c>
      <c r="AA409" s="276"/>
      <c r="AB409" s="277"/>
      <c r="AC409" s="566" t="s">
        <v>11682</v>
      </c>
      <c r="AD409" s="277"/>
    </row>
    <row r="410" ht="15.75" customHeight="1" outlineLevel="1">
      <c r="A410" s="400" t="s">
        <v>10833</v>
      </c>
      <c r="B410" s="401" t="s">
        <v>77</v>
      </c>
      <c r="C410" s="401" t="s">
        <v>33</v>
      </c>
      <c r="D410" s="402" t="s">
        <v>89</v>
      </c>
      <c r="E410" s="403" t="s">
        <v>35</v>
      </c>
      <c r="F410" s="404" t="s">
        <v>11167</v>
      </c>
      <c r="G410" s="402" t="s">
        <v>33</v>
      </c>
      <c r="H410" s="390" t="s">
        <v>11172</v>
      </c>
      <c r="I410" s="182" t="s">
        <v>46</v>
      </c>
      <c r="J410" s="303" t="s">
        <v>158</v>
      </c>
      <c r="K410" s="228" t="s">
        <v>37</v>
      </c>
      <c r="L410" s="390" t="s">
        <v>11196</v>
      </c>
      <c r="M410" s="402" t="s">
        <v>29</v>
      </c>
      <c r="N410" s="405" t="s">
        <v>10498</v>
      </c>
      <c r="O410" s="405" t="str">
        <f t="shared" si="29"/>
        <v>L2.02.03.02.07.04</v>
      </c>
      <c r="P410" s="405" t="str">
        <f t="shared" si="27"/>
        <v>L2.02.03.02.07.04.01</v>
      </c>
      <c r="Q410" s="406" t="s">
        <v>10530</v>
      </c>
      <c r="R410" s="407" t="str">
        <f t="shared" si="28"/>
        <v>Nhóm KD MISA AMIS Nhân sự 02</v>
      </c>
      <c r="S410" s="408" t="str">
        <f>P406</f>
        <v>L2.02.03.02.07.00.01</v>
      </c>
      <c r="T410" s="592" t="s">
        <v>11686</v>
      </c>
      <c r="U410" s="409"/>
      <c r="V410" s="409"/>
      <c r="W410" s="409"/>
      <c r="X410" s="409"/>
      <c r="Y410" s="410"/>
      <c r="Z410" s="411" t="s">
        <v>11197</v>
      </c>
      <c r="AA410" s="412"/>
      <c r="AB410" s="413"/>
      <c r="AC410" s="566" t="s">
        <v>11682</v>
      </c>
      <c r="AD410" s="413"/>
    </row>
    <row r="411" ht="15.75" customHeight="1" outlineLevel="1">
      <c r="A411" s="400" t="s">
        <v>10833</v>
      </c>
      <c r="B411" s="401" t="s">
        <v>77</v>
      </c>
      <c r="C411" s="401" t="s">
        <v>33</v>
      </c>
      <c r="D411" s="402" t="s">
        <v>89</v>
      </c>
      <c r="E411" s="403" t="s">
        <v>35</v>
      </c>
      <c r="F411" s="404" t="s">
        <v>11167</v>
      </c>
      <c r="G411" s="402" t="s">
        <v>33</v>
      </c>
      <c r="H411" s="390" t="s">
        <v>11172</v>
      </c>
      <c r="I411" s="182" t="s">
        <v>46</v>
      </c>
      <c r="J411" s="303" t="s">
        <v>158</v>
      </c>
      <c r="K411" s="228" t="s">
        <v>42</v>
      </c>
      <c r="L411" s="390" t="s">
        <v>11198</v>
      </c>
      <c r="M411" s="402" t="s">
        <v>29</v>
      </c>
      <c r="N411" s="405" t="s">
        <v>10498</v>
      </c>
      <c r="O411" s="405" t="str">
        <f t="shared" si="29"/>
        <v>L2.02.03.02.07.05</v>
      </c>
      <c r="P411" s="405" t="str">
        <f t="shared" si="27"/>
        <v>L2.02.03.02.07.05.01</v>
      </c>
      <c r="Q411" s="406" t="s">
        <v>10530</v>
      </c>
      <c r="R411" s="407" t="str">
        <f t="shared" si="28"/>
        <v>Nhóm KD MISA AMIS Bán hàng 02</v>
      </c>
      <c r="S411" s="408" t="str">
        <f>P406</f>
        <v>L2.02.03.02.07.00.01</v>
      </c>
      <c r="T411" s="592" t="s">
        <v>11687</v>
      </c>
      <c r="U411" s="409"/>
      <c r="V411" s="409"/>
      <c r="W411" s="409"/>
      <c r="X411" s="409"/>
      <c r="Y411" s="410"/>
      <c r="Z411" s="411" t="s">
        <v>11199</v>
      </c>
      <c r="AA411" s="412"/>
      <c r="AB411" s="413"/>
      <c r="AC411" s="566" t="s">
        <v>11682</v>
      </c>
      <c r="AD411" s="413"/>
    </row>
    <row r="412" ht="15.75" customHeight="1" outlineLevel="1">
      <c r="A412" s="228" t="s">
        <v>10833</v>
      </c>
      <c r="B412" s="270" t="s">
        <v>77</v>
      </c>
      <c r="C412" s="270" t="s">
        <v>33</v>
      </c>
      <c r="D412" s="209" t="s">
        <v>89</v>
      </c>
      <c r="E412" s="271" t="s">
        <v>35</v>
      </c>
      <c r="F412" s="182" t="s">
        <v>11167</v>
      </c>
      <c r="G412" s="209" t="s">
        <v>33</v>
      </c>
      <c r="H412" s="212" t="s">
        <v>11172</v>
      </c>
      <c r="I412" s="182" t="s">
        <v>49</v>
      </c>
      <c r="J412" s="303" t="s">
        <v>11200</v>
      </c>
      <c r="K412" s="182" t="s">
        <v>27</v>
      </c>
      <c r="L412" s="209" t="s">
        <v>4</v>
      </c>
      <c r="M412" s="209" t="s">
        <v>29</v>
      </c>
      <c r="N412" s="181" t="s">
        <v>10498</v>
      </c>
      <c r="O412" s="58" t="str">
        <f t="shared" si="29"/>
        <v>L2.02.03.02.08.00</v>
      </c>
      <c r="P412" s="272" t="str">
        <f t="shared" si="27"/>
        <v>L2.02.03.02.08.00.01</v>
      </c>
      <c r="Q412" s="185" t="s">
        <v>10530</v>
      </c>
      <c r="R412" s="273" t="str">
        <f t="shared" si="28"/>
        <v>Phòng KD Bán mới 03</v>
      </c>
      <c r="S412" s="274" t="str">
        <f>P399</f>
        <v>L2.02.03.02.98.00.01</v>
      </c>
      <c r="T412" s="592" t="s">
        <v>11688</v>
      </c>
      <c r="U412" s="265" t="s">
        <v>346</v>
      </c>
      <c r="V412" s="265" t="s">
        <v>275</v>
      </c>
      <c r="W412" s="265" t="str">
        <f>J412</f>
        <v>Phòng KD Bán mới 03</v>
      </c>
      <c r="X412" s="183"/>
      <c r="Y412" s="184"/>
      <c r="Z412" s="275" t="s">
        <v>11201</v>
      </c>
      <c r="AA412" s="276"/>
      <c r="AB412" s="277"/>
      <c r="AC412" s="566" t="s">
        <v>11682</v>
      </c>
      <c r="AD412" s="277"/>
    </row>
    <row r="413" ht="15.75" customHeight="1" outlineLevel="1">
      <c r="A413" s="228" t="s">
        <v>10833</v>
      </c>
      <c r="B413" s="270" t="s">
        <v>77</v>
      </c>
      <c r="C413" s="270" t="s">
        <v>33</v>
      </c>
      <c r="D413" s="209" t="s">
        <v>89</v>
      </c>
      <c r="E413" s="271" t="s">
        <v>35</v>
      </c>
      <c r="F413" s="182" t="s">
        <v>11167</v>
      </c>
      <c r="G413" s="209" t="s">
        <v>33</v>
      </c>
      <c r="H413" s="212" t="s">
        <v>11172</v>
      </c>
      <c r="I413" s="182" t="s">
        <v>49</v>
      </c>
      <c r="J413" s="303" t="s">
        <v>11200</v>
      </c>
      <c r="K413" s="182" t="s">
        <v>29</v>
      </c>
      <c r="L413" s="303" t="s">
        <v>11202</v>
      </c>
      <c r="M413" s="209" t="s">
        <v>29</v>
      </c>
      <c r="N413" s="181" t="s">
        <v>10498</v>
      </c>
      <c r="O413" s="58" t="str">
        <f t="shared" si="29"/>
        <v>L2.02.03.02.08.01</v>
      </c>
      <c r="P413" s="272" t="str">
        <f t="shared" si="27"/>
        <v>L2.02.03.02.08.01.01</v>
      </c>
      <c r="Q413" s="185" t="s">
        <v>10530</v>
      </c>
      <c r="R413" s="273" t="str">
        <f t="shared" si="28"/>
        <v>Nhóm Quản lý 03</v>
      </c>
      <c r="S413" s="274" t="str">
        <f>P412</f>
        <v>L2.02.03.02.08.00.01</v>
      </c>
      <c r="T413" s="592" t="s">
        <v>11689</v>
      </c>
      <c r="U413" s="183"/>
      <c r="V413" s="183"/>
      <c r="W413" s="183"/>
      <c r="X413" s="183"/>
      <c r="Y413" s="184"/>
      <c r="Z413" s="275" t="s">
        <v>11203</v>
      </c>
      <c r="AA413" s="276"/>
      <c r="AB413" s="277"/>
      <c r="AC413" s="566" t="s">
        <v>11682</v>
      </c>
      <c r="AD413" s="277"/>
    </row>
    <row r="414" ht="15.75" customHeight="1" outlineLevel="1">
      <c r="A414" s="228" t="s">
        <v>10833</v>
      </c>
      <c r="B414" s="270" t="s">
        <v>77</v>
      </c>
      <c r="C414" s="270" t="s">
        <v>33</v>
      </c>
      <c r="D414" s="209" t="s">
        <v>89</v>
      </c>
      <c r="E414" s="271" t="s">
        <v>35</v>
      </c>
      <c r="F414" s="182" t="s">
        <v>11167</v>
      </c>
      <c r="G414" s="209" t="s">
        <v>33</v>
      </c>
      <c r="H414" s="212" t="s">
        <v>11172</v>
      </c>
      <c r="I414" s="182" t="s">
        <v>49</v>
      </c>
      <c r="J414" s="303" t="s">
        <v>11200</v>
      </c>
      <c r="K414" s="228" t="s">
        <v>33</v>
      </c>
      <c r="L414" s="303" t="s">
        <v>11204</v>
      </c>
      <c r="M414" s="209" t="s">
        <v>29</v>
      </c>
      <c r="N414" s="181" t="s">
        <v>10498</v>
      </c>
      <c r="O414" s="58" t="str">
        <f t="shared" si="29"/>
        <v>L2.02.03.02.08.02</v>
      </c>
      <c r="P414" s="272" t="str">
        <f t="shared" si="27"/>
        <v>L2.02.03.02.08.02.01</v>
      </c>
      <c r="Q414" s="185" t="s">
        <v>10530</v>
      </c>
      <c r="R414" s="273" t="str">
        <f t="shared" si="28"/>
        <v>Nhóm KD MISA AMIS Kế toán 03</v>
      </c>
      <c r="S414" s="274" t="str">
        <f>P412</f>
        <v>L2.02.03.02.08.00.01</v>
      </c>
      <c r="T414" s="592" t="s">
        <v>11690</v>
      </c>
      <c r="U414" s="183"/>
      <c r="V414" s="183"/>
      <c r="W414" s="183"/>
      <c r="X414" s="183"/>
      <c r="Y414" s="184"/>
      <c r="Z414" s="275" t="s">
        <v>11205</v>
      </c>
      <c r="AA414" s="276"/>
      <c r="AB414" s="277"/>
      <c r="AC414" s="566" t="s">
        <v>11682</v>
      </c>
      <c r="AD414" s="277"/>
    </row>
    <row r="415" ht="15.75" customHeight="1" outlineLevel="1">
      <c r="A415" s="228" t="s">
        <v>10833</v>
      </c>
      <c r="B415" s="270" t="s">
        <v>77</v>
      </c>
      <c r="C415" s="270" t="s">
        <v>33</v>
      </c>
      <c r="D415" s="209" t="s">
        <v>89</v>
      </c>
      <c r="E415" s="271" t="s">
        <v>35</v>
      </c>
      <c r="F415" s="182" t="s">
        <v>11167</v>
      </c>
      <c r="G415" s="209" t="s">
        <v>33</v>
      </c>
      <c r="H415" s="212" t="s">
        <v>11172</v>
      </c>
      <c r="I415" s="182" t="s">
        <v>49</v>
      </c>
      <c r="J415" s="303" t="s">
        <v>11200</v>
      </c>
      <c r="K415" s="228" t="s">
        <v>35</v>
      </c>
      <c r="L415" s="303" t="s">
        <v>11206</v>
      </c>
      <c r="M415" s="209" t="s">
        <v>29</v>
      </c>
      <c r="N415" s="181" t="s">
        <v>10498</v>
      </c>
      <c r="O415" s="58" t="str">
        <f t="shared" si="29"/>
        <v>L2.02.03.02.08.03</v>
      </c>
      <c r="P415" s="272" t="str">
        <f t="shared" si="27"/>
        <v>L2.02.03.02.08.03.01</v>
      </c>
      <c r="Q415" s="185" t="s">
        <v>10530</v>
      </c>
      <c r="R415" s="273" t="str">
        <f t="shared" si="28"/>
        <v>Nhóm KD MISA AMIS Điều hành 03</v>
      </c>
      <c r="S415" s="274" t="str">
        <f>P412</f>
        <v>L2.02.03.02.08.00.01</v>
      </c>
      <c r="T415" s="592" t="s">
        <v>11691</v>
      </c>
      <c r="U415" s="183"/>
      <c r="V415" s="183"/>
      <c r="W415" s="183"/>
      <c r="X415" s="183"/>
      <c r="Y415" s="184"/>
      <c r="Z415" s="275" t="s">
        <v>11207</v>
      </c>
      <c r="AA415" s="276"/>
      <c r="AB415" s="277"/>
      <c r="AC415" s="566" t="s">
        <v>11682</v>
      </c>
      <c r="AD415" s="277"/>
    </row>
    <row r="416" ht="15.75" customHeight="1" outlineLevel="1">
      <c r="A416" s="400" t="s">
        <v>10833</v>
      </c>
      <c r="B416" s="401" t="s">
        <v>77</v>
      </c>
      <c r="C416" s="401" t="s">
        <v>33</v>
      </c>
      <c r="D416" s="402" t="s">
        <v>89</v>
      </c>
      <c r="E416" s="403" t="s">
        <v>35</v>
      </c>
      <c r="F416" s="404" t="s">
        <v>11167</v>
      </c>
      <c r="G416" s="402" t="s">
        <v>33</v>
      </c>
      <c r="H416" s="390" t="s">
        <v>11172</v>
      </c>
      <c r="I416" s="182" t="s">
        <v>49</v>
      </c>
      <c r="J416" s="303" t="s">
        <v>11200</v>
      </c>
      <c r="K416" s="228" t="s">
        <v>37</v>
      </c>
      <c r="L416" s="390" t="s">
        <v>11208</v>
      </c>
      <c r="M416" s="402" t="s">
        <v>29</v>
      </c>
      <c r="N416" s="405" t="s">
        <v>10498</v>
      </c>
      <c r="O416" s="405" t="str">
        <f t="shared" si="29"/>
        <v>L2.02.03.02.08.04</v>
      </c>
      <c r="P416" s="405" t="str">
        <f t="shared" si="27"/>
        <v>L2.02.03.02.08.04.01</v>
      </c>
      <c r="Q416" s="406" t="s">
        <v>10530</v>
      </c>
      <c r="R416" s="407" t="str">
        <f t="shared" si="28"/>
        <v>Nhóm KD MISA AMIS Nhân sự 03</v>
      </c>
      <c r="S416" s="408" t="str">
        <f>P412</f>
        <v>L2.02.03.02.08.00.01</v>
      </c>
      <c r="T416" s="592" t="s">
        <v>11692</v>
      </c>
      <c r="U416" s="409"/>
      <c r="V416" s="409"/>
      <c r="W416" s="409"/>
      <c r="X416" s="409"/>
      <c r="Y416" s="410"/>
      <c r="Z416" s="411" t="s">
        <v>11209</v>
      </c>
      <c r="AA416" s="412"/>
      <c r="AB416" s="413"/>
      <c r="AC416" s="566" t="s">
        <v>11682</v>
      </c>
      <c r="AD416" s="413"/>
    </row>
    <row r="417" ht="15.75" customHeight="1" outlineLevel="1">
      <c r="A417" s="400" t="s">
        <v>10833</v>
      </c>
      <c r="B417" s="401" t="s">
        <v>77</v>
      </c>
      <c r="C417" s="401" t="s">
        <v>33</v>
      </c>
      <c r="D417" s="402" t="s">
        <v>89</v>
      </c>
      <c r="E417" s="403" t="s">
        <v>35</v>
      </c>
      <c r="F417" s="404" t="s">
        <v>11167</v>
      </c>
      <c r="G417" s="402" t="s">
        <v>33</v>
      </c>
      <c r="H417" s="390" t="s">
        <v>11172</v>
      </c>
      <c r="I417" s="182" t="s">
        <v>49</v>
      </c>
      <c r="J417" s="303" t="s">
        <v>11200</v>
      </c>
      <c r="K417" s="228" t="s">
        <v>42</v>
      </c>
      <c r="L417" s="390" t="s">
        <v>11210</v>
      </c>
      <c r="M417" s="402" t="s">
        <v>29</v>
      </c>
      <c r="N417" s="405" t="s">
        <v>10498</v>
      </c>
      <c r="O417" s="405" t="str">
        <f t="shared" si="29"/>
        <v>L2.02.03.02.08.05</v>
      </c>
      <c r="P417" s="405" t="str">
        <f t="shared" si="27"/>
        <v>L2.02.03.02.08.05.01</v>
      </c>
      <c r="Q417" s="406" t="s">
        <v>10530</v>
      </c>
      <c r="R417" s="407" t="str">
        <f t="shared" si="28"/>
        <v>Nhóm KD MISA AMIS Bán hàng 03</v>
      </c>
      <c r="S417" s="408" t="str">
        <f>P412</f>
        <v>L2.02.03.02.08.00.01</v>
      </c>
      <c r="T417" s="592" t="s">
        <v>11693</v>
      </c>
      <c r="U417" s="409"/>
      <c r="V417" s="409"/>
      <c r="W417" s="409"/>
      <c r="X417" s="409"/>
      <c r="Y417" s="410"/>
      <c r="Z417" s="411" t="s">
        <v>11211</v>
      </c>
      <c r="AA417" s="412"/>
      <c r="AB417" s="413"/>
      <c r="AC417" s="566" t="s">
        <v>11682</v>
      </c>
      <c r="AD417" s="413"/>
    </row>
    <row r="418" ht="15.75" customHeight="1" outlineLevel="1">
      <c r="A418" s="228" t="s">
        <v>10833</v>
      </c>
      <c r="B418" s="270" t="s">
        <v>77</v>
      </c>
      <c r="C418" s="270" t="s">
        <v>33</v>
      </c>
      <c r="D418" s="209" t="s">
        <v>89</v>
      </c>
      <c r="E418" s="271" t="s">
        <v>35</v>
      </c>
      <c r="F418" s="182" t="s">
        <v>11167</v>
      </c>
      <c r="G418" s="209" t="s">
        <v>33</v>
      </c>
      <c r="H418" s="212" t="s">
        <v>11172</v>
      </c>
      <c r="I418" s="182" t="s">
        <v>51</v>
      </c>
      <c r="J418" s="303" t="s">
        <v>11212</v>
      </c>
      <c r="K418" s="182" t="s">
        <v>27</v>
      </c>
      <c r="L418" s="209" t="s">
        <v>4</v>
      </c>
      <c r="M418" s="209" t="s">
        <v>29</v>
      </c>
      <c r="N418" s="181" t="s">
        <v>10498</v>
      </c>
      <c r="O418" s="58" t="str">
        <f t="shared" si="29"/>
        <v>L2.02.03.02.09.00</v>
      </c>
      <c r="P418" s="272" t="str">
        <f t="shared" si="27"/>
        <v>L2.02.03.02.09.00.01</v>
      </c>
      <c r="Q418" s="185" t="s">
        <v>10530</v>
      </c>
      <c r="R418" s="273" t="str">
        <f t="shared" si="28"/>
        <v>Phòng KD Bán mới 04</v>
      </c>
      <c r="S418" s="274" t="str">
        <f>P399</f>
        <v>L2.02.03.02.98.00.01</v>
      </c>
      <c r="T418" s="592" t="s">
        <v>11694</v>
      </c>
      <c r="U418" s="265" t="s">
        <v>346</v>
      </c>
      <c r="V418" s="265" t="s">
        <v>275</v>
      </c>
      <c r="W418" s="265" t="str">
        <f>J418</f>
        <v>Phòng KD Bán mới 04</v>
      </c>
      <c r="X418" s="183"/>
      <c r="Y418" s="184"/>
      <c r="Z418" s="275" t="s">
        <v>11213</v>
      </c>
      <c r="AA418" s="276"/>
      <c r="AB418" s="277"/>
      <c r="AC418" s="566" t="s">
        <v>11682</v>
      </c>
      <c r="AD418" s="277"/>
    </row>
    <row r="419" ht="15.75" customHeight="1" outlineLevel="1">
      <c r="A419" s="228" t="s">
        <v>10833</v>
      </c>
      <c r="B419" s="270" t="s">
        <v>77</v>
      </c>
      <c r="C419" s="270" t="s">
        <v>33</v>
      </c>
      <c r="D419" s="209" t="s">
        <v>89</v>
      </c>
      <c r="E419" s="271" t="s">
        <v>35</v>
      </c>
      <c r="F419" s="182" t="s">
        <v>11167</v>
      </c>
      <c r="G419" s="209" t="s">
        <v>33</v>
      </c>
      <c r="H419" s="212" t="s">
        <v>11172</v>
      </c>
      <c r="I419" s="182" t="s">
        <v>51</v>
      </c>
      <c r="J419" s="303" t="s">
        <v>11212</v>
      </c>
      <c r="K419" s="182" t="s">
        <v>29</v>
      </c>
      <c r="L419" s="303" t="s">
        <v>11214</v>
      </c>
      <c r="M419" s="209" t="s">
        <v>29</v>
      </c>
      <c r="N419" s="181" t="s">
        <v>10498</v>
      </c>
      <c r="O419" s="58" t="str">
        <f t="shared" si="29"/>
        <v>L2.02.03.02.09.01</v>
      </c>
      <c r="P419" s="272" t="str">
        <f t="shared" si="27"/>
        <v>L2.02.03.02.09.01.01</v>
      </c>
      <c r="Q419" s="185" t="s">
        <v>10530</v>
      </c>
      <c r="R419" s="273" t="str">
        <f t="shared" si="28"/>
        <v>Nhóm Quản lý 04</v>
      </c>
      <c r="S419" s="274" t="str">
        <f>P418</f>
        <v>L2.02.03.02.09.00.01</v>
      </c>
      <c r="T419" s="592" t="s">
        <v>11695</v>
      </c>
      <c r="U419" s="183"/>
      <c r="V419" s="183"/>
      <c r="W419" s="183"/>
      <c r="X419" s="183"/>
      <c r="Y419" s="184"/>
      <c r="Z419" s="275" t="s">
        <v>11215</v>
      </c>
      <c r="AA419" s="276"/>
      <c r="AB419" s="277"/>
      <c r="AC419" s="566" t="s">
        <v>11682</v>
      </c>
      <c r="AD419" s="277"/>
    </row>
    <row r="420" ht="15.75" customHeight="1" outlineLevel="1">
      <c r="A420" s="228" t="s">
        <v>10833</v>
      </c>
      <c r="B420" s="270" t="s">
        <v>77</v>
      </c>
      <c r="C420" s="270" t="s">
        <v>33</v>
      </c>
      <c r="D420" s="209" t="s">
        <v>89</v>
      </c>
      <c r="E420" s="271" t="s">
        <v>35</v>
      </c>
      <c r="F420" s="182" t="s">
        <v>11167</v>
      </c>
      <c r="G420" s="209" t="s">
        <v>33</v>
      </c>
      <c r="H420" s="212" t="s">
        <v>11172</v>
      </c>
      <c r="I420" s="182" t="s">
        <v>51</v>
      </c>
      <c r="J420" s="303" t="s">
        <v>11212</v>
      </c>
      <c r="K420" s="228" t="s">
        <v>33</v>
      </c>
      <c r="L420" s="303" t="s">
        <v>11216</v>
      </c>
      <c r="M420" s="209" t="s">
        <v>29</v>
      </c>
      <c r="N420" s="181" t="s">
        <v>10498</v>
      </c>
      <c r="O420" s="58" t="str">
        <f t="shared" si="29"/>
        <v>L2.02.03.02.09.02</v>
      </c>
      <c r="P420" s="272" t="str">
        <f t="shared" si="27"/>
        <v>L2.02.03.02.09.02.01</v>
      </c>
      <c r="Q420" s="185" t="s">
        <v>10530</v>
      </c>
      <c r="R420" s="273" t="str">
        <f t="shared" si="28"/>
        <v>Nhóm KD MISA AMIS Kế toán 04</v>
      </c>
      <c r="S420" s="274" t="str">
        <f>P418</f>
        <v>L2.02.03.02.09.00.01</v>
      </c>
      <c r="T420" s="592" t="s">
        <v>11696</v>
      </c>
      <c r="U420" s="183"/>
      <c r="V420" s="183"/>
      <c r="W420" s="183"/>
      <c r="X420" s="183"/>
      <c r="Y420" s="184"/>
      <c r="Z420" s="275" t="s">
        <v>11217</v>
      </c>
      <c r="AA420" s="276"/>
      <c r="AB420" s="277"/>
      <c r="AC420" s="566" t="s">
        <v>11682</v>
      </c>
      <c r="AD420" s="277"/>
    </row>
    <row r="421" ht="15.75" customHeight="1" outlineLevel="1">
      <c r="A421" s="228" t="s">
        <v>10833</v>
      </c>
      <c r="B421" s="270" t="s">
        <v>77</v>
      </c>
      <c r="C421" s="270" t="s">
        <v>33</v>
      </c>
      <c r="D421" s="209" t="s">
        <v>89</v>
      </c>
      <c r="E421" s="271" t="s">
        <v>35</v>
      </c>
      <c r="F421" s="182" t="s">
        <v>11167</v>
      </c>
      <c r="G421" s="209" t="s">
        <v>33</v>
      </c>
      <c r="H421" s="212" t="s">
        <v>11172</v>
      </c>
      <c r="I421" s="182" t="s">
        <v>51</v>
      </c>
      <c r="J421" s="303" t="s">
        <v>11212</v>
      </c>
      <c r="K421" s="228" t="s">
        <v>35</v>
      </c>
      <c r="L421" s="303" t="s">
        <v>11218</v>
      </c>
      <c r="M421" s="209" t="s">
        <v>29</v>
      </c>
      <c r="N421" s="181" t="s">
        <v>10498</v>
      </c>
      <c r="O421" s="58" t="str">
        <f t="shared" si="29"/>
        <v>L2.02.03.02.09.03</v>
      </c>
      <c r="P421" s="272" t="str">
        <f t="shared" si="27"/>
        <v>L2.02.03.02.09.03.01</v>
      </c>
      <c r="Q421" s="185" t="s">
        <v>10530</v>
      </c>
      <c r="R421" s="273" t="str">
        <f t="shared" si="28"/>
        <v>Nhóm KD MISA AMIS Điều hành 04</v>
      </c>
      <c r="S421" s="274" t="str">
        <f>P418</f>
        <v>L2.02.03.02.09.00.01</v>
      </c>
      <c r="T421" s="592" t="s">
        <v>11697</v>
      </c>
      <c r="U421" s="183"/>
      <c r="V421" s="183"/>
      <c r="W421" s="183"/>
      <c r="X421" s="183"/>
      <c r="Y421" s="184"/>
      <c r="Z421" s="275" t="s">
        <v>11219</v>
      </c>
      <c r="AA421" s="276"/>
      <c r="AB421" s="277"/>
      <c r="AC421" s="566" t="s">
        <v>11682</v>
      </c>
      <c r="AD421" s="277"/>
    </row>
    <row r="422" ht="15.75" customHeight="1" outlineLevel="1">
      <c r="A422" s="400" t="s">
        <v>10833</v>
      </c>
      <c r="B422" s="401" t="s">
        <v>77</v>
      </c>
      <c r="C422" s="401" t="s">
        <v>33</v>
      </c>
      <c r="D422" s="402" t="s">
        <v>89</v>
      </c>
      <c r="E422" s="403" t="s">
        <v>35</v>
      </c>
      <c r="F422" s="404" t="s">
        <v>11167</v>
      </c>
      <c r="G422" s="402" t="s">
        <v>33</v>
      </c>
      <c r="H422" s="390" t="s">
        <v>11172</v>
      </c>
      <c r="I422" s="182" t="s">
        <v>51</v>
      </c>
      <c r="J422" s="303" t="s">
        <v>11212</v>
      </c>
      <c r="K422" s="228" t="s">
        <v>37</v>
      </c>
      <c r="L422" s="390" t="s">
        <v>11220</v>
      </c>
      <c r="M422" s="402" t="s">
        <v>29</v>
      </c>
      <c r="N422" s="405" t="s">
        <v>10498</v>
      </c>
      <c r="O422" s="405" t="str">
        <f t="shared" si="29"/>
        <v>L2.02.03.02.09.04</v>
      </c>
      <c r="P422" s="405" t="str">
        <f t="shared" si="27"/>
        <v>L2.02.03.02.09.04.01</v>
      </c>
      <c r="Q422" s="406" t="s">
        <v>10530</v>
      </c>
      <c r="R422" s="407" t="str">
        <f t="shared" si="28"/>
        <v>Nhóm KD MISA AMIS Nhân sự 04</v>
      </c>
      <c r="S422" s="408" t="str">
        <f>P418</f>
        <v>L2.02.03.02.09.00.01</v>
      </c>
      <c r="T422" s="592" t="s">
        <v>11698</v>
      </c>
      <c r="U422" s="409"/>
      <c r="V422" s="409"/>
      <c r="W422" s="409"/>
      <c r="X422" s="409"/>
      <c r="Y422" s="410"/>
      <c r="Z422" s="411" t="s">
        <v>11221</v>
      </c>
      <c r="AA422" s="412"/>
      <c r="AB422" s="413"/>
      <c r="AC422" s="566" t="s">
        <v>11682</v>
      </c>
      <c r="AD422" s="413"/>
    </row>
    <row r="423" ht="15.75" customHeight="1" outlineLevel="1">
      <c r="A423" s="400" t="s">
        <v>10833</v>
      </c>
      <c r="B423" s="401" t="s">
        <v>77</v>
      </c>
      <c r="C423" s="401" t="s">
        <v>33</v>
      </c>
      <c r="D423" s="402" t="s">
        <v>89</v>
      </c>
      <c r="E423" s="403" t="s">
        <v>35</v>
      </c>
      <c r="F423" s="404" t="s">
        <v>11167</v>
      </c>
      <c r="G423" s="402" t="s">
        <v>33</v>
      </c>
      <c r="H423" s="390" t="s">
        <v>11172</v>
      </c>
      <c r="I423" s="182" t="s">
        <v>51</v>
      </c>
      <c r="J423" s="303" t="s">
        <v>11212</v>
      </c>
      <c r="K423" s="228" t="s">
        <v>42</v>
      </c>
      <c r="L423" s="390" t="s">
        <v>11222</v>
      </c>
      <c r="M423" s="402" t="s">
        <v>29</v>
      </c>
      <c r="N423" s="405" t="s">
        <v>10498</v>
      </c>
      <c r="O423" s="405" t="str">
        <f t="shared" si="29"/>
        <v>L2.02.03.02.09.05</v>
      </c>
      <c r="P423" s="405" t="str">
        <f t="shared" si="27"/>
        <v>L2.02.03.02.09.05.01</v>
      </c>
      <c r="Q423" s="406" t="s">
        <v>10530</v>
      </c>
      <c r="R423" s="407" t="str">
        <f t="shared" si="28"/>
        <v>Nhóm KD MISA AMIS Bán hàng 04</v>
      </c>
      <c r="S423" s="408" t="str">
        <f>P418</f>
        <v>L2.02.03.02.09.00.01</v>
      </c>
      <c r="T423" s="592" t="s">
        <v>11699</v>
      </c>
      <c r="U423" s="409"/>
      <c r="V423" s="409"/>
      <c r="W423" s="409"/>
      <c r="X423" s="409"/>
      <c r="Y423" s="410"/>
      <c r="Z423" s="411" t="s">
        <v>11223</v>
      </c>
      <c r="AA423" s="412"/>
      <c r="AB423" s="413"/>
      <c r="AC423" s="566" t="s">
        <v>11682</v>
      </c>
      <c r="AD423" s="413"/>
    </row>
    <row r="424" ht="15.75" customHeight="1" outlineLevel="1">
      <c r="A424" s="228" t="s">
        <v>10833</v>
      </c>
      <c r="B424" s="270" t="s">
        <v>77</v>
      </c>
      <c r="C424" s="270" t="s">
        <v>33</v>
      </c>
      <c r="D424" s="209" t="s">
        <v>89</v>
      </c>
      <c r="E424" s="271" t="s">
        <v>35</v>
      </c>
      <c r="F424" s="182" t="s">
        <v>11167</v>
      </c>
      <c r="G424" s="209" t="s">
        <v>33</v>
      </c>
      <c r="H424" s="212" t="s">
        <v>11172</v>
      </c>
      <c r="I424" s="182" t="s">
        <v>55</v>
      </c>
      <c r="J424" s="303" t="s">
        <v>11224</v>
      </c>
      <c r="K424" s="182" t="s">
        <v>27</v>
      </c>
      <c r="L424" s="209" t="s">
        <v>4</v>
      </c>
      <c r="M424" s="209" t="s">
        <v>29</v>
      </c>
      <c r="N424" s="181" t="s">
        <v>10498</v>
      </c>
      <c r="O424" s="58" t="str">
        <f t="shared" si="29"/>
        <v>L2.02.03.02.10.00</v>
      </c>
      <c r="P424" s="272" t="str">
        <f t="shared" si="27"/>
        <v>L2.02.03.02.10.00.01</v>
      </c>
      <c r="Q424" s="185" t="s">
        <v>10530</v>
      </c>
      <c r="R424" s="273" t="str">
        <f t="shared" si="28"/>
        <v>Phòng KD Bán mới 05</v>
      </c>
      <c r="S424" s="274" t="str">
        <f>P399</f>
        <v>L2.02.03.02.98.00.01</v>
      </c>
      <c r="T424" s="592" t="s">
        <v>11700</v>
      </c>
      <c r="U424" s="265" t="s">
        <v>346</v>
      </c>
      <c r="V424" s="265" t="s">
        <v>275</v>
      </c>
      <c r="W424" s="265" t="str">
        <f>J424</f>
        <v>Phòng KD Bán mới 05</v>
      </c>
      <c r="X424" s="183"/>
      <c r="Y424" s="184"/>
      <c r="Z424" s="275" t="s">
        <v>11225</v>
      </c>
      <c r="AA424" s="276"/>
      <c r="AB424" s="277"/>
      <c r="AC424" s="566" t="s">
        <v>11682</v>
      </c>
      <c r="AD424" s="277"/>
    </row>
    <row r="425" ht="15.75" customHeight="1" outlineLevel="1">
      <c r="A425" s="228" t="s">
        <v>10833</v>
      </c>
      <c r="B425" s="270" t="s">
        <v>77</v>
      </c>
      <c r="C425" s="270" t="s">
        <v>33</v>
      </c>
      <c r="D425" s="209" t="s">
        <v>89</v>
      </c>
      <c r="E425" s="271" t="s">
        <v>35</v>
      </c>
      <c r="F425" s="182" t="s">
        <v>11167</v>
      </c>
      <c r="G425" s="209" t="s">
        <v>33</v>
      </c>
      <c r="H425" s="212" t="s">
        <v>11172</v>
      </c>
      <c r="I425" s="182" t="s">
        <v>55</v>
      </c>
      <c r="J425" s="303" t="s">
        <v>11224</v>
      </c>
      <c r="K425" s="182" t="s">
        <v>29</v>
      </c>
      <c r="L425" s="303" t="s">
        <v>11226</v>
      </c>
      <c r="M425" s="209" t="s">
        <v>29</v>
      </c>
      <c r="N425" s="181" t="s">
        <v>10498</v>
      </c>
      <c r="O425" s="58" t="str">
        <f t="shared" si="29"/>
        <v>L2.02.03.02.10.01</v>
      </c>
      <c r="P425" s="272" t="str">
        <f t="shared" si="27"/>
        <v>L2.02.03.02.10.01.01</v>
      </c>
      <c r="Q425" s="185" t="s">
        <v>10530</v>
      </c>
      <c r="R425" s="273" t="str">
        <f t="shared" si="28"/>
        <v>Nhóm Quản lý 05</v>
      </c>
      <c r="S425" s="274" t="str">
        <f>P424</f>
        <v>L2.02.03.02.10.00.01</v>
      </c>
      <c r="T425" s="592" t="s">
        <v>11701</v>
      </c>
      <c r="U425" s="183"/>
      <c r="V425" s="183"/>
      <c r="W425" s="183"/>
      <c r="X425" s="183"/>
      <c r="Y425" s="184"/>
      <c r="Z425" s="275" t="s">
        <v>11227</v>
      </c>
      <c r="AA425" s="276"/>
      <c r="AB425" s="277"/>
      <c r="AC425" s="566" t="s">
        <v>11682</v>
      </c>
      <c r="AD425" s="277"/>
    </row>
    <row r="426" ht="15.75" customHeight="1" outlineLevel="1">
      <c r="A426" s="228" t="s">
        <v>10833</v>
      </c>
      <c r="B426" s="270" t="s">
        <v>77</v>
      </c>
      <c r="C426" s="270" t="s">
        <v>33</v>
      </c>
      <c r="D426" s="209" t="s">
        <v>89</v>
      </c>
      <c r="E426" s="271" t="s">
        <v>35</v>
      </c>
      <c r="F426" s="182" t="s">
        <v>11167</v>
      </c>
      <c r="G426" s="209" t="s">
        <v>33</v>
      </c>
      <c r="H426" s="212" t="s">
        <v>11172</v>
      </c>
      <c r="I426" s="182" t="s">
        <v>55</v>
      </c>
      <c r="J426" s="303" t="s">
        <v>11224</v>
      </c>
      <c r="K426" s="228" t="s">
        <v>33</v>
      </c>
      <c r="L426" s="303" t="s">
        <v>11228</v>
      </c>
      <c r="M426" s="209" t="s">
        <v>29</v>
      </c>
      <c r="N426" s="181" t="s">
        <v>10498</v>
      </c>
      <c r="O426" s="58" t="str">
        <f t="shared" si="29"/>
        <v>L2.02.03.02.10.02</v>
      </c>
      <c r="P426" s="272" t="str">
        <f t="shared" si="27"/>
        <v>L2.02.03.02.10.02.01</v>
      </c>
      <c r="Q426" s="185" t="s">
        <v>10530</v>
      </c>
      <c r="R426" s="273" t="str">
        <f t="shared" si="28"/>
        <v>Nhóm KD MISA AMIS Kế toán 05</v>
      </c>
      <c r="S426" s="274" t="str">
        <f>P424</f>
        <v>L2.02.03.02.10.00.01</v>
      </c>
      <c r="T426" s="592" t="s">
        <v>11702</v>
      </c>
      <c r="U426" s="183"/>
      <c r="V426" s="183"/>
      <c r="W426" s="183"/>
      <c r="X426" s="183"/>
      <c r="Y426" s="184"/>
      <c r="Z426" s="275" t="s">
        <v>11229</v>
      </c>
      <c r="AA426" s="276"/>
      <c r="AB426" s="277"/>
      <c r="AC426" s="566" t="s">
        <v>11682</v>
      </c>
      <c r="AD426" s="277"/>
    </row>
    <row r="427" ht="15.75" customHeight="1" outlineLevel="1">
      <c r="A427" s="228" t="s">
        <v>10833</v>
      </c>
      <c r="B427" s="270" t="s">
        <v>77</v>
      </c>
      <c r="C427" s="270" t="s">
        <v>33</v>
      </c>
      <c r="D427" s="209" t="s">
        <v>89</v>
      </c>
      <c r="E427" s="271" t="s">
        <v>35</v>
      </c>
      <c r="F427" s="182" t="s">
        <v>11167</v>
      </c>
      <c r="G427" s="209" t="s">
        <v>33</v>
      </c>
      <c r="H427" s="212" t="s">
        <v>11172</v>
      </c>
      <c r="I427" s="182" t="s">
        <v>55</v>
      </c>
      <c r="J427" s="303" t="s">
        <v>11224</v>
      </c>
      <c r="K427" s="228" t="s">
        <v>35</v>
      </c>
      <c r="L427" s="303" t="s">
        <v>11230</v>
      </c>
      <c r="M427" s="209" t="s">
        <v>29</v>
      </c>
      <c r="N427" s="181" t="s">
        <v>10498</v>
      </c>
      <c r="O427" s="58" t="str">
        <f t="shared" si="29"/>
        <v>L2.02.03.02.10.03</v>
      </c>
      <c r="P427" s="272" t="str">
        <f t="shared" si="27"/>
        <v>L2.02.03.02.10.03.01</v>
      </c>
      <c r="Q427" s="185" t="s">
        <v>10530</v>
      </c>
      <c r="R427" s="273" t="str">
        <f t="shared" si="28"/>
        <v>Nhóm KD MISA AMIS Điều hành 05</v>
      </c>
      <c r="S427" s="274" t="str">
        <f>P424</f>
        <v>L2.02.03.02.10.00.01</v>
      </c>
      <c r="T427" s="592" t="s">
        <v>11703</v>
      </c>
      <c r="U427" s="183"/>
      <c r="V427" s="183"/>
      <c r="W427" s="183"/>
      <c r="X427" s="183"/>
      <c r="Y427" s="184"/>
      <c r="Z427" s="275" t="s">
        <v>11231</v>
      </c>
      <c r="AA427" s="276"/>
      <c r="AB427" s="277"/>
      <c r="AC427" s="566" t="s">
        <v>11682</v>
      </c>
      <c r="AD427" s="277"/>
    </row>
    <row r="428" ht="15.75" customHeight="1" outlineLevel="1">
      <c r="A428" s="400" t="s">
        <v>10833</v>
      </c>
      <c r="B428" s="401" t="s">
        <v>77</v>
      </c>
      <c r="C428" s="401" t="s">
        <v>33</v>
      </c>
      <c r="D428" s="402" t="s">
        <v>89</v>
      </c>
      <c r="E428" s="403" t="s">
        <v>35</v>
      </c>
      <c r="F428" s="404" t="s">
        <v>11167</v>
      </c>
      <c r="G428" s="402" t="s">
        <v>33</v>
      </c>
      <c r="H428" s="390" t="s">
        <v>11172</v>
      </c>
      <c r="I428" s="182" t="s">
        <v>55</v>
      </c>
      <c r="J428" s="303" t="s">
        <v>11224</v>
      </c>
      <c r="K428" s="228" t="s">
        <v>37</v>
      </c>
      <c r="L428" s="390" t="s">
        <v>11232</v>
      </c>
      <c r="M428" s="402" t="s">
        <v>29</v>
      </c>
      <c r="N428" s="405" t="s">
        <v>10498</v>
      </c>
      <c r="O428" s="405" t="str">
        <f t="shared" si="29"/>
        <v>L2.02.03.02.10.04</v>
      </c>
      <c r="P428" s="405" t="str">
        <f t="shared" si="27"/>
        <v>L2.02.03.02.10.04.01</v>
      </c>
      <c r="Q428" s="406" t="s">
        <v>10530</v>
      </c>
      <c r="R428" s="407" t="str">
        <f t="shared" si="28"/>
        <v>Nhóm KD MISA AMIS Nhân sự 05</v>
      </c>
      <c r="S428" s="408" t="str">
        <f>P424</f>
        <v>L2.02.03.02.10.00.01</v>
      </c>
      <c r="T428" s="592" t="s">
        <v>11704</v>
      </c>
      <c r="U428" s="409"/>
      <c r="V428" s="409"/>
      <c r="W428" s="409"/>
      <c r="X428" s="409"/>
      <c r="Y428" s="410"/>
      <c r="Z428" s="411" t="s">
        <v>11233</v>
      </c>
      <c r="AA428" s="412"/>
      <c r="AB428" s="413"/>
      <c r="AC428" s="566" t="s">
        <v>11682</v>
      </c>
      <c r="AD428" s="413"/>
    </row>
    <row r="429" ht="15.75" customHeight="1" outlineLevel="1">
      <c r="A429" s="400" t="s">
        <v>10833</v>
      </c>
      <c r="B429" s="401" t="s">
        <v>77</v>
      </c>
      <c r="C429" s="401" t="s">
        <v>33</v>
      </c>
      <c r="D429" s="402" t="s">
        <v>89</v>
      </c>
      <c r="E429" s="403" t="s">
        <v>35</v>
      </c>
      <c r="F429" s="404" t="s">
        <v>11167</v>
      </c>
      <c r="G429" s="402" t="s">
        <v>33</v>
      </c>
      <c r="H429" s="390" t="s">
        <v>11172</v>
      </c>
      <c r="I429" s="182" t="s">
        <v>55</v>
      </c>
      <c r="J429" s="303" t="s">
        <v>11224</v>
      </c>
      <c r="K429" s="228" t="s">
        <v>42</v>
      </c>
      <c r="L429" s="390" t="s">
        <v>11234</v>
      </c>
      <c r="M429" s="402" t="s">
        <v>29</v>
      </c>
      <c r="N429" s="405" t="s">
        <v>10498</v>
      </c>
      <c r="O429" s="405" t="str">
        <f t="shared" si="29"/>
        <v>L2.02.03.02.10.05</v>
      </c>
      <c r="P429" s="405" t="str">
        <f t="shared" si="27"/>
        <v>L2.02.03.02.10.05.01</v>
      </c>
      <c r="Q429" s="406" t="s">
        <v>10530</v>
      </c>
      <c r="R429" s="407" t="str">
        <f t="shared" si="28"/>
        <v>Nhóm KD MISA AMIS Bán hàng 05</v>
      </c>
      <c r="S429" s="408" t="str">
        <f>P424</f>
        <v>L2.02.03.02.10.00.01</v>
      </c>
      <c r="T429" s="592" t="s">
        <v>11705</v>
      </c>
      <c r="U429" s="409"/>
      <c r="V429" s="409"/>
      <c r="W429" s="409"/>
      <c r="X429" s="409"/>
      <c r="Y429" s="410"/>
      <c r="Z429" s="411" t="s">
        <v>11235</v>
      </c>
      <c r="AA429" s="412"/>
      <c r="AB429" s="413"/>
      <c r="AC429" s="566" t="s">
        <v>11682</v>
      </c>
      <c r="AD429" s="413"/>
    </row>
    <row r="430" ht="15.75" customHeight="1" outlineLevel="1">
      <c r="A430" s="228" t="s">
        <v>10833</v>
      </c>
      <c r="B430" s="270" t="s">
        <v>77</v>
      </c>
      <c r="C430" s="270" t="s">
        <v>33</v>
      </c>
      <c r="D430" s="209" t="s">
        <v>89</v>
      </c>
      <c r="E430" s="271" t="s">
        <v>35</v>
      </c>
      <c r="F430" s="182" t="s">
        <v>11167</v>
      </c>
      <c r="G430" s="209" t="s">
        <v>33</v>
      </c>
      <c r="H430" s="212" t="s">
        <v>11172</v>
      </c>
      <c r="I430" s="182" t="s">
        <v>61</v>
      </c>
      <c r="J430" s="303" t="s">
        <v>11236</v>
      </c>
      <c r="K430" s="182" t="s">
        <v>27</v>
      </c>
      <c r="L430" s="209" t="s">
        <v>4</v>
      </c>
      <c r="M430" s="209" t="s">
        <v>29</v>
      </c>
      <c r="N430" s="181" t="s">
        <v>10498</v>
      </c>
      <c r="O430" s="58" t="str">
        <f t="shared" si="29"/>
        <v>L2.02.03.02.11.00</v>
      </c>
      <c r="P430" s="272" t="str">
        <f t="shared" si="27"/>
        <v>L2.02.03.02.11.00.01</v>
      </c>
      <c r="Q430" s="185" t="s">
        <v>10530</v>
      </c>
      <c r="R430" s="273" t="str">
        <f t="shared" si="28"/>
        <v>Phòng KD Bán mới 06</v>
      </c>
      <c r="S430" s="274" t="str">
        <f>P399</f>
        <v>L2.02.03.02.98.00.01</v>
      </c>
      <c r="T430" s="592" t="s">
        <v>11706</v>
      </c>
      <c r="U430" s="265" t="s">
        <v>346</v>
      </c>
      <c r="V430" s="265" t="s">
        <v>275</v>
      </c>
      <c r="W430" s="265" t="str">
        <f>J430</f>
        <v>Phòng KD Bán mới 06</v>
      </c>
      <c r="X430" s="183"/>
      <c r="Y430" s="184"/>
      <c r="Z430" s="275" t="s">
        <v>11237</v>
      </c>
      <c r="AA430" s="276"/>
      <c r="AB430" s="277"/>
      <c r="AC430" s="566" t="s">
        <v>11682</v>
      </c>
      <c r="AD430" s="277"/>
    </row>
    <row r="431" ht="15.75" customHeight="1" outlineLevel="1">
      <c r="A431" s="228" t="s">
        <v>10833</v>
      </c>
      <c r="B431" s="270" t="s">
        <v>77</v>
      </c>
      <c r="C431" s="270" t="s">
        <v>33</v>
      </c>
      <c r="D431" s="209" t="s">
        <v>89</v>
      </c>
      <c r="E431" s="271" t="s">
        <v>35</v>
      </c>
      <c r="F431" s="182" t="s">
        <v>11167</v>
      </c>
      <c r="G431" s="209" t="s">
        <v>33</v>
      </c>
      <c r="H431" s="212" t="s">
        <v>11172</v>
      </c>
      <c r="I431" s="182" t="s">
        <v>61</v>
      </c>
      <c r="J431" s="303" t="s">
        <v>11236</v>
      </c>
      <c r="K431" s="182" t="s">
        <v>29</v>
      </c>
      <c r="L431" s="303" t="s">
        <v>11238</v>
      </c>
      <c r="M431" s="209" t="s">
        <v>29</v>
      </c>
      <c r="N431" s="181" t="s">
        <v>10498</v>
      </c>
      <c r="O431" s="58" t="str">
        <f t="shared" si="29"/>
        <v>L2.02.03.02.11.01</v>
      </c>
      <c r="P431" s="272" t="str">
        <f t="shared" si="27"/>
        <v>L2.02.03.02.11.01.01</v>
      </c>
      <c r="Q431" s="185" t="s">
        <v>10530</v>
      </c>
      <c r="R431" s="273" t="str">
        <f t="shared" si="28"/>
        <v>Nhóm Quản lý 06</v>
      </c>
      <c r="S431" s="274" t="str">
        <f>P430</f>
        <v>L2.02.03.02.11.00.01</v>
      </c>
      <c r="T431" s="592" t="s">
        <v>11707</v>
      </c>
      <c r="U431" s="183"/>
      <c r="V431" s="183"/>
      <c r="W431" s="183"/>
      <c r="X431" s="183"/>
      <c r="Y431" s="184"/>
      <c r="Z431" s="275" t="s">
        <v>11239</v>
      </c>
      <c r="AA431" s="276"/>
      <c r="AB431" s="277"/>
      <c r="AC431" s="566" t="s">
        <v>11682</v>
      </c>
      <c r="AD431" s="277"/>
    </row>
    <row r="432" ht="15.75" customHeight="1" outlineLevel="1">
      <c r="A432" s="228" t="s">
        <v>10833</v>
      </c>
      <c r="B432" s="270" t="s">
        <v>77</v>
      </c>
      <c r="C432" s="270" t="s">
        <v>33</v>
      </c>
      <c r="D432" s="209" t="s">
        <v>89</v>
      </c>
      <c r="E432" s="271" t="s">
        <v>35</v>
      </c>
      <c r="F432" s="182" t="s">
        <v>11167</v>
      </c>
      <c r="G432" s="209" t="s">
        <v>33</v>
      </c>
      <c r="H432" s="212" t="s">
        <v>11172</v>
      </c>
      <c r="I432" s="182" t="s">
        <v>61</v>
      </c>
      <c r="J432" s="303" t="s">
        <v>11236</v>
      </c>
      <c r="K432" s="228" t="s">
        <v>33</v>
      </c>
      <c r="L432" s="303" t="s">
        <v>11240</v>
      </c>
      <c r="M432" s="209" t="s">
        <v>29</v>
      </c>
      <c r="N432" s="181" t="s">
        <v>10498</v>
      </c>
      <c r="O432" s="58" t="str">
        <f t="shared" si="29"/>
        <v>L2.02.03.02.11.02</v>
      </c>
      <c r="P432" s="272" t="str">
        <f t="shared" si="27"/>
        <v>L2.02.03.02.11.02.01</v>
      </c>
      <c r="Q432" s="185" t="s">
        <v>10530</v>
      </c>
      <c r="R432" s="273" t="str">
        <f t="shared" si="28"/>
        <v>Nhóm KD MISA AMIS Kế toán 06</v>
      </c>
      <c r="S432" s="274" t="str">
        <f>P430</f>
        <v>L2.02.03.02.11.00.01</v>
      </c>
      <c r="T432" s="592" t="s">
        <v>11708</v>
      </c>
      <c r="U432" s="183"/>
      <c r="V432" s="183"/>
      <c r="W432" s="183"/>
      <c r="X432" s="183"/>
      <c r="Y432" s="184"/>
      <c r="Z432" s="275" t="s">
        <v>11241</v>
      </c>
      <c r="AA432" s="276"/>
      <c r="AB432" s="277"/>
      <c r="AC432" s="566" t="s">
        <v>11682</v>
      </c>
      <c r="AD432" s="277"/>
    </row>
    <row r="433" ht="15.75" customHeight="1" outlineLevel="1">
      <c r="A433" s="228" t="s">
        <v>10833</v>
      </c>
      <c r="B433" s="270" t="s">
        <v>77</v>
      </c>
      <c r="C433" s="270" t="s">
        <v>33</v>
      </c>
      <c r="D433" s="209" t="s">
        <v>89</v>
      </c>
      <c r="E433" s="271" t="s">
        <v>35</v>
      </c>
      <c r="F433" s="182" t="s">
        <v>11167</v>
      </c>
      <c r="G433" s="209" t="s">
        <v>33</v>
      </c>
      <c r="H433" s="212" t="s">
        <v>11172</v>
      </c>
      <c r="I433" s="182" t="s">
        <v>61</v>
      </c>
      <c r="J433" s="303" t="s">
        <v>11236</v>
      </c>
      <c r="K433" s="228" t="s">
        <v>35</v>
      </c>
      <c r="L433" s="303" t="s">
        <v>11242</v>
      </c>
      <c r="M433" s="209" t="s">
        <v>29</v>
      </c>
      <c r="N433" s="181" t="s">
        <v>10498</v>
      </c>
      <c r="O433" s="58" t="str">
        <f t="shared" si="29"/>
        <v>L2.02.03.02.11.03</v>
      </c>
      <c r="P433" s="272" t="str">
        <f t="shared" si="27"/>
        <v>L2.02.03.02.11.03.01</v>
      </c>
      <c r="Q433" s="185" t="s">
        <v>10530</v>
      </c>
      <c r="R433" s="273" t="str">
        <f t="shared" si="28"/>
        <v>Nhóm KD MISA AMIS Điều hành 06</v>
      </c>
      <c r="S433" s="274" t="str">
        <f>P430</f>
        <v>L2.02.03.02.11.00.01</v>
      </c>
      <c r="T433" s="592" t="s">
        <v>11709</v>
      </c>
      <c r="U433" s="183"/>
      <c r="V433" s="183"/>
      <c r="W433" s="183"/>
      <c r="X433" s="183"/>
      <c r="Y433" s="184"/>
      <c r="Z433" s="275" t="s">
        <v>11243</v>
      </c>
      <c r="AA433" s="276"/>
      <c r="AB433" s="277"/>
      <c r="AC433" s="566" t="s">
        <v>11682</v>
      </c>
      <c r="AD433" s="277"/>
    </row>
    <row r="434" ht="15.75" customHeight="1" outlineLevel="1">
      <c r="A434" s="400" t="s">
        <v>10833</v>
      </c>
      <c r="B434" s="401" t="s">
        <v>77</v>
      </c>
      <c r="C434" s="401" t="s">
        <v>33</v>
      </c>
      <c r="D434" s="402" t="s">
        <v>89</v>
      </c>
      <c r="E434" s="403" t="s">
        <v>35</v>
      </c>
      <c r="F434" s="404" t="s">
        <v>11167</v>
      </c>
      <c r="G434" s="402" t="s">
        <v>33</v>
      </c>
      <c r="H434" s="390" t="s">
        <v>11172</v>
      </c>
      <c r="I434" s="182" t="s">
        <v>61</v>
      </c>
      <c r="J434" s="303" t="s">
        <v>11236</v>
      </c>
      <c r="K434" s="228" t="s">
        <v>37</v>
      </c>
      <c r="L434" s="390" t="s">
        <v>11244</v>
      </c>
      <c r="M434" s="402" t="s">
        <v>29</v>
      </c>
      <c r="N434" s="405" t="s">
        <v>10498</v>
      </c>
      <c r="O434" s="405" t="str">
        <f t="shared" si="29"/>
        <v>L2.02.03.02.11.04</v>
      </c>
      <c r="P434" s="405" t="str">
        <f t="shared" si="27"/>
        <v>L2.02.03.02.11.04.01</v>
      </c>
      <c r="Q434" s="406" t="s">
        <v>10530</v>
      </c>
      <c r="R434" s="407" t="str">
        <f t="shared" si="28"/>
        <v>Nhóm KD MISA AMIS Nhân sự 06</v>
      </c>
      <c r="S434" s="408" t="str">
        <f>P430</f>
        <v>L2.02.03.02.11.00.01</v>
      </c>
      <c r="T434" s="592" t="s">
        <v>11710</v>
      </c>
      <c r="U434" s="409"/>
      <c r="V434" s="409"/>
      <c r="W434" s="409"/>
      <c r="X434" s="409"/>
      <c r="Y434" s="410"/>
      <c r="Z434" s="411" t="s">
        <v>11245</v>
      </c>
      <c r="AA434" s="412"/>
      <c r="AB434" s="413"/>
      <c r="AC434" s="566" t="s">
        <v>11682</v>
      </c>
      <c r="AD434" s="413"/>
    </row>
    <row r="435" ht="15.75" customHeight="1" outlineLevel="1">
      <c r="A435" s="400" t="s">
        <v>10833</v>
      </c>
      <c r="B435" s="401" t="s">
        <v>77</v>
      </c>
      <c r="C435" s="401" t="s">
        <v>33</v>
      </c>
      <c r="D435" s="402" t="s">
        <v>89</v>
      </c>
      <c r="E435" s="403" t="s">
        <v>35</v>
      </c>
      <c r="F435" s="404" t="s">
        <v>11167</v>
      </c>
      <c r="G435" s="402" t="s">
        <v>33</v>
      </c>
      <c r="H435" s="390" t="s">
        <v>11172</v>
      </c>
      <c r="I435" s="182" t="s">
        <v>61</v>
      </c>
      <c r="J435" s="303" t="s">
        <v>11236</v>
      </c>
      <c r="K435" s="228" t="s">
        <v>42</v>
      </c>
      <c r="L435" s="390" t="s">
        <v>11246</v>
      </c>
      <c r="M435" s="402" t="s">
        <v>29</v>
      </c>
      <c r="N435" s="405" t="s">
        <v>10498</v>
      </c>
      <c r="O435" s="405" t="str">
        <f t="shared" si="29"/>
        <v>L2.02.03.02.11.05</v>
      </c>
      <c r="P435" s="405" t="str">
        <f t="shared" si="27"/>
        <v>L2.02.03.02.11.05.01</v>
      </c>
      <c r="Q435" s="406" t="s">
        <v>10530</v>
      </c>
      <c r="R435" s="407" t="str">
        <f t="shared" si="28"/>
        <v>Nhóm KD MISA AMIS Bán hàng 06</v>
      </c>
      <c r="S435" s="408" t="str">
        <f>P430</f>
        <v>L2.02.03.02.11.00.01</v>
      </c>
      <c r="T435" s="592" t="s">
        <v>11711</v>
      </c>
      <c r="U435" s="409"/>
      <c r="V435" s="409"/>
      <c r="W435" s="409"/>
      <c r="X435" s="409"/>
      <c r="Y435" s="410"/>
      <c r="Z435" s="411" t="s">
        <v>11247</v>
      </c>
      <c r="AA435" s="412"/>
      <c r="AB435" s="413"/>
      <c r="AC435" s="566" t="s">
        <v>11682</v>
      </c>
      <c r="AD435" s="413"/>
    </row>
    <row r="436" ht="15.75" customHeight="1" outlineLevel="1">
      <c r="A436" s="228" t="s">
        <v>10833</v>
      </c>
      <c r="B436" s="270" t="s">
        <v>77</v>
      </c>
      <c r="C436" s="270" t="s">
        <v>33</v>
      </c>
      <c r="D436" s="209" t="s">
        <v>89</v>
      </c>
      <c r="E436" s="271" t="s">
        <v>35</v>
      </c>
      <c r="F436" s="182" t="s">
        <v>11167</v>
      </c>
      <c r="G436" s="209" t="s">
        <v>33</v>
      </c>
      <c r="H436" s="212" t="s">
        <v>11172</v>
      </c>
      <c r="I436" s="228">
        <v>99.0</v>
      </c>
      <c r="J436" s="184" t="s">
        <v>115</v>
      </c>
      <c r="K436" s="182" t="s">
        <v>27</v>
      </c>
      <c r="L436" s="305" t="s">
        <v>4</v>
      </c>
      <c r="M436" s="402" t="s">
        <v>29</v>
      </c>
      <c r="N436" s="405" t="s">
        <v>10498</v>
      </c>
      <c r="O436" s="405" t="str">
        <f t="shared" si="29"/>
        <v>L2.02.03.02.99.00</v>
      </c>
      <c r="P436" s="405" t="str">
        <f t="shared" si="27"/>
        <v>L2.02.03.02.99.00.01</v>
      </c>
      <c r="Q436" s="406" t="s">
        <v>10530</v>
      </c>
      <c r="R436" s="407" t="str">
        <f t="shared" si="28"/>
        <v>Phòng KD Bán thêm</v>
      </c>
      <c r="S436" s="405" t="str">
        <f>P397</f>
        <v>L2.02.03.02.00.00.01</v>
      </c>
      <c r="T436" s="264"/>
      <c r="U436" s="593"/>
      <c r="V436" s="593"/>
      <c r="W436" s="593"/>
      <c r="X436" s="593"/>
      <c r="Y436" s="594"/>
      <c r="Z436" s="275"/>
      <c r="AA436" s="304"/>
      <c r="AB436" s="277"/>
      <c r="AC436" s="566" t="s">
        <v>11673</v>
      </c>
      <c r="AD436" s="277"/>
    </row>
    <row r="437" ht="15.75" customHeight="1" outlineLevel="1">
      <c r="A437" s="261" t="s">
        <v>10833</v>
      </c>
      <c r="B437" s="231" t="s">
        <v>77</v>
      </c>
      <c r="C437" s="231" t="s">
        <v>33</v>
      </c>
      <c r="D437" s="157" t="s">
        <v>89</v>
      </c>
      <c r="E437" s="297" t="s">
        <v>35</v>
      </c>
      <c r="F437" s="168" t="s">
        <v>11167</v>
      </c>
      <c r="G437" s="157" t="s">
        <v>33</v>
      </c>
      <c r="H437" s="212" t="s">
        <v>11172</v>
      </c>
      <c r="I437" s="157" t="s">
        <v>35</v>
      </c>
      <c r="J437" s="264" t="s">
        <v>159</v>
      </c>
      <c r="K437" s="297" t="s">
        <v>27</v>
      </c>
      <c r="L437" s="305" t="s">
        <v>4</v>
      </c>
      <c r="M437" s="157" t="s">
        <v>29</v>
      </c>
      <c r="N437" s="167" t="s">
        <v>10498</v>
      </c>
      <c r="O437" s="55" t="str">
        <f t="shared" si="29"/>
        <v>L2.02.03.02.03.00</v>
      </c>
      <c r="P437" s="257" t="str">
        <f t="shared" si="27"/>
        <v>L2.02.03.02.03.00.01</v>
      </c>
      <c r="Q437" s="161" t="s">
        <v>10530</v>
      </c>
      <c r="R437" s="299" t="str">
        <f t="shared" si="28"/>
        <v>Phòng KD Bán thêm 01</v>
      </c>
      <c r="S437" s="269" t="str">
        <f>P436</f>
        <v>L2.02.03.02.99.00.01</v>
      </c>
      <c r="T437" s="265" t="s">
        <v>3975</v>
      </c>
      <c r="U437" s="265" t="s">
        <v>346</v>
      </c>
      <c r="V437" s="265" t="s">
        <v>275</v>
      </c>
      <c r="W437" s="265" t="s">
        <v>1067</v>
      </c>
      <c r="X437" s="265"/>
      <c r="Y437" s="265"/>
      <c r="Z437" s="225" t="s">
        <v>11248</v>
      </c>
      <c r="AA437" s="300" t="s">
        <v>10530</v>
      </c>
      <c r="AB437" s="267"/>
      <c r="AC437" s="267"/>
      <c r="AD437" s="267"/>
    </row>
    <row r="438" ht="15.75" customHeight="1" outlineLevel="1">
      <c r="A438" s="261" t="s">
        <v>10833</v>
      </c>
      <c r="B438" s="231" t="s">
        <v>77</v>
      </c>
      <c r="C438" s="231" t="s">
        <v>33</v>
      </c>
      <c r="D438" s="157" t="s">
        <v>89</v>
      </c>
      <c r="E438" s="297" t="s">
        <v>35</v>
      </c>
      <c r="F438" s="168" t="s">
        <v>11167</v>
      </c>
      <c r="G438" s="157" t="s">
        <v>33</v>
      </c>
      <c r="H438" s="212" t="s">
        <v>11172</v>
      </c>
      <c r="I438" s="157" t="s">
        <v>35</v>
      </c>
      <c r="J438" s="264" t="s">
        <v>159</v>
      </c>
      <c r="K438" s="168" t="s">
        <v>44</v>
      </c>
      <c r="L438" s="264" t="s">
        <v>11178</v>
      </c>
      <c r="M438" s="157" t="s">
        <v>29</v>
      </c>
      <c r="N438" s="167" t="s">
        <v>10498</v>
      </c>
      <c r="O438" s="55" t="str">
        <f t="shared" si="29"/>
        <v>L2.02.03.02.03.06</v>
      </c>
      <c r="P438" s="257" t="str">
        <f t="shared" si="27"/>
        <v>L2.02.03.02.03.06.01</v>
      </c>
      <c r="Q438" s="161" t="s">
        <v>10530</v>
      </c>
      <c r="R438" s="299" t="str">
        <f t="shared" si="28"/>
        <v>Nhóm Quản lý 01</v>
      </c>
      <c r="S438" s="269" t="s">
        <v>11249</v>
      </c>
      <c r="T438" s="265"/>
      <c r="U438" s="265"/>
      <c r="V438" s="265"/>
      <c r="W438" s="265"/>
      <c r="X438" s="265"/>
      <c r="Y438" s="264" t="s">
        <v>11089</v>
      </c>
      <c r="Z438" s="225" t="s">
        <v>11250</v>
      </c>
      <c r="AA438" s="300" t="s">
        <v>10530</v>
      </c>
      <c r="AB438" s="267"/>
      <c r="AC438" s="267"/>
      <c r="AD438" s="267"/>
    </row>
    <row r="439" ht="15.75" customHeight="1" outlineLevel="1">
      <c r="A439" s="261" t="s">
        <v>10833</v>
      </c>
      <c r="B439" s="231" t="s">
        <v>77</v>
      </c>
      <c r="C439" s="231" t="s">
        <v>33</v>
      </c>
      <c r="D439" s="157" t="s">
        <v>89</v>
      </c>
      <c r="E439" s="297" t="s">
        <v>35</v>
      </c>
      <c r="F439" s="168" t="s">
        <v>11167</v>
      </c>
      <c r="G439" s="157" t="s">
        <v>33</v>
      </c>
      <c r="H439" s="212" t="s">
        <v>11172</v>
      </c>
      <c r="I439" s="157" t="s">
        <v>35</v>
      </c>
      <c r="J439" s="264" t="s">
        <v>159</v>
      </c>
      <c r="K439" s="414" t="s">
        <v>29</v>
      </c>
      <c r="L439" s="184" t="s">
        <v>11251</v>
      </c>
      <c r="M439" s="157" t="s">
        <v>29</v>
      </c>
      <c r="N439" s="167" t="s">
        <v>10498</v>
      </c>
      <c r="O439" s="55" t="str">
        <f t="shared" si="29"/>
        <v>L2.02.03.02.03.01</v>
      </c>
      <c r="P439" s="257" t="str">
        <f t="shared" si="27"/>
        <v>L2.02.03.02.03.01.01</v>
      </c>
      <c r="Q439" s="161" t="s">
        <v>10530</v>
      </c>
      <c r="R439" s="273" t="str">
        <f t="shared" si="28"/>
        <v>Nhóm Quản lý khách hàng 01</v>
      </c>
      <c r="S439" s="269" t="s">
        <v>11249</v>
      </c>
      <c r="T439" s="265" t="s">
        <v>1089</v>
      </c>
      <c r="U439" s="265" t="s">
        <v>346</v>
      </c>
      <c r="V439" s="265" t="s">
        <v>275</v>
      </c>
      <c r="W439" s="265" t="s">
        <v>1067</v>
      </c>
      <c r="X439" s="265" t="s">
        <v>1088</v>
      </c>
      <c r="Y439" s="265"/>
      <c r="Z439" s="225" t="s">
        <v>11252</v>
      </c>
      <c r="AA439" s="300" t="s">
        <v>10530</v>
      </c>
      <c r="AB439" s="267"/>
      <c r="AC439" s="376" t="s">
        <v>11712</v>
      </c>
      <c r="AD439" s="267"/>
    </row>
    <row r="440" ht="15.75" customHeight="1" outlineLevel="1">
      <c r="A440" s="261" t="s">
        <v>10833</v>
      </c>
      <c r="B440" s="231" t="s">
        <v>77</v>
      </c>
      <c r="C440" s="231" t="s">
        <v>33</v>
      </c>
      <c r="D440" s="157" t="s">
        <v>89</v>
      </c>
      <c r="E440" s="297" t="s">
        <v>35</v>
      </c>
      <c r="F440" s="168" t="s">
        <v>11167</v>
      </c>
      <c r="G440" s="157" t="s">
        <v>33</v>
      </c>
      <c r="H440" s="212" t="s">
        <v>11172</v>
      </c>
      <c r="I440" s="157" t="s">
        <v>35</v>
      </c>
      <c r="J440" s="264" t="s">
        <v>159</v>
      </c>
      <c r="K440" s="414" t="s">
        <v>33</v>
      </c>
      <c r="L440" s="184" t="s">
        <v>11253</v>
      </c>
      <c r="M440" s="157" t="s">
        <v>29</v>
      </c>
      <c r="N440" s="167" t="s">
        <v>10498</v>
      </c>
      <c r="O440" s="55" t="str">
        <f t="shared" si="29"/>
        <v>L2.02.03.02.03.02</v>
      </c>
      <c r="P440" s="257" t="str">
        <f t="shared" si="27"/>
        <v>L2.02.03.02.03.02.01</v>
      </c>
      <c r="Q440" s="161" t="s">
        <v>10530</v>
      </c>
      <c r="R440" s="273" t="str">
        <f t="shared" si="28"/>
        <v>Nhóm Bán thêm AMIS Kế toán 01</v>
      </c>
      <c r="S440" s="269" t="s">
        <v>11249</v>
      </c>
      <c r="T440" s="265" t="s">
        <v>4006</v>
      </c>
      <c r="U440" s="265" t="s">
        <v>346</v>
      </c>
      <c r="V440" s="265" t="s">
        <v>275</v>
      </c>
      <c r="W440" s="265" t="s">
        <v>1067</v>
      </c>
      <c r="X440" s="265" t="s">
        <v>4005</v>
      </c>
      <c r="Y440" s="265"/>
      <c r="Z440" s="225" t="s">
        <v>11254</v>
      </c>
      <c r="AA440" s="300" t="s">
        <v>10530</v>
      </c>
      <c r="AB440" s="267"/>
      <c r="AC440" s="376" t="s">
        <v>11712</v>
      </c>
      <c r="AD440" s="267"/>
    </row>
    <row r="441" ht="15.75" customHeight="1" outlineLevel="1">
      <c r="A441" s="261" t="s">
        <v>10833</v>
      </c>
      <c r="B441" s="231" t="s">
        <v>77</v>
      </c>
      <c r="C441" s="231" t="s">
        <v>33</v>
      </c>
      <c r="D441" s="157" t="s">
        <v>89</v>
      </c>
      <c r="E441" s="297" t="s">
        <v>35</v>
      </c>
      <c r="F441" s="168" t="s">
        <v>11167</v>
      </c>
      <c r="G441" s="157" t="s">
        <v>33</v>
      </c>
      <c r="H441" s="212" t="s">
        <v>11172</v>
      </c>
      <c r="I441" s="157" t="s">
        <v>35</v>
      </c>
      <c r="J441" s="264" t="s">
        <v>159</v>
      </c>
      <c r="K441" s="414" t="s">
        <v>35</v>
      </c>
      <c r="L441" s="184" t="s">
        <v>11255</v>
      </c>
      <c r="M441" s="157" t="s">
        <v>29</v>
      </c>
      <c r="N441" s="167" t="s">
        <v>10498</v>
      </c>
      <c r="O441" s="55" t="str">
        <f t="shared" si="29"/>
        <v>L2.02.03.02.03.03</v>
      </c>
      <c r="P441" s="257" t="str">
        <f t="shared" si="27"/>
        <v>L2.02.03.02.03.03.01</v>
      </c>
      <c r="Q441" s="161" t="s">
        <v>10530</v>
      </c>
      <c r="R441" s="273" t="str">
        <f t="shared" si="28"/>
        <v>Nhóm Bán thêm AMIS Bán hàng 01</v>
      </c>
      <c r="S441" s="269" t="s">
        <v>11249</v>
      </c>
      <c r="T441" s="265" t="s">
        <v>1068</v>
      </c>
      <c r="U441" s="265" t="s">
        <v>346</v>
      </c>
      <c r="V441" s="265" t="s">
        <v>275</v>
      </c>
      <c r="W441" s="265" t="s">
        <v>1067</v>
      </c>
      <c r="X441" s="265" t="s">
        <v>1066</v>
      </c>
      <c r="Y441" s="265"/>
      <c r="Z441" s="225" t="s">
        <v>11256</v>
      </c>
      <c r="AA441" s="300" t="s">
        <v>10530</v>
      </c>
      <c r="AB441" s="267"/>
      <c r="AC441" s="376" t="s">
        <v>11712</v>
      </c>
      <c r="AD441" s="267"/>
    </row>
    <row r="442" ht="15.75" customHeight="1" outlineLevel="1">
      <c r="A442" s="261" t="s">
        <v>10833</v>
      </c>
      <c r="B442" s="231" t="s">
        <v>77</v>
      </c>
      <c r="C442" s="231" t="s">
        <v>33</v>
      </c>
      <c r="D442" s="157" t="s">
        <v>89</v>
      </c>
      <c r="E442" s="297" t="s">
        <v>35</v>
      </c>
      <c r="F442" s="168" t="s">
        <v>11167</v>
      </c>
      <c r="G442" s="157" t="s">
        <v>33</v>
      </c>
      <c r="H442" s="212" t="s">
        <v>11172</v>
      </c>
      <c r="I442" s="157" t="s">
        <v>35</v>
      </c>
      <c r="J442" s="264" t="s">
        <v>159</v>
      </c>
      <c r="K442" s="414" t="s">
        <v>37</v>
      </c>
      <c r="L442" s="184" t="s">
        <v>11257</v>
      </c>
      <c r="M442" s="157" t="s">
        <v>29</v>
      </c>
      <c r="N442" s="167" t="s">
        <v>10498</v>
      </c>
      <c r="O442" s="55" t="str">
        <f t="shared" si="29"/>
        <v>L2.02.03.02.03.04</v>
      </c>
      <c r="P442" s="257" t="str">
        <f t="shared" si="27"/>
        <v>L2.02.03.02.03.04.01</v>
      </c>
      <c r="Q442" s="161" t="s">
        <v>10530</v>
      </c>
      <c r="R442" s="273" t="str">
        <f t="shared" si="28"/>
        <v>Nhóm Bán thêm AMIS Nhân sự 01</v>
      </c>
      <c r="S442" s="269" t="s">
        <v>11249</v>
      </c>
      <c r="T442" s="265" t="s">
        <v>1096</v>
      </c>
      <c r="U442" s="265" t="s">
        <v>346</v>
      </c>
      <c r="V442" s="265" t="s">
        <v>275</v>
      </c>
      <c r="W442" s="265" t="s">
        <v>1067</v>
      </c>
      <c r="X442" s="265" t="s">
        <v>1095</v>
      </c>
      <c r="Y442" s="265"/>
      <c r="Z442" s="225" t="s">
        <v>11258</v>
      </c>
      <c r="AA442" s="300" t="s">
        <v>10530</v>
      </c>
      <c r="AB442" s="267"/>
      <c r="AC442" s="376" t="s">
        <v>11712</v>
      </c>
      <c r="AD442" s="267"/>
    </row>
    <row r="443" ht="15.75" customHeight="1" outlineLevel="1">
      <c r="A443" s="261" t="s">
        <v>10833</v>
      </c>
      <c r="B443" s="231" t="s">
        <v>77</v>
      </c>
      <c r="C443" s="231" t="s">
        <v>33</v>
      </c>
      <c r="D443" s="157" t="s">
        <v>89</v>
      </c>
      <c r="E443" s="297" t="s">
        <v>35</v>
      </c>
      <c r="F443" s="168" t="s">
        <v>11167</v>
      </c>
      <c r="G443" s="157" t="s">
        <v>33</v>
      </c>
      <c r="H443" s="212" t="s">
        <v>11172</v>
      </c>
      <c r="I443" s="157" t="s">
        <v>35</v>
      </c>
      <c r="J443" s="264" t="s">
        <v>159</v>
      </c>
      <c r="K443" s="414" t="s">
        <v>42</v>
      </c>
      <c r="L443" s="184" t="s">
        <v>11259</v>
      </c>
      <c r="M443" s="157" t="s">
        <v>29</v>
      </c>
      <c r="N443" s="167" t="s">
        <v>10498</v>
      </c>
      <c r="O443" s="55" t="str">
        <f t="shared" si="29"/>
        <v>L2.02.03.02.03.05</v>
      </c>
      <c r="P443" s="257" t="str">
        <f t="shared" si="27"/>
        <v>L2.02.03.02.03.05.01</v>
      </c>
      <c r="Q443" s="161" t="s">
        <v>10530</v>
      </c>
      <c r="R443" s="273" t="str">
        <f t="shared" si="28"/>
        <v>Nhóm Bán thêm AMIS Điều hành 01</v>
      </c>
      <c r="S443" s="269" t="s">
        <v>11249</v>
      </c>
      <c r="T443" s="265" t="s">
        <v>1113</v>
      </c>
      <c r="U443" s="265" t="s">
        <v>346</v>
      </c>
      <c r="V443" s="265" t="s">
        <v>275</v>
      </c>
      <c r="W443" s="265" t="s">
        <v>1067</v>
      </c>
      <c r="X443" s="265" t="s">
        <v>1112</v>
      </c>
      <c r="Y443" s="265"/>
      <c r="Z443" s="225" t="s">
        <v>11260</v>
      </c>
      <c r="AA443" s="300" t="s">
        <v>10530</v>
      </c>
      <c r="AB443" s="267"/>
      <c r="AC443" s="376" t="s">
        <v>11712</v>
      </c>
      <c r="AD443" s="267"/>
    </row>
    <row r="444" ht="15.75" customHeight="1" outlineLevel="1">
      <c r="A444" s="261" t="s">
        <v>10833</v>
      </c>
      <c r="B444" s="231" t="s">
        <v>77</v>
      </c>
      <c r="C444" s="231" t="s">
        <v>33</v>
      </c>
      <c r="D444" s="157" t="s">
        <v>89</v>
      </c>
      <c r="E444" s="297" t="s">
        <v>35</v>
      </c>
      <c r="F444" s="168" t="s">
        <v>11167</v>
      </c>
      <c r="G444" s="157" t="s">
        <v>33</v>
      </c>
      <c r="H444" s="212" t="s">
        <v>11172</v>
      </c>
      <c r="I444" s="231" t="s">
        <v>37</v>
      </c>
      <c r="J444" s="264" t="s">
        <v>160</v>
      </c>
      <c r="K444" s="168" t="s">
        <v>27</v>
      </c>
      <c r="L444" s="305" t="s">
        <v>4</v>
      </c>
      <c r="M444" s="168" t="s">
        <v>29</v>
      </c>
      <c r="N444" s="167" t="s">
        <v>10498</v>
      </c>
      <c r="O444" s="55" t="str">
        <f t="shared" si="29"/>
        <v>L2.02.03.02.04.00</v>
      </c>
      <c r="P444" s="257" t="str">
        <f t="shared" si="27"/>
        <v>L2.02.03.02.04.00.01</v>
      </c>
      <c r="Q444" s="161" t="s">
        <v>10530</v>
      </c>
      <c r="R444" s="299" t="str">
        <f t="shared" si="28"/>
        <v>Phòng KD Bán thêm 02</v>
      </c>
      <c r="S444" s="269" t="str">
        <f>P436</f>
        <v>L2.02.03.02.99.00.01</v>
      </c>
      <c r="T444" s="265" t="s">
        <v>4113</v>
      </c>
      <c r="U444" s="265" t="s">
        <v>346</v>
      </c>
      <c r="V444" s="265" t="s">
        <v>275</v>
      </c>
      <c r="W444" s="265" t="s">
        <v>927</v>
      </c>
      <c r="X444" s="265"/>
      <c r="Y444" s="265"/>
      <c r="Z444" s="225" t="s">
        <v>11261</v>
      </c>
      <c r="AA444" s="300" t="s">
        <v>10530</v>
      </c>
      <c r="AB444" s="267"/>
      <c r="AC444" s="267"/>
      <c r="AD444" s="267"/>
    </row>
    <row r="445" ht="15.75" customHeight="1" outlineLevel="1">
      <c r="A445" s="261" t="s">
        <v>10833</v>
      </c>
      <c r="B445" s="231" t="s">
        <v>77</v>
      </c>
      <c r="C445" s="231" t="s">
        <v>33</v>
      </c>
      <c r="D445" s="157" t="s">
        <v>89</v>
      </c>
      <c r="E445" s="297" t="s">
        <v>35</v>
      </c>
      <c r="F445" s="168" t="s">
        <v>11167</v>
      </c>
      <c r="G445" s="157" t="s">
        <v>33</v>
      </c>
      <c r="H445" s="212" t="s">
        <v>11172</v>
      </c>
      <c r="I445" s="231" t="s">
        <v>37</v>
      </c>
      <c r="J445" s="264" t="s">
        <v>160</v>
      </c>
      <c r="K445" s="414" t="s">
        <v>29</v>
      </c>
      <c r="L445" s="264" t="s">
        <v>11190</v>
      </c>
      <c r="M445" s="157" t="s">
        <v>29</v>
      </c>
      <c r="N445" s="167" t="s">
        <v>10498</v>
      </c>
      <c r="O445" s="55" t="str">
        <f t="shared" si="29"/>
        <v>L2.02.03.02.04.01</v>
      </c>
      <c r="P445" s="257" t="str">
        <f t="shared" si="27"/>
        <v>L2.02.03.02.04.01.01</v>
      </c>
      <c r="Q445" s="161" t="s">
        <v>10530</v>
      </c>
      <c r="R445" s="299" t="str">
        <f t="shared" si="28"/>
        <v>Nhóm Quản lý 02</v>
      </c>
      <c r="S445" s="269" t="s">
        <v>11262</v>
      </c>
      <c r="T445" s="265"/>
      <c r="U445" s="265"/>
      <c r="V445" s="265"/>
      <c r="W445" s="265"/>
      <c r="X445" s="265"/>
      <c r="Y445" s="264" t="s">
        <v>11089</v>
      </c>
      <c r="Z445" s="225" t="s">
        <v>11263</v>
      </c>
      <c r="AA445" s="300" t="s">
        <v>10530</v>
      </c>
      <c r="AB445" s="267"/>
      <c r="AC445" s="267"/>
      <c r="AD445" s="267"/>
    </row>
    <row r="446" ht="15.75" customHeight="1" outlineLevel="1">
      <c r="A446" s="261" t="s">
        <v>10833</v>
      </c>
      <c r="B446" s="231" t="s">
        <v>77</v>
      </c>
      <c r="C446" s="231" t="s">
        <v>33</v>
      </c>
      <c r="D446" s="157" t="s">
        <v>89</v>
      </c>
      <c r="E446" s="297" t="s">
        <v>35</v>
      </c>
      <c r="F446" s="168" t="s">
        <v>11167</v>
      </c>
      <c r="G446" s="157" t="s">
        <v>33</v>
      </c>
      <c r="H446" s="212" t="s">
        <v>11172</v>
      </c>
      <c r="I446" s="231" t="s">
        <v>37</v>
      </c>
      <c r="J446" s="264" t="s">
        <v>160</v>
      </c>
      <c r="K446" s="414" t="s">
        <v>33</v>
      </c>
      <c r="L446" s="184" t="s">
        <v>11264</v>
      </c>
      <c r="M446" s="157" t="s">
        <v>29</v>
      </c>
      <c r="N446" s="167" t="s">
        <v>10498</v>
      </c>
      <c r="O446" s="55" t="str">
        <f t="shared" si="29"/>
        <v>L2.02.03.02.04.02</v>
      </c>
      <c r="P446" s="257" t="str">
        <f t="shared" si="27"/>
        <v>L2.02.03.02.04.02.01</v>
      </c>
      <c r="Q446" s="161" t="s">
        <v>10530</v>
      </c>
      <c r="R446" s="273" t="str">
        <f t="shared" si="28"/>
        <v>Nhóm Quản lý khách hàng 02</v>
      </c>
      <c r="S446" s="269" t="s">
        <v>11262</v>
      </c>
      <c r="T446" s="265" t="s">
        <v>928</v>
      </c>
      <c r="U446" s="265" t="s">
        <v>346</v>
      </c>
      <c r="V446" s="265" t="s">
        <v>275</v>
      </c>
      <c r="W446" s="265" t="s">
        <v>927</v>
      </c>
      <c r="X446" s="265" t="s">
        <v>926</v>
      </c>
      <c r="Y446" s="265"/>
      <c r="Z446" s="225" t="s">
        <v>11265</v>
      </c>
      <c r="AA446" s="300" t="s">
        <v>10530</v>
      </c>
      <c r="AB446" s="267"/>
      <c r="AC446" s="376" t="s">
        <v>11712</v>
      </c>
      <c r="AD446" s="267"/>
    </row>
    <row r="447" ht="15.75" customHeight="1" outlineLevel="1">
      <c r="A447" s="261" t="s">
        <v>10833</v>
      </c>
      <c r="B447" s="231" t="s">
        <v>77</v>
      </c>
      <c r="C447" s="231" t="s">
        <v>33</v>
      </c>
      <c r="D447" s="157" t="s">
        <v>89</v>
      </c>
      <c r="E447" s="297" t="s">
        <v>35</v>
      </c>
      <c r="F447" s="168" t="s">
        <v>11167</v>
      </c>
      <c r="G447" s="157" t="s">
        <v>33</v>
      </c>
      <c r="H447" s="212" t="s">
        <v>11172</v>
      </c>
      <c r="I447" s="231" t="s">
        <v>37</v>
      </c>
      <c r="J447" s="264" t="s">
        <v>160</v>
      </c>
      <c r="K447" s="414" t="s">
        <v>35</v>
      </c>
      <c r="L447" s="184" t="s">
        <v>11266</v>
      </c>
      <c r="M447" s="157" t="s">
        <v>29</v>
      </c>
      <c r="N447" s="167" t="s">
        <v>10498</v>
      </c>
      <c r="O447" s="55" t="str">
        <f t="shared" si="29"/>
        <v>L2.02.03.02.04.03</v>
      </c>
      <c r="P447" s="257" t="str">
        <f t="shared" si="27"/>
        <v>L2.02.03.02.04.03.01</v>
      </c>
      <c r="Q447" s="161" t="s">
        <v>10530</v>
      </c>
      <c r="R447" s="273" t="str">
        <f t="shared" si="28"/>
        <v>Nhóm Bán thêm AMIS Kế toán 02</v>
      </c>
      <c r="S447" s="269" t="s">
        <v>11262</v>
      </c>
      <c r="T447" s="265" t="s">
        <v>3611</v>
      </c>
      <c r="U447" s="265" t="s">
        <v>346</v>
      </c>
      <c r="V447" s="265" t="s">
        <v>275</v>
      </c>
      <c r="W447" s="265" t="s">
        <v>927</v>
      </c>
      <c r="X447" s="265" t="s">
        <v>3610</v>
      </c>
      <c r="Y447" s="265"/>
      <c r="Z447" s="225" t="s">
        <v>11267</v>
      </c>
      <c r="AA447" s="300" t="s">
        <v>10530</v>
      </c>
      <c r="AB447" s="267"/>
      <c r="AC447" s="376" t="s">
        <v>11712</v>
      </c>
      <c r="AD447" s="267"/>
    </row>
    <row r="448" ht="15.75" customHeight="1" outlineLevel="1">
      <c r="A448" s="261" t="s">
        <v>10833</v>
      </c>
      <c r="B448" s="231" t="s">
        <v>77</v>
      </c>
      <c r="C448" s="231" t="s">
        <v>33</v>
      </c>
      <c r="D448" s="157" t="s">
        <v>89</v>
      </c>
      <c r="E448" s="297" t="s">
        <v>35</v>
      </c>
      <c r="F448" s="168" t="s">
        <v>11167</v>
      </c>
      <c r="G448" s="157" t="s">
        <v>33</v>
      </c>
      <c r="H448" s="212" t="s">
        <v>11172</v>
      </c>
      <c r="I448" s="231" t="s">
        <v>37</v>
      </c>
      <c r="J448" s="264" t="s">
        <v>160</v>
      </c>
      <c r="K448" s="414" t="s">
        <v>37</v>
      </c>
      <c r="L448" s="184" t="s">
        <v>11268</v>
      </c>
      <c r="M448" s="157" t="s">
        <v>29</v>
      </c>
      <c r="N448" s="167" t="s">
        <v>10498</v>
      </c>
      <c r="O448" s="55" t="str">
        <f t="shared" si="29"/>
        <v>L2.02.03.02.04.04</v>
      </c>
      <c r="P448" s="257" t="str">
        <f t="shared" si="27"/>
        <v>L2.02.03.02.04.04.01</v>
      </c>
      <c r="Q448" s="161" t="s">
        <v>10530</v>
      </c>
      <c r="R448" s="273" t="str">
        <f t="shared" si="28"/>
        <v>Nhóm Bán thêm AMIS Bán hàng 02</v>
      </c>
      <c r="S448" s="269" t="s">
        <v>11262</v>
      </c>
      <c r="T448" s="265" t="s">
        <v>996</v>
      </c>
      <c r="U448" s="265" t="s">
        <v>346</v>
      </c>
      <c r="V448" s="265" t="s">
        <v>275</v>
      </c>
      <c r="W448" s="265" t="s">
        <v>927</v>
      </c>
      <c r="X448" s="265" t="s">
        <v>995</v>
      </c>
      <c r="Y448" s="265"/>
      <c r="Z448" s="225" t="s">
        <v>11269</v>
      </c>
      <c r="AA448" s="300" t="s">
        <v>10530</v>
      </c>
      <c r="AB448" s="267"/>
      <c r="AC448" s="376" t="s">
        <v>11712</v>
      </c>
      <c r="AD448" s="267"/>
    </row>
    <row r="449" ht="15.75" customHeight="1" outlineLevel="1">
      <c r="A449" s="261" t="s">
        <v>10833</v>
      </c>
      <c r="B449" s="231" t="s">
        <v>77</v>
      </c>
      <c r="C449" s="231" t="s">
        <v>33</v>
      </c>
      <c r="D449" s="157" t="s">
        <v>89</v>
      </c>
      <c r="E449" s="297" t="s">
        <v>35</v>
      </c>
      <c r="F449" s="168" t="s">
        <v>11167</v>
      </c>
      <c r="G449" s="157" t="s">
        <v>33</v>
      </c>
      <c r="H449" s="212" t="s">
        <v>11172</v>
      </c>
      <c r="I449" s="231" t="s">
        <v>37</v>
      </c>
      <c r="J449" s="264" t="s">
        <v>160</v>
      </c>
      <c r="K449" s="414" t="s">
        <v>42</v>
      </c>
      <c r="L449" s="184" t="s">
        <v>11270</v>
      </c>
      <c r="M449" s="157" t="s">
        <v>29</v>
      </c>
      <c r="N449" s="167" t="s">
        <v>10498</v>
      </c>
      <c r="O449" s="55" t="str">
        <f t="shared" si="29"/>
        <v>L2.02.03.02.04.05</v>
      </c>
      <c r="P449" s="257" t="str">
        <f t="shared" si="27"/>
        <v>L2.02.03.02.04.05.01</v>
      </c>
      <c r="Q449" s="161" t="s">
        <v>10530</v>
      </c>
      <c r="R449" s="273" t="str">
        <f t="shared" si="28"/>
        <v>Nhóm Bán thêm AMIS Nhân sự 02</v>
      </c>
      <c r="S449" s="269" t="s">
        <v>11262</v>
      </c>
      <c r="T449" s="265" t="s">
        <v>944</v>
      </c>
      <c r="U449" s="265" t="s">
        <v>346</v>
      </c>
      <c r="V449" s="265" t="s">
        <v>275</v>
      </c>
      <c r="W449" s="265" t="s">
        <v>927</v>
      </c>
      <c r="X449" s="265" t="s">
        <v>943</v>
      </c>
      <c r="Y449" s="265"/>
      <c r="Z449" s="225" t="s">
        <v>11271</v>
      </c>
      <c r="AA449" s="300" t="s">
        <v>10530</v>
      </c>
      <c r="AB449" s="267"/>
      <c r="AC449" s="376" t="s">
        <v>11712</v>
      </c>
      <c r="AD449" s="267"/>
    </row>
    <row r="450" ht="15.75" customHeight="1" outlineLevel="1">
      <c r="A450" s="261" t="s">
        <v>10833</v>
      </c>
      <c r="B450" s="231" t="s">
        <v>77</v>
      </c>
      <c r="C450" s="231" t="s">
        <v>33</v>
      </c>
      <c r="D450" s="157" t="s">
        <v>89</v>
      </c>
      <c r="E450" s="297" t="s">
        <v>35</v>
      </c>
      <c r="F450" s="168" t="s">
        <v>11167</v>
      </c>
      <c r="G450" s="157" t="s">
        <v>33</v>
      </c>
      <c r="H450" s="212" t="s">
        <v>11172</v>
      </c>
      <c r="I450" s="231" t="s">
        <v>37</v>
      </c>
      <c r="J450" s="264" t="s">
        <v>160</v>
      </c>
      <c r="K450" s="414" t="s">
        <v>44</v>
      </c>
      <c r="L450" s="184" t="s">
        <v>11272</v>
      </c>
      <c r="M450" s="157" t="s">
        <v>29</v>
      </c>
      <c r="N450" s="167" t="s">
        <v>10498</v>
      </c>
      <c r="O450" s="55" t="str">
        <f t="shared" si="29"/>
        <v>L2.02.03.02.04.06</v>
      </c>
      <c r="P450" s="257" t="str">
        <f t="shared" si="27"/>
        <v>L2.02.03.02.04.06.01</v>
      </c>
      <c r="Q450" s="161" t="s">
        <v>10530</v>
      </c>
      <c r="R450" s="273" t="str">
        <f t="shared" si="28"/>
        <v>Nhóm Bán thêm AMIS Điều hành 02</v>
      </c>
      <c r="S450" s="269" t="s">
        <v>11262</v>
      </c>
      <c r="T450" s="265" t="s">
        <v>4014</v>
      </c>
      <c r="U450" s="265" t="s">
        <v>346</v>
      </c>
      <c r="V450" s="265" t="s">
        <v>275</v>
      </c>
      <c r="W450" s="265" t="s">
        <v>927</v>
      </c>
      <c r="X450" s="265" t="s">
        <v>4013</v>
      </c>
      <c r="Y450" s="265"/>
      <c r="Z450" s="225" t="s">
        <v>11273</v>
      </c>
      <c r="AA450" s="300" t="s">
        <v>10530</v>
      </c>
      <c r="AB450" s="267"/>
      <c r="AC450" s="376" t="s">
        <v>11712</v>
      </c>
      <c r="AD450" s="267"/>
    </row>
    <row r="451" ht="15.75" customHeight="1" outlineLevel="1">
      <c r="A451" s="261" t="s">
        <v>10833</v>
      </c>
      <c r="B451" s="231" t="s">
        <v>77</v>
      </c>
      <c r="C451" s="231" t="s">
        <v>33</v>
      </c>
      <c r="D451" s="157" t="s">
        <v>89</v>
      </c>
      <c r="E451" s="297" t="s">
        <v>35</v>
      </c>
      <c r="F451" s="168" t="s">
        <v>11167</v>
      </c>
      <c r="G451" s="157" t="s">
        <v>33</v>
      </c>
      <c r="H451" s="212" t="s">
        <v>11172</v>
      </c>
      <c r="I451" s="231" t="s">
        <v>42</v>
      </c>
      <c r="J451" s="264" t="s">
        <v>11713</v>
      </c>
      <c r="K451" s="297" t="s">
        <v>27</v>
      </c>
      <c r="L451" s="258" t="s">
        <v>4</v>
      </c>
      <c r="M451" s="157" t="s">
        <v>29</v>
      </c>
      <c r="N451" s="167" t="s">
        <v>10498</v>
      </c>
      <c r="O451" s="55" t="str">
        <f t="shared" si="29"/>
        <v>L2.02.03.02.05.00</v>
      </c>
      <c r="P451" s="257" t="str">
        <f t="shared" si="27"/>
        <v>L2.02.03.02.05.00.01</v>
      </c>
      <c r="Q451" s="161" t="s">
        <v>10530</v>
      </c>
      <c r="R451" s="299" t="str">
        <f t="shared" si="28"/>
        <v>Phòng KD Bán thêm 03</v>
      </c>
      <c r="S451" s="269" t="str">
        <f>P436</f>
        <v>L2.02.03.02.99.00.01</v>
      </c>
      <c r="T451" s="265" t="s">
        <v>1013</v>
      </c>
      <c r="U451" s="265" t="s">
        <v>346</v>
      </c>
      <c r="V451" s="265" t="s">
        <v>275</v>
      </c>
      <c r="W451" s="265" t="s">
        <v>1012</v>
      </c>
      <c r="X451" s="265"/>
      <c r="Y451" s="265"/>
      <c r="Z451" s="225" t="s">
        <v>11274</v>
      </c>
      <c r="AA451" s="300" t="s">
        <v>10530</v>
      </c>
      <c r="AB451" s="267"/>
      <c r="AC451" s="376" t="s">
        <v>11712</v>
      </c>
      <c r="AD451" s="267"/>
    </row>
    <row r="452" ht="16.5" customHeight="1" outlineLevel="1">
      <c r="A452" s="261" t="s">
        <v>10833</v>
      </c>
      <c r="B452" s="231" t="s">
        <v>77</v>
      </c>
      <c r="C452" s="231" t="s">
        <v>33</v>
      </c>
      <c r="D452" s="157" t="s">
        <v>89</v>
      </c>
      <c r="E452" s="297" t="s">
        <v>35</v>
      </c>
      <c r="F452" s="168" t="s">
        <v>11167</v>
      </c>
      <c r="G452" s="157" t="s">
        <v>33</v>
      </c>
      <c r="H452" s="212" t="s">
        <v>11172</v>
      </c>
      <c r="I452" s="231" t="s">
        <v>42</v>
      </c>
      <c r="J452" s="264" t="s">
        <v>11713</v>
      </c>
      <c r="K452" s="168" t="s">
        <v>44</v>
      </c>
      <c r="L452" s="264" t="s">
        <v>11202</v>
      </c>
      <c r="M452" s="157" t="s">
        <v>29</v>
      </c>
      <c r="N452" s="167" t="s">
        <v>10498</v>
      </c>
      <c r="O452" s="55" t="str">
        <f t="shared" si="29"/>
        <v>L2.02.03.02.05.06</v>
      </c>
      <c r="P452" s="257" t="str">
        <f t="shared" si="27"/>
        <v>L2.02.03.02.05.06.01</v>
      </c>
      <c r="Q452" s="161" t="s">
        <v>10530</v>
      </c>
      <c r="R452" s="299" t="str">
        <f t="shared" si="28"/>
        <v>Nhóm Quản lý 03</v>
      </c>
      <c r="S452" s="269" t="s">
        <v>11275</v>
      </c>
      <c r="T452" s="265"/>
      <c r="U452" s="265"/>
      <c r="V452" s="265"/>
      <c r="W452" s="265"/>
      <c r="X452" s="265"/>
      <c r="Y452" s="264" t="s">
        <v>11089</v>
      </c>
      <c r="Z452" s="225" t="s">
        <v>11276</v>
      </c>
      <c r="AA452" s="300" t="s">
        <v>10530</v>
      </c>
      <c r="AB452" s="267"/>
      <c r="AC452" s="267"/>
      <c r="AD452" s="267"/>
    </row>
    <row r="453" ht="16.5" customHeight="1" outlineLevel="1">
      <c r="A453" s="261" t="s">
        <v>10833</v>
      </c>
      <c r="B453" s="231" t="s">
        <v>77</v>
      </c>
      <c r="C453" s="231" t="s">
        <v>33</v>
      </c>
      <c r="D453" s="157" t="s">
        <v>89</v>
      </c>
      <c r="E453" s="297" t="s">
        <v>35</v>
      </c>
      <c r="F453" s="168" t="s">
        <v>11167</v>
      </c>
      <c r="G453" s="157" t="s">
        <v>33</v>
      </c>
      <c r="H453" s="212" t="s">
        <v>11172</v>
      </c>
      <c r="I453" s="231" t="s">
        <v>42</v>
      </c>
      <c r="J453" s="264" t="s">
        <v>11713</v>
      </c>
      <c r="K453" s="414" t="s">
        <v>29</v>
      </c>
      <c r="L453" s="184" t="s">
        <v>11277</v>
      </c>
      <c r="M453" s="157" t="s">
        <v>29</v>
      </c>
      <c r="N453" s="167" t="s">
        <v>10498</v>
      </c>
      <c r="O453" s="55" t="str">
        <f t="shared" si="29"/>
        <v>L2.02.03.02.05.01</v>
      </c>
      <c r="P453" s="257" t="str">
        <f t="shared" si="27"/>
        <v>L2.02.03.02.05.01.01</v>
      </c>
      <c r="Q453" s="161" t="s">
        <v>10530</v>
      </c>
      <c r="R453" s="299" t="str">
        <f t="shared" si="28"/>
        <v>Nhóm Quản lý khách hàng 03</v>
      </c>
      <c r="S453" s="269" t="s">
        <v>11275</v>
      </c>
      <c r="T453" s="265" t="s">
        <v>3821</v>
      </c>
      <c r="U453" s="265" t="s">
        <v>346</v>
      </c>
      <c r="V453" s="265" t="s">
        <v>275</v>
      </c>
      <c r="W453" s="265" t="s">
        <v>1012</v>
      </c>
      <c r="X453" s="265" t="s">
        <v>3820</v>
      </c>
      <c r="Y453" s="265"/>
      <c r="Z453" s="225" t="s">
        <v>11278</v>
      </c>
      <c r="AA453" s="300" t="s">
        <v>10530</v>
      </c>
      <c r="AB453" s="267"/>
      <c r="AC453" s="267"/>
      <c r="AD453" s="267"/>
    </row>
    <row r="454" ht="15.75" customHeight="1" outlineLevel="1">
      <c r="A454" s="261" t="s">
        <v>10833</v>
      </c>
      <c r="B454" s="231" t="s">
        <v>77</v>
      </c>
      <c r="C454" s="231" t="s">
        <v>33</v>
      </c>
      <c r="D454" s="157" t="s">
        <v>89</v>
      </c>
      <c r="E454" s="297" t="s">
        <v>35</v>
      </c>
      <c r="F454" s="168" t="s">
        <v>11167</v>
      </c>
      <c r="G454" s="157" t="s">
        <v>33</v>
      </c>
      <c r="H454" s="212" t="s">
        <v>11172</v>
      </c>
      <c r="I454" s="231" t="s">
        <v>42</v>
      </c>
      <c r="J454" s="264" t="s">
        <v>11713</v>
      </c>
      <c r="K454" s="414" t="s">
        <v>33</v>
      </c>
      <c r="L454" s="184" t="s">
        <v>11279</v>
      </c>
      <c r="M454" s="157" t="s">
        <v>29</v>
      </c>
      <c r="N454" s="167" t="s">
        <v>10498</v>
      </c>
      <c r="O454" s="55" t="str">
        <f t="shared" si="29"/>
        <v>L2.02.03.02.05.02</v>
      </c>
      <c r="P454" s="257" t="str">
        <f t="shared" si="27"/>
        <v>L2.02.03.02.05.02.01</v>
      </c>
      <c r="Q454" s="161" t="s">
        <v>10530</v>
      </c>
      <c r="R454" s="273" t="str">
        <f t="shared" si="28"/>
        <v>Nhóm Bán thêm AMIS Kế toán 03</v>
      </c>
      <c r="S454" s="269" t="s">
        <v>11275</v>
      </c>
      <c r="T454" s="265" t="s">
        <v>4212</v>
      </c>
      <c r="U454" s="265" t="s">
        <v>346</v>
      </c>
      <c r="V454" s="265" t="s">
        <v>275</v>
      </c>
      <c r="W454" s="265" t="s">
        <v>1012</v>
      </c>
      <c r="X454" s="265" t="s">
        <v>4211</v>
      </c>
      <c r="Y454" s="265"/>
      <c r="Z454" s="225" t="s">
        <v>11280</v>
      </c>
      <c r="AA454" s="300" t="s">
        <v>10530</v>
      </c>
      <c r="AB454" s="267"/>
      <c r="AC454" s="376" t="s">
        <v>11712</v>
      </c>
      <c r="AD454" s="267"/>
    </row>
    <row r="455" ht="15.75" customHeight="1" outlineLevel="1">
      <c r="A455" s="261" t="s">
        <v>10833</v>
      </c>
      <c r="B455" s="231" t="s">
        <v>77</v>
      </c>
      <c r="C455" s="231" t="s">
        <v>33</v>
      </c>
      <c r="D455" s="157" t="s">
        <v>89</v>
      </c>
      <c r="E455" s="297" t="s">
        <v>35</v>
      </c>
      <c r="F455" s="168" t="s">
        <v>11167</v>
      </c>
      <c r="G455" s="157" t="s">
        <v>33</v>
      </c>
      <c r="H455" s="212" t="s">
        <v>11172</v>
      </c>
      <c r="I455" s="231" t="s">
        <v>42</v>
      </c>
      <c r="J455" s="264" t="s">
        <v>11713</v>
      </c>
      <c r="K455" s="414" t="s">
        <v>35</v>
      </c>
      <c r="L455" s="184" t="s">
        <v>11281</v>
      </c>
      <c r="M455" s="157" t="s">
        <v>29</v>
      </c>
      <c r="N455" s="167" t="s">
        <v>10498</v>
      </c>
      <c r="O455" s="55" t="str">
        <f t="shared" si="29"/>
        <v>L2.02.03.02.05.03</v>
      </c>
      <c r="P455" s="257" t="str">
        <f t="shared" si="27"/>
        <v>L2.02.03.02.05.03.01</v>
      </c>
      <c r="Q455" s="161" t="s">
        <v>10530</v>
      </c>
      <c r="R455" s="273" t="str">
        <f t="shared" si="28"/>
        <v>Nhóm Bán thêm AMIS Bán hàng 03</v>
      </c>
      <c r="S455" s="269" t="s">
        <v>11275</v>
      </c>
      <c r="T455" s="265" t="s">
        <v>3957</v>
      </c>
      <c r="U455" s="265" t="s">
        <v>346</v>
      </c>
      <c r="V455" s="265" t="s">
        <v>275</v>
      </c>
      <c r="W455" s="265" t="s">
        <v>1012</v>
      </c>
      <c r="X455" s="265" t="s">
        <v>3956</v>
      </c>
      <c r="Y455" s="265"/>
      <c r="Z455" s="225" t="s">
        <v>11282</v>
      </c>
      <c r="AA455" s="300" t="s">
        <v>10530</v>
      </c>
      <c r="AB455" s="267"/>
      <c r="AC455" s="376" t="s">
        <v>11712</v>
      </c>
      <c r="AD455" s="267"/>
    </row>
    <row r="456" ht="15.75" customHeight="1" outlineLevel="1">
      <c r="A456" s="261" t="s">
        <v>10833</v>
      </c>
      <c r="B456" s="231" t="s">
        <v>77</v>
      </c>
      <c r="C456" s="231" t="s">
        <v>33</v>
      </c>
      <c r="D456" s="157" t="s">
        <v>89</v>
      </c>
      <c r="E456" s="297" t="s">
        <v>35</v>
      </c>
      <c r="F456" s="168" t="s">
        <v>11167</v>
      </c>
      <c r="G456" s="157" t="s">
        <v>33</v>
      </c>
      <c r="H456" s="212" t="s">
        <v>11172</v>
      </c>
      <c r="I456" s="231" t="s">
        <v>42</v>
      </c>
      <c r="J456" s="264" t="s">
        <v>11713</v>
      </c>
      <c r="K456" s="414" t="s">
        <v>37</v>
      </c>
      <c r="L456" s="184" t="s">
        <v>11283</v>
      </c>
      <c r="M456" s="157" t="s">
        <v>29</v>
      </c>
      <c r="N456" s="167" t="s">
        <v>10498</v>
      </c>
      <c r="O456" s="55" t="str">
        <f t="shared" si="29"/>
        <v>L2.02.03.02.05.04</v>
      </c>
      <c r="P456" s="257" t="str">
        <f t="shared" si="27"/>
        <v>L2.02.03.02.05.04.01</v>
      </c>
      <c r="Q456" s="161" t="s">
        <v>10530</v>
      </c>
      <c r="R456" s="273" t="str">
        <f t="shared" si="28"/>
        <v>Nhóm Bán thêm AMIS Nhân sự 03</v>
      </c>
      <c r="S456" s="269" t="s">
        <v>11275</v>
      </c>
      <c r="T456" s="265" t="s">
        <v>3232</v>
      </c>
      <c r="U456" s="265" t="s">
        <v>346</v>
      </c>
      <c r="V456" s="265" t="s">
        <v>275</v>
      </c>
      <c r="W456" s="265" t="s">
        <v>1012</v>
      </c>
      <c r="X456" s="265" t="s">
        <v>3231</v>
      </c>
      <c r="Y456" s="265"/>
      <c r="Z456" s="225" t="s">
        <v>11284</v>
      </c>
      <c r="AA456" s="300" t="s">
        <v>10530</v>
      </c>
      <c r="AB456" s="267"/>
      <c r="AC456" s="376" t="s">
        <v>11712</v>
      </c>
      <c r="AD456" s="267"/>
    </row>
    <row r="457" ht="15.75" customHeight="1" outlineLevel="1">
      <c r="A457" s="261" t="s">
        <v>10833</v>
      </c>
      <c r="B457" s="231" t="s">
        <v>77</v>
      </c>
      <c r="C457" s="231" t="s">
        <v>33</v>
      </c>
      <c r="D457" s="157" t="s">
        <v>89</v>
      </c>
      <c r="E457" s="297" t="s">
        <v>35</v>
      </c>
      <c r="F457" s="168" t="s">
        <v>11167</v>
      </c>
      <c r="G457" s="157" t="s">
        <v>33</v>
      </c>
      <c r="H457" s="212" t="s">
        <v>11172</v>
      </c>
      <c r="I457" s="231" t="s">
        <v>42</v>
      </c>
      <c r="J457" s="264" t="s">
        <v>11713</v>
      </c>
      <c r="K457" s="414" t="s">
        <v>42</v>
      </c>
      <c r="L457" s="184" t="s">
        <v>11285</v>
      </c>
      <c r="M457" s="157" t="s">
        <v>29</v>
      </c>
      <c r="N457" s="167" t="s">
        <v>10498</v>
      </c>
      <c r="O457" s="55" t="str">
        <f t="shared" si="29"/>
        <v>L2.02.03.02.05.05</v>
      </c>
      <c r="P457" s="257" t="str">
        <f t="shared" si="27"/>
        <v>L2.02.03.02.05.05.01</v>
      </c>
      <c r="Q457" s="161" t="s">
        <v>10530</v>
      </c>
      <c r="R457" s="273" t="str">
        <f t="shared" si="28"/>
        <v>Nhóm Bán thêm AMIS Điều hành 03</v>
      </c>
      <c r="S457" s="269" t="s">
        <v>11275</v>
      </c>
      <c r="T457" s="265" t="s">
        <v>3937</v>
      </c>
      <c r="U457" s="265" t="s">
        <v>346</v>
      </c>
      <c r="V457" s="265" t="s">
        <v>275</v>
      </c>
      <c r="W457" s="265" t="s">
        <v>1012</v>
      </c>
      <c r="X457" s="265" t="s">
        <v>3936</v>
      </c>
      <c r="Y457" s="265"/>
      <c r="Z457" s="225" t="s">
        <v>11286</v>
      </c>
      <c r="AA457" s="300" t="s">
        <v>10530</v>
      </c>
      <c r="AB457" s="267"/>
      <c r="AC457" s="376" t="s">
        <v>11712</v>
      </c>
      <c r="AD457" s="267"/>
    </row>
    <row r="458" ht="15.75" customHeight="1" outlineLevel="1">
      <c r="A458" s="261" t="s">
        <v>10833</v>
      </c>
      <c r="B458" s="231" t="s">
        <v>77</v>
      </c>
      <c r="C458" s="231" t="s">
        <v>33</v>
      </c>
      <c r="D458" s="157" t="s">
        <v>89</v>
      </c>
      <c r="E458" s="297" t="s">
        <v>35</v>
      </c>
      <c r="F458" s="168" t="s">
        <v>11167</v>
      </c>
      <c r="G458" s="157" t="s">
        <v>33</v>
      </c>
      <c r="H458" s="212" t="s">
        <v>11172</v>
      </c>
      <c r="I458" s="168" t="s">
        <v>44</v>
      </c>
      <c r="J458" s="257" t="s">
        <v>101</v>
      </c>
      <c r="K458" s="297" t="s">
        <v>27</v>
      </c>
      <c r="L458" s="157" t="s">
        <v>4</v>
      </c>
      <c r="M458" s="157" t="s">
        <v>29</v>
      </c>
      <c r="N458" s="167" t="s">
        <v>10498</v>
      </c>
      <c r="O458" s="55" t="str">
        <f t="shared" si="29"/>
        <v>L2.02.03.02.06.00</v>
      </c>
      <c r="P458" s="257" t="str">
        <f t="shared" si="27"/>
        <v>L2.02.03.02.06.00.01</v>
      </c>
      <c r="Q458" s="161" t="s">
        <v>10530</v>
      </c>
      <c r="R458" s="299" t="str">
        <f t="shared" si="28"/>
        <v>Phòng chuyển giao</v>
      </c>
      <c r="S458" s="269" t="s">
        <v>11175</v>
      </c>
      <c r="T458" s="265" t="s">
        <v>507</v>
      </c>
      <c r="U458" s="265" t="s">
        <v>346</v>
      </c>
      <c r="V458" s="265" t="s">
        <v>275</v>
      </c>
      <c r="W458" s="265" t="s">
        <v>101</v>
      </c>
      <c r="X458" s="265"/>
      <c r="Y458" s="265"/>
      <c r="Z458" s="225" t="s">
        <v>11287</v>
      </c>
      <c r="AA458" s="300" t="s">
        <v>10530</v>
      </c>
      <c r="AB458" s="267"/>
      <c r="AC458" s="267"/>
      <c r="AD458" s="267"/>
    </row>
    <row r="459" ht="15.75" customHeight="1" outlineLevel="1">
      <c r="A459" s="261" t="s">
        <v>10833</v>
      </c>
      <c r="B459" s="231" t="s">
        <v>77</v>
      </c>
      <c r="C459" s="231" t="s">
        <v>33</v>
      </c>
      <c r="D459" s="157" t="s">
        <v>89</v>
      </c>
      <c r="E459" s="297" t="s">
        <v>35</v>
      </c>
      <c r="F459" s="168" t="s">
        <v>11167</v>
      </c>
      <c r="G459" s="157" t="s">
        <v>33</v>
      </c>
      <c r="H459" s="212" t="s">
        <v>11288</v>
      </c>
      <c r="I459" s="168" t="s">
        <v>27</v>
      </c>
      <c r="J459" s="258" t="s">
        <v>4</v>
      </c>
      <c r="K459" s="297" t="s">
        <v>27</v>
      </c>
      <c r="L459" s="157" t="s">
        <v>4</v>
      </c>
      <c r="M459" s="157" t="s">
        <v>33</v>
      </c>
      <c r="N459" s="167" t="s">
        <v>10499</v>
      </c>
      <c r="O459" s="55" t="str">
        <f t="shared" si="29"/>
        <v>L2.02.03.02.00.00</v>
      </c>
      <c r="P459" s="257" t="str">
        <f t="shared" si="27"/>
        <v>L2.02.03.02.00.00.02</v>
      </c>
      <c r="Q459" s="161" t="s">
        <v>10530</v>
      </c>
      <c r="R459" s="273" t="str">
        <f t="shared" si="28"/>
        <v>Trung tâm KD giải pháp DN Vừa - Hồ Chí Minh</v>
      </c>
      <c r="S459" s="269" t="s">
        <v>11170</v>
      </c>
      <c r="T459" s="342" t="s">
        <v>11289</v>
      </c>
      <c r="U459" s="265" t="s">
        <v>262</v>
      </c>
      <c r="V459" s="265" t="s">
        <v>275</v>
      </c>
      <c r="W459" s="265"/>
      <c r="X459" s="265"/>
      <c r="Y459" s="265"/>
      <c r="Z459" s="225" t="s">
        <v>11290</v>
      </c>
      <c r="AA459" s="266"/>
      <c r="AB459" s="267"/>
      <c r="AC459" s="376" t="s">
        <v>11714</v>
      </c>
      <c r="AD459" s="267"/>
    </row>
    <row r="460" ht="15.75" customHeight="1" outlineLevel="1">
      <c r="A460" s="261" t="s">
        <v>10833</v>
      </c>
      <c r="B460" s="231" t="s">
        <v>77</v>
      </c>
      <c r="C460" s="231" t="s">
        <v>33</v>
      </c>
      <c r="D460" s="157" t="s">
        <v>89</v>
      </c>
      <c r="E460" s="297" t="s">
        <v>35</v>
      </c>
      <c r="F460" s="168" t="s">
        <v>11167</v>
      </c>
      <c r="G460" s="157" t="s">
        <v>33</v>
      </c>
      <c r="H460" s="212" t="s">
        <v>11288</v>
      </c>
      <c r="I460" s="157" t="s">
        <v>29</v>
      </c>
      <c r="J460" s="257" t="s">
        <v>155</v>
      </c>
      <c r="K460" s="297" t="s">
        <v>27</v>
      </c>
      <c r="L460" s="157" t="s">
        <v>4</v>
      </c>
      <c r="M460" s="157" t="s">
        <v>33</v>
      </c>
      <c r="N460" s="167" t="s">
        <v>10499</v>
      </c>
      <c r="O460" s="55" t="str">
        <f t="shared" si="29"/>
        <v>L2.02.03.02.01.00</v>
      </c>
      <c r="P460" s="257" t="str">
        <f t="shared" si="27"/>
        <v>L2.02.03.02.01.00.02</v>
      </c>
      <c r="Q460" s="161" t="s">
        <v>10530</v>
      </c>
      <c r="R460" s="299" t="str">
        <f t="shared" si="28"/>
        <v>Ban Giám đốc</v>
      </c>
      <c r="S460" s="269" t="s">
        <v>11292</v>
      </c>
      <c r="T460" s="8" t="s">
        <v>7231</v>
      </c>
      <c r="U460" s="8" t="s">
        <v>262</v>
      </c>
      <c r="V460" s="8" t="s">
        <v>275</v>
      </c>
      <c r="W460" s="8" t="s">
        <v>7230</v>
      </c>
      <c r="X460" s="265"/>
      <c r="Y460" s="265"/>
      <c r="Z460" s="225" t="s">
        <v>11293</v>
      </c>
      <c r="AA460" s="300" t="s">
        <v>10530</v>
      </c>
      <c r="AB460" s="267"/>
      <c r="AC460" s="267"/>
      <c r="AD460" s="267"/>
    </row>
    <row r="461" ht="15.75" customHeight="1" outlineLevel="1">
      <c r="A461" s="228" t="s">
        <v>10833</v>
      </c>
      <c r="B461" s="270" t="s">
        <v>77</v>
      </c>
      <c r="C461" s="270" t="s">
        <v>33</v>
      </c>
      <c r="D461" s="209" t="s">
        <v>89</v>
      </c>
      <c r="E461" s="271" t="s">
        <v>35</v>
      </c>
      <c r="F461" s="182" t="s">
        <v>11167</v>
      </c>
      <c r="G461" s="209" t="s">
        <v>33</v>
      </c>
      <c r="H461" s="212" t="s">
        <v>11288</v>
      </c>
      <c r="I461" s="182" t="s">
        <v>11715</v>
      </c>
      <c r="J461" s="303" t="s">
        <v>11716</v>
      </c>
      <c r="K461" s="182" t="s">
        <v>27</v>
      </c>
      <c r="L461" s="209" t="s">
        <v>4</v>
      </c>
      <c r="M461" s="209" t="s">
        <v>33</v>
      </c>
      <c r="N461" s="181" t="s">
        <v>10499</v>
      </c>
      <c r="O461" s="58" t="str">
        <f t="shared" si="29"/>
        <v>L2.02.03.02.98.00</v>
      </c>
      <c r="P461" s="272" t="str">
        <f t="shared" si="27"/>
        <v>L2.02.03.02.98.00.02</v>
      </c>
      <c r="Q461" s="185" t="s">
        <v>10530</v>
      </c>
      <c r="R461" s="299" t="str">
        <f t="shared" si="28"/>
        <v>Phòng KD Bán mới </v>
      </c>
      <c r="S461" s="274" t="str">
        <f>P459</f>
        <v>L2.02.03.02.00.00.02</v>
      </c>
      <c r="T461" s="566"/>
      <c r="U461" s="277"/>
      <c r="V461" s="277"/>
      <c r="W461" s="277"/>
      <c r="X461" s="183"/>
      <c r="Y461" s="184"/>
      <c r="Z461" s="275"/>
      <c r="AA461" s="276"/>
      <c r="AB461" s="277"/>
      <c r="AC461" s="566" t="s">
        <v>11673</v>
      </c>
      <c r="AD461" s="277"/>
    </row>
    <row r="462" ht="15.75" customHeight="1" outlineLevel="1">
      <c r="A462" s="261" t="s">
        <v>10833</v>
      </c>
      <c r="B462" s="231" t="s">
        <v>77</v>
      </c>
      <c r="C462" s="231" t="s">
        <v>33</v>
      </c>
      <c r="D462" s="157" t="s">
        <v>89</v>
      </c>
      <c r="E462" s="297" t="s">
        <v>35</v>
      </c>
      <c r="F462" s="168" t="s">
        <v>11167</v>
      </c>
      <c r="G462" s="157" t="s">
        <v>33</v>
      </c>
      <c r="H462" s="212" t="s">
        <v>11288</v>
      </c>
      <c r="I462" s="157" t="s">
        <v>33</v>
      </c>
      <c r="J462" s="301" t="s">
        <v>157</v>
      </c>
      <c r="K462" s="168" t="s">
        <v>27</v>
      </c>
      <c r="L462" s="157" t="s">
        <v>4</v>
      </c>
      <c r="M462" s="157" t="s">
        <v>33</v>
      </c>
      <c r="N462" s="167" t="s">
        <v>10499</v>
      </c>
      <c r="O462" s="159" t="str">
        <f t="shared" si="29"/>
        <v>L2.02.03.02.02.00</v>
      </c>
      <c r="P462" s="257" t="str">
        <f t="shared" si="27"/>
        <v>L2.02.03.02.02.00.02</v>
      </c>
      <c r="Q462" s="160" t="s">
        <v>10530</v>
      </c>
      <c r="R462" s="299" t="str">
        <f t="shared" si="28"/>
        <v>Phòng KD Bán mới 01</v>
      </c>
      <c r="S462" s="269" t="str">
        <f>P461</f>
        <v>L2.02.03.02.98.00.02</v>
      </c>
      <c r="T462" s="588" t="s">
        <v>11717</v>
      </c>
      <c r="U462" s="265" t="s">
        <v>262</v>
      </c>
      <c r="V462" s="265" t="s">
        <v>275</v>
      </c>
      <c r="W462" s="265" t="str">
        <f>J462</f>
        <v>Phòng KD Bán mới 01</v>
      </c>
      <c r="X462" s="265"/>
      <c r="Y462" s="264" t="s">
        <v>11089</v>
      </c>
      <c r="Z462" s="275" t="s">
        <v>11294</v>
      </c>
      <c r="AA462" s="266"/>
      <c r="AB462" s="267"/>
      <c r="AC462" s="376" t="s">
        <v>11718</v>
      </c>
      <c r="AD462" s="267"/>
    </row>
    <row r="463" ht="15.75" customHeight="1" outlineLevel="1">
      <c r="A463" s="261" t="s">
        <v>10833</v>
      </c>
      <c r="B463" s="231" t="s">
        <v>77</v>
      </c>
      <c r="C463" s="231" t="s">
        <v>33</v>
      </c>
      <c r="D463" s="157" t="s">
        <v>89</v>
      </c>
      <c r="E463" s="297" t="s">
        <v>35</v>
      </c>
      <c r="F463" s="168" t="s">
        <v>11167</v>
      </c>
      <c r="G463" s="157" t="s">
        <v>33</v>
      </c>
      <c r="H463" s="212" t="s">
        <v>11288</v>
      </c>
      <c r="I463" s="157" t="s">
        <v>33</v>
      </c>
      <c r="J463" s="301" t="s">
        <v>157</v>
      </c>
      <c r="K463" s="168" t="s">
        <v>29</v>
      </c>
      <c r="L463" s="212" t="s">
        <v>11178</v>
      </c>
      <c r="M463" s="157" t="s">
        <v>33</v>
      </c>
      <c r="N463" s="167" t="s">
        <v>10499</v>
      </c>
      <c r="O463" s="159" t="str">
        <f t="shared" si="29"/>
        <v>L2.02.03.02.02.01</v>
      </c>
      <c r="P463" s="257" t="str">
        <f t="shared" si="27"/>
        <v>L2.02.03.02.02.01.02</v>
      </c>
      <c r="Q463" s="160" t="s">
        <v>10530</v>
      </c>
      <c r="R463" s="299" t="str">
        <f t="shared" si="28"/>
        <v>Nhóm Quản lý 01</v>
      </c>
      <c r="S463" s="269" t="s">
        <v>11295</v>
      </c>
      <c r="T463" s="588" t="s">
        <v>11719</v>
      </c>
      <c r="U463" s="265"/>
      <c r="V463" s="265"/>
      <c r="W463" s="265"/>
      <c r="X463" s="265"/>
      <c r="Y463" s="264" t="s">
        <v>11089</v>
      </c>
      <c r="Z463" s="275" t="s">
        <v>11296</v>
      </c>
      <c r="AA463" s="266"/>
      <c r="AB463" s="267"/>
      <c r="AC463" s="376" t="s">
        <v>11720</v>
      </c>
      <c r="AD463" s="267"/>
    </row>
    <row r="464" ht="15.75" customHeight="1" outlineLevel="1">
      <c r="A464" s="261" t="s">
        <v>10833</v>
      </c>
      <c r="B464" s="231" t="s">
        <v>77</v>
      </c>
      <c r="C464" s="231" t="s">
        <v>33</v>
      </c>
      <c r="D464" s="157" t="s">
        <v>89</v>
      </c>
      <c r="E464" s="297" t="s">
        <v>35</v>
      </c>
      <c r="F464" s="168" t="s">
        <v>11167</v>
      </c>
      <c r="G464" s="157" t="s">
        <v>33</v>
      </c>
      <c r="H464" s="212" t="s">
        <v>11288</v>
      </c>
      <c r="I464" s="157" t="s">
        <v>33</v>
      </c>
      <c r="J464" s="301" t="s">
        <v>157</v>
      </c>
      <c r="K464" s="261" t="s">
        <v>33</v>
      </c>
      <c r="L464" s="301" t="s">
        <v>11181</v>
      </c>
      <c r="M464" s="157" t="s">
        <v>33</v>
      </c>
      <c r="N464" s="167" t="s">
        <v>10499</v>
      </c>
      <c r="O464" s="159" t="str">
        <f t="shared" si="29"/>
        <v>L2.02.03.02.02.02</v>
      </c>
      <c r="P464" s="257" t="str">
        <f t="shared" si="27"/>
        <v>L2.02.03.02.02.02.02</v>
      </c>
      <c r="Q464" s="160" t="s">
        <v>10530</v>
      </c>
      <c r="R464" s="299" t="str">
        <f t="shared" si="28"/>
        <v>Nhóm KD MISA AMIS Kế toán 01</v>
      </c>
      <c r="S464" s="269" t="s">
        <v>11295</v>
      </c>
      <c r="T464" s="588" t="s">
        <v>11721</v>
      </c>
      <c r="U464" s="265"/>
      <c r="V464" s="265"/>
      <c r="W464" s="265"/>
      <c r="X464" s="265"/>
      <c r="Y464" s="264" t="s">
        <v>11089</v>
      </c>
      <c r="Z464" s="275" t="s">
        <v>11297</v>
      </c>
      <c r="AA464" s="266"/>
      <c r="AB464" s="267"/>
      <c r="AC464" s="376" t="s">
        <v>11718</v>
      </c>
      <c r="AD464" s="267"/>
    </row>
    <row r="465" ht="15.75" customHeight="1" outlineLevel="1">
      <c r="A465" s="261" t="s">
        <v>10833</v>
      </c>
      <c r="B465" s="231" t="s">
        <v>77</v>
      </c>
      <c r="C465" s="231" t="s">
        <v>33</v>
      </c>
      <c r="D465" s="157" t="s">
        <v>89</v>
      </c>
      <c r="E465" s="297" t="s">
        <v>35</v>
      </c>
      <c r="F465" s="168" t="s">
        <v>11167</v>
      </c>
      <c r="G465" s="157" t="s">
        <v>33</v>
      </c>
      <c r="H465" s="212" t="s">
        <v>11288</v>
      </c>
      <c r="I465" s="157" t="s">
        <v>33</v>
      </c>
      <c r="J465" s="301" t="s">
        <v>157</v>
      </c>
      <c r="K465" s="261" t="s">
        <v>35</v>
      </c>
      <c r="L465" s="301" t="s">
        <v>11183</v>
      </c>
      <c r="M465" s="157" t="s">
        <v>33</v>
      </c>
      <c r="N465" s="167" t="s">
        <v>10499</v>
      </c>
      <c r="O465" s="159" t="str">
        <f t="shared" si="29"/>
        <v>L2.02.03.02.02.03</v>
      </c>
      <c r="P465" s="257" t="str">
        <f t="shared" si="27"/>
        <v>L2.02.03.02.02.03.02</v>
      </c>
      <c r="Q465" s="160" t="s">
        <v>10530</v>
      </c>
      <c r="R465" s="299" t="str">
        <f t="shared" si="28"/>
        <v>Nhóm KD MISA AMIS Điều hành 01</v>
      </c>
      <c r="S465" s="269" t="s">
        <v>11295</v>
      </c>
      <c r="T465" s="588" t="s">
        <v>11722</v>
      </c>
      <c r="U465" s="265"/>
      <c r="V465" s="265"/>
      <c r="W465" s="265"/>
      <c r="X465" s="265"/>
      <c r="Y465" s="264" t="s">
        <v>11089</v>
      </c>
      <c r="Z465" s="275" t="s">
        <v>11298</v>
      </c>
      <c r="AA465" s="266"/>
      <c r="AB465" s="267"/>
      <c r="AC465" s="376" t="s">
        <v>11718</v>
      </c>
      <c r="AD465" s="267"/>
    </row>
    <row r="466" ht="15.75" customHeight="1" outlineLevel="1">
      <c r="A466" s="261" t="s">
        <v>10833</v>
      </c>
      <c r="B466" s="231" t="s">
        <v>77</v>
      </c>
      <c r="C466" s="231" t="s">
        <v>33</v>
      </c>
      <c r="D466" s="157" t="s">
        <v>89</v>
      </c>
      <c r="E466" s="297" t="s">
        <v>35</v>
      </c>
      <c r="F466" s="168" t="s">
        <v>11167</v>
      </c>
      <c r="G466" s="157" t="s">
        <v>33</v>
      </c>
      <c r="H466" s="212" t="s">
        <v>11288</v>
      </c>
      <c r="I466" s="157" t="s">
        <v>33</v>
      </c>
      <c r="J466" s="301" t="s">
        <v>157</v>
      </c>
      <c r="K466" s="261" t="s">
        <v>37</v>
      </c>
      <c r="L466" s="392" t="s">
        <v>11185</v>
      </c>
      <c r="M466" s="157" t="s">
        <v>33</v>
      </c>
      <c r="N466" s="167" t="s">
        <v>10499</v>
      </c>
      <c r="O466" s="159" t="str">
        <f t="shared" si="29"/>
        <v>L2.02.03.02.02.04</v>
      </c>
      <c r="P466" s="257" t="str">
        <f t="shared" si="27"/>
        <v>L2.02.03.02.02.04.02</v>
      </c>
      <c r="Q466" s="160" t="s">
        <v>10530</v>
      </c>
      <c r="R466" s="299" t="str">
        <f t="shared" si="28"/>
        <v>Nhóm KD MISA AMIS Nhân sự 01</v>
      </c>
      <c r="S466" s="269" t="s">
        <v>11295</v>
      </c>
      <c r="T466" s="588" t="s">
        <v>11723</v>
      </c>
      <c r="U466" s="265"/>
      <c r="V466" s="265"/>
      <c r="W466" s="265"/>
      <c r="X466" s="265"/>
      <c r="Y466" s="264" t="s">
        <v>11089</v>
      </c>
      <c r="Z466" s="275" t="s">
        <v>11299</v>
      </c>
      <c r="AA466" s="266"/>
      <c r="AB466" s="267"/>
      <c r="AC466" s="376" t="s">
        <v>11718</v>
      </c>
      <c r="AD466" s="267"/>
    </row>
    <row r="467" ht="15.75" customHeight="1" outlineLevel="1">
      <c r="A467" s="261" t="s">
        <v>10833</v>
      </c>
      <c r="B467" s="231" t="s">
        <v>77</v>
      </c>
      <c r="C467" s="231" t="s">
        <v>33</v>
      </c>
      <c r="D467" s="157" t="s">
        <v>89</v>
      </c>
      <c r="E467" s="297" t="s">
        <v>35</v>
      </c>
      <c r="F467" s="168" t="s">
        <v>11167</v>
      </c>
      <c r="G467" s="157" t="s">
        <v>33</v>
      </c>
      <c r="H467" s="212" t="s">
        <v>11288</v>
      </c>
      <c r="I467" s="157" t="s">
        <v>33</v>
      </c>
      <c r="J467" s="301" t="s">
        <v>157</v>
      </c>
      <c r="K467" s="261" t="s">
        <v>42</v>
      </c>
      <c r="L467" s="392" t="s">
        <v>11187</v>
      </c>
      <c r="M467" s="157" t="s">
        <v>33</v>
      </c>
      <c r="N467" s="167" t="s">
        <v>10499</v>
      </c>
      <c r="O467" s="159" t="str">
        <f t="shared" si="29"/>
        <v>L2.02.03.02.02.05</v>
      </c>
      <c r="P467" s="257" t="str">
        <f t="shared" si="27"/>
        <v>L2.02.03.02.02.05.02</v>
      </c>
      <c r="Q467" s="160" t="s">
        <v>10530</v>
      </c>
      <c r="R467" s="299" t="str">
        <f t="shared" si="28"/>
        <v>Nhóm KD MISA AMIS Bán hàng 01</v>
      </c>
      <c r="S467" s="269" t="s">
        <v>11295</v>
      </c>
      <c r="T467" s="588" t="s">
        <v>11724</v>
      </c>
      <c r="U467" s="265"/>
      <c r="V467" s="265"/>
      <c r="W467" s="265"/>
      <c r="X467" s="265"/>
      <c r="Y467" s="264" t="s">
        <v>11089</v>
      </c>
      <c r="Z467" s="275" t="s">
        <v>11300</v>
      </c>
      <c r="AA467" s="266"/>
      <c r="AB467" s="267"/>
      <c r="AC467" s="376" t="s">
        <v>11718</v>
      </c>
      <c r="AD467" s="267"/>
    </row>
    <row r="468" ht="15.75" customHeight="1" outlineLevel="1">
      <c r="A468" s="228" t="s">
        <v>10833</v>
      </c>
      <c r="B468" s="270" t="s">
        <v>77</v>
      </c>
      <c r="C468" s="270" t="s">
        <v>33</v>
      </c>
      <c r="D468" s="209" t="s">
        <v>89</v>
      </c>
      <c r="E468" s="271" t="s">
        <v>35</v>
      </c>
      <c r="F468" s="182" t="s">
        <v>11167</v>
      </c>
      <c r="G468" s="209" t="s">
        <v>33</v>
      </c>
      <c r="H468" s="212" t="s">
        <v>11288</v>
      </c>
      <c r="I468" s="182" t="s">
        <v>35</v>
      </c>
      <c r="J468" s="303" t="s">
        <v>158</v>
      </c>
      <c r="K468" s="182" t="s">
        <v>27</v>
      </c>
      <c r="L468" s="209" t="s">
        <v>4</v>
      </c>
      <c r="M468" s="209" t="s">
        <v>33</v>
      </c>
      <c r="N468" s="181" t="s">
        <v>10499</v>
      </c>
      <c r="O468" s="58" t="str">
        <f t="shared" si="29"/>
        <v>L2.02.03.02.03.00</v>
      </c>
      <c r="P468" s="272" t="str">
        <f t="shared" si="27"/>
        <v>L2.02.03.02.03.00.02</v>
      </c>
      <c r="Q468" s="185" t="s">
        <v>10530</v>
      </c>
      <c r="R468" s="273" t="str">
        <f t="shared" si="28"/>
        <v>Phòng KD Bán mới 02</v>
      </c>
      <c r="S468" s="274" t="str">
        <f>P461</f>
        <v>L2.02.03.02.98.00.02</v>
      </c>
      <c r="T468" s="588" t="s">
        <v>11725</v>
      </c>
      <c r="U468" s="265" t="s">
        <v>262</v>
      </c>
      <c r="V468" s="265" t="s">
        <v>275</v>
      </c>
      <c r="W468" s="265" t="str">
        <f>J468</f>
        <v>Phòng KD Bán mới 02</v>
      </c>
      <c r="X468" s="183"/>
      <c r="Y468" s="184" t="s">
        <v>11089</v>
      </c>
      <c r="Z468" s="275" t="s">
        <v>11301</v>
      </c>
      <c r="AA468" s="276"/>
      <c r="AB468" s="277"/>
      <c r="AC468" s="376" t="s">
        <v>11718</v>
      </c>
      <c r="AD468" s="277"/>
    </row>
    <row r="469" ht="15.75" customHeight="1" outlineLevel="1">
      <c r="A469" s="228" t="s">
        <v>10833</v>
      </c>
      <c r="B469" s="270" t="s">
        <v>77</v>
      </c>
      <c r="C469" s="270" t="s">
        <v>33</v>
      </c>
      <c r="D469" s="209" t="s">
        <v>89</v>
      </c>
      <c r="E469" s="271" t="s">
        <v>35</v>
      </c>
      <c r="F469" s="182" t="s">
        <v>11167</v>
      </c>
      <c r="G469" s="209" t="s">
        <v>33</v>
      </c>
      <c r="H469" s="212" t="s">
        <v>11288</v>
      </c>
      <c r="I469" s="182" t="s">
        <v>35</v>
      </c>
      <c r="J469" s="303" t="s">
        <v>158</v>
      </c>
      <c r="K469" s="182" t="s">
        <v>29</v>
      </c>
      <c r="L469" s="212" t="s">
        <v>11190</v>
      </c>
      <c r="M469" s="209" t="s">
        <v>33</v>
      </c>
      <c r="N469" s="181" t="s">
        <v>10499</v>
      </c>
      <c r="O469" s="58" t="str">
        <f t="shared" si="29"/>
        <v>L2.02.03.02.03.01</v>
      </c>
      <c r="P469" s="272" t="str">
        <f t="shared" si="27"/>
        <v>L2.02.03.02.03.01.02</v>
      </c>
      <c r="Q469" s="185" t="s">
        <v>10530</v>
      </c>
      <c r="R469" s="273" t="str">
        <f t="shared" si="28"/>
        <v>Nhóm Quản lý 02</v>
      </c>
      <c r="S469" s="274" t="str">
        <f>P468</f>
        <v>L2.02.03.02.03.00.02</v>
      </c>
      <c r="T469" s="588" t="s">
        <v>11726</v>
      </c>
      <c r="U469" s="183"/>
      <c r="V469" s="183"/>
      <c r="W469" s="183"/>
      <c r="X469" s="183"/>
      <c r="Y469" s="184" t="s">
        <v>11089</v>
      </c>
      <c r="Z469" s="275" t="s">
        <v>11302</v>
      </c>
      <c r="AA469" s="276"/>
      <c r="AB469" s="277"/>
      <c r="AC469" s="376" t="s">
        <v>11718</v>
      </c>
      <c r="AD469" s="277"/>
    </row>
    <row r="470" ht="15.75" customHeight="1" outlineLevel="1">
      <c r="A470" s="228" t="s">
        <v>10833</v>
      </c>
      <c r="B470" s="270" t="s">
        <v>77</v>
      </c>
      <c r="C470" s="270" t="s">
        <v>33</v>
      </c>
      <c r="D470" s="209" t="s">
        <v>89</v>
      </c>
      <c r="E470" s="271" t="s">
        <v>35</v>
      </c>
      <c r="F470" s="182" t="s">
        <v>11167</v>
      </c>
      <c r="G470" s="209" t="s">
        <v>33</v>
      </c>
      <c r="H470" s="212" t="s">
        <v>11288</v>
      </c>
      <c r="I470" s="182" t="s">
        <v>35</v>
      </c>
      <c r="J470" s="303" t="s">
        <v>158</v>
      </c>
      <c r="K470" s="228" t="s">
        <v>33</v>
      </c>
      <c r="L470" s="303" t="s">
        <v>11192</v>
      </c>
      <c r="M470" s="209" t="s">
        <v>33</v>
      </c>
      <c r="N470" s="181" t="s">
        <v>10499</v>
      </c>
      <c r="O470" s="58" t="str">
        <f t="shared" si="29"/>
        <v>L2.02.03.02.03.02</v>
      </c>
      <c r="P470" s="272" t="str">
        <f t="shared" si="27"/>
        <v>L2.02.03.02.03.02.02</v>
      </c>
      <c r="Q470" s="185" t="s">
        <v>10530</v>
      </c>
      <c r="R470" s="273" t="str">
        <f t="shared" si="28"/>
        <v>Nhóm KD MISA AMIS Kế toán 02</v>
      </c>
      <c r="S470" s="274" t="str">
        <f>P468</f>
        <v>L2.02.03.02.03.00.02</v>
      </c>
      <c r="T470" s="588" t="s">
        <v>11727</v>
      </c>
      <c r="U470" s="183"/>
      <c r="V470" s="183"/>
      <c r="W470" s="183"/>
      <c r="X470" s="183"/>
      <c r="Y470" s="184" t="s">
        <v>11089</v>
      </c>
      <c r="Z470" s="275" t="s">
        <v>11303</v>
      </c>
      <c r="AA470" s="276"/>
      <c r="AB470" s="277"/>
      <c r="AC470" s="376" t="s">
        <v>11718</v>
      </c>
      <c r="AD470" s="277"/>
    </row>
    <row r="471" ht="15.75" customHeight="1" outlineLevel="1">
      <c r="A471" s="228" t="s">
        <v>10833</v>
      </c>
      <c r="B471" s="270" t="s">
        <v>77</v>
      </c>
      <c r="C471" s="270" t="s">
        <v>33</v>
      </c>
      <c r="D471" s="209" t="s">
        <v>89</v>
      </c>
      <c r="E471" s="271" t="s">
        <v>35</v>
      </c>
      <c r="F471" s="182" t="s">
        <v>11167</v>
      </c>
      <c r="G471" s="209" t="s">
        <v>33</v>
      </c>
      <c r="H471" s="212" t="s">
        <v>11288</v>
      </c>
      <c r="I471" s="182" t="s">
        <v>35</v>
      </c>
      <c r="J471" s="303" t="s">
        <v>158</v>
      </c>
      <c r="K471" s="228" t="s">
        <v>35</v>
      </c>
      <c r="L471" s="303" t="s">
        <v>11194</v>
      </c>
      <c r="M471" s="209" t="s">
        <v>33</v>
      </c>
      <c r="N471" s="181" t="s">
        <v>10499</v>
      </c>
      <c r="O471" s="58" t="str">
        <f t="shared" si="29"/>
        <v>L2.02.03.02.03.03</v>
      </c>
      <c r="P471" s="272" t="str">
        <f t="shared" si="27"/>
        <v>L2.02.03.02.03.03.02</v>
      </c>
      <c r="Q471" s="185" t="s">
        <v>10530</v>
      </c>
      <c r="R471" s="273" t="str">
        <f t="shared" si="28"/>
        <v>Nhóm KD MISA AMIS Điều hành 02</v>
      </c>
      <c r="S471" s="274" t="str">
        <f>P468</f>
        <v>L2.02.03.02.03.00.02</v>
      </c>
      <c r="T471" s="588" t="s">
        <v>11728</v>
      </c>
      <c r="U471" s="183"/>
      <c r="V471" s="183"/>
      <c r="W471" s="183"/>
      <c r="X471" s="183"/>
      <c r="Y471" s="184" t="s">
        <v>11089</v>
      </c>
      <c r="Z471" s="275" t="s">
        <v>11304</v>
      </c>
      <c r="AA471" s="276"/>
      <c r="AB471" s="277"/>
      <c r="AC471" s="376" t="s">
        <v>11718</v>
      </c>
      <c r="AD471" s="277"/>
    </row>
    <row r="472" ht="15.75" customHeight="1" outlineLevel="1">
      <c r="A472" s="228" t="s">
        <v>10833</v>
      </c>
      <c r="B472" s="270" t="s">
        <v>77</v>
      </c>
      <c r="C472" s="270" t="s">
        <v>33</v>
      </c>
      <c r="D472" s="209" t="s">
        <v>89</v>
      </c>
      <c r="E472" s="271" t="s">
        <v>35</v>
      </c>
      <c r="F472" s="182" t="s">
        <v>11167</v>
      </c>
      <c r="G472" s="209" t="s">
        <v>33</v>
      </c>
      <c r="H472" s="212" t="s">
        <v>11288</v>
      </c>
      <c r="I472" s="182" t="s">
        <v>35</v>
      </c>
      <c r="J472" s="303" t="s">
        <v>158</v>
      </c>
      <c r="K472" s="228" t="s">
        <v>37</v>
      </c>
      <c r="L472" s="390" t="s">
        <v>11196</v>
      </c>
      <c r="M472" s="209" t="s">
        <v>33</v>
      </c>
      <c r="N472" s="181" t="s">
        <v>10499</v>
      </c>
      <c r="O472" s="58" t="str">
        <f t="shared" si="29"/>
        <v>L2.02.03.02.03.04</v>
      </c>
      <c r="P472" s="272" t="str">
        <f t="shared" si="27"/>
        <v>L2.02.03.02.03.04.02</v>
      </c>
      <c r="Q472" s="185" t="s">
        <v>10530</v>
      </c>
      <c r="R472" s="273" t="str">
        <f t="shared" si="28"/>
        <v>Nhóm KD MISA AMIS Nhân sự 02</v>
      </c>
      <c r="S472" s="274" t="str">
        <f>P468</f>
        <v>L2.02.03.02.03.00.02</v>
      </c>
      <c r="T472" s="588" t="s">
        <v>11729</v>
      </c>
      <c r="U472" s="183"/>
      <c r="V472" s="183"/>
      <c r="W472" s="183"/>
      <c r="X472" s="183"/>
      <c r="Y472" s="184" t="s">
        <v>11089</v>
      </c>
      <c r="Z472" s="275" t="s">
        <v>11305</v>
      </c>
      <c r="AA472" s="276"/>
      <c r="AB472" s="277"/>
      <c r="AC472" s="376" t="s">
        <v>11718</v>
      </c>
      <c r="AD472" s="277"/>
    </row>
    <row r="473" ht="15.75" customHeight="1" outlineLevel="1">
      <c r="A473" s="228" t="s">
        <v>10833</v>
      </c>
      <c r="B473" s="270" t="s">
        <v>77</v>
      </c>
      <c r="C473" s="270" t="s">
        <v>33</v>
      </c>
      <c r="D473" s="209" t="s">
        <v>89</v>
      </c>
      <c r="E473" s="271" t="s">
        <v>35</v>
      </c>
      <c r="F473" s="182" t="s">
        <v>11167</v>
      </c>
      <c r="G473" s="209" t="s">
        <v>33</v>
      </c>
      <c r="H473" s="212" t="s">
        <v>11288</v>
      </c>
      <c r="I473" s="182" t="s">
        <v>35</v>
      </c>
      <c r="J473" s="303" t="s">
        <v>158</v>
      </c>
      <c r="K473" s="228" t="s">
        <v>42</v>
      </c>
      <c r="L473" s="390" t="s">
        <v>11198</v>
      </c>
      <c r="M473" s="209" t="s">
        <v>33</v>
      </c>
      <c r="N473" s="181" t="s">
        <v>10499</v>
      </c>
      <c r="O473" s="58" t="str">
        <f t="shared" si="29"/>
        <v>L2.02.03.02.03.05</v>
      </c>
      <c r="P473" s="272" t="str">
        <f t="shared" si="27"/>
        <v>L2.02.03.02.03.05.02</v>
      </c>
      <c r="Q473" s="185" t="s">
        <v>10530</v>
      </c>
      <c r="R473" s="273" t="str">
        <f t="shared" si="28"/>
        <v>Nhóm KD MISA AMIS Bán hàng 02</v>
      </c>
      <c r="S473" s="274" t="str">
        <f>P468</f>
        <v>L2.02.03.02.03.00.02</v>
      </c>
      <c r="T473" s="588" t="s">
        <v>11730</v>
      </c>
      <c r="U473" s="183"/>
      <c r="V473" s="183"/>
      <c r="W473" s="183"/>
      <c r="X473" s="183"/>
      <c r="Y473" s="184" t="s">
        <v>11089</v>
      </c>
      <c r="Z473" s="275" t="s">
        <v>11306</v>
      </c>
      <c r="AA473" s="276"/>
      <c r="AB473" s="277"/>
      <c r="AC473" s="376" t="s">
        <v>11718</v>
      </c>
      <c r="AD473" s="277"/>
    </row>
    <row r="474" ht="15.75" customHeight="1" outlineLevel="1">
      <c r="A474" s="228" t="s">
        <v>10833</v>
      </c>
      <c r="B474" s="270" t="s">
        <v>77</v>
      </c>
      <c r="C474" s="270" t="s">
        <v>33</v>
      </c>
      <c r="D474" s="209" t="s">
        <v>89</v>
      </c>
      <c r="E474" s="271" t="s">
        <v>35</v>
      </c>
      <c r="F474" s="182" t="s">
        <v>11167</v>
      </c>
      <c r="G474" s="209" t="s">
        <v>33</v>
      </c>
      <c r="H474" s="212" t="s">
        <v>11288</v>
      </c>
      <c r="I474" s="182" t="s">
        <v>49</v>
      </c>
      <c r="J474" s="303" t="s">
        <v>11200</v>
      </c>
      <c r="K474" s="182" t="s">
        <v>27</v>
      </c>
      <c r="L474" s="209" t="s">
        <v>4</v>
      </c>
      <c r="M474" s="209" t="s">
        <v>33</v>
      </c>
      <c r="N474" s="181" t="s">
        <v>10499</v>
      </c>
      <c r="O474" s="58" t="str">
        <f t="shared" si="29"/>
        <v>L2.02.03.02.08.00</v>
      </c>
      <c r="P474" s="272" t="str">
        <f t="shared" si="27"/>
        <v>L2.02.03.02.08.00.02</v>
      </c>
      <c r="Q474" s="185" t="s">
        <v>10530</v>
      </c>
      <c r="R474" s="273" t="str">
        <f t="shared" si="28"/>
        <v>Phòng KD Bán mới 03</v>
      </c>
      <c r="S474" s="274" t="str">
        <f>P461</f>
        <v>L2.02.03.02.98.00.02</v>
      </c>
      <c r="T474" s="588" t="s">
        <v>11731</v>
      </c>
      <c r="U474" s="265" t="s">
        <v>262</v>
      </c>
      <c r="V474" s="265" t="s">
        <v>275</v>
      </c>
      <c r="W474" s="265" t="str">
        <f>J474</f>
        <v>Phòng KD Bán mới 03</v>
      </c>
      <c r="X474" s="183"/>
      <c r="Y474" s="184" t="s">
        <v>11089</v>
      </c>
      <c r="Z474" s="275" t="s">
        <v>11307</v>
      </c>
      <c r="AA474" s="276"/>
      <c r="AB474" s="277"/>
      <c r="AC474" s="376" t="s">
        <v>11718</v>
      </c>
      <c r="AD474" s="277"/>
    </row>
    <row r="475" ht="15.75" customHeight="1" outlineLevel="1">
      <c r="A475" s="228" t="s">
        <v>10833</v>
      </c>
      <c r="B475" s="270" t="s">
        <v>77</v>
      </c>
      <c r="C475" s="270" t="s">
        <v>33</v>
      </c>
      <c r="D475" s="209" t="s">
        <v>89</v>
      </c>
      <c r="E475" s="271" t="s">
        <v>35</v>
      </c>
      <c r="F475" s="182" t="s">
        <v>11167</v>
      </c>
      <c r="G475" s="209" t="s">
        <v>33</v>
      </c>
      <c r="H475" s="212" t="s">
        <v>11288</v>
      </c>
      <c r="I475" s="182" t="s">
        <v>49</v>
      </c>
      <c r="J475" s="303" t="s">
        <v>11200</v>
      </c>
      <c r="K475" s="182" t="s">
        <v>29</v>
      </c>
      <c r="L475" s="212" t="s">
        <v>11202</v>
      </c>
      <c r="M475" s="209" t="s">
        <v>33</v>
      </c>
      <c r="N475" s="181" t="s">
        <v>10499</v>
      </c>
      <c r="O475" s="58" t="str">
        <f t="shared" si="29"/>
        <v>L2.02.03.02.08.01</v>
      </c>
      <c r="P475" s="272" t="str">
        <f t="shared" si="27"/>
        <v>L2.02.03.02.08.01.02</v>
      </c>
      <c r="Q475" s="185" t="s">
        <v>10530</v>
      </c>
      <c r="R475" s="273" t="str">
        <f t="shared" si="28"/>
        <v>Nhóm Quản lý 03</v>
      </c>
      <c r="S475" s="274" t="str">
        <f>P474</f>
        <v>L2.02.03.02.08.00.02</v>
      </c>
      <c r="T475" s="588" t="s">
        <v>11732</v>
      </c>
      <c r="U475" s="183"/>
      <c r="V475" s="183"/>
      <c r="W475" s="183"/>
      <c r="X475" s="183"/>
      <c r="Y475" s="184" t="s">
        <v>11089</v>
      </c>
      <c r="Z475" s="275" t="s">
        <v>11308</v>
      </c>
      <c r="AA475" s="276"/>
      <c r="AB475" s="277"/>
      <c r="AC475" s="376" t="s">
        <v>11718</v>
      </c>
      <c r="AD475" s="277"/>
    </row>
    <row r="476" ht="15.75" customHeight="1" outlineLevel="1">
      <c r="A476" s="228" t="s">
        <v>10833</v>
      </c>
      <c r="B476" s="270" t="s">
        <v>77</v>
      </c>
      <c r="C476" s="270" t="s">
        <v>33</v>
      </c>
      <c r="D476" s="209" t="s">
        <v>89</v>
      </c>
      <c r="E476" s="271" t="s">
        <v>35</v>
      </c>
      <c r="F476" s="182" t="s">
        <v>11167</v>
      </c>
      <c r="G476" s="209" t="s">
        <v>33</v>
      </c>
      <c r="H476" s="212" t="s">
        <v>11288</v>
      </c>
      <c r="I476" s="182" t="s">
        <v>49</v>
      </c>
      <c r="J476" s="303" t="s">
        <v>11200</v>
      </c>
      <c r="K476" s="228" t="s">
        <v>33</v>
      </c>
      <c r="L476" s="303" t="s">
        <v>11204</v>
      </c>
      <c r="M476" s="209" t="s">
        <v>33</v>
      </c>
      <c r="N476" s="181" t="s">
        <v>10499</v>
      </c>
      <c r="O476" s="58" t="str">
        <f t="shared" si="29"/>
        <v>L2.02.03.02.08.02</v>
      </c>
      <c r="P476" s="272" t="str">
        <f t="shared" si="27"/>
        <v>L2.02.03.02.08.02.02</v>
      </c>
      <c r="Q476" s="185" t="s">
        <v>10530</v>
      </c>
      <c r="R476" s="273" t="str">
        <f t="shared" si="28"/>
        <v>Nhóm KD MISA AMIS Kế toán 03</v>
      </c>
      <c r="S476" s="274" t="str">
        <f>P474</f>
        <v>L2.02.03.02.08.00.02</v>
      </c>
      <c r="T476" s="588" t="s">
        <v>11733</v>
      </c>
      <c r="U476" s="183"/>
      <c r="V476" s="183"/>
      <c r="W476" s="183"/>
      <c r="X476" s="183"/>
      <c r="Y476" s="184" t="s">
        <v>11089</v>
      </c>
      <c r="Z476" s="275" t="s">
        <v>11309</v>
      </c>
      <c r="AA476" s="276"/>
      <c r="AB476" s="277"/>
      <c r="AC476" s="376" t="s">
        <v>11718</v>
      </c>
      <c r="AD476" s="277"/>
    </row>
    <row r="477" ht="15.75" customHeight="1" outlineLevel="1">
      <c r="A477" s="228" t="s">
        <v>10833</v>
      </c>
      <c r="B477" s="270" t="s">
        <v>77</v>
      </c>
      <c r="C477" s="270" t="s">
        <v>33</v>
      </c>
      <c r="D477" s="209" t="s">
        <v>89</v>
      </c>
      <c r="E477" s="271" t="s">
        <v>35</v>
      </c>
      <c r="F477" s="182" t="s">
        <v>11167</v>
      </c>
      <c r="G477" s="209" t="s">
        <v>33</v>
      </c>
      <c r="H477" s="212" t="s">
        <v>11288</v>
      </c>
      <c r="I477" s="182" t="s">
        <v>49</v>
      </c>
      <c r="J477" s="303" t="s">
        <v>11200</v>
      </c>
      <c r="K477" s="228" t="s">
        <v>35</v>
      </c>
      <c r="L477" s="303" t="s">
        <v>11206</v>
      </c>
      <c r="M477" s="209" t="s">
        <v>33</v>
      </c>
      <c r="N477" s="181" t="s">
        <v>10499</v>
      </c>
      <c r="O477" s="58" t="str">
        <f t="shared" si="29"/>
        <v>L2.02.03.02.08.03</v>
      </c>
      <c r="P477" s="272" t="str">
        <f t="shared" si="27"/>
        <v>L2.02.03.02.08.03.02</v>
      </c>
      <c r="Q477" s="185" t="s">
        <v>10530</v>
      </c>
      <c r="R477" s="273" t="str">
        <f t="shared" si="28"/>
        <v>Nhóm KD MISA AMIS Điều hành 03</v>
      </c>
      <c r="S477" s="274" t="str">
        <f>P474</f>
        <v>L2.02.03.02.08.00.02</v>
      </c>
      <c r="T477" s="588" t="s">
        <v>11734</v>
      </c>
      <c r="U477" s="183"/>
      <c r="V477" s="183"/>
      <c r="W477" s="183"/>
      <c r="X477" s="183"/>
      <c r="Y477" s="184" t="s">
        <v>11089</v>
      </c>
      <c r="Z477" s="275" t="s">
        <v>11310</v>
      </c>
      <c r="AA477" s="276"/>
      <c r="AB477" s="277"/>
      <c r="AC477" s="376" t="s">
        <v>11718</v>
      </c>
      <c r="AD477" s="277"/>
    </row>
    <row r="478" ht="15.75" customHeight="1" outlineLevel="1">
      <c r="A478" s="228" t="s">
        <v>10833</v>
      </c>
      <c r="B478" s="270" t="s">
        <v>77</v>
      </c>
      <c r="C478" s="270" t="s">
        <v>33</v>
      </c>
      <c r="D478" s="209" t="s">
        <v>89</v>
      </c>
      <c r="E478" s="271" t="s">
        <v>35</v>
      </c>
      <c r="F478" s="182" t="s">
        <v>11167</v>
      </c>
      <c r="G478" s="209" t="s">
        <v>33</v>
      </c>
      <c r="H478" s="212" t="s">
        <v>11288</v>
      </c>
      <c r="I478" s="182" t="s">
        <v>49</v>
      </c>
      <c r="J478" s="303" t="s">
        <v>11200</v>
      </c>
      <c r="K478" s="228" t="s">
        <v>37</v>
      </c>
      <c r="L478" s="390" t="s">
        <v>11208</v>
      </c>
      <c r="M478" s="209" t="s">
        <v>33</v>
      </c>
      <c r="N478" s="181" t="s">
        <v>10499</v>
      </c>
      <c r="O478" s="58" t="str">
        <f t="shared" si="29"/>
        <v>L2.02.03.02.08.04</v>
      </c>
      <c r="P478" s="272" t="str">
        <f t="shared" si="27"/>
        <v>L2.02.03.02.08.04.02</v>
      </c>
      <c r="Q478" s="185" t="s">
        <v>10530</v>
      </c>
      <c r="R478" s="273" t="str">
        <f t="shared" si="28"/>
        <v>Nhóm KD MISA AMIS Nhân sự 03</v>
      </c>
      <c r="S478" s="274" t="str">
        <f>P474</f>
        <v>L2.02.03.02.08.00.02</v>
      </c>
      <c r="T478" s="588" t="s">
        <v>11735</v>
      </c>
      <c r="U478" s="183"/>
      <c r="V478" s="183"/>
      <c r="W478" s="183"/>
      <c r="X478" s="183"/>
      <c r="Y478" s="184" t="s">
        <v>11089</v>
      </c>
      <c r="Z478" s="275" t="s">
        <v>11311</v>
      </c>
      <c r="AA478" s="276"/>
      <c r="AB478" s="277"/>
      <c r="AC478" s="376" t="s">
        <v>11718</v>
      </c>
      <c r="AD478" s="277"/>
    </row>
    <row r="479" ht="15.75" customHeight="1" outlineLevel="1">
      <c r="A479" s="228" t="s">
        <v>10833</v>
      </c>
      <c r="B479" s="270" t="s">
        <v>77</v>
      </c>
      <c r="C479" s="270" t="s">
        <v>33</v>
      </c>
      <c r="D479" s="209" t="s">
        <v>89</v>
      </c>
      <c r="E479" s="271" t="s">
        <v>35</v>
      </c>
      <c r="F479" s="182" t="s">
        <v>11167</v>
      </c>
      <c r="G479" s="209" t="s">
        <v>33</v>
      </c>
      <c r="H479" s="212" t="s">
        <v>11288</v>
      </c>
      <c r="I479" s="182" t="s">
        <v>49</v>
      </c>
      <c r="J479" s="303" t="s">
        <v>11200</v>
      </c>
      <c r="K479" s="228" t="s">
        <v>42</v>
      </c>
      <c r="L479" s="390" t="s">
        <v>11210</v>
      </c>
      <c r="M479" s="209" t="s">
        <v>33</v>
      </c>
      <c r="N479" s="181" t="s">
        <v>10499</v>
      </c>
      <c r="O479" s="58" t="str">
        <f t="shared" si="29"/>
        <v>L2.02.03.02.08.05</v>
      </c>
      <c r="P479" s="272" t="str">
        <f t="shared" si="27"/>
        <v>L2.02.03.02.08.05.02</v>
      </c>
      <c r="Q479" s="185" t="s">
        <v>10530</v>
      </c>
      <c r="R479" s="273" t="str">
        <f t="shared" si="28"/>
        <v>Nhóm KD MISA AMIS Bán hàng 03</v>
      </c>
      <c r="S479" s="274" t="str">
        <f>P474</f>
        <v>L2.02.03.02.08.00.02</v>
      </c>
      <c r="T479" s="588" t="s">
        <v>11736</v>
      </c>
      <c r="U479" s="183"/>
      <c r="V479" s="183"/>
      <c r="W479" s="183"/>
      <c r="X479" s="183"/>
      <c r="Y479" s="184" t="s">
        <v>11089</v>
      </c>
      <c r="Z479" s="275" t="s">
        <v>11312</v>
      </c>
      <c r="AA479" s="276"/>
      <c r="AB479" s="277"/>
      <c r="AC479" s="376" t="s">
        <v>11718</v>
      </c>
      <c r="AD479" s="277"/>
    </row>
    <row r="480" ht="15.75" customHeight="1" outlineLevel="1">
      <c r="A480" s="228" t="s">
        <v>10833</v>
      </c>
      <c r="B480" s="270" t="s">
        <v>77</v>
      </c>
      <c r="C480" s="270" t="s">
        <v>33</v>
      </c>
      <c r="D480" s="209" t="s">
        <v>89</v>
      </c>
      <c r="E480" s="271" t="s">
        <v>35</v>
      </c>
      <c r="F480" s="182" t="s">
        <v>11167</v>
      </c>
      <c r="G480" s="209" t="s">
        <v>33</v>
      </c>
      <c r="H480" s="212" t="s">
        <v>11288</v>
      </c>
      <c r="I480" s="182" t="s">
        <v>51</v>
      </c>
      <c r="J480" s="303" t="s">
        <v>11212</v>
      </c>
      <c r="K480" s="182" t="s">
        <v>27</v>
      </c>
      <c r="L480" s="209" t="s">
        <v>4</v>
      </c>
      <c r="M480" s="209" t="s">
        <v>33</v>
      </c>
      <c r="N480" s="181" t="s">
        <v>10499</v>
      </c>
      <c r="O480" s="58" t="str">
        <f t="shared" si="29"/>
        <v>L2.02.03.02.09.00</v>
      </c>
      <c r="P480" s="272" t="str">
        <f t="shared" si="27"/>
        <v>L2.02.03.02.09.00.02</v>
      </c>
      <c r="Q480" s="185" t="s">
        <v>10530</v>
      </c>
      <c r="R480" s="273" t="str">
        <f t="shared" si="28"/>
        <v>Phòng KD Bán mới 04</v>
      </c>
      <c r="S480" s="274" t="str">
        <f>P461</f>
        <v>L2.02.03.02.98.00.02</v>
      </c>
      <c r="T480" s="588" t="s">
        <v>11737</v>
      </c>
      <c r="U480" s="265" t="s">
        <v>262</v>
      </c>
      <c r="V480" s="265" t="s">
        <v>275</v>
      </c>
      <c r="W480" s="265" t="str">
        <f>J480</f>
        <v>Phòng KD Bán mới 04</v>
      </c>
      <c r="X480" s="183"/>
      <c r="Y480" s="184" t="s">
        <v>11089</v>
      </c>
      <c r="Z480" s="275" t="s">
        <v>11313</v>
      </c>
      <c r="AA480" s="276"/>
      <c r="AB480" s="277"/>
      <c r="AC480" s="376" t="s">
        <v>11718</v>
      </c>
      <c r="AD480" s="277"/>
    </row>
    <row r="481" ht="15.75" customHeight="1" outlineLevel="1">
      <c r="A481" s="228" t="s">
        <v>10833</v>
      </c>
      <c r="B481" s="270" t="s">
        <v>77</v>
      </c>
      <c r="C481" s="270" t="s">
        <v>33</v>
      </c>
      <c r="D481" s="209" t="s">
        <v>89</v>
      </c>
      <c r="E481" s="271" t="s">
        <v>35</v>
      </c>
      <c r="F481" s="182" t="s">
        <v>11167</v>
      </c>
      <c r="G481" s="209" t="s">
        <v>33</v>
      </c>
      <c r="H481" s="212" t="s">
        <v>11288</v>
      </c>
      <c r="I481" s="182" t="s">
        <v>51</v>
      </c>
      <c r="J481" s="303" t="s">
        <v>11212</v>
      </c>
      <c r="K481" s="182" t="s">
        <v>29</v>
      </c>
      <c r="L481" s="212" t="s">
        <v>11214</v>
      </c>
      <c r="M481" s="209" t="s">
        <v>33</v>
      </c>
      <c r="N481" s="181" t="s">
        <v>10499</v>
      </c>
      <c r="O481" s="58" t="str">
        <f t="shared" si="29"/>
        <v>L2.02.03.02.09.01</v>
      </c>
      <c r="P481" s="272" t="str">
        <f t="shared" si="27"/>
        <v>L2.02.03.02.09.01.02</v>
      </c>
      <c r="Q481" s="185" t="s">
        <v>10530</v>
      </c>
      <c r="R481" s="273" t="str">
        <f t="shared" si="28"/>
        <v>Nhóm Quản lý 04</v>
      </c>
      <c r="S481" s="274" t="str">
        <f>P480</f>
        <v>L2.02.03.02.09.00.02</v>
      </c>
      <c r="T481" s="588" t="s">
        <v>11738</v>
      </c>
      <c r="U481" s="183"/>
      <c r="V481" s="183"/>
      <c r="W481" s="183"/>
      <c r="X481" s="183"/>
      <c r="Y481" s="184" t="s">
        <v>11089</v>
      </c>
      <c r="Z481" s="275" t="s">
        <v>11314</v>
      </c>
      <c r="AA481" s="276"/>
      <c r="AB481" s="277"/>
      <c r="AC481" s="376" t="s">
        <v>11718</v>
      </c>
      <c r="AD481" s="277"/>
    </row>
    <row r="482" ht="15.75" customHeight="1" outlineLevel="1">
      <c r="A482" s="228" t="s">
        <v>10833</v>
      </c>
      <c r="B482" s="270" t="s">
        <v>77</v>
      </c>
      <c r="C482" s="270" t="s">
        <v>33</v>
      </c>
      <c r="D482" s="209" t="s">
        <v>89</v>
      </c>
      <c r="E482" s="271" t="s">
        <v>35</v>
      </c>
      <c r="F482" s="182" t="s">
        <v>11167</v>
      </c>
      <c r="G482" s="209" t="s">
        <v>33</v>
      </c>
      <c r="H482" s="212" t="s">
        <v>11288</v>
      </c>
      <c r="I482" s="182" t="s">
        <v>51</v>
      </c>
      <c r="J482" s="303" t="s">
        <v>11212</v>
      </c>
      <c r="K482" s="228" t="s">
        <v>33</v>
      </c>
      <c r="L482" s="303" t="s">
        <v>11216</v>
      </c>
      <c r="M482" s="209" t="s">
        <v>33</v>
      </c>
      <c r="N482" s="181" t="s">
        <v>10499</v>
      </c>
      <c r="O482" s="58" t="str">
        <f t="shared" si="29"/>
        <v>L2.02.03.02.09.02</v>
      </c>
      <c r="P482" s="272" t="str">
        <f t="shared" si="27"/>
        <v>L2.02.03.02.09.02.02</v>
      </c>
      <c r="Q482" s="185" t="s">
        <v>10530</v>
      </c>
      <c r="R482" s="273" t="str">
        <f t="shared" si="28"/>
        <v>Nhóm KD MISA AMIS Kế toán 04</v>
      </c>
      <c r="S482" s="274" t="str">
        <f>P480</f>
        <v>L2.02.03.02.09.00.02</v>
      </c>
      <c r="T482" s="588" t="s">
        <v>11739</v>
      </c>
      <c r="U482" s="183"/>
      <c r="V482" s="183"/>
      <c r="W482" s="183"/>
      <c r="X482" s="183"/>
      <c r="Y482" s="184" t="s">
        <v>11089</v>
      </c>
      <c r="Z482" s="275" t="s">
        <v>11315</v>
      </c>
      <c r="AA482" s="276"/>
      <c r="AB482" s="277"/>
      <c r="AC482" s="376" t="s">
        <v>11718</v>
      </c>
      <c r="AD482" s="277"/>
    </row>
    <row r="483" ht="15.75" customHeight="1" outlineLevel="1">
      <c r="A483" s="228" t="s">
        <v>10833</v>
      </c>
      <c r="B483" s="270" t="s">
        <v>77</v>
      </c>
      <c r="C483" s="270" t="s">
        <v>33</v>
      </c>
      <c r="D483" s="209" t="s">
        <v>89</v>
      </c>
      <c r="E483" s="271" t="s">
        <v>35</v>
      </c>
      <c r="F483" s="182" t="s">
        <v>11167</v>
      </c>
      <c r="G483" s="209" t="s">
        <v>33</v>
      </c>
      <c r="H483" s="212" t="s">
        <v>11288</v>
      </c>
      <c r="I483" s="182" t="s">
        <v>51</v>
      </c>
      <c r="J483" s="303" t="s">
        <v>11212</v>
      </c>
      <c r="K483" s="228" t="s">
        <v>35</v>
      </c>
      <c r="L483" s="303" t="s">
        <v>11218</v>
      </c>
      <c r="M483" s="209" t="s">
        <v>33</v>
      </c>
      <c r="N483" s="181" t="s">
        <v>10499</v>
      </c>
      <c r="O483" s="58" t="str">
        <f t="shared" si="29"/>
        <v>L2.02.03.02.09.03</v>
      </c>
      <c r="P483" s="272" t="str">
        <f t="shared" si="27"/>
        <v>L2.02.03.02.09.03.02</v>
      </c>
      <c r="Q483" s="185" t="s">
        <v>10530</v>
      </c>
      <c r="R483" s="273" t="str">
        <f t="shared" si="28"/>
        <v>Nhóm KD MISA AMIS Điều hành 04</v>
      </c>
      <c r="S483" s="274" t="str">
        <f>P480</f>
        <v>L2.02.03.02.09.00.02</v>
      </c>
      <c r="T483" s="588" t="s">
        <v>11740</v>
      </c>
      <c r="U483" s="183"/>
      <c r="V483" s="183"/>
      <c r="W483" s="183"/>
      <c r="X483" s="183"/>
      <c r="Y483" s="184" t="s">
        <v>11089</v>
      </c>
      <c r="Z483" s="275" t="s">
        <v>11316</v>
      </c>
      <c r="AA483" s="276"/>
      <c r="AB483" s="277"/>
      <c r="AC483" s="376" t="s">
        <v>11718</v>
      </c>
      <c r="AD483" s="277"/>
    </row>
    <row r="484" ht="15.75" customHeight="1" outlineLevel="1">
      <c r="A484" s="228" t="s">
        <v>10833</v>
      </c>
      <c r="B484" s="270" t="s">
        <v>77</v>
      </c>
      <c r="C484" s="270" t="s">
        <v>33</v>
      </c>
      <c r="D484" s="209" t="s">
        <v>89</v>
      </c>
      <c r="E484" s="271" t="s">
        <v>35</v>
      </c>
      <c r="F484" s="182" t="s">
        <v>11167</v>
      </c>
      <c r="G484" s="209" t="s">
        <v>33</v>
      </c>
      <c r="H484" s="212" t="s">
        <v>11288</v>
      </c>
      <c r="I484" s="182" t="s">
        <v>51</v>
      </c>
      <c r="J484" s="303" t="s">
        <v>11212</v>
      </c>
      <c r="K484" s="228" t="s">
        <v>37</v>
      </c>
      <c r="L484" s="390" t="s">
        <v>11220</v>
      </c>
      <c r="M484" s="209" t="s">
        <v>33</v>
      </c>
      <c r="N484" s="181" t="s">
        <v>10499</v>
      </c>
      <c r="O484" s="58" t="str">
        <f t="shared" si="29"/>
        <v>L2.02.03.02.09.04</v>
      </c>
      <c r="P484" s="272" t="str">
        <f t="shared" si="27"/>
        <v>L2.02.03.02.09.04.02</v>
      </c>
      <c r="Q484" s="185" t="s">
        <v>10530</v>
      </c>
      <c r="R484" s="273" t="str">
        <f t="shared" si="28"/>
        <v>Nhóm KD MISA AMIS Nhân sự 04</v>
      </c>
      <c r="S484" s="274" t="str">
        <f>P480</f>
        <v>L2.02.03.02.09.00.02</v>
      </c>
      <c r="T484" s="588" t="s">
        <v>11741</v>
      </c>
      <c r="U484" s="183"/>
      <c r="V484" s="183"/>
      <c r="W484" s="183"/>
      <c r="X484" s="183"/>
      <c r="Y484" s="184" t="s">
        <v>11089</v>
      </c>
      <c r="Z484" s="275" t="s">
        <v>11317</v>
      </c>
      <c r="AA484" s="276"/>
      <c r="AB484" s="277"/>
      <c r="AC484" s="376" t="s">
        <v>11718</v>
      </c>
      <c r="AD484" s="277"/>
    </row>
    <row r="485" ht="15.75" customHeight="1" outlineLevel="1">
      <c r="A485" s="228" t="s">
        <v>10833</v>
      </c>
      <c r="B485" s="270" t="s">
        <v>77</v>
      </c>
      <c r="C485" s="270" t="s">
        <v>33</v>
      </c>
      <c r="D485" s="209" t="s">
        <v>89</v>
      </c>
      <c r="E485" s="271" t="s">
        <v>35</v>
      </c>
      <c r="F485" s="182" t="s">
        <v>11167</v>
      </c>
      <c r="G485" s="209" t="s">
        <v>33</v>
      </c>
      <c r="H485" s="212" t="s">
        <v>11288</v>
      </c>
      <c r="I485" s="182" t="s">
        <v>51</v>
      </c>
      <c r="J485" s="303" t="s">
        <v>11212</v>
      </c>
      <c r="K485" s="228" t="s">
        <v>42</v>
      </c>
      <c r="L485" s="390" t="s">
        <v>11222</v>
      </c>
      <c r="M485" s="209" t="s">
        <v>33</v>
      </c>
      <c r="N485" s="181" t="s">
        <v>10499</v>
      </c>
      <c r="O485" s="58" t="str">
        <f t="shared" si="29"/>
        <v>L2.02.03.02.09.05</v>
      </c>
      <c r="P485" s="272" t="str">
        <f t="shared" si="27"/>
        <v>L2.02.03.02.09.05.02</v>
      </c>
      <c r="Q485" s="185" t="s">
        <v>10530</v>
      </c>
      <c r="R485" s="273" t="str">
        <f t="shared" si="28"/>
        <v>Nhóm KD MISA AMIS Bán hàng 04</v>
      </c>
      <c r="S485" s="274" t="str">
        <f>P480</f>
        <v>L2.02.03.02.09.00.02</v>
      </c>
      <c r="T485" s="588" t="s">
        <v>11742</v>
      </c>
      <c r="U485" s="183"/>
      <c r="V485" s="183"/>
      <c r="W485" s="183"/>
      <c r="X485" s="183"/>
      <c r="Y485" s="184" t="s">
        <v>11089</v>
      </c>
      <c r="Z485" s="275" t="s">
        <v>11318</v>
      </c>
      <c r="AA485" s="276"/>
      <c r="AB485" s="277"/>
      <c r="AC485" s="376" t="s">
        <v>11718</v>
      </c>
      <c r="AD485" s="277"/>
    </row>
    <row r="486" ht="15.75" customHeight="1" outlineLevel="1">
      <c r="A486" s="228" t="s">
        <v>10833</v>
      </c>
      <c r="B486" s="270" t="s">
        <v>77</v>
      </c>
      <c r="C486" s="270" t="s">
        <v>33</v>
      </c>
      <c r="D486" s="209" t="s">
        <v>89</v>
      </c>
      <c r="E486" s="271" t="s">
        <v>35</v>
      </c>
      <c r="F486" s="182" t="s">
        <v>11167</v>
      </c>
      <c r="G486" s="209" t="s">
        <v>33</v>
      </c>
      <c r="H486" s="212" t="s">
        <v>11288</v>
      </c>
      <c r="I486" s="182" t="s">
        <v>55</v>
      </c>
      <c r="J486" s="303" t="s">
        <v>11224</v>
      </c>
      <c r="K486" s="182" t="s">
        <v>27</v>
      </c>
      <c r="L486" s="209" t="s">
        <v>4</v>
      </c>
      <c r="M486" s="209" t="s">
        <v>33</v>
      </c>
      <c r="N486" s="181" t="s">
        <v>10499</v>
      </c>
      <c r="O486" s="58" t="str">
        <f t="shared" si="29"/>
        <v>L2.02.03.02.10.00</v>
      </c>
      <c r="P486" s="272" t="str">
        <f t="shared" si="27"/>
        <v>L2.02.03.02.10.00.02</v>
      </c>
      <c r="Q486" s="185" t="s">
        <v>10530</v>
      </c>
      <c r="R486" s="273" t="str">
        <f t="shared" si="28"/>
        <v>Phòng KD Bán mới 05</v>
      </c>
      <c r="S486" s="274" t="str">
        <f>P461</f>
        <v>L2.02.03.02.98.00.02</v>
      </c>
      <c r="T486" s="588" t="s">
        <v>11743</v>
      </c>
      <c r="U486" s="265" t="s">
        <v>262</v>
      </c>
      <c r="V486" s="265" t="s">
        <v>275</v>
      </c>
      <c r="W486" s="265" t="str">
        <f>J486</f>
        <v>Phòng KD Bán mới 05</v>
      </c>
      <c r="X486" s="183"/>
      <c r="Y486" s="184" t="s">
        <v>11089</v>
      </c>
      <c r="Z486" s="275" t="s">
        <v>11319</v>
      </c>
      <c r="AA486" s="276"/>
      <c r="AB486" s="277"/>
      <c r="AC486" s="376" t="s">
        <v>11718</v>
      </c>
      <c r="AD486" s="277"/>
    </row>
    <row r="487" ht="15.75" customHeight="1" outlineLevel="1">
      <c r="A487" s="228" t="s">
        <v>10833</v>
      </c>
      <c r="B487" s="270" t="s">
        <v>77</v>
      </c>
      <c r="C487" s="270" t="s">
        <v>33</v>
      </c>
      <c r="D487" s="209" t="s">
        <v>89</v>
      </c>
      <c r="E487" s="271" t="s">
        <v>35</v>
      </c>
      <c r="F487" s="182" t="s">
        <v>11167</v>
      </c>
      <c r="G487" s="209" t="s">
        <v>33</v>
      </c>
      <c r="H487" s="212" t="s">
        <v>11288</v>
      </c>
      <c r="I487" s="182" t="s">
        <v>55</v>
      </c>
      <c r="J487" s="303" t="s">
        <v>11224</v>
      </c>
      <c r="K487" s="182" t="s">
        <v>29</v>
      </c>
      <c r="L487" s="212" t="s">
        <v>11226</v>
      </c>
      <c r="M487" s="209" t="s">
        <v>33</v>
      </c>
      <c r="N487" s="181" t="s">
        <v>10499</v>
      </c>
      <c r="O487" s="58" t="str">
        <f t="shared" si="29"/>
        <v>L2.02.03.02.10.01</v>
      </c>
      <c r="P487" s="272" t="str">
        <f t="shared" si="27"/>
        <v>L2.02.03.02.10.01.02</v>
      </c>
      <c r="Q487" s="185" t="s">
        <v>10530</v>
      </c>
      <c r="R487" s="273" t="str">
        <f t="shared" si="28"/>
        <v>Nhóm Quản lý 05</v>
      </c>
      <c r="S487" s="274" t="str">
        <f>P486</f>
        <v>L2.02.03.02.10.00.02</v>
      </c>
      <c r="T487" s="588" t="s">
        <v>11744</v>
      </c>
      <c r="U487" s="183"/>
      <c r="V487" s="183"/>
      <c r="W487" s="183"/>
      <c r="X487" s="183"/>
      <c r="Y487" s="184" t="s">
        <v>11089</v>
      </c>
      <c r="Z487" s="275" t="s">
        <v>11320</v>
      </c>
      <c r="AA487" s="276"/>
      <c r="AB487" s="277"/>
      <c r="AC487" s="376" t="s">
        <v>11718</v>
      </c>
      <c r="AD487" s="277"/>
    </row>
    <row r="488" ht="15.75" customHeight="1" outlineLevel="1">
      <c r="A488" s="228" t="s">
        <v>10833</v>
      </c>
      <c r="B488" s="270" t="s">
        <v>77</v>
      </c>
      <c r="C488" s="270" t="s">
        <v>33</v>
      </c>
      <c r="D488" s="209" t="s">
        <v>89</v>
      </c>
      <c r="E488" s="271" t="s">
        <v>35</v>
      </c>
      <c r="F488" s="182" t="s">
        <v>11167</v>
      </c>
      <c r="G488" s="209" t="s">
        <v>33</v>
      </c>
      <c r="H488" s="212" t="s">
        <v>11288</v>
      </c>
      <c r="I488" s="182" t="s">
        <v>55</v>
      </c>
      <c r="J488" s="303" t="s">
        <v>11224</v>
      </c>
      <c r="K488" s="228" t="s">
        <v>33</v>
      </c>
      <c r="L488" s="303" t="s">
        <v>11228</v>
      </c>
      <c r="M488" s="209" t="s">
        <v>33</v>
      </c>
      <c r="N488" s="181" t="s">
        <v>10499</v>
      </c>
      <c r="O488" s="58" t="str">
        <f t="shared" si="29"/>
        <v>L2.02.03.02.10.02</v>
      </c>
      <c r="P488" s="272" t="str">
        <f t="shared" si="27"/>
        <v>L2.02.03.02.10.02.02</v>
      </c>
      <c r="Q488" s="185" t="s">
        <v>10530</v>
      </c>
      <c r="R488" s="273" t="str">
        <f t="shared" si="28"/>
        <v>Nhóm KD MISA AMIS Kế toán 05</v>
      </c>
      <c r="S488" s="274" t="str">
        <f>P486</f>
        <v>L2.02.03.02.10.00.02</v>
      </c>
      <c r="T488" s="588" t="s">
        <v>11745</v>
      </c>
      <c r="U488" s="183"/>
      <c r="V488" s="183"/>
      <c r="W488" s="183"/>
      <c r="X488" s="183"/>
      <c r="Y488" s="184" t="s">
        <v>11089</v>
      </c>
      <c r="Z488" s="275" t="s">
        <v>11321</v>
      </c>
      <c r="AA488" s="276"/>
      <c r="AB488" s="277"/>
      <c r="AC488" s="376" t="s">
        <v>11718</v>
      </c>
      <c r="AD488" s="277"/>
    </row>
    <row r="489" ht="15.75" customHeight="1" outlineLevel="1">
      <c r="A489" s="228" t="s">
        <v>10833</v>
      </c>
      <c r="B489" s="270" t="s">
        <v>77</v>
      </c>
      <c r="C489" s="270" t="s">
        <v>33</v>
      </c>
      <c r="D489" s="209" t="s">
        <v>89</v>
      </c>
      <c r="E489" s="271" t="s">
        <v>35</v>
      </c>
      <c r="F489" s="182" t="s">
        <v>11167</v>
      </c>
      <c r="G489" s="209" t="s">
        <v>33</v>
      </c>
      <c r="H489" s="212" t="s">
        <v>11288</v>
      </c>
      <c r="I489" s="182" t="s">
        <v>55</v>
      </c>
      <c r="J489" s="303" t="s">
        <v>11224</v>
      </c>
      <c r="K489" s="228" t="s">
        <v>35</v>
      </c>
      <c r="L489" s="303" t="s">
        <v>11230</v>
      </c>
      <c r="M489" s="209" t="s">
        <v>33</v>
      </c>
      <c r="N489" s="181" t="s">
        <v>10499</v>
      </c>
      <c r="O489" s="58" t="str">
        <f t="shared" si="29"/>
        <v>L2.02.03.02.10.03</v>
      </c>
      <c r="P489" s="272" t="str">
        <f t="shared" si="27"/>
        <v>L2.02.03.02.10.03.02</v>
      </c>
      <c r="Q489" s="185" t="s">
        <v>10530</v>
      </c>
      <c r="R489" s="273" t="str">
        <f t="shared" si="28"/>
        <v>Nhóm KD MISA AMIS Điều hành 05</v>
      </c>
      <c r="S489" s="274" t="str">
        <f>P486</f>
        <v>L2.02.03.02.10.00.02</v>
      </c>
      <c r="T489" s="588" t="s">
        <v>11746</v>
      </c>
      <c r="U489" s="183"/>
      <c r="V489" s="183"/>
      <c r="W489" s="183"/>
      <c r="X489" s="183"/>
      <c r="Y489" s="184" t="s">
        <v>11089</v>
      </c>
      <c r="Z489" s="275" t="s">
        <v>11322</v>
      </c>
      <c r="AA489" s="276"/>
      <c r="AB489" s="277"/>
      <c r="AC489" s="376" t="s">
        <v>11718</v>
      </c>
      <c r="AD489" s="277"/>
    </row>
    <row r="490" ht="15.75" customHeight="1" outlineLevel="1">
      <c r="A490" s="228" t="s">
        <v>10833</v>
      </c>
      <c r="B490" s="270" t="s">
        <v>77</v>
      </c>
      <c r="C490" s="270" t="s">
        <v>33</v>
      </c>
      <c r="D490" s="209" t="s">
        <v>89</v>
      </c>
      <c r="E490" s="271" t="s">
        <v>35</v>
      </c>
      <c r="F490" s="182" t="s">
        <v>11167</v>
      </c>
      <c r="G490" s="209" t="s">
        <v>33</v>
      </c>
      <c r="H490" s="212" t="s">
        <v>11288</v>
      </c>
      <c r="I490" s="182" t="s">
        <v>55</v>
      </c>
      <c r="J490" s="303" t="s">
        <v>11224</v>
      </c>
      <c r="K490" s="228" t="s">
        <v>37</v>
      </c>
      <c r="L490" s="390" t="s">
        <v>11232</v>
      </c>
      <c r="M490" s="209" t="s">
        <v>33</v>
      </c>
      <c r="N490" s="181" t="s">
        <v>10499</v>
      </c>
      <c r="O490" s="58" t="str">
        <f t="shared" si="29"/>
        <v>L2.02.03.02.10.04</v>
      </c>
      <c r="P490" s="272" t="str">
        <f t="shared" si="27"/>
        <v>L2.02.03.02.10.04.02</v>
      </c>
      <c r="Q490" s="185" t="s">
        <v>10530</v>
      </c>
      <c r="R490" s="273" t="str">
        <f t="shared" si="28"/>
        <v>Nhóm KD MISA AMIS Nhân sự 05</v>
      </c>
      <c r="S490" s="274" t="str">
        <f>P486</f>
        <v>L2.02.03.02.10.00.02</v>
      </c>
      <c r="T490" s="588" t="s">
        <v>11747</v>
      </c>
      <c r="U490" s="183"/>
      <c r="V490" s="183"/>
      <c r="W490" s="183"/>
      <c r="X490" s="183"/>
      <c r="Y490" s="184" t="s">
        <v>11089</v>
      </c>
      <c r="Z490" s="275" t="s">
        <v>11323</v>
      </c>
      <c r="AA490" s="276"/>
      <c r="AB490" s="277"/>
      <c r="AC490" s="376" t="s">
        <v>11718</v>
      </c>
      <c r="AD490" s="277"/>
    </row>
    <row r="491" ht="15.75" customHeight="1" outlineLevel="1">
      <c r="A491" s="228" t="s">
        <v>10833</v>
      </c>
      <c r="B491" s="270" t="s">
        <v>77</v>
      </c>
      <c r="C491" s="270" t="s">
        <v>33</v>
      </c>
      <c r="D491" s="209" t="s">
        <v>89</v>
      </c>
      <c r="E491" s="271" t="s">
        <v>35</v>
      </c>
      <c r="F491" s="182" t="s">
        <v>11167</v>
      </c>
      <c r="G491" s="209" t="s">
        <v>33</v>
      </c>
      <c r="H491" s="212" t="s">
        <v>11288</v>
      </c>
      <c r="I491" s="182" t="s">
        <v>55</v>
      </c>
      <c r="J491" s="303" t="s">
        <v>11224</v>
      </c>
      <c r="K491" s="228" t="s">
        <v>42</v>
      </c>
      <c r="L491" s="390" t="s">
        <v>11234</v>
      </c>
      <c r="M491" s="209" t="s">
        <v>33</v>
      </c>
      <c r="N491" s="181" t="s">
        <v>10499</v>
      </c>
      <c r="O491" s="58" t="str">
        <f t="shared" si="29"/>
        <v>L2.02.03.02.10.05</v>
      </c>
      <c r="P491" s="272" t="str">
        <f t="shared" si="27"/>
        <v>L2.02.03.02.10.05.02</v>
      </c>
      <c r="Q491" s="185" t="s">
        <v>10530</v>
      </c>
      <c r="R491" s="273" t="str">
        <f t="shared" si="28"/>
        <v>Nhóm KD MISA AMIS Bán hàng 05</v>
      </c>
      <c r="S491" s="274" t="str">
        <f>P486</f>
        <v>L2.02.03.02.10.00.02</v>
      </c>
      <c r="T491" s="588" t="s">
        <v>11748</v>
      </c>
      <c r="U491" s="183"/>
      <c r="V491" s="183"/>
      <c r="W491" s="183"/>
      <c r="X491" s="183"/>
      <c r="Y491" s="184" t="s">
        <v>11089</v>
      </c>
      <c r="Z491" s="275" t="s">
        <v>11324</v>
      </c>
      <c r="AA491" s="276"/>
      <c r="AB491" s="277"/>
      <c r="AC491" s="376" t="s">
        <v>11718</v>
      </c>
      <c r="AD491" s="277"/>
    </row>
    <row r="492" ht="15.75" customHeight="1" outlineLevel="1">
      <c r="A492" s="228" t="s">
        <v>10833</v>
      </c>
      <c r="B492" s="270" t="s">
        <v>77</v>
      </c>
      <c r="C492" s="270" t="s">
        <v>33</v>
      </c>
      <c r="D492" s="209" t="s">
        <v>89</v>
      </c>
      <c r="E492" s="271" t="s">
        <v>35</v>
      </c>
      <c r="F492" s="182" t="s">
        <v>11167</v>
      </c>
      <c r="G492" s="209" t="s">
        <v>33</v>
      </c>
      <c r="H492" s="212" t="s">
        <v>11288</v>
      </c>
      <c r="I492" s="182" t="s">
        <v>61</v>
      </c>
      <c r="J492" s="303" t="s">
        <v>11236</v>
      </c>
      <c r="K492" s="182" t="s">
        <v>27</v>
      </c>
      <c r="L492" s="209" t="s">
        <v>4</v>
      </c>
      <c r="M492" s="209" t="s">
        <v>33</v>
      </c>
      <c r="N492" s="181" t="s">
        <v>10499</v>
      </c>
      <c r="O492" s="58" t="str">
        <f t="shared" si="29"/>
        <v>L2.02.03.02.11.00</v>
      </c>
      <c r="P492" s="272" t="str">
        <f t="shared" si="27"/>
        <v>L2.02.03.02.11.00.02</v>
      </c>
      <c r="Q492" s="185" t="s">
        <v>10530</v>
      </c>
      <c r="R492" s="273" t="str">
        <f t="shared" si="28"/>
        <v>Phòng KD Bán mới 06</v>
      </c>
      <c r="S492" s="274" t="str">
        <f>P461</f>
        <v>L2.02.03.02.98.00.02</v>
      </c>
      <c r="T492" s="588" t="s">
        <v>11749</v>
      </c>
      <c r="U492" s="265" t="s">
        <v>262</v>
      </c>
      <c r="V492" s="265" t="s">
        <v>275</v>
      </c>
      <c r="W492" s="265" t="str">
        <f>J492</f>
        <v>Phòng KD Bán mới 06</v>
      </c>
      <c r="X492" s="183"/>
      <c r="Y492" s="184" t="s">
        <v>11089</v>
      </c>
      <c r="Z492" s="275" t="s">
        <v>11325</v>
      </c>
      <c r="AA492" s="276"/>
      <c r="AB492" s="277"/>
      <c r="AC492" s="376" t="s">
        <v>11718</v>
      </c>
      <c r="AD492" s="277"/>
    </row>
    <row r="493" ht="15.75" customHeight="1" outlineLevel="1">
      <c r="A493" s="228" t="s">
        <v>10833</v>
      </c>
      <c r="B493" s="270" t="s">
        <v>77</v>
      </c>
      <c r="C493" s="270" t="s">
        <v>33</v>
      </c>
      <c r="D493" s="209" t="s">
        <v>89</v>
      </c>
      <c r="E493" s="271" t="s">
        <v>35</v>
      </c>
      <c r="F493" s="182" t="s">
        <v>11167</v>
      </c>
      <c r="G493" s="209" t="s">
        <v>33</v>
      </c>
      <c r="H493" s="212" t="s">
        <v>11288</v>
      </c>
      <c r="I493" s="182" t="s">
        <v>61</v>
      </c>
      <c r="J493" s="303" t="s">
        <v>11236</v>
      </c>
      <c r="K493" s="182" t="s">
        <v>29</v>
      </c>
      <c r="L493" s="212" t="s">
        <v>11238</v>
      </c>
      <c r="M493" s="209" t="s">
        <v>33</v>
      </c>
      <c r="N493" s="181" t="s">
        <v>10499</v>
      </c>
      <c r="O493" s="58" t="str">
        <f t="shared" si="29"/>
        <v>L2.02.03.02.11.01</v>
      </c>
      <c r="P493" s="272" t="str">
        <f t="shared" si="27"/>
        <v>L2.02.03.02.11.01.02</v>
      </c>
      <c r="Q493" s="185" t="s">
        <v>10530</v>
      </c>
      <c r="R493" s="273" t="str">
        <f t="shared" si="28"/>
        <v>Nhóm Quản lý 06</v>
      </c>
      <c r="S493" s="274" t="str">
        <f>P492</f>
        <v>L2.02.03.02.11.00.02</v>
      </c>
      <c r="T493" s="588" t="s">
        <v>11750</v>
      </c>
      <c r="U493" s="183"/>
      <c r="V493" s="183"/>
      <c r="W493" s="183"/>
      <c r="X493" s="183"/>
      <c r="Y493" s="184" t="s">
        <v>11089</v>
      </c>
      <c r="Z493" s="275" t="s">
        <v>11326</v>
      </c>
      <c r="AA493" s="276"/>
      <c r="AB493" s="277"/>
      <c r="AC493" s="376" t="s">
        <v>11718</v>
      </c>
      <c r="AD493" s="277"/>
    </row>
    <row r="494" ht="15.75" customHeight="1" outlineLevel="1">
      <c r="A494" s="228" t="s">
        <v>10833</v>
      </c>
      <c r="B494" s="270" t="s">
        <v>77</v>
      </c>
      <c r="C494" s="270" t="s">
        <v>33</v>
      </c>
      <c r="D494" s="209" t="s">
        <v>89</v>
      </c>
      <c r="E494" s="271" t="s">
        <v>35</v>
      </c>
      <c r="F494" s="182" t="s">
        <v>11167</v>
      </c>
      <c r="G494" s="209" t="s">
        <v>33</v>
      </c>
      <c r="H494" s="212" t="s">
        <v>11288</v>
      </c>
      <c r="I494" s="182" t="s">
        <v>61</v>
      </c>
      <c r="J494" s="303" t="s">
        <v>11236</v>
      </c>
      <c r="K494" s="228" t="s">
        <v>33</v>
      </c>
      <c r="L494" s="303" t="s">
        <v>11228</v>
      </c>
      <c r="M494" s="209" t="s">
        <v>33</v>
      </c>
      <c r="N494" s="181" t="s">
        <v>10499</v>
      </c>
      <c r="O494" s="58" t="str">
        <f t="shared" si="29"/>
        <v>L2.02.03.02.11.02</v>
      </c>
      <c r="P494" s="272" t="str">
        <f t="shared" si="27"/>
        <v>L2.02.03.02.11.02.02</v>
      </c>
      <c r="Q494" s="185" t="s">
        <v>10530</v>
      </c>
      <c r="R494" s="273" t="str">
        <f t="shared" si="28"/>
        <v>Nhóm KD MISA AMIS Kế toán 05</v>
      </c>
      <c r="S494" s="274" t="str">
        <f>P492</f>
        <v>L2.02.03.02.11.00.02</v>
      </c>
      <c r="T494" s="588" t="s">
        <v>11751</v>
      </c>
      <c r="U494" s="183"/>
      <c r="V494" s="183"/>
      <c r="W494" s="183"/>
      <c r="X494" s="183"/>
      <c r="Y494" s="184" t="s">
        <v>11089</v>
      </c>
      <c r="Z494" s="275" t="s">
        <v>11327</v>
      </c>
      <c r="AA494" s="276"/>
      <c r="AB494" s="277"/>
      <c r="AC494" s="376" t="s">
        <v>11718</v>
      </c>
      <c r="AD494" s="277"/>
    </row>
    <row r="495" ht="15.75" customHeight="1" outlineLevel="1">
      <c r="A495" s="228" t="s">
        <v>10833</v>
      </c>
      <c r="B495" s="270" t="s">
        <v>77</v>
      </c>
      <c r="C495" s="270" t="s">
        <v>33</v>
      </c>
      <c r="D495" s="209" t="s">
        <v>89</v>
      </c>
      <c r="E495" s="271" t="s">
        <v>35</v>
      </c>
      <c r="F495" s="182" t="s">
        <v>11167</v>
      </c>
      <c r="G495" s="209" t="s">
        <v>33</v>
      </c>
      <c r="H495" s="212" t="s">
        <v>11288</v>
      </c>
      <c r="I495" s="182" t="s">
        <v>61</v>
      </c>
      <c r="J495" s="303" t="s">
        <v>11236</v>
      </c>
      <c r="K495" s="228" t="s">
        <v>35</v>
      </c>
      <c r="L495" s="303" t="s">
        <v>11230</v>
      </c>
      <c r="M495" s="209" t="s">
        <v>33</v>
      </c>
      <c r="N495" s="181" t="s">
        <v>10499</v>
      </c>
      <c r="O495" s="58" t="str">
        <f t="shared" si="29"/>
        <v>L2.02.03.02.11.03</v>
      </c>
      <c r="P495" s="272" t="str">
        <f t="shared" si="27"/>
        <v>L2.02.03.02.11.03.02</v>
      </c>
      <c r="Q495" s="185" t="s">
        <v>10530</v>
      </c>
      <c r="R495" s="273" t="str">
        <f t="shared" si="28"/>
        <v>Nhóm KD MISA AMIS Điều hành 05</v>
      </c>
      <c r="S495" s="274" t="str">
        <f>P492</f>
        <v>L2.02.03.02.11.00.02</v>
      </c>
      <c r="T495" s="588" t="s">
        <v>11752</v>
      </c>
      <c r="U495" s="183"/>
      <c r="V495" s="183"/>
      <c r="W495" s="183"/>
      <c r="X495" s="183"/>
      <c r="Y495" s="184" t="s">
        <v>11089</v>
      </c>
      <c r="Z495" s="275" t="s">
        <v>11328</v>
      </c>
      <c r="AA495" s="276"/>
      <c r="AB495" s="277"/>
      <c r="AC495" s="376" t="s">
        <v>11718</v>
      </c>
      <c r="AD495" s="277"/>
    </row>
    <row r="496" ht="15.75" customHeight="1" outlineLevel="1">
      <c r="A496" s="228" t="s">
        <v>10833</v>
      </c>
      <c r="B496" s="270" t="s">
        <v>77</v>
      </c>
      <c r="C496" s="270" t="s">
        <v>33</v>
      </c>
      <c r="D496" s="209" t="s">
        <v>89</v>
      </c>
      <c r="E496" s="271" t="s">
        <v>35</v>
      </c>
      <c r="F496" s="182" t="s">
        <v>11167</v>
      </c>
      <c r="G496" s="209" t="s">
        <v>33</v>
      </c>
      <c r="H496" s="212" t="s">
        <v>11288</v>
      </c>
      <c r="I496" s="182" t="s">
        <v>61</v>
      </c>
      <c r="J496" s="303" t="s">
        <v>11236</v>
      </c>
      <c r="K496" s="228" t="s">
        <v>37</v>
      </c>
      <c r="L496" s="390" t="s">
        <v>11232</v>
      </c>
      <c r="M496" s="209" t="s">
        <v>33</v>
      </c>
      <c r="N496" s="181" t="s">
        <v>10499</v>
      </c>
      <c r="O496" s="58" t="str">
        <f t="shared" si="29"/>
        <v>L2.02.03.02.11.04</v>
      </c>
      <c r="P496" s="272" t="str">
        <f t="shared" si="27"/>
        <v>L2.02.03.02.11.04.02</v>
      </c>
      <c r="Q496" s="185" t="s">
        <v>10530</v>
      </c>
      <c r="R496" s="273" t="str">
        <f t="shared" si="28"/>
        <v>Nhóm KD MISA AMIS Nhân sự 05</v>
      </c>
      <c r="S496" s="274" t="str">
        <f>P492</f>
        <v>L2.02.03.02.11.00.02</v>
      </c>
      <c r="T496" s="588" t="s">
        <v>11753</v>
      </c>
      <c r="U496" s="183"/>
      <c r="V496" s="183"/>
      <c r="W496" s="183"/>
      <c r="X496" s="183"/>
      <c r="Y496" s="184" t="s">
        <v>11089</v>
      </c>
      <c r="Z496" s="275" t="s">
        <v>11329</v>
      </c>
      <c r="AA496" s="276"/>
      <c r="AB496" s="277"/>
      <c r="AC496" s="376" t="s">
        <v>11718</v>
      </c>
      <c r="AD496" s="277"/>
    </row>
    <row r="497" ht="15.75" customHeight="1" outlineLevel="1">
      <c r="A497" s="228" t="s">
        <v>10833</v>
      </c>
      <c r="B497" s="270" t="s">
        <v>77</v>
      </c>
      <c r="C497" s="270" t="s">
        <v>33</v>
      </c>
      <c r="D497" s="209" t="s">
        <v>89</v>
      </c>
      <c r="E497" s="271" t="s">
        <v>35</v>
      </c>
      <c r="F497" s="182" t="s">
        <v>11167</v>
      </c>
      <c r="G497" s="209" t="s">
        <v>33</v>
      </c>
      <c r="H497" s="212" t="s">
        <v>11288</v>
      </c>
      <c r="I497" s="182" t="s">
        <v>61</v>
      </c>
      <c r="J497" s="303" t="s">
        <v>11236</v>
      </c>
      <c r="K497" s="228" t="s">
        <v>42</v>
      </c>
      <c r="L497" s="390" t="s">
        <v>11234</v>
      </c>
      <c r="M497" s="209" t="s">
        <v>33</v>
      </c>
      <c r="N497" s="181" t="s">
        <v>10499</v>
      </c>
      <c r="O497" s="58" t="str">
        <f t="shared" si="29"/>
        <v>L2.02.03.02.11.05</v>
      </c>
      <c r="P497" s="272" t="str">
        <f t="shared" si="27"/>
        <v>L2.02.03.02.11.05.02</v>
      </c>
      <c r="Q497" s="185" t="s">
        <v>10530</v>
      </c>
      <c r="R497" s="273" t="str">
        <f t="shared" si="28"/>
        <v>Nhóm KD MISA AMIS Bán hàng 05</v>
      </c>
      <c r="S497" s="274" t="str">
        <f>P492</f>
        <v>L2.02.03.02.11.00.02</v>
      </c>
      <c r="T497" s="588" t="s">
        <v>11754</v>
      </c>
      <c r="U497" s="183"/>
      <c r="V497" s="183"/>
      <c r="W497" s="183"/>
      <c r="X497" s="183"/>
      <c r="Y497" s="184" t="s">
        <v>11089</v>
      </c>
      <c r="Z497" s="275" t="s">
        <v>11330</v>
      </c>
      <c r="AA497" s="276"/>
      <c r="AB497" s="277"/>
      <c r="AC497" s="376" t="s">
        <v>11718</v>
      </c>
      <c r="AD497" s="277"/>
    </row>
    <row r="498" ht="15.75" customHeight="1" outlineLevel="1">
      <c r="A498" s="261" t="s">
        <v>10833</v>
      </c>
      <c r="B498" s="231" t="s">
        <v>77</v>
      </c>
      <c r="C498" s="231" t="s">
        <v>33</v>
      </c>
      <c r="D498" s="157" t="s">
        <v>89</v>
      </c>
      <c r="E498" s="297" t="s">
        <v>35</v>
      </c>
      <c r="F498" s="168" t="s">
        <v>11167</v>
      </c>
      <c r="G498" s="157" t="s">
        <v>33</v>
      </c>
      <c r="H498" s="212" t="s">
        <v>11288</v>
      </c>
      <c r="I498" s="261">
        <v>99.0</v>
      </c>
      <c r="J498" s="264" t="s">
        <v>115</v>
      </c>
      <c r="K498" s="297" t="s">
        <v>27</v>
      </c>
      <c r="L498" s="305" t="s">
        <v>4</v>
      </c>
      <c r="M498" s="157" t="s">
        <v>33</v>
      </c>
      <c r="N498" s="167" t="s">
        <v>10499</v>
      </c>
      <c r="O498" s="55" t="str">
        <f t="shared" si="29"/>
        <v>L2.02.03.02.99.00</v>
      </c>
      <c r="P498" s="257" t="str">
        <f t="shared" si="27"/>
        <v>L2.02.03.02.99.00.02</v>
      </c>
      <c r="Q498" s="161" t="s">
        <v>10530</v>
      </c>
      <c r="R498" s="299" t="str">
        <f t="shared" si="28"/>
        <v>Phòng KD Bán thêm</v>
      </c>
      <c r="S498" s="269" t="str">
        <f>P459</f>
        <v>L2.02.03.02.00.00.02</v>
      </c>
      <c r="T498" s="265"/>
      <c r="U498" s="265"/>
      <c r="V498" s="265"/>
      <c r="W498" s="265"/>
      <c r="X498" s="265"/>
      <c r="Y498" s="265"/>
      <c r="Z498" s="225"/>
      <c r="AA498" s="300"/>
      <c r="AB498" s="267"/>
      <c r="AC498" s="376" t="s">
        <v>11755</v>
      </c>
      <c r="AD498" s="267"/>
    </row>
    <row r="499" ht="15.75" customHeight="1" outlineLevel="1">
      <c r="A499" s="261" t="s">
        <v>10833</v>
      </c>
      <c r="B499" s="231" t="s">
        <v>77</v>
      </c>
      <c r="C499" s="231" t="s">
        <v>33</v>
      </c>
      <c r="D499" s="157" t="s">
        <v>89</v>
      </c>
      <c r="E499" s="297" t="s">
        <v>35</v>
      </c>
      <c r="F499" s="168" t="s">
        <v>11167</v>
      </c>
      <c r="G499" s="157" t="s">
        <v>33</v>
      </c>
      <c r="H499" s="212" t="s">
        <v>11288</v>
      </c>
      <c r="I499" s="168" t="s">
        <v>37</v>
      </c>
      <c r="J499" s="264" t="s">
        <v>159</v>
      </c>
      <c r="K499" s="297" t="s">
        <v>27</v>
      </c>
      <c r="L499" s="305" t="s">
        <v>4</v>
      </c>
      <c r="M499" s="157" t="s">
        <v>33</v>
      </c>
      <c r="N499" s="167" t="s">
        <v>10499</v>
      </c>
      <c r="O499" s="55" t="str">
        <f t="shared" si="29"/>
        <v>L2.02.03.02.04.00</v>
      </c>
      <c r="P499" s="257" t="str">
        <f t="shared" si="27"/>
        <v>L2.02.03.02.04.00.02</v>
      </c>
      <c r="Q499" s="161" t="s">
        <v>10530</v>
      </c>
      <c r="R499" s="299" t="str">
        <f t="shared" si="28"/>
        <v>Phòng KD Bán thêm 01</v>
      </c>
      <c r="S499" s="269" t="str">
        <f>P498</f>
        <v>L2.02.03.02.99.00.02</v>
      </c>
      <c r="T499" s="265" t="s">
        <v>7466</v>
      </c>
      <c r="U499" s="265" t="s">
        <v>262</v>
      </c>
      <c r="V499" s="265" t="s">
        <v>275</v>
      </c>
      <c r="W499" s="265" t="s">
        <v>2029</v>
      </c>
      <c r="X499" s="265" t="s">
        <v>11331</v>
      </c>
      <c r="Y499" s="265"/>
      <c r="Z499" s="225" t="s">
        <v>11332</v>
      </c>
      <c r="AA499" s="300" t="s">
        <v>10530</v>
      </c>
      <c r="AB499" s="267"/>
      <c r="AC499" s="267"/>
      <c r="AD499" s="267"/>
    </row>
    <row r="500" ht="15.75" customHeight="1" outlineLevel="1">
      <c r="A500" s="261" t="s">
        <v>10833</v>
      </c>
      <c r="B500" s="231" t="s">
        <v>77</v>
      </c>
      <c r="C500" s="231" t="s">
        <v>33</v>
      </c>
      <c r="D500" s="157" t="s">
        <v>89</v>
      </c>
      <c r="E500" s="297" t="s">
        <v>35</v>
      </c>
      <c r="F500" s="168" t="s">
        <v>11167</v>
      </c>
      <c r="G500" s="157" t="s">
        <v>33</v>
      </c>
      <c r="H500" s="212" t="s">
        <v>11288</v>
      </c>
      <c r="I500" s="168" t="s">
        <v>37</v>
      </c>
      <c r="J500" s="264" t="s">
        <v>159</v>
      </c>
      <c r="K500" s="168" t="s">
        <v>29</v>
      </c>
      <c r="L500" s="184" t="s">
        <v>11178</v>
      </c>
      <c r="M500" s="157" t="s">
        <v>33</v>
      </c>
      <c r="N500" s="167" t="s">
        <v>10499</v>
      </c>
      <c r="O500" s="55" t="str">
        <f t="shared" si="29"/>
        <v>L2.02.03.02.04.01</v>
      </c>
      <c r="P500" s="257" t="str">
        <f t="shared" si="27"/>
        <v>L2.02.03.02.04.01.02</v>
      </c>
      <c r="Q500" s="161" t="s">
        <v>10530</v>
      </c>
      <c r="R500" s="273" t="str">
        <f t="shared" si="28"/>
        <v>Nhóm Quản lý 01</v>
      </c>
      <c r="S500" s="269" t="s">
        <v>11333</v>
      </c>
      <c r="T500" s="265"/>
      <c r="U500" s="265"/>
      <c r="V500" s="265"/>
      <c r="W500" s="265"/>
      <c r="X500" s="265"/>
      <c r="Y500" s="264" t="s">
        <v>11089</v>
      </c>
      <c r="Z500" s="225" t="s">
        <v>11334</v>
      </c>
      <c r="AA500" s="300" t="s">
        <v>10530</v>
      </c>
      <c r="AB500" s="267"/>
      <c r="AC500" s="376" t="s">
        <v>11756</v>
      </c>
      <c r="AD500" s="267"/>
    </row>
    <row r="501" ht="15.75" customHeight="1" outlineLevel="1">
      <c r="A501" s="261" t="s">
        <v>10833</v>
      </c>
      <c r="B501" s="231" t="s">
        <v>77</v>
      </c>
      <c r="C501" s="231" t="s">
        <v>33</v>
      </c>
      <c r="D501" s="157" t="s">
        <v>89</v>
      </c>
      <c r="E501" s="297" t="s">
        <v>35</v>
      </c>
      <c r="F501" s="168" t="s">
        <v>11167</v>
      </c>
      <c r="G501" s="157" t="s">
        <v>33</v>
      </c>
      <c r="H501" s="212" t="s">
        <v>11288</v>
      </c>
      <c r="I501" s="168" t="s">
        <v>37</v>
      </c>
      <c r="J501" s="264" t="s">
        <v>159</v>
      </c>
      <c r="K501" s="261" t="s">
        <v>33</v>
      </c>
      <c r="L501" s="184" t="s">
        <v>11251</v>
      </c>
      <c r="M501" s="157" t="s">
        <v>33</v>
      </c>
      <c r="N501" s="167" t="s">
        <v>10499</v>
      </c>
      <c r="O501" s="55" t="str">
        <f t="shared" si="29"/>
        <v>L2.02.03.02.04.02</v>
      </c>
      <c r="P501" s="257" t="str">
        <f t="shared" si="27"/>
        <v>L2.02.03.02.04.02.02</v>
      </c>
      <c r="Q501" s="161" t="s">
        <v>10530</v>
      </c>
      <c r="R501" s="299" t="str">
        <f t="shared" si="28"/>
        <v>Nhóm Quản lý khách hàng 01</v>
      </c>
      <c r="S501" s="269" t="s">
        <v>11333</v>
      </c>
      <c r="T501" s="265" t="s">
        <v>2070</v>
      </c>
      <c r="U501" s="265" t="s">
        <v>262</v>
      </c>
      <c r="V501" s="265" t="s">
        <v>275</v>
      </c>
      <c r="W501" s="265" t="s">
        <v>2029</v>
      </c>
      <c r="X501" s="265" t="s">
        <v>1985</v>
      </c>
      <c r="Y501" s="265"/>
      <c r="Z501" s="225" t="s">
        <v>11335</v>
      </c>
      <c r="AA501" s="300" t="s">
        <v>10530</v>
      </c>
      <c r="AB501" s="267"/>
      <c r="AC501" s="376" t="s">
        <v>11757</v>
      </c>
      <c r="AD501" s="267"/>
    </row>
    <row r="502" ht="15.75" customHeight="1" outlineLevel="1">
      <c r="A502" s="261" t="s">
        <v>10833</v>
      </c>
      <c r="B502" s="231" t="s">
        <v>77</v>
      </c>
      <c r="C502" s="231" t="s">
        <v>33</v>
      </c>
      <c r="D502" s="157" t="s">
        <v>89</v>
      </c>
      <c r="E502" s="297" t="s">
        <v>35</v>
      </c>
      <c r="F502" s="168" t="s">
        <v>11167</v>
      </c>
      <c r="G502" s="157" t="s">
        <v>33</v>
      </c>
      <c r="H502" s="212" t="s">
        <v>11288</v>
      </c>
      <c r="I502" s="168" t="s">
        <v>37</v>
      </c>
      <c r="J502" s="264" t="s">
        <v>159</v>
      </c>
      <c r="K502" s="261" t="s">
        <v>35</v>
      </c>
      <c r="L502" s="184" t="s">
        <v>11253</v>
      </c>
      <c r="M502" s="157" t="s">
        <v>33</v>
      </c>
      <c r="N502" s="167" t="s">
        <v>10499</v>
      </c>
      <c r="O502" s="55" t="str">
        <f t="shared" si="29"/>
        <v>L2.02.03.02.04.03</v>
      </c>
      <c r="P502" s="257" t="str">
        <f t="shared" si="27"/>
        <v>L2.02.03.02.04.03.02</v>
      </c>
      <c r="Q502" s="161" t="s">
        <v>10530</v>
      </c>
      <c r="R502" s="299" t="str">
        <f t="shared" si="28"/>
        <v>Nhóm Bán thêm AMIS Kế toán 01</v>
      </c>
      <c r="S502" s="269" t="s">
        <v>11333</v>
      </c>
      <c r="T502" s="265" t="s">
        <v>8883</v>
      </c>
      <c r="U502" s="265" t="s">
        <v>262</v>
      </c>
      <c r="V502" s="265" t="s">
        <v>275</v>
      </c>
      <c r="W502" s="265" t="s">
        <v>2029</v>
      </c>
      <c r="X502" s="265" t="s">
        <v>2034</v>
      </c>
      <c r="Y502" s="265"/>
      <c r="Z502" s="225" t="s">
        <v>11336</v>
      </c>
      <c r="AA502" s="300" t="s">
        <v>10530</v>
      </c>
      <c r="AB502" s="267"/>
      <c r="AC502" s="376" t="s">
        <v>11757</v>
      </c>
      <c r="AD502" s="267"/>
    </row>
    <row r="503" ht="15.75" customHeight="1" outlineLevel="1">
      <c r="A503" s="261" t="s">
        <v>10833</v>
      </c>
      <c r="B503" s="231" t="s">
        <v>77</v>
      </c>
      <c r="C503" s="231" t="s">
        <v>33</v>
      </c>
      <c r="D503" s="157" t="s">
        <v>89</v>
      </c>
      <c r="E503" s="297" t="s">
        <v>35</v>
      </c>
      <c r="F503" s="168" t="s">
        <v>11167</v>
      </c>
      <c r="G503" s="157" t="s">
        <v>33</v>
      </c>
      <c r="H503" s="212" t="s">
        <v>11288</v>
      </c>
      <c r="I503" s="168" t="s">
        <v>37</v>
      </c>
      <c r="J503" s="264" t="s">
        <v>159</v>
      </c>
      <c r="K503" s="261" t="s">
        <v>37</v>
      </c>
      <c r="L503" s="184" t="s">
        <v>11255</v>
      </c>
      <c r="M503" s="157" t="s">
        <v>33</v>
      </c>
      <c r="N503" s="167" t="s">
        <v>10499</v>
      </c>
      <c r="O503" s="55" t="str">
        <f t="shared" si="29"/>
        <v>L2.02.03.02.04.04</v>
      </c>
      <c r="P503" s="257" t="str">
        <f t="shared" si="27"/>
        <v>L2.02.03.02.04.04.02</v>
      </c>
      <c r="Q503" s="161" t="s">
        <v>10530</v>
      </c>
      <c r="R503" s="299" t="str">
        <f t="shared" si="28"/>
        <v>Nhóm Bán thêm AMIS Bán hàng 01</v>
      </c>
      <c r="S503" s="269" t="s">
        <v>11333</v>
      </c>
      <c r="T503" s="265" t="s">
        <v>2131</v>
      </c>
      <c r="U503" s="265" t="s">
        <v>262</v>
      </c>
      <c r="V503" s="265" t="s">
        <v>275</v>
      </c>
      <c r="W503" s="265" t="s">
        <v>2029</v>
      </c>
      <c r="X503" s="265" t="s">
        <v>2051</v>
      </c>
      <c r="Y503" s="265"/>
      <c r="Z503" s="225" t="s">
        <v>11337</v>
      </c>
      <c r="AA503" s="300" t="s">
        <v>10530</v>
      </c>
      <c r="AB503" s="267"/>
      <c r="AC503" s="376" t="s">
        <v>11757</v>
      </c>
      <c r="AD503" s="267"/>
    </row>
    <row r="504" ht="15.75" customHeight="1" outlineLevel="1">
      <c r="A504" s="261" t="s">
        <v>10833</v>
      </c>
      <c r="B504" s="231" t="s">
        <v>77</v>
      </c>
      <c r="C504" s="231" t="s">
        <v>33</v>
      </c>
      <c r="D504" s="157" t="s">
        <v>89</v>
      </c>
      <c r="E504" s="297" t="s">
        <v>35</v>
      </c>
      <c r="F504" s="168" t="s">
        <v>11167</v>
      </c>
      <c r="G504" s="157" t="s">
        <v>33</v>
      </c>
      <c r="H504" s="212" t="s">
        <v>11288</v>
      </c>
      <c r="I504" s="168" t="s">
        <v>37</v>
      </c>
      <c r="J504" s="264" t="s">
        <v>159</v>
      </c>
      <c r="K504" s="261" t="s">
        <v>42</v>
      </c>
      <c r="L504" s="184" t="s">
        <v>11257</v>
      </c>
      <c r="M504" s="157" t="s">
        <v>33</v>
      </c>
      <c r="N504" s="167" t="s">
        <v>10499</v>
      </c>
      <c r="O504" s="55" t="str">
        <f t="shared" si="29"/>
        <v>L2.02.03.02.04.05</v>
      </c>
      <c r="P504" s="257" t="str">
        <f t="shared" si="27"/>
        <v>L2.02.03.02.04.05.02</v>
      </c>
      <c r="Q504" s="161" t="s">
        <v>10530</v>
      </c>
      <c r="R504" s="299" t="str">
        <f t="shared" si="28"/>
        <v>Nhóm Bán thêm AMIS Nhân sự 01</v>
      </c>
      <c r="S504" s="269" t="s">
        <v>11333</v>
      </c>
      <c r="T504" s="265" t="s">
        <v>2030</v>
      </c>
      <c r="U504" s="265" t="s">
        <v>262</v>
      </c>
      <c r="V504" s="265" t="s">
        <v>275</v>
      </c>
      <c r="W504" s="265" t="s">
        <v>2029</v>
      </c>
      <c r="X504" s="265" t="s">
        <v>2021</v>
      </c>
      <c r="Y504" s="265"/>
      <c r="Z504" s="225" t="s">
        <v>11338</v>
      </c>
      <c r="AA504" s="300" t="s">
        <v>10530</v>
      </c>
      <c r="AB504" s="267"/>
      <c r="AC504" s="376" t="s">
        <v>11757</v>
      </c>
      <c r="AD504" s="267"/>
    </row>
    <row r="505" ht="15.75" customHeight="1" outlineLevel="1">
      <c r="A505" s="261" t="s">
        <v>10833</v>
      </c>
      <c r="B505" s="231" t="s">
        <v>77</v>
      </c>
      <c r="C505" s="231" t="s">
        <v>33</v>
      </c>
      <c r="D505" s="157" t="s">
        <v>89</v>
      </c>
      <c r="E505" s="297" t="s">
        <v>35</v>
      </c>
      <c r="F505" s="168" t="s">
        <v>11167</v>
      </c>
      <c r="G505" s="157" t="s">
        <v>33</v>
      </c>
      <c r="H505" s="212" t="s">
        <v>11288</v>
      </c>
      <c r="I505" s="168" t="s">
        <v>37</v>
      </c>
      <c r="J505" s="264" t="s">
        <v>159</v>
      </c>
      <c r="K505" s="261" t="s">
        <v>44</v>
      </c>
      <c r="L505" s="184" t="s">
        <v>11259</v>
      </c>
      <c r="M505" s="157" t="s">
        <v>33</v>
      </c>
      <c r="N505" s="167" t="s">
        <v>10499</v>
      </c>
      <c r="O505" s="55" t="str">
        <f t="shared" si="29"/>
        <v>L2.02.03.02.04.06</v>
      </c>
      <c r="P505" s="257" t="str">
        <f t="shared" si="27"/>
        <v>L2.02.03.02.04.06.02</v>
      </c>
      <c r="Q505" s="161" t="s">
        <v>10530</v>
      </c>
      <c r="R505" s="299" t="str">
        <f t="shared" si="28"/>
        <v>Nhóm Bán thêm AMIS Điều hành 01</v>
      </c>
      <c r="S505" s="269" t="s">
        <v>11333</v>
      </c>
      <c r="T505" s="265" t="s">
        <v>8873</v>
      </c>
      <c r="U505" s="265" t="s">
        <v>262</v>
      </c>
      <c r="V505" s="265" t="s">
        <v>275</v>
      </c>
      <c r="W505" s="265" t="s">
        <v>2029</v>
      </c>
      <c r="X505" s="265" t="s">
        <v>2060</v>
      </c>
      <c r="Y505" s="265"/>
      <c r="Z505" s="225" t="s">
        <v>11339</v>
      </c>
      <c r="AA505" s="300" t="s">
        <v>10530</v>
      </c>
      <c r="AB505" s="267"/>
      <c r="AC505" s="376" t="s">
        <v>11757</v>
      </c>
      <c r="AD505" s="267"/>
    </row>
    <row r="506" ht="15.75" customHeight="1" outlineLevel="1">
      <c r="A506" s="261" t="s">
        <v>10833</v>
      </c>
      <c r="B506" s="231" t="s">
        <v>77</v>
      </c>
      <c r="C506" s="231" t="s">
        <v>33</v>
      </c>
      <c r="D506" s="157" t="s">
        <v>89</v>
      </c>
      <c r="E506" s="297" t="s">
        <v>35</v>
      </c>
      <c r="F506" s="168" t="s">
        <v>11167</v>
      </c>
      <c r="G506" s="157" t="s">
        <v>33</v>
      </c>
      <c r="H506" s="212" t="s">
        <v>11288</v>
      </c>
      <c r="I506" s="168" t="s">
        <v>42</v>
      </c>
      <c r="J506" s="264" t="s">
        <v>160</v>
      </c>
      <c r="K506" s="297" t="s">
        <v>27</v>
      </c>
      <c r="L506" s="305" t="s">
        <v>4</v>
      </c>
      <c r="M506" s="157" t="s">
        <v>33</v>
      </c>
      <c r="N506" s="167" t="s">
        <v>10499</v>
      </c>
      <c r="O506" s="55" t="str">
        <f t="shared" si="29"/>
        <v>L2.02.03.02.05.00</v>
      </c>
      <c r="P506" s="257" t="str">
        <f t="shared" si="27"/>
        <v>L2.02.03.02.05.00.02</v>
      </c>
      <c r="Q506" s="161" t="s">
        <v>10530</v>
      </c>
      <c r="R506" s="299" t="str">
        <f t="shared" si="28"/>
        <v>Phòng KD Bán thêm 02</v>
      </c>
      <c r="S506" s="269" t="str">
        <f>P498</f>
        <v>L2.02.03.02.99.00.02</v>
      </c>
      <c r="T506" s="265" t="s">
        <v>8912</v>
      </c>
      <c r="U506" s="265" t="s">
        <v>262</v>
      </c>
      <c r="V506" s="265" t="s">
        <v>275</v>
      </c>
      <c r="W506" s="265" t="s">
        <v>1986</v>
      </c>
      <c r="X506" s="265" t="s">
        <v>11331</v>
      </c>
      <c r="Y506" s="265"/>
      <c r="Z506" s="225" t="s">
        <v>11340</v>
      </c>
      <c r="AA506" s="300" t="s">
        <v>10530</v>
      </c>
      <c r="AB506" s="267"/>
      <c r="AC506" s="267"/>
      <c r="AD506" s="267"/>
    </row>
    <row r="507" ht="15.75" customHeight="1" outlineLevel="1">
      <c r="A507" s="261" t="s">
        <v>10833</v>
      </c>
      <c r="B507" s="231" t="s">
        <v>77</v>
      </c>
      <c r="C507" s="231" t="s">
        <v>33</v>
      </c>
      <c r="D507" s="157" t="s">
        <v>89</v>
      </c>
      <c r="E507" s="297" t="s">
        <v>35</v>
      </c>
      <c r="F507" s="168" t="s">
        <v>11167</v>
      </c>
      <c r="G507" s="157" t="s">
        <v>33</v>
      </c>
      <c r="H507" s="212" t="s">
        <v>11288</v>
      </c>
      <c r="I507" s="168" t="s">
        <v>42</v>
      </c>
      <c r="J507" s="264" t="s">
        <v>160</v>
      </c>
      <c r="K507" s="168" t="s">
        <v>29</v>
      </c>
      <c r="L507" s="184" t="s">
        <v>11190</v>
      </c>
      <c r="M507" s="157" t="s">
        <v>33</v>
      </c>
      <c r="N507" s="167" t="s">
        <v>10499</v>
      </c>
      <c r="O507" s="55" t="str">
        <f t="shared" si="29"/>
        <v>L2.02.03.02.05.01</v>
      </c>
      <c r="P507" s="257" t="str">
        <f t="shared" si="27"/>
        <v>L2.02.03.02.05.01.02</v>
      </c>
      <c r="Q507" s="161" t="s">
        <v>10530</v>
      </c>
      <c r="R507" s="299" t="str">
        <f t="shared" si="28"/>
        <v>Nhóm Quản lý 02</v>
      </c>
      <c r="S507" s="257" t="s">
        <v>11341</v>
      </c>
      <c r="T507" s="265"/>
      <c r="U507" s="265"/>
      <c r="V507" s="265"/>
      <c r="W507" s="265"/>
      <c r="X507" s="265"/>
      <c r="Y507" s="264" t="s">
        <v>11089</v>
      </c>
      <c r="Z507" s="225" t="s">
        <v>11342</v>
      </c>
      <c r="AA507" s="300" t="s">
        <v>10530</v>
      </c>
      <c r="AB507" s="267"/>
      <c r="AC507" s="376" t="s">
        <v>11757</v>
      </c>
      <c r="AD507" s="267"/>
    </row>
    <row r="508" ht="15.75" customHeight="1" outlineLevel="1">
      <c r="A508" s="261" t="s">
        <v>10833</v>
      </c>
      <c r="B508" s="231" t="s">
        <v>77</v>
      </c>
      <c r="C508" s="231" t="s">
        <v>33</v>
      </c>
      <c r="D508" s="157" t="s">
        <v>89</v>
      </c>
      <c r="E508" s="297" t="s">
        <v>35</v>
      </c>
      <c r="F508" s="168" t="s">
        <v>11167</v>
      </c>
      <c r="G508" s="157" t="s">
        <v>33</v>
      </c>
      <c r="H508" s="212" t="s">
        <v>11288</v>
      </c>
      <c r="I508" s="168" t="s">
        <v>42</v>
      </c>
      <c r="J508" s="264" t="s">
        <v>160</v>
      </c>
      <c r="K508" s="261" t="s">
        <v>33</v>
      </c>
      <c r="L508" s="184" t="s">
        <v>11264</v>
      </c>
      <c r="M508" s="157" t="s">
        <v>33</v>
      </c>
      <c r="N508" s="167" t="s">
        <v>10499</v>
      </c>
      <c r="O508" s="55" t="str">
        <f t="shared" si="29"/>
        <v>L2.02.03.02.05.02</v>
      </c>
      <c r="P508" s="257" t="str">
        <f t="shared" si="27"/>
        <v>L2.02.03.02.05.02.02</v>
      </c>
      <c r="Q508" s="161" t="s">
        <v>10530</v>
      </c>
      <c r="R508" s="299" t="str">
        <f t="shared" si="28"/>
        <v>Nhóm Quản lý khách hàng 02</v>
      </c>
      <c r="S508" s="257" t="s">
        <v>11341</v>
      </c>
      <c r="T508" s="265" t="s">
        <v>1987</v>
      </c>
      <c r="U508" s="265" t="s">
        <v>262</v>
      </c>
      <c r="V508" s="265" t="s">
        <v>275</v>
      </c>
      <c r="W508" s="265" t="s">
        <v>1986</v>
      </c>
      <c r="X508" s="265" t="s">
        <v>1985</v>
      </c>
      <c r="Y508" s="265"/>
      <c r="Z508" s="225" t="s">
        <v>11343</v>
      </c>
      <c r="AA508" s="300" t="s">
        <v>10530</v>
      </c>
      <c r="AB508" s="267"/>
      <c r="AC508" s="376" t="s">
        <v>11757</v>
      </c>
      <c r="AD508" s="267"/>
    </row>
    <row r="509" ht="15.75" customHeight="1" outlineLevel="1">
      <c r="A509" s="261" t="s">
        <v>10833</v>
      </c>
      <c r="B509" s="231" t="s">
        <v>77</v>
      </c>
      <c r="C509" s="231" t="s">
        <v>33</v>
      </c>
      <c r="D509" s="157" t="s">
        <v>89</v>
      </c>
      <c r="E509" s="297" t="s">
        <v>35</v>
      </c>
      <c r="F509" s="168" t="s">
        <v>11167</v>
      </c>
      <c r="G509" s="157" t="s">
        <v>33</v>
      </c>
      <c r="H509" s="212" t="s">
        <v>11288</v>
      </c>
      <c r="I509" s="168" t="s">
        <v>42</v>
      </c>
      <c r="J509" s="264" t="s">
        <v>160</v>
      </c>
      <c r="K509" s="261" t="s">
        <v>35</v>
      </c>
      <c r="L509" s="184" t="s">
        <v>11266</v>
      </c>
      <c r="M509" s="157" t="s">
        <v>33</v>
      </c>
      <c r="N509" s="167" t="s">
        <v>10499</v>
      </c>
      <c r="O509" s="55" t="str">
        <f t="shared" si="29"/>
        <v>L2.02.03.02.05.03</v>
      </c>
      <c r="P509" s="257" t="str">
        <f t="shared" si="27"/>
        <v>L2.02.03.02.05.03.02</v>
      </c>
      <c r="Q509" s="161" t="s">
        <v>10530</v>
      </c>
      <c r="R509" s="299" t="str">
        <f t="shared" si="28"/>
        <v>Nhóm Bán thêm AMIS Kế toán 02</v>
      </c>
      <c r="S509" s="257" t="s">
        <v>11341</v>
      </c>
      <c r="T509" s="265" t="s">
        <v>2035</v>
      </c>
      <c r="U509" s="265" t="s">
        <v>262</v>
      </c>
      <c r="V509" s="265" t="s">
        <v>275</v>
      </c>
      <c r="W509" s="265" t="s">
        <v>1986</v>
      </c>
      <c r="X509" s="265" t="s">
        <v>2034</v>
      </c>
      <c r="Y509" s="265"/>
      <c r="Z509" s="225" t="s">
        <v>11344</v>
      </c>
      <c r="AA509" s="300" t="s">
        <v>10530</v>
      </c>
      <c r="AB509" s="267"/>
      <c r="AC509" s="376" t="s">
        <v>11757</v>
      </c>
      <c r="AD509" s="267"/>
    </row>
    <row r="510" ht="15.75" customHeight="1" outlineLevel="1">
      <c r="A510" s="261" t="s">
        <v>10833</v>
      </c>
      <c r="B510" s="231" t="s">
        <v>77</v>
      </c>
      <c r="C510" s="231" t="s">
        <v>33</v>
      </c>
      <c r="D510" s="157" t="s">
        <v>89</v>
      </c>
      <c r="E510" s="297" t="s">
        <v>35</v>
      </c>
      <c r="F510" s="168" t="s">
        <v>11167</v>
      </c>
      <c r="G510" s="157" t="s">
        <v>33</v>
      </c>
      <c r="H510" s="212" t="s">
        <v>11288</v>
      </c>
      <c r="I510" s="168" t="s">
        <v>42</v>
      </c>
      <c r="J510" s="264" t="s">
        <v>160</v>
      </c>
      <c r="K510" s="261" t="s">
        <v>37</v>
      </c>
      <c r="L510" s="184" t="s">
        <v>11268</v>
      </c>
      <c r="M510" s="157" t="s">
        <v>33</v>
      </c>
      <c r="N510" s="167" t="s">
        <v>10499</v>
      </c>
      <c r="O510" s="55" t="str">
        <f t="shared" si="29"/>
        <v>L2.02.03.02.05.04</v>
      </c>
      <c r="P510" s="257" t="str">
        <f t="shared" si="27"/>
        <v>L2.02.03.02.05.04.02</v>
      </c>
      <c r="Q510" s="161" t="s">
        <v>10530</v>
      </c>
      <c r="R510" s="299" t="str">
        <f t="shared" si="28"/>
        <v>Nhóm Bán thêm AMIS Bán hàng 02</v>
      </c>
      <c r="S510" s="257" t="s">
        <v>11341</v>
      </c>
      <c r="T510" s="265" t="s">
        <v>2052</v>
      </c>
      <c r="U510" s="265" t="s">
        <v>262</v>
      </c>
      <c r="V510" s="265" t="s">
        <v>275</v>
      </c>
      <c r="W510" s="265" t="s">
        <v>1986</v>
      </c>
      <c r="X510" s="265" t="s">
        <v>2051</v>
      </c>
      <c r="Y510" s="265"/>
      <c r="Z510" s="225" t="s">
        <v>11345</v>
      </c>
      <c r="AA510" s="300" t="s">
        <v>10530</v>
      </c>
      <c r="AB510" s="267"/>
      <c r="AC510" s="376" t="s">
        <v>11757</v>
      </c>
      <c r="AD510" s="267"/>
    </row>
    <row r="511" ht="15.75" customHeight="1" outlineLevel="1">
      <c r="A511" s="261" t="s">
        <v>10833</v>
      </c>
      <c r="B511" s="231" t="s">
        <v>77</v>
      </c>
      <c r="C511" s="231" t="s">
        <v>33</v>
      </c>
      <c r="D511" s="157" t="s">
        <v>89</v>
      </c>
      <c r="E511" s="297" t="s">
        <v>35</v>
      </c>
      <c r="F511" s="168" t="s">
        <v>11167</v>
      </c>
      <c r="G511" s="157" t="s">
        <v>33</v>
      </c>
      <c r="H511" s="212" t="s">
        <v>11288</v>
      </c>
      <c r="I511" s="168" t="s">
        <v>42</v>
      </c>
      <c r="J511" s="264" t="s">
        <v>160</v>
      </c>
      <c r="K511" s="261" t="s">
        <v>42</v>
      </c>
      <c r="L511" s="184" t="s">
        <v>11270</v>
      </c>
      <c r="M511" s="157" t="s">
        <v>33</v>
      </c>
      <c r="N511" s="167" t="s">
        <v>10499</v>
      </c>
      <c r="O511" s="55" t="str">
        <f t="shared" si="29"/>
        <v>L2.02.03.02.05.05</v>
      </c>
      <c r="P511" s="257" t="str">
        <f t="shared" si="27"/>
        <v>L2.02.03.02.05.05.02</v>
      </c>
      <c r="Q511" s="161" t="s">
        <v>10530</v>
      </c>
      <c r="R511" s="299" t="str">
        <f t="shared" si="28"/>
        <v>Nhóm Bán thêm AMIS Nhân sự 02</v>
      </c>
      <c r="S511" s="257" t="s">
        <v>11341</v>
      </c>
      <c r="T511" s="265" t="s">
        <v>2022</v>
      </c>
      <c r="U511" s="265" t="s">
        <v>262</v>
      </c>
      <c r="V511" s="265" t="s">
        <v>275</v>
      </c>
      <c r="W511" s="265" t="s">
        <v>1986</v>
      </c>
      <c r="X511" s="265" t="s">
        <v>2021</v>
      </c>
      <c r="Y511" s="265"/>
      <c r="Z511" s="225" t="s">
        <v>11346</v>
      </c>
      <c r="AA511" s="300" t="s">
        <v>10530</v>
      </c>
      <c r="AB511" s="267"/>
      <c r="AC511" s="376" t="s">
        <v>11757</v>
      </c>
      <c r="AD511" s="267"/>
    </row>
    <row r="512" ht="15.75" customHeight="1" outlineLevel="1">
      <c r="A512" s="261" t="s">
        <v>10833</v>
      </c>
      <c r="B512" s="231" t="s">
        <v>77</v>
      </c>
      <c r="C512" s="231" t="s">
        <v>33</v>
      </c>
      <c r="D512" s="157" t="s">
        <v>89</v>
      </c>
      <c r="E512" s="297" t="s">
        <v>35</v>
      </c>
      <c r="F512" s="168" t="s">
        <v>11167</v>
      </c>
      <c r="G512" s="157" t="s">
        <v>33</v>
      </c>
      <c r="H512" s="212" t="s">
        <v>11288</v>
      </c>
      <c r="I512" s="168" t="s">
        <v>42</v>
      </c>
      <c r="J512" s="264" t="s">
        <v>160</v>
      </c>
      <c r="K512" s="261" t="s">
        <v>44</v>
      </c>
      <c r="L512" s="184" t="s">
        <v>11272</v>
      </c>
      <c r="M512" s="157" t="s">
        <v>33</v>
      </c>
      <c r="N512" s="167" t="s">
        <v>10499</v>
      </c>
      <c r="O512" s="55" t="str">
        <f t="shared" si="29"/>
        <v>L2.02.03.02.05.06</v>
      </c>
      <c r="P512" s="257" t="str">
        <f t="shared" si="27"/>
        <v>L2.02.03.02.05.06.02</v>
      </c>
      <c r="Q512" s="161" t="s">
        <v>10530</v>
      </c>
      <c r="R512" s="299" t="str">
        <f t="shared" si="28"/>
        <v>Nhóm Bán thêm AMIS Điều hành 02</v>
      </c>
      <c r="S512" s="257" t="s">
        <v>11341</v>
      </c>
      <c r="T512" s="265" t="s">
        <v>2061</v>
      </c>
      <c r="U512" s="265" t="s">
        <v>262</v>
      </c>
      <c r="V512" s="265" t="s">
        <v>275</v>
      </c>
      <c r="W512" s="265" t="s">
        <v>1986</v>
      </c>
      <c r="X512" s="265" t="s">
        <v>2060</v>
      </c>
      <c r="Y512" s="265"/>
      <c r="Z512" s="225" t="s">
        <v>11347</v>
      </c>
      <c r="AA512" s="300" t="s">
        <v>10530</v>
      </c>
      <c r="AB512" s="267"/>
      <c r="AC512" s="376" t="s">
        <v>11757</v>
      </c>
      <c r="AD512" s="267"/>
    </row>
    <row r="513" ht="15.75" customHeight="1" outlineLevel="1">
      <c r="A513" s="228" t="s">
        <v>10833</v>
      </c>
      <c r="B513" s="270" t="s">
        <v>77</v>
      </c>
      <c r="C513" s="270" t="s">
        <v>33</v>
      </c>
      <c r="D513" s="209" t="s">
        <v>89</v>
      </c>
      <c r="E513" s="271" t="s">
        <v>35</v>
      </c>
      <c r="F513" s="182" t="s">
        <v>11167</v>
      </c>
      <c r="G513" s="209" t="s">
        <v>33</v>
      </c>
      <c r="H513" s="212" t="s">
        <v>11288</v>
      </c>
      <c r="I513" s="182" t="s">
        <v>46</v>
      </c>
      <c r="J513" s="184" t="s">
        <v>11713</v>
      </c>
      <c r="K513" s="271" t="s">
        <v>27</v>
      </c>
      <c r="L513" s="415" t="s">
        <v>4</v>
      </c>
      <c r="M513" s="209" t="s">
        <v>33</v>
      </c>
      <c r="N513" s="181" t="s">
        <v>10499</v>
      </c>
      <c r="O513" s="58" t="str">
        <f t="shared" si="29"/>
        <v>L2.02.03.02.07.00</v>
      </c>
      <c r="P513" s="272" t="str">
        <f t="shared" si="27"/>
        <v>L2.02.03.02.07.00.02</v>
      </c>
      <c r="Q513" s="185" t="s">
        <v>10530</v>
      </c>
      <c r="R513" s="273" t="str">
        <f t="shared" si="28"/>
        <v>Phòng KD Bán thêm 03</v>
      </c>
      <c r="S513" s="274" t="str">
        <f>P498</f>
        <v>L2.02.03.02.99.00.02</v>
      </c>
      <c r="T513" s="211" t="s">
        <v>11348</v>
      </c>
      <c r="U513" s="183" t="s">
        <v>262</v>
      </c>
      <c r="V513" s="183" t="s">
        <v>275</v>
      </c>
      <c r="W513" s="184" t="s">
        <v>11349</v>
      </c>
      <c r="X513" s="183" t="s">
        <v>11331</v>
      </c>
      <c r="Y513" s="183"/>
      <c r="Z513" s="275" t="s">
        <v>11350</v>
      </c>
      <c r="AA513" s="304" t="s">
        <v>10530</v>
      </c>
      <c r="AB513" s="277"/>
      <c r="AC513" s="376" t="s">
        <v>11758</v>
      </c>
      <c r="AD513" s="277"/>
    </row>
    <row r="514" ht="15.75" customHeight="1" outlineLevel="1">
      <c r="A514" s="228" t="s">
        <v>10833</v>
      </c>
      <c r="B514" s="270" t="s">
        <v>77</v>
      </c>
      <c r="C514" s="270" t="s">
        <v>33</v>
      </c>
      <c r="D514" s="209" t="s">
        <v>89</v>
      </c>
      <c r="E514" s="271" t="s">
        <v>35</v>
      </c>
      <c r="F514" s="182" t="s">
        <v>11167</v>
      </c>
      <c r="G514" s="209" t="s">
        <v>33</v>
      </c>
      <c r="H514" s="212" t="s">
        <v>11288</v>
      </c>
      <c r="I514" s="182" t="s">
        <v>46</v>
      </c>
      <c r="J514" s="184" t="s">
        <v>11713</v>
      </c>
      <c r="K514" s="182" t="s">
        <v>29</v>
      </c>
      <c r="L514" s="184" t="s">
        <v>11202</v>
      </c>
      <c r="M514" s="209" t="s">
        <v>33</v>
      </c>
      <c r="N514" s="181" t="s">
        <v>10499</v>
      </c>
      <c r="O514" s="58" t="str">
        <f t="shared" si="29"/>
        <v>L2.02.03.02.07.01</v>
      </c>
      <c r="P514" s="272" t="str">
        <f t="shared" si="27"/>
        <v>L2.02.03.02.07.01.02</v>
      </c>
      <c r="Q514" s="185" t="s">
        <v>10530</v>
      </c>
      <c r="R514" s="273" t="str">
        <f t="shared" si="28"/>
        <v>Nhóm Quản lý 03</v>
      </c>
      <c r="S514" s="272" t="str">
        <f>P513</f>
        <v>L2.02.03.02.07.00.02</v>
      </c>
      <c r="T514" s="183"/>
      <c r="U514" s="183"/>
      <c r="V514" s="183"/>
      <c r="W514" s="183"/>
      <c r="X514" s="183"/>
      <c r="Y514" s="184" t="s">
        <v>11089</v>
      </c>
      <c r="Z514" s="275" t="s">
        <v>11351</v>
      </c>
      <c r="AA514" s="304" t="s">
        <v>10530</v>
      </c>
      <c r="AB514" s="277"/>
      <c r="AC514" s="376" t="s">
        <v>11758</v>
      </c>
      <c r="AD514" s="277"/>
    </row>
    <row r="515" ht="15.75" customHeight="1" outlineLevel="1">
      <c r="A515" s="228" t="s">
        <v>10833</v>
      </c>
      <c r="B515" s="270" t="s">
        <v>77</v>
      </c>
      <c r="C515" s="270" t="s">
        <v>33</v>
      </c>
      <c r="D515" s="209" t="s">
        <v>89</v>
      </c>
      <c r="E515" s="271" t="s">
        <v>35</v>
      </c>
      <c r="F515" s="182" t="s">
        <v>11167</v>
      </c>
      <c r="G515" s="209" t="s">
        <v>33</v>
      </c>
      <c r="H515" s="212" t="s">
        <v>11288</v>
      </c>
      <c r="I515" s="182" t="s">
        <v>46</v>
      </c>
      <c r="J515" s="184" t="s">
        <v>11713</v>
      </c>
      <c r="K515" s="228" t="s">
        <v>33</v>
      </c>
      <c r="L515" s="184" t="s">
        <v>11277</v>
      </c>
      <c r="M515" s="209" t="s">
        <v>33</v>
      </c>
      <c r="N515" s="181" t="s">
        <v>10499</v>
      </c>
      <c r="O515" s="58" t="str">
        <f t="shared" si="29"/>
        <v>L2.02.03.02.07.02</v>
      </c>
      <c r="P515" s="272" t="str">
        <f t="shared" si="27"/>
        <v>L2.02.03.02.07.02.02</v>
      </c>
      <c r="Q515" s="185" t="s">
        <v>10530</v>
      </c>
      <c r="R515" s="273" t="str">
        <f t="shared" si="28"/>
        <v>Nhóm Quản lý khách hàng 03</v>
      </c>
      <c r="S515" s="272" t="str">
        <f>P513</f>
        <v>L2.02.03.02.07.00.02</v>
      </c>
      <c r="T515" s="188" t="s">
        <v>11352</v>
      </c>
      <c r="U515" s="183" t="s">
        <v>262</v>
      </c>
      <c r="V515" s="183" t="s">
        <v>275</v>
      </c>
      <c r="W515" s="184" t="s">
        <v>11349</v>
      </c>
      <c r="X515" s="183" t="s">
        <v>1985</v>
      </c>
      <c r="Y515" s="183"/>
      <c r="Z515" s="275" t="s">
        <v>11353</v>
      </c>
      <c r="AA515" s="304" t="s">
        <v>10530</v>
      </c>
      <c r="AB515" s="277"/>
      <c r="AC515" s="376" t="s">
        <v>11758</v>
      </c>
      <c r="AD515" s="277"/>
    </row>
    <row r="516" ht="15.75" customHeight="1" outlineLevel="1">
      <c r="A516" s="228" t="s">
        <v>10833</v>
      </c>
      <c r="B516" s="270" t="s">
        <v>77</v>
      </c>
      <c r="C516" s="270" t="s">
        <v>33</v>
      </c>
      <c r="D516" s="209" t="s">
        <v>89</v>
      </c>
      <c r="E516" s="271" t="s">
        <v>35</v>
      </c>
      <c r="F516" s="182" t="s">
        <v>11167</v>
      </c>
      <c r="G516" s="209" t="s">
        <v>33</v>
      </c>
      <c r="H516" s="212" t="s">
        <v>11288</v>
      </c>
      <c r="I516" s="182" t="s">
        <v>46</v>
      </c>
      <c r="J516" s="184" t="s">
        <v>11713</v>
      </c>
      <c r="K516" s="228" t="s">
        <v>35</v>
      </c>
      <c r="L516" s="184" t="s">
        <v>11279</v>
      </c>
      <c r="M516" s="209" t="s">
        <v>33</v>
      </c>
      <c r="N516" s="181" t="s">
        <v>10499</v>
      </c>
      <c r="O516" s="58" t="str">
        <f t="shared" si="29"/>
        <v>L2.02.03.02.07.03</v>
      </c>
      <c r="P516" s="272" t="str">
        <f t="shared" si="27"/>
        <v>L2.02.03.02.07.03.02</v>
      </c>
      <c r="Q516" s="185" t="s">
        <v>10530</v>
      </c>
      <c r="R516" s="273" t="str">
        <f t="shared" si="28"/>
        <v>Nhóm Bán thêm AMIS Kế toán 03</v>
      </c>
      <c r="S516" s="272" t="str">
        <f>P513</f>
        <v>L2.02.03.02.07.00.02</v>
      </c>
      <c r="T516" s="416" t="s">
        <v>11354</v>
      </c>
      <c r="U516" s="183" t="s">
        <v>262</v>
      </c>
      <c r="V516" s="183" t="s">
        <v>275</v>
      </c>
      <c r="W516" s="184" t="s">
        <v>11349</v>
      </c>
      <c r="X516" s="183" t="s">
        <v>2034</v>
      </c>
      <c r="Y516" s="183"/>
      <c r="Z516" s="275" t="s">
        <v>11355</v>
      </c>
      <c r="AA516" s="304" t="s">
        <v>10530</v>
      </c>
      <c r="AB516" s="277"/>
      <c r="AC516" s="376" t="s">
        <v>11758</v>
      </c>
      <c r="AD516" s="277"/>
    </row>
    <row r="517" ht="15.75" customHeight="1" outlineLevel="1">
      <c r="A517" s="228" t="s">
        <v>10833</v>
      </c>
      <c r="B517" s="270" t="s">
        <v>77</v>
      </c>
      <c r="C517" s="270" t="s">
        <v>33</v>
      </c>
      <c r="D517" s="209" t="s">
        <v>89</v>
      </c>
      <c r="E517" s="271" t="s">
        <v>35</v>
      </c>
      <c r="F517" s="182" t="s">
        <v>11167</v>
      </c>
      <c r="G517" s="209" t="s">
        <v>33</v>
      </c>
      <c r="H517" s="212" t="s">
        <v>11288</v>
      </c>
      <c r="I517" s="182" t="s">
        <v>46</v>
      </c>
      <c r="J517" s="184" t="s">
        <v>11713</v>
      </c>
      <c r="K517" s="228" t="s">
        <v>37</v>
      </c>
      <c r="L517" s="184" t="s">
        <v>11281</v>
      </c>
      <c r="M517" s="209" t="s">
        <v>33</v>
      </c>
      <c r="N517" s="181" t="s">
        <v>10499</v>
      </c>
      <c r="O517" s="58" t="str">
        <f t="shared" si="29"/>
        <v>L2.02.03.02.07.04</v>
      </c>
      <c r="P517" s="272" t="str">
        <f t="shared" si="27"/>
        <v>L2.02.03.02.07.04.02</v>
      </c>
      <c r="Q517" s="185" t="s">
        <v>10530</v>
      </c>
      <c r="R517" s="273" t="str">
        <f t="shared" si="28"/>
        <v>Nhóm Bán thêm AMIS Bán hàng 03</v>
      </c>
      <c r="S517" s="272" t="str">
        <f>P513</f>
        <v>L2.02.03.02.07.00.02</v>
      </c>
      <c r="T517" s="416" t="s">
        <v>11356</v>
      </c>
      <c r="U517" s="183" t="s">
        <v>262</v>
      </c>
      <c r="V517" s="183" t="s">
        <v>275</v>
      </c>
      <c r="W517" s="184" t="s">
        <v>11349</v>
      </c>
      <c r="X517" s="183" t="s">
        <v>2051</v>
      </c>
      <c r="Y517" s="183"/>
      <c r="Z517" s="275" t="s">
        <v>11357</v>
      </c>
      <c r="AA517" s="304" t="s">
        <v>10530</v>
      </c>
      <c r="AB517" s="277"/>
      <c r="AC517" s="376" t="s">
        <v>11758</v>
      </c>
      <c r="AD517" s="277"/>
    </row>
    <row r="518" ht="15.75" customHeight="1" outlineLevel="1">
      <c r="A518" s="228" t="s">
        <v>10833</v>
      </c>
      <c r="B518" s="270" t="s">
        <v>77</v>
      </c>
      <c r="C518" s="270" t="s">
        <v>33</v>
      </c>
      <c r="D518" s="209" t="s">
        <v>89</v>
      </c>
      <c r="E518" s="271" t="s">
        <v>35</v>
      </c>
      <c r="F518" s="182" t="s">
        <v>11167</v>
      </c>
      <c r="G518" s="209" t="s">
        <v>33</v>
      </c>
      <c r="H518" s="212" t="s">
        <v>11288</v>
      </c>
      <c r="I518" s="182" t="s">
        <v>46</v>
      </c>
      <c r="J518" s="184" t="s">
        <v>11713</v>
      </c>
      <c r="K518" s="228" t="s">
        <v>42</v>
      </c>
      <c r="L518" s="184" t="s">
        <v>11283</v>
      </c>
      <c r="M518" s="209" t="s">
        <v>33</v>
      </c>
      <c r="N518" s="181" t="s">
        <v>10499</v>
      </c>
      <c r="O518" s="58" t="str">
        <f t="shared" si="29"/>
        <v>L2.02.03.02.07.05</v>
      </c>
      <c r="P518" s="272" t="str">
        <f t="shared" si="27"/>
        <v>L2.02.03.02.07.05.02</v>
      </c>
      <c r="Q518" s="185" t="s">
        <v>10530</v>
      </c>
      <c r="R518" s="273" t="str">
        <f t="shared" si="28"/>
        <v>Nhóm Bán thêm AMIS Nhân sự 03</v>
      </c>
      <c r="S518" s="272" t="str">
        <f>P513</f>
        <v>L2.02.03.02.07.00.02</v>
      </c>
      <c r="T518" s="416" t="s">
        <v>11358</v>
      </c>
      <c r="U518" s="183" t="s">
        <v>262</v>
      </c>
      <c r="V518" s="183" t="s">
        <v>275</v>
      </c>
      <c r="W518" s="184" t="s">
        <v>11349</v>
      </c>
      <c r="X518" s="183" t="s">
        <v>2021</v>
      </c>
      <c r="Y518" s="183"/>
      <c r="Z518" s="275" t="s">
        <v>11359</v>
      </c>
      <c r="AA518" s="304" t="s">
        <v>10530</v>
      </c>
      <c r="AB518" s="277"/>
      <c r="AC518" s="376" t="s">
        <v>11758</v>
      </c>
      <c r="AD518" s="277"/>
    </row>
    <row r="519" ht="15.75" customHeight="1" outlineLevel="1">
      <c r="A519" s="228" t="s">
        <v>10833</v>
      </c>
      <c r="B519" s="270" t="s">
        <v>77</v>
      </c>
      <c r="C519" s="270" t="s">
        <v>33</v>
      </c>
      <c r="D519" s="209" t="s">
        <v>89</v>
      </c>
      <c r="E519" s="271" t="s">
        <v>35</v>
      </c>
      <c r="F519" s="182" t="s">
        <v>11167</v>
      </c>
      <c r="G519" s="209" t="s">
        <v>33</v>
      </c>
      <c r="H519" s="212" t="s">
        <v>11288</v>
      </c>
      <c r="I519" s="182" t="s">
        <v>46</v>
      </c>
      <c r="J519" s="184" t="s">
        <v>11713</v>
      </c>
      <c r="K519" s="228" t="s">
        <v>44</v>
      </c>
      <c r="L519" s="184" t="s">
        <v>11285</v>
      </c>
      <c r="M519" s="209" t="s">
        <v>33</v>
      </c>
      <c r="N519" s="181" t="s">
        <v>10499</v>
      </c>
      <c r="O519" s="58" t="str">
        <f t="shared" si="29"/>
        <v>L2.02.03.02.07.06</v>
      </c>
      <c r="P519" s="272" t="str">
        <f t="shared" si="27"/>
        <v>L2.02.03.02.07.06.02</v>
      </c>
      <c r="Q519" s="185" t="s">
        <v>10530</v>
      </c>
      <c r="R519" s="273" t="str">
        <f t="shared" si="28"/>
        <v>Nhóm Bán thêm AMIS Điều hành 03</v>
      </c>
      <c r="S519" s="272" t="str">
        <f>P513</f>
        <v>L2.02.03.02.07.00.02</v>
      </c>
      <c r="T519" s="416" t="s">
        <v>11360</v>
      </c>
      <c r="U519" s="183" t="s">
        <v>262</v>
      </c>
      <c r="V519" s="183" t="s">
        <v>275</v>
      </c>
      <c r="W519" s="184" t="s">
        <v>11349</v>
      </c>
      <c r="X519" s="183" t="s">
        <v>2060</v>
      </c>
      <c r="Y519" s="183"/>
      <c r="Z519" s="275" t="s">
        <v>11361</v>
      </c>
      <c r="AA519" s="304" t="s">
        <v>10530</v>
      </c>
      <c r="AB519" s="277"/>
      <c r="AC519" s="376" t="s">
        <v>11758</v>
      </c>
      <c r="AD519" s="277"/>
    </row>
    <row r="520" ht="15.75" customHeight="1" outlineLevel="1">
      <c r="A520" s="261" t="s">
        <v>10833</v>
      </c>
      <c r="B520" s="231" t="s">
        <v>77</v>
      </c>
      <c r="C520" s="231" t="s">
        <v>33</v>
      </c>
      <c r="D520" s="157" t="s">
        <v>89</v>
      </c>
      <c r="E520" s="297" t="s">
        <v>35</v>
      </c>
      <c r="F520" s="168" t="s">
        <v>11167</v>
      </c>
      <c r="G520" s="157" t="s">
        <v>33</v>
      </c>
      <c r="H520" s="298" t="s">
        <v>11288</v>
      </c>
      <c r="I520" s="168" t="s">
        <v>44</v>
      </c>
      <c r="J520" s="257" t="s">
        <v>101</v>
      </c>
      <c r="K520" s="297" t="s">
        <v>27</v>
      </c>
      <c r="L520" s="157" t="s">
        <v>4</v>
      </c>
      <c r="M520" s="157" t="s">
        <v>33</v>
      </c>
      <c r="N520" s="167" t="s">
        <v>10499</v>
      </c>
      <c r="O520" s="55" t="str">
        <f t="shared" si="29"/>
        <v>L2.02.03.02.06.00</v>
      </c>
      <c r="P520" s="257" t="str">
        <f t="shared" si="27"/>
        <v>L2.02.03.02.06.00.02</v>
      </c>
      <c r="Q520" s="161" t="s">
        <v>10530</v>
      </c>
      <c r="R520" s="299" t="str">
        <f t="shared" si="28"/>
        <v>Phòng chuyển giao</v>
      </c>
      <c r="S520" s="269" t="s">
        <v>11292</v>
      </c>
      <c r="T520" s="265" t="s">
        <v>2080</v>
      </c>
      <c r="U520" s="265" t="s">
        <v>262</v>
      </c>
      <c r="V520" s="265" t="s">
        <v>275</v>
      </c>
      <c r="W520" s="265" t="s">
        <v>2079</v>
      </c>
      <c r="X520" s="265"/>
      <c r="Y520" s="265"/>
      <c r="Z520" s="225" t="s">
        <v>11362</v>
      </c>
      <c r="AA520" s="300" t="s">
        <v>10530</v>
      </c>
      <c r="AB520" s="267"/>
      <c r="AC520" s="267"/>
      <c r="AD520" s="267"/>
    </row>
    <row r="521" ht="15.75" customHeight="1" outlineLevel="1">
      <c r="A521" s="261" t="s">
        <v>10833</v>
      </c>
      <c r="B521" s="231" t="s">
        <v>77</v>
      </c>
      <c r="C521" s="231" t="s">
        <v>33</v>
      </c>
      <c r="D521" s="157" t="s">
        <v>89</v>
      </c>
      <c r="E521" s="297" t="s">
        <v>35</v>
      </c>
      <c r="F521" s="168" t="s">
        <v>11167</v>
      </c>
      <c r="G521" s="157" t="s">
        <v>33</v>
      </c>
      <c r="H521" s="212" t="s">
        <v>11363</v>
      </c>
      <c r="I521" s="168" t="s">
        <v>27</v>
      </c>
      <c r="J521" s="258" t="s">
        <v>4</v>
      </c>
      <c r="K521" s="297" t="s">
        <v>27</v>
      </c>
      <c r="L521" s="157" t="s">
        <v>4</v>
      </c>
      <c r="M521" s="157" t="s">
        <v>35</v>
      </c>
      <c r="N521" s="167" t="s">
        <v>10500</v>
      </c>
      <c r="O521" s="55" t="str">
        <f t="shared" si="29"/>
        <v>L2.02.03.02.00.00</v>
      </c>
      <c r="P521" s="257" t="str">
        <f t="shared" si="27"/>
        <v>L2.02.03.02.00.00.03</v>
      </c>
      <c r="Q521" s="161" t="s">
        <v>10530</v>
      </c>
      <c r="R521" s="273" t="str">
        <f t="shared" si="28"/>
        <v>Phòng KD giải pháp DN Vừa - Đà Nẵng</v>
      </c>
      <c r="S521" s="269" t="s">
        <v>11170</v>
      </c>
      <c r="T521" s="265"/>
      <c r="U521" s="265"/>
      <c r="V521" s="265"/>
      <c r="W521" s="265"/>
      <c r="X521" s="265"/>
      <c r="Y521" s="264" t="s">
        <v>11364</v>
      </c>
      <c r="Z521" s="225" t="s">
        <v>11365</v>
      </c>
      <c r="AA521" s="300" t="s">
        <v>10530</v>
      </c>
      <c r="AB521" s="267"/>
      <c r="AC521" s="376" t="s">
        <v>11759</v>
      </c>
      <c r="AD521" s="267"/>
    </row>
    <row r="522" ht="15.75" customHeight="1" outlineLevel="1">
      <c r="A522" s="261" t="s">
        <v>10833</v>
      </c>
      <c r="B522" s="231" t="s">
        <v>77</v>
      </c>
      <c r="C522" s="231" t="s">
        <v>33</v>
      </c>
      <c r="D522" s="157" t="s">
        <v>89</v>
      </c>
      <c r="E522" s="297" t="s">
        <v>35</v>
      </c>
      <c r="F522" s="168" t="s">
        <v>11167</v>
      </c>
      <c r="G522" s="157" t="s">
        <v>33</v>
      </c>
      <c r="H522" s="212" t="s">
        <v>11363</v>
      </c>
      <c r="I522" s="157" t="s">
        <v>29</v>
      </c>
      <c r="J522" s="303" t="s">
        <v>11366</v>
      </c>
      <c r="K522" s="297" t="s">
        <v>27</v>
      </c>
      <c r="L522" s="157" t="s">
        <v>4</v>
      </c>
      <c r="M522" s="157" t="s">
        <v>35</v>
      </c>
      <c r="N522" s="167" t="s">
        <v>10500</v>
      </c>
      <c r="O522" s="55" t="str">
        <f t="shared" si="29"/>
        <v>L2.02.03.02.01.00</v>
      </c>
      <c r="P522" s="257" t="str">
        <f t="shared" si="27"/>
        <v>L2.02.03.02.01.00.03</v>
      </c>
      <c r="Q522" s="161" t="s">
        <v>10530</v>
      </c>
      <c r="R522" s="273" t="str">
        <f t="shared" si="28"/>
        <v>Nhóm KD giải pháp DN Vừa</v>
      </c>
      <c r="S522" s="269" t="s">
        <v>11367</v>
      </c>
      <c r="T522" s="265" t="s">
        <v>2812</v>
      </c>
      <c r="U522" s="265" t="s">
        <v>2811</v>
      </c>
      <c r="V522" s="265" t="s">
        <v>2810</v>
      </c>
      <c r="W522" s="265"/>
      <c r="X522" s="265"/>
      <c r="Y522" s="265"/>
      <c r="Z522" s="225" t="s">
        <v>11368</v>
      </c>
      <c r="AA522" s="300" t="s">
        <v>10530</v>
      </c>
      <c r="AB522" s="267"/>
      <c r="AC522" s="376" t="s">
        <v>11759</v>
      </c>
      <c r="AD522" s="267"/>
    </row>
    <row r="523" ht="15.75" customHeight="1" outlineLevel="1">
      <c r="A523" s="261" t="s">
        <v>10833</v>
      </c>
      <c r="B523" s="231" t="s">
        <v>77</v>
      </c>
      <c r="C523" s="231" t="s">
        <v>33</v>
      </c>
      <c r="D523" s="157" t="s">
        <v>89</v>
      </c>
      <c r="E523" s="297" t="s">
        <v>35</v>
      </c>
      <c r="F523" s="168" t="s">
        <v>11167</v>
      </c>
      <c r="G523" s="157" t="s">
        <v>33</v>
      </c>
      <c r="H523" s="212" t="s">
        <v>11363</v>
      </c>
      <c r="I523" s="157" t="s">
        <v>33</v>
      </c>
      <c r="J523" s="257" t="s">
        <v>153</v>
      </c>
      <c r="K523" s="297" t="s">
        <v>27</v>
      </c>
      <c r="L523" s="157" t="s">
        <v>4</v>
      </c>
      <c r="M523" s="157" t="s">
        <v>35</v>
      </c>
      <c r="N523" s="167" t="s">
        <v>10500</v>
      </c>
      <c r="O523" s="55" t="str">
        <f t="shared" si="29"/>
        <v>L2.02.03.02.02.00</v>
      </c>
      <c r="P523" s="257" t="str">
        <f t="shared" si="27"/>
        <v>L2.02.03.02.02.00.03</v>
      </c>
      <c r="Q523" s="161" t="s">
        <v>10530</v>
      </c>
      <c r="R523" s="299" t="str">
        <f t="shared" si="28"/>
        <v>Nhóm chuyển giao</v>
      </c>
      <c r="S523" s="269" t="s">
        <v>11367</v>
      </c>
      <c r="T523" s="265"/>
      <c r="U523" s="265"/>
      <c r="V523" s="265"/>
      <c r="W523" s="265"/>
      <c r="X523" s="265"/>
      <c r="Y523" s="264" t="s">
        <v>11364</v>
      </c>
      <c r="Z523" s="225" t="s">
        <v>11369</v>
      </c>
      <c r="AA523" s="266"/>
      <c r="AB523" s="267"/>
      <c r="AC523" s="376" t="s">
        <v>11626</v>
      </c>
      <c r="AD523" s="267"/>
    </row>
    <row r="524" ht="15.75" customHeight="1" outlineLevel="1">
      <c r="A524" s="261" t="s">
        <v>10833</v>
      </c>
      <c r="B524" s="231" t="s">
        <v>77</v>
      </c>
      <c r="C524" s="231" t="s">
        <v>33</v>
      </c>
      <c r="D524" s="157" t="s">
        <v>89</v>
      </c>
      <c r="E524" s="297" t="s">
        <v>35</v>
      </c>
      <c r="F524" s="168" t="s">
        <v>11167</v>
      </c>
      <c r="G524" s="157" t="s">
        <v>33</v>
      </c>
      <c r="H524" s="212" t="s">
        <v>11370</v>
      </c>
      <c r="I524" s="168" t="s">
        <v>27</v>
      </c>
      <c r="J524" s="258" t="s">
        <v>4</v>
      </c>
      <c r="K524" s="297" t="s">
        <v>27</v>
      </c>
      <c r="L524" s="157" t="s">
        <v>4</v>
      </c>
      <c r="M524" s="157" t="s">
        <v>37</v>
      </c>
      <c r="N524" s="298" t="s">
        <v>10900</v>
      </c>
      <c r="O524" s="55" t="str">
        <f t="shared" si="29"/>
        <v>L2.02.03.02.00.00</v>
      </c>
      <c r="P524" s="257" t="str">
        <f t="shared" si="27"/>
        <v>L2.02.03.02.00.00.04</v>
      </c>
      <c r="Q524" s="161" t="s">
        <v>10530</v>
      </c>
      <c r="R524" s="273" t="str">
        <f t="shared" si="28"/>
        <v>Phòng KD giải pháp DN Vừa - Buôn Ma Thuột</v>
      </c>
      <c r="S524" s="417" t="s">
        <v>11170</v>
      </c>
      <c r="T524" s="418"/>
      <c r="U524" s="418"/>
      <c r="V524" s="418"/>
      <c r="W524" s="418"/>
      <c r="X524" s="265"/>
      <c r="Y524" s="264" t="s">
        <v>11364</v>
      </c>
      <c r="Z524" s="225" t="s">
        <v>11371</v>
      </c>
      <c r="AA524" s="300" t="s">
        <v>10530</v>
      </c>
      <c r="AB524" s="267"/>
      <c r="AC524" s="376" t="s">
        <v>11626</v>
      </c>
      <c r="AD524" s="267"/>
    </row>
    <row r="525" ht="15.75" customHeight="1" outlineLevel="1">
      <c r="A525" s="261" t="s">
        <v>10833</v>
      </c>
      <c r="B525" s="231" t="s">
        <v>77</v>
      </c>
      <c r="C525" s="231" t="s">
        <v>33</v>
      </c>
      <c r="D525" s="157" t="s">
        <v>89</v>
      </c>
      <c r="E525" s="297" t="s">
        <v>35</v>
      </c>
      <c r="F525" s="168" t="s">
        <v>11167</v>
      </c>
      <c r="G525" s="157" t="s">
        <v>33</v>
      </c>
      <c r="H525" s="212" t="s">
        <v>11370</v>
      </c>
      <c r="I525" s="157" t="s">
        <v>29</v>
      </c>
      <c r="J525" s="303" t="s">
        <v>11366</v>
      </c>
      <c r="K525" s="297" t="s">
        <v>27</v>
      </c>
      <c r="L525" s="157" t="s">
        <v>4</v>
      </c>
      <c r="M525" s="157" t="s">
        <v>37</v>
      </c>
      <c r="N525" s="298" t="s">
        <v>10900</v>
      </c>
      <c r="O525" s="55" t="str">
        <f t="shared" si="29"/>
        <v>L2.02.03.02.01.00</v>
      </c>
      <c r="P525" s="257" t="str">
        <f t="shared" si="27"/>
        <v>L2.02.03.02.01.00.04</v>
      </c>
      <c r="Q525" s="161" t="s">
        <v>10530</v>
      </c>
      <c r="R525" s="273" t="str">
        <f t="shared" si="28"/>
        <v>Nhóm KD giải pháp DN Vừa</v>
      </c>
      <c r="S525" s="417" t="s">
        <v>11372</v>
      </c>
      <c r="T525" s="418" t="s">
        <v>2964</v>
      </c>
      <c r="U525" s="418" t="s">
        <v>2732</v>
      </c>
      <c r="V525" s="418" t="s">
        <v>2810</v>
      </c>
      <c r="W525" s="418" t="s">
        <v>2810</v>
      </c>
      <c r="X525" s="265"/>
      <c r="Y525" s="265"/>
      <c r="Z525" s="225" t="s">
        <v>11373</v>
      </c>
      <c r="AA525" s="300" t="s">
        <v>10530</v>
      </c>
      <c r="AB525" s="267"/>
      <c r="AC525" s="376" t="s">
        <v>11759</v>
      </c>
      <c r="AD525" s="267"/>
    </row>
    <row r="526" ht="15.75" customHeight="1" outlineLevel="1">
      <c r="A526" s="261" t="s">
        <v>10833</v>
      </c>
      <c r="B526" s="231" t="s">
        <v>77</v>
      </c>
      <c r="C526" s="231" t="s">
        <v>33</v>
      </c>
      <c r="D526" s="157" t="s">
        <v>89</v>
      </c>
      <c r="E526" s="297" t="s">
        <v>35</v>
      </c>
      <c r="F526" s="168" t="s">
        <v>11167</v>
      </c>
      <c r="G526" s="157" t="s">
        <v>33</v>
      </c>
      <c r="H526" s="212" t="s">
        <v>11370</v>
      </c>
      <c r="I526" s="157" t="s">
        <v>33</v>
      </c>
      <c r="J526" s="257" t="s">
        <v>153</v>
      </c>
      <c r="K526" s="297" t="s">
        <v>27</v>
      </c>
      <c r="L526" s="157" t="s">
        <v>4</v>
      </c>
      <c r="M526" s="157" t="s">
        <v>37</v>
      </c>
      <c r="N526" s="298" t="s">
        <v>10900</v>
      </c>
      <c r="O526" s="55" t="str">
        <f t="shared" si="29"/>
        <v>L2.02.03.02.02.00</v>
      </c>
      <c r="P526" s="257" t="str">
        <f t="shared" si="27"/>
        <v>L2.02.03.02.02.00.04</v>
      </c>
      <c r="Q526" s="161" t="s">
        <v>10530</v>
      </c>
      <c r="R526" s="299" t="str">
        <f t="shared" si="28"/>
        <v>Nhóm chuyển giao</v>
      </c>
      <c r="S526" s="269" t="s">
        <v>11372</v>
      </c>
      <c r="T526" s="265"/>
      <c r="U526" s="265"/>
      <c r="V526" s="265"/>
      <c r="W526" s="265"/>
      <c r="X526" s="265"/>
      <c r="Y526" s="264" t="s">
        <v>11364</v>
      </c>
      <c r="Z526" s="225" t="s">
        <v>11374</v>
      </c>
      <c r="AA526" s="266"/>
      <c r="AB526" s="267"/>
      <c r="AC526" s="376" t="s">
        <v>11626</v>
      </c>
      <c r="AD526" s="267"/>
    </row>
    <row r="527" ht="15.75" customHeight="1" outlineLevel="1">
      <c r="A527" s="261" t="s">
        <v>10833</v>
      </c>
      <c r="B527" s="231" t="s">
        <v>77</v>
      </c>
      <c r="C527" s="231" t="s">
        <v>33</v>
      </c>
      <c r="D527" s="157" t="s">
        <v>89</v>
      </c>
      <c r="E527" s="297" t="s">
        <v>35</v>
      </c>
      <c r="F527" s="168" t="s">
        <v>11167</v>
      </c>
      <c r="G527" s="157" t="s">
        <v>33</v>
      </c>
      <c r="H527" s="212" t="s">
        <v>11375</v>
      </c>
      <c r="I527" s="168" t="s">
        <v>27</v>
      </c>
      <c r="J527" s="258" t="s">
        <v>4</v>
      </c>
      <c r="K527" s="297" t="s">
        <v>27</v>
      </c>
      <c r="L527" s="157" t="s">
        <v>4</v>
      </c>
      <c r="M527" s="157" t="s">
        <v>42</v>
      </c>
      <c r="N527" s="167" t="s">
        <v>10502</v>
      </c>
      <c r="O527" s="55" t="str">
        <f t="shared" si="29"/>
        <v>L2.02.03.02.00.00</v>
      </c>
      <c r="P527" s="257" t="str">
        <f t="shared" si="27"/>
        <v>L2.02.03.02.00.00.05</v>
      </c>
      <c r="Q527" s="161" t="s">
        <v>10530</v>
      </c>
      <c r="R527" s="273" t="str">
        <f t="shared" si="28"/>
        <v>Phòng KD giải pháp DN Vừa - Cần Thơ</v>
      </c>
      <c r="S527" s="269" t="s">
        <v>11170</v>
      </c>
      <c r="T527" s="265"/>
      <c r="U527" s="265"/>
      <c r="V527" s="265"/>
      <c r="W527" s="265"/>
      <c r="X527" s="265"/>
      <c r="Y527" s="264" t="s">
        <v>11364</v>
      </c>
      <c r="Z527" s="225" t="s">
        <v>11376</v>
      </c>
      <c r="AA527" s="300" t="s">
        <v>10530</v>
      </c>
      <c r="AB527" s="267"/>
      <c r="AC527" s="376" t="s">
        <v>11626</v>
      </c>
      <c r="AD527" s="267"/>
    </row>
    <row r="528" ht="15.75" customHeight="1" outlineLevel="1">
      <c r="A528" s="261" t="s">
        <v>10833</v>
      </c>
      <c r="B528" s="231" t="s">
        <v>77</v>
      </c>
      <c r="C528" s="231" t="s">
        <v>33</v>
      </c>
      <c r="D528" s="157" t="s">
        <v>89</v>
      </c>
      <c r="E528" s="297" t="s">
        <v>35</v>
      </c>
      <c r="F528" s="168" t="s">
        <v>11167</v>
      </c>
      <c r="G528" s="157" t="s">
        <v>33</v>
      </c>
      <c r="H528" s="212" t="s">
        <v>11375</v>
      </c>
      <c r="I528" s="157" t="s">
        <v>29</v>
      </c>
      <c r="J528" s="303" t="s">
        <v>11366</v>
      </c>
      <c r="K528" s="297" t="s">
        <v>27</v>
      </c>
      <c r="L528" s="157" t="s">
        <v>4</v>
      </c>
      <c r="M528" s="157" t="s">
        <v>42</v>
      </c>
      <c r="N528" s="167" t="s">
        <v>10502</v>
      </c>
      <c r="O528" s="55" t="str">
        <f t="shared" si="29"/>
        <v>L2.02.03.02.01.00</v>
      </c>
      <c r="P528" s="257" t="str">
        <f t="shared" si="27"/>
        <v>L2.02.03.02.01.00.05</v>
      </c>
      <c r="Q528" s="161" t="s">
        <v>10530</v>
      </c>
      <c r="R528" s="273" t="str">
        <f t="shared" si="28"/>
        <v>Nhóm KD giải pháp DN Vừa</v>
      </c>
      <c r="S528" s="269" t="s">
        <v>11377</v>
      </c>
      <c r="T528" s="265" t="s">
        <v>7631</v>
      </c>
      <c r="U528" s="265" t="s">
        <v>325</v>
      </c>
      <c r="V528" s="265" t="s">
        <v>2810</v>
      </c>
      <c r="W528" s="265"/>
      <c r="X528" s="265"/>
      <c r="Y528" s="265"/>
      <c r="Z528" s="225" t="s">
        <v>11378</v>
      </c>
      <c r="AA528" s="300" t="s">
        <v>10530</v>
      </c>
      <c r="AB528" s="267"/>
      <c r="AC528" s="376" t="s">
        <v>11759</v>
      </c>
      <c r="AD528" s="267"/>
    </row>
    <row r="529" ht="15.75" customHeight="1" outlineLevel="1">
      <c r="A529" s="261" t="s">
        <v>10833</v>
      </c>
      <c r="B529" s="231" t="s">
        <v>77</v>
      </c>
      <c r="C529" s="231" t="s">
        <v>33</v>
      </c>
      <c r="D529" s="157" t="s">
        <v>89</v>
      </c>
      <c r="E529" s="297" t="s">
        <v>35</v>
      </c>
      <c r="F529" s="168" t="s">
        <v>11167</v>
      </c>
      <c r="G529" s="157" t="s">
        <v>33</v>
      </c>
      <c r="H529" s="212" t="s">
        <v>11375</v>
      </c>
      <c r="I529" s="157" t="s">
        <v>33</v>
      </c>
      <c r="J529" s="257" t="s">
        <v>153</v>
      </c>
      <c r="K529" s="297" t="s">
        <v>27</v>
      </c>
      <c r="L529" s="157" t="s">
        <v>4</v>
      </c>
      <c r="M529" s="157" t="s">
        <v>42</v>
      </c>
      <c r="N529" s="167" t="s">
        <v>10502</v>
      </c>
      <c r="O529" s="55" t="str">
        <f t="shared" si="29"/>
        <v>L2.02.03.02.02.00</v>
      </c>
      <c r="P529" s="257" t="str">
        <f t="shared" si="27"/>
        <v>L2.02.03.02.02.00.05</v>
      </c>
      <c r="Q529" s="161" t="s">
        <v>10530</v>
      </c>
      <c r="R529" s="299" t="str">
        <f t="shared" si="28"/>
        <v>Nhóm chuyển giao</v>
      </c>
      <c r="S529" s="269" t="s">
        <v>11377</v>
      </c>
      <c r="T529" s="265"/>
      <c r="U529" s="265"/>
      <c r="V529" s="265"/>
      <c r="W529" s="265"/>
      <c r="X529" s="265"/>
      <c r="Y529" s="264" t="s">
        <v>11364</v>
      </c>
      <c r="Z529" s="225" t="s">
        <v>11379</v>
      </c>
      <c r="AA529" s="266"/>
      <c r="AB529" s="267"/>
      <c r="AC529" s="376" t="s">
        <v>11626</v>
      </c>
      <c r="AD529" s="267"/>
    </row>
    <row r="530" ht="15.75" customHeight="1" outlineLevel="1">
      <c r="A530" s="261" t="s">
        <v>10833</v>
      </c>
      <c r="B530" s="231" t="s">
        <v>77</v>
      </c>
      <c r="C530" s="231" t="s">
        <v>33</v>
      </c>
      <c r="D530" s="157" t="s">
        <v>89</v>
      </c>
      <c r="E530" s="297" t="s">
        <v>35</v>
      </c>
      <c r="F530" s="168" t="s">
        <v>11167</v>
      </c>
      <c r="G530" s="157" t="s">
        <v>35</v>
      </c>
      <c r="H530" s="419" t="s">
        <v>161</v>
      </c>
      <c r="I530" s="168" t="s">
        <v>27</v>
      </c>
      <c r="J530" s="262" t="s">
        <v>4</v>
      </c>
      <c r="K530" s="297" t="s">
        <v>27</v>
      </c>
      <c r="L530" s="157" t="s">
        <v>4</v>
      </c>
      <c r="M530" s="157" t="s">
        <v>44</v>
      </c>
      <c r="N530" s="167" t="s">
        <v>10505</v>
      </c>
      <c r="O530" s="55" t="str">
        <f t="shared" si="29"/>
        <v>L2.02.03.03.00.00</v>
      </c>
      <c r="P530" s="257" t="str">
        <f t="shared" si="27"/>
        <v>L2.02.03.03.00.00.06</v>
      </c>
      <c r="Q530" s="161" t="s">
        <v>10530</v>
      </c>
      <c r="R530" s="420" t="str">
        <f t="shared" si="28"/>
        <v>Nhóm MKT sản phẩm Quản trị doanh nghiệp</v>
      </c>
      <c r="S530" s="269" t="s">
        <v>11170</v>
      </c>
      <c r="T530" s="265"/>
      <c r="U530" s="265"/>
      <c r="V530" s="265"/>
      <c r="W530" s="265"/>
      <c r="X530" s="265"/>
      <c r="Y530" s="264" t="s">
        <v>11364</v>
      </c>
      <c r="Z530" s="225" t="s">
        <v>11380</v>
      </c>
      <c r="AA530" s="266"/>
      <c r="AB530" s="267"/>
      <c r="AC530" s="267"/>
      <c r="AD530" s="267"/>
    </row>
    <row r="531" ht="15.75" customHeight="1" outlineLevel="1">
      <c r="A531" s="261" t="s">
        <v>10833</v>
      </c>
      <c r="B531" s="231" t="s">
        <v>77</v>
      </c>
      <c r="C531" s="231" t="s">
        <v>33</v>
      </c>
      <c r="D531" s="157" t="s">
        <v>89</v>
      </c>
      <c r="E531" s="297" t="s">
        <v>35</v>
      </c>
      <c r="F531" s="168" t="s">
        <v>11167</v>
      </c>
      <c r="G531" s="157" t="s">
        <v>35</v>
      </c>
      <c r="H531" s="419" t="s">
        <v>161</v>
      </c>
      <c r="I531" s="297" t="s">
        <v>29</v>
      </c>
      <c r="J531" s="595" t="s">
        <v>11760</v>
      </c>
      <c r="K531" s="297" t="s">
        <v>27</v>
      </c>
      <c r="L531" s="157" t="s">
        <v>4</v>
      </c>
      <c r="M531" s="157" t="s">
        <v>44</v>
      </c>
      <c r="N531" s="167" t="s">
        <v>10505</v>
      </c>
      <c r="O531" s="55" t="str">
        <f t="shared" si="29"/>
        <v>L2.02.03.03.01.00</v>
      </c>
      <c r="P531" s="257" t="str">
        <f t="shared" si="27"/>
        <v>L2.02.03.03.01.00.06</v>
      </c>
      <c r="Q531" s="161" t="s">
        <v>10530</v>
      </c>
      <c r="R531" s="420" t="str">
        <f t="shared" si="28"/>
        <v> Nhóm MKT sản phẩm Bán hàng </v>
      </c>
      <c r="S531" s="269" t="s">
        <v>11381</v>
      </c>
      <c r="T531" s="265" t="s">
        <v>7686</v>
      </c>
      <c r="U531" s="265" t="s">
        <v>303</v>
      </c>
      <c r="V531" s="265" t="s">
        <v>335</v>
      </c>
      <c r="W531" s="265" t="s">
        <v>336</v>
      </c>
      <c r="X531" s="265" t="s">
        <v>7685</v>
      </c>
      <c r="Y531" s="265"/>
      <c r="Z531" s="225" t="s">
        <v>11382</v>
      </c>
      <c r="AA531" s="266"/>
      <c r="AB531" s="267"/>
      <c r="AC531" s="267"/>
      <c r="AD531" s="267"/>
    </row>
    <row r="532" ht="15.75" customHeight="1" outlineLevel="1">
      <c r="A532" s="261" t="s">
        <v>10833</v>
      </c>
      <c r="B532" s="231" t="s">
        <v>77</v>
      </c>
      <c r="C532" s="231" t="s">
        <v>33</v>
      </c>
      <c r="D532" s="157" t="s">
        <v>89</v>
      </c>
      <c r="E532" s="297" t="s">
        <v>35</v>
      </c>
      <c r="F532" s="168" t="s">
        <v>11167</v>
      </c>
      <c r="G532" s="157" t="s">
        <v>35</v>
      </c>
      <c r="H532" s="419" t="s">
        <v>161</v>
      </c>
      <c r="I532" s="297" t="s">
        <v>33</v>
      </c>
      <c r="J532" s="419" t="s">
        <v>163</v>
      </c>
      <c r="K532" s="297" t="s">
        <v>27</v>
      </c>
      <c r="L532" s="157" t="s">
        <v>4</v>
      </c>
      <c r="M532" s="157" t="s">
        <v>44</v>
      </c>
      <c r="N532" s="167" t="s">
        <v>10505</v>
      </c>
      <c r="O532" s="55" t="str">
        <f t="shared" si="29"/>
        <v>L2.02.03.03.02.00</v>
      </c>
      <c r="P532" s="257" t="str">
        <f t="shared" si="27"/>
        <v>L2.02.03.03.02.00.06</v>
      </c>
      <c r="Q532" s="161" t="s">
        <v>10530</v>
      </c>
      <c r="R532" s="420" t="str">
        <f t="shared" si="28"/>
        <v>Nhóm MKT sản phẩm nhân sự</v>
      </c>
      <c r="S532" s="269" t="s">
        <v>11381</v>
      </c>
      <c r="T532" s="265" t="s">
        <v>9324</v>
      </c>
      <c r="U532" s="265" t="s">
        <v>303</v>
      </c>
      <c r="V532" s="265" t="s">
        <v>335</v>
      </c>
      <c r="W532" s="265" t="s">
        <v>336</v>
      </c>
      <c r="X532" s="265" t="s">
        <v>9323</v>
      </c>
      <c r="Y532" s="265"/>
      <c r="Z532" s="225" t="s">
        <v>11383</v>
      </c>
      <c r="AA532" s="266"/>
      <c r="AB532" s="267"/>
      <c r="AC532" s="267"/>
      <c r="AD532" s="267"/>
    </row>
    <row r="533" ht="15.75" customHeight="1" outlineLevel="1">
      <c r="A533" s="261" t="s">
        <v>10833</v>
      </c>
      <c r="B533" s="231" t="s">
        <v>77</v>
      </c>
      <c r="C533" s="231" t="s">
        <v>33</v>
      </c>
      <c r="D533" s="157" t="s">
        <v>89</v>
      </c>
      <c r="E533" s="297" t="s">
        <v>35</v>
      </c>
      <c r="F533" s="168" t="s">
        <v>11167</v>
      </c>
      <c r="G533" s="157" t="s">
        <v>35</v>
      </c>
      <c r="H533" s="419" t="s">
        <v>161</v>
      </c>
      <c r="I533" s="297" t="s">
        <v>35</v>
      </c>
      <c r="J533" s="419" t="s">
        <v>164</v>
      </c>
      <c r="K533" s="297" t="s">
        <v>27</v>
      </c>
      <c r="L533" s="157" t="s">
        <v>4</v>
      </c>
      <c r="M533" s="157" t="s">
        <v>44</v>
      </c>
      <c r="N533" s="167" t="s">
        <v>10505</v>
      </c>
      <c r="O533" s="55" t="str">
        <f t="shared" si="29"/>
        <v>L2.02.03.03.03.00</v>
      </c>
      <c r="P533" s="257" t="str">
        <f t="shared" si="27"/>
        <v>L2.02.03.03.03.00.06</v>
      </c>
      <c r="Q533" s="161" t="s">
        <v>10530</v>
      </c>
      <c r="R533" s="420" t="str">
        <f t="shared" si="28"/>
        <v>Nhóm MKT sản phẩm VPS</v>
      </c>
      <c r="S533" s="269" t="s">
        <v>11381</v>
      </c>
      <c r="T533" s="265" t="s">
        <v>9181</v>
      </c>
      <c r="U533" s="265" t="s">
        <v>303</v>
      </c>
      <c r="V533" s="265" t="s">
        <v>335</v>
      </c>
      <c r="W533" s="265" t="s">
        <v>336</v>
      </c>
      <c r="X533" s="265" t="s">
        <v>9180</v>
      </c>
      <c r="Y533" s="265"/>
      <c r="Z533" s="225" t="s">
        <v>11384</v>
      </c>
      <c r="AA533" s="266"/>
      <c r="AB533" s="267"/>
      <c r="AC533" s="267"/>
      <c r="AD533" s="267"/>
    </row>
    <row r="534" ht="15.75" customHeight="1" outlineLevel="1">
      <c r="A534" s="261" t="s">
        <v>10833</v>
      </c>
      <c r="B534" s="231" t="s">
        <v>77</v>
      </c>
      <c r="C534" s="231" t="s">
        <v>33</v>
      </c>
      <c r="D534" s="157" t="s">
        <v>89</v>
      </c>
      <c r="E534" s="297" t="s">
        <v>35</v>
      </c>
      <c r="F534" s="168" t="s">
        <v>11167</v>
      </c>
      <c r="G534" s="157" t="s">
        <v>35</v>
      </c>
      <c r="H534" s="419" t="s">
        <v>161</v>
      </c>
      <c r="I534" s="297" t="s">
        <v>37</v>
      </c>
      <c r="J534" s="419" t="s">
        <v>148</v>
      </c>
      <c r="K534" s="297" t="s">
        <v>27</v>
      </c>
      <c r="L534" s="157" t="s">
        <v>4</v>
      </c>
      <c r="M534" s="157" t="s">
        <v>44</v>
      </c>
      <c r="N534" s="167" t="s">
        <v>10505</v>
      </c>
      <c r="O534" s="55" t="str">
        <f t="shared" si="29"/>
        <v>L2.02.03.03.04.00</v>
      </c>
      <c r="P534" s="257" t="str">
        <f t="shared" si="27"/>
        <v>L2.02.03.03.04.00.06</v>
      </c>
      <c r="Q534" s="161" t="s">
        <v>10530</v>
      </c>
      <c r="R534" s="420" t="str">
        <f t="shared" si="28"/>
        <v>Nhóm MDR</v>
      </c>
      <c r="S534" s="269" t="s">
        <v>11381</v>
      </c>
      <c r="T534" s="265"/>
      <c r="U534" s="265"/>
      <c r="V534" s="265"/>
      <c r="W534" s="265"/>
      <c r="X534" s="265"/>
      <c r="Y534" s="264" t="s">
        <v>11364</v>
      </c>
      <c r="Z534" s="225" t="s">
        <v>11385</v>
      </c>
      <c r="AA534" s="266"/>
      <c r="AB534" s="267"/>
      <c r="AC534" s="267"/>
      <c r="AD534" s="267"/>
    </row>
    <row r="535" ht="15.75" customHeight="1">
      <c r="A535" s="268" t="s">
        <v>11386</v>
      </c>
      <c r="B535" s="66"/>
      <c r="C535" s="66"/>
      <c r="D535" s="66"/>
      <c r="E535" s="67"/>
      <c r="F535" s="66"/>
      <c r="G535" s="66"/>
      <c r="H535" s="68"/>
      <c r="I535" s="66"/>
      <c r="J535" s="382"/>
      <c r="K535" s="383"/>
      <c r="L535" s="384"/>
      <c r="M535" s="383"/>
      <c r="N535" s="384"/>
      <c r="O535" s="55" t="str">
        <f t="shared" si="29"/>
        <v>Khối doanh nghiệp lớn.....</v>
      </c>
      <c r="P535" s="69"/>
      <c r="Q535" s="169"/>
      <c r="R535" s="169" t="str">
        <f t="shared" si="28"/>
        <v/>
      </c>
      <c r="S535" s="96"/>
      <c r="T535" s="96"/>
      <c r="U535" s="96"/>
      <c r="V535" s="96"/>
      <c r="W535" s="96"/>
      <c r="X535" s="96"/>
      <c r="Y535" s="96"/>
      <c r="Z535" s="152"/>
      <c r="AA535" s="99"/>
      <c r="AB535" s="91"/>
      <c r="AC535" s="91"/>
      <c r="AD535" s="91"/>
    </row>
    <row r="536" ht="15.75" customHeight="1" outlineLevel="1">
      <c r="A536" s="170" t="s">
        <v>10833</v>
      </c>
      <c r="B536" s="57" t="s">
        <v>77</v>
      </c>
      <c r="C536" s="51" t="s">
        <v>33</v>
      </c>
      <c r="D536" s="52" t="s">
        <v>89</v>
      </c>
      <c r="E536" s="53" t="s">
        <v>37</v>
      </c>
      <c r="F536" s="250" t="s">
        <v>11387</v>
      </c>
      <c r="G536" s="325" t="s">
        <v>27</v>
      </c>
      <c r="H536" s="155" t="s">
        <v>4</v>
      </c>
      <c r="I536" s="53" t="s">
        <v>27</v>
      </c>
      <c r="J536" s="155" t="s">
        <v>4</v>
      </c>
      <c r="K536" s="166" t="s">
        <v>27</v>
      </c>
      <c r="L536" s="155" t="s">
        <v>4</v>
      </c>
      <c r="M536" s="326" t="s">
        <v>27</v>
      </c>
      <c r="N536" s="155" t="s">
        <v>4</v>
      </c>
      <c r="O536" s="55" t="str">
        <f t="shared" si="29"/>
        <v>L2.02.04.00.00.00</v>
      </c>
      <c r="P536" s="55" t="str">
        <f t="shared" ref="P536:P542" si="30">A536&amp;"."&amp;C536&amp;"."&amp;E536&amp;"."&amp;G536&amp;"."&amp;I536&amp;"."&amp;K536&amp;"."&amp;M536</f>
        <v>L2.02.04.00.00.00.00</v>
      </c>
      <c r="Q536" s="161" t="s">
        <v>10530</v>
      </c>
      <c r="R536" s="259" t="s">
        <v>11387</v>
      </c>
      <c r="S536" s="227" t="s">
        <v>10916</v>
      </c>
      <c r="T536" s="421" t="s">
        <v>11388</v>
      </c>
      <c r="U536" s="421" t="s">
        <v>303</v>
      </c>
      <c r="V536" s="421" t="s">
        <v>11389</v>
      </c>
      <c r="W536" s="96" t="s">
        <v>9786</v>
      </c>
      <c r="X536" s="96"/>
      <c r="Y536" s="96"/>
      <c r="Z536" s="98" t="s">
        <v>11390</v>
      </c>
      <c r="AA536" s="99"/>
      <c r="AB536" s="91"/>
      <c r="AC536" s="91"/>
      <c r="AD536" s="91"/>
    </row>
    <row r="537" ht="15.75" customHeight="1" outlineLevel="1">
      <c r="A537" s="170" t="s">
        <v>10833</v>
      </c>
      <c r="B537" s="57" t="s">
        <v>77</v>
      </c>
      <c r="C537" s="51" t="s">
        <v>33</v>
      </c>
      <c r="D537" s="52" t="s">
        <v>89</v>
      </c>
      <c r="E537" s="53" t="s">
        <v>37</v>
      </c>
      <c r="F537" s="250" t="s">
        <v>11387</v>
      </c>
      <c r="G537" s="62" t="s">
        <v>29</v>
      </c>
      <c r="H537" s="54" t="s">
        <v>166</v>
      </c>
      <c r="I537" s="53" t="s">
        <v>27</v>
      </c>
      <c r="J537" s="155" t="s">
        <v>4</v>
      </c>
      <c r="K537" s="166" t="s">
        <v>27</v>
      </c>
      <c r="L537" s="155" t="s">
        <v>4</v>
      </c>
      <c r="M537" s="422" t="s">
        <v>44</v>
      </c>
      <c r="N537" s="158" t="s">
        <v>10505</v>
      </c>
      <c r="O537" s="55" t="str">
        <f t="shared" si="29"/>
        <v>L2.02.04.01.00.00</v>
      </c>
      <c r="P537" s="55" t="str">
        <f t="shared" si="30"/>
        <v>L2.02.04.01.00.00.06</v>
      </c>
      <c r="Q537" s="161" t="s">
        <v>10530</v>
      </c>
      <c r="R537" s="169" t="str">
        <f t="shared" ref="R537:R543" si="31">if(L537&lt;&gt;"-",L537,if(AND(L537="-",J537&lt;&gt;"-"),J537,if(AND(J537="-",H537&lt;&gt;"-"),H537,"NA")))</f>
        <v>Ban Giám đốc khối DN Lớn</v>
      </c>
      <c r="S537" s="227" t="s">
        <v>11391</v>
      </c>
      <c r="T537" s="96" t="s">
        <v>9787</v>
      </c>
      <c r="U537" s="96" t="s">
        <v>303</v>
      </c>
      <c r="V537" s="96" t="s">
        <v>3877</v>
      </c>
      <c r="W537" s="96" t="s">
        <v>9786</v>
      </c>
      <c r="X537" s="96"/>
      <c r="Y537" s="96"/>
      <c r="Z537" s="98" t="s">
        <v>11392</v>
      </c>
      <c r="AA537" s="153" t="s">
        <v>10530</v>
      </c>
      <c r="AB537" s="91"/>
      <c r="AC537" s="91"/>
      <c r="AD537" s="91"/>
    </row>
    <row r="538" ht="15.75" customHeight="1" outlineLevel="1">
      <c r="A538" s="131" t="s">
        <v>10833</v>
      </c>
      <c r="B538" s="132" t="s">
        <v>77</v>
      </c>
      <c r="C538" s="132" t="s">
        <v>33</v>
      </c>
      <c r="D538" s="133" t="s">
        <v>89</v>
      </c>
      <c r="E538" s="134" t="s">
        <v>37</v>
      </c>
      <c r="F538" s="423" t="s">
        <v>11387</v>
      </c>
      <c r="G538" s="133" t="s">
        <v>33</v>
      </c>
      <c r="H538" s="135" t="s">
        <v>167</v>
      </c>
      <c r="I538" s="134" t="s">
        <v>27</v>
      </c>
      <c r="J538" s="102" t="s">
        <v>4</v>
      </c>
      <c r="K538" s="103" t="s">
        <v>27</v>
      </c>
      <c r="L538" s="102" t="s">
        <v>4</v>
      </c>
      <c r="M538" s="106" t="s">
        <v>27</v>
      </c>
      <c r="N538" s="102" t="s">
        <v>4</v>
      </c>
      <c r="O538" s="136" t="str">
        <f t="shared" si="29"/>
        <v>L2.02.04.02.00.00</v>
      </c>
      <c r="P538" s="136" t="str">
        <f t="shared" si="30"/>
        <v>L2.02.04.02.00.00.00</v>
      </c>
      <c r="Q538" s="424" t="s">
        <v>10530</v>
      </c>
      <c r="R538" s="109" t="str">
        <f t="shared" si="31"/>
        <v>Phòng KD GP DN lớn</v>
      </c>
      <c r="S538" s="425" t="s">
        <v>11391</v>
      </c>
      <c r="T538" s="111" t="s">
        <v>3878</v>
      </c>
      <c r="U538" s="111" t="s">
        <v>303</v>
      </c>
      <c r="V538" s="111" t="s">
        <v>3877</v>
      </c>
      <c r="W538" s="111" t="s">
        <v>167</v>
      </c>
      <c r="X538" s="111"/>
      <c r="Y538" s="111"/>
      <c r="Z538" s="112" t="s">
        <v>11393</v>
      </c>
      <c r="AA538" s="113" t="s">
        <v>10530</v>
      </c>
      <c r="AB538" s="114"/>
      <c r="AC538" s="114"/>
      <c r="AD538" s="114"/>
    </row>
    <row r="539" ht="15.75" customHeight="1" outlineLevel="1">
      <c r="A539" s="137" t="s">
        <v>10833</v>
      </c>
      <c r="B539" s="138" t="s">
        <v>77</v>
      </c>
      <c r="C539" s="139" t="s">
        <v>33</v>
      </c>
      <c r="D539" s="140" t="s">
        <v>89</v>
      </c>
      <c r="E539" s="141" t="s">
        <v>37</v>
      </c>
      <c r="F539" s="250" t="s">
        <v>11387</v>
      </c>
      <c r="G539" s="142" t="s">
        <v>33</v>
      </c>
      <c r="H539" s="143" t="s">
        <v>167</v>
      </c>
      <c r="I539" s="141" t="s">
        <v>27</v>
      </c>
      <c r="J539" s="146" t="s">
        <v>4</v>
      </c>
      <c r="K539" s="145" t="s">
        <v>27</v>
      </c>
      <c r="L539" s="146" t="s">
        <v>4</v>
      </c>
      <c r="M539" s="147" t="s">
        <v>44</v>
      </c>
      <c r="N539" s="148" t="s">
        <v>10505</v>
      </c>
      <c r="O539" s="149" t="str">
        <f t="shared" si="29"/>
        <v>L2.02.04.02.00.00</v>
      </c>
      <c r="P539" s="149" t="str">
        <f t="shared" si="30"/>
        <v>L2.02.04.02.00.00.06</v>
      </c>
      <c r="Q539" s="426"/>
      <c r="R539" s="125" t="str">
        <f t="shared" si="31"/>
        <v>Phòng KD GP DN lớn</v>
      </c>
      <c r="S539" s="126" t="s">
        <v>11394</v>
      </c>
      <c r="T539" s="127"/>
      <c r="U539" s="127"/>
      <c r="V539" s="127"/>
      <c r="W539" s="127" t="s">
        <v>167</v>
      </c>
      <c r="X539" s="127"/>
      <c r="Y539" s="127"/>
      <c r="Z539" s="128"/>
      <c r="AA539" s="129"/>
      <c r="AB539" s="130"/>
      <c r="AC539" s="130"/>
      <c r="AD539" s="130"/>
    </row>
    <row r="540" ht="15.75" customHeight="1" outlineLevel="1">
      <c r="A540" s="137" t="s">
        <v>10833</v>
      </c>
      <c r="B540" s="138" t="s">
        <v>77</v>
      </c>
      <c r="C540" s="139" t="s">
        <v>33</v>
      </c>
      <c r="D540" s="140" t="s">
        <v>89</v>
      </c>
      <c r="E540" s="141" t="s">
        <v>37</v>
      </c>
      <c r="F540" s="250" t="s">
        <v>11387</v>
      </c>
      <c r="G540" s="142" t="s">
        <v>33</v>
      </c>
      <c r="H540" s="143" t="s">
        <v>167</v>
      </c>
      <c r="I540" s="141" t="s">
        <v>27</v>
      </c>
      <c r="J540" s="146" t="s">
        <v>4</v>
      </c>
      <c r="K540" s="145" t="s">
        <v>27</v>
      </c>
      <c r="L540" s="146" t="s">
        <v>4</v>
      </c>
      <c r="M540" s="147" t="s">
        <v>33</v>
      </c>
      <c r="N540" s="148" t="s">
        <v>10499</v>
      </c>
      <c r="O540" s="149" t="str">
        <f t="shared" si="29"/>
        <v>L2.02.04.02.00.00</v>
      </c>
      <c r="P540" s="149" t="str">
        <f t="shared" si="30"/>
        <v>L2.02.04.02.00.00.02</v>
      </c>
      <c r="Q540" s="125"/>
      <c r="R540" s="125" t="str">
        <f t="shared" si="31"/>
        <v>Phòng KD GP DN lớn</v>
      </c>
      <c r="S540" s="126" t="s">
        <v>11394</v>
      </c>
      <c r="T540" s="127"/>
      <c r="U540" s="127"/>
      <c r="V540" s="127"/>
      <c r="W540" s="127" t="s">
        <v>167</v>
      </c>
      <c r="X540" s="127"/>
      <c r="Y540" s="127"/>
      <c r="Z540" s="128"/>
      <c r="AA540" s="129"/>
      <c r="AB540" s="130"/>
      <c r="AC540" s="130"/>
      <c r="AD540" s="130"/>
    </row>
    <row r="541" ht="15.75" customHeight="1" outlineLevel="1">
      <c r="A541" s="170" t="s">
        <v>10833</v>
      </c>
      <c r="B541" s="57" t="s">
        <v>77</v>
      </c>
      <c r="C541" s="51" t="s">
        <v>33</v>
      </c>
      <c r="D541" s="52" t="s">
        <v>89</v>
      </c>
      <c r="E541" s="53" t="s">
        <v>37</v>
      </c>
      <c r="F541" s="250" t="s">
        <v>11387</v>
      </c>
      <c r="G541" s="62" t="s">
        <v>35</v>
      </c>
      <c r="H541" s="54" t="s">
        <v>168</v>
      </c>
      <c r="I541" s="53" t="s">
        <v>27</v>
      </c>
      <c r="J541" s="155" t="s">
        <v>4</v>
      </c>
      <c r="K541" s="166" t="s">
        <v>27</v>
      </c>
      <c r="L541" s="155" t="s">
        <v>4</v>
      </c>
      <c r="M541" s="422" t="s">
        <v>44</v>
      </c>
      <c r="N541" s="158" t="s">
        <v>10505</v>
      </c>
      <c r="O541" s="55" t="str">
        <f t="shared" si="29"/>
        <v>L2.02.04.03.00.00</v>
      </c>
      <c r="P541" s="55" t="str">
        <f t="shared" si="30"/>
        <v>L2.02.04.03.00.00.06</v>
      </c>
      <c r="Q541" s="161" t="s">
        <v>10530</v>
      </c>
      <c r="R541" s="169" t="str">
        <f t="shared" si="31"/>
        <v>Phòng Tư vấn giải pháp</v>
      </c>
      <c r="S541" s="227" t="s">
        <v>11391</v>
      </c>
      <c r="T541" s="96"/>
      <c r="U541" s="96"/>
      <c r="V541" s="96"/>
      <c r="W541" s="96"/>
      <c r="X541" s="96"/>
      <c r="Y541" s="97" t="s">
        <v>11395</v>
      </c>
      <c r="Z541" s="98" t="s">
        <v>11396</v>
      </c>
      <c r="AA541" s="99"/>
      <c r="AB541" s="91"/>
      <c r="AC541" s="91"/>
      <c r="AD541" s="91"/>
    </row>
    <row r="542" ht="15.75" customHeight="1" outlineLevel="1">
      <c r="A542" s="170" t="s">
        <v>10833</v>
      </c>
      <c r="B542" s="57" t="s">
        <v>77</v>
      </c>
      <c r="C542" s="51" t="s">
        <v>33</v>
      </c>
      <c r="D542" s="52" t="s">
        <v>89</v>
      </c>
      <c r="E542" s="53" t="s">
        <v>37</v>
      </c>
      <c r="F542" s="250" t="s">
        <v>11387</v>
      </c>
      <c r="G542" s="62" t="s">
        <v>37</v>
      </c>
      <c r="H542" s="54" t="s">
        <v>169</v>
      </c>
      <c r="I542" s="53" t="s">
        <v>27</v>
      </c>
      <c r="J542" s="155" t="s">
        <v>4</v>
      </c>
      <c r="K542" s="166" t="s">
        <v>27</v>
      </c>
      <c r="L542" s="155" t="s">
        <v>4</v>
      </c>
      <c r="M542" s="422" t="s">
        <v>44</v>
      </c>
      <c r="N542" s="158" t="s">
        <v>10505</v>
      </c>
      <c r="O542" s="55" t="str">
        <f t="shared" si="29"/>
        <v>L2.02.04.04.00.00</v>
      </c>
      <c r="P542" s="55" t="str">
        <f t="shared" si="30"/>
        <v>L2.02.04.04.00.00.06</v>
      </c>
      <c r="Q542" s="161" t="s">
        <v>10530</v>
      </c>
      <c r="R542" s="169" t="str">
        <f t="shared" si="31"/>
        <v>Phòng triển khai</v>
      </c>
      <c r="S542" s="227" t="s">
        <v>11391</v>
      </c>
      <c r="T542" s="96"/>
      <c r="U542" s="96"/>
      <c r="V542" s="96"/>
      <c r="W542" s="96"/>
      <c r="X542" s="96"/>
      <c r="Y542" s="97" t="s">
        <v>11395</v>
      </c>
      <c r="Z542" s="98" t="s">
        <v>11397</v>
      </c>
      <c r="AA542" s="153" t="s">
        <v>10530</v>
      </c>
      <c r="AB542" s="91"/>
      <c r="AC542" s="91"/>
      <c r="AD542" s="91"/>
    </row>
    <row r="543" ht="15.75" customHeight="1">
      <c r="A543" s="596" t="s">
        <v>11398</v>
      </c>
      <c r="B543" s="597"/>
      <c r="C543" s="597"/>
      <c r="D543" s="597"/>
      <c r="E543" s="67"/>
      <c r="F543" s="66"/>
      <c r="G543" s="66"/>
      <c r="H543" s="68"/>
      <c r="I543" s="66"/>
      <c r="J543" s="382"/>
      <c r="K543" s="383"/>
      <c r="L543" s="384"/>
      <c r="M543" s="383"/>
      <c r="N543" s="384"/>
      <c r="O543" s="55" t="str">
        <f t="shared" si="29"/>
        <v>Khối Kế toán dịch vụ.....</v>
      </c>
      <c r="P543" s="69"/>
      <c r="Q543" s="169"/>
      <c r="R543" s="169" t="str">
        <f t="shared" si="31"/>
        <v/>
      </c>
      <c r="S543" s="96"/>
      <c r="T543" s="96"/>
      <c r="U543" s="96"/>
      <c r="V543" s="96"/>
      <c r="W543" s="96"/>
      <c r="X543" s="96"/>
      <c r="Y543" s="96"/>
      <c r="Z543" s="152"/>
      <c r="AA543" s="99"/>
      <c r="AB543" s="91"/>
      <c r="AC543" s="91"/>
      <c r="AD543" s="91"/>
    </row>
    <row r="544" ht="15.75" customHeight="1" outlineLevel="1">
      <c r="A544" s="177" t="s">
        <v>10833</v>
      </c>
      <c r="B544" s="221" t="s">
        <v>77</v>
      </c>
      <c r="C544" s="221" t="s">
        <v>33</v>
      </c>
      <c r="D544" s="172" t="s">
        <v>89</v>
      </c>
      <c r="E544" s="222" t="s">
        <v>42</v>
      </c>
      <c r="F544" s="175" t="s">
        <v>11398</v>
      </c>
      <c r="G544" s="175" t="s">
        <v>27</v>
      </c>
      <c r="H544" s="427" t="s">
        <v>4</v>
      </c>
      <c r="I544" s="222" t="s">
        <v>27</v>
      </c>
      <c r="J544" s="157" t="s">
        <v>4</v>
      </c>
      <c r="K544" s="297" t="s">
        <v>27</v>
      </c>
      <c r="L544" s="157" t="s">
        <v>4</v>
      </c>
      <c r="M544" s="168" t="s">
        <v>27</v>
      </c>
      <c r="N544" s="167"/>
      <c r="O544" s="55" t="str">
        <f t="shared" si="29"/>
        <v>L2.02.05.00.00.00</v>
      </c>
      <c r="P544" s="173" t="str">
        <f t="shared" ref="P544:P562" si="32">A544&amp;"."&amp;C544&amp;"."&amp;E544&amp;"."&amp;G544&amp;"."&amp;I544&amp;"."&amp;K544&amp;"."&amp;M544</f>
        <v>L2.02.05.00.00.00.00</v>
      </c>
      <c r="Q544" s="161" t="s">
        <v>10530</v>
      </c>
      <c r="R544" s="428" t="s">
        <v>11398</v>
      </c>
      <c r="S544" s="429" t="s">
        <v>10916</v>
      </c>
      <c r="T544" s="598" t="s">
        <v>11761</v>
      </c>
      <c r="U544" s="430" t="s">
        <v>303</v>
      </c>
      <c r="V544" s="598" t="s">
        <v>11762</v>
      </c>
      <c r="W544" s="176"/>
      <c r="X544" s="176"/>
      <c r="Y544" s="176"/>
      <c r="Z544" s="225" t="s">
        <v>11399</v>
      </c>
      <c r="AA544" s="266"/>
      <c r="AB544" s="226"/>
      <c r="AC544" s="582" t="s">
        <v>11763</v>
      </c>
      <c r="AD544" s="226"/>
    </row>
    <row r="545" ht="15.75" customHeight="1" outlineLevel="1">
      <c r="A545" s="177" t="s">
        <v>10833</v>
      </c>
      <c r="B545" s="221" t="s">
        <v>77</v>
      </c>
      <c r="C545" s="221" t="s">
        <v>33</v>
      </c>
      <c r="D545" s="172" t="s">
        <v>89</v>
      </c>
      <c r="E545" s="222" t="s">
        <v>42</v>
      </c>
      <c r="F545" s="175" t="s">
        <v>11398</v>
      </c>
      <c r="G545" s="172" t="s">
        <v>29</v>
      </c>
      <c r="H545" s="171" t="s">
        <v>171</v>
      </c>
      <c r="I545" s="222" t="s">
        <v>27</v>
      </c>
      <c r="J545" s="157" t="s">
        <v>4</v>
      </c>
      <c r="K545" s="297" t="s">
        <v>27</v>
      </c>
      <c r="L545" s="157" t="s">
        <v>4</v>
      </c>
      <c r="M545" s="157" t="s">
        <v>44</v>
      </c>
      <c r="N545" s="167" t="s">
        <v>10505</v>
      </c>
      <c r="O545" s="55" t="str">
        <f t="shared" si="29"/>
        <v>L2.02.05.01.00.00</v>
      </c>
      <c r="P545" s="173" t="str">
        <f t="shared" si="32"/>
        <v>L2.02.05.01.00.00.06</v>
      </c>
      <c r="Q545" s="161" t="s">
        <v>10530</v>
      </c>
      <c r="R545" s="223" t="str">
        <f t="shared" ref="R545:R563" si="33">if(L545&lt;&gt;"-",L545,if(AND(L545="-",J545&lt;&gt;"-"),J545,if(AND(J545="-",H545&lt;&gt;"-"),H545,"NA")))</f>
        <v>Ban Giám đốc khối KTDV</v>
      </c>
      <c r="S545" s="429" t="s">
        <v>11400</v>
      </c>
      <c r="T545" s="598" t="s">
        <v>11764</v>
      </c>
      <c r="U545" s="430" t="s">
        <v>303</v>
      </c>
      <c r="V545" s="598" t="s">
        <v>11762</v>
      </c>
      <c r="W545" s="224" t="s">
        <v>11765</v>
      </c>
      <c r="X545" s="176"/>
      <c r="Y545" s="224"/>
      <c r="Z545" s="225" t="s">
        <v>11401</v>
      </c>
      <c r="AA545" s="266"/>
      <c r="AB545" s="226"/>
      <c r="AC545" s="582" t="s">
        <v>11763</v>
      </c>
      <c r="AD545" s="226"/>
    </row>
    <row r="546" ht="15.75" customHeight="1" outlineLevel="1">
      <c r="A546" s="567" t="s">
        <v>10833</v>
      </c>
      <c r="B546" s="568" t="s">
        <v>77</v>
      </c>
      <c r="C546" s="568" t="s">
        <v>33</v>
      </c>
      <c r="D546" s="569" t="s">
        <v>89</v>
      </c>
      <c r="E546" s="570" t="s">
        <v>42</v>
      </c>
      <c r="F546" s="573" t="s">
        <v>11398</v>
      </c>
      <c r="G546" s="569" t="s">
        <v>33</v>
      </c>
      <c r="H546" s="571" t="s">
        <v>11766</v>
      </c>
      <c r="I546" s="570" t="s">
        <v>27</v>
      </c>
      <c r="J546" s="569" t="s">
        <v>4</v>
      </c>
      <c r="K546" s="570" t="s">
        <v>27</v>
      </c>
      <c r="L546" s="569" t="s">
        <v>4</v>
      </c>
      <c r="M546" s="573" t="s">
        <v>27</v>
      </c>
      <c r="N546" s="569" t="s">
        <v>4</v>
      </c>
      <c r="O546" s="575" t="str">
        <f t="shared" si="29"/>
        <v>L2.02.05.02.00.00</v>
      </c>
      <c r="P546" s="107" t="str">
        <f t="shared" si="32"/>
        <v>L2.02.05.02.00.00.00</v>
      </c>
      <c r="Q546" s="576" t="s">
        <v>10530</v>
      </c>
      <c r="R546" s="350" t="str">
        <f t="shared" si="33"/>
        <v>Khối MISA ASP</v>
      </c>
      <c r="S546" s="577" t="str">
        <f>P544</f>
        <v>L2.02.05.00.00.00.00</v>
      </c>
      <c r="T546" s="368"/>
      <c r="U546" s="368"/>
      <c r="V546" s="368"/>
      <c r="W546" s="368"/>
      <c r="X546" s="368"/>
      <c r="Y546" s="578"/>
      <c r="Z546" s="579" t="s">
        <v>11403</v>
      </c>
      <c r="AA546" s="580"/>
      <c r="AB546" s="581"/>
      <c r="AC546" s="582" t="s">
        <v>11673</v>
      </c>
      <c r="AD546" s="581"/>
    </row>
    <row r="547" ht="15.75" customHeight="1" outlineLevel="1">
      <c r="A547" s="131" t="s">
        <v>10833</v>
      </c>
      <c r="B547" s="132" t="s">
        <v>77</v>
      </c>
      <c r="C547" s="132" t="s">
        <v>33</v>
      </c>
      <c r="D547" s="133" t="s">
        <v>89</v>
      </c>
      <c r="E547" s="134" t="s">
        <v>42</v>
      </c>
      <c r="F547" s="423" t="s">
        <v>11398</v>
      </c>
      <c r="G547" s="569" t="s">
        <v>33</v>
      </c>
      <c r="H547" s="571" t="s">
        <v>11766</v>
      </c>
      <c r="I547" s="423" t="s">
        <v>29</v>
      </c>
      <c r="J547" s="135" t="s">
        <v>172</v>
      </c>
      <c r="K547" s="103" t="s">
        <v>27</v>
      </c>
      <c r="L547" s="102" t="s">
        <v>4</v>
      </c>
      <c r="M547" s="106" t="s">
        <v>27</v>
      </c>
      <c r="N547" s="569" t="s">
        <v>4</v>
      </c>
      <c r="O547" s="136" t="str">
        <f t="shared" si="29"/>
        <v>L2.02.05.02.01.00</v>
      </c>
      <c r="P547" s="136" t="str">
        <f t="shared" si="32"/>
        <v>L2.02.05.02.01.00.00</v>
      </c>
      <c r="Q547" s="108" t="s">
        <v>10530</v>
      </c>
      <c r="R547" s="109" t="str">
        <f t="shared" si="33"/>
        <v>Phòng phát triển đối tác MISA ASP</v>
      </c>
      <c r="S547" s="425" t="str">
        <f t="shared" ref="S547:S548" si="34">P546</f>
        <v>L2.02.05.02.00.00.00</v>
      </c>
      <c r="T547" s="110" t="s">
        <v>11767</v>
      </c>
      <c r="U547" s="430" t="s">
        <v>303</v>
      </c>
      <c r="V547" s="598" t="s">
        <v>11762</v>
      </c>
      <c r="W547" s="110" t="s">
        <v>172</v>
      </c>
      <c r="X547" s="111"/>
      <c r="Y547" s="110"/>
      <c r="Z547" s="112" t="s">
        <v>11403</v>
      </c>
      <c r="AA547" s="312"/>
      <c r="AB547" s="114"/>
      <c r="AC547" s="582" t="s">
        <v>11763</v>
      </c>
      <c r="AD547" s="114"/>
    </row>
    <row r="548" ht="15.75" customHeight="1" outlineLevel="1">
      <c r="A548" s="115" t="s">
        <v>10833</v>
      </c>
      <c r="B548" s="116" t="s">
        <v>77</v>
      </c>
      <c r="C548" s="116" t="s">
        <v>33</v>
      </c>
      <c r="D548" s="117" t="s">
        <v>89</v>
      </c>
      <c r="E548" s="118" t="s">
        <v>42</v>
      </c>
      <c r="F548" s="431" t="s">
        <v>11398</v>
      </c>
      <c r="G548" s="569" t="s">
        <v>33</v>
      </c>
      <c r="H548" s="571" t="s">
        <v>11766</v>
      </c>
      <c r="I548" s="423" t="s">
        <v>29</v>
      </c>
      <c r="J548" s="119" t="s">
        <v>172</v>
      </c>
      <c r="K548" s="121" t="s">
        <v>27</v>
      </c>
      <c r="L548" s="122" t="s">
        <v>4</v>
      </c>
      <c r="M548" s="122" t="s">
        <v>44</v>
      </c>
      <c r="N548" s="123" t="s">
        <v>10505</v>
      </c>
      <c r="O548" s="149" t="str">
        <f t="shared" si="29"/>
        <v>L2.02.05.02.01.00</v>
      </c>
      <c r="P548" s="124" t="str">
        <f t="shared" si="32"/>
        <v>L2.02.05.02.01.00.06</v>
      </c>
      <c r="Q548" s="432"/>
      <c r="R548" s="432" t="str">
        <f t="shared" si="33"/>
        <v>Phòng phát triển đối tác MISA ASP</v>
      </c>
      <c r="S548" s="433" t="str">
        <f t="shared" si="34"/>
        <v>L2.02.05.02.01.00.00</v>
      </c>
      <c r="T548" s="434"/>
      <c r="U548" s="434"/>
      <c r="V548" s="434"/>
      <c r="W548" s="434"/>
      <c r="X548" s="434"/>
      <c r="Y548" s="435"/>
      <c r="Z548" s="322"/>
      <c r="AA548" s="323"/>
      <c r="AB548" s="436"/>
      <c r="AC548" s="436"/>
      <c r="AD548" s="436"/>
    </row>
    <row r="549" ht="15.75" customHeight="1" outlineLevel="1">
      <c r="A549" s="115" t="s">
        <v>10833</v>
      </c>
      <c r="B549" s="116" t="s">
        <v>77</v>
      </c>
      <c r="C549" s="116" t="s">
        <v>33</v>
      </c>
      <c r="D549" s="117" t="s">
        <v>89</v>
      </c>
      <c r="E549" s="118" t="s">
        <v>42</v>
      </c>
      <c r="F549" s="431" t="s">
        <v>11398</v>
      </c>
      <c r="G549" s="569" t="s">
        <v>33</v>
      </c>
      <c r="H549" s="571" t="s">
        <v>11766</v>
      </c>
      <c r="I549" s="423" t="s">
        <v>29</v>
      </c>
      <c r="J549" s="119" t="s">
        <v>172</v>
      </c>
      <c r="K549" s="121" t="s">
        <v>27</v>
      </c>
      <c r="L549" s="122" t="s">
        <v>4</v>
      </c>
      <c r="M549" s="122" t="s">
        <v>33</v>
      </c>
      <c r="N549" s="123" t="s">
        <v>10499</v>
      </c>
      <c r="O549" s="149" t="str">
        <f t="shared" si="29"/>
        <v>L2.02.05.02.01.00</v>
      </c>
      <c r="P549" s="124" t="str">
        <f t="shared" si="32"/>
        <v>L2.02.05.02.01.00.02</v>
      </c>
      <c r="Q549" s="432"/>
      <c r="R549" s="432" t="str">
        <f t="shared" si="33"/>
        <v>Phòng phát triển đối tác MISA ASP</v>
      </c>
      <c r="S549" s="433" t="str">
        <f>P547</f>
        <v>L2.02.05.02.01.00.00</v>
      </c>
      <c r="T549" s="434"/>
      <c r="U549" s="434"/>
      <c r="V549" s="434"/>
      <c r="W549" s="434"/>
      <c r="X549" s="434"/>
      <c r="Y549" s="435"/>
      <c r="Z549" s="322"/>
      <c r="AA549" s="323"/>
      <c r="AB549" s="436"/>
      <c r="AC549" s="436"/>
      <c r="AD549" s="436"/>
    </row>
    <row r="550" ht="15.75" customHeight="1" outlineLevel="1">
      <c r="A550" s="177" t="s">
        <v>10833</v>
      </c>
      <c r="B550" s="221" t="s">
        <v>77</v>
      </c>
      <c r="C550" s="221" t="s">
        <v>33</v>
      </c>
      <c r="D550" s="172" t="s">
        <v>89</v>
      </c>
      <c r="E550" s="222" t="s">
        <v>42</v>
      </c>
      <c r="F550" s="175" t="s">
        <v>11398</v>
      </c>
      <c r="G550" s="569" t="s">
        <v>33</v>
      </c>
      <c r="H550" s="571" t="s">
        <v>11766</v>
      </c>
      <c r="I550" s="175" t="s">
        <v>33</v>
      </c>
      <c r="J550" s="171" t="s">
        <v>173</v>
      </c>
      <c r="K550" s="297" t="s">
        <v>27</v>
      </c>
      <c r="L550" s="157" t="s">
        <v>4</v>
      </c>
      <c r="M550" s="157" t="s">
        <v>44</v>
      </c>
      <c r="N550" s="167" t="s">
        <v>10505</v>
      </c>
      <c r="O550" s="55" t="str">
        <f t="shared" si="29"/>
        <v>L2.02.05.02.02.00</v>
      </c>
      <c r="P550" s="173" t="str">
        <f t="shared" si="32"/>
        <v>L2.02.05.02.02.00.06</v>
      </c>
      <c r="Q550" s="428" t="s">
        <v>10530</v>
      </c>
      <c r="R550" s="223" t="str">
        <f t="shared" si="33"/>
        <v>Phòng chăm sóc đối tác MISA ASP</v>
      </c>
      <c r="S550" s="429" t="str">
        <f>P546</f>
        <v>L2.02.05.02.00.00.00</v>
      </c>
      <c r="T550" s="110" t="s">
        <v>11768</v>
      </c>
      <c r="U550" s="430" t="s">
        <v>303</v>
      </c>
      <c r="V550" s="598" t="s">
        <v>11762</v>
      </c>
      <c r="W550" s="224" t="s">
        <v>173</v>
      </c>
      <c r="X550" s="176"/>
      <c r="Y550" s="224"/>
      <c r="Z550" s="225" t="s">
        <v>11405</v>
      </c>
      <c r="AA550" s="266"/>
      <c r="AB550" s="226"/>
      <c r="AC550" s="226"/>
      <c r="AD550" s="226"/>
    </row>
    <row r="551" ht="15.75" customHeight="1" outlineLevel="1">
      <c r="A551" s="567" t="s">
        <v>10833</v>
      </c>
      <c r="B551" s="568" t="s">
        <v>77</v>
      </c>
      <c r="C551" s="568" t="s">
        <v>33</v>
      </c>
      <c r="D551" s="569" t="s">
        <v>89</v>
      </c>
      <c r="E551" s="570" t="s">
        <v>42</v>
      </c>
      <c r="F551" s="573" t="s">
        <v>11398</v>
      </c>
      <c r="G551" s="573" t="s">
        <v>35</v>
      </c>
      <c r="H551" s="571" t="s">
        <v>11769</v>
      </c>
      <c r="I551" s="573" t="s">
        <v>29</v>
      </c>
      <c r="J551" s="571" t="s">
        <v>11770</v>
      </c>
      <c r="K551" s="570" t="s">
        <v>27</v>
      </c>
      <c r="L551" s="569" t="s">
        <v>4</v>
      </c>
      <c r="M551" s="573" t="s">
        <v>27</v>
      </c>
      <c r="N551" s="569" t="s">
        <v>4</v>
      </c>
      <c r="O551" s="575" t="str">
        <f t="shared" si="29"/>
        <v>L2.02.05.03.01.00</v>
      </c>
      <c r="P551" s="575" t="str">
        <f t="shared" si="32"/>
        <v>L2.02.05.03.01.00.00</v>
      </c>
      <c r="Q551" s="576" t="s">
        <v>10530</v>
      </c>
      <c r="R551" s="350" t="str">
        <f t="shared" si="33"/>
        <v>Phòng Kinh doanh GPKT HKD</v>
      </c>
      <c r="S551" s="577" t="str">
        <f>P544</f>
        <v>L2.02.05.00.00.00.00</v>
      </c>
      <c r="T551" s="578" t="s">
        <v>11771</v>
      </c>
      <c r="U551" s="578" t="s">
        <v>303</v>
      </c>
      <c r="V551" s="598" t="s">
        <v>11762</v>
      </c>
      <c r="W551" s="578" t="s">
        <v>11770</v>
      </c>
      <c r="X551" s="368"/>
      <c r="Y551" s="368"/>
      <c r="Z551" s="579" t="s">
        <v>11772</v>
      </c>
      <c r="AA551" s="580"/>
      <c r="AB551" s="581"/>
      <c r="AC551" s="582" t="s">
        <v>11763</v>
      </c>
      <c r="AD551" s="581"/>
    </row>
    <row r="552" ht="15.75" customHeight="1" outlineLevel="1">
      <c r="A552" s="567" t="s">
        <v>10833</v>
      </c>
      <c r="B552" s="568" t="s">
        <v>77</v>
      </c>
      <c r="C552" s="568" t="s">
        <v>33</v>
      </c>
      <c r="D552" s="569" t="s">
        <v>89</v>
      </c>
      <c r="E552" s="570" t="s">
        <v>42</v>
      </c>
      <c r="F552" s="573" t="s">
        <v>11398</v>
      </c>
      <c r="G552" s="573" t="s">
        <v>35</v>
      </c>
      <c r="H552" s="571" t="s">
        <v>11769</v>
      </c>
      <c r="I552" s="573" t="s">
        <v>29</v>
      </c>
      <c r="J552" s="571" t="s">
        <v>11770</v>
      </c>
      <c r="K552" s="573" t="s">
        <v>29</v>
      </c>
      <c r="L552" s="567" t="s">
        <v>11773</v>
      </c>
      <c r="M552" s="353" t="s">
        <v>29</v>
      </c>
      <c r="N552" s="356" t="s">
        <v>10498</v>
      </c>
      <c r="O552" s="575" t="str">
        <f t="shared" si="29"/>
        <v>L2.02.05.03.01.01</v>
      </c>
      <c r="P552" s="575" t="str">
        <f t="shared" si="32"/>
        <v>L2.02.05.03.01.01.01</v>
      </c>
      <c r="Q552" s="576" t="s">
        <v>10530</v>
      </c>
      <c r="R552" s="350" t="str">
        <f t="shared" si="33"/>
        <v>Nhóm Kinh doanh GPKT HKD 01</v>
      </c>
      <c r="S552" s="577" t="str">
        <f>P551</f>
        <v>L2.02.05.03.01.00.00</v>
      </c>
      <c r="T552" s="578" t="s">
        <v>11774</v>
      </c>
      <c r="U552" s="578" t="s">
        <v>303</v>
      </c>
      <c r="V552" s="598" t="s">
        <v>11762</v>
      </c>
      <c r="W552" s="578" t="s">
        <v>11775</v>
      </c>
      <c r="X552" s="368"/>
      <c r="Y552" s="368"/>
      <c r="Z552" s="579" t="s">
        <v>11776</v>
      </c>
      <c r="AA552" s="580"/>
      <c r="AB552" s="581"/>
      <c r="AC552" s="582" t="s">
        <v>11763</v>
      </c>
      <c r="AD552" s="581"/>
    </row>
    <row r="553" ht="15.75" customHeight="1" outlineLevel="1">
      <c r="A553" s="599" t="s">
        <v>10833</v>
      </c>
      <c r="B553" s="600" t="s">
        <v>77</v>
      </c>
      <c r="C553" s="600" t="s">
        <v>33</v>
      </c>
      <c r="D553" s="601" t="s">
        <v>89</v>
      </c>
      <c r="E553" s="602" t="s">
        <v>42</v>
      </c>
      <c r="F553" s="603" t="s">
        <v>11398</v>
      </c>
      <c r="G553" s="603" t="s">
        <v>35</v>
      </c>
      <c r="H553" s="604" t="s">
        <v>11769</v>
      </c>
      <c r="I553" s="603" t="s">
        <v>29</v>
      </c>
      <c r="J553" s="571" t="s">
        <v>11770</v>
      </c>
      <c r="K553" s="567" t="s">
        <v>33</v>
      </c>
      <c r="L553" s="567" t="s">
        <v>11777</v>
      </c>
      <c r="M553" s="601" t="s">
        <v>27</v>
      </c>
      <c r="N553" s="601" t="s">
        <v>4</v>
      </c>
      <c r="O553" s="605" t="str">
        <f t="shared" si="29"/>
        <v>L2.02.05.03.01.02</v>
      </c>
      <c r="P553" s="605" t="str">
        <f t="shared" si="32"/>
        <v>L2.02.05.03.01.02.00</v>
      </c>
      <c r="Q553" s="606" t="s">
        <v>10530</v>
      </c>
      <c r="R553" s="350" t="str">
        <f t="shared" si="33"/>
        <v>Nhóm Kinh doanh GPKT HKD 02</v>
      </c>
      <c r="S553" s="607" t="str">
        <f>P551</f>
        <v>L2.02.05.03.01.00.00</v>
      </c>
      <c r="T553" s="578" t="s">
        <v>11778</v>
      </c>
      <c r="U553" s="578" t="s">
        <v>303</v>
      </c>
      <c r="V553" s="598" t="s">
        <v>11762</v>
      </c>
      <c r="W553" s="578" t="s">
        <v>11779</v>
      </c>
      <c r="X553" s="608"/>
      <c r="Y553" s="608"/>
      <c r="Z553" s="579" t="s">
        <v>11780</v>
      </c>
      <c r="AA553" s="609"/>
      <c r="AB553" s="609"/>
      <c r="AC553" s="582" t="s">
        <v>11763</v>
      </c>
      <c r="AD553" s="609"/>
    </row>
    <row r="554" ht="15.75" customHeight="1" outlineLevel="1">
      <c r="A554" s="599" t="s">
        <v>10833</v>
      </c>
      <c r="B554" s="600" t="s">
        <v>77</v>
      </c>
      <c r="C554" s="600" t="s">
        <v>33</v>
      </c>
      <c r="D554" s="601" t="s">
        <v>89</v>
      </c>
      <c r="E554" s="602" t="s">
        <v>42</v>
      </c>
      <c r="F554" s="603" t="s">
        <v>11398</v>
      </c>
      <c r="G554" s="603" t="s">
        <v>35</v>
      </c>
      <c r="H554" s="604" t="s">
        <v>11769</v>
      </c>
      <c r="I554" s="603" t="s">
        <v>29</v>
      </c>
      <c r="J554" s="571" t="s">
        <v>11770</v>
      </c>
      <c r="K554" s="567" t="s">
        <v>33</v>
      </c>
      <c r="L554" s="567" t="s">
        <v>11777</v>
      </c>
      <c r="M554" s="353" t="s">
        <v>35</v>
      </c>
      <c r="N554" s="356" t="s">
        <v>10500</v>
      </c>
      <c r="O554" s="605" t="str">
        <f t="shared" si="29"/>
        <v>L2.02.05.03.01.02</v>
      </c>
      <c r="P554" s="605" t="str">
        <f t="shared" si="32"/>
        <v>L2.02.05.03.01.02.03</v>
      </c>
      <c r="Q554" s="606" t="s">
        <v>10530</v>
      </c>
      <c r="R554" s="350" t="str">
        <f t="shared" si="33"/>
        <v>Nhóm Kinh doanh GPKT HKD 02</v>
      </c>
      <c r="S554" s="607" t="str">
        <f>P553</f>
        <v>L2.02.05.03.01.02.00</v>
      </c>
      <c r="T554" s="607"/>
      <c r="U554" s="607"/>
      <c r="V554" s="607"/>
      <c r="W554" s="607"/>
      <c r="X554" s="608"/>
      <c r="Y554" s="608"/>
      <c r="Z554" s="610"/>
      <c r="AA554" s="609"/>
      <c r="AB554" s="609"/>
      <c r="AC554" s="582" t="s">
        <v>11763</v>
      </c>
      <c r="AD554" s="609"/>
    </row>
    <row r="555" ht="15.75" customHeight="1" outlineLevel="1">
      <c r="A555" s="599" t="s">
        <v>10833</v>
      </c>
      <c r="B555" s="600" t="s">
        <v>77</v>
      </c>
      <c r="C555" s="600" t="s">
        <v>33</v>
      </c>
      <c r="D555" s="601" t="s">
        <v>89</v>
      </c>
      <c r="E555" s="602" t="s">
        <v>42</v>
      </c>
      <c r="F555" s="603" t="s">
        <v>11398</v>
      </c>
      <c r="G555" s="603" t="s">
        <v>35</v>
      </c>
      <c r="H555" s="604" t="s">
        <v>11769</v>
      </c>
      <c r="I555" s="603" t="s">
        <v>29</v>
      </c>
      <c r="J555" s="571" t="s">
        <v>11770</v>
      </c>
      <c r="K555" s="567" t="s">
        <v>33</v>
      </c>
      <c r="L555" s="567" t="s">
        <v>11777</v>
      </c>
      <c r="M555" s="353" t="s">
        <v>37</v>
      </c>
      <c r="N555" s="370" t="s">
        <v>10900</v>
      </c>
      <c r="O555" s="605" t="str">
        <f t="shared" si="29"/>
        <v>L2.02.05.03.01.02</v>
      </c>
      <c r="P555" s="605" t="str">
        <f t="shared" si="32"/>
        <v>L2.02.05.03.01.02.04</v>
      </c>
      <c r="Q555" s="606" t="s">
        <v>10530</v>
      </c>
      <c r="R555" s="350" t="str">
        <f t="shared" si="33"/>
        <v>Nhóm Kinh doanh GPKT HKD 02</v>
      </c>
      <c r="S555" s="607" t="str">
        <f>P553</f>
        <v>L2.02.05.03.01.02.00</v>
      </c>
      <c r="T555" s="607"/>
      <c r="U555" s="607"/>
      <c r="V555" s="607"/>
      <c r="W555" s="607"/>
      <c r="X555" s="608"/>
      <c r="Y555" s="608"/>
      <c r="Z555" s="610"/>
      <c r="AA555" s="609"/>
      <c r="AB555" s="609"/>
      <c r="AC555" s="582" t="s">
        <v>11763</v>
      </c>
      <c r="AD555" s="609"/>
    </row>
    <row r="556" ht="15.75" customHeight="1" outlineLevel="1">
      <c r="A556" s="599" t="s">
        <v>10833</v>
      </c>
      <c r="B556" s="600" t="s">
        <v>77</v>
      </c>
      <c r="C556" s="600" t="s">
        <v>33</v>
      </c>
      <c r="D556" s="601" t="s">
        <v>89</v>
      </c>
      <c r="E556" s="602" t="s">
        <v>42</v>
      </c>
      <c r="F556" s="603" t="s">
        <v>11398</v>
      </c>
      <c r="G556" s="603" t="s">
        <v>35</v>
      </c>
      <c r="H556" s="604" t="s">
        <v>11769</v>
      </c>
      <c r="I556" s="603" t="s">
        <v>29</v>
      </c>
      <c r="J556" s="571" t="s">
        <v>11770</v>
      </c>
      <c r="K556" s="567" t="s">
        <v>35</v>
      </c>
      <c r="L556" s="567" t="s">
        <v>11781</v>
      </c>
      <c r="M556" s="353" t="s">
        <v>33</v>
      </c>
      <c r="N556" s="356" t="s">
        <v>10499</v>
      </c>
      <c r="O556" s="605" t="str">
        <f t="shared" si="29"/>
        <v>L2.02.05.03.01.03</v>
      </c>
      <c r="P556" s="605" t="str">
        <f t="shared" si="32"/>
        <v>L2.02.05.03.01.03.02</v>
      </c>
      <c r="Q556" s="606" t="s">
        <v>10530</v>
      </c>
      <c r="R556" s="350" t="str">
        <f t="shared" si="33"/>
        <v>Nhóm Kinh doanh GPKT HKD 03</v>
      </c>
      <c r="S556" s="607" t="str">
        <f>P551</f>
        <v>L2.02.05.03.01.00.00</v>
      </c>
      <c r="T556" s="578" t="s">
        <v>11782</v>
      </c>
      <c r="U556" s="578" t="s">
        <v>303</v>
      </c>
      <c r="V556" s="598" t="s">
        <v>11762</v>
      </c>
      <c r="W556" s="578" t="s">
        <v>11783</v>
      </c>
      <c r="X556" s="608"/>
      <c r="Y556" s="608"/>
      <c r="Z556" s="579" t="s">
        <v>11784</v>
      </c>
      <c r="AA556" s="609"/>
      <c r="AB556" s="609"/>
      <c r="AC556" s="582" t="s">
        <v>11763</v>
      </c>
      <c r="AD556" s="609"/>
    </row>
    <row r="557" ht="15.75" customHeight="1" outlineLevel="1">
      <c r="A557" s="611" t="s">
        <v>10833</v>
      </c>
      <c r="B557" s="612" t="s">
        <v>77</v>
      </c>
      <c r="C557" s="612" t="s">
        <v>33</v>
      </c>
      <c r="D557" s="613" t="s">
        <v>89</v>
      </c>
      <c r="E557" s="614" t="s">
        <v>42</v>
      </c>
      <c r="F557" s="615" t="s">
        <v>11398</v>
      </c>
      <c r="G557" s="616" t="s">
        <v>35</v>
      </c>
      <c r="H557" s="617" t="s">
        <v>11785</v>
      </c>
      <c r="I557" s="618" t="s">
        <v>29</v>
      </c>
      <c r="J557" s="619" t="s">
        <v>174</v>
      </c>
      <c r="K557" s="620" t="s">
        <v>27</v>
      </c>
      <c r="L557" s="621" t="s">
        <v>4</v>
      </c>
      <c r="M557" s="621" t="s">
        <v>29</v>
      </c>
      <c r="N557" s="622" t="s">
        <v>10498</v>
      </c>
      <c r="O557" s="623" t="str">
        <f t="shared" si="29"/>
        <v>L2.02.05.03.01.00</v>
      </c>
      <c r="P557" s="623" t="str">
        <f t="shared" si="32"/>
        <v>L2.02.05.03.01.00.01</v>
      </c>
      <c r="Q557" s="624"/>
      <c r="R557" s="624" t="str">
        <f t="shared" si="33"/>
        <v>Phòng phát triển đối tác GPKT HKD</v>
      </c>
      <c r="S557" s="625" t="str">
        <f>P551</f>
        <v>L2.02.05.03.01.00.00</v>
      </c>
      <c r="T557" s="626"/>
      <c r="U557" s="626"/>
      <c r="V557" s="626"/>
      <c r="W557" s="626"/>
      <c r="X557" s="627"/>
      <c r="Y557" s="627"/>
      <c r="Z557" s="628"/>
      <c r="AA557" s="629"/>
      <c r="AB557" s="630"/>
      <c r="AC557" s="631" t="s">
        <v>11786</v>
      </c>
      <c r="AD557" s="630"/>
    </row>
    <row r="558" ht="15.75" customHeight="1" outlineLevel="1">
      <c r="A558" s="611" t="s">
        <v>10833</v>
      </c>
      <c r="B558" s="612" t="s">
        <v>77</v>
      </c>
      <c r="C558" s="612" t="s">
        <v>33</v>
      </c>
      <c r="D558" s="613" t="s">
        <v>89</v>
      </c>
      <c r="E558" s="614" t="s">
        <v>42</v>
      </c>
      <c r="F558" s="615" t="s">
        <v>11398</v>
      </c>
      <c r="G558" s="616" t="s">
        <v>35</v>
      </c>
      <c r="H558" s="617" t="s">
        <v>11785</v>
      </c>
      <c r="I558" s="618" t="s">
        <v>29</v>
      </c>
      <c r="J558" s="619" t="s">
        <v>174</v>
      </c>
      <c r="K558" s="620" t="s">
        <v>27</v>
      </c>
      <c r="L558" s="621" t="s">
        <v>4</v>
      </c>
      <c r="M558" s="621" t="s">
        <v>33</v>
      </c>
      <c r="N558" s="622" t="s">
        <v>10499</v>
      </c>
      <c r="O558" s="623" t="str">
        <f t="shared" si="29"/>
        <v>L2.02.05.03.01.00</v>
      </c>
      <c r="P558" s="623" t="str">
        <f t="shared" si="32"/>
        <v>L2.02.05.03.01.00.02</v>
      </c>
      <c r="Q558" s="624"/>
      <c r="R558" s="624" t="str">
        <f t="shared" si="33"/>
        <v>Phòng phát triển đối tác GPKT HKD</v>
      </c>
      <c r="S558" s="625" t="str">
        <f>P551</f>
        <v>L2.02.05.03.01.00.00</v>
      </c>
      <c r="T558" s="626"/>
      <c r="U558" s="626"/>
      <c r="V558" s="626"/>
      <c r="W558" s="626"/>
      <c r="X558" s="627"/>
      <c r="Y558" s="627"/>
      <c r="Z558" s="628"/>
      <c r="AA558" s="629"/>
      <c r="AB558" s="630"/>
      <c r="AC558" s="631" t="s">
        <v>11786</v>
      </c>
      <c r="AD558" s="630"/>
    </row>
    <row r="559" ht="15.75" customHeight="1" outlineLevel="1">
      <c r="A559" s="611" t="s">
        <v>10833</v>
      </c>
      <c r="B559" s="612" t="s">
        <v>77</v>
      </c>
      <c r="C559" s="612" t="s">
        <v>33</v>
      </c>
      <c r="D559" s="613" t="s">
        <v>89</v>
      </c>
      <c r="E559" s="614" t="s">
        <v>42</v>
      </c>
      <c r="F559" s="615" t="s">
        <v>11398</v>
      </c>
      <c r="G559" s="616" t="s">
        <v>35</v>
      </c>
      <c r="H559" s="617" t="s">
        <v>11785</v>
      </c>
      <c r="I559" s="618" t="s">
        <v>29</v>
      </c>
      <c r="J559" s="619" t="s">
        <v>174</v>
      </c>
      <c r="K559" s="620" t="s">
        <v>27</v>
      </c>
      <c r="L559" s="621" t="s">
        <v>4</v>
      </c>
      <c r="M559" s="621" t="s">
        <v>35</v>
      </c>
      <c r="N559" s="622" t="s">
        <v>10500</v>
      </c>
      <c r="O559" s="623" t="str">
        <f t="shared" si="29"/>
        <v>L2.02.05.03.01.00</v>
      </c>
      <c r="P559" s="623" t="str">
        <f t="shared" si="32"/>
        <v>L2.02.05.03.01.00.03</v>
      </c>
      <c r="Q559" s="624"/>
      <c r="R559" s="624" t="str">
        <f t="shared" si="33"/>
        <v>Phòng phát triển đối tác GPKT HKD</v>
      </c>
      <c r="S559" s="625" t="str">
        <f>P551</f>
        <v>L2.02.05.03.01.00.00</v>
      </c>
      <c r="T559" s="626"/>
      <c r="U559" s="626"/>
      <c r="V559" s="626"/>
      <c r="W559" s="626"/>
      <c r="X559" s="627"/>
      <c r="Y559" s="627"/>
      <c r="Z559" s="628"/>
      <c r="AA559" s="629"/>
      <c r="AB559" s="630"/>
      <c r="AC559" s="631" t="s">
        <v>11786</v>
      </c>
      <c r="AD559" s="630"/>
    </row>
    <row r="560" ht="15.75" customHeight="1" outlineLevel="1">
      <c r="A560" s="611" t="s">
        <v>10833</v>
      </c>
      <c r="B560" s="612" t="s">
        <v>77</v>
      </c>
      <c r="C560" s="612" t="s">
        <v>33</v>
      </c>
      <c r="D560" s="613" t="s">
        <v>89</v>
      </c>
      <c r="E560" s="614" t="s">
        <v>42</v>
      </c>
      <c r="F560" s="615" t="s">
        <v>11398</v>
      </c>
      <c r="G560" s="616" t="s">
        <v>35</v>
      </c>
      <c r="H560" s="617" t="s">
        <v>11785</v>
      </c>
      <c r="I560" s="618" t="s">
        <v>29</v>
      </c>
      <c r="J560" s="619" t="s">
        <v>174</v>
      </c>
      <c r="K560" s="620" t="s">
        <v>27</v>
      </c>
      <c r="L560" s="621" t="s">
        <v>4</v>
      </c>
      <c r="M560" s="621" t="s">
        <v>37</v>
      </c>
      <c r="N560" s="632" t="s">
        <v>10900</v>
      </c>
      <c r="O560" s="623" t="str">
        <f t="shared" si="29"/>
        <v>L2.02.05.03.01.00</v>
      </c>
      <c r="P560" s="623" t="str">
        <f t="shared" si="32"/>
        <v>L2.02.05.03.01.00.04</v>
      </c>
      <c r="Q560" s="624"/>
      <c r="R560" s="624" t="str">
        <f t="shared" si="33"/>
        <v>Phòng phát triển đối tác GPKT HKD</v>
      </c>
      <c r="S560" s="625" t="str">
        <f>P551</f>
        <v>L2.02.05.03.01.00.00</v>
      </c>
      <c r="T560" s="626"/>
      <c r="U560" s="626"/>
      <c r="V560" s="626"/>
      <c r="W560" s="626"/>
      <c r="X560" s="627"/>
      <c r="Y560" s="627"/>
      <c r="Z560" s="628"/>
      <c r="AA560" s="629"/>
      <c r="AB560" s="630"/>
      <c r="AC560" s="631" t="s">
        <v>11786</v>
      </c>
      <c r="AD560" s="630"/>
    </row>
    <row r="561" ht="15.75" customHeight="1" outlineLevel="1">
      <c r="A561" s="177" t="s">
        <v>10833</v>
      </c>
      <c r="B561" s="221" t="s">
        <v>77</v>
      </c>
      <c r="C561" s="221" t="s">
        <v>33</v>
      </c>
      <c r="D561" s="172" t="s">
        <v>89</v>
      </c>
      <c r="E561" s="222" t="s">
        <v>42</v>
      </c>
      <c r="F561" s="175" t="s">
        <v>11398</v>
      </c>
      <c r="G561" s="172" t="s">
        <v>42</v>
      </c>
      <c r="H561" s="171" t="s">
        <v>101</v>
      </c>
      <c r="I561" s="222" t="s">
        <v>27</v>
      </c>
      <c r="J561" s="157" t="s">
        <v>4</v>
      </c>
      <c r="K561" s="297" t="s">
        <v>27</v>
      </c>
      <c r="L561" s="157" t="s">
        <v>4</v>
      </c>
      <c r="M561" s="157" t="s">
        <v>44</v>
      </c>
      <c r="N561" s="167" t="s">
        <v>10505</v>
      </c>
      <c r="O561" s="55" t="str">
        <f t="shared" si="29"/>
        <v>L2.02.05.05.00.00</v>
      </c>
      <c r="P561" s="173" t="str">
        <f t="shared" si="32"/>
        <v>L2.02.05.05.00.00.06</v>
      </c>
      <c r="Q561" s="428" t="s">
        <v>10530</v>
      </c>
      <c r="R561" s="223" t="str">
        <f t="shared" si="33"/>
        <v>Phòng chuyển giao</v>
      </c>
      <c r="S561" s="429" t="s">
        <v>11400</v>
      </c>
      <c r="T561" s="176"/>
      <c r="U561" s="176"/>
      <c r="V561" s="176"/>
      <c r="W561" s="176"/>
      <c r="X561" s="176"/>
      <c r="Y561" s="224"/>
      <c r="Z561" s="225" t="s">
        <v>11409</v>
      </c>
      <c r="AA561" s="266"/>
      <c r="AB561" s="226"/>
      <c r="AC561" s="226"/>
      <c r="AD561" s="226"/>
    </row>
    <row r="562" ht="15.75" customHeight="1" outlineLevel="1">
      <c r="A562" s="177" t="s">
        <v>10833</v>
      </c>
      <c r="B562" s="221" t="s">
        <v>77</v>
      </c>
      <c r="C562" s="221" t="s">
        <v>33</v>
      </c>
      <c r="D562" s="172" t="s">
        <v>89</v>
      </c>
      <c r="E562" s="222" t="s">
        <v>42</v>
      </c>
      <c r="F562" s="175" t="s">
        <v>11398</v>
      </c>
      <c r="G562" s="172" t="s">
        <v>44</v>
      </c>
      <c r="H562" s="171" t="s">
        <v>175</v>
      </c>
      <c r="I562" s="222" t="s">
        <v>27</v>
      </c>
      <c r="J562" s="157" t="s">
        <v>4</v>
      </c>
      <c r="K562" s="297" t="s">
        <v>27</v>
      </c>
      <c r="L562" s="157" t="s">
        <v>4</v>
      </c>
      <c r="M562" s="157" t="s">
        <v>44</v>
      </c>
      <c r="N562" s="167" t="s">
        <v>10505</v>
      </c>
      <c r="O562" s="55" t="str">
        <f t="shared" si="29"/>
        <v>L2.02.05.06.00.00</v>
      </c>
      <c r="P562" s="173" t="str">
        <f t="shared" si="32"/>
        <v>L2.02.05.06.00.00.06</v>
      </c>
      <c r="Q562" s="428" t="s">
        <v>10530</v>
      </c>
      <c r="R562" s="223" t="str">
        <f t="shared" si="33"/>
        <v>Nhóm Marketing</v>
      </c>
      <c r="S562" s="429" t="s">
        <v>11400</v>
      </c>
      <c r="T562" s="176"/>
      <c r="U562" s="176"/>
      <c r="V562" s="176"/>
      <c r="W562" s="176"/>
      <c r="X562" s="176"/>
      <c r="Y562" s="224"/>
      <c r="Z562" s="225" t="s">
        <v>11410</v>
      </c>
      <c r="AA562" s="266"/>
      <c r="AB562" s="226"/>
      <c r="AC562" s="226"/>
      <c r="AD562" s="226"/>
    </row>
    <row r="563" ht="15.75" customHeight="1">
      <c r="A563" s="268" t="s">
        <v>11411</v>
      </c>
      <c r="B563" s="66"/>
      <c r="C563" s="66"/>
      <c r="D563" s="66"/>
      <c r="E563" s="67"/>
      <c r="F563" s="66"/>
      <c r="G563" s="66"/>
      <c r="H563" s="68"/>
      <c r="I563" s="66"/>
      <c r="J563" s="382"/>
      <c r="K563" s="383"/>
      <c r="L563" s="384"/>
      <c r="M563" s="383"/>
      <c r="N563" s="384"/>
      <c r="O563" s="55" t="str">
        <f t="shared" si="29"/>
        <v>Khối giáo dục tư thục.....</v>
      </c>
      <c r="P563" s="69"/>
      <c r="Q563" s="169"/>
      <c r="R563" s="169" t="str">
        <f t="shared" si="33"/>
        <v/>
      </c>
      <c r="S563" s="96"/>
      <c r="T563" s="96"/>
      <c r="U563" s="96"/>
      <c r="V563" s="96"/>
      <c r="W563" s="96"/>
      <c r="X563" s="96"/>
      <c r="Y563" s="96"/>
      <c r="Z563" s="152"/>
      <c r="AA563" s="99"/>
      <c r="AB563" s="91"/>
      <c r="AC563" s="91"/>
      <c r="AD563" s="91"/>
    </row>
    <row r="564" ht="15.75" customHeight="1" outlineLevel="1">
      <c r="A564" s="170" t="s">
        <v>10833</v>
      </c>
      <c r="B564" s="57" t="s">
        <v>77</v>
      </c>
      <c r="C564" s="51" t="s">
        <v>33</v>
      </c>
      <c r="D564" s="52" t="s">
        <v>89</v>
      </c>
      <c r="E564" s="53" t="s">
        <v>44</v>
      </c>
      <c r="F564" s="52" t="s">
        <v>176</v>
      </c>
      <c r="G564" s="325" t="s">
        <v>27</v>
      </c>
      <c r="H564" s="259" t="s">
        <v>4</v>
      </c>
      <c r="I564" s="53" t="s">
        <v>27</v>
      </c>
      <c r="J564" s="155" t="s">
        <v>4</v>
      </c>
      <c r="K564" s="166" t="s">
        <v>27</v>
      </c>
      <c r="L564" s="155" t="s">
        <v>4</v>
      </c>
      <c r="M564" s="326" t="s">
        <v>27</v>
      </c>
      <c r="N564" s="158" t="s">
        <v>10496</v>
      </c>
      <c r="O564" s="55" t="str">
        <f t="shared" si="29"/>
        <v>L2.02.06.00.00.00</v>
      </c>
      <c r="P564" s="55" t="str">
        <f t="shared" ref="P564:P569" si="35">A564&amp;"."&amp;C564&amp;"."&amp;E564&amp;"."&amp;G564&amp;"."&amp;I564&amp;"."&amp;K564&amp;"."&amp;M564</f>
        <v>L2.02.06.00.00.00.00</v>
      </c>
      <c r="Q564" s="428" t="s">
        <v>10530</v>
      </c>
      <c r="R564" s="437" t="s">
        <v>11412</v>
      </c>
      <c r="S564" s="227" t="s">
        <v>10916</v>
      </c>
      <c r="T564" s="2" t="s">
        <v>2972</v>
      </c>
      <c r="U564" s="96" t="s">
        <v>303</v>
      </c>
      <c r="V564" s="96" t="s">
        <v>2971</v>
      </c>
      <c r="W564" s="96"/>
      <c r="X564" s="96"/>
      <c r="Y564" s="96"/>
      <c r="Z564" s="98" t="s">
        <v>11413</v>
      </c>
      <c r="AA564" s="99"/>
      <c r="AB564" s="91"/>
      <c r="AC564" s="91"/>
      <c r="AD564" s="91"/>
    </row>
    <row r="565" ht="15.75" customHeight="1" outlineLevel="1">
      <c r="A565" s="170" t="s">
        <v>10833</v>
      </c>
      <c r="B565" s="57" t="s">
        <v>77</v>
      </c>
      <c r="C565" s="51" t="s">
        <v>33</v>
      </c>
      <c r="D565" s="52" t="s">
        <v>89</v>
      </c>
      <c r="E565" s="53" t="s">
        <v>44</v>
      </c>
      <c r="F565" s="52" t="s">
        <v>176</v>
      </c>
      <c r="G565" s="62" t="s">
        <v>29</v>
      </c>
      <c r="H565" s="54" t="s">
        <v>177</v>
      </c>
      <c r="I565" s="53" t="s">
        <v>27</v>
      </c>
      <c r="J565" s="155" t="s">
        <v>4</v>
      </c>
      <c r="K565" s="166" t="s">
        <v>27</v>
      </c>
      <c r="L565" s="155" t="s">
        <v>4</v>
      </c>
      <c r="M565" s="422" t="s">
        <v>46</v>
      </c>
      <c r="N565" s="158" t="s">
        <v>10496</v>
      </c>
      <c r="O565" s="55" t="str">
        <f t="shared" si="29"/>
        <v>L2.02.06.01.00.00</v>
      </c>
      <c r="P565" s="55" t="str">
        <f t="shared" si="35"/>
        <v>L2.02.06.01.00.00.07</v>
      </c>
      <c r="Q565" s="428" t="s">
        <v>10530</v>
      </c>
      <c r="R565" s="169" t="str">
        <f t="shared" ref="R565:R570" si="36">if(L565&lt;&gt;"-",L565,if(AND(L565="-",J565&lt;&gt;"-"),J565,if(AND(J565="-",H565&lt;&gt;"-"),H565,"NA")))</f>
        <v>Ban Giám đốc khối GD Tư thục</v>
      </c>
      <c r="S565" s="227" t="s">
        <v>11414</v>
      </c>
      <c r="T565" s="96"/>
      <c r="U565" s="96"/>
      <c r="V565" s="96"/>
      <c r="W565" s="96"/>
      <c r="X565" s="96"/>
      <c r="Y565" s="97" t="s">
        <v>11089</v>
      </c>
      <c r="Z565" s="98" t="s">
        <v>11415</v>
      </c>
      <c r="AA565" s="438" t="s">
        <v>10530</v>
      </c>
      <c r="AB565" s="91"/>
      <c r="AC565" s="91"/>
      <c r="AD565" s="91"/>
    </row>
    <row r="566" ht="15.75" customHeight="1" outlineLevel="1">
      <c r="A566" s="131" t="s">
        <v>10833</v>
      </c>
      <c r="B566" s="132" t="s">
        <v>77</v>
      </c>
      <c r="C566" s="132" t="s">
        <v>33</v>
      </c>
      <c r="D566" s="133" t="s">
        <v>89</v>
      </c>
      <c r="E566" s="134" t="s">
        <v>44</v>
      </c>
      <c r="F566" s="133" t="s">
        <v>176</v>
      </c>
      <c r="G566" s="133" t="s">
        <v>33</v>
      </c>
      <c r="H566" s="135" t="s">
        <v>178</v>
      </c>
      <c r="I566" s="134" t="s">
        <v>27</v>
      </c>
      <c r="J566" s="102" t="s">
        <v>4</v>
      </c>
      <c r="K566" s="103" t="s">
        <v>27</v>
      </c>
      <c r="L566" s="102" t="s">
        <v>4</v>
      </c>
      <c r="M566" s="106" t="s">
        <v>27</v>
      </c>
      <c r="N566" s="104"/>
      <c r="O566" s="136" t="str">
        <f t="shared" si="29"/>
        <v>L2.02.06.02.00.00</v>
      </c>
      <c r="P566" s="136" t="str">
        <f t="shared" si="35"/>
        <v>L2.02.06.02.00.00.00</v>
      </c>
      <c r="Q566" s="108" t="s">
        <v>10530</v>
      </c>
      <c r="R566" s="109" t="str">
        <f t="shared" si="36"/>
        <v>Phòng phát triển đối tác</v>
      </c>
      <c r="S566" s="425" t="s">
        <v>11414</v>
      </c>
      <c r="T566" s="111"/>
      <c r="U566" s="111"/>
      <c r="V566" s="111"/>
      <c r="W566" s="111"/>
      <c r="X566" s="111"/>
      <c r="Y566" s="110" t="s">
        <v>11089</v>
      </c>
      <c r="Z566" s="112" t="s">
        <v>11416</v>
      </c>
      <c r="AA566" s="113" t="s">
        <v>10530</v>
      </c>
      <c r="AB566" s="114"/>
      <c r="AC566" s="114"/>
      <c r="AD566" s="114"/>
    </row>
    <row r="567" ht="15.75" customHeight="1" outlineLevel="1">
      <c r="A567" s="170" t="s">
        <v>10833</v>
      </c>
      <c r="B567" s="57" t="s">
        <v>77</v>
      </c>
      <c r="C567" s="51" t="s">
        <v>33</v>
      </c>
      <c r="D567" s="52" t="s">
        <v>89</v>
      </c>
      <c r="E567" s="53" t="s">
        <v>44</v>
      </c>
      <c r="F567" s="52" t="s">
        <v>176</v>
      </c>
      <c r="G567" s="62" t="s">
        <v>33</v>
      </c>
      <c r="H567" s="54" t="s">
        <v>178</v>
      </c>
      <c r="I567" s="53" t="s">
        <v>27</v>
      </c>
      <c r="J567" s="155" t="s">
        <v>4</v>
      </c>
      <c r="K567" s="166" t="s">
        <v>27</v>
      </c>
      <c r="L567" s="155" t="s">
        <v>4</v>
      </c>
      <c r="M567" s="422" t="s">
        <v>46</v>
      </c>
      <c r="N567" s="158" t="s">
        <v>10496</v>
      </c>
      <c r="O567" s="55" t="str">
        <f t="shared" si="29"/>
        <v>L2.02.06.02.00.00</v>
      </c>
      <c r="P567" s="55" t="str">
        <f t="shared" si="35"/>
        <v>L2.02.06.02.00.00.07</v>
      </c>
      <c r="Q567" s="169"/>
      <c r="R567" s="169" t="str">
        <f t="shared" si="36"/>
        <v>Phòng phát triển đối tác</v>
      </c>
      <c r="S567" s="227" t="s">
        <v>11417</v>
      </c>
      <c r="T567" s="96"/>
      <c r="U567" s="96"/>
      <c r="V567" s="96"/>
      <c r="W567" s="96"/>
      <c r="X567" s="96"/>
      <c r="Y567" s="97" t="s">
        <v>11089</v>
      </c>
      <c r="Z567" s="152"/>
      <c r="AA567" s="99"/>
      <c r="AB567" s="91"/>
      <c r="AC567" s="91"/>
      <c r="AD567" s="91"/>
    </row>
    <row r="568" ht="15.75" customHeight="1" outlineLevel="1">
      <c r="A568" s="170" t="s">
        <v>10833</v>
      </c>
      <c r="B568" s="57" t="s">
        <v>77</v>
      </c>
      <c r="C568" s="51" t="s">
        <v>33</v>
      </c>
      <c r="D568" s="52" t="s">
        <v>89</v>
      </c>
      <c r="E568" s="53" t="s">
        <v>44</v>
      </c>
      <c r="F568" s="52" t="s">
        <v>176</v>
      </c>
      <c r="G568" s="62" t="s">
        <v>33</v>
      </c>
      <c r="H568" s="54" t="s">
        <v>178</v>
      </c>
      <c r="I568" s="53" t="s">
        <v>27</v>
      </c>
      <c r="J568" s="155" t="s">
        <v>4</v>
      </c>
      <c r="K568" s="166" t="s">
        <v>27</v>
      </c>
      <c r="L568" s="155" t="s">
        <v>4</v>
      </c>
      <c r="M568" s="422" t="s">
        <v>33</v>
      </c>
      <c r="N568" s="158" t="s">
        <v>10499</v>
      </c>
      <c r="O568" s="55" t="str">
        <f t="shared" si="29"/>
        <v>L2.02.06.02.00.00</v>
      </c>
      <c r="P568" s="55" t="str">
        <f t="shared" si="35"/>
        <v>L2.02.06.02.00.00.02</v>
      </c>
      <c r="Q568" s="169"/>
      <c r="R568" s="169" t="str">
        <f t="shared" si="36"/>
        <v>Phòng phát triển đối tác</v>
      </c>
      <c r="S568" s="227" t="s">
        <v>11417</v>
      </c>
      <c r="T568" s="96"/>
      <c r="U568" s="96"/>
      <c r="V568" s="96"/>
      <c r="W568" s="96"/>
      <c r="X568" s="96"/>
      <c r="Y568" s="97" t="s">
        <v>11089</v>
      </c>
      <c r="Z568" s="152"/>
      <c r="AA568" s="99"/>
      <c r="AB568" s="91"/>
      <c r="AC568" s="91"/>
      <c r="AD568" s="91"/>
    </row>
    <row r="569" ht="15.75" customHeight="1" outlineLevel="1">
      <c r="A569" s="170" t="s">
        <v>10833</v>
      </c>
      <c r="B569" s="57" t="s">
        <v>77</v>
      </c>
      <c r="C569" s="51" t="s">
        <v>33</v>
      </c>
      <c r="D569" s="52" t="s">
        <v>89</v>
      </c>
      <c r="E569" s="53" t="s">
        <v>44</v>
      </c>
      <c r="F569" s="52" t="s">
        <v>176</v>
      </c>
      <c r="G569" s="62" t="s">
        <v>35</v>
      </c>
      <c r="H569" s="54" t="s">
        <v>175</v>
      </c>
      <c r="I569" s="53" t="s">
        <v>27</v>
      </c>
      <c r="J569" s="155" t="s">
        <v>4</v>
      </c>
      <c r="K569" s="166" t="s">
        <v>27</v>
      </c>
      <c r="L569" s="155" t="s">
        <v>4</v>
      </c>
      <c r="M569" s="422" t="s">
        <v>46</v>
      </c>
      <c r="N569" s="158" t="s">
        <v>10496</v>
      </c>
      <c r="O569" s="55" t="str">
        <f t="shared" si="29"/>
        <v>L2.02.06.03.00.00</v>
      </c>
      <c r="P569" s="55" t="str">
        <f t="shared" si="35"/>
        <v>L2.02.06.03.00.00.07</v>
      </c>
      <c r="Q569" s="161" t="s">
        <v>10530</v>
      </c>
      <c r="R569" s="169" t="str">
        <f t="shared" si="36"/>
        <v>Nhóm Marketing</v>
      </c>
      <c r="S569" s="227" t="s">
        <v>11414</v>
      </c>
      <c r="T569" s="96"/>
      <c r="U569" s="96"/>
      <c r="V569" s="96"/>
      <c r="W569" s="96"/>
      <c r="X569" s="96"/>
      <c r="Y569" s="97" t="s">
        <v>11089</v>
      </c>
      <c r="Z569" s="98" t="s">
        <v>11418</v>
      </c>
      <c r="AA569" s="99"/>
      <c r="AB569" s="91"/>
      <c r="AC569" s="91"/>
      <c r="AD569" s="91"/>
    </row>
    <row r="570" ht="15.75" customHeight="1">
      <c r="A570" s="50" t="s">
        <v>10511</v>
      </c>
      <c r="B570" s="47"/>
      <c r="C570" s="47"/>
      <c r="D570" s="47"/>
      <c r="E570" s="47"/>
      <c r="F570" s="47"/>
      <c r="G570" s="48"/>
      <c r="H570" s="49"/>
      <c r="I570" s="48"/>
      <c r="J570" s="439"/>
      <c r="K570" s="439"/>
      <c r="L570" s="439"/>
      <c r="M570" s="439"/>
      <c r="N570" s="440"/>
      <c r="O570" s="55" t="str">
        <f t="shared" si="29"/>
        <v>KHỐI KD THỊ TRƯỜNG TOÀN CẦU.....</v>
      </c>
      <c r="P570" s="48"/>
      <c r="Q570" s="169"/>
      <c r="R570" s="169" t="str">
        <f t="shared" si="36"/>
        <v/>
      </c>
      <c r="S570" s="96"/>
      <c r="T570" s="96"/>
      <c r="U570" s="96"/>
      <c r="V570" s="96"/>
      <c r="W570" s="96"/>
      <c r="X570" s="96"/>
      <c r="Y570" s="96"/>
      <c r="Z570" s="152"/>
      <c r="AA570" s="99"/>
      <c r="AB570" s="91"/>
      <c r="AC570" s="91"/>
      <c r="AD570" s="91"/>
    </row>
    <row r="571" ht="15.75" customHeight="1" outlineLevel="1">
      <c r="A571" s="177" t="s">
        <v>10833</v>
      </c>
      <c r="B571" s="221" t="s">
        <v>77</v>
      </c>
      <c r="C571" s="172" t="s">
        <v>35</v>
      </c>
      <c r="D571" s="172" t="s">
        <v>179</v>
      </c>
      <c r="E571" s="222" t="s">
        <v>27</v>
      </c>
      <c r="F571" s="172" t="s">
        <v>4</v>
      </c>
      <c r="G571" s="175" t="s">
        <v>27</v>
      </c>
      <c r="H571" s="427" t="s">
        <v>4</v>
      </c>
      <c r="I571" s="222" t="s">
        <v>27</v>
      </c>
      <c r="J571" s="157" t="s">
        <v>4</v>
      </c>
      <c r="K571" s="297" t="s">
        <v>27</v>
      </c>
      <c r="L571" s="157" t="s">
        <v>4</v>
      </c>
      <c r="M571" s="168" t="s">
        <v>27</v>
      </c>
      <c r="N571" s="167"/>
      <c r="O571" s="55" t="str">
        <f t="shared" si="29"/>
        <v>L2.03.00.00.00.00</v>
      </c>
      <c r="P571" s="173" t="str">
        <f t="shared" ref="P571:P575" si="37">A571&amp;"."&amp;C571&amp;"."&amp;E571&amp;"."&amp;G571&amp;"."&amp;I571&amp;"."&amp;K571&amp;"."&amp;M571</f>
        <v>L2.03.00.00.00.00.00</v>
      </c>
      <c r="Q571" s="428" t="s">
        <v>10530</v>
      </c>
      <c r="R571" s="428" t="s">
        <v>11419</v>
      </c>
      <c r="S571" s="429" t="s">
        <v>22</v>
      </c>
      <c r="T571" s="430" t="s">
        <v>4387</v>
      </c>
      <c r="U571" s="430" t="s">
        <v>303</v>
      </c>
      <c r="V571" s="430" t="s">
        <v>4386</v>
      </c>
      <c r="W571" s="176"/>
      <c r="X571" s="176"/>
      <c r="Y571" s="176"/>
      <c r="Z571" s="225" t="s">
        <v>11420</v>
      </c>
      <c r="AA571" s="266"/>
      <c r="AB571" s="226"/>
      <c r="AC571" s="226"/>
      <c r="AD571" s="226"/>
    </row>
    <row r="572" ht="15.75" customHeight="1" outlineLevel="1">
      <c r="A572" s="170" t="s">
        <v>10833</v>
      </c>
      <c r="B572" s="57" t="s">
        <v>77</v>
      </c>
      <c r="C572" s="52" t="s">
        <v>35</v>
      </c>
      <c r="D572" s="52" t="s">
        <v>179</v>
      </c>
      <c r="E572" s="53" t="s">
        <v>27</v>
      </c>
      <c r="F572" s="52" t="s">
        <v>4</v>
      </c>
      <c r="G572" s="62" t="s">
        <v>29</v>
      </c>
      <c r="H572" s="54" t="s">
        <v>180</v>
      </c>
      <c r="I572" s="53" t="s">
        <v>27</v>
      </c>
      <c r="J572" s="155" t="s">
        <v>4</v>
      </c>
      <c r="K572" s="166" t="s">
        <v>27</v>
      </c>
      <c r="L572" s="155" t="s">
        <v>4</v>
      </c>
      <c r="M572" s="422" t="s">
        <v>33</v>
      </c>
      <c r="N572" s="158" t="s">
        <v>10499</v>
      </c>
      <c r="O572" s="55" t="str">
        <f t="shared" si="29"/>
        <v>L2.03.00.01.00.00</v>
      </c>
      <c r="P572" s="55" t="str">
        <f t="shared" si="37"/>
        <v>L2.03.00.01.00.00.02</v>
      </c>
      <c r="Q572" s="428" t="s">
        <v>10530</v>
      </c>
      <c r="R572" s="169" t="str">
        <f t="shared" ref="R572:R576" si="38">if(L572&lt;&gt;"-",L572,if(AND(L572="-",J572&lt;&gt;"-"),J572,if(AND(J572="-",H572&lt;&gt;"-"),H572,"NA")))</f>
        <v>Ban Giám đốc khối thị trường toàn cầu</v>
      </c>
      <c r="S572" s="96" t="str">
        <f t="shared" ref="S572:S575" si="39">$P$571</f>
        <v>L2.03.00.00.00.00.00</v>
      </c>
      <c r="T572" s="96"/>
      <c r="U572" s="96"/>
      <c r="V572" s="96"/>
      <c r="W572" s="96"/>
      <c r="X572" s="96"/>
      <c r="Y572" s="97" t="s">
        <v>11421</v>
      </c>
      <c r="Z572" s="98" t="s">
        <v>11422</v>
      </c>
      <c r="AA572" s="99"/>
      <c r="AB572" s="91"/>
      <c r="AC572" s="91"/>
      <c r="AD572" s="91"/>
    </row>
    <row r="573" ht="15.75" customHeight="1" outlineLevel="1">
      <c r="A573" s="170" t="s">
        <v>10833</v>
      </c>
      <c r="B573" s="57" t="s">
        <v>77</v>
      </c>
      <c r="C573" s="52" t="s">
        <v>35</v>
      </c>
      <c r="D573" s="52" t="s">
        <v>179</v>
      </c>
      <c r="E573" s="53" t="s">
        <v>27</v>
      </c>
      <c r="F573" s="52" t="s">
        <v>4</v>
      </c>
      <c r="G573" s="62" t="s">
        <v>33</v>
      </c>
      <c r="H573" s="60" t="s">
        <v>181</v>
      </c>
      <c r="I573" s="53" t="s">
        <v>27</v>
      </c>
      <c r="J573" s="155" t="s">
        <v>4</v>
      </c>
      <c r="K573" s="166" t="s">
        <v>27</v>
      </c>
      <c r="L573" s="155" t="s">
        <v>4</v>
      </c>
      <c r="M573" s="422" t="s">
        <v>33</v>
      </c>
      <c r="N573" s="158" t="s">
        <v>10499</v>
      </c>
      <c r="O573" s="55" t="str">
        <f t="shared" si="29"/>
        <v>L2.03.00.02.00.00</v>
      </c>
      <c r="P573" s="55" t="str">
        <f t="shared" si="37"/>
        <v>L2.03.00.02.00.00.02</v>
      </c>
      <c r="Q573" s="428" t="s">
        <v>10530</v>
      </c>
      <c r="R573" s="169" t="str">
        <f t="shared" si="38"/>
        <v>Phòng phát triển đối tác PDR</v>
      </c>
      <c r="S573" s="96" t="str">
        <f t="shared" si="39"/>
        <v>L2.03.00.00.00.00.00</v>
      </c>
      <c r="T573" s="441"/>
      <c r="U573" s="441"/>
      <c r="V573" s="441"/>
      <c r="W573" s="441"/>
      <c r="X573" s="96"/>
      <c r="Y573" s="97" t="s">
        <v>11421</v>
      </c>
      <c r="Z573" s="98" t="s">
        <v>11423</v>
      </c>
      <c r="AA573" s="153" t="s">
        <v>10530</v>
      </c>
      <c r="AB573" s="91"/>
      <c r="AC573" s="91"/>
      <c r="AD573" s="91"/>
    </row>
    <row r="574" ht="15.75" customHeight="1" outlineLevel="1">
      <c r="A574" s="170" t="s">
        <v>10833</v>
      </c>
      <c r="B574" s="57" t="s">
        <v>77</v>
      </c>
      <c r="C574" s="52" t="s">
        <v>35</v>
      </c>
      <c r="D574" s="52" t="s">
        <v>179</v>
      </c>
      <c r="E574" s="53" t="s">
        <v>27</v>
      </c>
      <c r="F574" s="52" t="s">
        <v>4</v>
      </c>
      <c r="G574" s="62" t="s">
        <v>35</v>
      </c>
      <c r="H574" s="60" t="s">
        <v>182</v>
      </c>
      <c r="I574" s="53" t="s">
        <v>27</v>
      </c>
      <c r="J574" s="155" t="s">
        <v>4</v>
      </c>
      <c r="K574" s="166" t="s">
        <v>27</v>
      </c>
      <c r="L574" s="155" t="s">
        <v>4</v>
      </c>
      <c r="M574" s="422" t="s">
        <v>33</v>
      </c>
      <c r="N574" s="158" t="s">
        <v>10499</v>
      </c>
      <c r="O574" s="55" t="str">
        <f t="shared" si="29"/>
        <v>L2.03.00.03.00.00</v>
      </c>
      <c r="P574" s="55" t="str">
        <f t="shared" si="37"/>
        <v>L2.03.00.03.00.00.02</v>
      </c>
      <c r="Q574" s="428" t="s">
        <v>10530</v>
      </c>
      <c r="R574" s="169" t="str">
        <f t="shared" si="38"/>
        <v>Phòng triển khai ONB</v>
      </c>
      <c r="S574" s="96" t="str">
        <f t="shared" si="39"/>
        <v>L2.03.00.00.00.00.00</v>
      </c>
      <c r="T574" s="96"/>
      <c r="U574" s="96"/>
      <c r="V574" s="96"/>
      <c r="W574" s="96"/>
      <c r="X574" s="96"/>
      <c r="Y574" s="97" t="s">
        <v>11421</v>
      </c>
      <c r="Z574" s="98" t="s">
        <v>11424</v>
      </c>
      <c r="AA574" s="153" t="s">
        <v>10530</v>
      </c>
      <c r="AB574" s="91"/>
      <c r="AC574" s="91"/>
      <c r="AD574" s="91"/>
    </row>
    <row r="575" ht="15.75" customHeight="1" outlineLevel="1">
      <c r="A575" s="170" t="s">
        <v>10833</v>
      </c>
      <c r="B575" s="57" t="s">
        <v>77</v>
      </c>
      <c r="C575" s="52" t="s">
        <v>35</v>
      </c>
      <c r="D575" s="52" t="s">
        <v>179</v>
      </c>
      <c r="E575" s="53" t="s">
        <v>27</v>
      </c>
      <c r="F575" s="52" t="s">
        <v>4</v>
      </c>
      <c r="G575" s="62" t="s">
        <v>37</v>
      </c>
      <c r="H575" s="60" t="s">
        <v>183</v>
      </c>
      <c r="I575" s="53" t="s">
        <v>27</v>
      </c>
      <c r="J575" s="155" t="s">
        <v>4</v>
      </c>
      <c r="K575" s="166" t="s">
        <v>27</v>
      </c>
      <c r="L575" s="155" t="s">
        <v>4</v>
      </c>
      <c r="M575" s="422" t="s">
        <v>33</v>
      </c>
      <c r="N575" s="158" t="s">
        <v>10499</v>
      </c>
      <c r="O575" s="55" t="str">
        <f t="shared" si="29"/>
        <v>L2.03.00.04.00.00</v>
      </c>
      <c r="P575" s="55" t="str">
        <f t="shared" si="37"/>
        <v>L2.03.00.04.00.00.02</v>
      </c>
      <c r="Q575" s="428" t="s">
        <v>10530</v>
      </c>
      <c r="R575" s="169" t="str">
        <f t="shared" si="38"/>
        <v>Nhóm Marketing Support</v>
      </c>
      <c r="S575" s="96" t="str">
        <f t="shared" si="39"/>
        <v>L2.03.00.00.00.00.00</v>
      </c>
      <c r="T575" s="96"/>
      <c r="U575" s="96"/>
      <c r="V575" s="96"/>
      <c r="W575" s="96"/>
      <c r="X575" s="96"/>
      <c r="Y575" s="97" t="s">
        <v>11421</v>
      </c>
      <c r="Z575" s="98" t="s">
        <v>11425</v>
      </c>
      <c r="AA575" s="99"/>
      <c r="AB575" s="91"/>
      <c r="AC575" s="91"/>
      <c r="AD575" s="91"/>
    </row>
    <row r="576" ht="15.75" customHeight="1">
      <c r="A576" s="50" t="s">
        <v>10512</v>
      </c>
      <c r="B576" s="47"/>
      <c r="C576" s="47"/>
      <c r="D576" s="47"/>
      <c r="E576" s="47"/>
      <c r="F576" s="47"/>
      <c r="G576" s="48"/>
      <c r="H576" s="49"/>
      <c r="I576" s="48"/>
      <c r="J576" s="439"/>
      <c r="K576" s="439"/>
      <c r="L576" s="439"/>
      <c r="M576" s="439"/>
      <c r="N576" s="440"/>
      <c r="O576" s="55" t="str">
        <f t="shared" si="29"/>
        <v>KHỐI KD THỊ TRƯỜNG KHÁCH HÀNG CÁ NHÂN.....</v>
      </c>
      <c r="P576" s="48"/>
      <c r="Q576" s="169"/>
      <c r="R576" s="169" t="str">
        <f t="shared" si="38"/>
        <v/>
      </c>
      <c r="S576" s="96"/>
      <c r="T576" s="96"/>
      <c r="U576" s="96"/>
      <c r="V576" s="96"/>
      <c r="W576" s="96"/>
      <c r="X576" s="96"/>
      <c r="Y576" s="96"/>
      <c r="Z576" s="152"/>
      <c r="AA576" s="99"/>
      <c r="AB576" s="91"/>
      <c r="AC576" s="91"/>
      <c r="AD576" s="91"/>
    </row>
    <row r="577" ht="15.75" customHeight="1" outlineLevel="1">
      <c r="A577" s="170" t="s">
        <v>10833</v>
      </c>
      <c r="B577" s="57" t="s">
        <v>77</v>
      </c>
      <c r="C577" s="52" t="s">
        <v>37</v>
      </c>
      <c r="D577" s="52" t="s">
        <v>184</v>
      </c>
      <c r="E577" s="53" t="s">
        <v>27</v>
      </c>
      <c r="F577" s="52" t="s">
        <v>4</v>
      </c>
      <c r="G577" s="325" t="s">
        <v>27</v>
      </c>
      <c r="H577" s="259" t="s">
        <v>4</v>
      </c>
      <c r="I577" s="53" t="s">
        <v>27</v>
      </c>
      <c r="J577" s="155" t="s">
        <v>4</v>
      </c>
      <c r="K577" s="166" t="s">
        <v>27</v>
      </c>
      <c r="L577" s="155" t="s">
        <v>4</v>
      </c>
      <c r="M577" s="168" t="s">
        <v>27</v>
      </c>
      <c r="N577" s="167"/>
      <c r="O577" s="55" t="str">
        <f t="shared" si="29"/>
        <v>L2.04.00.00.00.00</v>
      </c>
      <c r="P577" s="55" t="str">
        <f t="shared" ref="P577:P578" si="40">A577&amp;"."&amp;C577&amp;"."&amp;E577&amp;"."&amp;G577&amp;"."&amp;I577&amp;"."&amp;K577&amp;"."&amp;M577</f>
        <v>L2.04.00.00.00.00.00</v>
      </c>
      <c r="Q577" s="428" t="s">
        <v>10530</v>
      </c>
      <c r="R577" s="161" t="s">
        <v>11426</v>
      </c>
      <c r="S577" s="227" t="s">
        <v>22</v>
      </c>
      <c r="T577" s="96" t="s">
        <v>9508</v>
      </c>
      <c r="U577" s="96" t="s">
        <v>303</v>
      </c>
      <c r="V577" s="96" t="s">
        <v>9507</v>
      </c>
      <c r="W577" s="96"/>
      <c r="X577" s="96"/>
      <c r="Y577" s="96"/>
      <c r="Z577" s="98" t="s">
        <v>11427</v>
      </c>
      <c r="AA577" s="99"/>
      <c r="AB577" s="91"/>
      <c r="AC577" s="91"/>
      <c r="AD577" s="91"/>
    </row>
    <row r="578" ht="15.75" customHeight="1" outlineLevel="1">
      <c r="A578" s="170" t="s">
        <v>10833</v>
      </c>
      <c r="B578" s="57" t="s">
        <v>77</v>
      </c>
      <c r="C578" s="52" t="s">
        <v>37</v>
      </c>
      <c r="D578" s="52" t="s">
        <v>184</v>
      </c>
      <c r="E578" s="53" t="s">
        <v>27</v>
      </c>
      <c r="F578" s="52" t="s">
        <v>4</v>
      </c>
      <c r="G578" s="62" t="s">
        <v>29</v>
      </c>
      <c r="H578" s="54" t="s">
        <v>185</v>
      </c>
      <c r="I578" s="53" t="s">
        <v>27</v>
      </c>
      <c r="J578" s="155" t="s">
        <v>4</v>
      </c>
      <c r="K578" s="166" t="s">
        <v>27</v>
      </c>
      <c r="L578" s="155" t="s">
        <v>4</v>
      </c>
      <c r="M578" s="422" t="s">
        <v>46</v>
      </c>
      <c r="N578" s="158" t="s">
        <v>10496</v>
      </c>
      <c r="O578" s="55" t="str">
        <f t="shared" si="29"/>
        <v>L2.04.00.01.00.00</v>
      </c>
      <c r="P578" s="55" t="str">
        <f t="shared" si="40"/>
        <v>L2.04.00.01.00.00.07</v>
      </c>
      <c r="Q578" s="428" t="s">
        <v>10530</v>
      </c>
      <c r="R578" s="169" t="str">
        <f t="shared" ref="R578:R579" si="41">if(L578&lt;&gt;"-",L578,if(AND(L578="-",J578&lt;&gt;"-"),J578,if(AND(J578="-",H578&lt;&gt;"-"),H578,"NA")))</f>
        <v>Ban Giám đốc khối thị trường KH cá nhân</v>
      </c>
      <c r="S578" s="96" t="str">
        <f>$P$577</f>
        <v>L2.04.00.00.00.00.00</v>
      </c>
      <c r="T578" s="96" t="s">
        <v>9508</v>
      </c>
      <c r="U578" s="96" t="s">
        <v>303</v>
      </c>
      <c r="V578" s="96" t="s">
        <v>9507</v>
      </c>
      <c r="W578" s="96"/>
      <c r="X578" s="96"/>
      <c r="Y578" s="96"/>
      <c r="Z578" s="98" t="s">
        <v>11428</v>
      </c>
      <c r="AA578" s="153" t="s">
        <v>10530</v>
      </c>
      <c r="AB578" s="91"/>
      <c r="AC578" s="91"/>
      <c r="AD578" s="91"/>
    </row>
    <row r="579" ht="15.75" customHeight="1">
      <c r="A579" s="633" t="s">
        <v>10513</v>
      </c>
      <c r="B579" s="634"/>
      <c r="C579" s="634"/>
      <c r="D579" s="634"/>
      <c r="E579" s="634"/>
      <c r="F579" s="634"/>
      <c r="G579" s="635"/>
      <c r="H579" s="49"/>
      <c r="I579" s="48"/>
      <c r="J579" s="439"/>
      <c r="K579" s="439"/>
      <c r="L579" s="439"/>
      <c r="M579" s="439"/>
      <c r="N579" s="440"/>
      <c r="O579" s="55" t="str">
        <f t="shared" si="29"/>
        <v>KHỐI HỖ TRỢ VÀ CHĂM SÓC KHÁCH HÀNG.....</v>
      </c>
      <c r="P579" s="48"/>
      <c r="Q579" s="169"/>
      <c r="R579" s="169" t="str">
        <f t="shared" si="41"/>
        <v/>
      </c>
      <c r="S579" s="96"/>
      <c r="T579" s="96"/>
      <c r="U579" s="96"/>
      <c r="V579" s="96"/>
      <c r="W579" s="96"/>
      <c r="X579" s="96"/>
      <c r="Y579" s="96"/>
      <c r="Z579" s="152"/>
      <c r="AA579" s="99"/>
      <c r="AB579" s="91"/>
      <c r="AC579" s="565" t="s">
        <v>11787</v>
      </c>
      <c r="AD579" s="91"/>
    </row>
    <row r="580" ht="15.75" customHeight="1" outlineLevel="1">
      <c r="A580" s="170" t="s">
        <v>11429</v>
      </c>
      <c r="B580" s="57" t="s">
        <v>189</v>
      </c>
      <c r="C580" s="51" t="s">
        <v>27</v>
      </c>
      <c r="D580" s="52" t="s">
        <v>4</v>
      </c>
      <c r="E580" s="53" t="s">
        <v>27</v>
      </c>
      <c r="F580" s="52" t="s">
        <v>4</v>
      </c>
      <c r="G580" s="325" t="s">
        <v>27</v>
      </c>
      <c r="H580" s="259" t="s">
        <v>4</v>
      </c>
      <c r="I580" s="53" t="s">
        <v>27</v>
      </c>
      <c r="J580" s="155" t="s">
        <v>4</v>
      </c>
      <c r="K580" s="166" t="s">
        <v>27</v>
      </c>
      <c r="L580" s="155" t="s">
        <v>4</v>
      </c>
      <c r="M580" s="326" t="s">
        <v>27</v>
      </c>
      <c r="N580" s="158"/>
      <c r="O580" s="55" t="str">
        <f t="shared" si="29"/>
        <v>L3.00.00.00.00.00</v>
      </c>
      <c r="P580" s="55" t="str">
        <f t="shared" ref="P580:P622" si="42">A580&amp;"."&amp;C580&amp;"."&amp;E580&amp;"."&amp;G580&amp;"."&amp;I580&amp;"."&amp;K580&amp;"."&amp;M580</f>
        <v>L3.00.00.00.00.00.00</v>
      </c>
      <c r="Q580" s="428" t="s">
        <v>10530</v>
      </c>
      <c r="R580" s="437" t="s">
        <v>11430</v>
      </c>
      <c r="S580" s="443" t="s">
        <v>22</v>
      </c>
      <c r="T580" s="444" t="s">
        <v>76</v>
      </c>
      <c r="U580" s="441" t="s">
        <v>576</v>
      </c>
      <c r="V580" s="441"/>
      <c r="W580" s="441"/>
      <c r="X580" s="96"/>
      <c r="Y580" s="96"/>
      <c r="Z580" s="98" t="s">
        <v>11431</v>
      </c>
      <c r="AA580" s="99"/>
      <c r="AB580" s="91"/>
      <c r="AC580" s="91"/>
      <c r="AD580" s="91"/>
    </row>
    <row r="581" ht="15.75" customHeight="1" outlineLevel="1">
      <c r="A581" s="170" t="s">
        <v>11429</v>
      </c>
      <c r="B581" s="57" t="s">
        <v>189</v>
      </c>
      <c r="C581" s="51" t="s">
        <v>27</v>
      </c>
      <c r="D581" s="52" t="s">
        <v>4</v>
      </c>
      <c r="E581" s="53" t="s">
        <v>27</v>
      </c>
      <c r="F581" s="52" t="s">
        <v>4</v>
      </c>
      <c r="G581" s="62" t="s">
        <v>29</v>
      </c>
      <c r="H581" s="54" t="s">
        <v>190</v>
      </c>
      <c r="I581" s="53" t="s">
        <v>27</v>
      </c>
      <c r="J581" s="155" t="s">
        <v>4</v>
      </c>
      <c r="K581" s="166" t="s">
        <v>27</v>
      </c>
      <c r="L581" s="155" t="s">
        <v>4</v>
      </c>
      <c r="M581" s="422" t="s">
        <v>49</v>
      </c>
      <c r="N581" s="158" t="s">
        <v>10514</v>
      </c>
      <c r="O581" s="55" t="str">
        <f t="shared" si="29"/>
        <v>L3.00.00.01.00.00</v>
      </c>
      <c r="P581" s="55" t="str">
        <f t="shared" si="42"/>
        <v>L3.00.00.01.00.00.08</v>
      </c>
      <c r="Q581" s="428" t="s">
        <v>10530</v>
      </c>
      <c r="R581" s="169" t="str">
        <f t="shared" ref="R581:R606" si="43">if(L581&lt;&gt;"-",L581,if(AND(L581="-",J581&lt;&gt;"-"),J581,if(AND(J581="-",H581&lt;&gt;"-"),H581,"NA")))</f>
        <v>Ban Giám đốc Khối HT &amp; CSKH</v>
      </c>
      <c r="S581" s="443" t="s">
        <v>11432</v>
      </c>
      <c r="T581" s="441" t="s">
        <v>9986</v>
      </c>
      <c r="U581" s="441" t="s">
        <v>576</v>
      </c>
      <c r="V581" s="441" t="s">
        <v>9985</v>
      </c>
      <c r="W581" s="441" t="s">
        <v>9985</v>
      </c>
      <c r="X581" s="96"/>
      <c r="Y581" s="96"/>
      <c r="Z581" s="98" t="s">
        <v>11433</v>
      </c>
      <c r="AA581" s="153" t="s">
        <v>10530</v>
      </c>
      <c r="AB581" s="91"/>
      <c r="AC581" s="91"/>
      <c r="AD581" s="91"/>
    </row>
    <row r="582" ht="15.75" customHeight="1" outlineLevel="1">
      <c r="A582" s="131" t="s">
        <v>11429</v>
      </c>
      <c r="B582" s="132" t="s">
        <v>189</v>
      </c>
      <c r="C582" s="132" t="s">
        <v>27</v>
      </c>
      <c r="D582" s="133" t="s">
        <v>4</v>
      </c>
      <c r="E582" s="134" t="s">
        <v>27</v>
      </c>
      <c r="F582" s="133" t="s">
        <v>4</v>
      </c>
      <c r="G582" s="133" t="s">
        <v>33</v>
      </c>
      <c r="H582" s="135" t="s">
        <v>34</v>
      </c>
      <c r="I582" s="134" t="s">
        <v>27</v>
      </c>
      <c r="J582" s="102" t="s">
        <v>4</v>
      </c>
      <c r="K582" s="103" t="s">
        <v>27</v>
      </c>
      <c r="L582" s="102" t="s">
        <v>4</v>
      </c>
      <c r="M582" s="106" t="s">
        <v>27</v>
      </c>
      <c r="N582" s="104"/>
      <c r="O582" s="136" t="str">
        <f t="shared" si="29"/>
        <v>L3.00.00.02.00.00</v>
      </c>
      <c r="P582" s="136" t="str">
        <f t="shared" si="42"/>
        <v>L3.00.00.02.00.00.00</v>
      </c>
      <c r="Q582" s="108" t="s">
        <v>10530</v>
      </c>
      <c r="R582" s="109" t="str">
        <f t="shared" si="43"/>
        <v>Phòng HCTH</v>
      </c>
      <c r="S582" s="445" t="s">
        <v>11432</v>
      </c>
      <c r="T582" s="111" t="s">
        <v>7335</v>
      </c>
      <c r="U582" s="111" t="s">
        <v>576</v>
      </c>
      <c r="V582" s="111" t="s">
        <v>2463</v>
      </c>
      <c r="W582" s="111"/>
      <c r="X582" s="111"/>
      <c r="Y582" s="111"/>
      <c r="Z582" s="112" t="s">
        <v>11434</v>
      </c>
      <c r="AA582" s="113" t="s">
        <v>10530</v>
      </c>
      <c r="AB582" s="114"/>
      <c r="AC582" s="114"/>
      <c r="AD582" s="114"/>
    </row>
    <row r="583" ht="15.75" customHeight="1" outlineLevel="1">
      <c r="A583" s="137" t="s">
        <v>11429</v>
      </c>
      <c r="B583" s="138" t="s">
        <v>189</v>
      </c>
      <c r="C583" s="139" t="s">
        <v>27</v>
      </c>
      <c r="D583" s="140" t="s">
        <v>4</v>
      </c>
      <c r="E583" s="141" t="s">
        <v>27</v>
      </c>
      <c r="F583" s="140" t="s">
        <v>4</v>
      </c>
      <c r="G583" s="142" t="s">
        <v>33</v>
      </c>
      <c r="H583" s="143" t="s">
        <v>34</v>
      </c>
      <c r="I583" s="141" t="s">
        <v>27</v>
      </c>
      <c r="J583" s="146" t="s">
        <v>4</v>
      </c>
      <c r="K583" s="145" t="s">
        <v>27</v>
      </c>
      <c r="L583" s="146" t="s">
        <v>4</v>
      </c>
      <c r="M583" s="147" t="s">
        <v>49</v>
      </c>
      <c r="N583" s="148" t="s">
        <v>10514</v>
      </c>
      <c r="O583" s="149" t="str">
        <f t="shared" si="29"/>
        <v>L3.00.00.02.00.00</v>
      </c>
      <c r="P583" s="149" t="str">
        <f t="shared" si="42"/>
        <v>L3.00.00.02.00.00.08</v>
      </c>
      <c r="Q583" s="125"/>
      <c r="R583" s="223" t="str">
        <f t="shared" si="43"/>
        <v>Phòng HCTH</v>
      </c>
      <c r="S583" s="446" t="s">
        <v>11435</v>
      </c>
      <c r="T583" s="127"/>
      <c r="U583" s="127"/>
      <c r="V583" s="127"/>
      <c r="W583" s="127"/>
      <c r="X583" s="127"/>
      <c r="Y583" s="127"/>
      <c r="Z583" s="128"/>
      <c r="AA583" s="129"/>
      <c r="AB583" s="130"/>
      <c r="AC583" s="130"/>
      <c r="AD583" s="130"/>
    </row>
    <row r="584" ht="15.75" customHeight="1" outlineLevel="1">
      <c r="A584" s="137" t="s">
        <v>11429</v>
      </c>
      <c r="B584" s="138" t="s">
        <v>189</v>
      </c>
      <c r="C584" s="139" t="s">
        <v>27</v>
      </c>
      <c r="D584" s="140" t="s">
        <v>4</v>
      </c>
      <c r="E584" s="141" t="s">
        <v>27</v>
      </c>
      <c r="F584" s="140" t="s">
        <v>4</v>
      </c>
      <c r="G584" s="142" t="s">
        <v>33</v>
      </c>
      <c r="H584" s="143" t="s">
        <v>34</v>
      </c>
      <c r="I584" s="141" t="s">
        <v>27</v>
      </c>
      <c r="J584" s="146" t="s">
        <v>4</v>
      </c>
      <c r="K584" s="145" t="s">
        <v>27</v>
      </c>
      <c r="L584" s="146" t="s">
        <v>4</v>
      </c>
      <c r="M584" s="147" t="s">
        <v>51</v>
      </c>
      <c r="N584" s="148" t="s">
        <v>10515</v>
      </c>
      <c r="O584" s="149" t="str">
        <f t="shared" si="29"/>
        <v>L3.00.00.02.00.00</v>
      </c>
      <c r="P584" s="149" t="str">
        <f t="shared" si="42"/>
        <v>L3.00.00.02.00.00.09</v>
      </c>
      <c r="Q584" s="125"/>
      <c r="R584" s="223" t="str">
        <f t="shared" si="43"/>
        <v>Phòng HCTH</v>
      </c>
      <c r="S584" s="446" t="s">
        <v>11435</v>
      </c>
      <c r="T584" s="127"/>
      <c r="U584" s="127"/>
      <c r="V584" s="127"/>
      <c r="W584" s="127"/>
      <c r="X584" s="127"/>
      <c r="Y584" s="127"/>
      <c r="Z584" s="128"/>
      <c r="AA584" s="129"/>
      <c r="AB584" s="130"/>
      <c r="AC584" s="130"/>
      <c r="AD584" s="130"/>
    </row>
    <row r="585" ht="15.75" customHeight="1" outlineLevel="1">
      <c r="A585" s="177" t="s">
        <v>11429</v>
      </c>
      <c r="B585" s="221" t="s">
        <v>189</v>
      </c>
      <c r="C585" s="221" t="s">
        <v>27</v>
      </c>
      <c r="D585" s="172" t="s">
        <v>4</v>
      </c>
      <c r="E585" s="222" t="s">
        <v>27</v>
      </c>
      <c r="F585" s="172" t="s">
        <v>4</v>
      </c>
      <c r="G585" s="172" t="s">
        <v>35</v>
      </c>
      <c r="H585" s="171" t="s">
        <v>191</v>
      </c>
      <c r="I585" s="222" t="s">
        <v>27</v>
      </c>
      <c r="J585" s="157" t="s">
        <v>4</v>
      </c>
      <c r="K585" s="297" t="s">
        <v>27</v>
      </c>
      <c r="L585" s="157" t="s">
        <v>4</v>
      </c>
      <c r="M585" s="168" t="s">
        <v>27</v>
      </c>
      <c r="N585" s="167"/>
      <c r="O585" s="173" t="str">
        <f t="shared" si="29"/>
        <v>L3.00.00.03.00.00</v>
      </c>
      <c r="P585" s="173" t="str">
        <f t="shared" si="42"/>
        <v>L3.00.00.03.00.00.00</v>
      </c>
      <c r="Q585" s="428" t="s">
        <v>10530</v>
      </c>
      <c r="R585" s="223" t="str">
        <f t="shared" si="43"/>
        <v>Phòng hỗ trợ giải pháp TCKT DN</v>
      </c>
      <c r="S585" s="217" t="s">
        <v>11432</v>
      </c>
      <c r="T585" s="176"/>
      <c r="U585" s="176"/>
      <c r="V585" s="176"/>
      <c r="W585" s="176"/>
      <c r="X585" s="176"/>
      <c r="Y585" s="224" t="s">
        <v>11436</v>
      </c>
      <c r="Z585" s="225" t="s">
        <v>11437</v>
      </c>
      <c r="AA585" s="266"/>
      <c r="AB585" s="226"/>
      <c r="AC585" s="226"/>
      <c r="AD585" s="226"/>
    </row>
    <row r="586" ht="15.75" customHeight="1" outlineLevel="1">
      <c r="A586" s="228" t="s">
        <v>11429</v>
      </c>
      <c r="B586" s="270" t="s">
        <v>189</v>
      </c>
      <c r="C586" s="270" t="s">
        <v>27</v>
      </c>
      <c r="D586" s="209" t="s">
        <v>4</v>
      </c>
      <c r="E586" s="271" t="s">
        <v>27</v>
      </c>
      <c r="F586" s="209" t="s">
        <v>4</v>
      </c>
      <c r="G586" s="209" t="s">
        <v>35</v>
      </c>
      <c r="H586" s="181" t="s">
        <v>191</v>
      </c>
      <c r="I586" s="182" t="s">
        <v>29</v>
      </c>
      <c r="J586" s="212" t="s">
        <v>11438</v>
      </c>
      <c r="K586" s="271" t="s">
        <v>27</v>
      </c>
      <c r="L586" s="209" t="s">
        <v>4</v>
      </c>
      <c r="M586" s="209" t="s">
        <v>49</v>
      </c>
      <c r="N586" s="181" t="s">
        <v>10514</v>
      </c>
      <c r="O586" s="272" t="str">
        <f t="shared" si="29"/>
        <v>L3.00.00.03.01.00</v>
      </c>
      <c r="P586" s="272" t="str">
        <f t="shared" si="42"/>
        <v>L3.00.00.03.01.00.08</v>
      </c>
      <c r="Q586" s="447" t="s">
        <v>10530</v>
      </c>
      <c r="R586" s="273" t="str">
        <f t="shared" si="43"/>
        <v>Nhóm TCKT DN 01</v>
      </c>
      <c r="S586" s="448" t="str">
        <f>P585</f>
        <v>L3.00.00.03.00.00.00</v>
      </c>
      <c r="T586" s="2" t="s">
        <v>3240</v>
      </c>
      <c r="U586" s="2" t="s">
        <v>576</v>
      </c>
      <c r="V586" s="2" t="s">
        <v>3239</v>
      </c>
      <c r="W586" s="2" t="s">
        <v>3238</v>
      </c>
      <c r="X586" s="183"/>
      <c r="Y586" s="184"/>
      <c r="Z586" s="275" t="s">
        <v>11439</v>
      </c>
      <c r="AA586" s="276"/>
      <c r="AB586" s="277"/>
      <c r="AC586" s="566" t="s">
        <v>11788</v>
      </c>
      <c r="AD586" s="277"/>
    </row>
    <row r="587" ht="15.75" customHeight="1" outlineLevel="1">
      <c r="A587" s="228" t="s">
        <v>11429</v>
      </c>
      <c r="B587" s="270" t="s">
        <v>189</v>
      </c>
      <c r="C587" s="270" t="s">
        <v>27</v>
      </c>
      <c r="D587" s="209" t="s">
        <v>4</v>
      </c>
      <c r="E587" s="271" t="s">
        <v>27</v>
      </c>
      <c r="F587" s="209" t="s">
        <v>4</v>
      </c>
      <c r="G587" s="209" t="s">
        <v>35</v>
      </c>
      <c r="H587" s="181" t="s">
        <v>191</v>
      </c>
      <c r="I587" s="182" t="s">
        <v>33</v>
      </c>
      <c r="J587" s="212" t="s">
        <v>11440</v>
      </c>
      <c r="K587" s="271" t="s">
        <v>27</v>
      </c>
      <c r="L587" s="209" t="s">
        <v>4</v>
      </c>
      <c r="M587" s="182" t="s">
        <v>27</v>
      </c>
      <c r="N587" s="181"/>
      <c r="O587" s="272" t="str">
        <f t="shared" si="29"/>
        <v>L3.00.00.03.02.00</v>
      </c>
      <c r="P587" s="272" t="str">
        <f t="shared" si="42"/>
        <v>L3.00.00.03.02.00.00</v>
      </c>
      <c r="Q587" s="447" t="s">
        <v>10530</v>
      </c>
      <c r="R587" s="273" t="str">
        <f t="shared" si="43"/>
        <v>Nhóm TCKT DN 02</v>
      </c>
      <c r="S587" s="448" t="str">
        <f>P585</f>
        <v>L3.00.00.03.00.00.00</v>
      </c>
      <c r="T587" s="2" t="s">
        <v>2849</v>
      </c>
      <c r="U587" s="2" t="s">
        <v>576</v>
      </c>
      <c r="V587" s="2" t="s">
        <v>2817</v>
      </c>
      <c r="W587" s="2" t="s">
        <v>2848</v>
      </c>
      <c r="X587" s="183"/>
      <c r="Y587" s="184"/>
      <c r="Z587" s="275" t="s">
        <v>11441</v>
      </c>
      <c r="AA587" s="276"/>
      <c r="AB587" s="277"/>
      <c r="AC587" s="566" t="s">
        <v>11788</v>
      </c>
      <c r="AD587" s="277"/>
    </row>
    <row r="588" ht="15.75" customHeight="1" outlineLevel="1">
      <c r="A588" s="228" t="s">
        <v>11429</v>
      </c>
      <c r="B588" s="270" t="s">
        <v>189</v>
      </c>
      <c r="C588" s="270" t="s">
        <v>27</v>
      </c>
      <c r="D588" s="209" t="s">
        <v>4</v>
      </c>
      <c r="E588" s="271" t="s">
        <v>27</v>
      </c>
      <c r="F588" s="209" t="s">
        <v>4</v>
      </c>
      <c r="G588" s="209" t="s">
        <v>35</v>
      </c>
      <c r="H588" s="181" t="s">
        <v>191</v>
      </c>
      <c r="I588" s="182" t="s">
        <v>33</v>
      </c>
      <c r="J588" s="212" t="s">
        <v>11440</v>
      </c>
      <c r="K588" s="271" t="s">
        <v>27</v>
      </c>
      <c r="L588" s="209" t="s">
        <v>4</v>
      </c>
      <c r="M588" s="209" t="s">
        <v>42</v>
      </c>
      <c r="N588" s="181" t="s">
        <v>10502</v>
      </c>
      <c r="O588" s="272" t="str">
        <f t="shared" si="29"/>
        <v>L3.00.00.03.02.00</v>
      </c>
      <c r="P588" s="272" t="str">
        <f t="shared" si="42"/>
        <v>L3.00.00.03.02.00.05</v>
      </c>
      <c r="Q588" s="447"/>
      <c r="R588" s="273" t="str">
        <f t="shared" si="43"/>
        <v>Nhóm TCKT DN 02</v>
      </c>
      <c r="S588" s="448" t="str">
        <f>P587</f>
        <v>L3.00.00.03.02.00.00</v>
      </c>
      <c r="T588" s="183"/>
      <c r="U588" s="183"/>
      <c r="V588" s="183"/>
      <c r="W588" s="183"/>
      <c r="X588" s="183"/>
      <c r="Y588" s="184"/>
      <c r="Z588" s="275"/>
      <c r="AA588" s="276"/>
      <c r="AB588" s="277"/>
      <c r="AC588" s="566" t="s">
        <v>11788</v>
      </c>
      <c r="AD588" s="277"/>
    </row>
    <row r="589" ht="15.75" customHeight="1" outlineLevel="1">
      <c r="A589" s="228" t="s">
        <v>11429</v>
      </c>
      <c r="B589" s="270" t="s">
        <v>189</v>
      </c>
      <c r="C589" s="270" t="s">
        <v>27</v>
      </c>
      <c r="D589" s="209" t="s">
        <v>4</v>
      </c>
      <c r="E589" s="271" t="s">
        <v>27</v>
      </c>
      <c r="F589" s="209" t="s">
        <v>4</v>
      </c>
      <c r="G589" s="209" t="s">
        <v>35</v>
      </c>
      <c r="H589" s="181" t="s">
        <v>191</v>
      </c>
      <c r="I589" s="182" t="s">
        <v>33</v>
      </c>
      <c r="J589" s="212" t="s">
        <v>11440</v>
      </c>
      <c r="K589" s="271" t="s">
        <v>27</v>
      </c>
      <c r="L589" s="209" t="s">
        <v>4</v>
      </c>
      <c r="M589" s="209" t="s">
        <v>49</v>
      </c>
      <c r="N589" s="181" t="s">
        <v>10514</v>
      </c>
      <c r="O589" s="272" t="str">
        <f t="shared" si="29"/>
        <v>L3.00.00.03.02.00</v>
      </c>
      <c r="P589" s="272" t="str">
        <f t="shared" si="42"/>
        <v>L3.00.00.03.02.00.08</v>
      </c>
      <c r="Q589" s="447"/>
      <c r="R589" s="273" t="str">
        <f t="shared" si="43"/>
        <v>Nhóm TCKT DN 02</v>
      </c>
      <c r="S589" s="448" t="str">
        <f>P587</f>
        <v>L3.00.00.03.02.00.00</v>
      </c>
      <c r="T589" s="183"/>
      <c r="U589" s="183"/>
      <c r="V589" s="183"/>
      <c r="W589" s="183"/>
      <c r="X589" s="183"/>
      <c r="Y589" s="184"/>
      <c r="Z589" s="275"/>
      <c r="AA589" s="276"/>
      <c r="AB589" s="277"/>
      <c r="AC589" s="566" t="s">
        <v>11788</v>
      </c>
      <c r="AD589" s="277"/>
    </row>
    <row r="590" ht="15.75" customHeight="1" outlineLevel="1">
      <c r="A590" s="228" t="s">
        <v>11429</v>
      </c>
      <c r="B590" s="270" t="s">
        <v>189</v>
      </c>
      <c r="C590" s="270" t="s">
        <v>27</v>
      </c>
      <c r="D590" s="209" t="s">
        <v>4</v>
      </c>
      <c r="E590" s="271" t="s">
        <v>27</v>
      </c>
      <c r="F590" s="209" t="s">
        <v>4</v>
      </c>
      <c r="G590" s="209" t="s">
        <v>35</v>
      </c>
      <c r="H590" s="181" t="s">
        <v>191</v>
      </c>
      <c r="I590" s="182" t="s">
        <v>35</v>
      </c>
      <c r="J590" s="212" t="s">
        <v>11442</v>
      </c>
      <c r="K590" s="271" t="s">
        <v>27</v>
      </c>
      <c r="L590" s="209" t="s">
        <v>4</v>
      </c>
      <c r="M590" s="182" t="s">
        <v>27</v>
      </c>
      <c r="N590" s="181"/>
      <c r="O590" s="272" t="str">
        <f t="shared" si="29"/>
        <v>L3.00.00.03.03.00</v>
      </c>
      <c r="P590" s="272" t="str">
        <f t="shared" si="42"/>
        <v>L3.00.00.03.03.00.00</v>
      </c>
      <c r="Q590" s="447" t="s">
        <v>10530</v>
      </c>
      <c r="R590" s="273" t="str">
        <f t="shared" si="43"/>
        <v>Nhóm TCKT DN 03</v>
      </c>
      <c r="S590" s="448" t="str">
        <f>P585</f>
        <v>L3.00.00.03.00.00.00</v>
      </c>
      <c r="T590" s="2" t="s">
        <v>4302</v>
      </c>
      <c r="U590" s="2" t="s">
        <v>576</v>
      </c>
      <c r="V590" s="2" t="s">
        <v>2817</v>
      </c>
      <c r="W590" s="2" t="s">
        <v>4301</v>
      </c>
      <c r="X590" s="183"/>
      <c r="Y590" s="184"/>
      <c r="Z590" s="275" t="s">
        <v>11443</v>
      </c>
      <c r="AA590" s="276"/>
      <c r="AB590" s="277"/>
      <c r="AC590" s="566" t="s">
        <v>11788</v>
      </c>
      <c r="AD590" s="277"/>
    </row>
    <row r="591" ht="15.75" customHeight="1" outlineLevel="1">
      <c r="A591" s="228" t="s">
        <v>11429</v>
      </c>
      <c r="B591" s="270" t="s">
        <v>189</v>
      </c>
      <c r="C591" s="270" t="s">
        <v>27</v>
      </c>
      <c r="D591" s="209" t="s">
        <v>4</v>
      </c>
      <c r="E591" s="271" t="s">
        <v>27</v>
      </c>
      <c r="F591" s="209" t="s">
        <v>4</v>
      </c>
      <c r="G591" s="209" t="s">
        <v>35</v>
      </c>
      <c r="H591" s="181" t="s">
        <v>191</v>
      </c>
      <c r="I591" s="182" t="s">
        <v>35</v>
      </c>
      <c r="J591" s="212" t="s">
        <v>11442</v>
      </c>
      <c r="K591" s="271" t="s">
        <v>27</v>
      </c>
      <c r="L591" s="209" t="s">
        <v>4</v>
      </c>
      <c r="M591" s="209" t="s">
        <v>49</v>
      </c>
      <c r="N591" s="181" t="s">
        <v>10514</v>
      </c>
      <c r="O591" s="272" t="str">
        <f t="shared" si="29"/>
        <v>L3.00.00.03.03.00</v>
      </c>
      <c r="P591" s="272" t="str">
        <f t="shared" si="42"/>
        <v>L3.00.00.03.03.00.08</v>
      </c>
      <c r="Q591" s="447"/>
      <c r="R591" s="273" t="str">
        <f t="shared" si="43"/>
        <v>Nhóm TCKT DN 03</v>
      </c>
      <c r="S591" s="448" t="s">
        <v>11444</v>
      </c>
      <c r="T591" s="183"/>
      <c r="U591" s="183"/>
      <c r="V591" s="183"/>
      <c r="W591" s="183"/>
      <c r="X591" s="183"/>
      <c r="Y591" s="184"/>
      <c r="Z591" s="275"/>
      <c r="AA591" s="276"/>
      <c r="AB591" s="277"/>
      <c r="AC591" s="566" t="s">
        <v>11788</v>
      </c>
      <c r="AD591" s="277"/>
    </row>
    <row r="592" ht="15.75" customHeight="1" outlineLevel="1">
      <c r="A592" s="228" t="s">
        <v>11429</v>
      </c>
      <c r="B592" s="270" t="s">
        <v>189</v>
      </c>
      <c r="C592" s="270" t="s">
        <v>27</v>
      </c>
      <c r="D592" s="209" t="s">
        <v>4</v>
      </c>
      <c r="E592" s="271" t="s">
        <v>27</v>
      </c>
      <c r="F592" s="209" t="s">
        <v>4</v>
      </c>
      <c r="G592" s="209" t="s">
        <v>35</v>
      </c>
      <c r="H592" s="181" t="s">
        <v>191</v>
      </c>
      <c r="I592" s="182" t="s">
        <v>35</v>
      </c>
      <c r="J592" s="212" t="s">
        <v>11442</v>
      </c>
      <c r="K592" s="271" t="s">
        <v>27</v>
      </c>
      <c r="L592" s="209" t="s">
        <v>4</v>
      </c>
      <c r="M592" s="353" t="s">
        <v>37</v>
      </c>
      <c r="N592" s="370" t="s">
        <v>10900</v>
      </c>
      <c r="O592" s="272" t="str">
        <f t="shared" si="29"/>
        <v>L3.00.00.03.03.00</v>
      </c>
      <c r="P592" s="272" t="str">
        <f t="shared" si="42"/>
        <v>L3.00.00.03.03.00.04</v>
      </c>
      <c r="Q592" s="447"/>
      <c r="R592" s="273" t="str">
        <f t="shared" si="43"/>
        <v>Nhóm TCKT DN 03</v>
      </c>
      <c r="S592" s="448" t="s">
        <v>11444</v>
      </c>
      <c r="T592" s="183"/>
      <c r="U592" s="183"/>
      <c r="V592" s="183"/>
      <c r="W592" s="183"/>
      <c r="X592" s="183"/>
      <c r="Y592" s="184"/>
      <c r="Z592" s="275"/>
      <c r="AA592" s="276"/>
      <c r="AB592" s="277"/>
      <c r="AC592" s="566" t="s">
        <v>11788</v>
      </c>
      <c r="AD592" s="277"/>
    </row>
    <row r="593" ht="15.75" customHeight="1" outlineLevel="1">
      <c r="A593" s="228" t="s">
        <v>11429</v>
      </c>
      <c r="B593" s="270" t="s">
        <v>189</v>
      </c>
      <c r="C593" s="270" t="s">
        <v>27</v>
      </c>
      <c r="D593" s="209" t="s">
        <v>4</v>
      </c>
      <c r="E593" s="271" t="s">
        <v>27</v>
      </c>
      <c r="F593" s="209" t="s">
        <v>4</v>
      </c>
      <c r="G593" s="209" t="s">
        <v>35</v>
      </c>
      <c r="H593" s="181" t="s">
        <v>191</v>
      </c>
      <c r="I593" s="182" t="s">
        <v>37</v>
      </c>
      <c r="J593" s="212" t="s">
        <v>11445</v>
      </c>
      <c r="K593" s="271" t="s">
        <v>27</v>
      </c>
      <c r="L593" s="209" t="s">
        <v>4</v>
      </c>
      <c r="M593" s="209" t="s">
        <v>49</v>
      </c>
      <c r="N593" s="181" t="s">
        <v>10514</v>
      </c>
      <c r="O593" s="272" t="str">
        <f t="shared" si="29"/>
        <v>L3.00.00.03.04.00</v>
      </c>
      <c r="P593" s="272" t="str">
        <f t="shared" si="42"/>
        <v>L3.00.00.03.04.00.08</v>
      </c>
      <c r="Q593" s="447" t="s">
        <v>10530</v>
      </c>
      <c r="R593" s="273" t="str">
        <f t="shared" si="43"/>
        <v>Nhóm TCKT DN 04</v>
      </c>
      <c r="S593" s="448" t="str">
        <f>P585</f>
        <v>L3.00.00.03.00.00.00</v>
      </c>
      <c r="T593" s="183"/>
      <c r="U593" s="183"/>
      <c r="V593" s="183"/>
      <c r="W593" s="183"/>
      <c r="X593" s="183"/>
      <c r="Y593" s="184"/>
      <c r="Z593" s="275" t="s">
        <v>11446</v>
      </c>
      <c r="AA593" s="276"/>
      <c r="AB593" s="277"/>
      <c r="AC593" s="566" t="s">
        <v>11788</v>
      </c>
      <c r="AD593" s="277"/>
    </row>
    <row r="594" ht="15.75" customHeight="1" outlineLevel="1">
      <c r="A594" s="228" t="s">
        <v>11429</v>
      </c>
      <c r="B594" s="270" t="s">
        <v>189</v>
      </c>
      <c r="C594" s="270" t="s">
        <v>27</v>
      </c>
      <c r="D594" s="209" t="s">
        <v>4</v>
      </c>
      <c r="E594" s="271" t="s">
        <v>27</v>
      </c>
      <c r="F594" s="209" t="s">
        <v>4</v>
      </c>
      <c r="G594" s="209" t="s">
        <v>35</v>
      </c>
      <c r="H594" s="181" t="s">
        <v>191</v>
      </c>
      <c r="I594" s="182" t="s">
        <v>42</v>
      </c>
      <c r="J594" s="212" t="s">
        <v>11447</v>
      </c>
      <c r="K594" s="271" t="s">
        <v>27</v>
      </c>
      <c r="L594" s="209" t="s">
        <v>4</v>
      </c>
      <c r="M594" s="209" t="s">
        <v>49</v>
      </c>
      <c r="N594" s="181" t="s">
        <v>10514</v>
      </c>
      <c r="O594" s="272" t="str">
        <f t="shared" si="29"/>
        <v>L3.00.00.03.05.00</v>
      </c>
      <c r="P594" s="272" t="str">
        <f t="shared" si="42"/>
        <v>L3.00.00.03.05.00.08</v>
      </c>
      <c r="Q594" s="447" t="s">
        <v>10530</v>
      </c>
      <c r="R594" s="273" t="str">
        <f t="shared" si="43"/>
        <v>Nhóm TCKT DN 05</v>
      </c>
      <c r="S594" s="448" t="str">
        <f>P585</f>
        <v>L3.00.00.03.00.00.00</v>
      </c>
      <c r="T594" s="2" t="s">
        <v>2818</v>
      </c>
      <c r="U594" s="2" t="s">
        <v>576</v>
      </c>
      <c r="V594" s="2" t="s">
        <v>2817</v>
      </c>
      <c r="W594" s="2" t="s">
        <v>2816</v>
      </c>
      <c r="X594" s="183"/>
      <c r="Y594" s="184"/>
      <c r="Z594" s="275" t="s">
        <v>11448</v>
      </c>
      <c r="AA594" s="276"/>
      <c r="AB594" s="277"/>
      <c r="AC594" s="566" t="s">
        <v>11788</v>
      </c>
      <c r="AD594" s="277"/>
    </row>
    <row r="595" ht="15.75" customHeight="1" outlineLevel="1">
      <c r="A595" s="228" t="s">
        <v>11429</v>
      </c>
      <c r="B595" s="270" t="s">
        <v>189</v>
      </c>
      <c r="C595" s="270" t="s">
        <v>27</v>
      </c>
      <c r="D595" s="209" t="s">
        <v>4</v>
      </c>
      <c r="E595" s="271" t="s">
        <v>27</v>
      </c>
      <c r="F595" s="209" t="s">
        <v>4</v>
      </c>
      <c r="G595" s="209" t="s">
        <v>35</v>
      </c>
      <c r="H595" s="181" t="s">
        <v>191</v>
      </c>
      <c r="I595" s="182" t="s">
        <v>44</v>
      </c>
      <c r="J595" s="212" t="s">
        <v>11449</v>
      </c>
      <c r="K595" s="271" t="s">
        <v>27</v>
      </c>
      <c r="L595" s="209" t="s">
        <v>4</v>
      </c>
      <c r="M595" s="353" t="s">
        <v>51</v>
      </c>
      <c r="N595" s="356" t="s">
        <v>10515</v>
      </c>
      <c r="O595" s="272" t="str">
        <f t="shared" si="29"/>
        <v>L3.00.00.03.06.00</v>
      </c>
      <c r="P595" s="272" t="str">
        <f t="shared" si="42"/>
        <v>L3.00.00.03.06.00.09</v>
      </c>
      <c r="Q595" s="447" t="s">
        <v>10530</v>
      </c>
      <c r="R595" s="273" t="str">
        <f t="shared" si="43"/>
        <v>Nhóm TCKT DN 06</v>
      </c>
      <c r="S595" s="448" t="str">
        <f>P585</f>
        <v>L3.00.00.03.00.00.00</v>
      </c>
      <c r="T595" s="2" t="s">
        <v>4653</v>
      </c>
      <c r="U595" s="2" t="s">
        <v>576</v>
      </c>
      <c r="V595" s="2" t="s">
        <v>2817</v>
      </c>
      <c r="W595" s="2" t="s">
        <v>4652</v>
      </c>
      <c r="X595" s="183"/>
      <c r="Y595" s="184"/>
      <c r="Z595" s="275" t="s">
        <v>11450</v>
      </c>
      <c r="AA595" s="276"/>
      <c r="AB595" s="277"/>
      <c r="AC595" s="566" t="s">
        <v>11788</v>
      </c>
      <c r="AD595" s="277"/>
    </row>
    <row r="596" ht="15.75" customHeight="1" outlineLevel="1">
      <c r="A596" s="228" t="s">
        <v>11429</v>
      </c>
      <c r="B596" s="270" t="s">
        <v>189</v>
      </c>
      <c r="C596" s="270" t="s">
        <v>27</v>
      </c>
      <c r="D596" s="209" t="s">
        <v>4</v>
      </c>
      <c r="E596" s="271" t="s">
        <v>27</v>
      </c>
      <c r="F596" s="209" t="s">
        <v>4</v>
      </c>
      <c r="G596" s="209" t="s">
        <v>35</v>
      </c>
      <c r="H596" s="181" t="s">
        <v>191</v>
      </c>
      <c r="I596" s="182" t="s">
        <v>46</v>
      </c>
      <c r="J596" s="212" t="s">
        <v>11451</v>
      </c>
      <c r="K596" s="271" t="s">
        <v>27</v>
      </c>
      <c r="L596" s="209" t="s">
        <v>4</v>
      </c>
      <c r="M596" s="353" t="s">
        <v>51</v>
      </c>
      <c r="N596" s="356" t="s">
        <v>10515</v>
      </c>
      <c r="O596" s="272" t="str">
        <f t="shared" si="29"/>
        <v>L3.00.00.03.07.00</v>
      </c>
      <c r="P596" s="272" t="str">
        <f t="shared" si="42"/>
        <v>L3.00.00.03.07.00.09</v>
      </c>
      <c r="Q596" s="447" t="s">
        <v>10530</v>
      </c>
      <c r="R596" s="273" t="str">
        <f t="shared" si="43"/>
        <v>Nhóm TCKT DN 07</v>
      </c>
      <c r="S596" s="448" t="str">
        <f>P585</f>
        <v>L3.00.00.03.00.00.00</v>
      </c>
      <c r="T596" s="2" t="s">
        <v>3326</v>
      </c>
      <c r="U596" s="2" t="s">
        <v>576</v>
      </c>
      <c r="V596" s="2" t="s">
        <v>577</v>
      </c>
      <c r="W596" s="2" t="s">
        <v>3325</v>
      </c>
      <c r="X596" s="183"/>
      <c r="Y596" s="184"/>
      <c r="Z596" s="275" t="s">
        <v>11452</v>
      </c>
      <c r="AA596" s="276"/>
      <c r="AB596" s="277"/>
      <c r="AC596" s="566" t="s">
        <v>11788</v>
      </c>
      <c r="AD596" s="277"/>
    </row>
    <row r="597" ht="15.75" customHeight="1" outlineLevel="1">
      <c r="A597" s="228" t="s">
        <v>11429</v>
      </c>
      <c r="B597" s="270" t="s">
        <v>189</v>
      </c>
      <c r="C597" s="270" t="s">
        <v>27</v>
      </c>
      <c r="D597" s="209" t="s">
        <v>4</v>
      </c>
      <c r="E597" s="271" t="s">
        <v>27</v>
      </c>
      <c r="F597" s="209" t="s">
        <v>4</v>
      </c>
      <c r="G597" s="209" t="s">
        <v>35</v>
      </c>
      <c r="H597" s="181" t="s">
        <v>191</v>
      </c>
      <c r="I597" s="182" t="s">
        <v>49</v>
      </c>
      <c r="J597" s="212" t="s">
        <v>11453</v>
      </c>
      <c r="K597" s="271" t="s">
        <v>27</v>
      </c>
      <c r="L597" s="209" t="s">
        <v>4</v>
      </c>
      <c r="M597" s="353" t="s">
        <v>51</v>
      </c>
      <c r="N597" s="356" t="s">
        <v>10515</v>
      </c>
      <c r="O597" s="272" t="str">
        <f t="shared" si="29"/>
        <v>L3.00.00.03.08.00</v>
      </c>
      <c r="P597" s="272" t="str">
        <f t="shared" si="42"/>
        <v>L3.00.00.03.08.00.09</v>
      </c>
      <c r="Q597" s="447" t="s">
        <v>10530</v>
      </c>
      <c r="R597" s="273" t="str">
        <f t="shared" si="43"/>
        <v>Nhóm TCKT DN 08</v>
      </c>
      <c r="S597" s="448" t="str">
        <f>P585</f>
        <v>L3.00.00.03.00.00.00</v>
      </c>
      <c r="T597" s="2" t="s">
        <v>3314</v>
      </c>
      <c r="U597" s="2" t="s">
        <v>576</v>
      </c>
      <c r="V597" s="2" t="s">
        <v>577</v>
      </c>
      <c r="W597" s="2" t="s">
        <v>3313</v>
      </c>
      <c r="X597" s="183"/>
      <c r="Y597" s="184"/>
      <c r="Z597" s="275" t="s">
        <v>11454</v>
      </c>
      <c r="AA597" s="276"/>
      <c r="AB597" s="277"/>
      <c r="AC597" s="566" t="s">
        <v>11788</v>
      </c>
      <c r="AD597" s="277"/>
    </row>
    <row r="598" ht="15.75" customHeight="1" outlineLevel="1">
      <c r="A598" s="228" t="s">
        <v>11429</v>
      </c>
      <c r="B598" s="270" t="s">
        <v>189</v>
      </c>
      <c r="C598" s="270" t="s">
        <v>27</v>
      </c>
      <c r="D598" s="209" t="s">
        <v>4</v>
      </c>
      <c r="E598" s="271" t="s">
        <v>27</v>
      </c>
      <c r="F598" s="209" t="s">
        <v>4</v>
      </c>
      <c r="G598" s="209" t="s">
        <v>35</v>
      </c>
      <c r="H598" s="181" t="s">
        <v>191</v>
      </c>
      <c r="I598" s="182" t="s">
        <v>51</v>
      </c>
      <c r="J598" s="212" t="s">
        <v>11455</v>
      </c>
      <c r="K598" s="271" t="s">
        <v>27</v>
      </c>
      <c r="L598" s="209" t="s">
        <v>4</v>
      </c>
      <c r="M598" s="353" t="s">
        <v>51</v>
      </c>
      <c r="N598" s="356" t="s">
        <v>10515</v>
      </c>
      <c r="O598" s="272" t="str">
        <f t="shared" si="29"/>
        <v>L3.00.00.03.09.00</v>
      </c>
      <c r="P598" s="272" t="str">
        <f t="shared" si="42"/>
        <v>L3.00.00.03.09.00.09</v>
      </c>
      <c r="Q598" s="447" t="s">
        <v>10530</v>
      </c>
      <c r="R598" s="273" t="str">
        <f t="shared" si="43"/>
        <v>Nhóm TCKT DN 09</v>
      </c>
      <c r="S598" s="448" t="str">
        <f>P585</f>
        <v>L3.00.00.03.00.00.00</v>
      </c>
      <c r="T598" s="2" t="s">
        <v>578</v>
      </c>
      <c r="U598" s="2" t="s">
        <v>576</v>
      </c>
      <c r="V598" s="2" t="s">
        <v>577</v>
      </c>
      <c r="W598" s="2" t="s">
        <v>575</v>
      </c>
      <c r="X598" s="183"/>
      <c r="Y598" s="184" t="s">
        <v>11436</v>
      </c>
      <c r="Z598" s="275" t="s">
        <v>11456</v>
      </c>
      <c r="AA598" s="276"/>
      <c r="AB598" s="277"/>
      <c r="AC598" s="566" t="s">
        <v>11788</v>
      </c>
      <c r="AD598" s="277"/>
    </row>
    <row r="599" ht="15.75" customHeight="1" outlineLevel="1">
      <c r="A599" s="228" t="s">
        <v>11429</v>
      </c>
      <c r="B599" s="270" t="s">
        <v>189</v>
      </c>
      <c r="C599" s="270" t="s">
        <v>27</v>
      </c>
      <c r="D599" s="209" t="s">
        <v>4</v>
      </c>
      <c r="E599" s="271" t="s">
        <v>27</v>
      </c>
      <c r="F599" s="209" t="s">
        <v>4</v>
      </c>
      <c r="G599" s="209" t="s">
        <v>35</v>
      </c>
      <c r="H599" s="181" t="s">
        <v>191</v>
      </c>
      <c r="I599" s="182" t="s">
        <v>55</v>
      </c>
      <c r="J599" s="212" t="s">
        <v>11457</v>
      </c>
      <c r="K599" s="271" t="s">
        <v>27</v>
      </c>
      <c r="L599" s="209" t="s">
        <v>4</v>
      </c>
      <c r="M599" s="353" t="s">
        <v>51</v>
      </c>
      <c r="N599" s="356" t="s">
        <v>10515</v>
      </c>
      <c r="O599" s="272" t="str">
        <f t="shared" si="29"/>
        <v>L3.00.00.03.10.00</v>
      </c>
      <c r="P599" s="272" t="str">
        <f t="shared" si="42"/>
        <v>L3.00.00.03.10.00.09</v>
      </c>
      <c r="Q599" s="447" t="s">
        <v>10530</v>
      </c>
      <c r="R599" s="273" t="str">
        <f t="shared" si="43"/>
        <v>Nhóm TCKT DN 10</v>
      </c>
      <c r="S599" s="448" t="str">
        <f>P585</f>
        <v>L3.00.00.03.00.00.00</v>
      </c>
      <c r="T599" s="2" t="s">
        <v>3028</v>
      </c>
      <c r="U599" s="2" t="s">
        <v>576</v>
      </c>
      <c r="V599" s="2" t="s">
        <v>577</v>
      </c>
      <c r="W599" s="2" t="s">
        <v>3027</v>
      </c>
      <c r="X599" s="183"/>
      <c r="Y599" s="184"/>
      <c r="Z599" s="275" t="s">
        <v>11456</v>
      </c>
      <c r="AA599" s="276"/>
      <c r="AB599" s="277"/>
      <c r="AC599" s="566" t="s">
        <v>11788</v>
      </c>
      <c r="AD599" s="277"/>
    </row>
    <row r="600" ht="15.75" customHeight="1" outlineLevel="1">
      <c r="A600" s="228" t="s">
        <v>11429</v>
      </c>
      <c r="B600" s="270" t="s">
        <v>189</v>
      </c>
      <c r="C600" s="270" t="s">
        <v>27</v>
      </c>
      <c r="D600" s="209" t="s">
        <v>4</v>
      </c>
      <c r="E600" s="271" t="s">
        <v>27</v>
      </c>
      <c r="F600" s="209" t="s">
        <v>4</v>
      </c>
      <c r="G600" s="209" t="s">
        <v>37</v>
      </c>
      <c r="H600" s="212" t="s">
        <v>11458</v>
      </c>
      <c r="I600" s="182" t="s">
        <v>27</v>
      </c>
      <c r="J600" s="449" t="s">
        <v>4</v>
      </c>
      <c r="K600" s="271" t="s">
        <v>27</v>
      </c>
      <c r="L600" s="209" t="s">
        <v>4</v>
      </c>
      <c r="M600" s="182" t="s">
        <v>27</v>
      </c>
      <c r="N600" s="181"/>
      <c r="O600" s="272" t="str">
        <f t="shared" si="29"/>
        <v>L3.00.00.04.00.00</v>
      </c>
      <c r="P600" s="272" t="str">
        <f t="shared" si="42"/>
        <v>L3.00.00.04.00.00.00</v>
      </c>
      <c r="Q600" s="447" t="s">
        <v>10530</v>
      </c>
      <c r="R600" s="273" t="str">
        <f t="shared" si="43"/>
        <v>Phòng hỗ trợ giải pháp quản trị DN &amp; Bán lẻ</v>
      </c>
      <c r="S600" s="448" t="str">
        <f>P580</f>
        <v>L3.00.00.00.00.00.00</v>
      </c>
      <c r="T600" s="2" t="s">
        <v>8204</v>
      </c>
      <c r="U600" s="2" t="s">
        <v>576</v>
      </c>
      <c r="V600" s="2" t="s">
        <v>3431</v>
      </c>
      <c r="W600" s="183"/>
      <c r="X600" s="183"/>
      <c r="Y600" s="184" t="s">
        <v>11436</v>
      </c>
      <c r="Z600" s="275" t="s">
        <v>11459</v>
      </c>
      <c r="AA600" s="276"/>
      <c r="AB600" s="277"/>
      <c r="AC600" s="566" t="s">
        <v>11788</v>
      </c>
      <c r="AD600" s="277"/>
    </row>
    <row r="601" ht="15.75" customHeight="1" outlineLevel="1">
      <c r="A601" s="228" t="s">
        <v>11429</v>
      </c>
      <c r="B601" s="270" t="s">
        <v>189</v>
      </c>
      <c r="C601" s="270" t="s">
        <v>27</v>
      </c>
      <c r="D601" s="209" t="s">
        <v>4</v>
      </c>
      <c r="E601" s="271" t="s">
        <v>27</v>
      </c>
      <c r="F601" s="209" t="s">
        <v>4</v>
      </c>
      <c r="G601" s="209" t="s">
        <v>37</v>
      </c>
      <c r="H601" s="212" t="s">
        <v>11458</v>
      </c>
      <c r="I601" s="209" t="s">
        <v>29</v>
      </c>
      <c r="J601" s="212" t="s">
        <v>11460</v>
      </c>
      <c r="K601" s="271" t="s">
        <v>27</v>
      </c>
      <c r="L601" s="209" t="s">
        <v>4</v>
      </c>
      <c r="M601" s="182" t="s">
        <v>27</v>
      </c>
      <c r="N601" s="181"/>
      <c r="O601" s="272" t="str">
        <f t="shared" si="29"/>
        <v>L3.00.00.04.01.00</v>
      </c>
      <c r="P601" s="272" t="str">
        <f t="shared" si="42"/>
        <v>L3.00.00.04.01.00.00</v>
      </c>
      <c r="Q601" s="447" t="s">
        <v>10530</v>
      </c>
      <c r="R601" s="273" t="str">
        <f t="shared" si="43"/>
        <v>Nhóm hỗ trợ giải pháp Quản trị điều hành DN</v>
      </c>
      <c r="S601" s="274" t="str">
        <f t="shared" ref="S601:S602" si="44">P600</f>
        <v>L3.00.00.04.00.00.00</v>
      </c>
      <c r="T601" s="2" t="s">
        <v>4720</v>
      </c>
      <c r="U601" s="2" t="s">
        <v>576</v>
      </c>
      <c r="V601" s="2" t="s">
        <v>3431</v>
      </c>
      <c r="W601" s="2" t="s">
        <v>4719</v>
      </c>
      <c r="X601" s="183"/>
      <c r="Y601" s="184"/>
      <c r="Z601" s="275" t="s">
        <v>11461</v>
      </c>
      <c r="AA601" s="276"/>
      <c r="AB601" s="277"/>
      <c r="AC601" s="566" t="s">
        <v>11788</v>
      </c>
      <c r="AD601" s="277"/>
    </row>
    <row r="602" ht="15.75" customHeight="1" outlineLevel="1">
      <c r="A602" s="228" t="s">
        <v>11429</v>
      </c>
      <c r="B602" s="270" t="s">
        <v>189</v>
      </c>
      <c r="C602" s="270" t="s">
        <v>27</v>
      </c>
      <c r="D602" s="209" t="s">
        <v>4</v>
      </c>
      <c r="E602" s="271" t="s">
        <v>27</v>
      </c>
      <c r="F602" s="209" t="s">
        <v>4</v>
      </c>
      <c r="G602" s="209" t="s">
        <v>37</v>
      </c>
      <c r="H602" s="212" t="s">
        <v>11458</v>
      </c>
      <c r="I602" s="209" t="s">
        <v>29</v>
      </c>
      <c r="J602" s="212" t="s">
        <v>11460</v>
      </c>
      <c r="K602" s="271" t="s">
        <v>27</v>
      </c>
      <c r="L602" s="209" t="s">
        <v>4</v>
      </c>
      <c r="M602" s="209" t="s">
        <v>49</v>
      </c>
      <c r="N602" s="181" t="s">
        <v>10514</v>
      </c>
      <c r="O602" s="272" t="str">
        <f t="shared" si="29"/>
        <v>L3.00.00.04.01.00</v>
      </c>
      <c r="P602" s="272" t="str">
        <f t="shared" si="42"/>
        <v>L3.00.00.04.01.00.08</v>
      </c>
      <c r="Q602" s="447"/>
      <c r="R602" s="273" t="str">
        <f t="shared" si="43"/>
        <v>Nhóm hỗ trợ giải pháp Quản trị điều hành DN</v>
      </c>
      <c r="S602" s="274" t="str">
        <f t="shared" si="44"/>
        <v>L3.00.00.04.01.00.00</v>
      </c>
      <c r="T602" s="183"/>
      <c r="U602" s="183"/>
      <c r="V602" s="183"/>
      <c r="W602" s="183"/>
      <c r="X602" s="183"/>
      <c r="Y602" s="184" t="s">
        <v>11436</v>
      </c>
      <c r="Z602" s="275"/>
      <c r="AA602" s="276"/>
      <c r="AB602" s="277"/>
      <c r="AC602" s="566" t="s">
        <v>11788</v>
      </c>
      <c r="AD602" s="277"/>
    </row>
    <row r="603" ht="15.75" customHeight="1" outlineLevel="1">
      <c r="A603" s="228" t="s">
        <v>11429</v>
      </c>
      <c r="B603" s="270" t="s">
        <v>189</v>
      </c>
      <c r="C603" s="270" t="s">
        <v>27</v>
      </c>
      <c r="D603" s="209" t="s">
        <v>4</v>
      </c>
      <c r="E603" s="271" t="s">
        <v>27</v>
      </c>
      <c r="F603" s="209" t="s">
        <v>4</v>
      </c>
      <c r="G603" s="209" t="s">
        <v>37</v>
      </c>
      <c r="H603" s="212" t="s">
        <v>11458</v>
      </c>
      <c r="I603" s="209" t="s">
        <v>29</v>
      </c>
      <c r="J603" s="212" t="s">
        <v>11460</v>
      </c>
      <c r="K603" s="271" t="s">
        <v>27</v>
      </c>
      <c r="L603" s="209" t="s">
        <v>4</v>
      </c>
      <c r="M603" s="209" t="s">
        <v>35</v>
      </c>
      <c r="N603" s="181" t="s">
        <v>10500</v>
      </c>
      <c r="O603" s="272" t="str">
        <f t="shared" si="29"/>
        <v>L3.00.00.04.01.00</v>
      </c>
      <c r="P603" s="272" t="str">
        <f t="shared" si="42"/>
        <v>L3.00.00.04.01.00.03</v>
      </c>
      <c r="Q603" s="447"/>
      <c r="R603" s="273" t="str">
        <f t="shared" si="43"/>
        <v>Nhóm hỗ trợ giải pháp Quản trị điều hành DN</v>
      </c>
      <c r="S603" s="274" t="str">
        <f>P601</f>
        <v>L3.00.00.04.01.00.00</v>
      </c>
      <c r="T603" s="183"/>
      <c r="U603" s="183"/>
      <c r="V603" s="183"/>
      <c r="W603" s="183"/>
      <c r="X603" s="183"/>
      <c r="Y603" s="184" t="s">
        <v>11436</v>
      </c>
      <c r="Z603" s="275"/>
      <c r="AA603" s="276"/>
      <c r="AB603" s="277"/>
      <c r="AC603" s="566" t="s">
        <v>11788</v>
      </c>
      <c r="AD603" s="277"/>
    </row>
    <row r="604" ht="15.75" customHeight="1" outlineLevel="1">
      <c r="A604" s="228" t="s">
        <v>11429</v>
      </c>
      <c r="B604" s="270" t="s">
        <v>189</v>
      </c>
      <c r="C604" s="270" t="s">
        <v>27</v>
      </c>
      <c r="D604" s="209" t="s">
        <v>4</v>
      </c>
      <c r="E604" s="271" t="s">
        <v>27</v>
      </c>
      <c r="F604" s="209" t="s">
        <v>4</v>
      </c>
      <c r="G604" s="209" t="s">
        <v>37</v>
      </c>
      <c r="H604" s="212" t="s">
        <v>11458</v>
      </c>
      <c r="I604" s="209" t="s">
        <v>33</v>
      </c>
      <c r="J604" s="303" t="s">
        <v>11462</v>
      </c>
      <c r="K604" s="271" t="s">
        <v>27</v>
      </c>
      <c r="L604" s="209" t="s">
        <v>4</v>
      </c>
      <c r="M604" s="182" t="s">
        <v>27</v>
      </c>
      <c r="N604" s="181"/>
      <c r="O604" s="272" t="str">
        <f t="shared" si="29"/>
        <v>L3.00.00.04.02.00</v>
      </c>
      <c r="P604" s="272" t="str">
        <f t="shared" si="42"/>
        <v>L3.00.00.04.02.00.00</v>
      </c>
      <c r="Q604" s="447" t="s">
        <v>10530</v>
      </c>
      <c r="R604" s="273" t="str">
        <f t="shared" si="43"/>
        <v>Nhóm hỗ trợ giải pháp Bán lẻ</v>
      </c>
      <c r="S604" s="274" t="str">
        <f>P600</f>
        <v>L3.00.00.04.00.00.00</v>
      </c>
      <c r="T604" s="2" t="s">
        <v>3432</v>
      </c>
      <c r="U604" s="2" t="s">
        <v>576</v>
      </c>
      <c r="V604" s="2" t="s">
        <v>3431</v>
      </c>
      <c r="W604" s="2" t="s">
        <v>3430</v>
      </c>
      <c r="X604" s="183"/>
      <c r="Y604" s="184"/>
      <c r="Z604" s="275" t="s">
        <v>11463</v>
      </c>
      <c r="AA604" s="276"/>
      <c r="AB604" s="277"/>
      <c r="AC604" s="566" t="s">
        <v>11788</v>
      </c>
      <c r="AD604" s="277"/>
    </row>
    <row r="605" ht="15.75" customHeight="1" outlineLevel="1">
      <c r="A605" s="228" t="s">
        <v>11429</v>
      </c>
      <c r="B605" s="270" t="s">
        <v>189</v>
      </c>
      <c r="C605" s="270" t="s">
        <v>27</v>
      </c>
      <c r="D605" s="209" t="s">
        <v>4</v>
      </c>
      <c r="E605" s="271" t="s">
        <v>27</v>
      </c>
      <c r="F605" s="209" t="s">
        <v>4</v>
      </c>
      <c r="G605" s="209" t="s">
        <v>37</v>
      </c>
      <c r="H605" s="212" t="s">
        <v>11458</v>
      </c>
      <c r="I605" s="209" t="s">
        <v>33</v>
      </c>
      <c r="J605" s="303" t="s">
        <v>11462</v>
      </c>
      <c r="K605" s="271" t="s">
        <v>27</v>
      </c>
      <c r="L605" s="209" t="s">
        <v>4</v>
      </c>
      <c r="M605" s="209" t="s">
        <v>49</v>
      </c>
      <c r="N605" s="181" t="s">
        <v>10514</v>
      </c>
      <c r="O605" s="272" t="str">
        <f t="shared" si="29"/>
        <v>L3.00.00.04.02.00</v>
      </c>
      <c r="P605" s="272" t="str">
        <f t="shared" si="42"/>
        <v>L3.00.00.04.02.00.08</v>
      </c>
      <c r="Q605" s="447"/>
      <c r="R605" s="273" t="str">
        <f t="shared" si="43"/>
        <v>Nhóm hỗ trợ giải pháp Bán lẻ</v>
      </c>
      <c r="S605" s="274" t="str">
        <f>P604</f>
        <v>L3.00.00.04.02.00.00</v>
      </c>
      <c r="T605" s="183"/>
      <c r="U605" s="183"/>
      <c r="V605" s="183"/>
      <c r="W605" s="183"/>
      <c r="X605" s="183"/>
      <c r="Y605" s="184" t="s">
        <v>11436</v>
      </c>
      <c r="Z605" s="275"/>
      <c r="AA605" s="276"/>
      <c r="AB605" s="277"/>
      <c r="AC605" s="566" t="s">
        <v>11788</v>
      </c>
      <c r="AD605" s="277"/>
    </row>
    <row r="606" ht="15.75" customHeight="1" outlineLevel="1">
      <c r="A606" s="228" t="s">
        <v>11429</v>
      </c>
      <c r="B606" s="270" t="s">
        <v>189</v>
      </c>
      <c r="C606" s="270" t="s">
        <v>27</v>
      </c>
      <c r="D606" s="209" t="s">
        <v>4</v>
      </c>
      <c r="E606" s="271" t="s">
        <v>27</v>
      </c>
      <c r="F606" s="209" t="s">
        <v>4</v>
      </c>
      <c r="G606" s="209" t="s">
        <v>37</v>
      </c>
      <c r="H606" s="212" t="s">
        <v>11458</v>
      </c>
      <c r="I606" s="209" t="s">
        <v>33</v>
      </c>
      <c r="J606" s="303" t="s">
        <v>11462</v>
      </c>
      <c r="K606" s="271" t="s">
        <v>27</v>
      </c>
      <c r="L606" s="209" t="s">
        <v>4</v>
      </c>
      <c r="M606" s="209" t="s">
        <v>42</v>
      </c>
      <c r="N606" s="181" t="s">
        <v>10502</v>
      </c>
      <c r="O606" s="272" t="str">
        <f t="shared" si="29"/>
        <v>L3.00.00.04.02.00</v>
      </c>
      <c r="P606" s="272" t="str">
        <f t="shared" si="42"/>
        <v>L3.00.00.04.02.00.05</v>
      </c>
      <c r="Q606" s="447"/>
      <c r="R606" s="273" t="str">
        <f t="shared" si="43"/>
        <v>Nhóm hỗ trợ giải pháp Bán lẻ</v>
      </c>
      <c r="S606" s="274" t="str">
        <f>P604</f>
        <v>L3.00.00.04.02.00.00</v>
      </c>
      <c r="T606" s="183"/>
      <c r="U606" s="183"/>
      <c r="V606" s="183"/>
      <c r="W606" s="183"/>
      <c r="X606" s="183"/>
      <c r="Y606" s="184" t="s">
        <v>11436</v>
      </c>
      <c r="Z606" s="275"/>
      <c r="AA606" s="276"/>
      <c r="AB606" s="277"/>
      <c r="AC606" s="566" t="s">
        <v>11788</v>
      </c>
      <c r="AD606" s="277"/>
    </row>
    <row r="607" ht="15.75" customHeight="1" outlineLevel="1">
      <c r="A607" s="450" t="s">
        <v>11429</v>
      </c>
      <c r="B607" s="451" t="s">
        <v>189</v>
      </c>
      <c r="C607" s="451" t="s">
        <v>27</v>
      </c>
      <c r="D607" s="452" t="s">
        <v>4</v>
      </c>
      <c r="E607" s="453" t="s">
        <v>27</v>
      </c>
      <c r="F607" s="452" t="s">
        <v>4</v>
      </c>
      <c r="G607" s="452" t="s">
        <v>37</v>
      </c>
      <c r="H607" s="454" t="s">
        <v>11464</v>
      </c>
      <c r="I607" s="452" t="s">
        <v>35</v>
      </c>
      <c r="J607" s="455" t="s">
        <v>195</v>
      </c>
      <c r="K607" s="456" t="s">
        <v>27</v>
      </c>
      <c r="L607" s="457" t="s">
        <v>4</v>
      </c>
      <c r="M607" s="458" t="s">
        <v>27</v>
      </c>
      <c r="N607" s="459"/>
      <c r="O607" s="460" t="str">
        <f t="shared" si="29"/>
        <v>L3.00.00.04.03.00</v>
      </c>
      <c r="P607" s="460" t="str">
        <f t="shared" si="42"/>
        <v>L3.00.00.04.03.00.00</v>
      </c>
      <c r="Q607" s="461"/>
      <c r="R607" s="462"/>
      <c r="S607" s="463"/>
      <c r="T607" s="464"/>
      <c r="U607" s="464"/>
      <c r="V607" s="464"/>
      <c r="W607" s="464"/>
      <c r="X607" s="464"/>
      <c r="Y607" s="465"/>
      <c r="Z607" s="466"/>
      <c r="AA607" s="467"/>
      <c r="AB607" s="468"/>
      <c r="AC607" s="636" t="s">
        <v>11786</v>
      </c>
      <c r="AD607" s="468"/>
    </row>
    <row r="608" ht="15.75" customHeight="1" outlineLevel="1">
      <c r="A608" s="450" t="s">
        <v>11429</v>
      </c>
      <c r="B608" s="451" t="s">
        <v>189</v>
      </c>
      <c r="C608" s="451" t="s">
        <v>27</v>
      </c>
      <c r="D608" s="452" t="s">
        <v>4</v>
      </c>
      <c r="E608" s="453" t="s">
        <v>27</v>
      </c>
      <c r="F608" s="452" t="s">
        <v>4</v>
      </c>
      <c r="G608" s="452" t="s">
        <v>42</v>
      </c>
      <c r="H608" s="454" t="s">
        <v>11465</v>
      </c>
      <c r="I608" s="453" t="s">
        <v>27</v>
      </c>
      <c r="J608" s="457" t="s">
        <v>4</v>
      </c>
      <c r="K608" s="456" t="s">
        <v>27</v>
      </c>
      <c r="L608" s="457" t="s">
        <v>4</v>
      </c>
      <c r="M608" s="458" t="s">
        <v>27</v>
      </c>
      <c r="N608" s="459"/>
      <c r="O608" s="460" t="str">
        <f t="shared" si="29"/>
        <v>L3.00.00.05.00.00</v>
      </c>
      <c r="P608" s="460" t="str">
        <f t="shared" si="42"/>
        <v>L3.00.00.05.00.00.00</v>
      </c>
      <c r="Q608" s="461"/>
      <c r="R608" s="462"/>
      <c r="S608" s="463"/>
      <c r="T608" s="464"/>
      <c r="U608" s="464"/>
      <c r="V608" s="464"/>
      <c r="W608" s="464"/>
      <c r="X608" s="464"/>
      <c r="Y608" s="465"/>
      <c r="Z608" s="466"/>
      <c r="AA608" s="467"/>
      <c r="AB608" s="468"/>
      <c r="AC608" s="636" t="s">
        <v>11786</v>
      </c>
      <c r="AD608" s="468"/>
    </row>
    <row r="609" ht="15.75" customHeight="1" outlineLevel="1">
      <c r="A609" s="177" t="s">
        <v>11429</v>
      </c>
      <c r="B609" s="221" t="s">
        <v>189</v>
      </c>
      <c r="C609" s="221" t="s">
        <v>27</v>
      </c>
      <c r="D609" s="172" t="s">
        <v>4</v>
      </c>
      <c r="E609" s="222" t="s">
        <v>27</v>
      </c>
      <c r="F609" s="172" t="s">
        <v>4</v>
      </c>
      <c r="G609" s="172" t="s">
        <v>44</v>
      </c>
      <c r="H609" s="171" t="s">
        <v>197</v>
      </c>
      <c r="I609" s="175" t="s">
        <v>27</v>
      </c>
      <c r="J609" s="262" t="s">
        <v>4</v>
      </c>
      <c r="K609" s="297" t="s">
        <v>27</v>
      </c>
      <c r="L609" s="157" t="s">
        <v>4</v>
      </c>
      <c r="M609" s="168" t="s">
        <v>27</v>
      </c>
      <c r="N609" s="167"/>
      <c r="O609" s="173" t="str">
        <f t="shared" si="29"/>
        <v>L3.00.00.06.00.00</v>
      </c>
      <c r="P609" s="173" t="str">
        <f t="shared" si="42"/>
        <v>L3.00.00.06.00.00.00</v>
      </c>
      <c r="Q609" s="428" t="s">
        <v>10530</v>
      </c>
      <c r="R609" s="273" t="str">
        <f t="shared" ref="R609:R628" si="45">if(L609&lt;&gt;"-",L609,if(AND(L609="-",J609&lt;&gt;"-"),J609,if(AND(J609="-",H609&lt;&gt;"-"),H609,"NA")))</f>
        <v>Phòng hỗ trợ khách hàng HCSN</v>
      </c>
      <c r="S609" s="429" t="str">
        <f>P580</f>
        <v>L3.00.00.00.00.00.00</v>
      </c>
      <c r="T609" s="176"/>
      <c r="U609" s="176"/>
      <c r="V609" s="176"/>
      <c r="W609" s="176"/>
      <c r="X609" s="176"/>
      <c r="Y609" s="224"/>
      <c r="Z609" s="275" t="s">
        <v>11466</v>
      </c>
      <c r="AA609" s="266"/>
      <c r="AB609" s="226"/>
      <c r="AC609" s="226"/>
      <c r="AD609" s="226"/>
    </row>
    <row r="610" ht="15.75" customHeight="1" outlineLevel="1">
      <c r="A610" s="228" t="s">
        <v>11429</v>
      </c>
      <c r="B610" s="270" t="s">
        <v>189</v>
      </c>
      <c r="C610" s="270" t="s">
        <v>27</v>
      </c>
      <c r="D610" s="209" t="s">
        <v>4</v>
      </c>
      <c r="E610" s="271" t="s">
        <v>27</v>
      </c>
      <c r="F610" s="209" t="s">
        <v>4</v>
      </c>
      <c r="G610" s="209" t="s">
        <v>44</v>
      </c>
      <c r="H610" s="181" t="s">
        <v>197</v>
      </c>
      <c r="I610" s="209" t="s">
        <v>29</v>
      </c>
      <c r="J610" s="212" t="s">
        <v>11467</v>
      </c>
      <c r="K610" s="271" t="s">
        <v>27</v>
      </c>
      <c r="L610" s="209" t="s">
        <v>4</v>
      </c>
      <c r="M610" s="209" t="s">
        <v>49</v>
      </c>
      <c r="N610" s="181" t="s">
        <v>10514</v>
      </c>
      <c r="O610" s="272" t="str">
        <f t="shared" si="29"/>
        <v>L3.00.00.06.01.00</v>
      </c>
      <c r="P610" s="272" t="str">
        <f t="shared" si="42"/>
        <v>L3.00.00.06.01.00.08</v>
      </c>
      <c r="Q610" s="447" t="s">
        <v>10530</v>
      </c>
      <c r="R610" s="273" t="str">
        <f t="shared" si="45"/>
        <v>Nhóm hỗ trợ giải pháp TCKT HCSN 01</v>
      </c>
      <c r="S610" s="274" t="str">
        <f>P609</f>
        <v>L3.00.00.06.00.00.00</v>
      </c>
      <c r="T610" s="2" t="s">
        <v>7471</v>
      </c>
      <c r="U610" s="2" t="s">
        <v>576</v>
      </c>
      <c r="V610" s="2" t="s">
        <v>2817</v>
      </c>
      <c r="W610" s="2" t="s">
        <v>7470</v>
      </c>
      <c r="X610" s="183"/>
      <c r="Y610" s="184"/>
      <c r="Z610" s="275" t="s">
        <v>11468</v>
      </c>
      <c r="AA610" s="276"/>
      <c r="AB610" s="277"/>
      <c r="AC610" s="566" t="s">
        <v>11788</v>
      </c>
      <c r="AD610" s="277"/>
    </row>
    <row r="611" ht="15.75" customHeight="1" outlineLevel="1">
      <c r="A611" s="228" t="s">
        <v>11429</v>
      </c>
      <c r="B611" s="270" t="s">
        <v>189</v>
      </c>
      <c r="C611" s="270" t="s">
        <v>27</v>
      </c>
      <c r="D611" s="209" t="s">
        <v>4</v>
      </c>
      <c r="E611" s="271" t="s">
        <v>27</v>
      </c>
      <c r="F611" s="209" t="s">
        <v>4</v>
      </c>
      <c r="G611" s="209" t="s">
        <v>44</v>
      </c>
      <c r="H611" s="181" t="s">
        <v>197</v>
      </c>
      <c r="I611" s="182" t="s">
        <v>35</v>
      </c>
      <c r="J611" s="212" t="s">
        <v>11469</v>
      </c>
      <c r="K611" s="271" t="s">
        <v>27</v>
      </c>
      <c r="L611" s="209" t="s">
        <v>4</v>
      </c>
      <c r="M611" s="209" t="s">
        <v>49</v>
      </c>
      <c r="N611" s="181" t="s">
        <v>10514</v>
      </c>
      <c r="O611" s="272" t="str">
        <f t="shared" si="29"/>
        <v>L3.00.00.06.03.00</v>
      </c>
      <c r="P611" s="272" t="str">
        <f t="shared" si="42"/>
        <v>L3.00.00.06.03.00.08</v>
      </c>
      <c r="Q611" s="447" t="s">
        <v>10530</v>
      </c>
      <c r="R611" s="273" t="str">
        <f t="shared" si="45"/>
        <v>Nhóm hỗ trợ giải pháp TCKT HCSN 02</v>
      </c>
      <c r="S611" s="274" t="str">
        <f>P609</f>
        <v>L3.00.00.06.00.00.00</v>
      </c>
      <c r="T611" s="183"/>
      <c r="U611" s="183"/>
      <c r="V611" s="183"/>
      <c r="W611" s="183"/>
      <c r="X611" s="183"/>
      <c r="Y611" s="184" t="s">
        <v>11436</v>
      </c>
      <c r="Z611" s="275" t="s">
        <v>11470</v>
      </c>
      <c r="AA611" s="276"/>
      <c r="AB611" s="277"/>
      <c r="AC611" s="566" t="s">
        <v>11788</v>
      </c>
      <c r="AD611" s="277"/>
    </row>
    <row r="612" ht="15.75" customHeight="1" outlineLevel="1">
      <c r="A612" s="228" t="s">
        <v>11429</v>
      </c>
      <c r="B612" s="270" t="s">
        <v>189</v>
      </c>
      <c r="C612" s="270" t="s">
        <v>27</v>
      </c>
      <c r="D612" s="209" t="s">
        <v>4</v>
      </c>
      <c r="E612" s="271" t="s">
        <v>27</v>
      </c>
      <c r="F612" s="209" t="s">
        <v>4</v>
      </c>
      <c r="G612" s="209" t="s">
        <v>44</v>
      </c>
      <c r="H612" s="181" t="s">
        <v>197</v>
      </c>
      <c r="I612" s="209" t="s">
        <v>33</v>
      </c>
      <c r="J612" s="181" t="s">
        <v>199</v>
      </c>
      <c r="K612" s="271" t="s">
        <v>27</v>
      </c>
      <c r="L612" s="209" t="s">
        <v>4</v>
      </c>
      <c r="M612" s="209" t="s">
        <v>49</v>
      </c>
      <c r="N612" s="181" t="s">
        <v>10514</v>
      </c>
      <c r="O612" s="272" t="str">
        <f t="shared" si="29"/>
        <v>L3.00.00.06.02.00</v>
      </c>
      <c r="P612" s="272" t="str">
        <f t="shared" si="42"/>
        <v>L3.00.00.06.02.00.08</v>
      </c>
      <c r="Q612" s="447" t="s">
        <v>10530</v>
      </c>
      <c r="R612" s="273" t="str">
        <f t="shared" si="45"/>
        <v>Nhóm hỗ trợ giải pháp điều hành HCSN</v>
      </c>
      <c r="S612" s="274" t="str">
        <f>P609</f>
        <v>L3.00.00.06.00.00.00</v>
      </c>
      <c r="T612" s="183"/>
      <c r="U612" s="183"/>
      <c r="V612" s="183"/>
      <c r="W612" s="183"/>
      <c r="X612" s="183"/>
      <c r="Y612" s="184" t="s">
        <v>11436</v>
      </c>
      <c r="Z612" s="275" t="s">
        <v>11471</v>
      </c>
      <c r="AA612" s="276"/>
      <c r="AB612" s="277"/>
      <c r="AC612" s="566" t="s">
        <v>11788</v>
      </c>
      <c r="AD612" s="277"/>
    </row>
    <row r="613" ht="15.75" customHeight="1" outlineLevel="1">
      <c r="A613" s="228" t="s">
        <v>11429</v>
      </c>
      <c r="B613" s="270" t="s">
        <v>189</v>
      </c>
      <c r="C613" s="270" t="s">
        <v>27</v>
      </c>
      <c r="D613" s="209" t="s">
        <v>4</v>
      </c>
      <c r="E613" s="271" t="s">
        <v>27</v>
      </c>
      <c r="F613" s="209" t="s">
        <v>4</v>
      </c>
      <c r="G613" s="209" t="s">
        <v>46</v>
      </c>
      <c r="H613" s="181" t="s">
        <v>200</v>
      </c>
      <c r="I613" s="271" t="s">
        <v>27</v>
      </c>
      <c r="J613" s="209" t="s">
        <v>4</v>
      </c>
      <c r="K613" s="271" t="s">
        <v>27</v>
      </c>
      <c r="L613" s="209" t="s">
        <v>4</v>
      </c>
      <c r="M613" s="353" t="s">
        <v>51</v>
      </c>
      <c r="N613" s="356" t="s">
        <v>10515</v>
      </c>
      <c r="O613" s="272" t="str">
        <f t="shared" si="29"/>
        <v>L3.00.00.07.00.00</v>
      </c>
      <c r="P613" s="272" t="str">
        <f t="shared" si="42"/>
        <v>L3.00.00.07.00.00.09</v>
      </c>
      <c r="Q613" s="447" t="s">
        <v>10530</v>
      </c>
      <c r="R613" s="273" t="str">
        <f t="shared" si="45"/>
        <v>Phòng hỗ trợ chủ động</v>
      </c>
      <c r="S613" s="274" t="s">
        <v>11432</v>
      </c>
      <c r="T613" s="2" t="s">
        <v>7406</v>
      </c>
      <c r="U613" s="2" t="s">
        <v>576</v>
      </c>
      <c r="V613" s="2" t="s">
        <v>3239</v>
      </c>
      <c r="W613" s="2" t="s">
        <v>7405</v>
      </c>
      <c r="X613" s="183"/>
      <c r="Y613" s="184"/>
      <c r="Z613" s="275" t="s">
        <v>11472</v>
      </c>
      <c r="AA613" s="276"/>
      <c r="AB613" s="277"/>
      <c r="AC613" s="566" t="s">
        <v>11788</v>
      </c>
      <c r="AD613" s="277"/>
    </row>
    <row r="614" ht="15.75" customHeight="1" outlineLevel="1">
      <c r="A614" s="228" t="s">
        <v>11429</v>
      </c>
      <c r="B614" s="270" t="s">
        <v>189</v>
      </c>
      <c r="C614" s="270" t="s">
        <v>27</v>
      </c>
      <c r="D614" s="209" t="s">
        <v>4</v>
      </c>
      <c r="E614" s="271" t="s">
        <v>27</v>
      </c>
      <c r="F614" s="209" t="s">
        <v>4</v>
      </c>
      <c r="G614" s="209" t="s">
        <v>49</v>
      </c>
      <c r="H614" s="212" t="s">
        <v>11473</v>
      </c>
      <c r="I614" s="182" t="s">
        <v>27</v>
      </c>
      <c r="J614" s="449" t="s">
        <v>4</v>
      </c>
      <c r="K614" s="271" t="s">
        <v>27</v>
      </c>
      <c r="L614" s="209" t="s">
        <v>4</v>
      </c>
      <c r="M614" s="209" t="s">
        <v>49</v>
      </c>
      <c r="N614" s="181" t="s">
        <v>10514</v>
      </c>
      <c r="O614" s="272" t="str">
        <f t="shared" si="29"/>
        <v>L3.00.00.08.00.00</v>
      </c>
      <c r="P614" s="272" t="str">
        <f t="shared" si="42"/>
        <v>L3.00.00.08.00.00.08</v>
      </c>
      <c r="Q614" s="447" t="s">
        <v>10530</v>
      </c>
      <c r="R614" s="273" t="str">
        <f t="shared" si="45"/>
        <v>Phòng CSKH VIP 01</v>
      </c>
      <c r="S614" s="274" t="s">
        <v>11432</v>
      </c>
      <c r="T614" s="430" t="s">
        <v>9760</v>
      </c>
      <c r="U614" s="430" t="s">
        <v>576</v>
      </c>
      <c r="V614" s="430" t="s">
        <v>2934</v>
      </c>
      <c r="W614" s="183"/>
      <c r="X614" s="183"/>
      <c r="Y614" s="184"/>
      <c r="Z614" s="275" t="s">
        <v>11474</v>
      </c>
      <c r="AA614" s="304" t="s">
        <v>10530</v>
      </c>
      <c r="AB614" s="277"/>
      <c r="AC614" s="566" t="s">
        <v>11788</v>
      </c>
      <c r="AD614" s="277"/>
    </row>
    <row r="615" ht="15.75" customHeight="1" outlineLevel="1">
      <c r="A615" s="228" t="s">
        <v>11429</v>
      </c>
      <c r="B615" s="270" t="s">
        <v>189</v>
      </c>
      <c r="C615" s="270" t="s">
        <v>27</v>
      </c>
      <c r="D615" s="209" t="s">
        <v>4</v>
      </c>
      <c r="E615" s="271" t="s">
        <v>27</v>
      </c>
      <c r="F615" s="209" t="s">
        <v>4</v>
      </c>
      <c r="G615" s="209" t="s">
        <v>49</v>
      </c>
      <c r="H615" s="212" t="s">
        <v>11473</v>
      </c>
      <c r="I615" s="209" t="s">
        <v>29</v>
      </c>
      <c r="J615" s="212" t="s">
        <v>2933</v>
      </c>
      <c r="K615" s="271" t="s">
        <v>27</v>
      </c>
      <c r="L615" s="209" t="s">
        <v>4</v>
      </c>
      <c r="M615" s="209" t="s">
        <v>49</v>
      </c>
      <c r="N615" s="181" t="s">
        <v>10514</v>
      </c>
      <c r="O615" s="272" t="str">
        <f t="shared" si="29"/>
        <v>L3.00.00.08.01.00</v>
      </c>
      <c r="P615" s="272" t="str">
        <f t="shared" si="42"/>
        <v>L3.00.00.08.01.00.08</v>
      </c>
      <c r="Q615" s="447" t="s">
        <v>10530</v>
      </c>
      <c r="R615" s="273" t="str">
        <f t="shared" si="45"/>
        <v>Nhóm CS 01</v>
      </c>
      <c r="S615" s="274" t="str">
        <f>P614</f>
        <v>L3.00.00.08.00.00.08</v>
      </c>
      <c r="T615" s="430" t="s">
        <v>2935</v>
      </c>
      <c r="U615" s="430" t="s">
        <v>576</v>
      </c>
      <c r="V615" s="430" t="s">
        <v>2934</v>
      </c>
      <c r="W615" s="430" t="s">
        <v>2933</v>
      </c>
      <c r="X615" s="183"/>
      <c r="Y615" s="184"/>
      <c r="Z615" s="275" t="s">
        <v>11475</v>
      </c>
      <c r="AA615" s="304" t="s">
        <v>10530</v>
      </c>
      <c r="AB615" s="277"/>
      <c r="AC615" s="566" t="s">
        <v>11788</v>
      </c>
      <c r="AD615" s="277"/>
    </row>
    <row r="616" ht="15.75" customHeight="1" outlineLevel="1">
      <c r="A616" s="228" t="s">
        <v>11429</v>
      </c>
      <c r="B616" s="270" t="s">
        <v>189</v>
      </c>
      <c r="C616" s="270" t="s">
        <v>27</v>
      </c>
      <c r="D616" s="209" t="s">
        <v>4</v>
      </c>
      <c r="E616" s="271" t="s">
        <v>27</v>
      </c>
      <c r="F616" s="209" t="s">
        <v>4</v>
      </c>
      <c r="G616" s="209" t="s">
        <v>49</v>
      </c>
      <c r="H616" s="212" t="s">
        <v>11473</v>
      </c>
      <c r="I616" s="209" t="s">
        <v>33</v>
      </c>
      <c r="J616" s="212" t="s">
        <v>3598</v>
      </c>
      <c r="K616" s="271" t="s">
        <v>27</v>
      </c>
      <c r="L616" s="209" t="s">
        <v>4</v>
      </c>
      <c r="M616" s="209" t="s">
        <v>49</v>
      </c>
      <c r="N616" s="181" t="s">
        <v>10514</v>
      </c>
      <c r="O616" s="272" t="str">
        <f t="shared" si="29"/>
        <v>L3.00.00.08.02.00</v>
      </c>
      <c r="P616" s="272" t="str">
        <f t="shared" si="42"/>
        <v>L3.00.00.08.02.00.08</v>
      </c>
      <c r="Q616" s="447" t="s">
        <v>10530</v>
      </c>
      <c r="R616" s="273" t="str">
        <f t="shared" si="45"/>
        <v>Nhóm CS 02</v>
      </c>
      <c r="S616" s="274" t="str">
        <f>P614</f>
        <v>L3.00.00.08.00.00.08</v>
      </c>
      <c r="T616" s="430" t="s">
        <v>3599</v>
      </c>
      <c r="U616" s="430" t="s">
        <v>576</v>
      </c>
      <c r="V616" s="430" t="s">
        <v>2934</v>
      </c>
      <c r="W616" s="430" t="s">
        <v>3598</v>
      </c>
      <c r="X616" s="183"/>
      <c r="Y616" s="183"/>
      <c r="Z616" s="275" t="s">
        <v>11476</v>
      </c>
      <c r="AA616" s="304" t="s">
        <v>10530</v>
      </c>
      <c r="AB616" s="277"/>
      <c r="AC616" s="566" t="s">
        <v>11788</v>
      </c>
      <c r="AD616" s="277"/>
    </row>
    <row r="617" ht="15.75" customHeight="1" outlineLevel="1">
      <c r="A617" s="228" t="s">
        <v>11429</v>
      </c>
      <c r="B617" s="270" t="s">
        <v>189</v>
      </c>
      <c r="C617" s="270" t="s">
        <v>27</v>
      </c>
      <c r="D617" s="209" t="s">
        <v>4</v>
      </c>
      <c r="E617" s="271" t="s">
        <v>27</v>
      </c>
      <c r="F617" s="209" t="s">
        <v>4</v>
      </c>
      <c r="G617" s="182" t="s">
        <v>51</v>
      </c>
      <c r="H617" s="212" t="s">
        <v>11477</v>
      </c>
      <c r="I617" s="182" t="s">
        <v>27</v>
      </c>
      <c r="J617" s="449" t="s">
        <v>4</v>
      </c>
      <c r="K617" s="271" t="s">
        <v>27</v>
      </c>
      <c r="L617" s="209" t="s">
        <v>4</v>
      </c>
      <c r="M617" s="353" t="s">
        <v>51</v>
      </c>
      <c r="N617" s="356" t="s">
        <v>10515</v>
      </c>
      <c r="O617" s="272" t="str">
        <f t="shared" si="29"/>
        <v>L3.00.00.09.00.00</v>
      </c>
      <c r="P617" s="272" t="str">
        <f t="shared" si="42"/>
        <v>L3.00.00.09.00.00.09</v>
      </c>
      <c r="Q617" s="447" t="s">
        <v>10530</v>
      </c>
      <c r="R617" s="273" t="str">
        <f t="shared" si="45"/>
        <v>Phòng CSKH VIP 02</v>
      </c>
      <c r="S617" s="274" t="s">
        <v>11432</v>
      </c>
      <c r="T617" s="430" t="s">
        <v>3442</v>
      </c>
      <c r="U617" s="430" t="s">
        <v>576</v>
      </c>
      <c r="V617" s="430" t="s">
        <v>3299</v>
      </c>
      <c r="W617" s="430"/>
      <c r="X617" s="183"/>
      <c r="Y617" s="184"/>
      <c r="Z617" s="275" t="s">
        <v>11478</v>
      </c>
      <c r="AA617" s="304" t="s">
        <v>10530</v>
      </c>
      <c r="AB617" s="277"/>
      <c r="AC617" s="566" t="s">
        <v>11788</v>
      </c>
      <c r="AD617" s="277"/>
    </row>
    <row r="618" ht="15.75" customHeight="1" outlineLevel="1">
      <c r="A618" s="228" t="s">
        <v>11429</v>
      </c>
      <c r="B618" s="270" t="s">
        <v>189</v>
      </c>
      <c r="C618" s="270" t="s">
        <v>27</v>
      </c>
      <c r="D618" s="209" t="s">
        <v>4</v>
      </c>
      <c r="E618" s="271" t="s">
        <v>27</v>
      </c>
      <c r="F618" s="209" t="s">
        <v>4</v>
      </c>
      <c r="G618" s="182" t="s">
        <v>51</v>
      </c>
      <c r="H618" s="212" t="s">
        <v>11477</v>
      </c>
      <c r="I618" s="209" t="s">
        <v>29</v>
      </c>
      <c r="J618" s="212" t="s">
        <v>11479</v>
      </c>
      <c r="K618" s="271" t="s">
        <v>27</v>
      </c>
      <c r="L618" s="209" t="s">
        <v>4</v>
      </c>
      <c r="M618" s="353" t="s">
        <v>51</v>
      </c>
      <c r="N618" s="356" t="s">
        <v>10515</v>
      </c>
      <c r="O618" s="272" t="str">
        <f t="shared" si="29"/>
        <v>L3.00.00.09.01.00</v>
      </c>
      <c r="P618" s="272" t="str">
        <f t="shared" si="42"/>
        <v>L3.00.00.09.01.00.09</v>
      </c>
      <c r="Q618" s="447" t="s">
        <v>10530</v>
      </c>
      <c r="R618" s="273" t="str">
        <f t="shared" si="45"/>
        <v>Nhóm CS03</v>
      </c>
      <c r="S618" s="274" t="str">
        <f>P617</f>
        <v>L3.00.00.09.00.00.09</v>
      </c>
      <c r="T618" s="430" t="s">
        <v>3300</v>
      </c>
      <c r="U618" s="430" t="s">
        <v>576</v>
      </c>
      <c r="V618" s="430" t="s">
        <v>3299</v>
      </c>
      <c r="W618" s="430" t="s">
        <v>3298</v>
      </c>
      <c r="X618" s="183"/>
      <c r="Y618" s="184"/>
      <c r="Z618" s="275" t="s">
        <v>11480</v>
      </c>
      <c r="AA618" s="304" t="s">
        <v>10530</v>
      </c>
      <c r="AB618" s="277"/>
      <c r="AC618" s="566" t="s">
        <v>11788</v>
      </c>
      <c r="AD618" s="277"/>
    </row>
    <row r="619" ht="15.75" customHeight="1" outlineLevel="1">
      <c r="A619" s="228" t="s">
        <v>11429</v>
      </c>
      <c r="B619" s="270" t="s">
        <v>189</v>
      </c>
      <c r="C619" s="270" t="s">
        <v>27</v>
      </c>
      <c r="D619" s="209" t="s">
        <v>4</v>
      </c>
      <c r="E619" s="271" t="s">
        <v>27</v>
      </c>
      <c r="F619" s="209" t="s">
        <v>4</v>
      </c>
      <c r="G619" s="182" t="s">
        <v>51</v>
      </c>
      <c r="H619" s="212" t="s">
        <v>11477</v>
      </c>
      <c r="I619" s="209" t="s">
        <v>33</v>
      </c>
      <c r="J619" s="212" t="s">
        <v>11481</v>
      </c>
      <c r="K619" s="271" t="s">
        <v>27</v>
      </c>
      <c r="L619" s="209" t="s">
        <v>4</v>
      </c>
      <c r="M619" s="353" t="s">
        <v>51</v>
      </c>
      <c r="N619" s="356" t="s">
        <v>10515</v>
      </c>
      <c r="O619" s="272" t="str">
        <f t="shared" si="29"/>
        <v>L3.00.00.09.02.00</v>
      </c>
      <c r="P619" s="272" t="str">
        <f t="shared" si="42"/>
        <v>L3.00.00.09.02.00.09</v>
      </c>
      <c r="Q619" s="447" t="s">
        <v>10530</v>
      </c>
      <c r="R619" s="273" t="str">
        <f t="shared" si="45"/>
        <v>Nhóm CS04</v>
      </c>
      <c r="S619" s="274" t="str">
        <f>P617</f>
        <v>L3.00.00.09.00.00.09</v>
      </c>
      <c r="T619" s="430" t="s">
        <v>3448</v>
      </c>
      <c r="U619" s="430" t="s">
        <v>576</v>
      </c>
      <c r="V619" s="430" t="s">
        <v>3299</v>
      </c>
      <c r="W619" s="430" t="s">
        <v>3447</v>
      </c>
      <c r="X619" s="183"/>
      <c r="Y619" s="183"/>
      <c r="Z619" s="275" t="s">
        <v>11482</v>
      </c>
      <c r="AA619" s="304" t="s">
        <v>10530</v>
      </c>
      <c r="AB619" s="277"/>
      <c r="AC619" s="566" t="s">
        <v>11788</v>
      </c>
      <c r="AD619" s="277"/>
    </row>
    <row r="620" ht="15.75" customHeight="1" outlineLevel="1">
      <c r="A620" s="228" t="s">
        <v>11429</v>
      </c>
      <c r="B620" s="270" t="s">
        <v>189</v>
      </c>
      <c r="C620" s="270" t="s">
        <v>27</v>
      </c>
      <c r="D620" s="209" t="s">
        <v>4</v>
      </c>
      <c r="E620" s="271" t="s">
        <v>27</v>
      </c>
      <c r="F620" s="209" t="s">
        <v>4</v>
      </c>
      <c r="G620" s="228">
        <v>10.0</v>
      </c>
      <c r="H620" s="212" t="s">
        <v>11483</v>
      </c>
      <c r="I620" s="271" t="s">
        <v>27</v>
      </c>
      <c r="J620" s="209" t="s">
        <v>4</v>
      </c>
      <c r="K620" s="271" t="s">
        <v>27</v>
      </c>
      <c r="L620" s="209" t="s">
        <v>4</v>
      </c>
      <c r="M620" s="182" t="s">
        <v>27</v>
      </c>
      <c r="N620" s="181"/>
      <c r="O620" s="272" t="str">
        <f t="shared" si="29"/>
        <v>L3.00.00.10.00.00</v>
      </c>
      <c r="P620" s="272" t="str">
        <f t="shared" si="42"/>
        <v>L3.00.00.10.00.00.00</v>
      </c>
      <c r="Q620" s="447" t="s">
        <v>10530</v>
      </c>
      <c r="R620" s="273" t="str">
        <f t="shared" si="45"/>
        <v>Phòng gia hạn</v>
      </c>
      <c r="S620" s="274" t="s">
        <v>11432</v>
      </c>
      <c r="T620" s="430" t="s">
        <v>8196</v>
      </c>
      <c r="U620" s="430" t="s">
        <v>576</v>
      </c>
      <c r="V620" s="430" t="s">
        <v>3257</v>
      </c>
      <c r="W620" s="430"/>
      <c r="X620" s="183"/>
      <c r="Y620" s="184"/>
      <c r="Z620" s="275" t="s">
        <v>11484</v>
      </c>
      <c r="AA620" s="304" t="s">
        <v>10530</v>
      </c>
      <c r="AB620" s="277"/>
      <c r="AC620" s="566" t="s">
        <v>11788</v>
      </c>
      <c r="AD620" s="277"/>
    </row>
    <row r="621" ht="15.75" customHeight="1" outlineLevel="1">
      <c r="A621" s="228" t="s">
        <v>11429</v>
      </c>
      <c r="B621" s="270" t="s">
        <v>189</v>
      </c>
      <c r="C621" s="270" t="s">
        <v>27</v>
      </c>
      <c r="D621" s="209" t="s">
        <v>4</v>
      </c>
      <c r="E621" s="271" t="s">
        <v>27</v>
      </c>
      <c r="F621" s="209" t="s">
        <v>4</v>
      </c>
      <c r="G621" s="228">
        <v>10.0</v>
      </c>
      <c r="H621" s="212" t="s">
        <v>11483</v>
      </c>
      <c r="I621" s="182" t="s">
        <v>29</v>
      </c>
      <c r="J621" s="212" t="s">
        <v>11485</v>
      </c>
      <c r="K621" s="271" t="s">
        <v>27</v>
      </c>
      <c r="L621" s="209" t="s">
        <v>4</v>
      </c>
      <c r="M621" s="209" t="s">
        <v>49</v>
      </c>
      <c r="N621" s="181" t="s">
        <v>10514</v>
      </c>
      <c r="O621" s="272" t="str">
        <f t="shared" si="29"/>
        <v>L3.00.00.10.01.00</v>
      </c>
      <c r="P621" s="272" t="str">
        <f t="shared" si="42"/>
        <v>L3.00.00.10.01.00.08</v>
      </c>
      <c r="Q621" s="447" t="s">
        <v>10530</v>
      </c>
      <c r="R621" s="273" t="str">
        <f t="shared" si="45"/>
        <v>Nhóm gia hạn 01</v>
      </c>
      <c r="S621" s="274" t="str">
        <f>P620</f>
        <v>L3.00.00.10.00.00.00</v>
      </c>
      <c r="T621" s="430" t="s">
        <v>7513</v>
      </c>
      <c r="U621" s="430" t="s">
        <v>576</v>
      </c>
      <c r="V621" s="430" t="s">
        <v>3257</v>
      </c>
      <c r="W621" s="430" t="s">
        <v>7512</v>
      </c>
      <c r="X621" s="183"/>
      <c r="Y621" s="184"/>
      <c r="Z621" s="275" t="s">
        <v>11486</v>
      </c>
      <c r="AA621" s="304" t="s">
        <v>10530</v>
      </c>
      <c r="AB621" s="277"/>
      <c r="AC621" s="566" t="s">
        <v>11788</v>
      </c>
      <c r="AD621" s="277"/>
    </row>
    <row r="622" ht="15.75" customHeight="1" outlineLevel="1">
      <c r="A622" s="228" t="s">
        <v>11429</v>
      </c>
      <c r="B622" s="270" t="s">
        <v>189</v>
      </c>
      <c r="C622" s="270" t="s">
        <v>27</v>
      </c>
      <c r="D622" s="209" t="s">
        <v>4</v>
      </c>
      <c r="E622" s="271" t="s">
        <v>27</v>
      </c>
      <c r="F622" s="209" t="s">
        <v>4</v>
      </c>
      <c r="G622" s="228">
        <v>10.0</v>
      </c>
      <c r="H622" s="212" t="s">
        <v>11483</v>
      </c>
      <c r="I622" s="182" t="s">
        <v>33</v>
      </c>
      <c r="J622" s="212" t="s">
        <v>11487</v>
      </c>
      <c r="K622" s="271" t="s">
        <v>27</v>
      </c>
      <c r="L622" s="209" t="s">
        <v>4</v>
      </c>
      <c r="M622" s="353" t="s">
        <v>51</v>
      </c>
      <c r="N622" s="356" t="s">
        <v>10515</v>
      </c>
      <c r="O622" s="272" t="str">
        <f t="shared" si="29"/>
        <v>L3.00.00.10.02.00</v>
      </c>
      <c r="P622" s="272" t="str">
        <f t="shared" si="42"/>
        <v>L3.00.00.10.02.00.09</v>
      </c>
      <c r="Q622" s="447" t="s">
        <v>10530</v>
      </c>
      <c r="R622" s="273" t="str">
        <f t="shared" si="45"/>
        <v>Nhóm gia hạn 02</v>
      </c>
      <c r="S622" s="274" t="str">
        <f>P620</f>
        <v>L3.00.00.10.00.00.00</v>
      </c>
      <c r="T622" s="430" t="s">
        <v>3258</v>
      </c>
      <c r="U622" s="430" t="s">
        <v>576</v>
      </c>
      <c r="V622" s="430" t="s">
        <v>3257</v>
      </c>
      <c r="W622" s="430" t="s">
        <v>3256</v>
      </c>
      <c r="X622" s="183"/>
      <c r="Y622" s="184"/>
      <c r="Z622" s="275" t="s">
        <v>11488</v>
      </c>
      <c r="AA622" s="304" t="s">
        <v>10530</v>
      </c>
      <c r="AB622" s="277"/>
      <c r="AC622" s="566" t="s">
        <v>11788</v>
      </c>
      <c r="AD622" s="277"/>
    </row>
    <row r="623" ht="15.75" customHeight="1" outlineLevel="1">
      <c r="A623" s="196" t="s">
        <v>11429</v>
      </c>
      <c r="B623" s="197" t="s">
        <v>189</v>
      </c>
      <c r="C623" s="197" t="s">
        <v>27</v>
      </c>
      <c r="D623" s="198" t="s">
        <v>4</v>
      </c>
      <c r="E623" s="199" t="s">
        <v>27</v>
      </c>
      <c r="F623" s="198" t="s">
        <v>4</v>
      </c>
      <c r="G623" s="198" t="s">
        <v>35</v>
      </c>
      <c r="H623" s="469" t="s">
        <v>11489</v>
      </c>
      <c r="I623" s="199" t="s">
        <v>27</v>
      </c>
      <c r="J623" s="470" t="s">
        <v>4</v>
      </c>
      <c r="K623" s="471" t="s">
        <v>27</v>
      </c>
      <c r="L623" s="470" t="s">
        <v>4</v>
      </c>
      <c r="M623" s="470" t="s">
        <v>49</v>
      </c>
      <c r="N623" s="472" t="s">
        <v>10514</v>
      </c>
      <c r="O623" s="201" t="str">
        <f t="shared" si="29"/>
        <v>L3.00.00.03.00.00</v>
      </c>
      <c r="P623" s="201"/>
      <c r="Q623" s="204"/>
      <c r="R623" s="204" t="str">
        <f t="shared" si="45"/>
        <v>Phòng hỗ trợ giải pháp TCKT DN (bò)</v>
      </c>
      <c r="S623" s="473" t="s">
        <v>11490</v>
      </c>
      <c r="T623" s="205"/>
      <c r="U623" s="205"/>
      <c r="V623" s="205"/>
      <c r="W623" s="205"/>
      <c r="X623" s="205"/>
      <c r="Y623" s="202"/>
      <c r="Z623" s="474"/>
      <c r="AA623" s="475"/>
      <c r="AB623" s="208"/>
      <c r="AC623" s="636" t="s">
        <v>11786</v>
      </c>
      <c r="AD623" s="208"/>
    </row>
    <row r="624" ht="15.75" customHeight="1" outlineLevel="1">
      <c r="A624" s="196" t="s">
        <v>11429</v>
      </c>
      <c r="B624" s="197" t="s">
        <v>189</v>
      </c>
      <c r="C624" s="197" t="s">
        <v>27</v>
      </c>
      <c r="D624" s="198" t="s">
        <v>4</v>
      </c>
      <c r="E624" s="199" t="s">
        <v>27</v>
      </c>
      <c r="F624" s="198" t="s">
        <v>4</v>
      </c>
      <c r="G624" s="198" t="s">
        <v>37</v>
      </c>
      <c r="H624" s="469" t="s">
        <v>11491</v>
      </c>
      <c r="I624" s="476" t="s">
        <v>27</v>
      </c>
      <c r="J624" s="477" t="s">
        <v>4</v>
      </c>
      <c r="K624" s="471" t="s">
        <v>27</v>
      </c>
      <c r="L624" s="470" t="s">
        <v>4</v>
      </c>
      <c r="M624" s="470" t="s">
        <v>49</v>
      </c>
      <c r="N624" s="472" t="s">
        <v>10514</v>
      </c>
      <c r="O624" s="201" t="str">
        <f t="shared" si="29"/>
        <v>L3.00.00.04.00.00</v>
      </c>
      <c r="P624" s="201"/>
      <c r="Q624" s="204"/>
      <c r="R624" s="204" t="str">
        <f t="shared" si="45"/>
        <v>Phòng hỗ trợ giải pháp quản trị DN (bò)</v>
      </c>
      <c r="S624" s="473" t="s">
        <v>11492</v>
      </c>
      <c r="T624" s="205"/>
      <c r="U624" s="205"/>
      <c r="V624" s="205"/>
      <c r="W624" s="205"/>
      <c r="X624" s="205"/>
      <c r="Y624" s="202"/>
      <c r="Z624" s="474"/>
      <c r="AA624" s="475"/>
      <c r="AB624" s="208"/>
      <c r="AC624" s="636" t="s">
        <v>11786</v>
      </c>
      <c r="AD624" s="208"/>
    </row>
    <row r="625" ht="15.75" customHeight="1" outlineLevel="1">
      <c r="A625" s="196" t="s">
        <v>11429</v>
      </c>
      <c r="B625" s="197" t="s">
        <v>189</v>
      </c>
      <c r="C625" s="197" t="s">
        <v>27</v>
      </c>
      <c r="D625" s="198" t="s">
        <v>4</v>
      </c>
      <c r="E625" s="199" t="s">
        <v>27</v>
      </c>
      <c r="F625" s="198" t="s">
        <v>4</v>
      </c>
      <c r="G625" s="198" t="s">
        <v>37</v>
      </c>
      <c r="H625" s="469" t="s">
        <v>11491</v>
      </c>
      <c r="I625" s="198" t="s">
        <v>29</v>
      </c>
      <c r="J625" s="472" t="s">
        <v>193</v>
      </c>
      <c r="K625" s="471" t="s">
        <v>27</v>
      </c>
      <c r="L625" s="470" t="s">
        <v>4</v>
      </c>
      <c r="M625" s="470" t="s">
        <v>49</v>
      </c>
      <c r="N625" s="472" t="s">
        <v>10514</v>
      </c>
      <c r="O625" s="201" t="str">
        <f t="shared" si="29"/>
        <v>L3.00.00.04.01.00</v>
      </c>
      <c r="P625" s="201"/>
      <c r="Q625" s="204"/>
      <c r="R625" s="204" t="str">
        <f t="shared" si="45"/>
        <v>Nhóm hỗ trợ giải pháp Bán hàng</v>
      </c>
      <c r="S625" s="478" t="s">
        <v>11493</v>
      </c>
      <c r="T625" s="205"/>
      <c r="U625" s="205"/>
      <c r="V625" s="205"/>
      <c r="W625" s="205"/>
      <c r="X625" s="205"/>
      <c r="Y625" s="202"/>
      <c r="Z625" s="474"/>
      <c r="AA625" s="475"/>
      <c r="AB625" s="208"/>
      <c r="AC625" s="636" t="s">
        <v>11786</v>
      </c>
      <c r="AD625" s="208"/>
    </row>
    <row r="626" ht="15.75" customHeight="1" outlineLevel="1">
      <c r="A626" s="196" t="s">
        <v>11429</v>
      </c>
      <c r="B626" s="197" t="s">
        <v>189</v>
      </c>
      <c r="C626" s="197" t="s">
        <v>27</v>
      </c>
      <c r="D626" s="198" t="s">
        <v>4</v>
      </c>
      <c r="E626" s="199" t="s">
        <v>27</v>
      </c>
      <c r="F626" s="198" t="s">
        <v>4</v>
      </c>
      <c r="G626" s="198" t="s">
        <v>37</v>
      </c>
      <c r="H626" s="469" t="s">
        <v>11491</v>
      </c>
      <c r="I626" s="198" t="s">
        <v>33</v>
      </c>
      <c r="J626" s="479" t="s">
        <v>194</v>
      </c>
      <c r="K626" s="471" t="s">
        <v>27</v>
      </c>
      <c r="L626" s="470" t="s">
        <v>4</v>
      </c>
      <c r="M626" s="470" t="s">
        <v>49</v>
      </c>
      <c r="N626" s="472" t="s">
        <v>10514</v>
      </c>
      <c r="O626" s="201" t="str">
        <f t="shared" si="29"/>
        <v>L3.00.00.04.02.00</v>
      </c>
      <c r="P626" s="201"/>
      <c r="Q626" s="204"/>
      <c r="R626" s="204" t="str">
        <f t="shared" si="45"/>
        <v>Nhóm hỗ trợ giải pháp Nhân sự</v>
      </c>
      <c r="S626" s="478" t="s">
        <v>11494</v>
      </c>
      <c r="T626" s="205"/>
      <c r="U626" s="205"/>
      <c r="V626" s="205"/>
      <c r="W626" s="205"/>
      <c r="X626" s="205"/>
      <c r="Y626" s="202"/>
      <c r="Z626" s="474"/>
      <c r="AA626" s="475"/>
      <c r="AB626" s="208"/>
      <c r="AC626" s="636" t="s">
        <v>11786</v>
      </c>
      <c r="AD626" s="208"/>
    </row>
    <row r="627" ht="15.75" customHeight="1" outlineLevel="1">
      <c r="A627" s="196" t="s">
        <v>11429</v>
      </c>
      <c r="B627" s="197" t="s">
        <v>189</v>
      </c>
      <c r="C627" s="197" t="s">
        <v>27</v>
      </c>
      <c r="D627" s="198" t="s">
        <v>4</v>
      </c>
      <c r="E627" s="199" t="s">
        <v>27</v>
      </c>
      <c r="F627" s="198" t="s">
        <v>4</v>
      </c>
      <c r="G627" s="198" t="s">
        <v>37</v>
      </c>
      <c r="H627" s="469" t="s">
        <v>11491</v>
      </c>
      <c r="I627" s="198" t="s">
        <v>35</v>
      </c>
      <c r="J627" s="479" t="s">
        <v>195</v>
      </c>
      <c r="K627" s="471" t="s">
        <v>27</v>
      </c>
      <c r="L627" s="470" t="s">
        <v>4</v>
      </c>
      <c r="M627" s="470" t="s">
        <v>49</v>
      </c>
      <c r="N627" s="472" t="s">
        <v>10514</v>
      </c>
      <c r="O627" s="201" t="str">
        <f t="shared" si="29"/>
        <v>L3.00.00.04.03.00</v>
      </c>
      <c r="P627" s="201"/>
      <c r="Q627" s="204"/>
      <c r="R627" s="204" t="str">
        <f t="shared" si="45"/>
        <v>Nhóm hỗ trợ giải pháp Văn phòng số</v>
      </c>
      <c r="S627" s="478" t="s">
        <v>11495</v>
      </c>
      <c r="T627" s="205"/>
      <c r="U627" s="205"/>
      <c r="V627" s="205"/>
      <c r="W627" s="205"/>
      <c r="X627" s="205"/>
      <c r="Y627" s="202"/>
      <c r="Z627" s="474"/>
      <c r="AA627" s="475"/>
      <c r="AB627" s="208"/>
      <c r="AC627" s="636" t="s">
        <v>11786</v>
      </c>
      <c r="AD627" s="208"/>
    </row>
    <row r="628" ht="15.75" customHeight="1" outlineLevel="1">
      <c r="A628" s="196" t="s">
        <v>11429</v>
      </c>
      <c r="B628" s="197" t="s">
        <v>189</v>
      </c>
      <c r="C628" s="197" t="s">
        <v>27</v>
      </c>
      <c r="D628" s="198" t="s">
        <v>4</v>
      </c>
      <c r="E628" s="199" t="s">
        <v>27</v>
      </c>
      <c r="F628" s="198" t="s">
        <v>4</v>
      </c>
      <c r="G628" s="198" t="s">
        <v>42</v>
      </c>
      <c r="H628" s="469" t="s">
        <v>11496</v>
      </c>
      <c r="I628" s="199" t="s">
        <v>27</v>
      </c>
      <c r="J628" s="470" t="s">
        <v>4</v>
      </c>
      <c r="K628" s="471" t="s">
        <v>27</v>
      </c>
      <c r="L628" s="470" t="s">
        <v>4</v>
      </c>
      <c r="M628" s="470" t="s">
        <v>49</v>
      </c>
      <c r="N628" s="472" t="s">
        <v>10514</v>
      </c>
      <c r="O628" s="201" t="str">
        <f t="shared" si="29"/>
        <v>L3.00.00.05.00.00</v>
      </c>
      <c r="P628" s="201"/>
      <c r="Q628" s="204"/>
      <c r="R628" s="204" t="str">
        <f t="shared" si="45"/>
        <v>Phòng hỗ trợ giải pháp Bán lẻ (bò)</v>
      </c>
      <c r="S628" s="478" t="s">
        <v>11497</v>
      </c>
      <c r="T628" s="205"/>
      <c r="U628" s="205"/>
      <c r="V628" s="205"/>
      <c r="W628" s="205"/>
      <c r="X628" s="205"/>
      <c r="Y628" s="202"/>
      <c r="Z628" s="474"/>
      <c r="AA628" s="475"/>
      <c r="AB628" s="208"/>
      <c r="AC628" s="636" t="s">
        <v>11786</v>
      </c>
      <c r="AD628" s="208"/>
    </row>
    <row r="629" ht="15.75" customHeight="1" outlineLevel="1">
      <c r="A629" s="196" t="s">
        <v>11429</v>
      </c>
      <c r="B629" s="197" t="s">
        <v>189</v>
      </c>
      <c r="C629" s="197" t="s">
        <v>27</v>
      </c>
      <c r="D629" s="198" t="s">
        <v>4</v>
      </c>
      <c r="E629" s="199" t="s">
        <v>27</v>
      </c>
      <c r="F629" s="198" t="s">
        <v>4</v>
      </c>
      <c r="G629" s="198" t="s">
        <v>44</v>
      </c>
      <c r="H629" s="469" t="s">
        <v>11498</v>
      </c>
      <c r="I629" s="476" t="s">
        <v>27</v>
      </c>
      <c r="J629" s="477" t="s">
        <v>4</v>
      </c>
      <c r="K629" s="471" t="s">
        <v>27</v>
      </c>
      <c r="L629" s="470" t="s">
        <v>4</v>
      </c>
      <c r="M629" s="470" t="s">
        <v>49</v>
      </c>
      <c r="N629" s="472" t="s">
        <v>10514</v>
      </c>
      <c r="O629" s="201" t="str">
        <f t="shared" si="29"/>
        <v>L3.00.00.06.00.00</v>
      </c>
      <c r="P629" s="201"/>
      <c r="Q629" s="204"/>
      <c r="R629" s="204" t="s">
        <v>198</v>
      </c>
      <c r="S629" s="478" t="s">
        <v>11499</v>
      </c>
      <c r="T629" s="205"/>
      <c r="U629" s="205"/>
      <c r="V629" s="205"/>
      <c r="W629" s="205"/>
      <c r="X629" s="205"/>
      <c r="Y629" s="202"/>
      <c r="Z629" s="474"/>
      <c r="AA629" s="475"/>
      <c r="AB629" s="208"/>
      <c r="AC629" s="636" t="s">
        <v>11786</v>
      </c>
      <c r="AD629" s="208"/>
    </row>
    <row r="630" ht="15.75" customHeight="1" outlineLevel="1">
      <c r="A630" s="196" t="s">
        <v>11429</v>
      </c>
      <c r="B630" s="197" t="s">
        <v>189</v>
      </c>
      <c r="C630" s="197" t="s">
        <v>27</v>
      </c>
      <c r="D630" s="198" t="s">
        <v>4</v>
      </c>
      <c r="E630" s="199" t="s">
        <v>27</v>
      </c>
      <c r="F630" s="198" t="s">
        <v>4</v>
      </c>
      <c r="G630" s="198" t="s">
        <v>44</v>
      </c>
      <c r="H630" s="469" t="s">
        <v>11498</v>
      </c>
      <c r="I630" s="198" t="s">
        <v>29</v>
      </c>
      <c r="J630" s="472" t="s">
        <v>198</v>
      </c>
      <c r="K630" s="471" t="s">
        <v>27</v>
      </c>
      <c r="L630" s="470" t="s">
        <v>4</v>
      </c>
      <c r="M630" s="470" t="s">
        <v>49</v>
      </c>
      <c r="N630" s="472" t="s">
        <v>10514</v>
      </c>
      <c r="O630" s="201" t="str">
        <f t="shared" si="29"/>
        <v>L3.00.00.06.01.00</v>
      </c>
      <c r="P630" s="201"/>
      <c r="Q630" s="204"/>
      <c r="R630" s="204" t="str">
        <f t="shared" ref="R630:R632" si="46">if(L630&lt;&gt;"-",L630,if(AND(L630="-",J630&lt;&gt;"-"),J630,if(AND(J630="-",H630&lt;&gt;"-"),H630,"NA")))</f>
        <v>Nhóm hỗ trợ giải pháp TCKT HCSN</v>
      </c>
      <c r="S630" s="478" t="s">
        <v>11500</v>
      </c>
      <c r="T630" s="205"/>
      <c r="U630" s="205"/>
      <c r="V630" s="205"/>
      <c r="W630" s="205"/>
      <c r="X630" s="205"/>
      <c r="Y630" s="202"/>
      <c r="Z630" s="474"/>
      <c r="AA630" s="475"/>
      <c r="AB630" s="208"/>
      <c r="AC630" s="636" t="s">
        <v>11786</v>
      </c>
      <c r="AD630" s="208"/>
    </row>
    <row r="631" ht="15.75" customHeight="1" outlineLevel="1">
      <c r="A631" s="196" t="s">
        <v>11429</v>
      </c>
      <c r="B631" s="197" t="s">
        <v>189</v>
      </c>
      <c r="C631" s="197" t="s">
        <v>27</v>
      </c>
      <c r="D631" s="198" t="s">
        <v>4</v>
      </c>
      <c r="E631" s="199" t="s">
        <v>27</v>
      </c>
      <c r="F631" s="198" t="s">
        <v>4</v>
      </c>
      <c r="G631" s="198" t="s">
        <v>44</v>
      </c>
      <c r="H631" s="469" t="s">
        <v>11498</v>
      </c>
      <c r="I631" s="198" t="s">
        <v>33</v>
      </c>
      <c r="J631" s="472" t="s">
        <v>199</v>
      </c>
      <c r="K631" s="471" t="s">
        <v>27</v>
      </c>
      <c r="L631" s="470" t="s">
        <v>4</v>
      </c>
      <c r="M631" s="470" t="s">
        <v>49</v>
      </c>
      <c r="N631" s="472" t="s">
        <v>10514</v>
      </c>
      <c r="O631" s="201" t="str">
        <f t="shared" si="29"/>
        <v>L3.00.00.06.02.00</v>
      </c>
      <c r="P631" s="201"/>
      <c r="Q631" s="204"/>
      <c r="R631" s="204" t="str">
        <f t="shared" si="46"/>
        <v>Nhóm hỗ trợ giải pháp điều hành HCSN</v>
      </c>
      <c r="S631" s="478" t="s">
        <v>11501</v>
      </c>
      <c r="T631" s="205"/>
      <c r="U631" s="205"/>
      <c r="V631" s="205"/>
      <c r="W631" s="205"/>
      <c r="X631" s="205"/>
      <c r="Y631" s="202"/>
      <c r="Z631" s="474"/>
      <c r="AA631" s="475"/>
      <c r="AB631" s="208"/>
      <c r="AC631" s="636" t="s">
        <v>11786</v>
      </c>
      <c r="AD631" s="208"/>
    </row>
    <row r="632" ht="15.75" customHeight="1" outlineLevel="1">
      <c r="A632" s="196" t="s">
        <v>11429</v>
      </c>
      <c r="B632" s="197" t="s">
        <v>189</v>
      </c>
      <c r="C632" s="197" t="s">
        <v>27</v>
      </c>
      <c r="D632" s="198" t="s">
        <v>4</v>
      </c>
      <c r="E632" s="199" t="s">
        <v>27</v>
      </c>
      <c r="F632" s="198" t="s">
        <v>4</v>
      </c>
      <c r="G632" s="198" t="s">
        <v>46</v>
      </c>
      <c r="H632" s="469" t="s">
        <v>11502</v>
      </c>
      <c r="I632" s="199" t="s">
        <v>27</v>
      </c>
      <c r="J632" s="470" t="s">
        <v>4</v>
      </c>
      <c r="K632" s="471" t="s">
        <v>27</v>
      </c>
      <c r="L632" s="470" t="s">
        <v>4</v>
      </c>
      <c r="M632" s="470" t="s">
        <v>49</v>
      </c>
      <c r="N632" s="472" t="s">
        <v>10514</v>
      </c>
      <c r="O632" s="201" t="str">
        <f t="shared" si="29"/>
        <v>L3.00.00.07.00.00</v>
      </c>
      <c r="P632" s="201"/>
      <c r="Q632" s="204"/>
      <c r="R632" s="204" t="str">
        <f t="shared" si="46"/>
        <v>Phòng hỗ trợ chủ động (bò)</v>
      </c>
      <c r="S632" s="478" t="s">
        <v>11503</v>
      </c>
      <c r="T632" s="205"/>
      <c r="U632" s="205"/>
      <c r="V632" s="205"/>
      <c r="W632" s="205"/>
      <c r="X632" s="205"/>
      <c r="Y632" s="202"/>
      <c r="Z632" s="474"/>
      <c r="AA632" s="475"/>
      <c r="AB632" s="208"/>
      <c r="AC632" s="636" t="s">
        <v>11786</v>
      </c>
      <c r="AD632" s="208"/>
    </row>
    <row r="633" ht="15.75" customHeight="1" outlineLevel="1">
      <c r="A633" s="196" t="s">
        <v>11429</v>
      </c>
      <c r="B633" s="197" t="s">
        <v>189</v>
      </c>
      <c r="C633" s="197" t="s">
        <v>27</v>
      </c>
      <c r="D633" s="198" t="s">
        <v>4</v>
      </c>
      <c r="E633" s="199" t="s">
        <v>27</v>
      </c>
      <c r="F633" s="198" t="s">
        <v>4</v>
      </c>
      <c r="G633" s="198" t="s">
        <v>49</v>
      </c>
      <c r="H633" s="469" t="s">
        <v>11504</v>
      </c>
      <c r="I633" s="476" t="s">
        <v>27</v>
      </c>
      <c r="J633" s="477" t="s">
        <v>4</v>
      </c>
      <c r="K633" s="471" t="s">
        <v>27</v>
      </c>
      <c r="L633" s="470" t="s">
        <v>4</v>
      </c>
      <c r="M633" s="470" t="s">
        <v>49</v>
      </c>
      <c r="N633" s="472" t="s">
        <v>10514</v>
      </c>
      <c r="O633" s="201" t="str">
        <f t="shared" si="29"/>
        <v>L3.00.00.08.00.00</v>
      </c>
      <c r="P633" s="201"/>
      <c r="Q633" s="204"/>
      <c r="R633" s="204" t="s">
        <v>202</v>
      </c>
      <c r="S633" s="478" t="s">
        <v>11505</v>
      </c>
      <c r="T633" s="205"/>
      <c r="U633" s="205"/>
      <c r="V633" s="205"/>
      <c r="W633" s="205"/>
      <c r="X633" s="205"/>
      <c r="Y633" s="202"/>
      <c r="Z633" s="474"/>
      <c r="AA633" s="475"/>
      <c r="AB633" s="208"/>
      <c r="AC633" s="636" t="s">
        <v>11786</v>
      </c>
      <c r="AD633" s="208"/>
    </row>
    <row r="634" ht="15.75" customHeight="1" outlineLevel="1">
      <c r="A634" s="196" t="s">
        <v>11429</v>
      </c>
      <c r="B634" s="197" t="s">
        <v>189</v>
      </c>
      <c r="C634" s="197" t="s">
        <v>27</v>
      </c>
      <c r="D634" s="198" t="s">
        <v>4</v>
      </c>
      <c r="E634" s="199" t="s">
        <v>27</v>
      </c>
      <c r="F634" s="198" t="s">
        <v>4</v>
      </c>
      <c r="G634" s="198" t="s">
        <v>49</v>
      </c>
      <c r="H634" s="469" t="s">
        <v>11504</v>
      </c>
      <c r="I634" s="198" t="s">
        <v>29</v>
      </c>
      <c r="J634" s="472" t="s">
        <v>202</v>
      </c>
      <c r="K634" s="471" t="s">
        <v>27</v>
      </c>
      <c r="L634" s="470" t="s">
        <v>4</v>
      </c>
      <c r="M634" s="470" t="s">
        <v>49</v>
      </c>
      <c r="N634" s="472" t="s">
        <v>10514</v>
      </c>
      <c r="O634" s="201" t="str">
        <f t="shared" si="29"/>
        <v>L3.00.00.08.01.00</v>
      </c>
      <c r="P634" s="201"/>
      <c r="Q634" s="204"/>
      <c r="R634" s="204" t="str">
        <f t="shared" ref="R634:R637" si="47">if(L634&lt;&gt;"-",L634,if(AND(L634="-",J634&lt;&gt;"-"),J634,if(AND(J634="-",H634&lt;&gt;"-"),H634,"NA")))</f>
        <v>Nhóm CS 01 - KH Gold, Silver</v>
      </c>
      <c r="S634" s="478" t="s">
        <v>11506</v>
      </c>
      <c r="T634" s="205"/>
      <c r="U634" s="205"/>
      <c r="V634" s="205"/>
      <c r="W634" s="205"/>
      <c r="X634" s="205"/>
      <c r="Y634" s="202"/>
      <c r="Z634" s="474"/>
      <c r="AA634" s="475"/>
      <c r="AB634" s="208"/>
      <c r="AC634" s="636" t="s">
        <v>11786</v>
      </c>
      <c r="AD634" s="208"/>
    </row>
    <row r="635" ht="15.75" customHeight="1" outlineLevel="1">
      <c r="A635" s="196" t="s">
        <v>11429</v>
      </c>
      <c r="B635" s="197" t="s">
        <v>189</v>
      </c>
      <c r="C635" s="197" t="s">
        <v>27</v>
      </c>
      <c r="D635" s="198" t="s">
        <v>4</v>
      </c>
      <c r="E635" s="199" t="s">
        <v>27</v>
      </c>
      <c r="F635" s="198" t="s">
        <v>4</v>
      </c>
      <c r="G635" s="198" t="s">
        <v>49</v>
      </c>
      <c r="H635" s="469" t="s">
        <v>11504</v>
      </c>
      <c r="I635" s="198" t="s">
        <v>33</v>
      </c>
      <c r="J635" s="472" t="s">
        <v>203</v>
      </c>
      <c r="K635" s="471" t="s">
        <v>27</v>
      </c>
      <c r="L635" s="470" t="s">
        <v>4</v>
      </c>
      <c r="M635" s="470" t="s">
        <v>49</v>
      </c>
      <c r="N635" s="472" t="s">
        <v>10514</v>
      </c>
      <c r="O635" s="201" t="str">
        <f t="shared" si="29"/>
        <v>L3.00.00.08.02.00</v>
      </c>
      <c r="P635" s="201"/>
      <c r="Q635" s="204"/>
      <c r="R635" s="204" t="str">
        <f t="shared" si="47"/>
        <v>Nhóm CS 02 - KH Bronze</v>
      </c>
      <c r="S635" s="478" t="s">
        <v>11507</v>
      </c>
      <c r="T635" s="480"/>
      <c r="U635" s="480"/>
      <c r="V635" s="480"/>
      <c r="W635" s="205"/>
      <c r="X635" s="205"/>
      <c r="Y635" s="202"/>
      <c r="Z635" s="474"/>
      <c r="AA635" s="475"/>
      <c r="AB635" s="208"/>
      <c r="AC635" s="636" t="s">
        <v>11786</v>
      </c>
      <c r="AD635" s="208"/>
    </row>
    <row r="636" ht="15.75" customHeight="1" outlineLevel="1">
      <c r="A636" s="196" t="s">
        <v>11429</v>
      </c>
      <c r="B636" s="197" t="s">
        <v>189</v>
      </c>
      <c r="C636" s="197" t="s">
        <v>27</v>
      </c>
      <c r="D636" s="198" t="s">
        <v>4</v>
      </c>
      <c r="E636" s="199" t="s">
        <v>27</v>
      </c>
      <c r="F636" s="198" t="s">
        <v>4</v>
      </c>
      <c r="G636" s="198" t="s">
        <v>51</v>
      </c>
      <c r="H636" s="469" t="s">
        <v>11508</v>
      </c>
      <c r="I636" s="199" t="s">
        <v>27</v>
      </c>
      <c r="J636" s="470" t="s">
        <v>4</v>
      </c>
      <c r="K636" s="471" t="s">
        <v>27</v>
      </c>
      <c r="L636" s="470" t="s">
        <v>4</v>
      </c>
      <c r="M636" s="470" t="s">
        <v>49</v>
      </c>
      <c r="N636" s="472" t="s">
        <v>10514</v>
      </c>
      <c r="O636" s="201" t="str">
        <f t="shared" si="29"/>
        <v>L3.00.00.09.00.00</v>
      </c>
      <c r="P636" s="201"/>
      <c r="Q636" s="204"/>
      <c r="R636" s="204" t="str">
        <f t="shared" si="47"/>
        <v>Nhóm gia hạn (bò)</v>
      </c>
      <c r="S636" s="478" t="s">
        <v>11509</v>
      </c>
      <c r="T636" s="205"/>
      <c r="U636" s="205"/>
      <c r="V636" s="205"/>
      <c r="W636" s="205"/>
      <c r="X636" s="205"/>
      <c r="Y636" s="202"/>
      <c r="Z636" s="474"/>
      <c r="AA636" s="475"/>
      <c r="AB636" s="208"/>
      <c r="AC636" s="636" t="s">
        <v>11786</v>
      </c>
      <c r="AD636" s="208"/>
    </row>
    <row r="637" ht="15.75" customHeight="1" outlineLevel="1">
      <c r="A637" s="196" t="s">
        <v>11429</v>
      </c>
      <c r="B637" s="197" t="s">
        <v>189</v>
      </c>
      <c r="C637" s="197" t="s">
        <v>27</v>
      </c>
      <c r="D637" s="198" t="s">
        <v>4</v>
      </c>
      <c r="E637" s="199" t="s">
        <v>27</v>
      </c>
      <c r="F637" s="198" t="s">
        <v>4</v>
      </c>
      <c r="G637" s="198" t="s">
        <v>35</v>
      </c>
      <c r="H637" s="469" t="s">
        <v>11489</v>
      </c>
      <c r="I637" s="199" t="s">
        <v>27</v>
      </c>
      <c r="J637" s="470" t="s">
        <v>4</v>
      </c>
      <c r="K637" s="471" t="s">
        <v>27</v>
      </c>
      <c r="L637" s="470" t="s">
        <v>4</v>
      </c>
      <c r="M637" s="470" t="s">
        <v>51</v>
      </c>
      <c r="N637" s="472" t="s">
        <v>10515</v>
      </c>
      <c r="O637" s="201" t="str">
        <f t="shared" si="29"/>
        <v>L3.00.00.03.00.00</v>
      </c>
      <c r="P637" s="201"/>
      <c r="Q637" s="204"/>
      <c r="R637" s="204" t="str">
        <f t="shared" si="47"/>
        <v>Phòng hỗ trợ giải pháp TCKT DN (bò)</v>
      </c>
      <c r="S637" s="478" t="s">
        <v>11490</v>
      </c>
      <c r="T637" s="205"/>
      <c r="U637" s="205"/>
      <c r="V637" s="205"/>
      <c r="W637" s="205"/>
      <c r="X637" s="205"/>
      <c r="Y637" s="202"/>
      <c r="Z637" s="474"/>
      <c r="AA637" s="475"/>
      <c r="AB637" s="208"/>
      <c r="AC637" s="636" t="s">
        <v>11786</v>
      </c>
      <c r="AD637" s="208"/>
    </row>
    <row r="638" ht="15.75" customHeight="1" outlineLevel="1">
      <c r="A638" s="196" t="s">
        <v>11429</v>
      </c>
      <c r="B638" s="197" t="s">
        <v>189</v>
      </c>
      <c r="C638" s="197" t="s">
        <v>27</v>
      </c>
      <c r="D638" s="198" t="s">
        <v>4</v>
      </c>
      <c r="E638" s="199" t="s">
        <v>27</v>
      </c>
      <c r="F638" s="198" t="s">
        <v>4</v>
      </c>
      <c r="G638" s="198" t="s">
        <v>37</v>
      </c>
      <c r="H638" s="469" t="s">
        <v>11491</v>
      </c>
      <c r="I638" s="476" t="s">
        <v>27</v>
      </c>
      <c r="J638" s="477" t="s">
        <v>4</v>
      </c>
      <c r="K638" s="471" t="s">
        <v>27</v>
      </c>
      <c r="L638" s="470" t="s">
        <v>4</v>
      </c>
      <c r="M638" s="470" t="s">
        <v>51</v>
      </c>
      <c r="N638" s="472" t="s">
        <v>10515</v>
      </c>
      <c r="O638" s="201" t="str">
        <f t="shared" si="29"/>
        <v>L3.00.00.04.00.00</v>
      </c>
      <c r="P638" s="201"/>
      <c r="Q638" s="204"/>
      <c r="R638" s="204" t="s">
        <v>193</v>
      </c>
      <c r="S638" s="478" t="s">
        <v>11492</v>
      </c>
      <c r="T638" s="205"/>
      <c r="U638" s="205"/>
      <c r="V638" s="205"/>
      <c r="W638" s="205"/>
      <c r="X638" s="205"/>
      <c r="Y638" s="202"/>
      <c r="Z638" s="474"/>
      <c r="AA638" s="475"/>
      <c r="AB638" s="208"/>
      <c r="AC638" s="636" t="s">
        <v>11786</v>
      </c>
      <c r="AD638" s="208"/>
    </row>
    <row r="639" ht="15.75" customHeight="1" outlineLevel="1">
      <c r="A639" s="196" t="s">
        <v>11429</v>
      </c>
      <c r="B639" s="197" t="s">
        <v>189</v>
      </c>
      <c r="C639" s="197" t="s">
        <v>27</v>
      </c>
      <c r="D639" s="198" t="s">
        <v>4</v>
      </c>
      <c r="E639" s="199" t="s">
        <v>27</v>
      </c>
      <c r="F639" s="198" t="s">
        <v>4</v>
      </c>
      <c r="G639" s="198" t="s">
        <v>37</v>
      </c>
      <c r="H639" s="469" t="s">
        <v>11491</v>
      </c>
      <c r="I639" s="198" t="s">
        <v>29</v>
      </c>
      <c r="J639" s="472" t="s">
        <v>193</v>
      </c>
      <c r="K639" s="471" t="s">
        <v>27</v>
      </c>
      <c r="L639" s="470" t="s">
        <v>4</v>
      </c>
      <c r="M639" s="470" t="s">
        <v>51</v>
      </c>
      <c r="N639" s="472" t="s">
        <v>10515</v>
      </c>
      <c r="O639" s="201" t="str">
        <f t="shared" si="29"/>
        <v>L3.00.00.04.01.00</v>
      </c>
      <c r="P639" s="201"/>
      <c r="Q639" s="204"/>
      <c r="R639" s="204" t="str">
        <f t="shared" ref="R639:R651" si="48">if(L639&lt;&gt;"-",L639,if(AND(L639="-",J639&lt;&gt;"-"),J639,if(AND(J639="-",H639&lt;&gt;"-"),H639,"NA")))</f>
        <v>Nhóm hỗ trợ giải pháp Bán hàng</v>
      </c>
      <c r="S639" s="478" t="s">
        <v>11493</v>
      </c>
      <c r="T639" s="205"/>
      <c r="U639" s="205"/>
      <c r="V639" s="205"/>
      <c r="W639" s="205"/>
      <c r="X639" s="205"/>
      <c r="Y639" s="202"/>
      <c r="Z639" s="474"/>
      <c r="AA639" s="475"/>
      <c r="AB639" s="208"/>
      <c r="AC639" s="636" t="s">
        <v>11786</v>
      </c>
      <c r="AD639" s="208"/>
    </row>
    <row r="640" ht="15.75" customHeight="1" outlineLevel="1">
      <c r="A640" s="196" t="s">
        <v>11429</v>
      </c>
      <c r="B640" s="197" t="s">
        <v>189</v>
      </c>
      <c r="C640" s="197" t="s">
        <v>27</v>
      </c>
      <c r="D640" s="198" t="s">
        <v>4</v>
      </c>
      <c r="E640" s="199" t="s">
        <v>27</v>
      </c>
      <c r="F640" s="198" t="s">
        <v>4</v>
      </c>
      <c r="G640" s="198" t="s">
        <v>37</v>
      </c>
      <c r="H640" s="469" t="s">
        <v>11491</v>
      </c>
      <c r="I640" s="198" t="s">
        <v>33</v>
      </c>
      <c r="J640" s="479" t="s">
        <v>194</v>
      </c>
      <c r="K640" s="471" t="s">
        <v>27</v>
      </c>
      <c r="L640" s="470" t="s">
        <v>4</v>
      </c>
      <c r="M640" s="470" t="s">
        <v>51</v>
      </c>
      <c r="N640" s="472" t="s">
        <v>10515</v>
      </c>
      <c r="O640" s="201" t="str">
        <f t="shared" si="29"/>
        <v>L3.00.00.04.02.00</v>
      </c>
      <c r="P640" s="201"/>
      <c r="Q640" s="204"/>
      <c r="R640" s="204" t="str">
        <f t="shared" si="48"/>
        <v>Nhóm hỗ trợ giải pháp Nhân sự</v>
      </c>
      <c r="S640" s="478" t="s">
        <v>11494</v>
      </c>
      <c r="T640" s="205"/>
      <c r="U640" s="205"/>
      <c r="V640" s="205"/>
      <c r="W640" s="205"/>
      <c r="X640" s="205"/>
      <c r="Y640" s="202"/>
      <c r="Z640" s="474"/>
      <c r="AA640" s="475"/>
      <c r="AB640" s="208"/>
      <c r="AC640" s="636" t="s">
        <v>11786</v>
      </c>
      <c r="AD640" s="208"/>
    </row>
    <row r="641" ht="15.75" customHeight="1" outlineLevel="1">
      <c r="A641" s="196" t="s">
        <v>11429</v>
      </c>
      <c r="B641" s="197" t="s">
        <v>189</v>
      </c>
      <c r="C641" s="197" t="s">
        <v>27</v>
      </c>
      <c r="D641" s="198" t="s">
        <v>4</v>
      </c>
      <c r="E641" s="199" t="s">
        <v>27</v>
      </c>
      <c r="F641" s="198" t="s">
        <v>4</v>
      </c>
      <c r="G641" s="198" t="s">
        <v>37</v>
      </c>
      <c r="H641" s="469" t="s">
        <v>11491</v>
      </c>
      <c r="I641" s="198" t="s">
        <v>35</v>
      </c>
      <c r="J641" s="479" t="s">
        <v>195</v>
      </c>
      <c r="K641" s="471" t="s">
        <v>27</v>
      </c>
      <c r="L641" s="470" t="s">
        <v>4</v>
      </c>
      <c r="M641" s="470" t="s">
        <v>51</v>
      </c>
      <c r="N641" s="472" t="s">
        <v>10515</v>
      </c>
      <c r="O641" s="201" t="str">
        <f t="shared" si="29"/>
        <v>L3.00.00.04.03.00</v>
      </c>
      <c r="P641" s="201"/>
      <c r="Q641" s="204"/>
      <c r="R641" s="204" t="str">
        <f t="shared" si="48"/>
        <v>Nhóm hỗ trợ giải pháp Văn phòng số</v>
      </c>
      <c r="S641" s="478" t="s">
        <v>11495</v>
      </c>
      <c r="T641" s="205"/>
      <c r="U641" s="205"/>
      <c r="V641" s="205"/>
      <c r="W641" s="205"/>
      <c r="X641" s="205"/>
      <c r="Y641" s="202"/>
      <c r="Z641" s="474"/>
      <c r="AA641" s="475"/>
      <c r="AB641" s="208"/>
      <c r="AC641" s="636" t="s">
        <v>11786</v>
      </c>
      <c r="AD641" s="208"/>
    </row>
    <row r="642" ht="15.75" customHeight="1" outlineLevel="1">
      <c r="A642" s="196" t="s">
        <v>11429</v>
      </c>
      <c r="B642" s="197" t="s">
        <v>189</v>
      </c>
      <c r="C642" s="197" t="s">
        <v>27</v>
      </c>
      <c r="D642" s="198" t="s">
        <v>4</v>
      </c>
      <c r="E642" s="199" t="s">
        <v>27</v>
      </c>
      <c r="F642" s="198" t="s">
        <v>4</v>
      </c>
      <c r="G642" s="198" t="s">
        <v>42</v>
      </c>
      <c r="H642" s="469" t="s">
        <v>11496</v>
      </c>
      <c r="I642" s="199" t="s">
        <v>27</v>
      </c>
      <c r="J642" s="470" t="s">
        <v>4</v>
      </c>
      <c r="K642" s="471" t="s">
        <v>27</v>
      </c>
      <c r="L642" s="470" t="s">
        <v>4</v>
      </c>
      <c r="M642" s="470" t="s">
        <v>51</v>
      </c>
      <c r="N642" s="472" t="s">
        <v>10515</v>
      </c>
      <c r="O642" s="201" t="str">
        <f t="shared" si="29"/>
        <v>L3.00.00.05.00.00</v>
      </c>
      <c r="P642" s="201"/>
      <c r="Q642" s="204"/>
      <c r="R642" s="204" t="str">
        <f t="shared" si="48"/>
        <v>Phòng hỗ trợ giải pháp Bán lẻ (bò)</v>
      </c>
      <c r="S642" s="478" t="s">
        <v>11497</v>
      </c>
      <c r="T642" s="205"/>
      <c r="U642" s="205"/>
      <c r="V642" s="205"/>
      <c r="W642" s="205"/>
      <c r="X642" s="205"/>
      <c r="Y642" s="202"/>
      <c r="Z642" s="474"/>
      <c r="AA642" s="475"/>
      <c r="AB642" s="208"/>
      <c r="AC642" s="636" t="s">
        <v>11786</v>
      </c>
      <c r="AD642" s="208"/>
    </row>
    <row r="643" ht="15.75" customHeight="1" outlineLevel="1">
      <c r="A643" s="196" t="s">
        <v>11429</v>
      </c>
      <c r="B643" s="197" t="s">
        <v>189</v>
      </c>
      <c r="C643" s="197" t="s">
        <v>27</v>
      </c>
      <c r="D643" s="198" t="s">
        <v>4</v>
      </c>
      <c r="E643" s="199" t="s">
        <v>27</v>
      </c>
      <c r="F643" s="198" t="s">
        <v>4</v>
      </c>
      <c r="G643" s="198" t="s">
        <v>44</v>
      </c>
      <c r="H643" s="469" t="s">
        <v>11498</v>
      </c>
      <c r="I643" s="476" t="s">
        <v>27</v>
      </c>
      <c r="J643" s="477" t="s">
        <v>4</v>
      </c>
      <c r="K643" s="471" t="s">
        <v>27</v>
      </c>
      <c r="L643" s="470" t="s">
        <v>4</v>
      </c>
      <c r="M643" s="470" t="s">
        <v>51</v>
      </c>
      <c r="N643" s="472" t="s">
        <v>10515</v>
      </c>
      <c r="O643" s="201" t="str">
        <f t="shared" si="29"/>
        <v>L3.00.00.06.00.00</v>
      </c>
      <c r="P643" s="201"/>
      <c r="Q643" s="204"/>
      <c r="R643" s="204" t="str">
        <f t="shared" si="48"/>
        <v>Phòng hỗ trợ khách hàng HCSN (bò)</v>
      </c>
      <c r="S643" s="478" t="s">
        <v>11499</v>
      </c>
      <c r="T643" s="205"/>
      <c r="U643" s="205"/>
      <c r="V643" s="205"/>
      <c r="W643" s="205"/>
      <c r="X643" s="205"/>
      <c r="Y643" s="202"/>
      <c r="Z643" s="474"/>
      <c r="AA643" s="475"/>
      <c r="AB643" s="208"/>
      <c r="AC643" s="636" t="s">
        <v>11786</v>
      </c>
      <c r="AD643" s="208"/>
    </row>
    <row r="644" ht="15.75" customHeight="1" outlineLevel="1">
      <c r="A644" s="196" t="s">
        <v>11429</v>
      </c>
      <c r="B644" s="197" t="s">
        <v>189</v>
      </c>
      <c r="C644" s="197" t="s">
        <v>27</v>
      </c>
      <c r="D644" s="198" t="s">
        <v>4</v>
      </c>
      <c r="E644" s="199" t="s">
        <v>27</v>
      </c>
      <c r="F644" s="198" t="s">
        <v>4</v>
      </c>
      <c r="G644" s="198" t="s">
        <v>44</v>
      </c>
      <c r="H644" s="469" t="s">
        <v>11498</v>
      </c>
      <c r="I644" s="198" t="s">
        <v>29</v>
      </c>
      <c r="J644" s="472" t="s">
        <v>198</v>
      </c>
      <c r="K644" s="471" t="s">
        <v>27</v>
      </c>
      <c r="L644" s="470" t="s">
        <v>4</v>
      </c>
      <c r="M644" s="470" t="s">
        <v>51</v>
      </c>
      <c r="N644" s="472" t="s">
        <v>10515</v>
      </c>
      <c r="O644" s="201" t="str">
        <f t="shared" si="29"/>
        <v>L3.00.00.06.01.00</v>
      </c>
      <c r="P644" s="201"/>
      <c r="Q644" s="204"/>
      <c r="R644" s="204" t="str">
        <f t="shared" si="48"/>
        <v>Nhóm hỗ trợ giải pháp TCKT HCSN</v>
      </c>
      <c r="S644" s="478" t="s">
        <v>11500</v>
      </c>
      <c r="T644" s="205"/>
      <c r="U644" s="205"/>
      <c r="V644" s="205"/>
      <c r="W644" s="205"/>
      <c r="X644" s="205"/>
      <c r="Y644" s="202"/>
      <c r="Z644" s="474"/>
      <c r="AA644" s="475"/>
      <c r="AB644" s="208"/>
      <c r="AC644" s="636" t="s">
        <v>11786</v>
      </c>
      <c r="AD644" s="208"/>
    </row>
    <row r="645" ht="15.75" customHeight="1" outlineLevel="1">
      <c r="A645" s="196" t="s">
        <v>11429</v>
      </c>
      <c r="B645" s="197" t="s">
        <v>189</v>
      </c>
      <c r="C645" s="197" t="s">
        <v>27</v>
      </c>
      <c r="D645" s="198" t="s">
        <v>4</v>
      </c>
      <c r="E645" s="199" t="s">
        <v>27</v>
      </c>
      <c r="F645" s="198" t="s">
        <v>4</v>
      </c>
      <c r="G645" s="198" t="s">
        <v>44</v>
      </c>
      <c r="H645" s="469" t="s">
        <v>11498</v>
      </c>
      <c r="I645" s="198" t="s">
        <v>33</v>
      </c>
      <c r="J645" s="472" t="s">
        <v>199</v>
      </c>
      <c r="K645" s="471" t="s">
        <v>27</v>
      </c>
      <c r="L645" s="470" t="s">
        <v>4</v>
      </c>
      <c r="M645" s="470" t="s">
        <v>51</v>
      </c>
      <c r="N645" s="472" t="s">
        <v>10515</v>
      </c>
      <c r="O645" s="201" t="str">
        <f t="shared" si="29"/>
        <v>L3.00.00.06.02.00</v>
      </c>
      <c r="P645" s="201"/>
      <c r="Q645" s="204"/>
      <c r="R645" s="204" t="str">
        <f t="shared" si="48"/>
        <v>Nhóm hỗ trợ giải pháp điều hành HCSN</v>
      </c>
      <c r="S645" s="478" t="s">
        <v>11501</v>
      </c>
      <c r="T645" s="205"/>
      <c r="U645" s="205"/>
      <c r="V645" s="205"/>
      <c r="W645" s="205"/>
      <c r="X645" s="205"/>
      <c r="Y645" s="202"/>
      <c r="Z645" s="474"/>
      <c r="AA645" s="475"/>
      <c r="AB645" s="208"/>
      <c r="AC645" s="636" t="s">
        <v>11786</v>
      </c>
      <c r="AD645" s="208"/>
    </row>
    <row r="646" ht="15.75" customHeight="1" outlineLevel="1">
      <c r="A646" s="196" t="s">
        <v>11429</v>
      </c>
      <c r="B646" s="197" t="s">
        <v>189</v>
      </c>
      <c r="C646" s="197" t="s">
        <v>27</v>
      </c>
      <c r="D646" s="198" t="s">
        <v>4</v>
      </c>
      <c r="E646" s="199" t="s">
        <v>27</v>
      </c>
      <c r="F646" s="198" t="s">
        <v>4</v>
      </c>
      <c r="G646" s="198" t="s">
        <v>46</v>
      </c>
      <c r="H646" s="469" t="s">
        <v>11502</v>
      </c>
      <c r="I646" s="199" t="s">
        <v>27</v>
      </c>
      <c r="J646" s="470" t="s">
        <v>4</v>
      </c>
      <c r="K646" s="471" t="s">
        <v>27</v>
      </c>
      <c r="L646" s="470" t="s">
        <v>4</v>
      </c>
      <c r="M646" s="470" t="s">
        <v>51</v>
      </c>
      <c r="N646" s="472" t="s">
        <v>10515</v>
      </c>
      <c r="O646" s="201" t="str">
        <f t="shared" si="29"/>
        <v>L3.00.00.07.00.00</v>
      </c>
      <c r="P646" s="201"/>
      <c r="Q646" s="204"/>
      <c r="R646" s="204" t="str">
        <f t="shared" si="48"/>
        <v>Phòng hỗ trợ chủ động (bò)</v>
      </c>
      <c r="S646" s="478" t="s">
        <v>11503</v>
      </c>
      <c r="T646" s="480"/>
      <c r="U646" s="480"/>
      <c r="V646" s="480"/>
      <c r="W646" s="205"/>
      <c r="X646" s="205"/>
      <c r="Y646" s="202"/>
      <c r="Z646" s="474"/>
      <c r="AA646" s="475"/>
      <c r="AB646" s="208"/>
      <c r="AC646" s="636" t="s">
        <v>11786</v>
      </c>
      <c r="AD646" s="208"/>
    </row>
    <row r="647" ht="15.75" customHeight="1" outlineLevel="1">
      <c r="A647" s="196" t="s">
        <v>11429</v>
      </c>
      <c r="B647" s="197" t="s">
        <v>189</v>
      </c>
      <c r="C647" s="197" t="s">
        <v>27</v>
      </c>
      <c r="D647" s="198" t="s">
        <v>4</v>
      </c>
      <c r="E647" s="199" t="s">
        <v>27</v>
      </c>
      <c r="F647" s="198" t="s">
        <v>4</v>
      </c>
      <c r="G647" s="198" t="s">
        <v>49</v>
      </c>
      <c r="H647" s="469" t="s">
        <v>11504</v>
      </c>
      <c r="I647" s="476" t="s">
        <v>27</v>
      </c>
      <c r="J647" s="477" t="s">
        <v>4</v>
      </c>
      <c r="K647" s="471" t="s">
        <v>27</v>
      </c>
      <c r="L647" s="470" t="s">
        <v>4</v>
      </c>
      <c r="M647" s="470" t="s">
        <v>51</v>
      </c>
      <c r="N647" s="472" t="s">
        <v>10515</v>
      </c>
      <c r="O647" s="201" t="str">
        <f t="shared" si="29"/>
        <v>L3.00.00.08.00.00</v>
      </c>
      <c r="P647" s="201"/>
      <c r="Q647" s="204"/>
      <c r="R647" s="204" t="str">
        <f t="shared" si="48"/>
        <v>Phòng CSKH VIP (bò)</v>
      </c>
      <c r="S647" s="478" t="s">
        <v>11505</v>
      </c>
      <c r="T647" s="205"/>
      <c r="U647" s="205"/>
      <c r="V647" s="205"/>
      <c r="W647" s="205"/>
      <c r="X647" s="205"/>
      <c r="Y647" s="202"/>
      <c r="Z647" s="474"/>
      <c r="AA647" s="475"/>
      <c r="AB647" s="208"/>
      <c r="AC647" s="636" t="s">
        <v>11786</v>
      </c>
      <c r="AD647" s="208"/>
    </row>
    <row r="648" ht="15.75" customHeight="1" outlineLevel="1">
      <c r="A648" s="196" t="s">
        <v>11429</v>
      </c>
      <c r="B648" s="197" t="s">
        <v>189</v>
      </c>
      <c r="C648" s="197" t="s">
        <v>27</v>
      </c>
      <c r="D648" s="198" t="s">
        <v>4</v>
      </c>
      <c r="E648" s="199" t="s">
        <v>27</v>
      </c>
      <c r="F648" s="198" t="s">
        <v>4</v>
      </c>
      <c r="G648" s="198" t="s">
        <v>49</v>
      </c>
      <c r="H648" s="469" t="s">
        <v>11504</v>
      </c>
      <c r="I648" s="198" t="s">
        <v>29</v>
      </c>
      <c r="J648" s="472" t="s">
        <v>202</v>
      </c>
      <c r="K648" s="471" t="s">
        <v>27</v>
      </c>
      <c r="L648" s="470" t="s">
        <v>4</v>
      </c>
      <c r="M648" s="470" t="s">
        <v>51</v>
      </c>
      <c r="N648" s="472" t="s">
        <v>10515</v>
      </c>
      <c r="O648" s="201" t="str">
        <f t="shared" si="29"/>
        <v>L3.00.00.08.01.00</v>
      </c>
      <c r="P648" s="201"/>
      <c r="Q648" s="204"/>
      <c r="R648" s="204" t="str">
        <f t="shared" si="48"/>
        <v>Nhóm CS 01 - KH Gold, Silver</v>
      </c>
      <c r="S648" s="478" t="s">
        <v>11506</v>
      </c>
      <c r="T648" s="205"/>
      <c r="U648" s="205"/>
      <c r="V648" s="205"/>
      <c r="W648" s="205"/>
      <c r="X648" s="205"/>
      <c r="Y648" s="202"/>
      <c r="Z648" s="474"/>
      <c r="AA648" s="475"/>
      <c r="AB648" s="208"/>
      <c r="AC648" s="636" t="s">
        <v>11786</v>
      </c>
      <c r="AD648" s="208"/>
    </row>
    <row r="649" ht="15.75" customHeight="1" outlineLevel="1">
      <c r="A649" s="196" t="s">
        <v>11429</v>
      </c>
      <c r="B649" s="197" t="s">
        <v>189</v>
      </c>
      <c r="C649" s="197" t="s">
        <v>27</v>
      </c>
      <c r="D649" s="198" t="s">
        <v>4</v>
      </c>
      <c r="E649" s="199" t="s">
        <v>27</v>
      </c>
      <c r="F649" s="198" t="s">
        <v>4</v>
      </c>
      <c r="G649" s="198" t="s">
        <v>49</v>
      </c>
      <c r="H649" s="469" t="s">
        <v>11504</v>
      </c>
      <c r="I649" s="198" t="s">
        <v>33</v>
      </c>
      <c r="J649" s="472" t="s">
        <v>203</v>
      </c>
      <c r="K649" s="471" t="s">
        <v>27</v>
      </c>
      <c r="L649" s="470" t="s">
        <v>4</v>
      </c>
      <c r="M649" s="470" t="s">
        <v>51</v>
      </c>
      <c r="N649" s="472" t="s">
        <v>10515</v>
      </c>
      <c r="O649" s="201" t="str">
        <f t="shared" si="29"/>
        <v>L3.00.00.08.02.00</v>
      </c>
      <c r="P649" s="201"/>
      <c r="Q649" s="204"/>
      <c r="R649" s="204" t="str">
        <f t="shared" si="48"/>
        <v>Nhóm CS 02 - KH Bronze</v>
      </c>
      <c r="S649" s="478" t="s">
        <v>11507</v>
      </c>
      <c r="T649" s="480"/>
      <c r="U649" s="480"/>
      <c r="V649" s="480"/>
      <c r="W649" s="205"/>
      <c r="X649" s="205"/>
      <c r="Y649" s="202"/>
      <c r="Z649" s="474"/>
      <c r="AA649" s="475"/>
      <c r="AB649" s="208"/>
      <c r="AC649" s="636" t="s">
        <v>11786</v>
      </c>
      <c r="AD649" s="208"/>
    </row>
    <row r="650" ht="15.75" customHeight="1" outlineLevel="1">
      <c r="A650" s="196" t="s">
        <v>11429</v>
      </c>
      <c r="B650" s="197" t="s">
        <v>189</v>
      </c>
      <c r="C650" s="197" t="s">
        <v>27</v>
      </c>
      <c r="D650" s="198" t="s">
        <v>4</v>
      </c>
      <c r="E650" s="199" t="s">
        <v>27</v>
      </c>
      <c r="F650" s="198" t="s">
        <v>4</v>
      </c>
      <c r="G650" s="198" t="s">
        <v>51</v>
      </c>
      <c r="H650" s="469" t="s">
        <v>11508</v>
      </c>
      <c r="I650" s="199" t="s">
        <v>27</v>
      </c>
      <c r="J650" s="470" t="s">
        <v>4</v>
      </c>
      <c r="K650" s="471" t="s">
        <v>27</v>
      </c>
      <c r="L650" s="470" t="s">
        <v>4</v>
      </c>
      <c r="M650" s="470" t="s">
        <v>51</v>
      </c>
      <c r="N650" s="472" t="s">
        <v>10515</v>
      </c>
      <c r="O650" s="201" t="str">
        <f t="shared" si="29"/>
        <v>L3.00.00.09.00.00</v>
      </c>
      <c r="P650" s="201"/>
      <c r="Q650" s="204"/>
      <c r="R650" s="204" t="str">
        <f t="shared" si="48"/>
        <v>Nhóm gia hạn (bò)</v>
      </c>
      <c r="S650" s="478" t="s">
        <v>11509</v>
      </c>
      <c r="T650" s="205"/>
      <c r="U650" s="205"/>
      <c r="V650" s="205"/>
      <c r="W650" s="205"/>
      <c r="X650" s="205"/>
      <c r="Y650" s="202"/>
      <c r="Z650" s="474"/>
      <c r="AA650" s="475"/>
      <c r="AB650" s="208"/>
      <c r="AC650" s="636" t="s">
        <v>11786</v>
      </c>
      <c r="AD650" s="208"/>
    </row>
    <row r="651" ht="15.75" customHeight="1">
      <c r="A651" s="50" t="s">
        <v>10516</v>
      </c>
      <c r="B651" s="47"/>
      <c r="C651" s="47"/>
      <c r="D651" s="47"/>
      <c r="E651" s="47"/>
      <c r="F651" s="47"/>
      <c r="G651" s="48"/>
      <c r="H651" s="49"/>
      <c r="I651" s="48"/>
      <c r="J651" s="439"/>
      <c r="K651" s="439"/>
      <c r="L651" s="439"/>
      <c r="M651" s="439"/>
      <c r="N651" s="440"/>
      <c r="O651" s="55" t="str">
        <f t="shared" si="29"/>
        <v>KHỐI HỖ TRỢ.....</v>
      </c>
      <c r="P651" s="48"/>
      <c r="Q651" s="169"/>
      <c r="R651" s="169" t="str">
        <f t="shared" si="48"/>
        <v/>
      </c>
      <c r="S651" s="96"/>
      <c r="T651" s="96"/>
      <c r="U651" s="96"/>
      <c r="V651" s="96"/>
      <c r="W651" s="96"/>
      <c r="X651" s="96"/>
      <c r="Y651" s="96"/>
      <c r="Z651" s="152"/>
      <c r="AA651" s="99"/>
      <c r="AB651" s="91"/>
      <c r="AC651" s="91"/>
      <c r="AD651" s="91"/>
    </row>
    <row r="652" ht="15.75" customHeight="1" outlineLevel="1">
      <c r="A652" s="177" t="s">
        <v>10529</v>
      </c>
      <c r="B652" s="221" t="s">
        <v>206</v>
      </c>
      <c r="C652" s="221" t="s">
        <v>27</v>
      </c>
      <c r="D652" s="172" t="s">
        <v>4</v>
      </c>
      <c r="E652" s="222" t="s">
        <v>27</v>
      </c>
      <c r="F652" s="172" t="s">
        <v>4</v>
      </c>
      <c r="G652" s="175" t="s">
        <v>27</v>
      </c>
      <c r="H652" s="230" t="s">
        <v>11510</v>
      </c>
      <c r="I652" s="222" t="s">
        <v>27</v>
      </c>
      <c r="J652" s="156" t="s">
        <v>4</v>
      </c>
      <c r="K652" s="297" t="s">
        <v>27</v>
      </c>
      <c r="L652" s="157" t="s">
        <v>4</v>
      </c>
      <c r="M652" s="168" t="s">
        <v>27</v>
      </c>
      <c r="N652" s="167"/>
      <c r="O652" s="55" t="str">
        <f t="shared" si="29"/>
        <v>L4.00.00.00.00.00</v>
      </c>
      <c r="P652" s="173" t="str">
        <f t="shared" ref="P652:P704" si="49">A652&amp;"."&amp;C652&amp;"."&amp;E652&amp;"."&amp;G652&amp;"."&amp;I652&amp;"."&amp;K652&amp;"."&amp;M652</f>
        <v>L4.00.00.00.00.00.00</v>
      </c>
      <c r="Q652" s="428" t="s">
        <v>10530</v>
      </c>
      <c r="R652" s="428" t="s">
        <v>11510</v>
      </c>
      <c r="S652" s="429" t="s">
        <v>22</v>
      </c>
      <c r="T652" s="176"/>
      <c r="U652" s="176"/>
      <c r="V652" s="176"/>
      <c r="W652" s="176"/>
      <c r="X652" s="176"/>
      <c r="Y652" s="224" t="s">
        <v>10894</v>
      </c>
      <c r="Z652" s="225" t="s">
        <v>206</v>
      </c>
      <c r="AA652" s="266"/>
      <c r="AB652" s="226"/>
      <c r="AC652" s="226"/>
      <c r="AD652" s="226"/>
    </row>
    <row r="653" ht="15.75" customHeight="1" outlineLevel="1">
      <c r="A653" s="481" t="s">
        <v>10529</v>
      </c>
      <c r="B653" s="482" t="s">
        <v>206</v>
      </c>
      <c r="C653" s="482" t="s">
        <v>27</v>
      </c>
      <c r="D653" s="483" t="s">
        <v>4</v>
      </c>
      <c r="E653" s="484" t="s">
        <v>27</v>
      </c>
      <c r="F653" s="483" t="s">
        <v>4</v>
      </c>
      <c r="G653" s="485" t="s">
        <v>35</v>
      </c>
      <c r="H653" s="486" t="s">
        <v>222</v>
      </c>
      <c r="I653" s="484" t="s">
        <v>27</v>
      </c>
      <c r="J653" s="487" t="s">
        <v>4</v>
      </c>
      <c r="K653" s="488" t="s">
        <v>27</v>
      </c>
      <c r="L653" s="489" t="s">
        <v>4</v>
      </c>
      <c r="M653" s="490" t="s">
        <v>27</v>
      </c>
      <c r="N653" s="491"/>
      <c r="O653" s="492" t="str">
        <f t="shared" si="29"/>
        <v>L4.00.00.03.00.00</v>
      </c>
      <c r="P653" s="492" t="str">
        <f t="shared" si="49"/>
        <v>L4.00.00.03.00.00.00</v>
      </c>
      <c r="Q653" s="493" t="s">
        <v>10530</v>
      </c>
      <c r="R653" s="494" t="str">
        <f t="shared" ref="R653:R669" si="50">if(L653&lt;&gt;"-",L653,if(AND(L653="-",J653&lt;&gt;"-"),J653,if(AND(J653="-",H653&lt;&gt;"-"),H653,"NA")))</f>
        <v>Ban GĐ VP</v>
      </c>
      <c r="S653" s="492" t="s">
        <v>11511</v>
      </c>
      <c r="T653" s="556"/>
      <c r="U653" s="495"/>
      <c r="V653" s="495"/>
      <c r="W653" s="495"/>
      <c r="X653" s="495"/>
      <c r="Y653" s="495"/>
      <c r="Z653" s="496" t="s">
        <v>11512</v>
      </c>
      <c r="AA653" s="497"/>
      <c r="AB653" s="498"/>
      <c r="AC653" s="498"/>
      <c r="AD653" s="498"/>
    </row>
    <row r="654" ht="15.75" customHeight="1" outlineLevel="1">
      <c r="A654" s="177" t="s">
        <v>10529</v>
      </c>
      <c r="B654" s="221" t="s">
        <v>206</v>
      </c>
      <c r="C654" s="221" t="s">
        <v>27</v>
      </c>
      <c r="D654" s="172" t="s">
        <v>4</v>
      </c>
      <c r="E654" s="222" t="s">
        <v>27</v>
      </c>
      <c r="F654" s="172" t="s">
        <v>4</v>
      </c>
      <c r="G654" s="175" t="s">
        <v>35</v>
      </c>
      <c r="H654" s="230" t="s">
        <v>11513</v>
      </c>
      <c r="I654" s="222" t="s">
        <v>27</v>
      </c>
      <c r="J654" s="156" t="s">
        <v>4</v>
      </c>
      <c r="K654" s="297" t="s">
        <v>27</v>
      </c>
      <c r="L654" s="157" t="s">
        <v>4</v>
      </c>
      <c r="M654" s="157" t="s">
        <v>29</v>
      </c>
      <c r="N654" s="167" t="s">
        <v>10498</v>
      </c>
      <c r="O654" s="55" t="str">
        <f t="shared" si="29"/>
        <v>L4.00.00.03.00.00</v>
      </c>
      <c r="P654" s="173" t="str">
        <f t="shared" si="49"/>
        <v>L4.00.00.03.00.00.01</v>
      </c>
      <c r="Q654" s="428" t="s">
        <v>10530</v>
      </c>
      <c r="R654" s="223" t="str">
        <f t="shared" si="50"/>
        <v>Ban GĐ VP - Hà Nội</v>
      </c>
      <c r="S654" s="173" t="s">
        <v>11514</v>
      </c>
      <c r="T654" s="176" t="s">
        <v>7551</v>
      </c>
      <c r="U654" s="176" t="s">
        <v>346</v>
      </c>
      <c r="V654" s="176" t="s">
        <v>7550</v>
      </c>
      <c r="W654" s="176"/>
      <c r="X654" s="176"/>
      <c r="Y654" s="176"/>
      <c r="Z654" s="225" t="s">
        <v>11515</v>
      </c>
      <c r="AA654" s="266"/>
      <c r="AB654" s="226"/>
      <c r="AC654" s="226"/>
      <c r="AD654" s="226"/>
    </row>
    <row r="655" ht="15.75" customHeight="1" outlineLevel="1">
      <c r="A655" s="177" t="s">
        <v>10529</v>
      </c>
      <c r="B655" s="221" t="s">
        <v>206</v>
      </c>
      <c r="C655" s="221" t="s">
        <v>27</v>
      </c>
      <c r="D655" s="172" t="s">
        <v>4</v>
      </c>
      <c r="E655" s="222" t="s">
        <v>27</v>
      </c>
      <c r="F655" s="172" t="s">
        <v>4</v>
      </c>
      <c r="G655" s="175" t="s">
        <v>35</v>
      </c>
      <c r="H655" s="230" t="s">
        <v>11516</v>
      </c>
      <c r="I655" s="222" t="s">
        <v>27</v>
      </c>
      <c r="J655" s="156" t="s">
        <v>4</v>
      </c>
      <c r="K655" s="297" t="s">
        <v>27</v>
      </c>
      <c r="L655" s="157" t="s">
        <v>4</v>
      </c>
      <c r="M655" s="157" t="s">
        <v>33</v>
      </c>
      <c r="N655" s="167" t="s">
        <v>10499</v>
      </c>
      <c r="O655" s="55" t="str">
        <f t="shared" si="29"/>
        <v>L4.00.00.03.00.00</v>
      </c>
      <c r="P655" s="173" t="str">
        <f t="shared" si="49"/>
        <v>L4.00.00.03.00.00.02</v>
      </c>
      <c r="Q655" s="428" t="s">
        <v>10530</v>
      </c>
      <c r="R655" s="223" t="str">
        <f t="shared" si="50"/>
        <v>Ban GĐ VP - Hồ Chí Minh</v>
      </c>
      <c r="S655" s="173" t="s">
        <v>11514</v>
      </c>
      <c r="T655" s="176" t="s">
        <v>7602</v>
      </c>
      <c r="U655" s="176" t="s">
        <v>262</v>
      </c>
      <c r="V655" s="176" t="s">
        <v>7601</v>
      </c>
      <c r="W655" s="176"/>
      <c r="X655" s="176"/>
      <c r="Y655" s="176"/>
      <c r="Z655" s="225" t="s">
        <v>11517</v>
      </c>
      <c r="AA655" s="266"/>
      <c r="AB655" s="226"/>
      <c r="AC655" s="226"/>
      <c r="AD655" s="226"/>
    </row>
    <row r="656" ht="15.75" customHeight="1" outlineLevel="1">
      <c r="A656" s="177" t="s">
        <v>10529</v>
      </c>
      <c r="B656" s="221" t="s">
        <v>206</v>
      </c>
      <c r="C656" s="221" t="s">
        <v>27</v>
      </c>
      <c r="D656" s="172" t="s">
        <v>4</v>
      </c>
      <c r="E656" s="222" t="s">
        <v>27</v>
      </c>
      <c r="F656" s="172" t="s">
        <v>4</v>
      </c>
      <c r="G656" s="175" t="s">
        <v>35</v>
      </c>
      <c r="H656" s="230" t="s">
        <v>11518</v>
      </c>
      <c r="I656" s="222" t="s">
        <v>27</v>
      </c>
      <c r="J656" s="156" t="s">
        <v>4</v>
      </c>
      <c r="K656" s="297" t="s">
        <v>27</v>
      </c>
      <c r="L656" s="157" t="s">
        <v>4</v>
      </c>
      <c r="M656" s="157" t="s">
        <v>35</v>
      </c>
      <c r="N656" s="167" t="s">
        <v>10500</v>
      </c>
      <c r="O656" s="55" t="str">
        <f t="shared" si="29"/>
        <v>L4.00.00.03.00.00</v>
      </c>
      <c r="P656" s="173" t="str">
        <f t="shared" si="49"/>
        <v>L4.00.00.03.00.00.03</v>
      </c>
      <c r="Q656" s="428" t="s">
        <v>10530</v>
      </c>
      <c r="R656" s="223" t="str">
        <f t="shared" si="50"/>
        <v>Ban GĐ VP - Đà Nẵng</v>
      </c>
      <c r="S656" s="173" t="s">
        <v>11514</v>
      </c>
      <c r="T656" s="176" t="s">
        <v>9531</v>
      </c>
      <c r="U656" s="176" t="s">
        <v>2811</v>
      </c>
      <c r="V656" s="176" t="s">
        <v>32</v>
      </c>
      <c r="W656" s="176"/>
      <c r="X656" s="176"/>
      <c r="Y656" s="176"/>
      <c r="Z656" s="225" t="s">
        <v>11519</v>
      </c>
      <c r="AA656" s="300" t="s">
        <v>10530</v>
      </c>
      <c r="AB656" s="226"/>
      <c r="AC656" s="226"/>
      <c r="AD656" s="226"/>
    </row>
    <row r="657" ht="15.75" customHeight="1" outlineLevel="1">
      <c r="A657" s="177" t="s">
        <v>10529</v>
      </c>
      <c r="B657" s="221" t="s">
        <v>206</v>
      </c>
      <c r="C657" s="221" t="s">
        <v>27</v>
      </c>
      <c r="D657" s="172" t="s">
        <v>4</v>
      </c>
      <c r="E657" s="222" t="s">
        <v>27</v>
      </c>
      <c r="F657" s="172" t="s">
        <v>4</v>
      </c>
      <c r="G657" s="175" t="s">
        <v>35</v>
      </c>
      <c r="H657" s="230" t="s">
        <v>11520</v>
      </c>
      <c r="I657" s="222" t="s">
        <v>27</v>
      </c>
      <c r="J657" s="156" t="s">
        <v>4</v>
      </c>
      <c r="K657" s="297" t="s">
        <v>27</v>
      </c>
      <c r="L657" s="157" t="s">
        <v>4</v>
      </c>
      <c r="M657" s="157" t="s">
        <v>37</v>
      </c>
      <c r="N657" s="298" t="s">
        <v>10900</v>
      </c>
      <c r="O657" s="55" t="str">
        <f t="shared" si="29"/>
        <v>L4.00.00.03.00.00</v>
      </c>
      <c r="P657" s="173" t="str">
        <f t="shared" si="49"/>
        <v>L4.00.00.03.00.00.04</v>
      </c>
      <c r="Q657" s="428" t="s">
        <v>10530</v>
      </c>
      <c r="R657" s="223" t="str">
        <f t="shared" si="50"/>
        <v>Ban GĐ VP - Buôn Ma Thuột</v>
      </c>
      <c r="S657" s="173" t="s">
        <v>11514</v>
      </c>
      <c r="T657" s="176" t="s">
        <v>9866</v>
      </c>
      <c r="U657" s="176" t="s">
        <v>2732</v>
      </c>
      <c r="V657" s="176" t="s">
        <v>32</v>
      </c>
      <c r="W657" s="176"/>
      <c r="X657" s="176"/>
      <c r="Y657" s="176"/>
      <c r="Z657" s="225" t="s">
        <v>11521</v>
      </c>
      <c r="AA657" s="300" t="s">
        <v>10530</v>
      </c>
      <c r="AB657" s="226"/>
      <c r="AC657" s="226"/>
      <c r="AD657" s="226"/>
    </row>
    <row r="658" ht="15.75" customHeight="1" outlineLevel="1">
      <c r="A658" s="177" t="s">
        <v>10529</v>
      </c>
      <c r="B658" s="221" t="s">
        <v>206</v>
      </c>
      <c r="C658" s="221" t="s">
        <v>27</v>
      </c>
      <c r="D658" s="172" t="s">
        <v>4</v>
      </c>
      <c r="E658" s="222" t="s">
        <v>27</v>
      </c>
      <c r="F658" s="172" t="s">
        <v>4</v>
      </c>
      <c r="G658" s="175" t="s">
        <v>35</v>
      </c>
      <c r="H658" s="230" t="s">
        <v>11522</v>
      </c>
      <c r="I658" s="222" t="s">
        <v>27</v>
      </c>
      <c r="J658" s="156" t="s">
        <v>4</v>
      </c>
      <c r="K658" s="297" t="s">
        <v>27</v>
      </c>
      <c r="L658" s="157" t="s">
        <v>4</v>
      </c>
      <c r="M658" s="157" t="s">
        <v>42</v>
      </c>
      <c r="N658" s="167" t="s">
        <v>10502</v>
      </c>
      <c r="O658" s="55" t="str">
        <f t="shared" si="29"/>
        <v>L4.00.00.03.00.00</v>
      </c>
      <c r="P658" s="173" t="str">
        <f t="shared" si="49"/>
        <v>L4.00.00.03.00.00.05</v>
      </c>
      <c r="Q658" s="428" t="s">
        <v>10530</v>
      </c>
      <c r="R658" s="223" t="str">
        <f t="shared" si="50"/>
        <v>Ban GĐ VP - Cần Thơ</v>
      </c>
      <c r="S658" s="173" t="s">
        <v>11514</v>
      </c>
      <c r="T658" s="176" t="s">
        <v>7280</v>
      </c>
      <c r="U658" s="176" t="s">
        <v>325</v>
      </c>
      <c r="V658" s="176" t="s">
        <v>32</v>
      </c>
      <c r="W658" s="176"/>
      <c r="X658" s="176"/>
      <c r="Y658" s="176"/>
      <c r="Z658" s="225" t="s">
        <v>11523</v>
      </c>
      <c r="AA658" s="300" t="s">
        <v>10530</v>
      </c>
      <c r="AB658" s="226"/>
      <c r="AC658" s="226"/>
      <c r="AD658" s="226"/>
    </row>
    <row r="659" ht="15.75" customHeight="1" outlineLevel="1">
      <c r="A659" s="177" t="s">
        <v>10529</v>
      </c>
      <c r="B659" s="221" t="s">
        <v>206</v>
      </c>
      <c r="C659" s="221" t="s">
        <v>27</v>
      </c>
      <c r="D659" s="172" t="s">
        <v>4</v>
      </c>
      <c r="E659" s="222" t="s">
        <v>27</v>
      </c>
      <c r="F659" s="172" t="s">
        <v>4</v>
      </c>
      <c r="G659" s="175" t="s">
        <v>35</v>
      </c>
      <c r="H659" s="212" t="s">
        <v>11524</v>
      </c>
      <c r="I659" s="222" t="s">
        <v>27</v>
      </c>
      <c r="J659" s="156" t="s">
        <v>4</v>
      </c>
      <c r="K659" s="297" t="s">
        <v>27</v>
      </c>
      <c r="L659" s="157" t="s">
        <v>4</v>
      </c>
      <c r="M659" s="157" t="s">
        <v>44</v>
      </c>
      <c r="N659" s="167" t="s">
        <v>10505</v>
      </c>
      <c r="O659" s="55" t="str">
        <f t="shared" si="29"/>
        <v>L4.00.00.03.00.00</v>
      </c>
      <c r="P659" s="173" t="str">
        <f t="shared" si="49"/>
        <v>L4.00.00.03.00.00.06</v>
      </c>
      <c r="Q659" s="428" t="s">
        <v>10530</v>
      </c>
      <c r="R659" s="273" t="str">
        <f t="shared" si="50"/>
        <v>Ban GĐ VP - Tổng công ty</v>
      </c>
      <c r="S659" s="173" t="s">
        <v>11514</v>
      </c>
      <c r="T659" s="176" t="s">
        <v>9748</v>
      </c>
      <c r="U659" s="176" t="s">
        <v>303</v>
      </c>
      <c r="V659" s="176" t="s">
        <v>7550</v>
      </c>
      <c r="W659" s="176"/>
      <c r="X659" s="176"/>
      <c r="Y659" s="176"/>
      <c r="Z659" s="225" t="s">
        <v>11525</v>
      </c>
      <c r="AA659" s="300" t="s">
        <v>10530</v>
      </c>
      <c r="AB659" s="226"/>
      <c r="AC659" s="637" t="s">
        <v>11626</v>
      </c>
      <c r="AD659" s="226"/>
    </row>
    <row r="660" ht="15.75" customHeight="1" outlineLevel="1">
      <c r="A660" s="499" t="s">
        <v>10529</v>
      </c>
      <c r="B660" s="500" t="s">
        <v>206</v>
      </c>
      <c r="C660" s="500" t="s">
        <v>27</v>
      </c>
      <c r="D660" s="501" t="s">
        <v>4</v>
      </c>
      <c r="E660" s="502" t="s">
        <v>27</v>
      </c>
      <c r="F660" s="501" t="s">
        <v>4</v>
      </c>
      <c r="G660" s="485" t="s">
        <v>37</v>
      </c>
      <c r="H660" s="503" t="s">
        <v>34</v>
      </c>
      <c r="I660" s="484" t="s">
        <v>27</v>
      </c>
      <c r="J660" s="487" t="s">
        <v>4</v>
      </c>
      <c r="K660" s="502" t="s">
        <v>27</v>
      </c>
      <c r="L660" s="501" t="s">
        <v>4</v>
      </c>
      <c r="M660" s="504" t="s">
        <v>27</v>
      </c>
      <c r="N660" s="503"/>
      <c r="O660" s="492" t="str">
        <f t="shared" si="29"/>
        <v>L4.00.00.04.00.00</v>
      </c>
      <c r="P660" s="492" t="str">
        <f t="shared" si="49"/>
        <v>L4.00.00.04.00.00.00</v>
      </c>
      <c r="Q660" s="493" t="s">
        <v>10530</v>
      </c>
      <c r="R660" s="494" t="str">
        <f t="shared" si="50"/>
        <v>Phòng HCTH</v>
      </c>
      <c r="S660" s="492" t="s">
        <v>11511</v>
      </c>
      <c r="T660" s="638"/>
      <c r="U660" s="505"/>
      <c r="V660" s="505"/>
      <c r="W660" s="506"/>
      <c r="X660" s="506"/>
      <c r="Y660" s="506"/>
      <c r="Z660" s="507" t="s">
        <v>11526</v>
      </c>
      <c r="AA660" s="508"/>
      <c r="AB660" s="509"/>
      <c r="AC660" s="509"/>
      <c r="AD660" s="509"/>
    </row>
    <row r="661" ht="15.75" customHeight="1" outlineLevel="1">
      <c r="A661" s="510" t="s">
        <v>10529</v>
      </c>
      <c r="B661" s="511" t="s">
        <v>206</v>
      </c>
      <c r="C661" s="511" t="s">
        <v>27</v>
      </c>
      <c r="D661" s="512" t="s">
        <v>4</v>
      </c>
      <c r="E661" s="513" t="s">
        <v>27</v>
      </c>
      <c r="F661" s="512" t="s">
        <v>4</v>
      </c>
      <c r="G661" s="175" t="s">
        <v>37</v>
      </c>
      <c r="H661" s="514" t="s">
        <v>11527</v>
      </c>
      <c r="I661" s="222" t="s">
        <v>27</v>
      </c>
      <c r="J661" s="156" t="s">
        <v>4</v>
      </c>
      <c r="K661" s="513" t="s">
        <v>27</v>
      </c>
      <c r="L661" s="512" t="s">
        <v>4</v>
      </c>
      <c r="M661" s="512" t="s">
        <v>29</v>
      </c>
      <c r="N661" s="515" t="s">
        <v>10498</v>
      </c>
      <c r="O661" s="173" t="str">
        <f t="shared" si="29"/>
        <v>L4.00.00.04.00.00</v>
      </c>
      <c r="P661" s="173" t="str">
        <f t="shared" si="49"/>
        <v>L4.00.00.04.00.00.01</v>
      </c>
      <c r="Q661" s="428" t="s">
        <v>10530</v>
      </c>
      <c r="R661" s="223" t="str">
        <f t="shared" si="50"/>
        <v>Phòng HCTH - Hà Nội</v>
      </c>
      <c r="S661" s="173" t="s">
        <v>11528</v>
      </c>
      <c r="T661" s="516" t="s">
        <v>4694</v>
      </c>
      <c r="U661" s="516" t="s">
        <v>346</v>
      </c>
      <c r="V661" s="516" t="s">
        <v>2463</v>
      </c>
      <c r="W661" s="517"/>
      <c r="X661" s="517"/>
      <c r="Y661" s="517"/>
      <c r="Z661" s="518" t="s">
        <v>11529</v>
      </c>
      <c r="AA661" s="300" t="s">
        <v>10530</v>
      </c>
      <c r="AB661" s="296"/>
      <c r="AC661" s="296"/>
      <c r="AD661" s="296"/>
    </row>
    <row r="662" ht="15.75" customHeight="1" outlineLevel="1">
      <c r="A662" s="510" t="s">
        <v>10529</v>
      </c>
      <c r="B662" s="511" t="s">
        <v>206</v>
      </c>
      <c r="C662" s="511" t="s">
        <v>27</v>
      </c>
      <c r="D662" s="512" t="s">
        <v>4</v>
      </c>
      <c r="E662" s="513" t="s">
        <v>27</v>
      </c>
      <c r="F662" s="512" t="s">
        <v>4</v>
      </c>
      <c r="G662" s="175" t="s">
        <v>37</v>
      </c>
      <c r="H662" s="514" t="s">
        <v>11530</v>
      </c>
      <c r="I662" s="222" t="s">
        <v>27</v>
      </c>
      <c r="J662" s="156" t="s">
        <v>4</v>
      </c>
      <c r="K662" s="513" t="s">
        <v>27</v>
      </c>
      <c r="L662" s="512" t="s">
        <v>4</v>
      </c>
      <c r="M662" s="512" t="s">
        <v>33</v>
      </c>
      <c r="N662" s="515" t="s">
        <v>10499</v>
      </c>
      <c r="O662" s="173" t="str">
        <f t="shared" si="29"/>
        <v>L4.00.00.04.00.00</v>
      </c>
      <c r="P662" s="173" t="str">
        <f t="shared" si="49"/>
        <v>L4.00.00.04.00.00.02</v>
      </c>
      <c r="Q662" s="428" t="s">
        <v>10530</v>
      </c>
      <c r="R662" s="223" t="str">
        <f t="shared" si="50"/>
        <v>Phòng HCTH - Hồ Chí Minh</v>
      </c>
      <c r="S662" s="173" t="s">
        <v>11528</v>
      </c>
      <c r="T662" s="516" t="s">
        <v>2464</v>
      </c>
      <c r="U662" s="516" t="s">
        <v>262</v>
      </c>
      <c r="V662" s="516" t="s">
        <v>2463</v>
      </c>
      <c r="W662" s="517"/>
      <c r="X662" s="517"/>
      <c r="Y662" s="517"/>
      <c r="Z662" s="518" t="s">
        <v>11531</v>
      </c>
      <c r="AA662" s="300" t="s">
        <v>10530</v>
      </c>
      <c r="AB662" s="296"/>
      <c r="AC662" s="296"/>
      <c r="AD662" s="296"/>
    </row>
    <row r="663" ht="15.75" customHeight="1" outlineLevel="1">
      <c r="A663" s="510" t="s">
        <v>10529</v>
      </c>
      <c r="B663" s="511" t="s">
        <v>206</v>
      </c>
      <c r="C663" s="511" t="s">
        <v>27</v>
      </c>
      <c r="D663" s="512" t="s">
        <v>4</v>
      </c>
      <c r="E663" s="513" t="s">
        <v>27</v>
      </c>
      <c r="F663" s="512" t="s">
        <v>4</v>
      </c>
      <c r="G663" s="175" t="s">
        <v>37</v>
      </c>
      <c r="H663" s="514" t="s">
        <v>11532</v>
      </c>
      <c r="I663" s="222" t="s">
        <v>27</v>
      </c>
      <c r="J663" s="519" t="s">
        <v>4</v>
      </c>
      <c r="K663" s="513" t="s">
        <v>27</v>
      </c>
      <c r="L663" s="512" t="s">
        <v>4</v>
      </c>
      <c r="M663" s="512" t="s">
        <v>35</v>
      </c>
      <c r="N663" s="515" t="s">
        <v>10500</v>
      </c>
      <c r="O663" s="173" t="str">
        <f t="shared" si="29"/>
        <v>L4.00.00.04.00.00</v>
      </c>
      <c r="P663" s="173" t="str">
        <f t="shared" si="49"/>
        <v>L4.00.00.04.00.00.03</v>
      </c>
      <c r="Q663" s="428" t="s">
        <v>10530</v>
      </c>
      <c r="R663" s="520" t="str">
        <f t="shared" si="50"/>
        <v>Phòng HCTH - Đà Nẵng</v>
      </c>
      <c r="S663" s="173" t="s">
        <v>11528</v>
      </c>
      <c r="T663" s="516" t="s">
        <v>3645</v>
      </c>
      <c r="U663" s="516" t="s">
        <v>2811</v>
      </c>
      <c r="V663" s="516" t="s">
        <v>2463</v>
      </c>
      <c r="W663" s="517"/>
      <c r="X663" s="517"/>
      <c r="Y663" s="517"/>
      <c r="Z663" s="518" t="s">
        <v>11533</v>
      </c>
      <c r="AA663" s="300" t="s">
        <v>10530</v>
      </c>
      <c r="AB663" s="296"/>
      <c r="AC663" s="296"/>
      <c r="AD663" s="296"/>
    </row>
    <row r="664" ht="15.75" customHeight="1" outlineLevel="1">
      <c r="A664" s="521" t="s">
        <v>10529</v>
      </c>
      <c r="B664" s="522" t="s">
        <v>206</v>
      </c>
      <c r="C664" s="522" t="s">
        <v>27</v>
      </c>
      <c r="D664" s="523" t="s">
        <v>4</v>
      </c>
      <c r="E664" s="524" t="s">
        <v>27</v>
      </c>
      <c r="F664" s="523" t="s">
        <v>4</v>
      </c>
      <c r="G664" s="175" t="s">
        <v>37</v>
      </c>
      <c r="H664" s="525" t="s">
        <v>11534</v>
      </c>
      <c r="I664" s="222" t="s">
        <v>27</v>
      </c>
      <c r="J664" s="526" t="s">
        <v>4</v>
      </c>
      <c r="K664" s="524" t="s">
        <v>27</v>
      </c>
      <c r="L664" s="523" t="s">
        <v>4</v>
      </c>
      <c r="M664" s="523" t="s">
        <v>37</v>
      </c>
      <c r="N664" s="525" t="s">
        <v>10900</v>
      </c>
      <c r="O664" s="173" t="str">
        <f t="shared" si="29"/>
        <v>L4.00.00.04.00.00</v>
      </c>
      <c r="P664" s="173" t="str">
        <f t="shared" si="49"/>
        <v>L4.00.00.04.00.00.04</v>
      </c>
      <c r="Q664" s="428" t="s">
        <v>10530</v>
      </c>
      <c r="R664" s="527" t="str">
        <f t="shared" si="50"/>
        <v>Phòng HCTH - Buôn Ma Thuột</v>
      </c>
      <c r="S664" s="173" t="s">
        <v>11528</v>
      </c>
      <c r="T664" s="528" t="s">
        <v>4549</v>
      </c>
      <c r="U664" s="528" t="s">
        <v>2732</v>
      </c>
      <c r="V664" s="528" t="s">
        <v>2463</v>
      </c>
      <c r="W664" s="529"/>
      <c r="X664" s="529"/>
      <c r="Y664" s="529"/>
      <c r="Z664" s="518" t="s">
        <v>11535</v>
      </c>
      <c r="AA664" s="300" t="s">
        <v>10530</v>
      </c>
      <c r="AB664" s="296"/>
      <c r="AC664" s="296"/>
      <c r="AD664" s="296"/>
    </row>
    <row r="665" ht="15.75" customHeight="1" outlineLevel="1">
      <c r="A665" s="521" t="s">
        <v>10529</v>
      </c>
      <c r="B665" s="522" t="s">
        <v>206</v>
      </c>
      <c r="C665" s="522" t="s">
        <v>27</v>
      </c>
      <c r="D665" s="523" t="s">
        <v>4</v>
      </c>
      <c r="E665" s="524" t="s">
        <v>27</v>
      </c>
      <c r="F665" s="523" t="s">
        <v>4</v>
      </c>
      <c r="G665" s="175" t="s">
        <v>37</v>
      </c>
      <c r="H665" s="525" t="s">
        <v>11536</v>
      </c>
      <c r="I665" s="222" t="s">
        <v>27</v>
      </c>
      <c r="J665" s="526" t="s">
        <v>4</v>
      </c>
      <c r="K665" s="524" t="s">
        <v>27</v>
      </c>
      <c r="L665" s="523" t="s">
        <v>4</v>
      </c>
      <c r="M665" s="523" t="s">
        <v>42</v>
      </c>
      <c r="N665" s="530" t="s">
        <v>10502</v>
      </c>
      <c r="O665" s="173" t="str">
        <f t="shared" si="29"/>
        <v>L4.00.00.04.00.00</v>
      </c>
      <c r="P665" s="173" t="str">
        <f t="shared" si="49"/>
        <v>L4.00.00.04.00.00.05</v>
      </c>
      <c r="Q665" s="428" t="s">
        <v>10530</v>
      </c>
      <c r="R665" s="527" t="str">
        <f t="shared" si="50"/>
        <v>Phòng HCTH - Cần Thơ</v>
      </c>
      <c r="S665" s="173" t="s">
        <v>11528</v>
      </c>
      <c r="T665" s="528" t="s">
        <v>7565</v>
      </c>
      <c r="U665" s="528" t="s">
        <v>325</v>
      </c>
      <c r="V665" s="528" t="s">
        <v>2463</v>
      </c>
      <c r="W665" s="529"/>
      <c r="X665" s="529"/>
      <c r="Y665" s="529"/>
      <c r="Z665" s="518" t="s">
        <v>11537</v>
      </c>
      <c r="AA665" s="300" t="s">
        <v>10530</v>
      </c>
      <c r="AB665" s="296"/>
      <c r="AC665" s="296"/>
      <c r="AD665" s="296"/>
    </row>
    <row r="666" ht="15.75" customHeight="1" outlineLevel="1">
      <c r="A666" s="521" t="s">
        <v>10529</v>
      </c>
      <c r="B666" s="522" t="s">
        <v>206</v>
      </c>
      <c r="C666" s="522" t="s">
        <v>27</v>
      </c>
      <c r="D666" s="523" t="s">
        <v>4</v>
      </c>
      <c r="E666" s="524" t="s">
        <v>27</v>
      </c>
      <c r="F666" s="523" t="s">
        <v>4</v>
      </c>
      <c r="G666" s="175" t="s">
        <v>37</v>
      </c>
      <c r="H666" s="525" t="s">
        <v>11538</v>
      </c>
      <c r="I666" s="222" t="s">
        <v>27</v>
      </c>
      <c r="J666" s="526" t="s">
        <v>4</v>
      </c>
      <c r="K666" s="524" t="s">
        <v>27</v>
      </c>
      <c r="L666" s="523" t="s">
        <v>4</v>
      </c>
      <c r="M666" s="523" t="s">
        <v>44</v>
      </c>
      <c r="N666" s="530" t="s">
        <v>10505</v>
      </c>
      <c r="O666" s="55" t="str">
        <f t="shared" si="29"/>
        <v>L4.00.00.04.00.00</v>
      </c>
      <c r="P666" s="173" t="str">
        <f t="shared" si="49"/>
        <v>L4.00.00.04.00.00.06</v>
      </c>
      <c r="Q666" s="428" t="s">
        <v>10530</v>
      </c>
      <c r="R666" s="527" t="str">
        <f t="shared" si="50"/>
        <v>Phòng HCTH - Tổng công ty</v>
      </c>
      <c r="S666" s="173" t="s">
        <v>11528</v>
      </c>
      <c r="T666" s="528" t="s">
        <v>2868</v>
      </c>
      <c r="U666" s="528" t="s">
        <v>303</v>
      </c>
      <c r="V666" s="528" t="s">
        <v>2463</v>
      </c>
      <c r="W666" s="529"/>
      <c r="X666" s="529"/>
      <c r="Y666" s="529"/>
      <c r="Z666" s="518" t="s">
        <v>11539</v>
      </c>
      <c r="AA666" s="300" t="s">
        <v>10530</v>
      </c>
      <c r="AB666" s="296"/>
      <c r="AC666" s="296"/>
      <c r="AD666" s="296"/>
    </row>
    <row r="667" ht="15.75" customHeight="1" outlineLevel="1">
      <c r="A667" s="531" t="s">
        <v>10529</v>
      </c>
      <c r="B667" s="532" t="s">
        <v>206</v>
      </c>
      <c r="C667" s="532" t="s">
        <v>27</v>
      </c>
      <c r="D667" s="533" t="s">
        <v>4</v>
      </c>
      <c r="E667" s="534" t="s">
        <v>27</v>
      </c>
      <c r="F667" s="533" t="s">
        <v>4</v>
      </c>
      <c r="G667" s="485" t="s">
        <v>42</v>
      </c>
      <c r="H667" s="535" t="s">
        <v>36</v>
      </c>
      <c r="I667" s="484" t="s">
        <v>27</v>
      </c>
      <c r="J667" s="487" t="s">
        <v>4</v>
      </c>
      <c r="K667" s="534" t="s">
        <v>27</v>
      </c>
      <c r="L667" s="533" t="s">
        <v>4</v>
      </c>
      <c r="M667" s="536" t="s">
        <v>27</v>
      </c>
      <c r="N667" s="535"/>
      <c r="O667" s="492" t="str">
        <f t="shared" si="29"/>
        <v>L4.00.00.05.00.00</v>
      </c>
      <c r="P667" s="492" t="str">
        <f t="shared" si="49"/>
        <v>L4.00.00.05.00.00.00</v>
      </c>
      <c r="Q667" s="493" t="s">
        <v>10530</v>
      </c>
      <c r="R667" s="494" t="str">
        <f t="shared" si="50"/>
        <v>Phòng Quan hệ cộng đồng</v>
      </c>
      <c r="S667" s="492" t="s">
        <v>11511</v>
      </c>
      <c r="T667" s="537"/>
      <c r="U667" s="537"/>
      <c r="V667" s="537"/>
      <c r="W667" s="538"/>
      <c r="X667" s="538"/>
      <c r="Y667" s="538"/>
      <c r="Z667" s="507" t="s">
        <v>2453</v>
      </c>
      <c r="AA667" s="508"/>
      <c r="AB667" s="509"/>
      <c r="AC667" s="509"/>
      <c r="AD667" s="509"/>
    </row>
    <row r="668" ht="15.75" customHeight="1" outlineLevel="1">
      <c r="A668" s="521" t="s">
        <v>10529</v>
      </c>
      <c r="B668" s="522" t="s">
        <v>206</v>
      </c>
      <c r="C668" s="522" t="s">
        <v>27</v>
      </c>
      <c r="D668" s="523" t="s">
        <v>4</v>
      </c>
      <c r="E668" s="524" t="s">
        <v>27</v>
      </c>
      <c r="F668" s="523" t="s">
        <v>4</v>
      </c>
      <c r="G668" s="175" t="s">
        <v>42</v>
      </c>
      <c r="H668" s="525" t="s">
        <v>11540</v>
      </c>
      <c r="I668" s="222" t="s">
        <v>27</v>
      </c>
      <c r="J668" s="156" t="s">
        <v>4</v>
      </c>
      <c r="K668" s="524" t="s">
        <v>27</v>
      </c>
      <c r="L668" s="523" t="s">
        <v>4</v>
      </c>
      <c r="M668" s="523" t="s">
        <v>29</v>
      </c>
      <c r="N668" s="530" t="s">
        <v>10498</v>
      </c>
      <c r="O668" s="55" t="str">
        <f t="shared" si="29"/>
        <v>L4.00.00.05.00.00</v>
      </c>
      <c r="P668" s="173" t="str">
        <f t="shared" si="49"/>
        <v>L4.00.00.05.00.00.01</v>
      </c>
      <c r="Q668" s="428" t="s">
        <v>10530</v>
      </c>
      <c r="R668" s="223" t="str">
        <f t="shared" si="50"/>
        <v>Phòng Quan hệ cộng đồng - Hà Nội</v>
      </c>
      <c r="S668" s="173" t="s">
        <v>11541</v>
      </c>
      <c r="T668" s="528" t="s">
        <v>7593</v>
      </c>
      <c r="U668" s="528" t="s">
        <v>346</v>
      </c>
      <c r="V668" s="528" t="s">
        <v>36</v>
      </c>
      <c r="W668" s="529"/>
      <c r="X668" s="529"/>
      <c r="Y668" s="529"/>
      <c r="Z668" s="518" t="s">
        <v>11542</v>
      </c>
      <c r="AA668" s="300" t="s">
        <v>10530</v>
      </c>
      <c r="AB668" s="296"/>
      <c r="AC668" s="296"/>
      <c r="AD668" s="296"/>
    </row>
    <row r="669" ht="15.75" customHeight="1" outlineLevel="1">
      <c r="A669" s="521" t="s">
        <v>10529</v>
      </c>
      <c r="B669" s="522" t="s">
        <v>206</v>
      </c>
      <c r="C669" s="522" t="s">
        <v>27</v>
      </c>
      <c r="D669" s="523" t="s">
        <v>4</v>
      </c>
      <c r="E669" s="524" t="s">
        <v>27</v>
      </c>
      <c r="F669" s="523" t="s">
        <v>4</v>
      </c>
      <c r="G669" s="175" t="s">
        <v>42</v>
      </c>
      <c r="H669" s="525" t="s">
        <v>11543</v>
      </c>
      <c r="I669" s="177" t="s">
        <v>35</v>
      </c>
      <c r="J669" s="156" t="s">
        <v>4</v>
      </c>
      <c r="K669" s="524" t="s">
        <v>27</v>
      </c>
      <c r="L669" s="523" t="s">
        <v>4</v>
      </c>
      <c r="M669" s="523" t="s">
        <v>33</v>
      </c>
      <c r="N669" s="530" t="s">
        <v>10499</v>
      </c>
      <c r="O669" s="55" t="str">
        <f t="shared" si="29"/>
        <v>L4.00.00.05.03.00</v>
      </c>
      <c r="P669" s="173" t="str">
        <f t="shared" si="49"/>
        <v>L4.00.00.05.03.00.02</v>
      </c>
      <c r="Q669" s="428" t="s">
        <v>10530</v>
      </c>
      <c r="R669" s="223" t="str">
        <f t="shared" si="50"/>
        <v>Phòng Quan hệ cộng đồng - Hồ Chí Minh</v>
      </c>
      <c r="S669" s="173" t="s">
        <v>11541</v>
      </c>
      <c r="T669" s="528" t="s">
        <v>2452</v>
      </c>
      <c r="U669" s="528" t="s">
        <v>262</v>
      </c>
      <c r="V669" s="528" t="s">
        <v>36</v>
      </c>
      <c r="W669" s="529"/>
      <c r="X669" s="529"/>
      <c r="Y669" s="529"/>
      <c r="Z669" s="518" t="s">
        <v>11544</v>
      </c>
      <c r="AA669" s="300" t="s">
        <v>10530</v>
      </c>
      <c r="AB669" s="296"/>
      <c r="AC669" s="296"/>
      <c r="AD669" s="296"/>
    </row>
    <row r="670" ht="15.75" customHeight="1" outlineLevel="1">
      <c r="A670" s="177" t="s">
        <v>10529</v>
      </c>
      <c r="B670" s="221" t="s">
        <v>206</v>
      </c>
      <c r="C670" s="221" t="s">
        <v>27</v>
      </c>
      <c r="D670" s="172" t="s">
        <v>4</v>
      </c>
      <c r="E670" s="222" t="s">
        <v>27</v>
      </c>
      <c r="F670" s="172" t="s">
        <v>4</v>
      </c>
      <c r="G670" s="175" t="s">
        <v>44</v>
      </c>
      <c r="H670" s="230" t="s">
        <v>11545</v>
      </c>
      <c r="I670" s="175" t="s">
        <v>27</v>
      </c>
      <c r="J670" s="262" t="s">
        <v>4</v>
      </c>
      <c r="K670" s="297" t="s">
        <v>27</v>
      </c>
      <c r="L670" s="157" t="s">
        <v>4</v>
      </c>
      <c r="M670" s="157" t="s">
        <v>44</v>
      </c>
      <c r="N670" s="167" t="s">
        <v>10505</v>
      </c>
      <c r="O670" s="55" t="str">
        <f t="shared" si="29"/>
        <v>L4.00.00.06.00.00</v>
      </c>
      <c r="P670" s="173" t="str">
        <f t="shared" si="49"/>
        <v>L4.00.00.06.00.00.06</v>
      </c>
      <c r="Q670" s="428" t="s">
        <v>10530</v>
      </c>
      <c r="R670" s="539" t="s">
        <v>36</v>
      </c>
      <c r="S670" s="429" t="s">
        <v>11541</v>
      </c>
      <c r="T670" s="224" t="s">
        <v>3014</v>
      </c>
      <c r="U670" s="176" t="s">
        <v>303</v>
      </c>
      <c r="V670" s="176" t="s">
        <v>36</v>
      </c>
      <c r="W670" s="176"/>
      <c r="X670" s="176"/>
      <c r="Y670" s="176"/>
      <c r="Z670" s="225" t="s">
        <v>11546</v>
      </c>
      <c r="AA670" s="300" t="s">
        <v>10530</v>
      </c>
      <c r="AB670" s="226"/>
      <c r="AC670" s="376" t="s">
        <v>11714</v>
      </c>
      <c r="AD670" s="226"/>
    </row>
    <row r="671" ht="15.75" customHeight="1" outlineLevel="1">
      <c r="A671" s="177" t="s">
        <v>10529</v>
      </c>
      <c r="B671" s="221" t="s">
        <v>206</v>
      </c>
      <c r="C671" s="221" t="s">
        <v>27</v>
      </c>
      <c r="D671" s="172" t="s">
        <v>4</v>
      </c>
      <c r="E671" s="222" t="s">
        <v>27</v>
      </c>
      <c r="F671" s="172" t="s">
        <v>4</v>
      </c>
      <c r="G671" s="175" t="s">
        <v>44</v>
      </c>
      <c r="H671" s="230" t="s">
        <v>11545</v>
      </c>
      <c r="I671" s="222" t="s">
        <v>29</v>
      </c>
      <c r="J671" s="167" t="s">
        <v>223</v>
      </c>
      <c r="K671" s="297" t="s">
        <v>27</v>
      </c>
      <c r="L671" s="157" t="s">
        <v>4</v>
      </c>
      <c r="M671" s="157" t="s">
        <v>44</v>
      </c>
      <c r="N671" s="167" t="s">
        <v>10505</v>
      </c>
      <c r="O671" s="55" t="str">
        <f t="shared" si="29"/>
        <v>L4.00.00.06.01.00</v>
      </c>
      <c r="P671" s="173" t="str">
        <f t="shared" si="49"/>
        <v>L4.00.00.06.01.00.06</v>
      </c>
      <c r="Q671" s="428" t="s">
        <v>10530</v>
      </c>
      <c r="R671" s="223" t="str">
        <f t="shared" ref="R671:R705" si="51">if(L671&lt;&gt;"-",L671,if(AND(L671="-",J671&lt;&gt;"-"),J671,if(AND(J671="-",H671&lt;&gt;"-"),H671,"NA")))</f>
        <v>Ban giám đốc truyền thông</v>
      </c>
      <c r="S671" s="429" t="s">
        <v>11547</v>
      </c>
      <c r="T671" s="176" t="s">
        <v>600</v>
      </c>
      <c r="U671" s="176" t="s">
        <v>303</v>
      </c>
      <c r="V671" s="176" t="s">
        <v>36</v>
      </c>
      <c r="W671" s="176" t="s">
        <v>223</v>
      </c>
      <c r="X671" s="176"/>
      <c r="Y671" s="176"/>
      <c r="Z671" s="225" t="s">
        <v>11548</v>
      </c>
      <c r="AA671" s="300" t="s">
        <v>10530</v>
      </c>
      <c r="AB671" s="226"/>
      <c r="AC671" s="226"/>
      <c r="AD671" s="226"/>
    </row>
    <row r="672" ht="15.75" customHeight="1" outlineLevel="1">
      <c r="A672" s="177" t="s">
        <v>10529</v>
      </c>
      <c r="B672" s="221" t="s">
        <v>206</v>
      </c>
      <c r="C672" s="221" t="s">
        <v>27</v>
      </c>
      <c r="D672" s="172" t="s">
        <v>4</v>
      </c>
      <c r="E672" s="222" t="s">
        <v>27</v>
      </c>
      <c r="F672" s="172" t="s">
        <v>4</v>
      </c>
      <c r="G672" s="175" t="s">
        <v>46</v>
      </c>
      <c r="H672" s="171" t="s">
        <v>225</v>
      </c>
      <c r="I672" s="175" t="s">
        <v>27</v>
      </c>
      <c r="J672" s="262" t="s">
        <v>4</v>
      </c>
      <c r="K672" s="297" t="s">
        <v>27</v>
      </c>
      <c r="L672" s="157" t="s">
        <v>4</v>
      </c>
      <c r="M672" s="168" t="s">
        <v>27</v>
      </c>
      <c r="N672" s="167"/>
      <c r="O672" s="55" t="str">
        <f t="shared" si="29"/>
        <v>L4.00.00.07.00.00</v>
      </c>
      <c r="P672" s="173" t="str">
        <f t="shared" si="49"/>
        <v>L4.00.00.07.00.00.00</v>
      </c>
      <c r="Q672" s="428" t="s">
        <v>10530</v>
      </c>
      <c r="R672" s="223" t="str">
        <f t="shared" si="51"/>
        <v>Ban tài chính</v>
      </c>
      <c r="S672" s="429" t="s">
        <v>11511</v>
      </c>
      <c r="T672" s="176"/>
      <c r="U672" s="176"/>
      <c r="V672" s="176"/>
      <c r="W672" s="176"/>
      <c r="X672" s="176"/>
      <c r="Y672" s="224" t="s">
        <v>10894</v>
      </c>
      <c r="Z672" s="225" t="s">
        <v>11549</v>
      </c>
      <c r="AA672" s="266"/>
      <c r="AB672" s="226"/>
      <c r="AC672" s="226"/>
      <c r="AD672" s="226"/>
    </row>
    <row r="673" ht="15.75" customHeight="1" outlineLevel="1">
      <c r="A673" s="481" t="s">
        <v>10529</v>
      </c>
      <c r="B673" s="482" t="s">
        <v>206</v>
      </c>
      <c r="C673" s="482" t="s">
        <v>27</v>
      </c>
      <c r="D673" s="483" t="s">
        <v>4</v>
      </c>
      <c r="E673" s="484" t="s">
        <v>27</v>
      </c>
      <c r="F673" s="483" t="s">
        <v>4</v>
      </c>
      <c r="G673" s="485" t="s">
        <v>46</v>
      </c>
      <c r="H673" s="486" t="s">
        <v>225</v>
      </c>
      <c r="I673" s="483" t="s">
        <v>29</v>
      </c>
      <c r="J673" s="491" t="s">
        <v>226</v>
      </c>
      <c r="K673" s="488" t="s">
        <v>27</v>
      </c>
      <c r="L673" s="489" t="s">
        <v>4</v>
      </c>
      <c r="M673" s="490" t="s">
        <v>27</v>
      </c>
      <c r="N673" s="491"/>
      <c r="O673" s="492" t="str">
        <f t="shared" si="29"/>
        <v>L4.00.00.07.01.00</v>
      </c>
      <c r="P673" s="492" t="str">
        <f t="shared" si="49"/>
        <v>L4.00.00.07.01.00.00</v>
      </c>
      <c r="Q673" s="493" t="s">
        <v>10530</v>
      </c>
      <c r="R673" s="494" t="str">
        <f t="shared" si="51"/>
        <v>Phòng kế toán</v>
      </c>
      <c r="S673" s="540" t="s">
        <v>11550</v>
      </c>
      <c r="T673" s="562" t="s">
        <v>11789</v>
      </c>
      <c r="U673" s="495"/>
      <c r="V673" s="495"/>
      <c r="W673" s="495"/>
      <c r="X673" s="495"/>
      <c r="Y673" s="495"/>
      <c r="Z673" s="496" t="s">
        <v>11551</v>
      </c>
      <c r="AA673" s="300" t="s">
        <v>10530</v>
      </c>
      <c r="AB673" s="498"/>
      <c r="AC673" s="498"/>
      <c r="AD673" s="498"/>
    </row>
    <row r="674" ht="15.75" customHeight="1" outlineLevel="1">
      <c r="A674" s="177" t="s">
        <v>10529</v>
      </c>
      <c r="B674" s="221" t="s">
        <v>206</v>
      </c>
      <c r="C674" s="221" t="s">
        <v>27</v>
      </c>
      <c r="D674" s="172" t="s">
        <v>4</v>
      </c>
      <c r="E674" s="222" t="s">
        <v>27</v>
      </c>
      <c r="F674" s="172" t="s">
        <v>4</v>
      </c>
      <c r="G674" s="175" t="s">
        <v>46</v>
      </c>
      <c r="H674" s="171" t="s">
        <v>225</v>
      </c>
      <c r="I674" s="172" t="s">
        <v>29</v>
      </c>
      <c r="J674" s="167" t="s">
        <v>226</v>
      </c>
      <c r="K674" s="297" t="s">
        <v>27</v>
      </c>
      <c r="L674" s="157" t="s">
        <v>4</v>
      </c>
      <c r="M674" s="157" t="s">
        <v>29</v>
      </c>
      <c r="N674" s="167" t="s">
        <v>10498</v>
      </c>
      <c r="O674" s="55" t="str">
        <f t="shared" si="29"/>
        <v>L4.00.00.07.01.00</v>
      </c>
      <c r="P674" s="173" t="str">
        <f t="shared" si="49"/>
        <v>L4.00.00.07.01.00.01</v>
      </c>
      <c r="Q674" s="223"/>
      <c r="R674" s="223" t="str">
        <f t="shared" si="51"/>
        <v>Phòng kế toán</v>
      </c>
      <c r="S674" s="429" t="s">
        <v>11552</v>
      </c>
      <c r="T674" s="176" t="s">
        <v>8341</v>
      </c>
      <c r="U674" s="176" t="s">
        <v>346</v>
      </c>
      <c r="V674" s="176" t="s">
        <v>2474</v>
      </c>
      <c r="W674" s="176"/>
      <c r="X674" s="176"/>
      <c r="Y674" s="176"/>
      <c r="Z674" s="541"/>
      <c r="AA674" s="266"/>
      <c r="AB674" s="226"/>
      <c r="AC674" s="226"/>
      <c r="AD674" s="226"/>
    </row>
    <row r="675" ht="15.75" customHeight="1" outlineLevel="1">
      <c r="A675" s="177" t="s">
        <v>10529</v>
      </c>
      <c r="B675" s="221" t="s">
        <v>206</v>
      </c>
      <c r="C675" s="221" t="s">
        <v>27</v>
      </c>
      <c r="D675" s="172" t="s">
        <v>4</v>
      </c>
      <c r="E675" s="222" t="s">
        <v>27</v>
      </c>
      <c r="F675" s="172" t="s">
        <v>4</v>
      </c>
      <c r="G675" s="175" t="s">
        <v>46</v>
      </c>
      <c r="H675" s="171" t="s">
        <v>225</v>
      </c>
      <c r="I675" s="172" t="s">
        <v>29</v>
      </c>
      <c r="J675" s="167" t="s">
        <v>226</v>
      </c>
      <c r="K675" s="297" t="s">
        <v>27</v>
      </c>
      <c r="L675" s="157" t="s">
        <v>4</v>
      </c>
      <c r="M675" s="157" t="s">
        <v>33</v>
      </c>
      <c r="N675" s="167" t="s">
        <v>10499</v>
      </c>
      <c r="O675" s="55" t="str">
        <f t="shared" si="29"/>
        <v>L4.00.00.07.01.00</v>
      </c>
      <c r="P675" s="173" t="str">
        <f t="shared" si="49"/>
        <v>L4.00.00.07.01.00.02</v>
      </c>
      <c r="Q675" s="223"/>
      <c r="R675" s="223" t="str">
        <f t="shared" si="51"/>
        <v>Phòng kế toán</v>
      </c>
      <c r="S675" s="429" t="s">
        <v>11552</v>
      </c>
      <c r="T675" s="176" t="s">
        <v>2475</v>
      </c>
      <c r="U675" s="176" t="s">
        <v>262</v>
      </c>
      <c r="V675" s="176" t="s">
        <v>2474</v>
      </c>
      <c r="W675" s="176"/>
      <c r="X675" s="176"/>
      <c r="Y675" s="176"/>
      <c r="Z675" s="541"/>
      <c r="AA675" s="266"/>
      <c r="AB675" s="226"/>
      <c r="AC675" s="226"/>
      <c r="AD675" s="226"/>
    </row>
    <row r="676" ht="15.75" customHeight="1" outlineLevel="1">
      <c r="A676" s="177" t="s">
        <v>10529</v>
      </c>
      <c r="B676" s="221" t="s">
        <v>206</v>
      </c>
      <c r="C676" s="221" t="s">
        <v>27</v>
      </c>
      <c r="D676" s="172" t="s">
        <v>4</v>
      </c>
      <c r="E676" s="222" t="s">
        <v>27</v>
      </c>
      <c r="F676" s="172" t="s">
        <v>4</v>
      </c>
      <c r="G676" s="175" t="s">
        <v>46</v>
      </c>
      <c r="H676" s="171" t="s">
        <v>225</v>
      </c>
      <c r="I676" s="172" t="s">
        <v>29</v>
      </c>
      <c r="J676" s="167" t="s">
        <v>226</v>
      </c>
      <c r="K676" s="297" t="s">
        <v>27</v>
      </c>
      <c r="L676" s="157" t="s">
        <v>4</v>
      </c>
      <c r="M676" s="157" t="s">
        <v>35</v>
      </c>
      <c r="N676" s="167" t="s">
        <v>10500</v>
      </c>
      <c r="O676" s="55" t="str">
        <f t="shared" si="29"/>
        <v>L4.00.00.07.01.00</v>
      </c>
      <c r="P676" s="173" t="str">
        <f t="shared" si="49"/>
        <v>L4.00.00.07.01.00.03</v>
      </c>
      <c r="Q676" s="223"/>
      <c r="R676" s="223" t="str">
        <f t="shared" si="51"/>
        <v>Phòng kế toán</v>
      </c>
      <c r="S676" s="429" t="s">
        <v>11552</v>
      </c>
      <c r="T676" s="176"/>
      <c r="U676" s="176"/>
      <c r="V676" s="176"/>
      <c r="W676" s="176"/>
      <c r="X676" s="176"/>
      <c r="Y676" s="224" t="s">
        <v>11553</v>
      </c>
      <c r="Z676" s="541"/>
      <c r="AA676" s="266"/>
      <c r="AB676" s="226"/>
      <c r="AC676" s="226"/>
      <c r="AD676" s="226"/>
    </row>
    <row r="677" ht="15.75" customHeight="1" outlineLevel="1">
      <c r="A677" s="177" t="s">
        <v>10529</v>
      </c>
      <c r="B677" s="221" t="s">
        <v>206</v>
      </c>
      <c r="C677" s="221" t="s">
        <v>27</v>
      </c>
      <c r="D677" s="172" t="s">
        <v>4</v>
      </c>
      <c r="E677" s="222" t="s">
        <v>27</v>
      </c>
      <c r="F677" s="172" t="s">
        <v>4</v>
      </c>
      <c r="G677" s="175" t="s">
        <v>46</v>
      </c>
      <c r="H677" s="171" t="s">
        <v>225</v>
      </c>
      <c r="I677" s="172" t="s">
        <v>29</v>
      </c>
      <c r="J677" s="167" t="s">
        <v>226</v>
      </c>
      <c r="K677" s="297" t="s">
        <v>27</v>
      </c>
      <c r="L677" s="157" t="s">
        <v>4</v>
      </c>
      <c r="M677" s="157" t="s">
        <v>37</v>
      </c>
      <c r="N677" s="298" t="s">
        <v>10900</v>
      </c>
      <c r="O677" s="55" t="str">
        <f t="shared" si="29"/>
        <v>L4.00.00.07.01.00</v>
      </c>
      <c r="P677" s="173" t="str">
        <f t="shared" si="49"/>
        <v>L4.00.00.07.01.00.04</v>
      </c>
      <c r="Q677" s="223"/>
      <c r="R677" s="223" t="str">
        <f t="shared" si="51"/>
        <v>Phòng kế toán</v>
      </c>
      <c r="S677" s="429" t="s">
        <v>11552</v>
      </c>
      <c r="T677" s="176"/>
      <c r="U677" s="176"/>
      <c r="V677" s="176"/>
      <c r="W677" s="176"/>
      <c r="X677" s="176"/>
      <c r="Y677" s="224" t="s">
        <v>11553</v>
      </c>
      <c r="Z677" s="541"/>
      <c r="AA677" s="266"/>
      <c r="AB677" s="226"/>
      <c r="AC677" s="226"/>
      <c r="AD677" s="226"/>
    </row>
    <row r="678" ht="15.75" customHeight="1" outlineLevel="1">
      <c r="A678" s="177" t="s">
        <v>10529</v>
      </c>
      <c r="B678" s="221" t="s">
        <v>206</v>
      </c>
      <c r="C678" s="221" t="s">
        <v>27</v>
      </c>
      <c r="D678" s="172" t="s">
        <v>4</v>
      </c>
      <c r="E678" s="222" t="s">
        <v>27</v>
      </c>
      <c r="F678" s="172" t="s">
        <v>4</v>
      </c>
      <c r="G678" s="175" t="s">
        <v>46</v>
      </c>
      <c r="H678" s="171" t="s">
        <v>225</v>
      </c>
      <c r="I678" s="172" t="s">
        <v>29</v>
      </c>
      <c r="J678" s="167" t="s">
        <v>226</v>
      </c>
      <c r="K678" s="297" t="s">
        <v>27</v>
      </c>
      <c r="L678" s="157" t="s">
        <v>4</v>
      </c>
      <c r="M678" s="157" t="s">
        <v>44</v>
      </c>
      <c r="N678" s="167" t="s">
        <v>10505</v>
      </c>
      <c r="O678" s="55" t="str">
        <f t="shared" si="29"/>
        <v>L4.00.00.07.01.00</v>
      </c>
      <c r="P678" s="173" t="str">
        <f t="shared" si="49"/>
        <v>L4.00.00.07.01.00.06</v>
      </c>
      <c r="Q678" s="223"/>
      <c r="R678" s="223" t="str">
        <f t="shared" si="51"/>
        <v>Phòng kế toán</v>
      </c>
      <c r="S678" s="429" t="s">
        <v>11552</v>
      </c>
      <c r="T678" s="176" t="s">
        <v>9890</v>
      </c>
      <c r="U678" s="176" t="s">
        <v>303</v>
      </c>
      <c r="V678" s="176" t="s">
        <v>226</v>
      </c>
      <c r="W678" s="176"/>
      <c r="X678" s="176"/>
      <c r="Y678" s="176"/>
      <c r="Z678" s="541"/>
      <c r="AA678" s="266"/>
      <c r="AB678" s="226"/>
      <c r="AC678" s="226"/>
      <c r="AD678" s="226"/>
    </row>
    <row r="679" ht="15.75" customHeight="1" outlineLevel="1">
      <c r="A679" s="177" t="s">
        <v>10529</v>
      </c>
      <c r="B679" s="221" t="s">
        <v>206</v>
      </c>
      <c r="C679" s="221" t="s">
        <v>27</v>
      </c>
      <c r="D679" s="172" t="s">
        <v>4</v>
      </c>
      <c r="E679" s="222" t="s">
        <v>27</v>
      </c>
      <c r="F679" s="172" t="s">
        <v>4</v>
      </c>
      <c r="G679" s="175" t="s">
        <v>46</v>
      </c>
      <c r="H679" s="171" t="s">
        <v>225</v>
      </c>
      <c r="I679" s="172" t="s">
        <v>29</v>
      </c>
      <c r="J679" s="167" t="s">
        <v>226</v>
      </c>
      <c r="K679" s="297" t="s">
        <v>27</v>
      </c>
      <c r="L679" s="157" t="s">
        <v>4</v>
      </c>
      <c r="M679" s="157" t="s">
        <v>46</v>
      </c>
      <c r="N679" s="167" t="s">
        <v>10496</v>
      </c>
      <c r="O679" s="55" t="str">
        <f t="shared" si="29"/>
        <v>L4.00.00.07.01.00</v>
      </c>
      <c r="P679" s="173" t="str">
        <f t="shared" si="49"/>
        <v>L4.00.00.07.01.00.07</v>
      </c>
      <c r="Q679" s="223"/>
      <c r="R679" s="223" t="str">
        <f t="shared" si="51"/>
        <v>Phòng kế toán</v>
      </c>
      <c r="S679" s="429" t="s">
        <v>11552</v>
      </c>
      <c r="T679" s="430"/>
      <c r="U679" s="430"/>
      <c r="V679" s="430"/>
      <c r="W679" s="176"/>
      <c r="X679" s="176"/>
      <c r="Y679" s="224" t="s">
        <v>11553</v>
      </c>
      <c r="Z679" s="541"/>
      <c r="AA679" s="266"/>
      <c r="AB679" s="226"/>
      <c r="AC679" s="226"/>
      <c r="AD679" s="226"/>
    </row>
    <row r="680" ht="15.75" customHeight="1" outlineLevel="1">
      <c r="A680" s="177" t="s">
        <v>10529</v>
      </c>
      <c r="B680" s="221" t="s">
        <v>206</v>
      </c>
      <c r="C680" s="221" t="s">
        <v>27</v>
      </c>
      <c r="D680" s="172" t="s">
        <v>4</v>
      </c>
      <c r="E680" s="222" t="s">
        <v>27</v>
      </c>
      <c r="F680" s="172" t="s">
        <v>4</v>
      </c>
      <c r="G680" s="175" t="s">
        <v>46</v>
      </c>
      <c r="H680" s="171" t="s">
        <v>225</v>
      </c>
      <c r="I680" s="172" t="s">
        <v>33</v>
      </c>
      <c r="J680" s="167" t="s">
        <v>227</v>
      </c>
      <c r="K680" s="297" t="s">
        <v>27</v>
      </c>
      <c r="L680" s="157" t="s">
        <v>4</v>
      </c>
      <c r="M680" s="157" t="s">
        <v>44</v>
      </c>
      <c r="N680" s="167" t="s">
        <v>10505</v>
      </c>
      <c r="O680" s="55" t="str">
        <f t="shared" si="29"/>
        <v>L4.00.00.07.02.00</v>
      </c>
      <c r="P680" s="173" t="str">
        <f t="shared" si="49"/>
        <v>L4.00.00.07.02.00.06</v>
      </c>
      <c r="Q680" s="428" t="s">
        <v>10530</v>
      </c>
      <c r="R680" s="223" t="str">
        <f t="shared" si="51"/>
        <v>Phòng kế hoạch đầu tư</v>
      </c>
      <c r="S680" s="429" t="s">
        <v>11550</v>
      </c>
      <c r="T680" s="176" t="s">
        <v>9692</v>
      </c>
      <c r="U680" s="176" t="s">
        <v>303</v>
      </c>
      <c r="V680" s="176" t="s">
        <v>9691</v>
      </c>
      <c r="W680" s="176"/>
      <c r="X680" s="176"/>
      <c r="Y680" s="430"/>
      <c r="Z680" s="225" t="s">
        <v>11554</v>
      </c>
      <c r="AA680" s="300" t="s">
        <v>10530</v>
      </c>
      <c r="AB680" s="226"/>
      <c r="AC680" s="226"/>
      <c r="AD680" s="226"/>
    </row>
    <row r="681" ht="15.75" customHeight="1" outlineLevel="1">
      <c r="A681" s="481" t="s">
        <v>10529</v>
      </c>
      <c r="B681" s="482" t="s">
        <v>206</v>
      </c>
      <c r="C681" s="482" t="s">
        <v>27</v>
      </c>
      <c r="D681" s="483" t="s">
        <v>4</v>
      </c>
      <c r="E681" s="484" t="s">
        <v>27</v>
      </c>
      <c r="F681" s="483" t="s">
        <v>4</v>
      </c>
      <c r="G681" s="485" t="s">
        <v>49</v>
      </c>
      <c r="H681" s="486" t="s">
        <v>228</v>
      </c>
      <c r="I681" s="484" t="s">
        <v>27</v>
      </c>
      <c r="J681" s="487" t="s">
        <v>4</v>
      </c>
      <c r="K681" s="488" t="s">
        <v>27</v>
      </c>
      <c r="L681" s="489" t="s">
        <v>4</v>
      </c>
      <c r="M681" s="490" t="s">
        <v>27</v>
      </c>
      <c r="N681" s="491"/>
      <c r="O681" s="492" t="str">
        <f t="shared" si="29"/>
        <v>L4.00.00.08.00.00</v>
      </c>
      <c r="P681" s="492" t="str">
        <f t="shared" si="49"/>
        <v>L4.00.00.08.00.00.00</v>
      </c>
      <c r="Q681" s="493" t="s">
        <v>10530</v>
      </c>
      <c r="R681" s="494" t="str">
        <f t="shared" si="51"/>
        <v>Ban nhân sự</v>
      </c>
      <c r="S681" s="542" t="s">
        <v>11511</v>
      </c>
      <c r="T681" s="639" t="s">
        <v>11790</v>
      </c>
      <c r="U681" s="543"/>
      <c r="V681" s="543"/>
      <c r="W681" s="543"/>
      <c r="X681" s="495"/>
      <c r="Y681" s="495"/>
      <c r="Z681" s="496" t="s">
        <v>2719</v>
      </c>
      <c r="AA681" s="300" t="s">
        <v>10530</v>
      </c>
      <c r="AB681" s="498"/>
      <c r="AC681" s="498"/>
      <c r="AD681" s="498"/>
    </row>
    <row r="682" ht="15.75" customHeight="1" outlineLevel="1">
      <c r="A682" s="115" t="s">
        <v>10529</v>
      </c>
      <c r="B682" s="116" t="s">
        <v>206</v>
      </c>
      <c r="C682" s="116" t="s">
        <v>27</v>
      </c>
      <c r="D682" s="117" t="s">
        <v>4</v>
      </c>
      <c r="E682" s="118" t="s">
        <v>27</v>
      </c>
      <c r="F682" s="117" t="s">
        <v>4</v>
      </c>
      <c r="G682" s="431" t="s">
        <v>49</v>
      </c>
      <c r="H682" s="119" t="s">
        <v>228</v>
      </c>
      <c r="I682" s="118" t="s">
        <v>27</v>
      </c>
      <c r="J682" s="120" t="s">
        <v>4</v>
      </c>
      <c r="K682" s="121" t="s">
        <v>27</v>
      </c>
      <c r="L682" s="122" t="s">
        <v>4</v>
      </c>
      <c r="M682" s="122" t="s">
        <v>44</v>
      </c>
      <c r="N682" s="123" t="s">
        <v>10505</v>
      </c>
      <c r="O682" s="149" t="str">
        <f t="shared" si="29"/>
        <v>L4.00.00.08.00.00</v>
      </c>
      <c r="P682" s="124" t="str">
        <f t="shared" si="49"/>
        <v>L4.00.00.08.00.00.06</v>
      </c>
      <c r="Q682" s="432"/>
      <c r="R682" s="432" t="str">
        <f t="shared" si="51"/>
        <v>Ban nhân sự</v>
      </c>
      <c r="S682" s="544" t="s">
        <v>11555</v>
      </c>
      <c r="T682" s="545" t="s">
        <v>304</v>
      </c>
      <c r="U682" s="545" t="s">
        <v>303</v>
      </c>
      <c r="V682" s="545" t="s">
        <v>228</v>
      </c>
      <c r="W682" s="545" t="s">
        <v>228</v>
      </c>
      <c r="X682" s="434"/>
      <c r="Y682" s="434"/>
      <c r="Z682" s="322"/>
      <c r="AA682" s="266"/>
      <c r="AB682" s="436"/>
      <c r="AC682" s="436"/>
      <c r="AD682" s="436"/>
    </row>
    <row r="683" ht="15.75" customHeight="1" outlineLevel="1">
      <c r="A683" s="115" t="s">
        <v>10529</v>
      </c>
      <c r="B683" s="116" t="s">
        <v>206</v>
      </c>
      <c r="C683" s="116" t="s">
        <v>27</v>
      </c>
      <c r="D683" s="117" t="s">
        <v>4</v>
      </c>
      <c r="E683" s="118" t="s">
        <v>27</v>
      </c>
      <c r="F683" s="117" t="s">
        <v>4</v>
      </c>
      <c r="G683" s="431" t="s">
        <v>49</v>
      </c>
      <c r="H683" s="119" t="s">
        <v>228</v>
      </c>
      <c r="I683" s="118" t="s">
        <v>27</v>
      </c>
      <c r="J683" s="120" t="s">
        <v>4</v>
      </c>
      <c r="K683" s="121" t="s">
        <v>27</v>
      </c>
      <c r="L683" s="122" t="s">
        <v>4</v>
      </c>
      <c r="M683" s="122" t="s">
        <v>29</v>
      </c>
      <c r="N683" s="123" t="s">
        <v>10498</v>
      </c>
      <c r="O683" s="149" t="str">
        <f t="shared" si="29"/>
        <v>L4.00.00.08.00.00</v>
      </c>
      <c r="P683" s="124" t="str">
        <f t="shared" si="49"/>
        <v>L4.00.00.08.00.00.01</v>
      </c>
      <c r="Q683" s="432"/>
      <c r="R683" s="432" t="str">
        <f t="shared" si="51"/>
        <v>Ban nhân sự</v>
      </c>
      <c r="S683" s="433" t="s">
        <v>11555</v>
      </c>
      <c r="T683" s="434" t="s">
        <v>347</v>
      </c>
      <c r="U683" s="434" t="s">
        <v>346</v>
      </c>
      <c r="V683" s="434" t="s">
        <v>38</v>
      </c>
      <c r="W683" s="434"/>
      <c r="X683" s="434"/>
      <c r="Y683" s="434"/>
      <c r="Z683" s="322"/>
      <c r="AA683" s="323"/>
      <c r="AB683" s="436"/>
      <c r="AC683" s="436"/>
      <c r="AD683" s="436"/>
    </row>
    <row r="684" ht="15.75" customHeight="1" outlineLevel="1">
      <c r="A684" s="115" t="s">
        <v>10529</v>
      </c>
      <c r="B684" s="116" t="s">
        <v>206</v>
      </c>
      <c r="C684" s="116" t="s">
        <v>27</v>
      </c>
      <c r="D684" s="117" t="s">
        <v>4</v>
      </c>
      <c r="E684" s="118" t="s">
        <v>27</v>
      </c>
      <c r="F684" s="117" t="s">
        <v>4</v>
      </c>
      <c r="G684" s="431" t="s">
        <v>49</v>
      </c>
      <c r="H684" s="119" t="s">
        <v>228</v>
      </c>
      <c r="I684" s="118" t="s">
        <v>27</v>
      </c>
      <c r="J684" s="120" t="s">
        <v>4</v>
      </c>
      <c r="K684" s="121" t="s">
        <v>27</v>
      </c>
      <c r="L684" s="122" t="s">
        <v>4</v>
      </c>
      <c r="M684" s="122" t="s">
        <v>33</v>
      </c>
      <c r="N684" s="123" t="s">
        <v>10499</v>
      </c>
      <c r="O684" s="149" t="str">
        <f t="shared" si="29"/>
        <v>L4.00.00.08.00.00</v>
      </c>
      <c r="P684" s="124" t="str">
        <f t="shared" si="49"/>
        <v>L4.00.00.08.00.00.02</v>
      </c>
      <c r="Q684" s="432"/>
      <c r="R684" s="432" t="str">
        <f t="shared" si="51"/>
        <v>Ban nhân sự</v>
      </c>
      <c r="S684" s="433" t="s">
        <v>11555</v>
      </c>
      <c r="T684" s="434" t="s">
        <v>2423</v>
      </c>
      <c r="U684" s="434" t="s">
        <v>262</v>
      </c>
      <c r="V684" s="434" t="s">
        <v>38</v>
      </c>
      <c r="W684" s="434"/>
      <c r="X684" s="434"/>
      <c r="Y684" s="434"/>
      <c r="Z684" s="322"/>
      <c r="AA684" s="323"/>
      <c r="AB684" s="436"/>
      <c r="AC684" s="436"/>
      <c r="AD684" s="436"/>
    </row>
    <row r="685" ht="15.75" customHeight="1" outlineLevel="1">
      <c r="A685" s="177" t="s">
        <v>10529</v>
      </c>
      <c r="B685" s="221" t="s">
        <v>206</v>
      </c>
      <c r="C685" s="221" t="s">
        <v>27</v>
      </c>
      <c r="D685" s="172" t="s">
        <v>4</v>
      </c>
      <c r="E685" s="222" t="s">
        <v>27</v>
      </c>
      <c r="F685" s="172" t="s">
        <v>4</v>
      </c>
      <c r="G685" s="175" t="s">
        <v>51</v>
      </c>
      <c r="H685" s="171" t="s">
        <v>229</v>
      </c>
      <c r="I685" s="222" t="s">
        <v>27</v>
      </c>
      <c r="J685" s="156" t="s">
        <v>4</v>
      </c>
      <c r="K685" s="297" t="s">
        <v>27</v>
      </c>
      <c r="L685" s="157" t="s">
        <v>4</v>
      </c>
      <c r="M685" s="157" t="s">
        <v>44</v>
      </c>
      <c r="N685" s="167" t="s">
        <v>10505</v>
      </c>
      <c r="O685" s="55" t="str">
        <f t="shared" si="29"/>
        <v>L4.00.00.09.00.00</v>
      </c>
      <c r="P685" s="173" t="str">
        <f t="shared" si="49"/>
        <v>L4.00.00.09.00.00.06</v>
      </c>
      <c r="Q685" s="428" t="s">
        <v>10530</v>
      </c>
      <c r="R685" s="223" t="str">
        <f t="shared" si="51"/>
        <v>Ban pháp chế</v>
      </c>
      <c r="S685" s="429" t="s">
        <v>11511</v>
      </c>
      <c r="T685" s="176" t="s">
        <v>9755</v>
      </c>
      <c r="U685" s="176" t="s">
        <v>303</v>
      </c>
      <c r="V685" s="176" t="s">
        <v>9754</v>
      </c>
      <c r="W685" s="176"/>
      <c r="X685" s="176"/>
      <c r="Y685" s="176"/>
      <c r="Z685" s="225" t="s">
        <v>11556</v>
      </c>
      <c r="AA685" s="300" t="s">
        <v>10530</v>
      </c>
      <c r="AB685" s="226"/>
      <c r="AC685" s="226"/>
      <c r="AD685" s="226"/>
    </row>
    <row r="686" ht="15.75" customHeight="1" outlineLevel="1">
      <c r="A686" s="177" t="s">
        <v>10529</v>
      </c>
      <c r="B686" s="221" t="s">
        <v>206</v>
      </c>
      <c r="C686" s="221" t="s">
        <v>27</v>
      </c>
      <c r="D686" s="172" t="s">
        <v>4</v>
      </c>
      <c r="E686" s="222" t="s">
        <v>27</v>
      </c>
      <c r="F686" s="172" t="s">
        <v>4</v>
      </c>
      <c r="G686" s="175" t="s">
        <v>55</v>
      </c>
      <c r="H686" s="171" t="s">
        <v>230</v>
      </c>
      <c r="I686" s="222" t="s">
        <v>27</v>
      </c>
      <c r="J686" s="156" t="s">
        <v>4</v>
      </c>
      <c r="K686" s="297" t="s">
        <v>27</v>
      </c>
      <c r="L686" s="157" t="s">
        <v>4</v>
      </c>
      <c r="M686" s="157" t="s">
        <v>44</v>
      </c>
      <c r="N686" s="167" t="s">
        <v>10505</v>
      </c>
      <c r="O686" s="55" t="str">
        <f t="shared" si="29"/>
        <v>L4.00.00.10.00.00</v>
      </c>
      <c r="P686" s="173" t="str">
        <f t="shared" si="49"/>
        <v>L4.00.00.10.00.00.06</v>
      </c>
      <c r="Q686" s="428" t="s">
        <v>10530</v>
      </c>
      <c r="R686" s="223" t="str">
        <f t="shared" si="51"/>
        <v>Ban quản lý chứng thư số</v>
      </c>
      <c r="S686" s="217" t="s">
        <v>11511</v>
      </c>
      <c r="T686" s="546" t="s">
        <v>7265</v>
      </c>
      <c r="U686" s="546" t="s">
        <v>303</v>
      </c>
      <c r="V686" s="546" t="s">
        <v>7264</v>
      </c>
      <c r="W686" s="546" t="s">
        <v>7264</v>
      </c>
      <c r="X686" s="176"/>
      <c r="Y686" s="176"/>
      <c r="Z686" s="225" t="s">
        <v>11557</v>
      </c>
      <c r="AA686" s="300" t="s">
        <v>10530</v>
      </c>
      <c r="AB686" s="226"/>
      <c r="AC686" s="226"/>
      <c r="AD686" s="226"/>
    </row>
    <row r="687" ht="15.75" customHeight="1" outlineLevel="1">
      <c r="A687" s="177" t="s">
        <v>10529</v>
      </c>
      <c r="B687" s="221" t="s">
        <v>206</v>
      </c>
      <c r="C687" s="221" t="s">
        <v>27</v>
      </c>
      <c r="D687" s="172" t="s">
        <v>4</v>
      </c>
      <c r="E687" s="222" t="s">
        <v>27</v>
      </c>
      <c r="F687" s="172" t="s">
        <v>4</v>
      </c>
      <c r="G687" s="175" t="s">
        <v>61</v>
      </c>
      <c r="H687" s="171" t="s">
        <v>231</v>
      </c>
      <c r="I687" s="222" t="s">
        <v>27</v>
      </c>
      <c r="J687" s="156" t="s">
        <v>4</v>
      </c>
      <c r="K687" s="297" t="s">
        <v>27</v>
      </c>
      <c r="L687" s="157" t="s">
        <v>4</v>
      </c>
      <c r="M687" s="157" t="s">
        <v>44</v>
      </c>
      <c r="N687" s="167" t="s">
        <v>10505</v>
      </c>
      <c r="O687" s="55" t="str">
        <f t="shared" si="29"/>
        <v>L4.00.00.11.00.00</v>
      </c>
      <c r="P687" s="173" t="str">
        <f t="shared" si="49"/>
        <v>L4.00.00.11.00.00.06</v>
      </c>
      <c r="Q687" s="428" t="s">
        <v>10530</v>
      </c>
      <c r="R687" s="223" t="str">
        <f t="shared" si="51"/>
        <v>Ban đảm bảo chất lượng</v>
      </c>
      <c r="S687" s="429" t="s">
        <v>11511</v>
      </c>
      <c r="T687" s="176" t="s">
        <v>4395</v>
      </c>
      <c r="U687" s="176" t="s">
        <v>303</v>
      </c>
      <c r="V687" s="176" t="s">
        <v>231</v>
      </c>
      <c r="W687" s="176"/>
      <c r="X687" s="176"/>
      <c r="Y687" s="176"/>
      <c r="Z687" s="225" t="s">
        <v>11558</v>
      </c>
      <c r="AA687" s="300" t="s">
        <v>10530</v>
      </c>
      <c r="AB687" s="226"/>
      <c r="AC687" s="226"/>
      <c r="AD687" s="226"/>
    </row>
    <row r="688" ht="15.75" customHeight="1" outlineLevel="1">
      <c r="A688" s="481" t="s">
        <v>10529</v>
      </c>
      <c r="B688" s="482" t="s">
        <v>206</v>
      </c>
      <c r="C688" s="482" t="s">
        <v>27</v>
      </c>
      <c r="D688" s="483" t="s">
        <v>4</v>
      </c>
      <c r="E688" s="484" t="s">
        <v>27</v>
      </c>
      <c r="F688" s="483" t="s">
        <v>4</v>
      </c>
      <c r="G688" s="481">
        <v>12.0</v>
      </c>
      <c r="H688" s="547" t="s">
        <v>9306</v>
      </c>
      <c r="I688" s="485" t="s">
        <v>27</v>
      </c>
      <c r="J688" s="548" t="s">
        <v>4</v>
      </c>
      <c r="K688" s="488" t="s">
        <v>27</v>
      </c>
      <c r="L688" s="489" t="s">
        <v>4</v>
      </c>
      <c r="M688" s="490" t="s">
        <v>27</v>
      </c>
      <c r="N688" s="491"/>
      <c r="O688" s="492" t="str">
        <f t="shared" si="29"/>
        <v>L4.00.00.12.00.00</v>
      </c>
      <c r="P688" s="492" t="str">
        <f t="shared" si="49"/>
        <v>L4.00.00.12.00.00.00</v>
      </c>
      <c r="Q688" s="493" t="s">
        <v>10530</v>
      </c>
      <c r="R688" s="494" t="str">
        <f t="shared" si="51"/>
        <v>Ban Quản lý kinh doanh</v>
      </c>
      <c r="S688" s="540" t="s">
        <v>11511</v>
      </c>
      <c r="T688" s="495" t="s">
        <v>9307</v>
      </c>
      <c r="U688" s="495" t="s">
        <v>303</v>
      </c>
      <c r="V688" s="495" t="s">
        <v>9306</v>
      </c>
      <c r="W688" s="495"/>
      <c r="X688" s="495"/>
      <c r="Y688" s="495"/>
      <c r="Z688" s="496" t="s">
        <v>11559</v>
      </c>
      <c r="AA688" s="300" t="s">
        <v>10530</v>
      </c>
      <c r="AB688" s="498"/>
      <c r="AC688" s="498"/>
      <c r="AD688" s="498"/>
    </row>
    <row r="689" ht="15.75" customHeight="1" outlineLevel="1">
      <c r="A689" s="261" t="s">
        <v>10529</v>
      </c>
      <c r="B689" s="231" t="s">
        <v>206</v>
      </c>
      <c r="C689" s="231" t="s">
        <v>27</v>
      </c>
      <c r="D689" s="157" t="s">
        <v>4</v>
      </c>
      <c r="E689" s="297" t="s">
        <v>27</v>
      </c>
      <c r="F689" s="157" t="s">
        <v>4</v>
      </c>
      <c r="G689" s="261">
        <v>12.0</v>
      </c>
      <c r="H689" s="298" t="s">
        <v>9306</v>
      </c>
      <c r="I689" s="157" t="s">
        <v>29</v>
      </c>
      <c r="J689" s="298" t="s">
        <v>11560</v>
      </c>
      <c r="K689" s="297" t="s">
        <v>27</v>
      </c>
      <c r="L689" s="157" t="s">
        <v>4</v>
      </c>
      <c r="M689" s="168" t="s">
        <v>27</v>
      </c>
      <c r="N689" s="167"/>
      <c r="O689" s="159" t="str">
        <f t="shared" si="29"/>
        <v>L4.00.00.12.01.00</v>
      </c>
      <c r="P689" s="257" t="str">
        <f t="shared" si="49"/>
        <v>L4.00.00.12.01.00.00</v>
      </c>
      <c r="Q689" s="263" t="s">
        <v>10530</v>
      </c>
      <c r="R689" s="299" t="str">
        <f t="shared" si="51"/>
        <v>Ban Quản lý kinh doanh - Khối HCSN</v>
      </c>
      <c r="S689" s="269" t="s">
        <v>11561</v>
      </c>
      <c r="T689" s="265"/>
      <c r="U689" s="265"/>
      <c r="V689" s="265"/>
      <c r="W689" s="265"/>
      <c r="X689" s="265"/>
      <c r="Y689" s="265"/>
      <c r="Z689" s="549" t="s">
        <v>11562</v>
      </c>
      <c r="AA689" s="266"/>
      <c r="AB689" s="267"/>
      <c r="AC689" s="267"/>
      <c r="AD689" s="267"/>
    </row>
    <row r="690" ht="15.75" customHeight="1" outlineLevel="1">
      <c r="A690" s="177" t="s">
        <v>10529</v>
      </c>
      <c r="B690" s="221" t="s">
        <v>206</v>
      </c>
      <c r="C690" s="221" t="s">
        <v>27</v>
      </c>
      <c r="D690" s="172" t="s">
        <v>4</v>
      </c>
      <c r="E690" s="222" t="s">
        <v>27</v>
      </c>
      <c r="F690" s="172" t="s">
        <v>4</v>
      </c>
      <c r="G690" s="177">
        <v>12.0</v>
      </c>
      <c r="H690" s="230" t="s">
        <v>9306</v>
      </c>
      <c r="I690" s="172" t="s">
        <v>29</v>
      </c>
      <c r="J690" s="298" t="s">
        <v>11560</v>
      </c>
      <c r="K690" s="297" t="s">
        <v>27</v>
      </c>
      <c r="L690" s="157" t="s">
        <v>4</v>
      </c>
      <c r="M690" s="157" t="s">
        <v>44</v>
      </c>
      <c r="N690" s="167" t="s">
        <v>10505</v>
      </c>
      <c r="O690" s="55" t="str">
        <f t="shared" si="29"/>
        <v>L4.00.00.12.01.00</v>
      </c>
      <c r="P690" s="173" t="str">
        <f t="shared" si="49"/>
        <v>L4.00.00.12.01.00.06</v>
      </c>
      <c r="Q690" s="223"/>
      <c r="R690" s="432" t="str">
        <f t="shared" si="51"/>
        <v>Ban Quản lý kinh doanh - Khối HCSN</v>
      </c>
      <c r="S690" s="429" t="s">
        <v>11563</v>
      </c>
      <c r="T690" s="176"/>
      <c r="U690" s="176"/>
      <c r="V690" s="176"/>
      <c r="W690" s="176"/>
      <c r="X690" s="176"/>
      <c r="Y690" s="176"/>
      <c r="Z690" s="541"/>
      <c r="AA690" s="266"/>
      <c r="AB690" s="226"/>
      <c r="AC690" s="226"/>
      <c r="AD690" s="226"/>
    </row>
    <row r="691" ht="15.75" customHeight="1" outlineLevel="1">
      <c r="A691" s="177" t="s">
        <v>10529</v>
      </c>
      <c r="B691" s="221" t="s">
        <v>206</v>
      </c>
      <c r="C691" s="221" t="s">
        <v>27</v>
      </c>
      <c r="D691" s="172" t="s">
        <v>4</v>
      </c>
      <c r="E691" s="222" t="s">
        <v>27</v>
      </c>
      <c r="F691" s="172" t="s">
        <v>4</v>
      </c>
      <c r="G691" s="177">
        <v>12.0</v>
      </c>
      <c r="H691" s="230" t="s">
        <v>9306</v>
      </c>
      <c r="I691" s="172" t="s">
        <v>29</v>
      </c>
      <c r="J691" s="298" t="s">
        <v>11560</v>
      </c>
      <c r="K691" s="297" t="s">
        <v>27</v>
      </c>
      <c r="L691" s="157" t="s">
        <v>4</v>
      </c>
      <c r="M691" s="122" t="s">
        <v>33</v>
      </c>
      <c r="N691" s="123" t="s">
        <v>10499</v>
      </c>
      <c r="O691" s="55" t="str">
        <f t="shared" si="29"/>
        <v>L4.00.00.12.01.00</v>
      </c>
      <c r="P691" s="173" t="str">
        <f t="shared" si="49"/>
        <v>L4.00.00.12.01.00.02</v>
      </c>
      <c r="Q691" s="223"/>
      <c r="R691" s="432" t="str">
        <f t="shared" si="51"/>
        <v>Ban Quản lý kinh doanh - Khối HCSN</v>
      </c>
      <c r="S691" s="429" t="s">
        <v>11563</v>
      </c>
      <c r="T691" s="176"/>
      <c r="U691" s="176"/>
      <c r="V691" s="176"/>
      <c r="W691" s="176"/>
      <c r="X691" s="176"/>
      <c r="Y691" s="176"/>
      <c r="Z691" s="541"/>
      <c r="AA691" s="266"/>
      <c r="AB691" s="226"/>
      <c r="AC691" s="226"/>
      <c r="AD691" s="226"/>
    </row>
    <row r="692" ht="15.75" customHeight="1" outlineLevel="1">
      <c r="A692" s="177" t="s">
        <v>10529</v>
      </c>
      <c r="B692" s="221" t="s">
        <v>206</v>
      </c>
      <c r="C692" s="221" t="s">
        <v>27</v>
      </c>
      <c r="D692" s="172" t="s">
        <v>4</v>
      </c>
      <c r="E692" s="222" t="s">
        <v>27</v>
      </c>
      <c r="F692" s="172" t="s">
        <v>4</v>
      </c>
      <c r="G692" s="177">
        <v>12.0</v>
      </c>
      <c r="H692" s="230" t="s">
        <v>9306</v>
      </c>
      <c r="I692" s="172" t="s">
        <v>33</v>
      </c>
      <c r="J692" s="298" t="s">
        <v>11564</v>
      </c>
      <c r="K692" s="297" t="s">
        <v>27</v>
      </c>
      <c r="L692" s="157" t="s">
        <v>4</v>
      </c>
      <c r="M692" s="157" t="s">
        <v>44</v>
      </c>
      <c r="N692" s="167" t="s">
        <v>10505</v>
      </c>
      <c r="O692" s="55" t="str">
        <f t="shared" si="29"/>
        <v>L4.00.00.12.02.00</v>
      </c>
      <c r="P692" s="173" t="str">
        <f t="shared" si="49"/>
        <v>L4.00.00.12.02.00.06</v>
      </c>
      <c r="Q692" s="428" t="s">
        <v>10530</v>
      </c>
      <c r="R692" s="223" t="str">
        <f t="shared" si="51"/>
        <v>Ban Quản lý kinh doanh - Khối DN</v>
      </c>
      <c r="S692" s="429" t="s">
        <v>11561</v>
      </c>
      <c r="T692" s="176"/>
      <c r="U692" s="176"/>
      <c r="V692" s="176"/>
      <c r="W692" s="176"/>
      <c r="X692" s="176"/>
      <c r="Y692" s="176"/>
      <c r="Z692" s="550" t="s">
        <v>11565</v>
      </c>
      <c r="AA692" s="266"/>
      <c r="AB692" s="226"/>
      <c r="AC692" s="226"/>
      <c r="AD692" s="226"/>
    </row>
    <row r="693" ht="15.75" customHeight="1" outlineLevel="1">
      <c r="A693" s="177" t="s">
        <v>10529</v>
      </c>
      <c r="B693" s="221" t="s">
        <v>206</v>
      </c>
      <c r="C693" s="221" t="s">
        <v>27</v>
      </c>
      <c r="D693" s="172" t="s">
        <v>4</v>
      </c>
      <c r="E693" s="222" t="s">
        <v>27</v>
      </c>
      <c r="F693" s="172" t="s">
        <v>4</v>
      </c>
      <c r="G693" s="177">
        <v>13.0</v>
      </c>
      <c r="H693" s="171" t="s">
        <v>210</v>
      </c>
      <c r="I693" s="222" t="s">
        <v>27</v>
      </c>
      <c r="J693" s="156" t="s">
        <v>4</v>
      </c>
      <c r="K693" s="297" t="s">
        <v>27</v>
      </c>
      <c r="L693" s="157" t="s">
        <v>4</v>
      </c>
      <c r="M693" s="157" t="s">
        <v>44</v>
      </c>
      <c r="N693" s="167" t="s">
        <v>10505</v>
      </c>
      <c r="O693" s="55" t="str">
        <f t="shared" si="29"/>
        <v>L4.00.00.13.00.00</v>
      </c>
      <c r="P693" s="173" t="str">
        <f t="shared" si="49"/>
        <v>L4.00.00.13.00.00.06</v>
      </c>
      <c r="Q693" s="428" t="s">
        <v>10530</v>
      </c>
      <c r="R693" s="223" t="str">
        <f t="shared" si="51"/>
        <v>Ban Marketing</v>
      </c>
      <c r="S693" s="429" t="s">
        <v>11511</v>
      </c>
      <c r="T693" s="176"/>
      <c r="U693" s="176"/>
      <c r="V693" s="176"/>
      <c r="W693" s="176"/>
      <c r="X693" s="176"/>
      <c r="Y693" s="224" t="s">
        <v>10894</v>
      </c>
      <c r="Z693" s="225" t="s">
        <v>11566</v>
      </c>
      <c r="AA693" s="266"/>
      <c r="AB693" s="226"/>
      <c r="AC693" s="226"/>
      <c r="AD693" s="226"/>
    </row>
    <row r="694" ht="15.75" customHeight="1" outlineLevel="1">
      <c r="A694" s="177" t="s">
        <v>10529</v>
      </c>
      <c r="B694" s="221" t="s">
        <v>206</v>
      </c>
      <c r="C694" s="221" t="s">
        <v>27</v>
      </c>
      <c r="D694" s="172" t="s">
        <v>4</v>
      </c>
      <c r="E694" s="222" t="s">
        <v>27</v>
      </c>
      <c r="F694" s="172" t="s">
        <v>4</v>
      </c>
      <c r="G694" s="177">
        <v>14.0</v>
      </c>
      <c r="H694" s="230" t="s">
        <v>11567</v>
      </c>
      <c r="I694" s="175" t="s">
        <v>27</v>
      </c>
      <c r="J694" s="262" t="s">
        <v>4</v>
      </c>
      <c r="K694" s="297" t="s">
        <v>27</v>
      </c>
      <c r="L694" s="157" t="s">
        <v>4</v>
      </c>
      <c r="M694" s="157" t="s">
        <v>44</v>
      </c>
      <c r="N694" s="167" t="s">
        <v>10505</v>
      </c>
      <c r="O694" s="55" t="str">
        <f t="shared" si="29"/>
        <v>L4.00.00.14.00.00</v>
      </c>
      <c r="P694" s="173" t="str">
        <f t="shared" si="49"/>
        <v>L4.00.00.14.00.00.06</v>
      </c>
      <c r="Q694" s="428" t="s">
        <v>10530</v>
      </c>
      <c r="R694" s="223" t="str">
        <f t="shared" si="51"/>
        <v>Viện đổi mới doanh nghiệp</v>
      </c>
      <c r="S694" s="429" t="s">
        <v>11511</v>
      </c>
      <c r="T694" s="176"/>
      <c r="U694" s="176"/>
      <c r="V694" s="176"/>
      <c r="W694" s="176"/>
      <c r="X694" s="176"/>
      <c r="Y694" s="176"/>
      <c r="Z694" s="225" t="s">
        <v>11568</v>
      </c>
      <c r="AA694" s="300" t="s">
        <v>10530</v>
      </c>
      <c r="AB694" s="226"/>
      <c r="AC694" s="226"/>
      <c r="AD694" s="226"/>
    </row>
    <row r="695" ht="15.75" customHeight="1" outlineLevel="1">
      <c r="A695" s="177" t="s">
        <v>10529</v>
      </c>
      <c r="B695" s="221" t="s">
        <v>206</v>
      </c>
      <c r="C695" s="221" t="s">
        <v>27</v>
      </c>
      <c r="D695" s="172" t="s">
        <v>4</v>
      </c>
      <c r="E695" s="222" t="s">
        <v>27</v>
      </c>
      <c r="F695" s="172" t="s">
        <v>4</v>
      </c>
      <c r="G695" s="177">
        <v>14.0</v>
      </c>
      <c r="H695" s="230" t="s">
        <v>11567</v>
      </c>
      <c r="I695" s="172" t="s">
        <v>29</v>
      </c>
      <c r="J695" s="167" t="s">
        <v>212</v>
      </c>
      <c r="K695" s="297" t="s">
        <v>27</v>
      </c>
      <c r="L695" s="157" t="s">
        <v>4</v>
      </c>
      <c r="M695" s="157" t="s">
        <v>44</v>
      </c>
      <c r="N695" s="167" t="s">
        <v>10505</v>
      </c>
      <c r="O695" s="55" t="str">
        <f t="shared" si="29"/>
        <v>L4.00.00.14.01.00</v>
      </c>
      <c r="P695" s="173" t="str">
        <f t="shared" si="49"/>
        <v>L4.00.00.14.01.00.06</v>
      </c>
      <c r="Q695" s="428" t="s">
        <v>10530</v>
      </c>
      <c r="R695" s="223" t="str">
        <f t="shared" si="51"/>
        <v>Ban GĐ Viện</v>
      </c>
      <c r="S695" s="429" t="s">
        <v>11569</v>
      </c>
      <c r="T695" s="551" t="s">
        <v>11570</v>
      </c>
      <c r="U695" s="224" t="s">
        <v>11567</v>
      </c>
      <c r="V695" s="224" t="s">
        <v>11571</v>
      </c>
      <c r="W695" s="176"/>
      <c r="X695" s="176"/>
      <c r="Y695" s="176"/>
      <c r="Z695" s="225" t="s">
        <v>11572</v>
      </c>
      <c r="AA695" s="300" t="s">
        <v>10530</v>
      </c>
      <c r="AB695" s="226"/>
      <c r="AC695" s="226"/>
      <c r="AD695" s="226"/>
    </row>
    <row r="696" ht="15.75" customHeight="1" outlineLevel="1">
      <c r="A696" s="177" t="s">
        <v>10529</v>
      </c>
      <c r="B696" s="221" t="s">
        <v>206</v>
      </c>
      <c r="C696" s="221" t="s">
        <v>27</v>
      </c>
      <c r="D696" s="172" t="s">
        <v>4</v>
      </c>
      <c r="E696" s="222" t="s">
        <v>27</v>
      </c>
      <c r="F696" s="172" t="s">
        <v>4</v>
      </c>
      <c r="G696" s="177">
        <v>14.0</v>
      </c>
      <c r="H696" s="230" t="s">
        <v>11567</v>
      </c>
      <c r="I696" s="172" t="s">
        <v>33</v>
      </c>
      <c r="J696" s="257" t="s">
        <v>213</v>
      </c>
      <c r="K696" s="168" t="s">
        <v>27</v>
      </c>
      <c r="L696" s="552" t="s">
        <v>4</v>
      </c>
      <c r="M696" s="157" t="s">
        <v>44</v>
      </c>
      <c r="N696" s="167" t="s">
        <v>10505</v>
      </c>
      <c r="O696" s="55" t="str">
        <f t="shared" si="29"/>
        <v>L4.00.00.14.02.00</v>
      </c>
      <c r="P696" s="173" t="str">
        <f t="shared" si="49"/>
        <v>L4.00.00.14.02.00.06</v>
      </c>
      <c r="Q696" s="428" t="s">
        <v>10530</v>
      </c>
      <c r="R696" s="223" t="str">
        <f t="shared" si="51"/>
        <v>Phòng Inbound Marketing</v>
      </c>
      <c r="S696" s="429" t="s">
        <v>11569</v>
      </c>
      <c r="T696" s="176"/>
      <c r="U696" s="176"/>
      <c r="V696" s="176"/>
      <c r="W696" s="176"/>
      <c r="X696" s="176"/>
      <c r="Y696" s="224" t="s">
        <v>11573</v>
      </c>
      <c r="Z696" s="225" t="s">
        <v>11574</v>
      </c>
      <c r="AA696" s="266"/>
      <c r="AB696" s="226"/>
      <c r="AC696" s="226"/>
      <c r="AD696" s="226"/>
    </row>
    <row r="697" ht="15.75" customHeight="1" outlineLevel="1">
      <c r="A697" s="177" t="s">
        <v>10529</v>
      </c>
      <c r="B697" s="221" t="s">
        <v>206</v>
      </c>
      <c r="C697" s="221" t="s">
        <v>27</v>
      </c>
      <c r="D697" s="172" t="s">
        <v>4</v>
      </c>
      <c r="E697" s="222" t="s">
        <v>27</v>
      </c>
      <c r="F697" s="172" t="s">
        <v>4</v>
      </c>
      <c r="G697" s="177">
        <v>14.0</v>
      </c>
      <c r="H697" s="230" t="s">
        <v>11567</v>
      </c>
      <c r="I697" s="172" t="s">
        <v>33</v>
      </c>
      <c r="J697" s="257" t="s">
        <v>213</v>
      </c>
      <c r="K697" s="157" t="s">
        <v>29</v>
      </c>
      <c r="L697" s="553" t="s">
        <v>214</v>
      </c>
      <c r="M697" s="157" t="s">
        <v>44</v>
      </c>
      <c r="N697" s="167" t="s">
        <v>10505</v>
      </c>
      <c r="O697" s="55" t="str">
        <f t="shared" si="29"/>
        <v>L4.00.00.14.02.01</v>
      </c>
      <c r="P697" s="173" t="str">
        <f t="shared" si="49"/>
        <v>L4.00.00.14.02.01.06</v>
      </c>
      <c r="Q697" s="428" t="s">
        <v>10530</v>
      </c>
      <c r="R697" s="223" t="str">
        <f t="shared" si="51"/>
        <v>Nhóm nội dung TCKT</v>
      </c>
      <c r="S697" s="429" t="s">
        <v>11575</v>
      </c>
      <c r="T697" s="176"/>
      <c r="U697" s="176"/>
      <c r="V697" s="176"/>
      <c r="W697" s="176"/>
      <c r="X697" s="176"/>
      <c r="Y697" s="224" t="s">
        <v>11573</v>
      </c>
      <c r="Z697" s="225" t="s">
        <v>11576</v>
      </c>
      <c r="AA697" s="266"/>
      <c r="AB697" s="226"/>
      <c r="AC697" s="226"/>
      <c r="AD697" s="226"/>
    </row>
    <row r="698" ht="15.75" customHeight="1" outlineLevel="1">
      <c r="A698" s="177" t="s">
        <v>10529</v>
      </c>
      <c r="B698" s="221" t="s">
        <v>206</v>
      </c>
      <c r="C698" s="221" t="s">
        <v>27</v>
      </c>
      <c r="D698" s="172" t="s">
        <v>4</v>
      </c>
      <c r="E698" s="222" t="s">
        <v>27</v>
      </c>
      <c r="F698" s="172" t="s">
        <v>4</v>
      </c>
      <c r="G698" s="177">
        <v>14.0</v>
      </c>
      <c r="H698" s="230" t="s">
        <v>11567</v>
      </c>
      <c r="I698" s="172" t="s">
        <v>33</v>
      </c>
      <c r="J698" s="257" t="s">
        <v>213</v>
      </c>
      <c r="K698" s="157" t="s">
        <v>33</v>
      </c>
      <c r="L698" s="553" t="s">
        <v>215</v>
      </c>
      <c r="M698" s="157" t="s">
        <v>44</v>
      </c>
      <c r="N698" s="167" t="s">
        <v>10505</v>
      </c>
      <c r="O698" s="55" t="str">
        <f t="shared" si="29"/>
        <v>L4.00.00.14.02.02</v>
      </c>
      <c r="P698" s="173" t="str">
        <f t="shared" si="49"/>
        <v>L4.00.00.14.02.02.06</v>
      </c>
      <c r="Q698" s="428" t="s">
        <v>10530</v>
      </c>
      <c r="R698" s="223" t="str">
        <f t="shared" si="51"/>
        <v>Nhóm nội dung QT bán hàng/MKT</v>
      </c>
      <c r="S698" s="429" t="s">
        <v>11575</v>
      </c>
      <c r="T698" s="176"/>
      <c r="U698" s="176"/>
      <c r="V698" s="176"/>
      <c r="W698" s="176"/>
      <c r="X698" s="176"/>
      <c r="Y698" s="224" t="s">
        <v>11573</v>
      </c>
      <c r="Z698" s="225" t="s">
        <v>11577</v>
      </c>
      <c r="AA698" s="266"/>
      <c r="AB698" s="226"/>
      <c r="AC698" s="226"/>
      <c r="AD698" s="226"/>
    </row>
    <row r="699" ht="15.75" customHeight="1" outlineLevel="1">
      <c r="A699" s="177" t="s">
        <v>10529</v>
      </c>
      <c r="B699" s="221" t="s">
        <v>206</v>
      </c>
      <c r="C699" s="221" t="s">
        <v>27</v>
      </c>
      <c r="D699" s="172" t="s">
        <v>4</v>
      </c>
      <c r="E699" s="222" t="s">
        <v>27</v>
      </c>
      <c r="F699" s="172" t="s">
        <v>4</v>
      </c>
      <c r="G699" s="177">
        <v>14.0</v>
      </c>
      <c r="H699" s="230" t="s">
        <v>11567</v>
      </c>
      <c r="I699" s="172" t="s">
        <v>33</v>
      </c>
      <c r="J699" s="257" t="s">
        <v>213</v>
      </c>
      <c r="K699" s="157" t="s">
        <v>35</v>
      </c>
      <c r="L699" s="553" t="s">
        <v>216</v>
      </c>
      <c r="M699" s="157" t="s">
        <v>44</v>
      </c>
      <c r="N699" s="167" t="s">
        <v>10505</v>
      </c>
      <c r="O699" s="55" t="str">
        <f t="shared" si="29"/>
        <v>L4.00.00.14.02.03</v>
      </c>
      <c r="P699" s="173" t="str">
        <f t="shared" si="49"/>
        <v>L4.00.00.14.02.03.06</v>
      </c>
      <c r="Q699" s="428" t="s">
        <v>10530</v>
      </c>
      <c r="R699" s="223" t="str">
        <f t="shared" si="51"/>
        <v>Nhóm nội dung QT Nguồn nhân lực</v>
      </c>
      <c r="S699" s="429" t="s">
        <v>11575</v>
      </c>
      <c r="T699" s="176"/>
      <c r="U699" s="176"/>
      <c r="V699" s="176"/>
      <c r="W699" s="176"/>
      <c r="X699" s="176"/>
      <c r="Y699" s="224" t="s">
        <v>11573</v>
      </c>
      <c r="Z699" s="225" t="s">
        <v>11578</v>
      </c>
      <c r="AA699" s="266"/>
      <c r="AB699" s="226"/>
      <c r="AC699" s="226"/>
      <c r="AD699" s="226"/>
    </row>
    <row r="700" ht="15.75" customHeight="1" outlineLevel="1">
      <c r="A700" s="177" t="s">
        <v>10529</v>
      </c>
      <c r="B700" s="221" t="s">
        <v>206</v>
      </c>
      <c r="C700" s="221" t="s">
        <v>27</v>
      </c>
      <c r="D700" s="172" t="s">
        <v>4</v>
      </c>
      <c r="E700" s="222" t="s">
        <v>27</v>
      </c>
      <c r="F700" s="172" t="s">
        <v>4</v>
      </c>
      <c r="G700" s="177">
        <v>14.0</v>
      </c>
      <c r="H700" s="230" t="s">
        <v>11567</v>
      </c>
      <c r="I700" s="172" t="s">
        <v>33</v>
      </c>
      <c r="J700" s="257" t="s">
        <v>213</v>
      </c>
      <c r="K700" s="157" t="s">
        <v>37</v>
      </c>
      <c r="L700" s="553" t="s">
        <v>217</v>
      </c>
      <c r="M700" s="157" t="s">
        <v>44</v>
      </c>
      <c r="N700" s="167" t="s">
        <v>10505</v>
      </c>
      <c r="O700" s="55" t="str">
        <f t="shared" si="29"/>
        <v>L4.00.00.14.02.04</v>
      </c>
      <c r="P700" s="173" t="str">
        <f t="shared" si="49"/>
        <v>L4.00.00.14.02.04.06</v>
      </c>
      <c r="Q700" s="428" t="s">
        <v>10530</v>
      </c>
      <c r="R700" s="223" t="str">
        <f t="shared" si="51"/>
        <v>Nhóm nội dung QL điều hành DN</v>
      </c>
      <c r="S700" s="429" t="s">
        <v>11575</v>
      </c>
      <c r="T700" s="176"/>
      <c r="U700" s="176"/>
      <c r="V700" s="176"/>
      <c r="W700" s="176"/>
      <c r="X700" s="176"/>
      <c r="Y700" s="224" t="s">
        <v>11573</v>
      </c>
      <c r="Z700" s="225" t="s">
        <v>11579</v>
      </c>
      <c r="AA700" s="266"/>
      <c r="AB700" s="226"/>
      <c r="AC700" s="226"/>
      <c r="AD700" s="226"/>
    </row>
    <row r="701" ht="15.75" customHeight="1" outlineLevel="1">
      <c r="A701" s="177" t="s">
        <v>10529</v>
      </c>
      <c r="B701" s="221" t="s">
        <v>206</v>
      </c>
      <c r="C701" s="221" t="s">
        <v>27</v>
      </c>
      <c r="D701" s="172" t="s">
        <v>4</v>
      </c>
      <c r="E701" s="222" t="s">
        <v>27</v>
      </c>
      <c r="F701" s="172" t="s">
        <v>4</v>
      </c>
      <c r="G701" s="177">
        <v>14.0</v>
      </c>
      <c r="H701" s="230" t="s">
        <v>11567</v>
      </c>
      <c r="I701" s="172" t="s">
        <v>33</v>
      </c>
      <c r="J701" s="257" t="s">
        <v>213</v>
      </c>
      <c r="K701" s="157" t="s">
        <v>42</v>
      </c>
      <c r="L701" s="553" t="s">
        <v>218</v>
      </c>
      <c r="M701" s="157" t="s">
        <v>44</v>
      </c>
      <c r="N701" s="167" t="s">
        <v>10505</v>
      </c>
      <c r="O701" s="55" t="str">
        <f t="shared" si="29"/>
        <v>L4.00.00.14.02.05</v>
      </c>
      <c r="P701" s="173" t="str">
        <f t="shared" si="49"/>
        <v>L4.00.00.14.02.05.06</v>
      </c>
      <c r="Q701" s="428" t="s">
        <v>10530</v>
      </c>
      <c r="R701" s="223" t="str">
        <f t="shared" si="51"/>
        <v>Nhóm nội dung QL bán lẻ</v>
      </c>
      <c r="S701" s="429" t="s">
        <v>11575</v>
      </c>
      <c r="T701" s="176"/>
      <c r="U701" s="176"/>
      <c r="V701" s="176"/>
      <c r="W701" s="176"/>
      <c r="X701" s="176"/>
      <c r="Y701" s="224" t="s">
        <v>11573</v>
      </c>
      <c r="Z701" s="225" t="s">
        <v>11580</v>
      </c>
      <c r="AA701" s="266"/>
      <c r="AB701" s="226"/>
      <c r="AC701" s="226"/>
      <c r="AD701" s="226"/>
    </row>
    <row r="702" ht="15.75" customHeight="1" outlineLevel="1">
      <c r="A702" s="481" t="s">
        <v>10529</v>
      </c>
      <c r="B702" s="482" t="s">
        <v>206</v>
      </c>
      <c r="C702" s="482" t="s">
        <v>27</v>
      </c>
      <c r="D702" s="483" t="s">
        <v>4</v>
      </c>
      <c r="E702" s="484" t="s">
        <v>27</v>
      </c>
      <c r="F702" s="483" t="s">
        <v>4</v>
      </c>
      <c r="G702" s="481">
        <v>14.0</v>
      </c>
      <c r="H702" s="547" t="s">
        <v>11567</v>
      </c>
      <c r="I702" s="483" t="s">
        <v>35</v>
      </c>
      <c r="J702" s="554" t="s">
        <v>219</v>
      </c>
      <c r="K702" s="488" t="s">
        <v>27</v>
      </c>
      <c r="L702" s="489" t="s">
        <v>4</v>
      </c>
      <c r="M702" s="490" t="s">
        <v>27</v>
      </c>
      <c r="N702" s="491"/>
      <c r="O702" s="492" t="str">
        <f t="shared" si="29"/>
        <v>L4.00.00.14.03.00</v>
      </c>
      <c r="P702" s="492" t="str">
        <f t="shared" si="49"/>
        <v>L4.00.00.14.03.00.00</v>
      </c>
      <c r="Q702" s="493" t="s">
        <v>10530</v>
      </c>
      <c r="R702" s="494" t="str">
        <f t="shared" si="51"/>
        <v>Ban hợp tác đào tạo</v>
      </c>
      <c r="S702" s="540" t="s">
        <v>11569</v>
      </c>
      <c r="T702" s="211" t="s">
        <v>11581</v>
      </c>
      <c r="U702" s="555" t="s">
        <v>4727</v>
      </c>
      <c r="V702" s="556" t="s">
        <v>219</v>
      </c>
      <c r="W702" s="495"/>
      <c r="X702" s="495"/>
      <c r="Y702" s="557"/>
      <c r="Z702" s="496" t="s">
        <v>11582</v>
      </c>
      <c r="AA702" s="497"/>
      <c r="AB702" s="498"/>
      <c r="AC702" s="498"/>
      <c r="AD702" s="498"/>
    </row>
    <row r="703" ht="15.75" customHeight="1" outlineLevel="1">
      <c r="A703" s="177" t="s">
        <v>10529</v>
      </c>
      <c r="B703" s="221" t="s">
        <v>206</v>
      </c>
      <c r="C703" s="221" t="s">
        <v>27</v>
      </c>
      <c r="D703" s="172" t="s">
        <v>4</v>
      </c>
      <c r="E703" s="222" t="s">
        <v>27</v>
      </c>
      <c r="F703" s="172" t="s">
        <v>4</v>
      </c>
      <c r="G703" s="177">
        <v>14.0</v>
      </c>
      <c r="H703" s="230" t="s">
        <v>11567</v>
      </c>
      <c r="I703" s="172" t="s">
        <v>35</v>
      </c>
      <c r="J703" s="257" t="s">
        <v>219</v>
      </c>
      <c r="K703" s="297" t="s">
        <v>27</v>
      </c>
      <c r="L703" s="157" t="s">
        <v>4</v>
      </c>
      <c r="M703" s="157" t="s">
        <v>29</v>
      </c>
      <c r="N703" s="167" t="s">
        <v>10498</v>
      </c>
      <c r="O703" s="55" t="str">
        <f t="shared" si="29"/>
        <v>L4.00.00.14.03.00</v>
      </c>
      <c r="P703" s="173" t="str">
        <f t="shared" si="49"/>
        <v>L4.00.00.14.03.00.01</v>
      </c>
      <c r="Q703" s="223"/>
      <c r="R703" s="223" t="str">
        <f t="shared" si="51"/>
        <v>Ban hợp tác đào tạo</v>
      </c>
      <c r="S703" s="429" t="s">
        <v>11583</v>
      </c>
      <c r="T703" s="176"/>
      <c r="U703" s="176" t="s">
        <v>346</v>
      </c>
      <c r="V703" s="176" t="s">
        <v>2430</v>
      </c>
      <c r="W703" s="176"/>
      <c r="X703" s="176"/>
      <c r="Y703" s="224" t="s">
        <v>11573</v>
      </c>
      <c r="Z703" s="541"/>
      <c r="AA703" s="266"/>
      <c r="AB703" s="226"/>
      <c r="AC703" s="226"/>
      <c r="AD703" s="226"/>
    </row>
    <row r="704" ht="15.75" customHeight="1" outlineLevel="1">
      <c r="A704" s="177" t="s">
        <v>10529</v>
      </c>
      <c r="B704" s="221" t="s">
        <v>206</v>
      </c>
      <c r="C704" s="221" t="s">
        <v>27</v>
      </c>
      <c r="D704" s="172" t="s">
        <v>4</v>
      </c>
      <c r="E704" s="222" t="s">
        <v>27</v>
      </c>
      <c r="F704" s="172" t="s">
        <v>4</v>
      </c>
      <c r="G704" s="177">
        <v>14.0</v>
      </c>
      <c r="H704" s="230" t="s">
        <v>11567</v>
      </c>
      <c r="I704" s="172" t="s">
        <v>35</v>
      </c>
      <c r="J704" s="257" t="s">
        <v>219</v>
      </c>
      <c r="K704" s="297" t="s">
        <v>27</v>
      </c>
      <c r="L704" s="157" t="s">
        <v>4</v>
      </c>
      <c r="M704" s="157" t="s">
        <v>33</v>
      </c>
      <c r="N704" s="167" t="s">
        <v>10499</v>
      </c>
      <c r="O704" s="55" t="str">
        <f t="shared" si="29"/>
        <v>L4.00.00.14.03.00</v>
      </c>
      <c r="P704" s="173" t="str">
        <f t="shared" si="49"/>
        <v>L4.00.00.14.03.00.02</v>
      </c>
      <c r="Q704" s="223"/>
      <c r="R704" s="223" t="str">
        <f t="shared" si="51"/>
        <v>Ban hợp tác đào tạo</v>
      </c>
      <c r="S704" s="429" t="s">
        <v>11583</v>
      </c>
      <c r="T704" s="176"/>
      <c r="U704" s="176" t="s">
        <v>262</v>
      </c>
      <c r="V704" s="176" t="s">
        <v>2430</v>
      </c>
      <c r="W704" s="176"/>
      <c r="X704" s="176"/>
      <c r="Y704" s="224" t="s">
        <v>11573</v>
      </c>
      <c r="Z704" s="541"/>
      <c r="AA704" s="266"/>
      <c r="AB704" s="226"/>
      <c r="AC704" s="226"/>
      <c r="AD704" s="226"/>
    </row>
    <row r="705" ht="15.75" customHeight="1">
      <c r="A705" s="233" t="s">
        <v>11584</v>
      </c>
      <c r="B705" s="233" t="s">
        <v>74</v>
      </c>
      <c r="C705" s="47"/>
      <c r="D705" s="47"/>
      <c r="E705" s="47"/>
      <c r="F705" s="47"/>
      <c r="G705" s="48"/>
      <c r="H705" s="49"/>
      <c r="I705" s="48"/>
      <c r="J705" s="439"/>
      <c r="K705" s="439"/>
      <c r="L705" s="439"/>
      <c r="M705" s="439"/>
      <c r="N705" s="440"/>
      <c r="O705" s="55" t="str">
        <f t="shared" si="29"/>
        <v>J0.....</v>
      </c>
      <c r="P705" s="48"/>
      <c r="Q705" s="169"/>
      <c r="R705" s="169" t="str">
        <f t="shared" si="51"/>
        <v/>
      </c>
      <c r="T705" s="96"/>
      <c r="U705" s="96"/>
      <c r="V705" s="96"/>
      <c r="W705" s="96"/>
      <c r="X705" s="96"/>
      <c r="Y705" s="96"/>
      <c r="Z705" s="152"/>
      <c r="AA705" s="99"/>
      <c r="AB705" s="91"/>
      <c r="AC705" s="91"/>
      <c r="AD705" s="91"/>
    </row>
    <row r="706" ht="15.75" customHeight="1" outlineLevel="1">
      <c r="A706" s="177" t="s">
        <v>11584</v>
      </c>
      <c r="B706" s="177" t="s">
        <v>11585</v>
      </c>
      <c r="C706" s="172" t="s">
        <v>73</v>
      </c>
      <c r="D706" s="172" t="s">
        <v>74</v>
      </c>
      <c r="E706" s="222" t="s">
        <v>27</v>
      </c>
      <c r="F706" s="172" t="s">
        <v>4</v>
      </c>
      <c r="G706" s="175" t="s">
        <v>27</v>
      </c>
      <c r="H706" s="172" t="s">
        <v>4</v>
      </c>
      <c r="I706" s="222" t="s">
        <v>27</v>
      </c>
      <c r="J706" s="156" t="s">
        <v>4</v>
      </c>
      <c r="K706" s="297" t="s">
        <v>27</v>
      </c>
      <c r="L706" s="157" t="s">
        <v>4</v>
      </c>
      <c r="M706" s="297" t="s">
        <v>27</v>
      </c>
      <c r="N706" s="167"/>
      <c r="O706" s="55" t="str">
        <f t="shared" si="29"/>
        <v>J0.99.00.00.00.00</v>
      </c>
      <c r="P706" s="173" t="str">
        <f t="shared" ref="P706:P719" si="52">A706&amp;"."&amp;C706&amp;"."&amp;E706&amp;"."&amp;G706&amp;"."&amp;I706&amp;"."&amp;K706&amp;"."&amp;M706</f>
        <v>J0.99.00.00.00.00.00</v>
      </c>
      <c r="Q706" s="428" t="s">
        <v>10530</v>
      </c>
      <c r="R706" s="177" t="s">
        <v>11585</v>
      </c>
      <c r="S706" s="97" t="s">
        <v>22</v>
      </c>
      <c r="T706" s="184" t="s">
        <v>11791</v>
      </c>
      <c r="U706" s="176" t="s">
        <v>2924</v>
      </c>
      <c r="V706" s="176"/>
      <c r="W706" s="176"/>
      <c r="X706" s="176"/>
      <c r="Y706" s="176"/>
      <c r="Z706" s="225" t="s">
        <v>74</v>
      </c>
      <c r="AA706" s="266"/>
      <c r="AB706" s="226"/>
      <c r="AC706" s="637" t="s">
        <v>11792</v>
      </c>
      <c r="AD706" s="226"/>
    </row>
    <row r="707" ht="15.75" customHeight="1" outlineLevel="1">
      <c r="A707" s="177" t="s">
        <v>10529</v>
      </c>
      <c r="B707" s="221" t="s">
        <v>206</v>
      </c>
      <c r="C707" s="172" t="s">
        <v>73</v>
      </c>
      <c r="D707" s="172" t="s">
        <v>74</v>
      </c>
      <c r="E707" s="222" t="s">
        <v>27</v>
      </c>
      <c r="F707" s="172" t="s">
        <v>4</v>
      </c>
      <c r="G707" s="172" t="s">
        <v>29</v>
      </c>
      <c r="H707" s="171" t="s">
        <v>155</v>
      </c>
      <c r="I707" s="222" t="s">
        <v>27</v>
      </c>
      <c r="J707" s="156" t="s">
        <v>4</v>
      </c>
      <c r="K707" s="297" t="s">
        <v>27</v>
      </c>
      <c r="L707" s="157" t="s">
        <v>4</v>
      </c>
      <c r="M707" s="157" t="s">
        <v>46</v>
      </c>
      <c r="N707" s="167" t="s">
        <v>10496</v>
      </c>
      <c r="O707" s="55" t="str">
        <f t="shared" si="29"/>
        <v>L4.99.00.01.00.00</v>
      </c>
      <c r="P707" s="173" t="str">
        <f t="shared" si="52"/>
        <v>L4.99.00.01.00.00.07</v>
      </c>
      <c r="Q707" s="428" t="s">
        <v>10530</v>
      </c>
      <c r="R707" s="223" t="str">
        <f t="shared" ref="R707:R719" si="53">if(L707&lt;&gt;"-",L707,if(AND(L707="-",J707&lt;&gt;"-"),J707,if(AND(J707="-",H707&lt;&gt;"-"),H707,"NA")))</f>
        <v>Ban Giám đốc</v>
      </c>
      <c r="S707" s="429" t="s">
        <v>11586</v>
      </c>
      <c r="T707" s="176" t="s">
        <v>9830</v>
      </c>
      <c r="U707" s="176" t="s">
        <v>2924</v>
      </c>
      <c r="V707" s="176" t="s">
        <v>155</v>
      </c>
      <c r="W707" s="176"/>
      <c r="X707" s="176"/>
      <c r="Y707" s="176"/>
      <c r="Z707" s="225" t="s">
        <v>11587</v>
      </c>
      <c r="AA707" s="300" t="s">
        <v>10530</v>
      </c>
      <c r="AB707" s="226"/>
      <c r="AC707" s="226"/>
      <c r="AD707" s="226"/>
    </row>
    <row r="708" ht="24.75" customHeight="1" outlineLevel="1">
      <c r="A708" s="177" t="s">
        <v>10535</v>
      </c>
      <c r="B708" s="221" t="s">
        <v>26</v>
      </c>
      <c r="C708" s="172" t="s">
        <v>73</v>
      </c>
      <c r="D708" s="172" t="s">
        <v>74</v>
      </c>
      <c r="E708" s="222" t="s">
        <v>27</v>
      </c>
      <c r="F708" s="172" t="s">
        <v>4</v>
      </c>
      <c r="G708" s="172" t="s">
        <v>33</v>
      </c>
      <c r="H708" s="171" t="s">
        <v>75</v>
      </c>
      <c r="I708" s="175" t="s">
        <v>27</v>
      </c>
      <c r="J708" s="218" t="s">
        <v>4</v>
      </c>
      <c r="K708" s="168" t="s">
        <v>27</v>
      </c>
      <c r="L708" s="218" t="s">
        <v>4</v>
      </c>
      <c r="M708" s="157" t="s">
        <v>46</v>
      </c>
      <c r="N708" s="167" t="s">
        <v>10496</v>
      </c>
      <c r="O708" s="55" t="str">
        <f t="shared" si="29"/>
        <v>L1.99.00.02.00.00</v>
      </c>
      <c r="P708" s="173" t="str">
        <f t="shared" si="52"/>
        <v>L1.99.00.02.00.00.07</v>
      </c>
      <c r="Q708" s="428" t="s">
        <v>10530</v>
      </c>
      <c r="R708" s="223" t="str">
        <f t="shared" si="53"/>
        <v>Phòng Phát triển sản phẩm</v>
      </c>
      <c r="S708" s="429" t="s">
        <v>11586</v>
      </c>
      <c r="T708" s="224" t="s">
        <v>3093</v>
      </c>
      <c r="U708" s="176" t="s">
        <v>2924</v>
      </c>
      <c r="V708" s="176" t="s">
        <v>75</v>
      </c>
      <c r="W708" s="176" t="s">
        <v>3100</v>
      </c>
      <c r="X708" s="176" t="s">
        <v>3099</v>
      </c>
      <c r="Y708" s="176"/>
      <c r="Z708" s="225" t="s">
        <v>11588</v>
      </c>
      <c r="AA708" s="300" t="s">
        <v>10530</v>
      </c>
      <c r="AB708" s="226"/>
      <c r="AC708" s="226"/>
      <c r="AD708" s="226"/>
    </row>
    <row r="709" ht="15.75" customHeight="1" outlineLevel="1">
      <c r="A709" s="177" t="s">
        <v>10535</v>
      </c>
      <c r="B709" s="221" t="s">
        <v>26</v>
      </c>
      <c r="C709" s="172" t="s">
        <v>73</v>
      </c>
      <c r="D709" s="172" t="s">
        <v>74</v>
      </c>
      <c r="E709" s="222" t="s">
        <v>27</v>
      </c>
      <c r="F709" s="172" t="s">
        <v>4</v>
      </c>
      <c r="G709" s="172" t="s">
        <v>33</v>
      </c>
      <c r="H709" s="171" t="s">
        <v>75</v>
      </c>
      <c r="I709" s="175" t="s">
        <v>29</v>
      </c>
      <c r="J709" s="176" t="s">
        <v>3100</v>
      </c>
      <c r="K709" s="168" t="s">
        <v>27</v>
      </c>
      <c r="L709" s="218" t="s">
        <v>4</v>
      </c>
      <c r="M709" s="157" t="s">
        <v>46</v>
      </c>
      <c r="N709" s="167" t="s">
        <v>10496</v>
      </c>
      <c r="O709" s="55" t="str">
        <f t="shared" si="29"/>
        <v>L1.99.00.02.01.00</v>
      </c>
      <c r="P709" s="173" t="str">
        <f t="shared" si="52"/>
        <v>L1.99.00.02.01.00.07</v>
      </c>
      <c r="Q709" s="428" t="s">
        <v>10530</v>
      </c>
      <c r="R709" s="223" t="str">
        <f t="shared" si="53"/>
        <v>Sản phẩm JETPAY</v>
      </c>
      <c r="S709" s="224" t="s">
        <v>11589</v>
      </c>
      <c r="T709" s="224" t="s">
        <v>11590</v>
      </c>
      <c r="U709" s="176" t="s">
        <v>2924</v>
      </c>
      <c r="V709" s="176" t="s">
        <v>75</v>
      </c>
      <c r="W709" s="176" t="s">
        <v>3100</v>
      </c>
      <c r="X709" s="176" t="s">
        <v>3099</v>
      </c>
      <c r="Y709" s="176"/>
      <c r="Z709" s="225" t="s">
        <v>11591</v>
      </c>
      <c r="AA709" s="300" t="s">
        <v>10530</v>
      </c>
      <c r="AB709" s="226"/>
      <c r="AC709" s="226"/>
      <c r="AD709" s="226"/>
    </row>
    <row r="710" ht="15.75" customHeight="1" outlineLevel="1">
      <c r="A710" s="177" t="s">
        <v>10535</v>
      </c>
      <c r="B710" s="221" t="s">
        <v>26</v>
      </c>
      <c r="C710" s="172" t="s">
        <v>73</v>
      </c>
      <c r="D710" s="172" t="s">
        <v>74</v>
      </c>
      <c r="E710" s="222" t="s">
        <v>27</v>
      </c>
      <c r="F710" s="172" t="s">
        <v>4</v>
      </c>
      <c r="G710" s="172" t="s">
        <v>33</v>
      </c>
      <c r="H710" s="171" t="s">
        <v>75</v>
      </c>
      <c r="I710" s="175" t="s">
        <v>29</v>
      </c>
      <c r="J710" s="176" t="s">
        <v>3100</v>
      </c>
      <c r="K710" s="168" t="s">
        <v>29</v>
      </c>
      <c r="L710" s="176" t="s">
        <v>3099</v>
      </c>
      <c r="M710" s="157" t="s">
        <v>46</v>
      </c>
      <c r="N710" s="167" t="s">
        <v>10496</v>
      </c>
      <c r="O710" s="55" t="str">
        <f t="shared" si="29"/>
        <v>L1.99.00.02.01.01</v>
      </c>
      <c r="P710" s="173" t="str">
        <f t="shared" si="52"/>
        <v>L1.99.00.02.01.01.07</v>
      </c>
      <c r="Q710" s="428" t="s">
        <v>10530</v>
      </c>
      <c r="R710" s="223" t="str">
        <f t="shared" si="53"/>
        <v>Dự án JETPAY</v>
      </c>
      <c r="S710" s="429" t="s">
        <v>11592</v>
      </c>
      <c r="T710" s="176" t="s">
        <v>3101</v>
      </c>
      <c r="U710" s="176" t="s">
        <v>2924</v>
      </c>
      <c r="V710" s="176" t="s">
        <v>75</v>
      </c>
      <c r="W710" s="176" t="s">
        <v>3100</v>
      </c>
      <c r="X710" s="176" t="s">
        <v>3099</v>
      </c>
      <c r="Y710" s="176"/>
      <c r="Z710" s="225" t="s">
        <v>11591</v>
      </c>
      <c r="AA710" s="300" t="s">
        <v>10530</v>
      </c>
      <c r="AB710" s="226"/>
      <c r="AC710" s="226"/>
      <c r="AD710" s="226"/>
    </row>
    <row r="711" ht="15.75" customHeight="1" outlineLevel="1">
      <c r="A711" s="177" t="s">
        <v>10535</v>
      </c>
      <c r="B711" s="221" t="s">
        <v>26</v>
      </c>
      <c r="C711" s="172" t="s">
        <v>73</v>
      </c>
      <c r="D711" s="172" t="s">
        <v>74</v>
      </c>
      <c r="E711" s="222" t="s">
        <v>27</v>
      </c>
      <c r="F711" s="172" t="s">
        <v>4</v>
      </c>
      <c r="G711" s="172" t="s">
        <v>33</v>
      </c>
      <c r="H711" s="171" t="s">
        <v>75</v>
      </c>
      <c r="I711" s="177" t="s">
        <v>33</v>
      </c>
      <c r="J711" s="176" t="s">
        <v>3086</v>
      </c>
      <c r="K711" s="168" t="s">
        <v>29</v>
      </c>
      <c r="L711" s="176" t="s">
        <v>3085</v>
      </c>
      <c r="M711" s="157" t="s">
        <v>46</v>
      </c>
      <c r="N711" s="167" t="s">
        <v>10496</v>
      </c>
      <c r="O711" s="55" t="str">
        <f t="shared" si="29"/>
        <v>L1.99.00.02.02.01</v>
      </c>
      <c r="P711" s="173" t="str">
        <f t="shared" si="52"/>
        <v>L1.99.00.02.02.01.07</v>
      </c>
      <c r="Q711" s="428" t="s">
        <v>10530</v>
      </c>
      <c r="R711" s="223" t="str">
        <f t="shared" si="53"/>
        <v>Dự án MISA Lending Platform</v>
      </c>
      <c r="S711" s="429" t="s">
        <v>11592</v>
      </c>
      <c r="T711" s="176" t="s">
        <v>3087</v>
      </c>
      <c r="U711" s="176" t="s">
        <v>2924</v>
      </c>
      <c r="V711" s="176" t="s">
        <v>75</v>
      </c>
      <c r="W711" s="176" t="s">
        <v>3086</v>
      </c>
      <c r="X711" s="176" t="s">
        <v>3085</v>
      </c>
      <c r="Y711" s="176"/>
      <c r="Z711" s="225" t="s">
        <v>11593</v>
      </c>
      <c r="AA711" s="300" t="s">
        <v>10530</v>
      </c>
      <c r="AB711" s="226"/>
      <c r="AC711" s="226"/>
      <c r="AD711" s="226"/>
    </row>
    <row r="712" ht="15.75" customHeight="1" outlineLevel="1">
      <c r="A712" s="177" t="s">
        <v>10535</v>
      </c>
      <c r="B712" s="221" t="s">
        <v>26</v>
      </c>
      <c r="C712" s="172" t="s">
        <v>73</v>
      </c>
      <c r="D712" s="172" t="s">
        <v>74</v>
      </c>
      <c r="E712" s="222" t="s">
        <v>27</v>
      </c>
      <c r="F712" s="172" t="s">
        <v>4</v>
      </c>
      <c r="G712" s="172" t="s">
        <v>33</v>
      </c>
      <c r="H712" s="171" t="s">
        <v>75</v>
      </c>
      <c r="I712" s="177" t="s">
        <v>33</v>
      </c>
      <c r="J712" s="176" t="s">
        <v>3086</v>
      </c>
      <c r="K712" s="261" t="s">
        <v>33</v>
      </c>
      <c r="L712" s="176" t="s">
        <v>3133</v>
      </c>
      <c r="M712" s="157" t="s">
        <v>46</v>
      </c>
      <c r="N712" s="167" t="s">
        <v>10496</v>
      </c>
      <c r="O712" s="55" t="str">
        <f t="shared" si="29"/>
        <v>L1.99.00.02.02.02</v>
      </c>
      <c r="P712" s="173" t="str">
        <f t="shared" si="52"/>
        <v>L1.99.00.02.02.02.07</v>
      </c>
      <c r="Q712" s="428" t="s">
        <v>10530</v>
      </c>
      <c r="R712" s="223" t="str">
        <f t="shared" si="53"/>
        <v>[Lending] Nhóm phân tích thiết kế</v>
      </c>
      <c r="S712" s="429" t="s">
        <v>11592</v>
      </c>
      <c r="T712" s="176" t="s">
        <v>3134</v>
      </c>
      <c r="U712" s="176" t="s">
        <v>2924</v>
      </c>
      <c r="V712" s="176" t="s">
        <v>75</v>
      </c>
      <c r="W712" s="176" t="s">
        <v>3086</v>
      </c>
      <c r="X712" s="176" t="s">
        <v>3133</v>
      </c>
      <c r="Y712" s="176"/>
      <c r="Z712" s="225" t="s">
        <v>11594</v>
      </c>
      <c r="AA712" s="300" t="s">
        <v>10530</v>
      </c>
      <c r="AB712" s="226"/>
      <c r="AC712" s="226"/>
      <c r="AD712" s="226"/>
    </row>
    <row r="713" ht="15.75" customHeight="1" outlineLevel="1">
      <c r="A713" s="481" t="s">
        <v>10833</v>
      </c>
      <c r="B713" s="482" t="s">
        <v>77</v>
      </c>
      <c r="C713" s="483" t="s">
        <v>73</v>
      </c>
      <c r="D713" s="483" t="s">
        <v>74</v>
      </c>
      <c r="E713" s="484" t="s">
        <v>27</v>
      </c>
      <c r="F713" s="483" t="s">
        <v>4</v>
      </c>
      <c r="G713" s="483" t="s">
        <v>35</v>
      </c>
      <c r="H713" s="486" t="s">
        <v>187</v>
      </c>
      <c r="I713" s="485" t="s">
        <v>27</v>
      </c>
      <c r="J713" s="558" t="s">
        <v>4</v>
      </c>
      <c r="K713" s="488" t="s">
        <v>27</v>
      </c>
      <c r="L713" s="489" t="s">
        <v>4</v>
      </c>
      <c r="M713" s="488" t="s">
        <v>27</v>
      </c>
      <c r="N713" s="491"/>
      <c r="O713" s="492" t="str">
        <f t="shared" si="29"/>
        <v>L2.99.00.03.00.00</v>
      </c>
      <c r="P713" s="492" t="str">
        <f t="shared" si="52"/>
        <v>L2.99.00.03.00.00.00</v>
      </c>
      <c r="Q713" s="493" t="s">
        <v>10530</v>
      </c>
      <c r="R713" s="494" t="str">
        <f t="shared" si="53"/>
        <v>Phòng kinh doanh &amp; marketing</v>
      </c>
      <c r="S713" s="540" t="s">
        <v>11586</v>
      </c>
      <c r="T713" s="557"/>
      <c r="U713" s="495"/>
      <c r="V713" s="495"/>
      <c r="W713" s="495" t="s">
        <v>8293</v>
      </c>
      <c r="X713" s="495"/>
      <c r="Y713" s="557"/>
      <c r="Z713" s="496" t="s">
        <v>11595</v>
      </c>
      <c r="AA713" s="300" t="s">
        <v>10530</v>
      </c>
      <c r="AB713" s="498"/>
      <c r="AC713" s="498"/>
      <c r="AD713" s="498"/>
    </row>
    <row r="714" ht="15.75" customHeight="1" outlineLevel="1">
      <c r="A714" s="177" t="s">
        <v>10833</v>
      </c>
      <c r="B714" s="221" t="s">
        <v>77</v>
      </c>
      <c r="C714" s="172" t="s">
        <v>73</v>
      </c>
      <c r="D714" s="172" t="s">
        <v>74</v>
      </c>
      <c r="E714" s="222" t="s">
        <v>27</v>
      </c>
      <c r="F714" s="172" t="s">
        <v>4</v>
      </c>
      <c r="G714" s="172" t="s">
        <v>35</v>
      </c>
      <c r="H714" s="171" t="s">
        <v>187</v>
      </c>
      <c r="I714" s="175" t="s">
        <v>29</v>
      </c>
      <c r="J714" s="176" t="s">
        <v>8293</v>
      </c>
      <c r="K714" s="297" t="s">
        <v>27</v>
      </c>
      <c r="L714" s="157" t="s">
        <v>4</v>
      </c>
      <c r="M714" s="157" t="s">
        <v>33</v>
      </c>
      <c r="N714" s="167" t="s">
        <v>10499</v>
      </c>
      <c r="O714" s="55" t="str">
        <f t="shared" si="29"/>
        <v>L2.99.00.03.01.00</v>
      </c>
      <c r="P714" s="173" t="str">
        <f t="shared" si="52"/>
        <v>L2.99.00.03.01.00.02</v>
      </c>
      <c r="Q714" s="428" t="s">
        <v>10530</v>
      </c>
      <c r="R714" s="223" t="str">
        <f t="shared" si="53"/>
        <v>Nhóm KD sản phẩm Bankhub</v>
      </c>
      <c r="S714" s="429" t="s">
        <v>11596</v>
      </c>
      <c r="T714" s="176" t="s">
        <v>8294</v>
      </c>
      <c r="U714" s="176" t="s">
        <v>2924</v>
      </c>
      <c r="V714" s="176" t="s">
        <v>187</v>
      </c>
      <c r="W714" s="176" t="s">
        <v>8293</v>
      </c>
      <c r="X714" s="176"/>
      <c r="Y714" s="224"/>
      <c r="Z714" s="225" t="s">
        <v>11597</v>
      </c>
      <c r="AA714" s="300" t="s">
        <v>10530</v>
      </c>
      <c r="AB714" s="226"/>
      <c r="AC714" s="226"/>
      <c r="AD714" s="226"/>
    </row>
    <row r="715" ht="15.75" customHeight="1" outlineLevel="1">
      <c r="A715" s="481" t="s">
        <v>10833</v>
      </c>
      <c r="B715" s="482" t="s">
        <v>77</v>
      </c>
      <c r="C715" s="483" t="s">
        <v>73</v>
      </c>
      <c r="D715" s="483" t="s">
        <v>74</v>
      </c>
      <c r="E715" s="484" t="s">
        <v>27</v>
      </c>
      <c r="F715" s="483" t="s">
        <v>4</v>
      </c>
      <c r="G715" s="483" t="s">
        <v>35</v>
      </c>
      <c r="H715" s="486" t="s">
        <v>187</v>
      </c>
      <c r="I715" s="481" t="s">
        <v>33</v>
      </c>
      <c r="J715" s="495" t="s">
        <v>3112</v>
      </c>
      <c r="K715" s="488" t="s">
        <v>27</v>
      </c>
      <c r="L715" s="489" t="s">
        <v>4</v>
      </c>
      <c r="M715" s="490" t="s">
        <v>27</v>
      </c>
      <c r="N715" s="491"/>
      <c r="O715" s="492" t="str">
        <f t="shared" si="29"/>
        <v>L2.99.00.03.02.00</v>
      </c>
      <c r="P715" s="492" t="str">
        <f t="shared" si="52"/>
        <v>L2.99.00.03.02.00.00</v>
      </c>
      <c r="Q715" s="493" t="s">
        <v>10530</v>
      </c>
      <c r="R715" s="494" t="str">
        <f t="shared" si="53"/>
        <v>Nhóm KD sản phẩm Lending</v>
      </c>
      <c r="S715" s="540" t="s">
        <v>11596</v>
      </c>
      <c r="T715" s="495" t="s">
        <v>3113</v>
      </c>
      <c r="U715" s="495" t="s">
        <v>2924</v>
      </c>
      <c r="V715" s="495" t="s">
        <v>187</v>
      </c>
      <c r="W715" s="495" t="s">
        <v>3112</v>
      </c>
      <c r="X715" s="495"/>
      <c r="Y715" s="495"/>
      <c r="Z715" s="496" t="s">
        <v>11598</v>
      </c>
      <c r="AA715" s="300" t="s">
        <v>10530</v>
      </c>
      <c r="AB715" s="498"/>
      <c r="AC715" s="498"/>
      <c r="AD715" s="498"/>
    </row>
    <row r="716" ht="15.75" customHeight="1" outlineLevel="1">
      <c r="A716" s="170" t="s">
        <v>10833</v>
      </c>
      <c r="B716" s="57" t="s">
        <v>77</v>
      </c>
      <c r="C716" s="52" t="s">
        <v>73</v>
      </c>
      <c r="D716" s="52" t="s">
        <v>74</v>
      </c>
      <c r="E716" s="53" t="s">
        <v>27</v>
      </c>
      <c r="F716" s="52" t="s">
        <v>4</v>
      </c>
      <c r="G716" s="62" t="s">
        <v>35</v>
      </c>
      <c r="H716" s="60" t="s">
        <v>187</v>
      </c>
      <c r="I716" s="170" t="s">
        <v>33</v>
      </c>
      <c r="J716" s="96" t="s">
        <v>3112</v>
      </c>
      <c r="K716" s="166" t="s">
        <v>27</v>
      </c>
      <c r="L716" s="155" t="s">
        <v>4</v>
      </c>
      <c r="M716" s="422" t="s">
        <v>33</v>
      </c>
      <c r="N716" s="167" t="s">
        <v>10499</v>
      </c>
      <c r="O716" s="55" t="str">
        <f t="shared" si="29"/>
        <v>L2.99.00.03.02.00</v>
      </c>
      <c r="P716" s="55" t="str">
        <f t="shared" si="52"/>
        <v>L2.99.00.03.02.00.02</v>
      </c>
      <c r="Q716" s="428"/>
      <c r="R716" s="169" t="str">
        <f t="shared" si="53"/>
        <v>Nhóm KD sản phẩm Lending</v>
      </c>
      <c r="S716" s="227" t="s">
        <v>11599</v>
      </c>
      <c r="T716" s="96"/>
      <c r="U716" s="96"/>
      <c r="V716" s="96"/>
      <c r="W716" s="96"/>
      <c r="X716" s="96"/>
      <c r="Y716" s="96"/>
      <c r="Z716" s="152"/>
      <c r="AA716" s="99"/>
      <c r="AB716" s="91"/>
      <c r="AC716" s="91"/>
      <c r="AD716" s="91"/>
    </row>
    <row r="717" ht="15.75" customHeight="1" outlineLevel="1">
      <c r="A717" s="170" t="s">
        <v>10833</v>
      </c>
      <c r="B717" s="57" t="s">
        <v>77</v>
      </c>
      <c r="C717" s="52" t="s">
        <v>73</v>
      </c>
      <c r="D717" s="52" t="s">
        <v>74</v>
      </c>
      <c r="E717" s="53" t="s">
        <v>27</v>
      </c>
      <c r="F717" s="52" t="s">
        <v>4</v>
      </c>
      <c r="G717" s="62" t="s">
        <v>35</v>
      </c>
      <c r="H717" s="60" t="s">
        <v>187</v>
      </c>
      <c r="I717" s="170" t="s">
        <v>33</v>
      </c>
      <c r="J717" s="96" t="s">
        <v>3112</v>
      </c>
      <c r="K717" s="166" t="s">
        <v>27</v>
      </c>
      <c r="L717" s="155" t="s">
        <v>4</v>
      </c>
      <c r="M717" s="422" t="s">
        <v>46</v>
      </c>
      <c r="N717" s="158" t="s">
        <v>10496</v>
      </c>
      <c r="O717" s="55" t="str">
        <f t="shared" si="29"/>
        <v>L2.99.00.03.02.00</v>
      </c>
      <c r="P717" s="55" t="str">
        <f t="shared" si="52"/>
        <v>L2.99.00.03.02.00.07</v>
      </c>
      <c r="Q717" s="169"/>
      <c r="R717" s="169" t="str">
        <f t="shared" si="53"/>
        <v>Nhóm KD sản phẩm Lending</v>
      </c>
      <c r="S717" s="227" t="s">
        <v>11599</v>
      </c>
      <c r="T717" s="96"/>
      <c r="U717" s="96"/>
      <c r="V717" s="96"/>
      <c r="W717" s="96"/>
      <c r="X717" s="96"/>
      <c r="Y717" s="96"/>
      <c r="Z717" s="152"/>
      <c r="AA717" s="99"/>
      <c r="AB717" s="91"/>
      <c r="AC717" s="91"/>
      <c r="AD717" s="91"/>
    </row>
    <row r="718" ht="15.75" customHeight="1" outlineLevel="1">
      <c r="A718" s="170" t="s">
        <v>10529</v>
      </c>
      <c r="B718" s="57" t="s">
        <v>206</v>
      </c>
      <c r="C718" s="52" t="s">
        <v>73</v>
      </c>
      <c r="D718" s="52" t="s">
        <v>74</v>
      </c>
      <c r="E718" s="53" t="s">
        <v>27</v>
      </c>
      <c r="F718" s="52" t="s">
        <v>4</v>
      </c>
      <c r="G718" s="62" t="s">
        <v>37</v>
      </c>
      <c r="H718" s="60" t="s">
        <v>34</v>
      </c>
      <c r="I718" s="53" t="s">
        <v>27</v>
      </c>
      <c r="J718" s="559" t="s">
        <v>4</v>
      </c>
      <c r="K718" s="166" t="s">
        <v>27</v>
      </c>
      <c r="L718" s="155" t="s">
        <v>4</v>
      </c>
      <c r="M718" s="422" t="s">
        <v>46</v>
      </c>
      <c r="N718" s="158" t="s">
        <v>10496</v>
      </c>
      <c r="O718" s="55" t="str">
        <f t="shared" si="29"/>
        <v>L4.99.00.04.00.00</v>
      </c>
      <c r="P718" s="55" t="str">
        <f t="shared" si="52"/>
        <v>L4.99.00.04.00.00.07</v>
      </c>
      <c r="Q718" s="161" t="s">
        <v>10530</v>
      </c>
      <c r="R718" s="169" t="str">
        <f t="shared" si="53"/>
        <v>Phòng HCTH</v>
      </c>
      <c r="S718" s="429" t="s">
        <v>11586</v>
      </c>
      <c r="T718" s="96" t="s">
        <v>2925</v>
      </c>
      <c r="U718" s="96" t="s">
        <v>2924</v>
      </c>
      <c r="V718" s="96" t="s">
        <v>34</v>
      </c>
      <c r="W718" s="96"/>
      <c r="X718" s="96"/>
      <c r="Y718" s="96"/>
      <c r="Z718" s="98" t="s">
        <v>11600</v>
      </c>
      <c r="AA718" s="300" t="s">
        <v>10530</v>
      </c>
      <c r="AB718" s="91"/>
      <c r="AC718" s="91"/>
      <c r="AD718" s="91"/>
    </row>
    <row r="719" ht="15.75" customHeight="1" outlineLevel="1">
      <c r="A719" s="170" t="s">
        <v>10529</v>
      </c>
      <c r="B719" s="57" t="s">
        <v>206</v>
      </c>
      <c r="C719" s="52" t="s">
        <v>73</v>
      </c>
      <c r="D719" s="52" t="s">
        <v>74</v>
      </c>
      <c r="E719" s="53" t="s">
        <v>27</v>
      </c>
      <c r="F719" s="52" t="s">
        <v>4</v>
      </c>
      <c r="G719" s="62" t="s">
        <v>42</v>
      </c>
      <c r="H719" s="60" t="s">
        <v>232</v>
      </c>
      <c r="I719" s="53" t="s">
        <v>27</v>
      </c>
      <c r="J719" s="559" t="s">
        <v>4</v>
      </c>
      <c r="K719" s="166" t="s">
        <v>27</v>
      </c>
      <c r="L719" s="155" t="s">
        <v>4</v>
      </c>
      <c r="M719" s="422" t="s">
        <v>33</v>
      </c>
      <c r="N719" s="167" t="s">
        <v>10499</v>
      </c>
      <c r="O719" s="55" t="str">
        <f t="shared" si="29"/>
        <v>L4.99.00.05.00.00</v>
      </c>
      <c r="P719" s="55" t="str">
        <f t="shared" si="52"/>
        <v>L4.99.00.05.00.00.02</v>
      </c>
      <c r="Q719" s="161" t="s">
        <v>10530</v>
      </c>
      <c r="R719" s="169" t="str">
        <f t="shared" si="53"/>
        <v>Phòng Giám sát vận hành</v>
      </c>
      <c r="S719" s="429" t="s">
        <v>11586</v>
      </c>
      <c r="T719" s="96" t="s">
        <v>7479</v>
      </c>
      <c r="U719" s="96" t="s">
        <v>2924</v>
      </c>
      <c r="V719" s="96" t="s">
        <v>232</v>
      </c>
      <c r="W719" s="96"/>
      <c r="X719" s="96"/>
      <c r="Y719" s="96"/>
      <c r="Z719" s="98" t="s">
        <v>11601</v>
      </c>
      <c r="AA719" s="300" t="s">
        <v>10530</v>
      </c>
      <c r="AB719" s="91"/>
      <c r="AC719" s="91"/>
      <c r="AD719" s="91"/>
    </row>
    <row r="720" ht="15.75" customHeight="1">
      <c r="H720" s="37"/>
      <c r="I720" s="38"/>
      <c r="J720" s="37"/>
      <c r="N720" s="37"/>
      <c r="Z720" s="79"/>
    </row>
    <row r="721" ht="15.75" customHeight="1">
      <c r="H721" s="560"/>
      <c r="I721" s="38"/>
      <c r="J721" s="37"/>
      <c r="N721" s="37"/>
      <c r="Z721" s="79"/>
    </row>
    <row r="722" ht="15.75" customHeight="1">
      <c r="H722" s="37"/>
      <c r="I722" s="38"/>
      <c r="J722" s="37"/>
      <c r="N722" s="37"/>
      <c r="Z722" s="79"/>
    </row>
    <row r="723" ht="15.75" customHeight="1">
      <c r="H723" s="560"/>
      <c r="I723" s="561"/>
      <c r="J723" s="37"/>
      <c r="N723" s="37"/>
      <c r="Z723" s="79"/>
    </row>
    <row r="724" ht="15.75" customHeight="1">
      <c r="H724" s="560"/>
      <c r="I724" s="38"/>
      <c r="J724" s="37"/>
      <c r="N724" s="37"/>
      <c r="Z724" s="79"/>
    </row>
    <row r="725" ht="15.75" customHeight="1">
      <c r="H725" s="560"/>
      <c r="I725" s="38"/>
      <c r="J725" s="37"/>
      <c r="N725" s="37"/>
      <c r="Z725" s="79"/>
    </row>
    <row r="726" ht="15.75" customHeight="1">
      <c r="H726" s="560"/>
      <c r="I726" s="38"/>
      <c r="J726" s="37"/>
      <c r="N726" s="37"/>
      <c r="Z726" s="79"/>
    </row>
    <row r="727" ht="15.75" customHeight="1">
      <c r="H727" s="560"/>
      <c r="I727" s="38"/>
      <c r="J727" s="37"/>
      <c r="N727" s="37"/>
      <c r="Z727" s="79"/>
    </row>
    <row r="728" ht="15.75" customHeight="1">
      <c r="H728" s="560"/>
      <c r="I728" s="38"/>
      <c r="J728" s="37"/>
      <c r="N728" s="37"/>
      <c r="Z728" s="79"/>
    </row>
    <row r="729" ht="15.75" customHeight="1">
      <c r="H729" s="37"/>
      <c r="I729" s="38"/>
      <c r="J729" s="37"/>
      <c r="N729" s="37"/>
      <c r="Z729" s="79"/>
    </row>
    <row r="730" ht="15.75" customHeight="1">
      <c r="H730" s="37"/>
      <c r="I730" s="38"/>
      <c r="J730" s="37"/>
      <c r="N730" s="37"/>
      <c r="Z730" s="79"/>
    </row>
    <row r="731" ht="15.75" customHeight="1">
      <c r="H731" s="37"/>
      <c r="I731" s="38"/>
      <c r="J731" s="37"/>
      <c r="N731" s="37"/>
      <c r="Z731" s="79"/>
    </row>
    <row r="732" ht="15.75" customHeight="1">
      <c r="H732" s="37"/>
      <c r="I732" s="38"/>
      <c r="J732" s="37"/>
      <c r="N732" s="37"/>
      <c r="Z732" s="79"/>
    </row>
    <row r="733" ht="15.75" customHeight="1">
      <c r="H733" s="37"/>
      <c r="I733" s="38"/>
      <c r="J733" s="37"/>
      <c r="N733" s="37"/>
      <c r="Z733" s="79"/>
    </row>
    <row r="734" ht="15.75" customHeight="1">
      <c r="H734" s="37"/>
      <c r="I734" s="38"/>
      <c r="J734" s="37"/>
      <c r="N734" s="37"/>
      <c r="Z734" s="79"/>
    </row>
    <row r="735" ht="15.75" customHeight="1">
      <c r="H735" s="37"/>
      <c r="I735" s="38"/>
      <c r="J735" s="37"/>
      <c r="N735" s="37"/>
      <c r="Z735" s="79"/>
    </row>
    <row r="736" ht="15.75" customHeight="1">
      <c r="H736" s="37"/>
      <c r="I736" s="38"/>
      <c r="J736" s="37"/>
      <c r="N736" s="37"/>
      <c r="Z736" s="79"/>
    </row>
    <row r="737" ht="15.75" customHeight="1">
      <c r="H737" s="37"/>
      <c r="I737" s="38"/>
      <c r="J737" s="37"/>
      <c r="N737" s="37"/>
      <c r="Z737" s="79"/>
    </row>
    <row r="738" ht="15.75" customHeight="1">
      <c r="H738" s="37"/>
      <c r="I738" s="38"/>
      <c r="J738" s="37"/>
      <c r="N738" s="37"/>
      <c r="Z738" s="79"/>
    </row>
    <row r="739" ht="15.75" customHeight="1">
      <c r="H739" s="37"/>
      <c r="I739" s="38"/>
      <c r="J739" s="37"/>
      <c r="N739" s="37"/>
      <c r="Z739" s="79"/>
    </row>
    <row r="740" ht="15.75" customHeight="1">
      <c r="H740" s="37"/>
      <c r="I740" s="38"/>
      <c r="J740" s="37"/>
      <c r="N740" s="37"/>
      <c r="Z740" s="79"/>
    </row>
    <row r="741" ht="15.75" customHeight="1">
      <c r="H741" s="37"/>
      <c r="I741" s="38"/>
      <c r="J741" s="37"/>
      <c r="N741" s="37"/>
      <c r="Z741" s="79"/>
    </row>
    <row r="742" ht="15.75" customHeight="1">
      <c r="H742" s="37"/>
      <c r="I742" s="38"/>
      <c r="J742" s="37"/>
      <c r="N742" s="37"/>
      <c r="Z742" s="79"/>
    </row>
    <row r="743" ht="15.75" customHeight="1">
      <c r="H743" s="37"/>
      <c r="I743" s="38"/>
      <c r="J743" s="37"/>
      <c r="N743" s="37"/>
      <c r="Z743" s="79"/>
    </row>
    <row r="744" ht="15.75" customHeight="1">
      <c r="H744" s="37"/>
      <c r="I744" s="38"/>
      <c r="J744" s="37"/>
      <c r="N744" s="37"/>
      <c r="Z744" s="79"/>
    </row>
    <row r="745" ht="15.75" customHeight="1">
      <c r="H745" s="37"/>
      <c r="I745" s="38"/>
      <c r="J745" s="37"/>
      <c r="N745" s="37"/>
      <c r="Z745" s="79"/>
    </row>
    <row r="746" ht="15.75" customHeight="1">
      <c r="H746" s="37"/>
      <c r="I746" s="38"/>
      <c r="J746" s="37"/>
      <c r="N746" s="37"/>
      <c r="Z746" s="79"/>
    </row>
    <row r="747" ht="15.75" customHeight="1">
      <c r="H747" s="37"/>
      <c r="I747" s="38"/>
      <c r="J747" s="37"/>
      <c r="N747" s="37"/>
      <c r="Z747" s="79"/>
    </row>
    <row r="748" ht="15.75" customHeight="1">
      <c r="H748" s="37"/>
      <c r="I748" s="38"/>
      <c r="J748" s="37"/>
      <c r="N748" s="37"/>
      <c r="Z748" s="79"/>
    </row>
    <row r="749" ht="15.75" customHeight="1">
      <c r="H749" s="37"/>
      <c r="I749" s="38"/>
      <c r="J749" s="37"/>
      <c r="N749" s="37"/>
      <c r="Z749" s="79"/>
    </row>
    <row r="750" ht="15.75" customHeight="1">
      <c r="H750" s="37"/>
      <c r="I750" s="38"/>
      <c r="J750" s="37"/>
      <c r="N750" s="37"/>
      <c r="Z750" s="79"/>
    </row>
    <row r="751" ht="15.75" customHeight="1">
      <c r="H751" s="37"/>
      <c r="I751" s="38"/>
      <c r="J751" s="37"/>
      <c r="N751" s="37"/>
      <c r="Z751" s="79"/>
    </row>
    <row r="752" ht="15.75" customHeight="1">
      <c r="H752" s="37"/>
      <c r="I752" s="38"/>
      <c r="J752" s="37"/>
      <c r="N752" s="37"/>
      <c r="Z752" s="79"/>
    </row>
    <row r="753" ht="15.75" customHeight="1">
      <c r="H753" s="37"/>
      <c r="I753" s="38"/>
      <c r="J753" s="37"/>
      <c r="N753" s="37"/>
      <c r="Z753" s="79"/>
    </row>
    <row r="754" ht="15.75" customHeight="1">
      <c r="H754" s="37"/>
      <c r="I754" s="38"/>
      <c r="J754" s="37"/>
      <c r="N754" s="37"/>
      <c r="Z754" s="79"/>
    </row>
    <row r="755" ht="15.75" customHeight="1">
      <c r="H755" s="37"/>
      <c r="I755" s="38"/>
      <c r="J755" s="37"/>
      <c r="N755" s="37"/>
      <c r="Z755" s="79"/>
    </row>
    <row r="756" ht="15.75" customHeight="1">
      <c r="H756" s="37"/>
      <c r="I756" s="38"/>
      <c r="J756" s="37"/>
      <c r="N756" s="37"/>
      <c r="Z756" s="79"/>
    </row>
    <row r="757" ht="15.75" customHeight="1">
      <c r="H757" s="37"/>
      <c r="I757" s="38"/>
      <c r="J757" s="37"/>
      <c r="N757" s="37"/>
      <c r="Z757" s="79"/>
    </row>
    <row r="758" ht="15.75" customHeight="1">
      <c r="H758" s="37"/>
      <c r="I758" s="38"/>
      <c r="J758" s="37"/>
      <c r="N758" s="37"/>
      <c r="Z758" s="79"/>
    </row>
    <row r="759" ht="15.75" customHeight="1">
      <c r="H759" s="37"/>
      <c r="I759" s="38"/>
      <c r="J759" s="37"/>
      <c r="N759" s="37"/>
      <c r="Z759" s="79"/>
    </row>
    <row r="760" ht="15.75" customHeight="1">
      <c r="H760" s="37"/>
      <c r="I760" s="38"/>
      <c r="J760" s="37"/>
      <c r="N760" s="37"/>
      <c r="Z760" s="79"/>
    </row>
    <row r="761" ht="15.75" customHeight="1">
      <c r="H761" s="37"/>
      <c r="I761" s="38"/>
      <c r="J761" s="37"/>
      <c r="N761" s="37"/>
      <c r="Z761" s="79"/>
    </row>
    <row r="762" ht="15.75" customHeight="1">
      <c r="H762" s="37"/>
      <c r="I762" s="38"/>
      <c r="J762" s="37"/>
      <c r="N762" s="37"/>
      <c r="Z762" s="79"/>
    </row>
    <row r="763" ht="15.75" customHeight="1">
      <c r="H763" s="37"/>
      <c r="I763" s="38"/>
      <c r="J763" s="37"/>
      <c r="N763" s="37"/>
      <c r="Z763" s="79"/>
    </row>
    <row r="764" ht="15.75" customHeight="1">
      <c r="H764" s="37"/>
      <c r="I764" s="38"/>
      <c r="J764" s="37"/>
      <c r="N764" s="37"/>
      <c r="Z764" s="79"/>
    </row>
    <row r="765" ht="15.75" customHeight="1">
      <c r="H765" s="37"/>
      <c r="I765" s="38"/>
      <c r="J765" s="37"/>
      <c r="N765" s="37"/>
      <c r="Z765" s="79"/>
    </row>
    <row r="766" ht="15.75" customHeight="1">
      <c r="H766" s="37"/>
      <c r="I766" s="38"/>
      <c r="J766" s="37"/>
      <c r="N766" s="37"/>
      <c r="Z766" s="79"/>
    </row>
    <row r="767" ht="15.75" customHeight="1">
      <c r="H767" s="37"/>
      <c r="I767" s="38"/>
      <c r="J767" s="37"/>
      <c r="N767" s="37"/>
      <c r="Z767" s="79"/>
    </row>
    <row r="768" ht="15.75" customHeight="1">
      <c r="H768" s="37"/>
      <c r="I768" s="38"/>
      <c r="J768" s="37"/>
      <c r="N768" s="37"/>
      <c r="Z768" s="79"/>
    </row>
    <row r="769" ht="15.75" customHeight="1">
      <c r="H769" s="37"/>
      <c r="I769" s="38"/>
      <c r="J769" s="37"/>
      <c r="N769" s="37"/>
      <c r="Z769" s="79"/>
    </row>
    <row r="770" ht="15.75" customHeight="1">
      <c r="H770" s="37"/>
      <c r="I770" s="38"/>
      <c r="J770" s="37"/>
      <c r="N770" s="37"/>
      <c r="Z770" s="79"/>
    </row>
    <row r="771" ht="15.75" customHeight="1">
      <c r="H771" s="37"/>
      <c r="I771" s="38"/>
      <c r="J771" s="37"/>
      <c r="N771" s="37"/>
      <c r="Z771" s="79"/>
    </row>
    <row r="772" ht="15.75" customHeight="1">
      <c r="H772" s="37"/>
      <c r="I772" s="38"/>
      <c r="J772" s="37"/>
      <c r="N772" s="37"/>
      <c r="Z772" s="79"/>
    </row>
    <row r="773" ht="15.75" customHeight="1">
      <c r="H773" s="37"/>
      <c r="I773" s="38"/>
      <c r="J773" s="37"/>
      <c r="N773" s="37"/>
      <c r="Z773" s="79"/>
    </row>
    <row r="774" ht="15.75" customHeight="1">
      <c r="H774" s="37"/>
      <c r="I774" s="38"/>
      <c r="J774" s="37"/>
      <c r="N774" s="37"/>
      <c r="Z774" s="79"/>
    </row>
    <row r="775" ht="15.75" customHeight="1">
      <c r="H775" s="37"/>
      <c r="I775" s="38"/>
      <c r="J775" s="37"/>
      <c r="N775" s="37"/>
      <c r="Z775" s="79"/>
    </row>
    <row r="776" ht="15.75" customHeight="1">
      <c r="H776" s="37"/>
      <c r="I776" s="38"/>
      <c r="J776" s="37"/>
      <c r="N776" s="37"/>
      <c r="Z776" s="79"/>
    </row>
    <row r="777" ht="15.75" customHeight="1">
      <c r="H777" s="37"/>
      <c r="I777" s="38"/>
      <c r="J777" s="37"/>
      <c r="N777" s="37"/>
      <c r="Z777" s="79"/>
    </row>
    <row r="778" ht="15.75" customHeight="1">
      <c r="H778" s="37"/>
      <c r="I778" s="38"/>
      <c r="J778" s="37"/>
      <c r="N778" s="37"/>
      <c r="Z778" s="79"/>
    </row>
    <row r="779" ht="15.75" customHeight="1">
      <c r="H779" s="37"/>
      <c r="I779" s="38"/>
      <c r="J779" s="37"/>
      <c r="N779" s="37"/>
      <c r="Z779" s="79"/>
    </row>
    <row r="780" ht="15.75" customHeight="1">
      <c r="H780" s="37"/>
      <c r="I780" s="38"/>
      <c r="J780" s="37"/>
      <c r="N780" s="37"/>
      <c r="Z780" s="79"/>
    </row>
    <row r="781" ht="15.75" customHeight="1">
      <c r="H781" s="37"/>
      <c r="I781" s="38"/>
      <c r="J781" s="37"/>
      <c r="N781" s="37"/>
      <c r="Z781" s="79"/>
    </row>
    <row r="782" ht="15.75" customHeight="1">
      <c r="H782" s="37"/>
      <c r="I782" s="38"/>
      <c r="J782" s="37"/>
      <c r="N782" s="37"/>
      <c r="Z782" s="79"/>
    </row>
    <row r="783" ht="15.75" customHeight="1">
      <c r="H783" s="37"/>
      <c r="I783" s="38"/>
      <c r="J783" s="37"/>
      <c r="N783" s="37"/>
      <c r="Z783" s="79"/>
    </row>
    <row r="784" ht="15.75" customHeight="1">
      <c r="H784" s="37"/>
      <c r="I784" s="38"/>
      <c r="J784" s="37"/>
      <c r="N784" s="37"/>
      <c r="Z784" s="79"/>
    </row>
    <row r="785" ht="15.75" customHeight="1">
      <c r="H785" s="37"/>
      <c r="I785" s="38"/>
      <c r="J785" s="37"/>
      <c r="N785" s="37"/>
      <c r="Z785" s="79"/>
    </row>
    <row r="786" ht="15.75" customHeight="1">
      <c r="H786" s="37"/>
      <c r="I786" s="38"/>
      <c r="J786" s="37"/>
      <c r="N786" s="37"/>
      <c r="Z786" s="79"/>
    </row>
    <row r="787" ht="15.75" customHeight="1">
      <c r="H787" s="37"/>
      <c r="I787" s="38"/>
      <c r="J787" s="37"/>
      <c r="N787" s="37"/>
      <c r="Z787" s="79"/>
    </row>
    <row r="788" ht="15.75" customHeight="1">
      <c r="H788" s="37"/>
      <c r="I788" s="38"/>
      <c r="J788" s="37"/>
      <c r="N788" s="37"/>
      <c r="Z788" s="79"/>
    </row>
    <row r="789" ht="15.75" customHeight="1">
      <c r="H789" s="37"/>
      <c r="I789" s="38"/>
      <c r="J789" s="37"/>
      <c r="N789" s="37"/>
      <c r="Z789" s="79"/>
    </row>
    <row r="790" ht="15.75" customHeight="1">
      <c r="H790" s="37"/>
      <c r="I790" s="38"/>
      <c r="J790" s="37"/>
      <c r="N790" s="37"/>
      <c r="Z790" s="79"/>
    </row>
    <row r="791" ht="15.75" customHeight="1">
      <c r="H791" s="37"/>
      <c r="I791" s="38"/>
      <c r="J791" s="37"/>
      <c r="N791" s="37"/>
      <c r="Z791" s="79"/>
    </row>
    <row r="792" ht="15.75" customHeight="1">
      <c r="H792" s="37"/>
      <c r="I792" s="38"/>
      <c r="J792" s="37"/>
      <c r="N792" s="37"/>
      <c r="Z792" s="79"/>
    </row>
    <row r="793" ht="15.75" customHeight="1">
      <c r="H793" s="37"/>
      <c r="I793" s="38"/>
      <c r="J793" s="37"/>
      <c r="N793" s="37"/>
      <c r="Z793" s="79"/>
    </row>
    <row r="794" ht="15.75" customHeight="1">
      <c r="H794" s="37"/>
      <c r="I794" s="38"/>
      <c r="J794" s="37"/>
      <c r="N794" s="37"/>
      <c r="Z794" s="79"/>
    </row>
    <row r="795" ht="15.75" customHeight="1">
      <c r="H795" s="37"/>
      <c r="I795" s="38"/>
      <c r="J795" s="37"/>
      <c r="N795" s="37"/>
      <c r="Z795" s="79"/>
    </row>
    <row r="796" ht="15.75" customHeight="1">
      <c r="H796" s="37"/>
      <c r="I796" s="38"/>
      <c r="J796" s="37"/>
      <c r="N796" s="37"/>
      <c r="Z796" s="79"/>
    </row>
    <row r="797" ht="15.75" customHeight="1">
      <c r="H797" s="37"/>
      <c r="I797" s="38"/>
      <c r="J797" s="37"/>
      <c r="N797" s="37"/>
      <c r="Z797" s="79"/>
    </row>
    <row r="798" ht="15.75" customHeight="1">
      <c r="H798" s="37"/>
      <c r="I798" s="38"/>
      <c r="J798" s="37"/>
      <c r="N798" s="37"/>
      <c r="Z798" s="79"/>
    </row>
    <row r="799" ht="15.75" customHeight="1">
      <c r="H799" s="37"/>
      <c r="I799" s="38"/>
      <c r="J799" s="37"/>
      <c r="N799" s="37"/>
      <c r="Z799" s="79"/>
    </row>
    <row r="800" ht="15.75" customHeight="1">
      <c r="H800" s="37"/>
      <c r="I800" s="38"/>
      <c r="J800" s="37"/>
      <c r="N800" s="37"/>
      <c r="Z800" s="79"/>
    </row>
    <row r="801" ht="15.75" customHeight="1">
      <c r="H801" s="37"/>
      <c r="I801" s="38"/>
      <c r="J801" s="37"/>
      <c r="N801" s="37"/>
      <c r="Z801" s="79"/>
    </row>
    <row r="802" ht="15.75" customHeight="1">
      <c r="H802" s="37"/>
      <c r="I802" s="38"/>
      <c r="J802" s="37"/>
      <c r="N802" s="37"/>
      <c r="Z802" s="79"/>
    </row>
    <row r="803" ht="15.75" customHeight="1">
      <c r="H803" s="37"/>
      <c r="I803" s="38"/>
      <c r="J803" s="37"/>
      <c r="N803" s="37"/>
      <c r="Z803" s="79"/>
    </row>
    <row r="804" ht="15.75" customHeight="1">
      <c r="H804" s="37"/>
      <c r="I804" s="38"/>
      <c r="J804" s="37"/>
      <c r="N804" s="37"/>
      <c r="Z804" s="79"/>
    </row>
    <row r="805" ht="15.75" customHeight="1">
      <c r="H805" s="37"/>
      <c r="I805" s="38"/>
      <c r="J805" s="37"/>
      <c r="N805" s="37"/>
      <c r="Z805" s="79"/>
    </row>
    <row r="806" ht="15.75" customHeight="1">
      <c r="H806" s="37"/>
      <c r="I806" s="38"/>
      <c r="J806" s="37"/>
      <c r="N806" s="37"/>
      <c r="Z806" s="79"/>
    </row>
    <row r="807" ht="15.75" customHeight="1">
      <c r="H807" s="37"/>
      <c r="I807" s="38"/>
      <c r="J807" s="37"/>
      <c r="N807" s="37"/>
      <c r="Z807" s="79"/>
    </row>
    <row r="808" ht="15.75" customHeight="1">
      <c r="H808" s="37"/>
      <c r="I808" s="38"/>
      <c r="J808" s="37"/>
      <c r="N808" s="37"/>
      <c r="Z808" s="79"/>
    </row>
    <row r="809" ht="15.75" customHeight="1">
      <c r="H809" s="37"/>
      <c r="I809" s="38"/>
      <c r="J809" s="37"/>
      <c r="N809" s="37"/>
      <c r="Z809" s="79"/>
    </row>
    <row r="810" ht="15.75" customHeight="1">
      <c r="H810" s="37"/>
      <c r="I810" s="38"/>
      <c r="J810" s="37"/>
      <c r="N810" s="37"/>
      <c r="Z810" s="79"/>
    </row>
    <row r="811" ht="15.75" customHeight="1">
      <c r="H811" s="37"/>
      <c r="I811" s="38"/>
      <c r="J811" s="37"/>
      <c r="N811" s="37"/>
      <c r="Z811" s="79"/>
    </row>
    <row r="812" ht="15.75" customHeight="1">
      <c r="H812" s="37"/>
      <c r="I812" s="38"/>
      <c r="J812" s="37"/>
      <c r="N812" s="37"/>
      <c r="Z812" s="79"/>
    </row>
    <row r="813" ht="15.75" customHeight="1">
      <c r="H813" s="37"/>
      <c r="I813" s="38"/>
      <c r="J813" s="37"/>
      <c r="N813" s="37"/>
      <c r="Z813" s="79"/>
    </row>
    <row r="814" ht="15.75" customHeight="1">
      <c r="H814" s="37"/>
      <c r="I814" s="38"/>
      <c r="J814" s="37"/>
      <c r="N814" s="37"/>
      <c r="Z814" s="79"/>
    </row>
    <row r="815" ht="15.75" customHeight="1">
      <c r="H815" s="37"/>
      <c r="I815" s="38"/>
      <c r="J815" s="37"/>
      <c r="N815" s="37"/>
      <c r="Z815" s="79"/>
    </row>
    <row r="816" ht="15.75" customHeight="1">
      <c r="H816" s="37"/>
      <c r="I816" s="38"/>
      <c r="J816" s="37"/>
      <c r="N816" s="37"/>
      <c r="Z816" s="79"/>
    </row>
    <row r="817" ht="15.75" customHeight="1">
      <c r="H817" s="37"/>
      <c r="I817" s="38"/>
      <c r="J817" s="37"/>
      <c r="N817" s="37"/>
      <c r="Z817" s="79"/>
    </row>
    <row r="818" ht="15.75" customHeight="1">
      <c r="H818" s="37"/>
      <c r="I818" s="38"/>
      <c r="J818" s="37"/>
      <c r="N818" s="37"/>
      <c r="Z818" s="79"/>
    </row>
    <row r="819" ht="15.75" customHeight="1">
      <c r="H819" s="37"/>
      <c r="I819" s="38"/>
      <c r="J819" s="37"/>
      <c r="N819" s="37"/>
      <c r="Z819" s="79"/>
    </row>
    <row r="820" ht="15.75" customHeight="1">
      <c r="H820" s="37"/>
      <c r="I820" s="38"/>
      <c r="J820" s="37"/>
      <c r="N820" s="37"/>
      <c r="Z820" s="79"/>
    </row>
    <row r="821" ht="15.75" customHeight="1">
      <c r="H821" s="37"/>
      <c r="I821" s="38"/>
      <c r="J821" s="37"/>
      <c r="N821" s="37"/>
      <c r="Z821" s="79"/>
    </row>
    <row r="822" ht="15.75" customHeight="1">
      <c r="H822" s="37"/>
      <c r="I822" s="38"/>
      <c r="J822" s="37"/>
      <c r="N822" s="37"/>
      <c r="Z822" s="79"/>
    </row>
    <row r="823" ht="15.75" customHeight="1">
      <c r="H823" s="37"/>
      <c r="I823" s="38"/>
      <c r="J823" s="37"/>
      <c r="N823" s="37"/>
      <c r="Z823" s="79"/>
    </row>
    <row r="824" ht="15.75" customHeight="1">
      <c r="H824" s="37"/>
      <c r="I824" s="38"/>
      <c r="J824" s="37"/>
      <c r="N824" s="37"/>
      <c r="Z824" s="79"/>
    </row>
    <row r="825" ht="15.75" customHeight="1">
      <c r="H825" s="37"/>
      <c r="I825" s="38"/>
      <c r="J825" s="37"/>
      <c r="N825" s="37"/>
      <c r="Z825" s="79"/>
    </row>
    <row r="826" ht="15.75" customHeight="1">
      <c r="H826" s="37"/>
      <c r="I826" s="38"/>
      <c r="J826" s="37"/>
      <c r="N826" s="37"/>
      <c r="Z826" s="79"/>
    </row>
    <row r="827" ht="15.75" customHeight="1">
      <c r="H827" s="37"/>
      <c r="I827" s="38"/>
      <c r="J827" s="37"/>
      <c r="N827" s="37"/>
      <c r="Z827" s="79"/>
    </row>
    <row r="828" ht="15.75" customHeight="1">
      <c r="H828" s="37"/>
      <c r="I828" s="38"/>
      <c r="J828" s="37"/>
      <c r="N828" s="37"/>
      <c r="Z828" s="79"/>
    </row>
    <row r="829" ht="15.75" customHeight="1">
      <c r="H829" s="37"/>
      <c r="I829" s="38"/>
      <c r="J829" s="37"/>
      <c r="N829" s="37"/>
      <c r="Z829" s="79"/>
    </row>
    <row r="830" ht="15.75" customHeight="1">
      <c r="H830" s="37"/>
      <c r="I830" s="38"/>
      <c r="J830" s="37"/>
      <c r="N830" s="37"/>
      <c r="Z830" s="79"/>
    </row>
    <row r="831" ht="15.75" customHeight="1">
      <c r="H831" s="37"/>
      <c r="I831" s="38"/>
      <c r="J831" s="37"/>
      <c r="N831" s="37"/>
      <c r="Z831" s="79"/>
    </row>
    <row r="832" ht="15.75" customHeight="1">
      <c r="H832" s="37"/>
      <c r="I832" s="38"/>
      <c r="J832" s="37"/>
      <c r="N832" s="37"/>
      <c r="Z832" s="79"/>
    </row>
    <row r="833" ht="15.75" customHeight="1">
      <c r="H833" s="37"/>
      <c r="I833" s="38"/>
      <c r="J833" s="37"/>
      <c r="N833" s="37"/>
      <c r="Z833" s="79"/>
    </row>
    <row r="834" ht="15.75" customHeight="1">
      <c r="H834" s="37"/>
      <c r="I834" s="38"/>
      <c r="J834" s="37"/>
      <c r="N834" s="37"/>
      <c r="Z834" s="79"/>
    </row>
    <row r="835" ht="15.75" customHeight="1">
      <c r="H835" s="37"/>
      <c r="I835" s="38"/>
      <c r="J835" s="37"/>
      <c r="N835" s="37"/>
      <c r="Z835" s="79"/>
    </row>
    <row r="836" ht="15.75" customHeight="1">
      <c r="H836" s="37"/>
      <c r="I836" s="38"/>
      <c r="J836" s="37"/>
      <c r="N836" s="37"/>
      <c r="Z836" s="79"/>
    </row>
    <row r="837" ht="15.75" customHeight="1">
      <c r="H837" s="37"/>
      <c r="I837" s="38"/>
      <c r="J837" s="37"/>
      <c r="N837" s="37"/>
      <c r="Z837" s="79"/>
    </row>
    <row r="838" ht="15.75" customHeight="1">
      <c r="H838" s="37"/>
      <c r="I838" s="38"/>
      <c r="J838" s="37"/>
      <c r="N838" s="37"/>
      <c r="Z838" s="79"/>
    </row>
    <row r="839" ht="15.75" customHeight="1">
      <c r="H839" s="37"/>
      <c r="I839" s="38"/>
      <c r="J839" s="37"/>
      <c r="N839" s="37"/>
      <c r="Z839" s="79"/>
    </row>
    <row r="840" ht="15.75" customHeight="1">
      <c r="H840" s="37"/>
      <c r="I840" s="38"/>
      <c r="J840" s="37"/>
      <c r="N840" s="37"/>
      <c r="Z840" s="79"/>
    </row>
    <row r="841" ht="15.75" customHeight="1">
      <c r="H841" s="37"/>
      <c r="I841" s="38"/>
      <c r="J841" s="37"/>
      <c r="N841" s="37"/>
      <c r="Z841" s="79"/>
    </row>
    <row r="842" ht="15.75" customHeight="1">
      <c r="H842" s="37"/>
      <c r="I842" s="38"/>
      <c r="J842" s="37"/>
      <c r="N842" s="37"/>
      <c r="Z842" s="79"/>
    </row>
    <row r="843" ht="15.75" customHeight="1">
      <c r="H843" s="37"/>
      <c r="I843" s="38"/>
      <c r="J843" s="37"/>
      <c r="N843" s="37"/>
      <c r="Z843" s="79"/>
    </row>
    <row r="844" ht="15.75" customHeight="1">
      <c r="H844" s="37"/>
      <c r="I844" s="38"/>
      <c r="J844" s="37"/>
      <c r="N844" s="37"/>
      <c r="Z844" s="79"/>
    </row>
    <row r="845" ht="15.75" customHeight="1">
      <c r="H845" s="37"/>
      <c r="I845" s="38"/>
      <c r="J845" s="37"/>
      <c r="N845" s="37"/>
      <c r="Z845" s="79"/>
    </row>
    <row r="846" ht="15.75" customHeight="1">
      <c r="H846" s="37"/>
      <c r="I846" s="38"/>
      <c r="J846" s="37"/>
      <c r="N846" s="37"/>
      <c r="Z846" s="79"/>
    </row>
    <row r="847" ht="15.75" customHeight="1">
      <c r="H847" s="37"/>
      <c r="I847" s="38"/>
      <c r="J847" s="37"/>
      <c r="N847" s="37"/>
      <c r="Z847" s="79"/>
    </row>
    <row r="848" ht="15.75" customHeight="1">
      <c r="H848" s="37"/>
      <c r="I848" s="38"/>
      <c r="J848" s="37"/>
      <c r="N848" s="37"/>
      <c r="Z848" s="79"/>
    </row>
    <row r="849" ht="15.75" customHeight="1">
      <c r="H849" s="37"/>
      <c r="I849" s="38"/>
      <c r="J849" s="37"/>
      <c r="N849" s="37"/>
      <c r="Z849" s="79"/>
    </row>
    <row r="850" ht="15.75" customHeight="1">
      <c r="H850" s="37"/>
      <c r="I850" s="38"/>
      <c r="J850" s="37"/>
      <c r="N850" s="37"/>
      <c r="Z850" s="79"/>
    </row>
    <row r="851" ht="15.75" customHeight="1">
      <c r="H851" s="37"/>
      <c r="I851" s="38"/>
      <c r="J851" s="37"/>
      <c r="N851" s="37"/>
      <c r="Z851" s="79"/>
    </row>
    <row r="852" ht="15.75" customHeight="1">
      <c r="H852" s="37"/>
      <c r="I852" s="38"/>
      <c r="J852" s="37"/>
      <c r="N852" s="37"/>
      <c r="Z852" s="79"/>
    </row>
    <row r="853" ht="15.75" customHeight="1">
      <c r="H853" s="37"/>
      <c r="I853" s="38"/>
      <c r="J853" s="37"/>
      <c r="N853" s="37"/>
      <c r="Z853" s="79"/>
    </row>
    <row r="854" ht="15.75" customHeight="1">
      <c r="H854" s="37"/>
      <c r="I854" s="38"/>
      <c r="J854" s="37"/>
      <c r="N854" s="37"/>
      <c r="Z854" s="79"/>
    </row>
    <row r="855" ht="15.75" customHeight="1">
      <c r="H855" s="37"/>
      <c r="I855" s="38"/>
      <c r="J855" s="37"/>
      <c r="N855" s="37"/>
      <c r="Z855" s="79"/>
    </row>
    <row r="856" ht="15.75" customHeight="1">
      <c r="H856" s="37"/>
      <c r="I856" s="38"/>
      <c r="J856" s="37"/>
      <c r="N856" s="37"/>
      <c r="Z856" s="79"/>
    </row>
    <row r="857" ht="15.75" customHeight="1">
      <c r="H857" s="37"/>
      <c r="I857" s="38"/>
      <c r="J857" s="37"/>
      <c r="N857" s="37"/>
      <c r="Z857" s="79"/>
    </row>
    <row r="858" ht="15.75" customHeight="1">
      <c r="H858" s="37"/>
      <c r="I858" s="38"/>
      <c r="J858" s="37"/>
      <c r="N858" s="37"/>
      <c r="Z858" s="79"/>
    </row>
    <row r="859" ht="15.75" customHeight="1">
      <c r="H859" s="37"/>
      <c r="I859" s="38"/>
      <c r="J859" s="37"/>
      <c r="N859" s="37"/>
      <c r="Z859" s="79"/>
    </row>
    <row r="860" ht="15.75" customHeight="1">
      <c r="H860" s="37"/>
      <c r="I860" s="38"/>
      <c r="J860" s="37"/>
      <c r="N860" s="37"/>
      <c r="Z860" s="79"/>
    </row>
    <row r="861" ht="15.75" customHeight="1">
      <c r="H861" s="37"/>
      <c r="I861" s="38"/>
      <c r="J861" s="37"/>
      <c r="N861" s="37"/>
      <c r="Z861" s="79"/>
    </row>
    <row r="862" ht="15.75" customHeight="1">
      <c r="H862" s="37"/>
      <c r="I862" s="38"/>
      <c r="J862" s="37"/>
      <c r="N862" s="37"/>
      <c r="Z862" s="79"/>
    </row>
    <row r="863" ht="15.75" customHeight="1">
      <c r="H863" s="37"/>
      <c r="I863" s="38"/>
      <c r="J863" s="37"/>
      <c r="N863" s="37"/>
      <c r="Z863" s="79"/>
    </row>
    <row r="864" ht="15.75" customHeight="1">
      <c r="H864" s="37"/>
      <c r="I864" s="38"/>
      <c r="J864" s="37"/>
      <c r="N864" s="37"/>
      <c r="Z864" s="79"/>
    </row>
    <row r="865" ht="15.75" customHeight="1">
      <c r="H865" s="37"/>
      <c r="I865" s="38"/>
      <c r="J865" s="37"/>
      <c r="N865" s="37"/>
      <c r="Z865" s="79"/>
    </row>
    <row r="866" ht="15.75" customHeight="1">
      <c r="H866" s="37"/>
      <c r="I866" s="38"/>
      <c r="J866" s="37"/>
      <c r="N866" s="37"/>
      <c r="Z866" s="79"/>
    </row>
    <row r="867" ht="15.75" customHeight="1">
      <c r="H867" s="37"/>
      <c r="I867" s="38"/>
      <c r="J867" s="37"/>
      <c r="N867" s="37"/>
      <c r="Z867" s="79"/>
    </row>
    <row r="868" ht="15.75" customHeight="1">
      <c r="H868" s="37"/>
      <c r="I868" s="38"/>
      <c r="J868" s="37"/>
      <c r="N868" s="37"/>
      <c r="Z868" s="79"/>
    </row>
    <row r="869" ht="15.75" customHeight="1">
      <c r="H869" s="37"/>
      <c r="I869" s="38"/>
      <c r="J869" s="37"/>
      <c r="N869" s="37"/>
      <c r="Z869" s="79"/>
    </row>
    <row r="870" ht="15.75" customHeight="1">
      <c r="H870" s="37"/>
      <c r="I870" s="38"/>
      <c r="J870" s="37"/>
      <c r="N870" s="37"/>
      <c r="Z870" s="79"/>
    </row>
    <row r="871" ht="15.75" customHeight="1">
      <c r="H871" s="37"/>
      <c r="I871" s="38"/>
      <c r="J871" s="37"/>
      <c r="N871" s="37"/>
      <c r="Z871" s="79"/>
    </row>
    <row r="872" ht="15.75" customHeight="1">
      <c r="H872" s="37"/>
      <c r="I872" s="38"/>
      <c r="J872" s="37"/>
      <c r="N872" s="37"/>
      <c r="Z872" s="79"/>
    </row>
    <row r="873" ht="15.75" customHeight="1">
      <c r="H873" s="37"/>
      <c r="I873" s="38"/>
      <c r="J873" s="37"/>
      <c r="N873" s="37"/>
      <c r="Z873" s="79"/>
    </row>
    <row r="874" ht="15.75" customHeight="1">
      <c r="H874" s="37"/>
      <c r="I874" s="38"/>
      <c r="J874" s="37"/>
      <c r="N874" s="37"/>
      <c r="Z874" s="79"/>
    </row>
    <row r="875" ht="15.75" customHeight="1">
      <c r="H875" s="37"/>
      <c r="I875" s="38"/>
      <c r="J875" s="37"/>
      <c r="N875" s="37"/>
      <c r="Z875" s="79"/>
    </row>
    <row r="876" ht="15.75" customHeight="1">
      <c r="H876" s="37"/>
      <c r="I876" s="38"/>
      <c r="J876" s="37"/>
      <c r="N876" s="37"/>
      <c r="Z876" s="79"/>
    </row>
    <row r="877" ht="15.75" customHeight="1">
      <c r="H877" s="37"/>
      <c r="I877" s="38"/>
      <c r="J877" s="37"/>
      <c r="N877" s="37"/>
      <c r="Z877" s="79"/>
    </row>
    <row r="878" ht="15.75" customHeight="1">
      <c r="H878" s="37"/>
      <c r="I878" s="38"/>
      <c r="J878" s="37"/>
      <c r="N878" s="37"/>
      <c r="Z878" s="79"/>
    </row>
    <row r="879" ht="15.75" customHeight="1">
      <c r="H879" s="37"/>
      <c r="I879" s="38"/>
      <c r="J879" s="37"/>
      <c r="N879" s="37"/>
      <c r="Z879" s="79"/>
    </row>
    <row r="880" ht="15.75" customHeight="1">
      <c r="H880" s="37"/>
      <c r="I880" s="38"/>
      <c r="J880" s="37"/>
      <c r="N880" s="37"/>
      <c r="Z880" s="79"/>
    </row>
    <row r="881" ht="15.75" customHeight="1">
      <c r="H881" s="37"/>
      <c r="I881" s="38"/>
      <c r="J881" s="37"/>
      <c r="N881" s="37"/>
      <c r="Z881" s="79"/>
    </row>
    <row r="882" ht="15.75" customHeight="1">
      <c r="H882" s="37"/>
      <c r="I882" s="38"/>
      <c r="J882" s="37"/>
      <c r="N882" s="37"/>
      <c r="Z882" s="79"/>
    </row>
    <row r="883" ht="15.75" customHeight="1">
      <c r="H883" s="37"/>
      <c r="I883" s="38"/>
      <c r="J883" s="37"/>
      <c r="N883" s="37"/>
      <c r="Z883" s="79"/>
    </row>
    <row r="884" ht="15.75" customHeight="1">
      <c r="H884" s="37"/>
      <c r="I884" s="38"/>
      <c r="J884" s="37"/>
      <c r="N884" s="37"/>
      <c r="Z884" s="79"/>
    </row>
    <row r="885" ht="15.75" customHeight="1">
      <c r="H885" s="37"/>
      <c r="I885" s="38"/>
      <c r="J885" s="37"/>
      <c r="N885" s="37"/>
      <c r="Z885" s="79"/>
    </row>
    <row r="886" ht="15.75" customHeight="1">
      <c r="H886" s="37"/>
      <c r="I886" s="38"/>
      <c r="J886" s="37"/>
      <c r="N886" s="37"/>
      <c r="Z886" s="79"/>
    </row>
    <row r="887" ht="15.75" customHeight="1">
      <c r="H887" s="37"/>
      <c r="I887" s="38"/>
      <c r="J887" s="37"/>
      <c r="N887" s="37"/>
      <c r="Z887" s="79"/>
    </row>
    <row r="888" ht="15.75" customHeight="1">
      <c r="H888" s="37"/>
      <c r="I888" s="38"/>
      <c r="J888" s="37"/>
      <c r="N888" s="37"/>
      <c r="Z888" s="79"/>
    </row>
    <row r="889" ht="15.75" customHeight="1">
      <c r="H889" s="37"/>
      <c r="I889" s="38"/>
      <c r="J889" s="37"/>
      <c r="N889" s="37"/>
      <c r="Z889" s="79"/>
    </row>
    <row r="890" ht="15.75" customHeight="1">
      <c r="H890" s="37"/>
      <c r="I890" s="38"/>
      <c r="J890" s="37"/>
      <c r="N890" s="37"/>
      <c r="Z890" s="79"/>
    </row>
    <row r="891" ht="15.75" customHeight="1">
      <c r="H891" s="37"/>
      <c r="I891" s="38"/>
      <c r="J891" s="37"/>
      <c r="N891" s="37"/>
      <c r="Z891" s="79"/>
    </row>
    <row r="892" ht="15.75" customHeight="1">
      <c r="H892" s="37"/>
      <c r="I892" s="38"/>
      <c r="J892" s="37"/>
      <c r="N892" s="37"/>
      <c r="Z892" s="79"/>
    </row>
    <row r="893" ht="15.75" customHeight="1">
      <c r="H893" s="37"/>
      <c r="I893" s="38"/>
      <c r="J893" s="37"/>
      <c r="N893" s="37"/>
      <c r="Z893" s="79"/>
    </row>
    <row r="894" ht="15.75" customHeight="1">
      <c r="H894" s="37"/>
      <c r="I894" s="38"/>
      <c r="J894" s="37"/>
      <c r="N894" s="37"/>
      <c r="Z894" s="79"/>
    </row>
    <row r="895" ht="15.75" customHeight="1">
      <c r="H895" s="37"/>
      <c r="I895" s="38"/>
      <c r="J895" s="37"/>
      <c r="N895" s="37"/>
      <c r="Z895" s="79"/>
    </row>
    <row r="896" ht="15.75" customHeight="1">
      <c r="H896" s="37"/>
      <c r="I896" s="38"/>
      <c r="J896" s="37"/>
      <c r="N896" s="37"/>
      <c r="Z896" s="79"/>
    </row>
    <row r="897" ht="15.75" customHeight="1">
      <c r="H897" s="37"/>
      <c r="I897" s="38"/>
      <c r="J897" s="37"/>
      <c r="N897" s="37"/>
      <c r="Z897" s="79"/>
    </row>
    <row r="898" ht="15.75" customHeight="1">
      <c r="H898" s="37"/>
      <c r="I898" s="38"/>
      <c r="J898" s="37"/>
      <c r="N898" s="37"/>
      <c r="Z898" s="79"/>
    </row>
    <row r="899" ht="15.75" customHeight="1">
      <c r="H899" s="37"/>
      <c r="I899" s="38"/>
      <c r="J899" s="37"/>
      <c r="N899" s="37"/>
      <c r="Z899" s="79"/>
    </row>
    <row r="900" ht="15.75" customHeight="1">
      <c r="H900" s="37"/>
      <c r="I900" s="38"/>
      <c r="J900" s="37"/>
      <c r="N900" s="37"/>
      <c r="Z900" s="79"/>
    </row>
    <row r="901" ht="15.75" customHeight="1">
      <c r="H901" s="37"/>
      <c r="I901" s="38"/>
      <c r="J901" s="37"/>
      <c r="N901" s="37"/>
      <c r="Z901" s="79"/>
    </row>
    <row r="902" ht="15.75" customHeight="1">
      <c r="H902" s="37"/>
      <c r="I902" s="38"/>
      <c r="J902" s="37"/>
      <c r="N902" s="37"/>
      <c r="Z902" s="79"/>
    </row>
    <row r="903" ht="15.75" customHeight="1">
      <c r="H903" s="37"/>
      <c r="I903" s="38"/>
      <c r="J903" s="37"/>
      <c r="N903" s="37"/>
      <c r="Z903" s="79"/>
    </row>
    <row r="904" ht="15.75" customHeight="1">
      <c r="H904" s="37"/>
      <c r="I904" s="38"/>
      <c r="J904" s="37"/>
      <c r="N904" s="37"/>
      <c r="Z904" s="79"/>
    </row>
    <row r="905" ht="15.75" customHeight="1">
      <c r="H905" s="37"/>
      <c r="I905" s="38"/>
      <c r="J905" s="37"/>
      <c r="N905" s="37"/>
      <c r="Z905" s="79"/>
    </row>
    <row r="906" ht="15.75" customHeight="1">
      <c r="H906" s="37"/>
      <c r="I906" s="38"/>
      <c r="J906" s="37"/>
      <c r="N906" s="37"/>
      <c r="Z906" s="79"/>
    </row>
    <row r="907" ht="15.75" customHeight="1">
      <c r="H907" s="37"/>
      <c r="I907" s="38"/>
      <c r="J907" s="37"/>
      <c r="N907" s="37"/>
      <c r="Z907" s="79"/>
    </row>
    <row r="908" ht="15.75" customHeight="1">
      <c r="H908" s="37"/>
      <c r="I908" s="38"/>
      <c r="J908" s="37"/>
      <c r="N908" s="37"/>
      <c r="Z908" s="79"/>
    </row>
    <row r="909" ht="15.75" customHeight="1">
      <c r="H909" s="37"/>
      <c r="I909" s="38"/>
      <c r="J909" s="37"/>
      <c r="N909" s="37"/>
      <c r="Z909" s="79"/>
    </row>
    <row r="910" ht="15.75" customHeight="1">
      <c r="H910" s="37"/>
      <c r="I910" s="38"/>
      <c r="J910" s="37"/>
      <c r="N910" s="37"/>
      <c r="Z910" s="79"/>
    </row>
    <row r="911" ht="15.75" customHeight="1">
      <c r="H911" s="37"/>
      <c r="I911" s="38"/>
      <c r="J911" s="37"/>
      <c r="N911" s="37"/>
      <c r="Z911" s="79"/>
    </row>
    <row r="912" ht="15.75" customHeight="1">
      <c r="H912" s="37"/>
      <c r="I912" s="38"/>
      <c r="J912" s="37"/>
      <c r="N912" s="37"/>
      <c r="Z912" s="79"/>
    </row>
    <row r="913" ht="15.75" customHeight="1">
      <c r="H913" s="37"/>
      <c r="I913" s="38"/>
      <c r="J913" s="37"/>
      <c r="N913" s="37"/>
      <c r="Z913" s="79"/>
    </row>
    <row r="914" ht="15.75" customHeight="1">
      <c r="H914" s="37"/>
      <c r="I914" s="38"/>
      <c r="J914" s="37"/>
      <c r="N914" s="37"/>
      <c r="Z914" s="79"/>
    </row>
    <row r="915" ht="15.75" customHeight="1">
      <c r="H915" s="37"/>
      <c r="I915" s="38"/>
      <c r="J915" s="37"/>
      <c r="N915" s="37"/>
      <c r="Z915" s="79"/>
    </row>
    <row r="916" ht="15.75" customHeight="1">
      <c r="H916" s="37"/>
      <c r="I916" s="38"/>
      <c r="J916" s="37"/>
      <c r="N916" s="37"/>
      <c r="Z916" s="79"/>
    </row>
    <row r="917" ht="15.75" customHeight="1">
      <c r="H917" s="37"/>
      <c r="I917" s="38"/>
      <c r="J917" s="37"/>
      <c r="N917" s="37"/>
      <c r="Z917" s="79"/>
    </row>
    <row r="918" ht="15.75" customHeight="1">
      <c r="H918" s="37"/>
      <c r="I918" s="38"/>
      <c r="J918" s="37"/>
      <c r="N918" s="37"/>
      <c r="Z918" s="79"/>
    </row>
    <row r="919" ht="15.75" customHeight="1">
      <c r="H919" s="37"/>
      <c r="I919" s="38"/>
      <c r="J919" s="37"/>
      <c r="N919" s="37"/>
      <c r="Z919" s="79"/>
    </row>
    <row r="920" ht="15.75" customHeight="1">
      <c r="H920" s="37"/>
      <c r="I920" s="38"/>
      <c r="J920" s="37"/>
      <c r="N920" s="37"/>
      <c r="Z920" s="79"/>
    </row>
    <row r="921" ht="15.75" customHeight="1">
      <c r="H921" s="37"/>
      <c r="I921" s="38"/>
      <c r="J921" s="37"/>
      <c r="N921" s="37"/>
      <c r="Z921" s="79"/>
    </row>
    <row r="922" ht="15.75" customHeight="1">
      <c r="H922" s="37"/>
      <c r="I922" s="38"/>
      <c r="J922" s="37"/>
      <c r="N922" s="37"/>
      <c r="Z922" s="79"/>
    </row>
    <row r="923" ht="15.75" customHeight="1">
      <c r="H923" s="37"/>
      <c r="I923" s="38"/>
      <c r="J923" s="37"/>
      <c r="N923" s="37"/>
      <c r="Z923" s="79"/>
    </row>
    <row r="924" ht="15.75" customHeight="1">
      <c r="H924" s="37"/>
      <c r="I924" s="38"/>
      <c r="J924" s="37"/>
      <c r="N924" s="37"/>
      <c r="Z924" s="79"/>
    </row>
    <row r="925" ht="15.75" customHeight="1">
      <c r="H925" s="37"/>
      <c r="I925" s="38"/>
      <c r="J925" s="37"/>
      <c r="N925" s="37"/>
      <c r="Z925" s="79"/>
    </row>
    <row r="926" ht="15.75" customHeight="1">
      <c r="H926" s="37"/>
      <c r="I926" s="38"/>
      <c r="J926" s="37"/>
      <c r="N926" s="37"/>
      <c r="Z926" s="79"/>
    </row>
    <row r="927" ht="15.75" customHeight="1">
      <c r="H927" s="37"/>
      <c r="I927" s="38"/>
      <c r="J927" s="37"/>
      <c r="N927" s="37"/>
      <c r="Z927" s="79"/>
    </row>
    <row r="928" ht="15.75" customHeight="1">
      <c r="H928" s="37"/>
      <c r="I928" s="38"/>
      <c r="J928" s="37"/>
      <c r="N928" s="37"/>
      <c r="Z928" s="79"/>
    </row>
    <row r="929" ht="15.75" customHeight="1">
      <c r="H929" s="37"/>
      <c r="I929" s="38"/>
      <c r="J929" s="37"/>
      <c r="N929" s="37"/>
      <c r="Z929" s="79"/>
    </row>
    <row r="930" ht="15.75" customHeight="1">
      <c r="H930" s="37"/>
      <c r="I930" s="38"/>
      <c r="J930" s="37"/>
      <c r="N930" s="37"/>
      <c r="Z930" s="79"/>
    </row>
    <row r="931" ht="15.75" customHeight="1">
      <c r="H931" s="37"/>
      <c r="I931" s="38"/>
      <c r="J931" s="37"/>
      <c r="N931" s="37"/>
      <c r="Z931" s="79"/>
    </row>
    <row r="932" ht="15.75" customHeight="1">
      <c r="H932" s="37"/>
      <c r="I932" s="38"/>
      <c r="J932" s="37"/>
      <c r="N932" s="37"/>
      <c r="Z932" s="79"/>
    </row>
    <row r="933" ht="15.75" customHeight="1">
      <c r="H933" s="37"/>
      <c r="I933" s="38"/>
      <c r="J933" s="37"/>
      <c r="N933" s="37"/>
      <c r="Z933" s="79"/>
    </row>
    <row r="934" ht="15.75" customHeight="1">
      <c r="H934" s="37"/>
      <c r="I934" s="38"/>
      <c r="J934" s="37"/>
      <c r="N934" s="37"/>
      <c r="Z934" s="79"/>
    </row>
    <row r="935" ht="15.75" customHeight="1">
      <c r="H935" s="37"/>
      <c r="I935" s="38"/>
      <c r="J935" s="37"/>
      <c r="N935" s="37"/>
      <c r="Z935" s="79"/>
    </row>
    <row r="936" ht="15.75" customHeight="1">
      <c r="H936" s="37"/>
      <c r="I936" s="38"/>
      <c r="J936" s="37"/>
      <c r="N936" s="37"/>
      <c r="Z936" s="79"/>
    </row>
    <row r="937" ht="15.75" customHeight="1">
      <c r="H937" s="37"/>
      <c r="I937" s="38"/>
      <c r="J937" s="37"/>
      <c r="N937" s="37"/>
      <c r="Z937" s="79"/>
    </row>
    <row r="938" ht="15.75" customHeight="1">
      <c r="H938" s="37"/>
      <c r="I938" s="38"/>
      <c r="J938" s="37"/>
      <c r="N938" s="37"/>
      <c r="Z938" s="79"/>
    </row>
    <row r="939" ht="15.75" customHeight="1">
      <c r="H939" s="37"/>
      <c r="I939" s="38"/>
      <c r="J939" s="37"/>
      <c r="N939" s="37"/>
      <c r="Z939" s="79"/>
    </row>
    <row r="940" ht="15.75" customHeight="1">
      <c r="H940" s="37"/>
      <c r="I940" s="38"/>
      <c r="J940" s="37"/>
      <c r="N940" s="37"/>
      <c r="Z940" s="79"/>
    </row>
    <row r="941" ht="15.75" customHeight="1">
      <c r="H941" s="37"/>
      <c r="I941" s="38"/>
      <c r="J941" s="37"/>
      <c r="N941" s="37"/>
      <c r="Z941" s="79"/>
    </row>
    <row r="942" ht="15.75" customHeight="1">
      <c r="H942" s="37"/>
      <c r="I942" s="38"/>
      <c r="J942" s="37"/>
      <c r="N942" s="37"/>
      <c r="Z942" s="79"/>
    </row>
    <row r="943" ht="15.75" customHeight="1">
      <c r="H943" s="37"/>
      <c r="I943" s="38"/>
      <c r="J943" s="37"/>
      <c r="N943" s="37"/>
      <c r="Z943" s="79"/>
    </row>
    <row r="944" ht="15.75" customHeight="1">
      <c r="H944" s="37"/>
      <c r="I944" s="38"/>
      <c r="J944" s="37"/>
      <c r="N944" s="37"/>
      <c r="Z944" s="79"/>
    </row>
    <row r="945" ht="15.75" customHeight="1">
      <c r="H945" s="37"/>
      <c r="I945" s="38"/>
      <c r="J945" s="37"/>
      <c r="N945" s="37"/>
      <c r="Z945" s="79"/>
    </row>
    <row r="946" ht="15.75" customHeight="1">
      <c r="H946" s="37"/>
      <c r="I946" s="38"/>
      <c r="J946" s="37"/>
      <c r="N946" s="37"/>
      <c r="Z946" s="79"/>
    </row>
    <row r="947" ht="15.75" customHeight="1">
      <c r="H947" s="37"/>
      <c r="I947" s="38"/>
      <c r="J947" s="37"/>
      <c r="N947" s="37"/>
      <c r="Z947" s="79"/>
    </row>
    <row r="948" ht="15.75" customHeight="1">
      <c r="H948" s="37"/>
      <c r="I948" s="38"/>
      <c r="J948" s="37"/>
      <c r="N948" s="37"/>
      <c r="Z948" s="79"/>
    </row>
    <row r="949" ht="15.75" customHeight="1">
      <c r="H949" s="37"/>
      <c r="I949" s="38"/>
      <c r="J949" s="37"/>
      <c r="N949" s="37"/>
      <c r="Z949" s="79"/>
    </row>
    <row r="950" ht="15.75" customHeight="1">
      <c r="H950" s="37"/>
      <c r="I950" s="38"/>
      <c r="J950" s="37"/>
      <c r="N950" s="37"/>
      <c r="Z950" s="79"/>
    </row>
    <row r="951" ht="15.75" customHeight="1">
      <c r="H951" s="37"/>
      <c r="I951" s="38"/>
      <c r="J951" s="37"/>
      <c r="N951" s="37"/>
      <c r="Z951" s="79"/>
    </row>
    <row r="952" ht="15.75" customHeight="1">
      <c r="H952" s="37"/>
      <c r="I952" s="38"/>
      <c r="J952" s="37"/>
      <c r="N952" s="37"/>
      <c r="Z952" s="79"/>
    </row>
    <row r="953" ht="15.75" customHeight="1">
      <c r="H953" s="37"/>
      <c r="I953" s="38"/>
      <c r="J953" s="37"/>
      <c r="N953" s="37"/>
      <c r="Z953" s="79"/>
    </row>
    <row r="954" ht="15.75" customHeight="1">
      <c r="H954" s="37"/>
      <c r="I954" s="38"/>
      <c r="J954" s="37"/>
      <c r="N954" s="37"/>
      <c r="Z954" s="79"/>
    </row>
    <row r="955" ht="15.75" customHeight="1">
      <c r="H955" s="37"/>
      <c r="I955" s="38"/>
      <c r="J955" s="37"/>
      <c r="N955" s="37"/>
      <c r="Z955" s="79"/>
    </row>
    <row r="956" ht="15.75" customHeight="1">
      <c r="H956" s="37"/>
      <c r="I956" s="38"/>
      <c r="J956" s="37"/>
      <c r="N956" s="37"/>
      <c r="Z956" s="79"/>
    </row>
    <row r="957" ht="15.75" customHeight="1">
      <c r="H957" s="37"/>
      <c r="I957" s="38"/>
      <c r="J957" s="37"/>
      <c r="N957" s="37"/>
      <c r="Z957" s="79"/>
    </row>
    <row r="958" ht="15.75" customHeight="1">
      <c r="H958" s="37"/>
      <c r="I958" s="38"/>
      <c r="J958" s="37"/>
      <c r="N958" s="37"/>
      <c r="Z958" s="79"/>
    </row>
    <row r="959" ht="15.75" customHeight="1">
      <c r="H959" s="37"/>
      <c r="I959" s="38"/>
      <c r="J959" s="37"/>
      <c r="N959" s="37"/>
      <c r="Z959" s="79"/>
    </row>
    <row r="960" ht="15.75" customHeight="1">
      <c r="H960" s="37"/>
      <c r="I960" s="38"/>
      <c r="J960" s="37"/>
      <c r="N960" s="37"/>
      <c r="Z960" s="79"/>
    </row>
    <row r="961" ht="15.75" customHeight="1">
      <c r="H961" s="37"/>
      <c r="I961" s="38"/>
      <c r="J961" s="37"/>
      <c r="N961" s="37"/>
      <c r="Z961" s="79"/>
    </row>
    <row r="962" ht="15.75" customHeight="1">
      <c r="H962" s="37"/>
      <c r="I962" s="38"/>
      <c r="J962" s="37"/>
      <c r="N962" s="37"/>
      <c r="Z962" s="79"/>
    </row>
    <row r="963" ht="15.75" customHeight="1">
      <c r="H963" s="37"/>
      <c r="I963" s="38"/>
      <c r="J963" s="37"/>
      <c r="N963" s="37"/>
      <c r="Z963" s="79"/>
    </row>
    <row r="964" ht="15.75" customHeight="1">
      <c r="H964" s="37"/>
      <c r="I964" s="38"/>
      <c r="J964" s="37"/>
      <c r="N964" s="37"/>
      <c r="Z964" s="79"/>
    </row>
    <row r="965" ht="15.75" customHeight="1">
      <c r="H965" s="37"/>
      <c r="I965" s="38"/>
      <c r="J965" s="37"/>
      <c r="N965" s="37"/>
      <c r="Z965" s="79"/>
    </row>
    <row r="966" ht="15.75" customHeight="1">
      <c r="H966" s="37"/>
      <c r="I966" s="38"/>
      <c r="J966" s="37"/>
      <c r="N966" s="37"/>
      <c r="Z966" s="79"/>
    </row>
    <row r="967" ht="15.75" customHeight="1">
      <c r="H967" s="37"/>
      <c r="I967" s="38"/>
      <c r="J967" s="37"/>
      <c r="N967" s="37"/>
      <c r="Z967" s="79"/>
    </row>
    <row r="968" ht="15.75" customHeight="1">
      <c r="H968" s="37"/>
      <c r="I968" s="38"/>
      <c r="J968" s="37"/>
      <c r="N968" s="37"/>
      <c r="Z968" s="79"/>
    </row>
    <row r="969" ht="15.75" customHeight="1">
      <c r="H969" s="37"/>
      <c r="I969" s="38"/>
      <c r="J969" s="37"/>
      <c r="N969" s="37"/>
      <c r="Z969" s="79"/>
    </row>
    <row r="970" ht="15.75" customHeight="1">
      <c r="H970" s="37"/>
      <c r="I970" s="38"/>
      <c r="J970" s="37"/>
      <c r="N970" s="37"/>
      <c r="Z970" s="79"/>
    </row>
    <row r="971" ht="15.75" customHeight="1">
      <c r="H971" s="37"/>
      <c r="I971" s="38"/>
      <c r="J971" s="37"/>
      <c r="N971" s="37"/>
      <c r="Z971" s="79"/>
    </row>
    <row r="972" ht="15.75" customHeight="1">
      <c r="H972" s="37"/>
      <c r="I972" s="38"/>
      <c r="J972" s="37"/>
      <c r="N972" s="37"/>
      <c r="Z972" s="79"/>
    </row>
    <row r="973" ht="15.75" customHeight="1">
      <c r="H973" s="37"/>
      <c r="I973" s="38"/>
      <c r="J973" s="37"/>
      <c r="N973" s="37"/>
      <c r="Z973" s="79"/>
    </row>
    <row r="974" ht="15.75" customHeight="1">
      <c r="H974" s="37"/>
      <c r="I974" s="38"/>
      <c r="J974" s="37"/>
      <c r="N974" s="37"/>
      <c r="Z974" s="79"/>
    </row>
    <row r="975" ht="15.75" customHeight="1">
      <c r="H975" s="37"/>
      <c r="I975" s="38"/>
      <c r="J975" s="37"/>
      <c r="N975" s="37"/>
      <c r="Z975" s="79"/>
    </row>
    <row r="976" ht="15.75" customHeight="1">
      <c r="H976" s="37"/>
      <c r="I976" s="38"/>
      <c r="J976" s="37"/>
      <c r="N976" s="37"/>
      <c r="Z976" s="79"/>
    </row>
    <row r="977" ht="15.75" customHeight="1">
      <c r="H977" s="37"/>
      <c r="I977" s="38"/>
      <c r="J977" s="37"/>
      <c r="N977" s="37"/>
      <c r="Z977" s="79"/>
    </row>
    <row r="978" ht="15.75" customHeight="1">
      <c r="H978" s="37"/>
      <c r="I978" s="38"/>
      <c r="J978" s="37"/>
      <c r="N978" s="37"/>
      <c r="Z978" s="79"/>
    </row>
    <row r="979" ht="15.75" customHeight="1">
      <c r="H979" s="37"/>
      <c r="I979" s="38"/>
      <c r="J979" s="37"/>
      <c r="N979" s="37"/>
      <c r="Z979" s="79"/>
    </row>
    <row r="980" ht="15.75" customHeight="1">
      <c r="H980" s="37"/>
      <c r="I980" s="38"/>
      <c r="J980" s="37"/>
      <c r="N980" s="37"/>
      <c r="Z980" s="79"/>
    </row>
    <row r="981" ht="15.75" customHeight="1">
      <c r="H981" s="37"/>
      <c r="I981" s="38"/>
      <c r="J981" s="37"/>
      <c r="N981" s="37"/>
      <c r="Z981" s="79"/>
    </row>
    <row r="982" ht="15.75" customHeight="1">
      <c r="H982" s="37"/>
      <c r="I982" s="38"/>
      <c r="J982" s="37"/>
      <c r="N982" s="37"/>
      <c r="Z982" s="79"/>
    </row>
    <row r="983" ht="15.75" customHeight="1">
      <c r="H983" s="37"/>
      <c r="I983" s="38"/>
      <c r="J983" s="37"/>
      <c r="N983" s="37"/>
      <c r="Z983" s="79"/>
    </row>
    <row r="984" ht="15.75" customHeight="1">
      <c r="H984" s="37"/>
      <c r="I984" s="38"/>
      <c r="J984" s="37"/>
      <c r="N984" s="37"/>
      <c r="Z984" s="79"/>
    </row>
    <row r="985" ht="15.75" customHeight="1">
      <c r="H985" s="37"/>
      <c r="I985" s="38"/>
      <c r="J985" s="37"/>
      <c r="N985" s="37"/>
      <c r="Z985" s="79"/>
    </row>
    <row r="986" ht="15.75" customHeight="1">
      <c r="H986" s="37"/>
      <c r="I986" s="38"/>
      <c r="J986" s="37"/>
      <c r="N986" s="37"/>
      <c r="Z986" s="79"/>
    </row>
    <row r="987" ht="15.75" customHeight="1">
      <c r="H987" s="37"/>
      <c r="I987" s="38"/>
      <c r="J987" s="37"/>
      <c r="N987" s="37"/>
      <c r="Z987" s="79"/>
    </row>
    <row r="988" ht="15.75" customHeight="1">
      <c r="H988" s="37"/>
      <c r="I988" s="38"/>
      <c r="J988" s="37"/>
      <c r="N988" s="37"/>
      <c r="Z988" s="79"/>
    </row>
    <row r="989" ht="15.75" customHeight="1">
      <c r="H989" s="37"/>
      <c r="I989" s="38"/>
      <c r="J989" s="37"/>
      <c r="N989" s="37"/>
      <c r="Z989" s="79"/>
    </row>
    <row r="990" ht="15.75" customHeight="1">
      <c r="H990" s="37"/>
      <c r="I990" s="38"/>
      <c r="J990" s="37"/>
      <c r="N990" s="37"/>
      <c r="Z990" s="79"/>
    </row>
    <row r="991" ht="15.75" customHeight="1">
      <c r="H991" s="37"/>
      <c r="I991" s="38"/>
      <c r="J991" s="37"/>
      <c r="N991" s="37"/>
      <c r="Z991" s="79"/>
    </row>
    <row r="992" ht="15.75" customHeight="1">
      <c r="H992" s="37"/>
      <c r="I992" s="38"/>
      <c r="J992" s="37"/>
      <c r="N992" s="37"/>
      <c r="Z992" s="79"/>
    </row>
    <row r="993" ht="15.75" customHeight="1">
      <c r="H993" s="37"/>
      <c r="I993" s="38"/>
      <c r="J993" s="37"/>
      <c r="N993" s="37"/>
      <c r="Z993" s="79"/>
    </row>
    <row r="994" ht="15.75" customHeight="1">
      <c r="H994" s="37"/>
      <c r="I994" s="38"/>
      <c r="J994" s="37"/>
      <c r="N994" s="37"/>
      <c r="Z994" s="79"/>
    </row>
    <row r="995" ht="15.75" customHeight="1">
      <c r="H995" s="37"/>
      <c r="I995" s="38"/>
      <c r="J995" s="37"/>
      <c r="N995" s="37"/>
      <c r="Z995" s="79"/>
    </row>
    <row r="996" ht="15.75" customHeight="1">
      <c r="H996" s="37"/>
      <c r="I996" s="38"/>
      <c r="J996" s="37"/>
      <c r="N996" s="37"/>
      <c r="Z996" s="79"/>
    </row>
    <row r="997" ht="15.75" customHeight="1">
      <c r="H997" s="37"/>
      <c r="I997" s="38"/>
      <c r="J997" s="37"/>
      <c r="N997" s="37"/>
      <c r="Z997" s="79"/>
    </row>
    <row r="998" ht="15.75" customHeight="1">
      <c r="H998" s="37"/>
      <c r="I998" s="38"/>
      <c r="J998" s="37"/>
      <c r="N998" s="37"/>
      <c r="Z998" s="79"/>
    </row>
    <row r="999" ht="15.75" customHeight="1">
      <c r="H999" s="37"/>
      <c r="I999" s="38"/>
      <c r="J999" s="37"/>
      <c r="N999" s="37"/>
      <c r="Z999" s="79"/>
    </row>
    <row r="1000" ht="15.75" customHeight="1">
      <c r="H1000" s="37"/>
      <c r="I1000" s="38"/>
      <c r="J1000" s="37"/>
      <c r="N1000" s="37"/>
      <c r="Z1000" s="79"/>
    </row>
    <row r="1001" ht="15.75" customHeight="1">
      <c r="H1001" s="37"/>
      <c r="I1001" s="38"/>
      <c r="J1001" s="37"/>
      <c r="N1001" s="37"/>
      <c r="Z1001" s="79"/>
    </row>
    <row r="1002" ht="15.75" customHeight="1">
      <c r="H1002" s="37"/>
      <c r="I1002" s="38"/>
      <c r="J1002" s="37"/>
      <c r="N1002" s="37"/>
      <c r="Z1002" s="79"/>
    </row>
    <row r="1003" ht="15.75" customHeight="1">
      <c r="H1003" s="37"/>
      <c r="I1003" s="38"/>
      <c r="J1003" s="37"/>
      <c r="N1003" s="37"/>
      <c r="Z1003" s="79"/>
    </row>
    <row r="1004" ht="15.75" customHeight="1">
      <c r="H1004" s="37"/>
      <c r="I1004" s="38"/>
      <c r="J1004" s="37"/>
      <c r="N1004" s="37"/>
      <c r="Z1004" s="79"/>
    </row>
    <row r="1005" ht="15.75" customHeight="1">
      <c r="H1005" s="37"/>
      <c r="I1005" s="38"/>
      <c r="J1005" s="37"/>
      <c r="N1005" s="37"/>
      <c r="Z1005" s="79"/>
    </row>
    <row r="1006" ht="15.75" customHeight="1">
      <c r="H1006" s="37"/>
      <c r="I1006" s="38"/>
      <c r="J1006" s="37"/>
      <c r="N1006" s="37"/>
      <c r="Z1006" s="79"/>
    </row>
    <row r="1007" ht="15.75" customHeight="1">
      <c r="H1007" s="37"/>
      <c r="I1007" s="38"/>
      <c r="J1007" s="37"/>
      <c r="N1007" s="37"/>
      <c r="Z1007" s="79"/>
    </row>
    <row r="1008" ht="15.75" customHeight="1">
      <c r="H1008" s="37"/>
      <c r="I1008" s="38"/>
      <c r="J1008" s="37"/>
      <c r="N1008" s="37"/>
      <c r="Z1008" s="79"/>
    </row>
    <row r="1009" ht="15.75" customHeight="1">
      <c r="H1009" s="37"/>
      <c r="I1009" s="38"/>
      <c r="J1009" s="37"/>
      <c r="N1009" s="37"/>
      <c r="Z1009" s="79"/>
    </row>
    <row r="1010" ht="15.75" customHeight="1">
      <c r="H1010" s="37"/>
      <c r="I1010" s="38"/>
      <c r="J1010" s="37"/>
      <c r="N1010" s="37"/>
      <c r="Z1010" s="79"/>
    </row>
    <row r="1011" ht="15.75" customHeight="1">
      <c r="H1011" s="37"/>
      <c r="I1011" s="38"/>
      <c r="J1011" s="37"/>
      <c r="N1011" s="37"/>
      <c r="Z1011" s="79"/>
    </row>
    <row r="1012" ht="15.75" customHeight="1">
      <c r="H1012" s="37"/>
      <c r="I1012" s="38"/>
      <c r="J1012" s="37"/>
      <c r="N1012" s="37"/>
      <c r="Z1012" s="79"/>
    </row>
    <row r="1013" ht="15.75" customHeight="1">
      <c r="H1013" s="37"/>
      <c r="I1013" s="38"/>
      <c r="J1013" s="37"/>
      <c r="N1013" s="37"/>
      <c r="Z1013" s="79"/>
    </row>
    <row r="1014" ht="15.75" customHeight="1">
      <c r="H1014" s="37"/>
      <c r="I1014" s="38"/>
      <c r="J1014" s="37"/>
      <c r="N1014" s="37"/>
      <c r="Z1014" s="79"/>
    </row>
    <row r="1015" ht="15.75" customHeight="1">
      <c r="H1015" s="37"/>
      <c r="I1015" s="38"/>
      <c r="J1015" s="37"/>
      <c r="N1015" s="37"/>
      <c r="Z1015" s="79"/>
    </row>
    <row r="1016" ht="15.75" customHeight="1">
      <c r="H1016" s="37"/>
      <c r="I1016" s="38"/>
      <c r="J1016" s="37"/>
      <c r="N1016" s="37"/>
      <c r="Z1016" s="79"/>
    </row>
    <row r="1017" ht="15.75" customHeight="1">
      <c r="H1017" s="37"/>
      <c r="I1017" s="38"/>
      <c r="J1017" s="37"/>
      <c r="N1017" s="37"/>
      <c r="Z1017" s="79"/>
    </row>
    <row r="1018" ht="15.75" customHeight="1">
      <c r="H1018" s="37"/>
      <c r="I1018" s="38"/>
      <c r="J1018" s="37"/>
      <c r="N1018" s="37"/>
      <c r="Z1018" s="79"/>
    </row>
    <row r="1019" ht="15.75" customHeight="1">
      <c r="H1019" s="37"/>
      <c r="I1019" s="38"/>
      <c r="J1019" s="37"/>
      <c r="N1019" s="37"/>
      <c r="Z1019" s="79"/>
    </row>
    <row r="1020" ht="15.75" customHeight="1">
      <c r="H1020" s="37"/>
      <c r="I1020" s="38"/>
      <c r="J1020" s="37"/>
      <c r="N1020" s="37"/>
      <c r="Z1020" s="79"/>
    </row>
    <row r="1021" ht="15.75" customHeight="1">
      <c r="H1021" s="37"/>
      <c r="I1021" s="38"/>
      <c r="J1021" s="37"/>
      <c r="N1021" s="37"/>
      <c r="Z1021" s="79"/>
    </row>
    <row r="1022" ht="15.75" customHeight="1">
      <c r="H1022" s="37"/>
      <c r="I1022" s="38"/>
      <c r="J1022" s="37"/>
      <c r="N1022" s="37"/>
      <c r="Z1022" s="79"/>
    </row>
    <row r="1023" ht="15.75" customHeight="1">
      <c r="H1023" s="37"/>
      <c r="I1023" s="38"/>
      <c r="J1023" s="37"/>
      <c r="N1023" s="37"/>
      <c r="Z1023" s="79"/>
    </row>
    <row r="1024" ht="15.75" customHeight="1">
      <c r="H1024" s="37"/>
      <c r="I1024" s="38"/>
      <c r="J1024" s="37"/>
      <c r="N1024" s="37"/>
      <c r="Z1024" s="79"/>
    </row>
    <row r="1025" ht="15.75" customHeight="1">
      <c r="H1025" s="37"/>
      <c r="I1025" s="38"/>
      <c r="J1025" s="37"/>
      <c r="N1025" s="37"/>
      <c r="Z1025" s="79"/>
    </row>
    <row r="1026" ht="15.75" customHeight="1">
      <c r="H1026" s="37"/>
      <c r="I1026" s="38"/>
      <c r="J1026" s="37"/>
      <c r="N1026" s="37"/>
      <c r="Z1026" s="79"/>
    </row>
    <row r="1027" ht="15.75" customHeight="1">
      <c r="H1027" s="37"/>
      <c r="I1027" s="38"/>
      <c r="J1027" s="37"/>
      <c r="N1027" s="37"/>
      <c r="Z1027" s="79"/>
    </row>
    <row r="1028" ht="15.75" customHeight="1">
      <c r="H1028" s="37"/>
      <c r="I1028" s="38"/>
      <c r="J1028" s="37"/>
      <c r="N1028" s="37"/>
      <c r="Z1028" s="79"/>
    </row>
    <row r="1029" ht="15.75" customHeight="1">
      <c r="H1029" s="37"/>
      <c r="I1029" s="38"/>
      <c r="J1029" s="37"/>
      <c r="N1029" s="37"/>
      <c r="Z1029" s="79"/>
    </row>
    <row r="1030" ht="15.75" customHeight="1">
      <c r="H1030" s="37"/>
      <c r="I1030" s="38"/>
      <c r="J1030" s="37"/>
      <c r="N1030" s="37"/>
      <c r="Z1030" s="79"/>
    </row>
    <row r="1031" ht="15.75" customHeight="1">
      <c r="H1031" s="37"/>
      <c r="I1031" s="38"/>
      <c r="J1031" s="37"/>
      <c r="N1031" s="37"/>
      <c r="Z1031" s="79"/>
    </row>
    <row r="1032" ht="15.75" customHeight="1">
      <c r="H1032" s="37"/>
      <c r="I1032" s="38"/>
      <c r="J1032" s="37"/>
      <c r="N1032" s="37"/>
      <c r="Z1032" s="79"/>
    </row>
    <row r="1033" ht="15.75" customHeight="1">
      <c r="H1033" s="37"/>
      <c r="I1033" s="38"/>
      <c r="J1033" s="37"/>
      <c r="N1033" s="37"/>
      <c r="Z1033" s="79"/>
    </row>
    <row r="1034" ht="15.75" customHeight="1">
      <c r="H1034" s="37"/>
      <c r="I1034" s="38"/>
      <c r="J1034" s="37"/>
      <c r="N1034" s="37"/>
      <c r="Z1034" s="79"/>
    </row>
    <row r="1035" ht="15.75" customHeight="1">
      <c r="H1035" s="37"/>
      <c r="I1035" s="38"/>
      <c r="J1035" s="37"/>
      <c r="N1035" s="37"/>
      <c r="Z1035" s="79"/>
    </row>
    <row r="1036" ht="15.75" customHeight="1">
      <c r="H1036" s="37"/>
      <c r="I1036" s="38"/>
      <c r="J1036" s="37"/>
      <c r="N1036" s="37"/>
      <c r="Z1036" s="79"/>
    </row>
    <row r="1037" ht="15.75" customHeight="1">
      <c r="H1037" s="37"/>
      <c r="I1037" s="38"/>
      <c r="J1037" s="37"/>
      <c r="N1037" s="37"/>
      <c r="Z1037" s="79"/>
    </row>
    <row r="1038" ht="15.75" customHeight="1">
      <c r="H1038" s="37"/>
      <c r="I1038" s="38"/>
      <c r="J1038" s="37"/>
      <c r="N1038" s="37"/>
      <c r="Z1038" s="79"/>
    </row>
    <row r="1039" ht="15.75" customHeight="1">
      <c r="H1039" s="37"/>
      <c r="I1039" s="38"/>
      <c r="J1039" s="37"/>
      <c r="N1039" s="37"/>
      <c r="Z1039" s="79"/>
    </row>
    <row r="1040" ht="15.75" customHeight="1">
      <c r="H1040" s="37"/>
      <c r="I1040" s="38"/>
      <c r="J1040" s="37"/>
      <c r="N1040" s="37"/>
      <c r="Z1040" s="79"/>
    </row>
    <row r="1041" ht="15.75" customHeight="1">
      <c r="H1041" s="37"/>
      <c r="I1041" s="38"/>
      <c r="J1041" s="37"/>
      <c r="N1041" s="37"/>
      <c r="Z1041" s="79"/>
    </row>
    <row r="1042" ht="15.75" customHeight="1">
      <c r="H1042" s="37"/>
      <c r="I1042" s="38"/>
      <c r="J1042" s="37"/>
      <c r="N1042" s="37"/>
      <c r="Z1042" s="79"/>
    </row>
    <row r="1043" ht="15.75" customHeight="1">
      <c r="H1043" s="37"/>
      <c r="I1043" s="38"/>
      <c r="J1043" s="37"/>
      <c r="N1043" s="37"/>
      <c r="Z1043" s="79"/>
    </row>
    <row r="1044" ht="15.75" customHeight="1">
      <c r="H1044" s="37"/>
      <c r="I1044" s="38"/>
      <c r="J1044" s="37"/>
      <c r="N1044" s="37"/>
      <c r="Z1044" s="79"/>
    </row>
    <row r="1045" ht="15.75" customHeight="1">
      <c r="H1045" s="37"/>
      <c r="I1045" s="38"/>
      <c r="J1045" s="37"/>
      <c r="N1045" s="37"/>
      <c r="Z1045" s="79"/>
    </row>
    <row r="1046" ht="15.75" customHeight="1">
      <c r="H1046" s="37"/>
      <c r="I1046" s="38"/>
      <c r="J1046" s="37"/>
      <c r="N1046" s="37"/>
      <c r="Z1046" s="79"/>
    </row>
    <row r="1047" ht="15.75" customHeight="1">
      <c r="H1047" s="37"/>
      <c r="I1047" s="38"/>
      <c r="J1047" s="37"/>
      <c r="N1047" s="37"/>
      <c r="Z1047" s="79"/>
    </row>
    <row r="1048" ht="15.75" customHeight="1">
      <c r="H1048" s="37"/>
      <c r="I1048" s="38"/>
      <c r="J1048" s="37"/>
      <c r="N1048" s="37"/>
      <c r="Z1048" s="79"/>
    </row>
    <row r="1049" ht="15.75" customHeight="1">
      <c r="H1049" s="37"/>
      <c r="I1049" s="38"/>
      <c r="J1049" s="37"/>
      <c r="N1049" s="37"/>
      <c r="Z1049" s="79"/>
    </row>
    <row r="1050" ht="15.75" customHeight="1">
      <c r="H1050" s="37"/>
      <c r="I1050" s="38"/>
      <c r="J1050" s="37"/>
      <c r="N1050" s="37"/>
      <c r="Z1050" s="79"/>
    </row>
    <row r="1051" ht="15.75" customHeight="1">
      <c r="H1051" s="37"/>
      <c r="I1051" s="38"/>
      <c r="J1051" s="37"/>
      <c r="N1051" s="37"/>
      <c r="Z1051" s="79"/>
    </row>
    <row r="1052" ht="15.75" customHeight="1">
      <c r="H1052" s="37"/>
      <c r="I1052" s="38"/>
      <c r="J1052" s="37"/>
      <c r="N1052" s="37"/>
      <c r="Z1052" s="79"/>
    </row>
    <row r="1053" ht="15.75" customHeight="1">
      <c r="H1053" s="37"/>
      <c r="I1053" s="38"/>
      <c r="J1053" s="37"/>
      <c r="N1053" s="37"/>
      <c r="Z1053" s="79"/>
    </row>
    <row r="1054" ht="15.75" customHeight="1">
      <c r="H1054" s="37"/>
      <c r="I1054" s="38"/>
      <c r="J1054" s="37"/>
      <c r="N1054" s="37"/>
      <c r="Z1054" s="79"/>
    </row>
    <row r="1055" ht="15.75" customHeight="1">
      <c r="H1055" s="37"/>
      <c r="I1055" s="38"/>
      <c r="J1055" s="37"/>
      <c r="N1055" s="37"/>
      <c r="Z1055" s="79"/>
    </row>
    <row r="1056" ht="15.75" customHeight="1">
      <c r="H1056" s="37"/>
      <c r="I1056" s="38"/>
      <c r="J1056" s="37"/>
      <c r="N1056" s="37"/>
      <c r="Z1056" s="79"/>
    </row>
    <row r="1057" ht="15.75" customHeight="1">
      <c r="H1057" s="37"/>
      <c r="I1057" s="38"/>
      <c r="J1057" s="37"/>
      <c r="N1057" s="37"/>
      <c r="Z1057" s="79"/>
    </row>
    <row r="1058" ht="15.75" customHeight="1">
      <c r="H1058" s="37"/>
      <c r="I1058" s="38"/>
      <c r="J1058" s="37"/>
      <c r="N1058" s="37"/>
      <c r="Z1058" s="79"/>
    </row>
    <row r="1059" ht="15.75" customHeight="1">
      <c r="H1059" s="37"/>
      <c r="I1059" s="38"/>
      <c r="J1059" s="37"/>
      <c r="N1059" s="37"/>
      <c r="Z1059" s="79"/>
    </row>
    <row r="1060" ht="15.75" customHeight="1">
      <c r="H1060" s="37"/>
      <c r="I1060" s="38"/>
      <c r="J1060" s="37"/>
      <c r="N1060" s="37"/>
      <c r="Z1060" s="79"/>
    </row>
    <row r="1061" ht="15.75" customHeight="1">
      <c r="H1061" s="37"/>
      <c r="I1061" s="38"/>
      <c r="J1061" s="37"/>
      <c r="N1061" s="37"/>
      <c r="Z1061" s="79"/>
    </row>
    <row r="1062" ht="15.75" customHeight="1">
      <c r="H1062" s="37"/>
      <c r="I1062" s="38"/>
      <c r="J1062" s="37"/>
      <c r="N1062" s="37"/>
      <c r="Z1062" s="79"/>
    </row>
    <row r="1063" ht="15.75" customHeight="1">
      <c r="H1063" s="37"/>
      <c r="I1063" s="38"/>
      <c r="J1063" s="37"/>
      <c r="N1063" s="37"/>
      <c r="Z1063" s="79"/>
    </row>
    <row r="1064" ht="15.75" customHeight="1">
      <c r="H1064" s="37"/>
      <c r="I1064" s="38"/>
      <c r="J1064" s="37"/>
      <c r="N1064" s="37"/>
      <c r="Z1064" s="79"/>
    </row>
    <row r="1065" ht="15.75" customHeight="1">
      <c r="H1065" s="37"/>
      <c r="I1065" s="38"/>
      <c r="J1065" s="37"/>
      <c r="N1065" s="37"/>
      <c r="Z1065" s="79"/>
    </row>
    <row r="1066" ht="15.75" customHeight="1">
      <c r="H1066" s="37"/>
      <c r="I1066" s="38"/>
      <c r="J1066" s="37"/>
      <c r="N1066" s="37"/>
      <c r="Z1066" s="79"/>
    </row>
    <row r="1067" ht="15.75" customHeight="1">
      <c r="H1067" s="37"/>
      <c r="I1067" s="38"/>
      <c r="J1067" s="37"/>
      <c r="N1067" s="37"/>
      <c r="Z1067" s="79"/>
    </row>
    <row r="1068" ht="15.75" customHeight="1">
      <c r="H1068" s="37"/>
      <c r="I1068" s="38"/>
      <c r="J1068" s="37"/>
      <c r="N1068" s="37"/>
      <c r="Z1068" s="79"/>
    </row>
    <row r="1069" ht="15.75" customHeight="1">
      <c r="H1069" s="37"/>
      <c r="I1069" s="38"/>
      <c r="J1069" s="37"/>
      <c r="N1069" s="37"/>
      <c r="Z1069" s="79"/>
    </row>
    <row r="1070" ht="15.75" customHeight="1">
      <c r="H1070" s="37"/>
      <c r="I1070" s="38"/>
      <c r="J1070" s="37"/>
      <c r="N1070" s="37"/>
      <c r="Z1070" s="79"/>
    </row>
    <row r="1071" ht="15.75" customHeight="1">
      <c r="H1071" s="37"/>
      <c r="I1071" s="38"/>
      <c r="J1071" s="37"/>
      <c r="N1071" s="37"/>
      <c r="Z1071" s="79"/>
    </row>
    <row r="1072" ht="15.75" customHeight="1">
      <c r="H1072" s="37"/>
      <c r="I1072" s="38"/>
      <c r="J1072" s="37"/>
      <c r="N1072" s="37"/>
      <c r="Z1072" s="79"/>
    </row>
    <row r="1073" ht="15.75" customHeight="1">
      <c r="H1073" s="37"/>
      <c r="I1073" s="38"/>
      <c r="J1073" s="37"/>
      <c r="N1073" s="37"/>
      <c r="Z1073" s="79"/>
    </row>
    <row r="1074" ht="15.75" customHeight="1">
      <c r="H1074" s="37"/>
      <c r="I1074" s="38"/>
      <c r="J1074" s="37"/>
      <c r="N1074" s="37"/>
      <c r="Z1074" s="79"/>
    </row>
    <row r="1075" ht="15.75" customHeight="1">
      <c r="H1075" s="37"/>
      <c r="I1075" s="38"/>
      <c r="J1075" s="37"/>
      <c r="N1075" s="37"/>
      <c r="Z1075" s="79"/>
    </row>
    <row r="1076" ht="15.75" customHeight="1">
      <c r="H1076" s="37"/>
      <c r="I1076" s="38"/>
      <c r="J1076" s="37"/>
      <c r="N1076" s="37"/>
      <c r="Z1076" s="79"/>
    </row>
    <row r="1077" ht="15.75" customHeight="1">
      <c r="H1077" s="37"/>
      <c r="I1077" s="38"/>
      <c r="J1077" s="37"/>
      <c r="N1077" s="37"/>
      <c r="Z1077" s="79"/>
    </row>
    <row r="1078" ht="15.75" customHeight="1">
      <c r="H1078" s="37"/>
      <c r="I1078" s="38"/>
      <c r="J1078" s="37"/>
      <c r="N1078" s="37"/>
      <c r="Z1078" s="79"/>
    </row>
    <row r="1079" ht="15.75" customHeight="1">
      <c r="H1079" s="37"/>
      <c r="I1079" s="38"/>
      <c r="J1079" s="37"/>
      <c r="N1079" s="37"/>
      <c r="Z1079" s="79"/>
    </row>
    <row r="1080" ht="15.75" customHeight="1">
      <c r="H1080" s="37"/>
      <c r="I1080" s="38"/>
      <c r="J1080" s="37"/>
      <c r="N1080" s="37"/>
      <c r="Z1080" s="79"/>
    </row>
    <row r="1081" ht="15.75" customHeight="1">
      <c r="H1081" s="37"/>
      <c r="I1081" s="38"/>
      <c r="J1081" s="37"/>
      <c r="N1081" s="37"/>
      <c r="Z1081" s="79"/>
    </row>
    <row r="1082" ht="15.75" customHeight="1">
      <c r="H1082" s="37"/>
      <c r="I1082" s="38"/>
      <c r="J1082" s="37"/>
      <c r="N1082" s="37"/>
      <c r="Z1082" s="79"/>
    </row>
    <row r="1083" ht="15.75" customHeight="1">
      <c r="H1083" s="37"/>
      <c r="I1083" s="38"/>
      <c r="J1083" s="37"/>
      <c r="N1083" s="37"/>
      <c r="Z1083" s="79"/>
    </row>
    <row r="1084" ht="15.75" customHeight="1">
      <c r="H1084" s="37"/>
      <c r="I1084" s="38"/>
      <c r="J1084" s="37"/>
      <c r="N1084" s="37"/>
      <c r="Z1084" s="79"/>
    </row>
    <row r="1085" ht="15.75" customHeight="1">
      <c r="H1085" s="37"/>
      <c r="I1085" s="38"/>
      <c r="J1085" s="37"/>
      <c r="N1085" s="37"/>
      <c r="Z1085" s="79"/>
    </row>
    <row r="1086" ht="15.75" customHeight="1">
      <c r="H1086" s="37"/>
      <c r="I1086" s="38"/>
      <c r="J1086" s="37"/>
      <c r="N1086" s="37"/>
      <c r="Z1086" s="79"/>
    </row>
    <row r="1087" ht="15.75" customHeight="1">
      <c r="H1087" s="37"/>
      <c r="I1087" s="38"/>
      <c r="J1087" s="37"/>
      <c r="N1087" s="37"/>
      <c r="Z1087" s="79"/>
    </row>
    <row r="1088" ht="15.75" customHeight="1">
      <c r="H1088" s="37"/>
      <c r="I1088" s="38"/>
      <c r="J1088" s="37"/>
      <c r="N1088" s="37"/>
      <c r="Z1088" s="79"/>
    </row>
    <row r="1089" ht="15.75" customHeight="1">
      <c r="H1089" s="37"/>
      <c r="I1089" s="38"/>
      <c r="J1089" s="37"/>
      <c r="N1089" s="37"/>
      <c r="Z1089" s="79"/>
    </row>
    <row r="1090" ht="15.75" customHeight="1">
      <c r="H1090" s="37"/>
      <c r="I1090" s="38"/>
      <c r="J1090" s="37"/>
      <c r="N1090" s="37"/>
      <c r="Z1090" s="79"/>
    </row>
    <row r="1091" ht="15.75" customHeight="1">
      <c r="H1091" s="37"/>
      <c r="I1091" s="38"/>
      <c r="J1091" s="37"/>
      <c r="N1091" s="37"/>
      <c r="Z1091" s="79"/>
    </row>
    <row r="1092" ht="15.75" customHeight="1">
      <c r="H1092" s="37"/>
      <c r="I1092" s="38"/>
      <c r="J1092" s="37"/>
      <c r="N1092" s="37"/>
      <c r="Z1092" s="79"/>
    </row>
    <row r="1093" ht="15.75" customHeight="1">
      <c r="H1093" s="37"/>
      <c r="I1093" s="38"/>
      <c r="J1093" s="37"/>
      <c r="N1093" s="37"/>
      <c r="Z1093" s="79"/>
    </row>
    <row r="1094" ht="15.75" customHeight="1">
      <c r="H1094" s="37"/>
      <c r="I1094" s="38"/>
      <c r="J1094" s="37"/>
      <c r="N1094" s="37"/>
      <c r="Z1094" s="79"/>
    </row>
    <row r="1095" ht="15.75" customHeight="1">
      <c r="H1095" s="37"/>
      <c r="I1095" s="38"/>
      <c r="J1095" s="37"/>
      <c r="N1095" s="37"/>
      <c r="Z1095" s="79"/>
    </row>
    <row r="1096" ht="15.75" customHeight="1">
      <c r="H1096" s="37"/>
      <c r="I1096" s="38"/>
      <c r="J1096" s="37"/>
      <c r="N1096" s="37"/>
      <c r="Z1096" s="79"/>
    </row>
    <row r="1097" ht="15.75" customHeight="1">
      <c r="H1097" s="37"/>
      <c r="I1097" s="38"/>
      <c r="J1097" s="37"/>
      <c r="N1097" s="37"/>
      <c r="Z1097" s="79"/>
    </row>
    <row r="1098" ht="15.75" customHeight="1">
      <c r="H1098" s="37"/>
      <c r="I1098" s="38"/>
      <c r="J1098" s="37"/>
      <c r="N1098" s="37"/>
      <c r="Z1098" s="79"/>
    </row>
    <row r="1099" ht="15.75" customHeight="1">
      <c r="H1099" s="37"/>
      <c r="I1099" s="38"/>
      <c r="J1099" s="37"/>
      <c r="N1099" s="37"/>
      <c r="Z1099" s="79"/>
    </row>
    <row r="1100" ht="15.75" customHeight="1">
      <c r="H1100" s="37"/>
      <c r="I1100" s="38"/>
      <c r="J1100" s="37"/>
      <c r="N1100" s="37"/>
      <c r="Z1100" s="79"/>
    </row>
    <row r="1101" ht="15.75" customHeight="1">
      <c r="H1101" s="37"/>
      <c r="I1101" s="38"/>
      <c r="J1101" s="37"/>
      <c r="N1101" s="37"/>
      <c r="Z1101" s="79"/>
    </row>
    <row r="1102" ht="15.75" customHeight="1">
      <c r="H1102" s="37"/>
      <c r="I1102" s="38"/>
      <c r="J1102" s="37"/>
      <c r="N1102" s="37"/>
      <c r="Z1102" s="79"/>
    </row>
    <row r="1103" ht="15.75" customHeight="1">
      <c r="H1103" s="37"/>
      <c r="I1103" s="38"/>
      <c r="J1103" s="37"/>
      <c r="N1103" s="37"/>
      <c r="Z1103" s="79"/>
    </row>
    <row r="1104" ht="15.75" customHeight="1">
      <c r="H1104" s="37"/>
      <c r="I1104" s="38"/>
      <c r="J1104" s="37"/>
      <c r="N1104" s="37"/>
      <c r="Z1104" s="79"/>
    </row>
    <row r="1105" ht="15.75" customHeight="1">
      <c r="H1105" s="37"/>
      <c r="I1105" s="38"/>
      <c r="J1105" s="37"/>
      <c r="N1105" s="37"/>
      <c r="Z1105" s="79"/>
    </row>
    <row r="1106" ht="15.75" customHeight="1">
      <c r="H1106" s="37"/>
      <c r="I1106" s="38"/>
      <c r="J1106" s="37"/>
      <c r="N1106" s="37"/>
      <c r="Z1106" s="79"/>
    </row>
    <row r="1107" ht="15.75" customHeight="1">
      <c r="H1107" s="37"/>
      <c r="I1107" s="38"/>
      <c r="J1107" s="37"/>
      <c r="N1107" s="37"/>
      <c r="Z1107" s="79"/>
    </row>
    <row r="1108" ht="15.75" customHeight="1">
      <c r="H1108" s="37"/>
      <c r="I1108" s="38"/>
      <c r="J1108" s="37"/>
      <c r="N1108" s="37"/>
      <c r="Z1108" s="79"/>
    </row>
    <row r="1109" ht="15.75" customHeight="1">
      <c r="H1109" s="37"/>
      <c r="I1109" s="38"/>
      <c r="J1109" s="37"/>
      <c r="N1109" s="37"/>
      <c r="Z1109" s="79"/>
    </row>
    <row r="1110" ht="15.75" customHeight="1">
      <c r="H1110" s="37"/>
      <c r="I1110" s="38"/>
      <c r="J1110" s="37"/>
      <c r="N1110" s="37"/>
      <c r="Z1110" s="79"/>
    </row>
    <row r="1111" ht="15.75" customHeight="1">
      <c r="H1111" s="37"/>
      <c r="I1111" s="38"/>
      <c r="J1111" s="37"/>
      <c r="N1111" s="37"/>
      <c r="Z1111" s="79"/>
    </row>
    <row r="1112" ht="15.75" customHeight="1">
      <c r="H1112" s="37"/>
      <c r="I1112" s="38"/>
      <c r="J1112" s="37"/>
      <c r="N1112" s="37"/>
      <c r="Z1112" s="79"/>
    </row>
    <row r="1113" ht="15.75" customHeight="1">
      <c r="H1113" s="37"/>
      <c r="I1113" s="38"/>
      <c r="J1113" s="37"/>
      <c r="N1113" s="37"/>
      <c r="Z1113" s="79"/>
    </row>
    <row r="1114" ht="15.75" customHeight="1">
      <c r="H1114" s="37"/>
      <c r="I1114" s="38"/>
      <c r="J1114" s="37"/>
      <c r="N1114" s="37"/>
      <c r="Z1114" s="79"/>
    </row>
    <row r="1115" ht="15.75" customHeight="1">
      <c r="H1115" s="37"/>
      <c r="I1115" s="38"/>
      <c r="J1115" s="37"/>
      <c r="N1115" s="37"/>
      <c r="Z1115" s="79"/>
    </row>
    <row r="1116" ht="15.75" customHeight="1">
      <c r="H1116" s="37"/>
      <c r="I1116" s="38"/>
      <c r="J1116" s="37"/>
      <c r="N1116" s="37"/>
      <c r="Z1116" s="79"/>
    </row>
    <row r="1117" ht="15.75" customHeight="1">
      <c r="H1117" s="37"/>
      <c r="I1117" s="38"/>
      <c r="J1117" s="37"/>
      <c r="N1117" s="37"/>
      <c r="Z1117" s="79"/>
    </row>
    <row r="1118" ht="15.75" customHeight="1">
      <c r="H1118" s="37"/>
      <c r="I1118" s="38"/>
      <c r="J1118" s="37"/>
      <c r="N1118" s="37"/>
      <c r="Z1118" s="79"/>
    </row>
    <row r="1119" ht="15.75" customHeight="1">
      <c r="H1119" s="37"/>
      <c r="I1119" s="38"/>
      <c r="J1119" s="37"/>
      <c r="N1119" s="37"/>
      <c r="Z1119" s="79"/>
    </row>
    <row r="1120" ht="15.75" customHeight="1">
      <c r="H1120" s="37"/>
      <c r="I1120" s="38"/>
      <c r="J1120" s="37"/>
      <c r="N1120" s="37"/>
      <c r="Z1120" s="79"/>
    </row>
    <row r="1121" ht="15.75" customHeight="1">
      <c r="H1121" s="37"/>
      <c r="I1121" s="38"/>
      <c r="J1121" s="37"/>
      <c r="N1121" s="37"/>
      <c r="Z1121" s="79"/>
    </row>
    <row r="1122" ht="15.75" customHeight="1">
      <c r="H1122" s="37"/>
      <c r="I1122" s="38"/>
      <c r="J1122" s="37"/>
      <c r="N1122" s="37"/>
      <c r="Z1122" s="79"/>
    </row>
    <row r="1123" ht="15.75" customHeight="1">
      <c r="H1123" s="37"/>
      <c r="I1123" s="38"/>
      <c r="J1123" s="37"/>
      <c r="N1123" s="37"/>
      <c r="Z1123" s="79"/>
    </row>
    <row r="1124" ht="15.75" customHeight="1">
      <c r="H1124" s="37"/>
      <c r="I1124" s="38"/>
      <c r="J1124" s="37"/>
      <c r="N1124" s="37"/>
      <c r="Z1124" s="79"/>
    </row>
    <row r="1125" ht="15.75" customHeight="1">
      <c r="H1125" s="37"/>
      <c r="I1125" s="38"/>
      <c r="J1125" s="37"/>
      <c r="N1125" s="37"/>
      <c r="Z1125" s="79"/>
    </row>
    <row r="1126" ht="15.75" customHeight="1">
      <c r="H1126" s="37"/>
      <c r="I1126" s="38"/>
      <c r="J1126" s="37"/>
      <c r="N1126" s="37"/>
      <c r="Z1126" s="79"/>
    </row>
    <row r="1127" ht="15.75" customHeight="1">
      <c r="H1127" s="37"/>
      <c r="I1127" s="38"/>
      <c r="J1127" s="37"/>
      <c r="N1127" s="37"/>
      <c r="Z1127" s="79"/>
    </row>
    <row r="1128" ht="15.75" customHeight="1">
      <c r="H1128" s="37"/>
      <c r="I1128" s="38"/>
      <c r="J1128" s="37"/>
      <c r="N1128" s="37"/>
      <c r="Z1128" s="79"/>
    </row>
    <row r="1129" ht="15.75" customHeight="1">
      <c r="H1129" s="37"/>
      <c r="I1129" s="38"/>
      <c r="J1129" s="37"/>
      <c r="N1129" s="37"/>
      <c r="Z1129" s="79"/>
    </row>
    <row r="1130" ht="15.75" customHeight="1">
      <c r="H1130" s="37"/>
      <c r="I1130" s="38"/>
      <c r="J1130" s="37"/>
      <c r="N1130" s="37"/>
      <c r="Z1130" s="79"/>
    </row>
    <row r="1131" ht="15.75" customHeight="1">
      <c r="H1131" s="37"/>
      <c r="I1131" s="38"/>
      <c r="J1131" s="37"/>
      <c r="N1131" s="37"/>
      <c r="Z1131" s="79"/>
    </row>
    <row r="1132" ht="15.75" customHeight="1">
      <c r="H1132" s="37"/>
      <c r="I1132" s="38"/>
      <c r="J1132" s="37"/>
      <c r="N1132" s="37"/>
      <c r="Z1132" s="79"/>
    </row>
    <row r="1133" ht="15.75" customHeight="1">
      <c r="H1133" s="37"/>
      <c r="I1133" s="38"/>
      <c r="J1133" s="37"/>
      <c r="N1133" s="37"/>
      <c r="Z1133" s="79"/>
    </row>
    <row r="1134" ht="15.75" customHeight="1">
      <c r="H1134" s="37"/>
      <c r="I1134" s="38"/>
      <c r="J1134" s="37"/>
      <c r="N1134" s="37"/>
      <c r="Z1134" s="79"/>
    </row>
    <row r="1135" ht="15.75" customHeight="1">
      <c r="H1135" s="37"/>
      <c r="I1135" s="38"/>
      <c r="J1135" s="37"/>
      <c r="N1135" s="37"/>
      <c r="Z1135" s="79"/>
    </row>
    <row r="1136" ht="15.75" customHeight="1">
      <c r="H1136" s="37"/>
      <c r="I1136" s="38"/>
      <c r="J1136" s="37"/>
      <c r="N1136" s="37"/>
      <c r="Z1136" s="79"/>
    </row>
    <row r="1137" ht="15.75" customHeight="1">
      <c r="H1137" s="37"/>
      <c r="I1137" s="38"/>
      <c r="J1137" s="37"/>
      <c r="N1137" s="37"/>
      <c r="Z1137" s="79"/>
    </row>
    <row r="1138" ht="15.75" customHeight="1">
      <c r="H1138" s="37"/>
      <c r="I1138" s="38"/>
      <c r="J1138" s="37"/>
      <c r="N1138" s="37"/>
      <c r="Z1138" s="79"/>
    </row>
    <row r="1139" ht="15.75" customHeight="1">
      <c r="H1139" s="37"/>
      <c r="I1139" s="38"/>
      <c r="J1139" s="37"/>
      <c r="N1139" s="37"/>
      <c r="Z1139" s="79"/>
    </row>
    <row r="1140" ht="15.75" customHeight="1">
      <c r="H1140" s="37"/>
      <c r="I1140" s="38"/>
      <c r="J1140" s="37"/>
      <c r="N1140" s="37"/>
      <c r="Z1140" s="79"/>
    </row>
    <row r="1141" ht="15.75" customHeight="1">
      <c r="H1141" s="37"/>
      <c r="I1141" s="38"/>
      <c r="J1141" s="37"/>
      <c r="N1141" s="37"/>
      <c r="Z1141" s="79"/>
    </row>
    <row r="1142" ht="15.75" customHeight="1">
      <c r="H1142" s="37"/>
      <c r="I1142" s="38"/>
      <c r="J1142" s="37"/>
      <c r="N1142" s="37"/>
      <c r="Z1142" s="79"/>
    </row>
    <row r="1143" ht="15.75" customHeight="1">
      <c r="H1143" s="37"/>
      <c r="I1143" s="38"/>
      <c r="J1143" s="37"/>
      <c r="N1143" s="37"/>
      <c r="Z1143" s="79"/>
    </row>
    <row r="1144" ht="15.75" customHeight="1">
      <c r="H1144" s="37"/>
      <c r="I1144" s="38"/>
      <c r="J1144" s="37"/>
      <c r="N1144" s="37"/>
      <c r="Z1144" s="79"/>
    </row>
    <row r="1145" ht="15.75" customHeight="1">
      <c r="H1145" s="37"/>
      <c r="I1145" s="38"/>
      <c r="J1145" s="37"/>
      <c r="N1145" s="37"/>
      <c r="Z1145" s="79"/>
    </row>
    <row r="1146" ht="15.75" customHeight="1">
      <c r="H1146" s="37"/>
      <c r="I1146" s="38"/>
      <c r="J1146" s="37"/>
      <c r="N1146" s="37"/>
      <c r="Z1146" s="79"/>
    </row>
    <row r="1147" ht="15.75" customHeight="1">
      <c r="H1147" s="37"/>
      <c r="I1147" s="38"/>
      <c r="J1147" s="37"/>
      <c r="N1147" s="37"/>
      <c r="Z1147" s="79"/>
    </row>
    <row r="1148" ht="15.75" customHeight="1">
      <c r="H1148" s="37"/>
      <c r="I1148" s="38"/>
      <c r="J1148" s="37"/>
      <c r="N1148" s="37"/>
      <c r="Z1148" s="79"/>
    </row>
    <row r="1149" ht="15.75" customHeight="1">
      <c r="H1149" s="37"/>
      <c r="I1149" s="38"/>
      <c r="J1149" s="37"/>
      <c r="N1149" s="37"/>
      <c r="Z1149" s="79"/>
    </row>
    <row r="1150" ht="15.75" customHeight="1">
      <c r="H1150" s="37"/>
      <c r="I1150" s="38"/>
      <c r="J1150" s="37"/>
      <c r="N1150" s="37"/>
      <c r="Z1150" s="79"/>
    </row>
    <row r="1151" ht="15.75" customHeight="1">
      <c r="H1151" s="37"/>
      <c r="I1151" s="38"/>
      <c r="J1151" s="37"/>
      <c r="N1151" s="37"/>
      <c r="Z1151" s="79"/>
    </row>
    <row r="1152" ht="15.75" customHeight="1">
      <c r="H1152" s="37"/>
      <c r="I1152" s="38"/>
      <c r="J1152" s="37"/>
      <c r="N1152" s="37"/>
      <c r="Z1152" s="79"/>
    </row>
    <row r="1153" ht="15.75" customHeight="1">
      <c r="H1153" s="37"/>
      <c r="I1153" s="38"/>
      <c r="J1153" s="37"/>
      <c r="N1153" s="37"/>
      <c r="Z1153" s="79"/>
    </row>
    <row r="1154" ht="15.75" customHeight="1">
      <c r="H1154" s="37"/>
      <c r="I1154" s="38"/>
      <c r="J1154" s="37"/>
      <c r="N1154" s="37"/>
      <c r="Z1154" s="79"/>
    </row>
    <row r="1155" ht="15.75" customHeight="1">
      <c r="H1155" s="37"/>
      <c r="I1155" s="38"/>
      <c r="J1155" s="37"/>
      <c r="N1155" s="37"/>
      <c r="Z1155" s="79"/>
    </row>
    <row r="1156" ht="15.75" customHeight="1">
      <c r="H1156" s="37"/>
      <c r="I1156" s="38"/>
      <c r="J1156" s="37"/>
      <c r="N1156" s="37"/>
      <c r="Z1156" s="79"/>
    </row>
    <row r="1157" ht="15.75" customHeight="1">
      <c r="H1157" s="37"/>
      <c r="I1157" s="38"/>
      <c r="J1157" s="37"/>
      <c r="N1157" s="37"/>
      <c r="Z1157" s="79"/>
    </row>
    <row r="1158" ht="15.75" customHeight="1">
      <c r="H1158" s="37"/>
      <c r="I1158" s="38"/>
      <c r="J1158" s="37"/>
      <c r="N1158" s="37"/>
      <c r="Z1158" s="79"/>
    </row>
    <row r="1159" ht="15.75" customHeight="1">
      <c r="H1159" s="37"/>
      <c r="I1159" s="38"/>
      <c r="J1159" s="37"/>
      <c r="N1159" s="37"/>
      <c r="Z1159" s="79"/>
    </row>
    <row r="1160" ht="15.75" customHeight="1">
      <c r="H1160" s="37"/>
      <c r="I1160" s="38"/>
      <c r="J1160" s="37"/>
      <c r="N1160" s="37"/>
      <c r="Z1160" s="79"/>
    </row>
    <row r="1161" ht="15.75" customHeight="1">
      <c r="H1161" s="37"/>
      <c r="I1161" s="38"/>
      <c r="J1161" s="37"/>
      <c r="N1161" s="37"/>
      <c r="Z1161" s="79"/>
    </row>
    <row r="1162" ht="15.75" customHeight="1">
      <c r="H1162" s="37"/>
      <c r="I1162" s="38"/>
      <c r="J1162" s="37"/>
      <c r="N1162" s="37"/>
      <c r="Z1162" s="79"/>
    </row>
    <row r="1163" ht="15.75" customHeight="1">
      <c r="H1163" s="37"/>
      <c r="I1163" s="38"/>
      <c r="J1163" s="37"/>
      <c r="N1163" s="37"/>
      <c r="Z1163" s="79"/>
    </row>
    <row r="1164" ht="15.75" customHeight="1">
      <c r="H1164" s="37"/>
      <c r="I1164" s="38"/>
      <c r="J1164" s="37"/>
      <c r="N1164" s="37"/>
      <c r="Z1164" s="79"/>
    </row>
    <row r="1165" ht="15.75" customHeight="1">
      <c r="H1165" s="37"/>
      <c r="I1165" s="38"/>
      <c r="J1165" s="37"/>
      <c r="N1165" s="37"/>
      <c r="Z1165" s="79"/>
    </row>
    <row r="1166" ht="15.75" customHeight="1">
      <c r="H1166" s="37"/>
      <c r="I1166" s="38"/>
      <c r="J1166" s="37"/>
      <c r="N1166" s="37"/>
      <c r="Z1166" s="79"/>
    </row>
    <row r="1167" ht="15.75" customHeight="1">
      <c r="H1167" s="37"/>
      <c r="I1167" s="38"/>
      <c r="J1167" s="37"/>
      <c r="N1167" s="37"/>
      <c r="Z1167" s="79"/>
    </row>
    <row r="1168" ht="15.75" customHeight="1">
      <c r="H1168" s="37"/>
      <c r="I1168" s="38"/>
      <c r="J1168" s="37"/>
      <c r="N1168" s="37"/>
      <c r="Z1168" s="79"/>
    </row>
    <row r="1169" ht="15.75" customHeight="1">
      <c r="H1169" s="37"/>
      <c r="I1169" s="38"/>
      <c r="J1169" s="37"/>
      <c r="N1169" s="37"/>
      <c r="Z1169" s="79"/>
    </row>
    <row r="1170" ht="15.75" customHeight="1">
      <c r="H1170" s="37"/>
      <c r="I1170" s="38"/>
      <c r="J1170" s="37"/>
      <c r="N1170" s="37"/>
      <c r="Z1170" s="79"/>
    </row>
    <row r="1171" ht="15.75" customHeight="1">
      <c r="H1171" s="37"/>
      <c r="I1171" s="38"/>
      <c r="J1171" s="37"/>
      <c r="N1171" s="37"/>
      <c r="Z1171" s="79"/>
    </row>
    <row r="1172" ht="15.75" customHeight="1">
      <c r="H1172" s="37"/>
      <c r="I1172" s="38"/>
      <c r="J1172" s="37"/>
      <c r="N1172" s="37"/>
      <c r="Z1172" s="79"/>
    </row>
    <row r="1173" ht="15.75" customHeight="1">
      <c r="H1173" s="37"/>
      <c r="I1173" s="38"/>
      <c r="J1173" s="37"/>
      <c r="N1173" s="37"/>
      <c r="Z1173" s="79"/>
    </row>
    <row r="1174" ht="15.75" customHeight="1">
      <c r="H1174" s="37"/>
      <c r="I1174" s="38"/>
      <c r="J1174" s="37"/>
      <c r="N1174" s="37"/>
      <c r="Z1174" s="79"/>
    </row>
    <row r="1175" ht="15.75" customHeight="1">
      <c r="H1175" s="37"/>
      <c r="I1175" s="38"/>
      <c r="J1175" s="37"/>
      <c r="N1175" s="37"/>
      <c r="Z1175" s="79"/>
    </row>
    <row r="1176" ht="15.75" customHeight="1">
      <c r="H1176" s="37"/>
      <c r="I1176" s="38"/>
      <c r="J1176" s="37"/>
      <c r="N1176" s="37"/>
      <c r="Z1176" s="79"/>
    </row>
    <row r="1177" ht="15.75" customHeight="1">
      <c r="H1177" s="37"/>
      <c r="I1177" s="38"/>
      <c r="J1177" s="37"/>
      <c r="N1177" s="37"/>
      <c r="Z1177" s="79"/>
    </row>
    <row r="1178" ht="15.75" customHeight="1">
      <c r="H1178" s="37"/>
      <c r="I1178" s="38"/>
      <c r="J1178" s="37"/>
      <c r="N1178" s="37"/>
      <c r="Z1178" s="79"/>
    </row>
    <row r="1179" ht="15.75" customHeight="1">
      <c r="H1179" s="37"/>
      <c r="I1179" s="38"/>
      <c r="J1179" s="37"/>
      <c r="N1179" s="37"/>
      <c r="Z1179" s="79"/>
    </row>
    <row r="1180" ht="15.75" customHeight="1">
      <c r="H1180" s="37"/>
      <c r="I1180" s="38"/>
      <c r="J1180" s="37"/>
      <c r="N1180" s="37"/>
      <c r="Z1180" s="79"/>
    </row>
    <row r="1181" ht="15.75" customHeight="1">
      <c r="H1181" s="37"/>
      <c r="I1181" s="38"/>
      <c r="J1181" s="37"/>
      <c r="N1181" s="37"/>
      <c r="Z1181" s="79"/>
    </row>
    <row r="1182" ht="15.75" customHeight="1">
      <c r="H1182" s="37"/>
      <c r="I1182" s="38"/>
      <c r="J1182" s="37"/>
      <c r="N1182" s="37"/>
      <c r="Z1182" s="79"/>
    </row>
    <row r="1183" ht="15.75" customHeight="1">
      <c r="H1183" s="37"/>
      <c r="I1183" s="38"/>
      <c r="J1183" s="37"/>
      <c r="N1183" s="37"/>
      <c r="Z1183" s="79"/>
    </row>
    <row r="1184" ht="15.75" customHeight="1">
      <c r="H1184" s="37"/>
      <c r="I1184" s="38"/>
      <c r="J1184" s="37"/>
      <c r="N1184" s="37"/>
      <c r="Z1184" s="79"/>
    </row>
    <row r="1185" ht="15.75" customHeight="1">
      <c r="H1185" s="37"/>
      <c r="I1185" s="38"/>
      <c r="J1185" s="37"/>
      <c r="N1185" s="37"/>
      <c r="Z1185" s="79"/>
    </row>
    <row r="1186" ht="15.75" customHeight="1">
      <c r="H1186" s="37"/>
      <c r="I1186" s="38"/>
      <c r="J1186" s="37"/>
      <c r="N1186" s="37"/>
      <c r="Z1186" s="79"/>
    </row>
    <row r="1187" ht="15.75" customHeight="1">
      <c r="H1187" s="37"/>
      <c r="I1187" s="38"/>
      <c r="J1187" s="37"/>
      <c r="N1187" s="37"/>
      <c r="Z1187" s="79"/>
    </row>
    <row r="1188" ht="15.75" customHeight="1">
      <c r="H1188" s="37"/>
      <c r="I1188" s="38"/>
      <c r="J1188" s="37"/>
      <c r="N1188" s="37"/>
      <c r="Z1188" s="79"/>
    </row>
    <row r="1189" ht="15.75" customHeight="1">
      <c r="H1189" s="37"/>
      <c r="I1189" s="38"/>
      <c r="J1189" s="37"/>
      <c r="N1189" s="37"/>
      <c r="Z1189" s="79"/>
    </row>
    <row r="1190" ht="15.75" customHeight="1">
      <c r="H1190" s="37"/>
      <c r="I1190" s="38"/>
      <c r="J1190" s="37"/>
      <c r="N1190" s="37"/>
      <c r="Z1190" s="79"/>
    </row>
    <row r="1191" ht="15.75" customHeight="1">
      <c r="H1191" s="37"/>
      <c r="I1191" s="38"/>
      <c r="J1191" s="37"/>
      <c r="N1191" s="37"/>
      <c r="Z1191" s="79"/>
    </row>
    <row r="1192" ht="15.75" customHeight="1">
      <c r="H1192" s="37"/>
      <c r="I1192" s="38"/>
      <c r="J1192" s="37"/>
      <c r="N1192" s="37"/>
      <c r="Z1192" s="79"/>
    </row>
    <row r="1193" ht="15.75" customHeight="1">
      <c r="H1193" s="37"/>
      <c r="I1193" s="38"/>
      <c r="J1193" s="37"/>
      <c r="N1193" s="37"/>
      <c r="Z1193" s="79"/>
    </row>
    <row r="1194" ht="15.75" customHeight="1">
      <c r="H1194" s="37"/>
      <c r="I1194" s="38"/>
      <c r="J1194" s="37"/>
      <c r="N1194" s="37"/>
      <c r="Z1194" s="79"/>
    </row>
    <row r="1195" ht="15.75" customHeight="1">
      <c r="H1195" s="37"/>
      <c r="I1195" s="38"/>
      <c r="J1195" s="37"/>
      <c r="N1195" s="37"/>
      <c r="Z1195" s="79"/>
    </row>
    <row r="1196" ht="15.75" customHeight="1">
      <c r="H1196" s="37"/>
      <c r="I1196" s="38"/>
      <c r="J1196" s="37"/>
      <c r="N1196" s="37"/>
      <c r="Z1196" s="79"/>
    </row>
    <row r="1197" ht="15.75" customHeight="1">
      <c r="H1197" s="37"/>
      <c r="I1197" s="38"/>
      <c r="J1197" s="37"/>
      <c r="N1197" s="37"/>
      <c r="Z1197" s="79"/>
    </row>
    <row r="1198" ht="15.75" customHeight="1">
      <c r="H1198" s="37"/>
      <c r="I1198" s="38"/>
      <c r="J1198" s="37"/>
      <c r="N1198" s="37"/>
      <c r="Z1198" s="79"/>
    </row>
    <row r="1199" ht="15.75" customHeight="1">
      <c r="H1199" s="37"/>
      <c r="I1199" s="38"/>
      <c r="J1199" s="37"/>
      <c r="N1199" s="37"/>
      <c r="Z1199" s="79"/>
    </row>
    <row r="1200" ht="15.75" customHeight="1">
      <c r="H1200" s="37"/>
      <c r="I1200" s="38"/>
      <c r="J1200" s="37"/>
      <c r="N1200" s="37"/>
      <c r="Z1200" s="79"/>
    </row>
    <row r="1201" ht="15.75" customHeight="1">
      <c r="H1201" s="37"/>
      <c r="I1201" s="38"/>
      <c r="J1201" s="37"/>
      <c r="N1201" s="37"/>
      <c r="Z1201" s="79"/>
    </row>
    <row r="1202" ht="15.75" customHeight="1">
      <c r="H1202" s="37"/>
      <c r="I1202" s="38"/>
      <c r="J1202" s="37"/>
      <c r="N1202" s="37"/>
      <c r="Z1202" s="79"/>
    </row>
    <row r="1203" ht="15.75" customHeight="1">
      <c r="H1203" s="37"/>
      <c r="I1203" s="38"/>
      <c r="J1203" s="37"/>
      <c r="N1203" s="37"/>
      <c r="Z1203" s="79"/>
    </row>
    <row r="1204" ht="15.75" customHeight="1">
      <c r="H1204" s="37"/>
      <c r="I1204" s="38"/>
      <c r="J1204" s="37"/>
      <c r="N1204" s="37"/>
      <c r="Z1204" s="79"/>
    </row>
    <row r="1205" ht="15.75" customHeight="1">
      <c r="H1205" s="37"/>
      <c r="I1205" s="38"/>
      <c r="J1205" s="37"/>
      <c r="N1205" s="37"/>
      <c r="Z1205" s="79"/>
    </row>
    <row r="1206" ht="15.75" customHeight="1">
      <c r="H1206" s="37"/>
      <c r="I1206" s="38"/>
      <c r="J1206" s="37"/>
      <c r="N1206" s="37"/>
      <c r="Z1206" s="79"/>
    </row>
    <row r="1207" ht="15.75" customHeight="1">
      <c r="H1207" s="37"/>
      <c r="I1207" s="38"/>
      <c r="J1207" s="37"/>
      <c r="N1207" s="37"/>
      <c r="Z1207" s="79"/>
    </row>
    <row r="1208" ht="15.75" customHeight="1">
      <c r="H1208" s="37"/>
      <c r="I1208" s="38"/>
      <c r="J1208" s="37"/>
      <c r="N1208" s="37"/>
      <c r="Z1208" s="79"/>
    </row>
    <row r="1209" ht="15.75" customHeight="1">
      <c r="H1209" s="37"/>
      <c r="I1209" s="38"/>
      <c r="J1209" s="37"/>
      <c r="N1209" s="37"/>
      <c r="Z1209" s="79"/>
    </row>
    <row r="1210" ht="15.75" customHeight="1">
      <c r="H1210" s="37"/>
      <c r="I1210" s="38"/>
      <c r="J1210" s="37"/>
      <c r="N1210" s="37"/>
      <c r="Z1210" s="79"/>
    </row>
    <row r="1211" ht="15.75" customHeight="1">
      <c r="H1211" s="37"/>
      <c r="I1211" s="38"/>
      <c r="J1211" s="37"/>
      <c r="N1211" s="37"/>
      <c r="Z1211" s="79"/>
    </row>
    <row r="1212" ht="15.75" customHeight="1">
      <c r="H1212" s="37"/>
      <c r="I1212" s="38"/>
      <c r="J1212" s="37"/>
      <c r="N1212" s="37"/>
      <c r="Z1212" s="79"/>
    </row>
    <row r="1213" ht="15.75" customHeight="1">
      <c r="H1213" s="37"/>
      <c r="I1213" s="38"/>
      <c r="J1213" s="37"/>
      <c r="N1213" s="37"/>
      <c r="Z1213" s="79"/>
    </row>
    <row r="1214" ht="15.75" customHeight="1">
      <c r="H1214" s="37"/>
      <c r="I1214" s="38"/>
      <c r="J1214" s="37"/>
      <c r="N1214" s="37"/>
      <c r="Z1214" s="79"/>
    </row>
    <row r="1215" ht="15.75" customHeight="1">
      <c r="H1215" s="37"/>
      <c r="I1215" s="38"/>
      <c r="J1215" s="37"/>
      <c r="N1215" s="37"/>
      <c r="Z1215" s="79"/>
    </row>
    <row r="1216" ht="15.75" customHeight="1">
      <c r="H1216" s="37"/>
      <c r="I1216" s="38"/>
      <c r="J1216" s="37"/>
      <c r="N1216" s="37"/>
      <c r="Z1216" s="79"/>
    </row>
    <row r="1217" ht="15.75" customHeight="1">
      <c r="H1217" s="37"/>
      <c r="I1217" s="38"/>
      <c r="J1217" s="37"/>
      <c r="N1217" s="37"/>
      <c r="Z1217" s="79"/>
    </row>
    <row r="1218" ht="15.75" customHeight="1">
      <c r="H1218" s="37"/>
      <c r="I1218" s="38"/>
      <c r="J1218" s="37"/>
      <c r="N1218" s="37"/>
      <c r="Z1218" s="79"/>
    </row>
    <row r="1219" ht="15.75" customHeight="1">
      <c r="H1219" s="37"/>
      <c r="I1219" s="38"/>
      <c r="J1219" s="37"/>
      <c r="N1219" s="37"/>
      <c r="Z1219" s="79"/>
    </row>
    <row r="1220" ht="15.75" customHeight="1">
      <c r="H1220" s="37"/>
      <c r="I1220" s="38"/>
      <c r="J1220" s="37"/>
      <c r="N1220" s="37"/>
      <c r="Z1220" s="79"/>
    </row>
    <row r="1221" ht="15.75" customHeight="1">
      <c r="H1221" s="37"/>
      <c r="I1221" s="38"/>
      <c r="J1221" s="37"/>
      <c r="N1221" s="37"/>
      <c r="Z1221" s="79"/>
    </row>
    <row r="1222" ht="15.75" customHeight="1">
      <c r="H1222" s="37"/>
      <c r="I1222" s="38"/>
      <c r="J1222" s="37"/>
      <c r="N1222" s="37"/>
      <c r="Z1222" s="79"/>
    </row>
    <row r="1223" ht="15.75" customHeight="1">
      <c r="H1223" s="37"/>
      <c r="I1223" s="38"/>
      <c r="J1223" s="37"/>
      <c r="N1223" s="37"/>
      <c r="Z1223" s="79"/>
    </row>
    <row r="1224" ht="15.75" customHeight="1">
      <c r="H1224" s="37"/>
      <c r="I1224" s="38"/>
      <c r="J1224" s="37"/>
      <c r="N1224" s="37"/>
      <c r="Z1224" s="79"/>
    </row>
    <row r="1225" ht="15.75" customHeight="1">
      <c r="H1225" s="37"/>
      <c r="I1225" s="38"/>
      <c r="J1225" s="37"/>
      <c r="N1225" s="37"/>
      <c r="Z1225" s="79"/>
    </row>
    <row r="1226" ht="15.75" customHeight="1">
      <c r="H1226" s="37"/>
      <c r="I1226" s="38"/>
      <c r="J1226" s="37"/>
      <c r="N1226" s="37"/>
      <c r="Z1226" s="79"/>
    </row>
    <row r="1227" ht="15.75" customHeight="1">
      <c r="H1227" s="37"/>
      <c r="I1227" s="38"/>
      <c r="J1227" s="37"/>
      <c r="N1227" s="37"/>
      <c r="Z1227" s="79"/>
    </row>
    <row r="1228" ht="15.75" customHeight="1">
      <c r="H1228" s="37"/>
      <c r="I1228" s="38"/>
      <c r="J1228" s="37"/>
      <c r="N1228" s="37"/>
      <c r="Z1228" s="79"/>
    </row>
    <row r="1229" ht="15.75" customHeight="1">
      <c r="H1229" s="37"/>
      <c r="I1229" s="38"/>
      <c r="J1229" s="37"/>
      <c r="N1229" s="37"/>
      <c r="Z1229" s="79"/>
    </row>
    <row r="1230" ht="15.75" customHeight="1">
      <c r="H1230" s="37"/>
      <c r="I1230" s="38"/>
      <c r="J1230" s="37"/>
      <c r="N1230" s="37"/>
      <c r="Z1230" s="79"/>
    </row>
    <row r="1231" ht="15.75" customHeight="1">
      <c r="H1231" s="37"/>
      <c r="I1231" s="38"/>
      <c r="J1231" s="37"/>
      <c r="N1231" s="37"/>
      <c r="Z1231" s="79"/>
    </row>
    <row r="1232" ht="15.75" customHeight="1">
      <c r="H1232" s="37"/>
      <c r="I1232" s="38"/>
      <c r="J1232" s="37"/>
      <c r="N1232" s="37"/>
      <c r="Z1232" s="79"/>
    </row>
    <row r="1233" ht="15.75" customHeight="1">
      <c r="H1233" s="37"/>
      <c r="I1233" s="38"/>
      <c r="J1233" s="37"/>
      <c r="N1233" s="37"/>
      <c r="Z1233" s="79"/>
    </row>
    <row r="1234" ht="15.75" customHeight="1">
      <c r="H1234" s="37"/>
      <c r="I1234" s="38"/>
      <c r="J1234" s="37"/>
      <c r="N1234" s="37"/>
      <c r="Z1234" s="79"/>
    </row>
    <row r="1235" ht="15.75" customHeight="1">
      <c r="H1235" s="37"/>
      <c r="I1235" s="38"/>
      <c r="J1235" s="37"/>
      <c r="N1235" s="37"/>
      <c r="Z1235" s="79"/>
    </row>
    <row r="1236" ht="15.75" customHeight="1">
      <c r="H1236" s="37"/>
      <c r="I1236" s="38"/>
      <c r="J1236" s="37"/>
      <c r="N1236" s="37"/>
      <c r="Z1236" s="79"/>
    </row>
    <row r="1237" ht="15.75" customHeight="1">
      <c r="H1237" s="37"/>
      <c r="I1237" s="38"/>
      <c r="J1237" s="37"/>
      <c r="N1237" s="37"/>
      <c r="Z1237" s="79"/>
    </row>
    <row r="1238" ht="15.75" customHeight="1">
      <c r="H1238" s="37"/>
      <c r="I1238" s="38"/>
      <c r="J1238" s="37"/>
      <c r="N1238" s="37"/>
      <c r="Z1238" s="79"/>
    </row>
    <row r="1239" ht="15.75" customHeight="1">
      <c r="H1239" s="37"/>
      <c r="I1239" s="38"/>
      <c r="J1239" s="37"/>
      <c r="N1239" s="37"/>
      <c r="Z1239" s="79"/>
    </row>
    <row r="1240" ht="15.75" customHeight="1">
      <c r="H1240" s="37"/>
      <c r="I1240" s="38"/>
      <c r="J1240" s="37"/>
      <c r="N1240" s="37"/>
      <c r="Z1240" s="79"/>
    </row>
    <row r="1241" ht="15.75" customHeight="1">
      <c r="H1241" s="37"/>
      <c r="I1241" s="38"/>
      <c r="J1241" s="37"/>
      <c r="N1241" s="37"/>
      <c r="Z1241" s="79"/>
    </row>
    <row r="1242" ht="15.75" customHeight="1">
      <c r="H1242" s="37"/>
      <c r="I1242" s="38"/>
      <c r="J1242" s="37"/>
      <c r="N1242" s="37"/>
      <c r="Z1242" s="79"/>
    </row>
    <row r="1243" ht="15.75" customHeight="1">
      <c r="H1243" s="37"/>
      <c r="I1243" s="38"/>
      <c r="J1243" s="37"/>
      <c r="N1243" s="37"/>
      <c r="Z1243" s="79"/>
    </row>
    <row r="1244" ht="15.75" customHeight="1">
      <c r="H1244" s="37"/>
      <c r="I1244" s="38"/>
      <c r="J1244" s="37"/>
      <c r="N1244" s="37"/>
      <c r="Z1244" s="79"/>
    </row>
    <row r="1245" ht="15.75" customHeight="1">
      <c r="H1245" s="37"/>
      <c r="I1245" s="38"/>
      <c r="J1245" s="37"/>
      <c r="N1245" s="37"/>
      <c r="Z1245" s="79"/>
    </row>
    <row r="1246" ht="15.75" customHeight="1">
      <c r="H1246" s="37"/>
      <c r="I1246" s="38"/>
      <c r="J1246" s="37"/>
      <c r="N1246" s="37"/>
      <c r="Z1246" s="79"/>
    </row>
    <row r="1247" ht="15.75" customHeight="1">
      <c r="H1247" s="37"/>
      <c r="I1247" s="38"/>
      <c r="J1247" s="37"/>
      <c r="N1247" s="37"/>
      <c r="Z1247" s="79"/>
    </row>
    <row r="1248" ht="15.75" customHeight="1">
      <c r="H1248" s="37"/>
      <c r="I1248" s="38"/>
      <c r="J1248" s="37"/>
      <c r="N1248" s="37"/>
      <c r="Z1248" s="79"/>
    </row>
    <row r="1249" ht="15.75" customHeight="1">
      <c r="H1249" s="37"/>
      <c r="I1249" s="38"/>
      <c r="J1249" s="37"/>
      <c r="N1249" s="37"/>
      <c r="Z1249" s="79"/>
    </row>
    <row r="1250" ht="15.75" customHeight="1">
      <c r="H1250" s="37"/>
      <c r="I1250" s="38"/>
      <c r="J1250" s="37"/>
      <c r="N1250" s="37"/>
      <c r="Z1250" s="79"/>
    </row>
    <row r="1251" ht="15.75" customHeight="1">
      <c r="H1251" s="37"/>
      <c r="I1251" s="38"/>
      <c r="J1251" s="37"/>
      <c r="N1251" s="37"/>
      <c r="Z1251" s="79"/>
    </row>
    <row r="1252" ht="15.75" customHeight="1">
      <c r="H1252" s="37"/>
      <c r="I1252" s="38"/>
      <c r="J1252" s="37"/>
      <c r="N1252" s="37"/>
      <c r="Z1252" s="79"/>
    </row>
    <row r="1253" ht="15.75" customHeight="1">
      <c r="H1253" s="37"/>
      <c r="I1253" s="38"/>
      <c r="J1253" s="37"/>
      <c r="N1253" s="37"/>
      <c r="Z1253" s="79"/>
    </row>
    <row r="1254" ht="15.75" customHeight="1">
      <c r="H1254" s="37"/>
      <c r="I1254" s="38"/>
      <c r="J1254" s="37"/>
      <c r="N1254" s="37"/>
      <c r="Z1254" s="79"/>
    </row>
    <row r="1255" ht="15.75" customHeight="1">
      <c r="H1255" s="37"/>
      <c r="I1255" s="38"/>
      <c r="J1255" s="37"/>
      <c r="N1255" s="37"/>
      <c r="Z1255" s="79"/>
    </row>
    <row r="1256" ht="15.75" customHeight="1">
      <c r="H1256" s="37"/>
      <c r="I1256" s="38"/>
      <c r="J1256" s="37"/>
      <c r="N1256" s="37"/>
      <c r="Z1256" s="79"/>
    </row>
    <row r="1257" ht="15.75" customHeight="1">
      <c r="H1257" s="37"/>
      <c r="I1257" s="38"/>
      <c r="J1257" s="37"/>
      <c r="N1257" s="37"/>
      <c r="Z1257" s="79"/>
    </row>
    <row r="1258" ht="15.75" customHeight="1">
      <c r="H1258" s="37"/>
      <c r="I1258" s="38"/>
      <c r="J1258" s="37"/>
      <c r="N1258" s="37"/>
      <c r="Z1258" s="79"/>
    </row>
    <row r="1259" ht="15.75" customHeight="1">
      <c r="H1259" s="37"/>
      <c r="I1259" s="38"/>
      <c r="J1259" s="37"/>
      <c r="N1259" s="37"/>
      <c r="Z1259" s="79"/>
    </row>
    <row r="1260" ht="15.75" customHeight="1">
      <c r="H1260" s="37"/>
      <c r="I1260" s="38"/>
      <c r="J1260" s="37"/>
      <c r="N1260" s="37"/>
      <c r="Z1260" s="79"/>
    </row>
    <row r="1261" ht="15.75" customHeight="1">
      <c r="H1261" s="37"/>
      <c r="I1261" s="38"/>
      <c r="J1261" s="37"/>
      <c r="N1261" s="37"/>
      <c r="Z1261" s="79"/>
    </row>
    <row r="1262" ht="15.75" customHeight="1">
      <c r="H1262" s="37"/>
      <c r="I1262" s="38"/>
      <c r="J1262" s="37"/>
      <c r="N1262" s="37"/>
      <c r="Z1262" s="79"/>
    </row>
    <row r="1263" ht="15.75" customHeight="1">
      <c r="H1263" s="37"/>
      <c r="I1263" s="38"/>
      <c r="J1263" s="37"/>
      <c r="N1263" s="37"/>
      <c r="Z1263" s="79"/>
    </row>
    <row r="1264" ht="15.75" customHeight="1">
      <c r="H1264" s="37"/>
      <c r="I1264" s="38"/>
      <c r="J1264" s="37"/>
      <c r="N1264" s="37"/>
      <c r="Z1264" s="79"/>
    </row>
    <row r="1265" ht="15.75" customHeight="1">
      <c r="H1265" s="37"/>
      <c r="I1265" s="38"/>
      <c r="J1265" s="37"/>
      <c r="N1265" s="37"/>
      <c r="Z1265" s="79"/>
    </row>
    <row r="1266" ht="15.75" customHeight="1">
      <c r="H1266" s="37"/>
      <c r="I1266" s="38"/>
      <c r="J1266" s="37"/>
      <c r="N1266" s="37"/>
      <c r="Z1266" s="79"/>
    </row>
    <row r="1267" ht="15.75" customHeight="1">
      <c r="H1267" s="37"/>
      <c r="I1267" s="38"/>
      <c r="J1267" s="37"/>
      <c r="N1267" s="37"/>
      <c r="Z1267" s="79"/>
    </row>
    <row r="1268" ht="15.75" customHeight="1">
      <c r="H1268" s="37"/>
      <c r="I1268" s="38"/>
      <c r="J1268" s="37"/>
      <c r="N1268" s="37"/>
      <c r="Z1268" s="79"/>
    </row>
    <row r="1269" ht="15.75" customHeight="1">
      <c r="H1269" s="37"/>
      <c r="I1269" s="38"/>
      <c r="J1269" s="37"/>
      <c r="N1269" s="37"/>
      <c r="Z1269" s="79"/>
    </row>
    <row r="1270" ht="15.75" customHeight="1">
      <c r="H1270" s="37"/>
      <c r="I1270" s="38"/>
      <c r="J1270" s="37"/>
      <c r="N1270" s="37"/>
      <c r="Z1270" s="79"/>
    </row>
    <row r="1271" ht="15.75" customHeight="1">
      <c r="H1271" s="37"/>
      <c r="I1271" s="38"/>
      <c r="J1271" s="37"/>
      <c r="N1271" s="37"/>
      <c r="Z1271" s="79"/>
    </row>
    <row r="1272" ht="15.75" customHeight="1">
      <c r="H1272" s="37"/>
      <c r="I1272" s="38"/>
      <c r="J1272" s="37"/>
      <c r="N1272" s="37"/>
      <c r="Z1272" s="79"/>
    </row>
    <row r="1273" ht="15.75" customHeight="1">
      <c r="H1273" s="37"/>
      <c r="I1273" s="38"/>
      <c r="J1273" s="37"/>
      <c r="N1273" s="37"/>
      <c r="Z1273" s="79"/>
    </row>
    <row r="1274" ht="15.75" customHeight="1">
      <c r="H1274" s="37"/>
      <c r="I1274" s="38"/>
      <c r="J1274" s="37"/>
      <c r="N1274" s="37"/>
      <c r="Z1274" s="79"/>
    </row>
    <row r="1275" ht="15.75" customHeight="1">
      <c r="H1275" s="37"/>
      <c r="I1275" s="38"/>
      <c r="J1275" s="37"/>
      <c r="N1275" s="37"/>
      <c r="Z1275" s="79"/>
    </row>
    <row r="1276" ht="15.75" customHeight="1">
      <c r="H1276" s="37"/>
      <c r="I1276" s="38"/>
      <c r="J1276" s="37"/>
      <c r="N1276" s="37"/>
      <c r="Z1276" s="79"/>
    </row>
    <row r="1277" ht="15.75" customHeight="1">
      <c r="H1277" s="37"/>
      <c r="I1277" s="38"/>
      <c r="J1277" s="37"/>
      <c r="N1277" s="37"/>
      <c r="Z1277" s="79"/>
    </row>
    <row r="1278" ht="15.75" customHeight="1">
      <c r="H1278" s="37"/>
      <c r="I1278" s="38"/>
      <c r="J1278" s="37"/>
      <c r="N1278" s="37"/>
      <c r="Z1278" s="79"/>
    </row>
    <row r="1279" ht="15.75" customHeight="1">
      <c r="H1279" s="37"/>
      <c r="I1279" s="38"/>
      <c r="J1279" s="37"/>
      <c r="N1279" s="37"/>
      <c r="Z1279" s="79"/>
    </row>
    <row r="1280" ht="15.75" customHeight="1">
      <c r="H1280" s="37"/>
      <c r="I1280" s="38"/>
      <c r="J1280" s="37"/>
      <c r="N1280" s="37"/>
      <c r="Z1280" s="79"/>
    </row>
    <row r="1281" ht="15.75" customHeight="1">
      <c r="H1281" s="37"/>
      <c r="I1281" s="38"/>
      <c r="J1281" s="37"/>
      <c r="N1281" s="37"/>
      <c r="Z1281" s="79"/>
    </row>
    <row r="1282" ht="15.75" customHeight="1">
      <c r="H1282" s="37"/>
      <c r="I1282" s="38"/>
      <c r="J1282" s="37"/>
      <c r="N1282" s="37"/>
      <c r="Z1282" s="79"/>
    </row>
    <row r="1283" ht="15.75" customHeight="1">
      <c r="H1283" s="37"/>
      <c r="I1283" s="38"/>
      <c r="J1283" s="37"/>
      <c r="N1283" s="37"/>
      <c r="Z1283" s="79"/>
    </row>
    <row r="1284" ht="15.75" customHeight="1">
      <c r="H1284" s="37"/>
      <c r="I1284" s="38"/>
      <c r="J1284" s="37"/>
      <c r="N1284" s="37"/>
      <c r="Z1284" s="79"/>
    </row>
    <row r="1285" ht="15.75" customHeight="1">
      <c r="H1285" s="37"/>
      <c r="I1285" s="38"/>
      <c r="J1285" s="37"/>
      <c r="N1285" s="37"/>
      <c r="Z1285" s="79"/>
    </row>
    <row r="1286" ht="15.75" customHeight="1">
      <c r="H1286" s="37"/>
      <c r="I1286" s="38"/>
      <c r="J1286" s="37"/>
      <c r="N1286" s="37"/>
      <c r="Z1286" s="79"/>
    </row>
    <row r="1287" ht="15.75" customHeight="1">
      <c r="H1287" s="37"/>
      <c r="I1287" s="38"/>
      <c r="J1287" s="37"/>
      <c r="N1287" s="37"/>
      <c r="Z1287" s="79"/>
    </row>
    <row r="1288" ht="15.75" customHeight="1">
      <c r="H1288" s="37"/>
      <c r="I1288" s="38"/>
      <c r="J1288" s="37"/>
      <c r="N1288" s="37"/>
      <c r="Z1288" s="79"/>
    </row>
    <row r="1289" ht="15.75" customHeight="1">
      <c r="H1289" s="37"/>
      <c r="I1289" s="38"/>
      <c r="J1289" s="37"/>
      <c r="N1289" s="37"/>
      <c r="Z1289" s="79"/>
    </row>
    <row r="1290" ht="15.75" customHeight="1">
      <c r="H1290" s="37"/>
      <c r="I1290" s="38"/>
      <c r="J1290" s="37"/>
      <c r="N1290" s="37"/>
      <c r="Z1290" s="79"/>
    </row>
    <row r="1291" ht="15.75" customHeight="1">
      <c r="H1291" s="37"/>
      <c r="I1291" s="38"/>
      <c r="J1291" s="37"/>
      <c r="N1291" s="37"/>
      <c r="Z1291" s="79"/>
    </row>
    <row r="1292" ht="15.75" customHeight="1">
      <c r="H1292" s="37"/>
      <c r="I1292" s="38"/>
      <c r="J1292" s="37"/>
      <c r="N1292" s="37"/>
      <c r="Z1292" s="79"/>
    </row>
    <row r="1293" ht="15.75" customHeight="1">
      <c r="H1293" s="37"/>
      <c r="I1293" s="38"/>
      <c r="J1293" s="37"/>
      <c r="N1293" s="37"/>
      <c r="Z1293" s="79"/>
    </row>
    <row r="1294" ht="15.75" customHeight="1">
      <c r="H1294" s="37"/>
      <c r="I1294" s="38"/>
      <c r="J1294" s="37"/>
      <c r="N1294" s="37"/>
      <c r="Z1294" s="79"/>
    </row>
    <row r="1295" ht="15.75" customHeight="1">
      <c r="H1295" s="37"/>
      <c r="I1295" s="38"/>
      <c r="J1295" s="37"/>
      <c r="N1295" s="37"/>
      <c r="Z1295" s="79"/>
    </row>
    <row r="1296" ht="15.75" customHeight="1">
      <c r="H1296" s="37"/>
      <c r="I1296" s="38"/>
      <c r="J1296" s="37"/>
      <c r="N1296" s="37"/>
      <c r="Z1296" s="79"/>
    </row>
    <row r="1297" ht="15.75" customHeight="1">
      <c r="H1297" s="37"/>
      <c r="I1297" s="38"/>
      <c r="J1297" s="37"/>
      <c r="N1297" s="37"/>
      <c r="Z1297" s="79"/>
    </row>
    <row r="1298" ht="15.75" customHeight="1">
      <c r="H1298" s="37"/>
      <c r="I1298" s="38"/>
      <c r="J1298" s="37"/>
      <c r="N1298" s="37"/>
      <c r="Z1298" s="79"/>
    </row>
    <row r="1299" ht="15.75" customHeight="1">
      <c r="H1299" s="37"/>
      <c r="I1299" s="38"/>
      <c r="J1299" s="37"/>
      <c r="N1299" s="37"/>
      <c r="Z1299" s="79"/>
    </row>
    <row r="1300" ht="15.75" customHeight="1">
      <c r="H1300" s="37"/>
      <c r="I1300" s="38"/>
      <c r="J1300" s="37"/>
      <c r="N1300" s="37"/>
      <c r="Z1300" s="79"/>
    </row>
    <row r="1301" ht="15.75" customHeight="1">
      <c r="H1301" s="37"/>
      <c r="I1301" s="38"/>
      <c r="J1301" s="37"/>
      <c r="N1301" s="37"/>
      <c r="Z1301" s="79"/>
    </row>
    <row r="1302" ht="15.75" customHeight="1">
      <c r="H1302" s="37"/>
      <c r="I1302" s="38"/>
      <c r="J1302" s="37"/>
      <c r="N1302" s="37"/>
      <c r="Z1302" s="79"/>
    </row>
    <row r="1303" ht="15.75" customHeight="1">
      <c r="H1303" s="37"/>
      <c r="I1303" s="38"/>
      <c r="J1303" s="37"/>
      <c r="N1303" s="37"/>
      <c r="Z1303" s="79"/>
    </row>
    <row r="1304" ht="15.75" customHeight="1">
      <c r="H1304" s="37"/>
      <c r="I1304" s="38"/>
      <c r="J1304" s="37"/>
      <c r="N1304" s="37"/>
      <c r="Z1304" s="79"/>
    </row>
    <row r="1305" ht="15.75" customHeight="1">
      <c r="H1305" s="37"/>
      <c r="I1305" s="38"/>
      <c r="J1305" s="37"/>
      <c r="N1305" s="37"/>
      <c r="Z1305" s="79"/>
    </row>
    <row r="1306" ht="15.75" customHeight="1">
      <c r="H1306" s="37"/>
      <c r="I1306" s="38"/>
      <c r="J1306" s="37"/>
      <c r="N1306" s="37"/>
      <c r="Z1306" s="79"/>
    </row>
    <row r="1307" ht="15.75" customHeight="1">
      <c r="H1307" s="37"/>
      <c r="I1307" s="38"/>
      <c r="J1307" s="37"/>
      <c r="N1307" s="37"/>
      <c r="Z1307" s="79"/>
    </row>
    <row r="1308" ht="15.75" customHeight="1">
      <c r="H1308" s="37"/>
      <c r="I1308" s="38"/>
      <c r="J1308" s="37"/>
      <c r="N1308" s="37"/>
      <c r="Z1308" s="79"/>
    </row>
    <row r="1309" ht="15.75" customHeight="1">
      <c r="H1309" s="37"/>
      <c r="I1309" s="38"/>
      <c r="J1309" s="37"/>
      <c r="N1309" s="37"/>
      <c r="Z1309" s="79"/>
    </row>
    <row r="1310" ht="15.75" customHeight="1">
      <c r="H1310" s="37"/>
      <c r="I1310" s="38"/>
      <c r="J1310" s="37"/>
      <c r="N1310" s="37"/>
      <c r="Z1310" s="79"/>
    </row>
    <row r="1311" ht="15.75" customHeight="1">
      <c r="H1311" s="37"/>
      <c r="I1311" s="38"/>
      <c r="J1311" s="37"/>
      <c r="N1311" s="37"/>
      <c r="Z1311" s="79"/>
    </row>
    <row r="1312" ht="15.75" customHeight="1">
      <c r="H1312" s="37"/>
      <c r="I1312" s="38"/>
      <c r="J1312" s="37"/>
      <c r="N1312" s="37"/>
      <c r="Z1312" s="79"/>
    </row>
    <row r="1313" ht="15.75" customHeight="1">
      <c r="H1313" s="37"/>
      <c r="I1313" s="38"/>
      <c r="J1313" s="37"/>
      <c r="N1313" s="37"/>
      <c r="Z1313" s="79"/>
    </row>
    <row r="1314" ht="15.75" customHeight="1">
      <c r="H1314" s="37"/>
      <c r="I1314" s="38"/>
      <c r="J1314" s="37"/>
      <c r="N1314" s="37"/>
      <c r="Z1314" s="79"/>
    </row>
    <row r="1315" ht="15.75" customHeight="1">
      <c r="H1315" s="37"/>
      <c r="I1315" s="38"/>
      <c r="J1315" s="37"/>
      <c r="N1315" s="37"/>
      <c r="Z1315" s="79"/>
    </row>
    <row r="1316" ht="15.75" customHeight="1">
      <c r="H1316" s="37"/>
      <c r="I1316" s="38"/>
      <c r="J1316" s="37"/>
      <c r="N1316" s="37"/>
      <c r="Z1316" s="79"/>
    </row>
    <row r="1317" ht="15.75" customHeight="1">
      <c r="H1317" s="37"/>
      <c r="I1317" s="38"/>
      <c r="J1317" s="37"/>
      <c r="N1317" s="37"/>
      <c r="Z1317" s="79"/>
    </row>
    <row r="1318" ht="15.75" customHeight="1">
      <c r="H1318" s="37"/>
      <c r="I1318" s="38"/>
      <c r="J1318" s="37"/>
      <c r="N1318" s="37"/>
      <c r="Z1318" s="79"/>
    </row>
    <row r="1319" ht="15.75" customHeight="1">
      <c r="H1319" s="37"/>
      <c r="I1319" s="38"/>
      <c r="J1319" s="37"/>
      <c r="N1319" s="37"/>
      <c r="Z1319" s="79"/>
    </row>
    <row r="1320" ht="15.75" customHeight="1">
      <c r="H1320" s="37"/>
      <c r="I1320" s="38"/>
      <c r="J1320" s="37"/>
      <c r="N1320" s="37"/>
      <c r="Z1320" s="79"/>
    </row>
    <row r="1321" ht="15.75" customHeight="1">
      <c r="H1321" s="37"/>
      <c r="I1321" s="38"/>
      <c r="J1321" s="37"/>
      <c r="N1321" s="37"/>
      <c r="Z1321" s="79"/>
    </row>
    <row r="1322" ht="15.75" customHeight="1">
      <c r="H1322" s="37"/>
      <c r="I1322" s="38"/>
      <c r="J1322" s="37"/>
      <c r="N1322" s="37"/>
      <c r="Z1322" s="79"/>
    </row>
    <row r="1323" ht="15.75" customHeight="1">
      <c r="H1323" s="37"/>
      <c r="I1323" s="38"/>
      <c r="J1323" s="37"/>
      <c r="N1323" s="37"/>
      <c r="Z1323" s="79"/>
    </row>
    <row r="1324" ht="15.75" customHeight="1">
      <c r="H1324" s="37"/>
      <c r="I1324" s="38"/>
      <c r="J1324" s="37"/>
      <c r="N1324" s="37"/>
      <c r="Z1324" s="79"/>
    </row>
    <row r="1325" ht="15.75" customHeight="1">
      <c r="H1325" s="37"/>
      <c r="I1325" s="38"/>
      <c r="J1325" s="37"/>
      <c r="N1325" s="37"/>
      <c r="Z1325" s="79"/>
    </row>
    <row r="1326" ht="15.75" customHeight="1">
      <c r="H1326" s="37"/>
      <c r="I1326" s="38"/>
      <c r="J1326" s="37"/>
      <c r="N1326" s="37"/>
      <c r="Z1326" s="79"/>
    </row>
    <row r="1327" ht="15.75" customHeight="1">
      <c r="H1327" s="37"/>
      <c r="I1327" s="38"/>
      <c r="J1327" s="37"/>
      <c r="N1327" s="37"/>
      <c r="Z1327" s="79"/>
    </row>
    <row r="1328" ht="15.75" customHeight="1">
      <c r="H1328" s="37"/>
      <c r="I1328" s="38"/>
      <c r="J1328" s="37"/>
      <c r="N1328" s="37"/>
      <c r="Z1328" s="79"/>
    </row>
    <row r="1329" ht="15.75" customHeight="1">
      <c r="H1329" s="37"/>
      <c r="I1329" s="38"/>
      <c r="J1329" s="37"/>
      <c r="N1329" s="37"/>
      <c r="Z1329" s="79"/>
    </row>
    <row r="1330" ht="15.75" customHeight="1">
      <c r="H1330" s="37"/>
      <c r="I1330" s="38"/>
      <c r="J1330" s="37"/>
      <c r="N1330" s="37"/>
      <c r="Z1330" s="79"/>
    </row>
    <row r="1331" ht="15.75" customHeight="1">
      <c r="H1331" s="37"/>
      <c r="I1331" s="38"/>
      <c r="J1331" s="37"/>
      <c r="N1331" s="37"/>
      <c r="Z1331" s="79"/>
    </row>
    <row r="1332" ht="15.75" customHeight="1">
      <c r="H1332" s="37"/>
      <c r="I1332" s="38"/>
      <c r="J1332" s="37"/>
      <c r="N1332" s="37"/>
      <c r="Z1332" s="79"/>
    </row>
    <row r="1333" ht="15.75" customHeight="1">
      <c r="H1333" s="37"/>
      <c r="I1333" s="38"/>
      <c r="J1333" s="37"/>
      <c r="N1333" s="37"/>
      <c r="Z1333" s="79"/>
    </row>
    <row r="1334" ht="15.75" customHeight="1">
      <c r="H1334" s="37"/>
      <c r="I1334" s="38"/>
      <c r="J1334" s="37"/>
      <c r="N1334" s="37"/>
      <c r="Z1334" s="79"/>
    </row>
    <row r="1335" ht="15.75" customHeight="1">
      <c r="H1335" s="37"/>
      <c r="I1335" s="38"/>
      <c r="J1335" s="37"/>
      <c r="N1335" s="37"/>
      <c r="Z1335" s="79"/>
    </row>
    <row r="1336" ht="15.75" customHeight="1">
      <c r="H1336" s="37"/>
      <c r="I1336" s="38"/>
      <c r="J1336" s="37"/>
      <c r="N1336" s="37"/>
      <c r="Z1336" s="79"/>
    </row>
    <row r="1337" ht="15.75" customHeight="1">
      <c r="H1337" s="37"/>
      <c r="I1337" s="38"/>
      <c r="J1337" s="37"/>
      <c r="N1337" s="37"/>
      <c r="Z1337" s="79"/>
    </row>
    <row r="1338" ht="15.75" customHeight="1">
      <c r="H1338" s="37"/>
      <c r="I1338" s="38"/>
      <c r="J1338" s="37"/>
      <c r="N1338" s="37"/>
      <c r="Z1338" s="79"/>
    </row>
    <row r="1339" ht="15.75" customHeight="1">
      <c r="H1339" s="37"/>
      <c r="I1339" s="38"/>
      <c r="J1339" s="37"/>
      <c r="N1339" s="37"/>
      <c r="Z1339" s="79"/>
    </row>
    <row r="1340" ht="15.75" customHeight="1">
      <c r="H1340" s="37"/>
      <c r="I1340" s="38"/>
      <c r="J1340" s="37"/>
      <c r="N1340" s="37"/>
      <c r="Z1340" s="79"/>
    </row>
    <row r="1341" ht="15.75" customHeight="1">
      <c r="H1341" s="37"/>
      <c r="I1341" s="38"/>
      <c r="J1341" s="37"/>
      <c r="N1341" s="37"/>
      <c r="Z1341" s="79"/>
    </row>
    <row r="1342" ht="15.75" customHeight="1">
      <c r="H1342" s="37"/>
      <c r="I1342" s="38"/>
      <c r="J1342" s="37"/>
      <c r="N1342" s="37"/>
      <c r="Z1342" s="79"/>
    </row>
    <row r="1343" ht="15.75" customHeight="1">
      <c r="H1343" s="37"/>
      <c r="I1343" s="38"/>
      <c r="J1343" s="37"/>
      <c r="N1343" s="37"/>
      <c r="Z1343" s="79"/>
    </row>
    <row r="1344" ht="15.75" customHeight="1">
      <c r="H1344" s="37"/>
      <c r="I1344" s="38"/>
      <c r="J1344" s="37"/>
      <c r="N1344" s="37"/>
      <c r="Z1344" s="79"/>
    </row>
    <row r="1345" ht="15.75" customHeight="1">
      <c r="H1345" s="37"/>
      <c r="I1345" s="38"/>
      <c r="J1345" s="37"/>
      <c r="N1345" s="37"/>
      <c r="Z1345" s="79"/>
    </row>
    <row r="1346" ht="15.75" customHeight="1">
      <c r="H1346" s="37"/>
      <c r="I1346" s="38"/>
      <c r="J1346" s="37"/>
      <c r="N1346" s="37"/>
      <c r="Z1346" s="79"/>
    </row>
    <row r="1347" ht="15.75" customHeight="1">
      <c r="H1347" s="37"/>
      <c r="I1347" s="38"/>
      <c r="J1347" s="37"/>
      <c r="N1347" s="37"/>
      <c r="Z1347" s="79"/>
    </row>
    <row r="1348" ht="15.75" customHeight="1">
      <c r="H1348" s="37"/>
      <c r="I1348" s="38"/>
      <c r="J1348" s="37"/>
      <c r="N1348" s="37"/>
      <c r="Z1348" s="79"/>
    </row>
    <row r="1349" ht="15.75" customHeight="1">
      <c r="H1349" s="37"/>
      <c r="I1349" s="38"/>
      <c r="J1349" s="37"/>
      <c r="N1349" s="37"/>
      <c r="Z1349" s="79"/>
    </row>
    <row r="1350" ht="15.75" customHeight="1">
      <c r="H1350" s="37"/>
      <c r="I1350" s="38"/>
      <c r="J1350" s="37"/>
      <c r="N1350" s="37"/>
      <c r="Z1350" s="79"/>
    </row>
    <row r="1351" ht="15.75" customHeight="1">
      <c r="H1351" s="37"/>
      <c r="I1351" s="38"/>
      <c r="J1351" s="37"/>
      <c r="N1351" s="37"/>
      <c r="Z1351" s="79"/>
    </row>
    <row r="1352" ht="15.75" customHeight="1">
      <c r="H1352" s="37"/>
      <c r="I1352" s="38"/>
      <c r="J1352" s="37"/>
      <c r="N1352" s="37"/>
      <c r="Z1352" s="79"/>
    </row>
    <row r="1353" ht="15.75" customHeight="1">
      <c r="H1353" s="37"/>
      <c r="I1353" s="38"/>
      <c r="J1353" s="37"/>
      <c r="N1353" s="37"/>
      <c r="Z1353" s="79"/>
    </row>
    <row r="1354" ht="15.75" customHeight="1">
      <c r="H1354" s="37"/>
      <c r="I1354" s="38"/>
      <c r="J1354" s="37"/>
      <c r="N1354" s="37"/>
      <c r="Z1354" s="79"/>
    </row>
    <row r="1355" ht="15.75" customHeight="1">
      <c r="H1355" s="37"/>
      <c r="I1355" s="38"/>
      <c r="J1355" s="37"/>
      <c r="N1355" s="37"/>
      <c r="Z1355" s="79"/>
    </row>
    <row r="1356" ht="15.75" customHeight="1">
      <c r="H1356" s="37"/>
      <c r="I1356" s="38"/>
      <c r="J1356" s="37"/>
      <c r="N1356" s="37"/>
      <c r="Z1356" s="79"/>
    </row>
    <row r="1357" ht="15.75" customHeight="1">
      <c r="H1357" s="37"/>
      <c r="I1357" s="38"/>
      <c r="J1357" s="37"/>
      <c r="N1357" s="37"/>
      <c r="Z1357" s="79"/>
    </row>
    <row r="1358" ht="15.75" customHeight="1">
      <c r="H1358" s="37"/>
      <c r="I1358" s="38"/>
      <c r="J1358" s="37"/>
      <c r="N1358" s="37"/>
      <c r="Z1358" s="79"/>
    </row>
    <row r="1359" ht="15.75" customHeight="1">
      <c r="H1359" s="37"/>
      <c r="I1359" s="38"/>
      <c r="J1359" s="37"/>
      <c r="N1359" s="37"/>
      <c r="Z1359" s="79"/>
    </row>
    <row r="1360" ht="15.75" customHeight="1">
      <c r="H1360" s="37"/>
      <c r="I1360" s="38"/>
      <c r="J1360" s="37"/>
      <c r="N1360" s="37"/>
      <c r="Z1360" s="79"/>
    </row>
    <row r="1361" ht="15.75" customHeight="1">
      <c r="H1361" s="37"/>
      <c r="I1361" s="38"/>
      <c r="J1361" s="37"/>
      <c r="N1361" s="37"/>
      <c r="Z1361" s="79"/>
    </row>
    <row r="1362" ht="15.75" customHeight="1">
      <c r="H1362" s="37"/>
      <c r="I1362" s="38"/>
      <c r="J1362" s="37"/>
      <c r="N1362" s="37"/>
      <c r="Z1362" s="79"/>
    </row>
    <row r="1363" ht="15.75" customHeight="1">
      <c r="H1363" s="37"/>
      <c r="I1363" s="38"/>
      <c r="J1363" s="37"/>
      <c r="N1363" s="37"/>
      <c r="Z1363" s="79"/>
    </row>
    <row r="1364" ht="15.75" customHeight="1">
      <c r="H1364" s="37"/>
      <c r="I1364" s="38"/>
      <c r="J1364" s="37"/>
      <c r="N1364" s="37"/>
      <c r="Z1364" s="79"/>
    </row>
    <row r="1365" ht="15.75" customHeight="1">
      <c r="H1365" s="37"/>
      <c r="I1365" s="38"/>
      <c r="J1365" s="37"/>
      <c r="N1365" s="37"/>
      <c r="Z1365" s="79"/>
    </row>
    <row r="1366" ht="15.75" customHeight="1">
      <c r="H1366" s="37"/>
      <c r="I1366" s="38"/>
      <c r="J1366" s="37"/>
      <c r="N1366" s="37"/>
      <c r="Z1366" s="79"/>
    </row>
    <row r="1367" ht="15.75" customHeight="1">
      <c r="H1367" s="37"/>
      <c r="I1367" s="38"/>
      <c r="J1367" s="37"/>
      <c r="N1367" s="37"/>
      <c r="Z1367" s="79"/>
    </row>
    <row r="1368" ht="15.75" customHeight="1">
      <c r="H1368" s="37"/>
      <c r="I1368" s="38"/>
      <c r="J1368" s="37"/>
      <c r="N1368" s="37"/>
      <c r="Z1368" s="79"/>
    </row>
    <row r="1369" ht="15.75" customHeight="1">
      <c r="H1369" s="37"/>
      <c r="I1369" s="38"/>
      <c r="J1369" s="37"/>
      <c r="N1369" s="37"/>
      <c r="Z1369" s="79"/>
    </row>
    <row r="1370" ht="15.75" customHeight="1">
      <c r="H1370" s="37"/>
      <c r="I1370" s="38"/>
      <c r="J1370" s="37"/>
      <c r="N1370" s="37"/>
      <c r="Z1370" s="79"/>
    </row>
    <row r="1371" ht="15.75" customHeight="1">
      <c r="H1371" s="37"/>
      <c r="I1371" s="38"/>
      <c r="J1371" s="37"/>
      <c r="N1371" s="37"/>
      <c r="Z1371" s="79"/>
    </row>
    <row r="1372" ht="15.75" customHeight="1">
      <c r="H1372" s="37"/>
      <c r="I1372" s="38"/>
      <c r="J1372" s="37"/>
      <c r="N1372" s="37"/>
      <c r="Z1372" s="79"/>
    </row>
    <row r="1373" ht="15.75" customHeight="1">
      <c r="H1373" s="37"/>
      <c r="I1373" s="38"/>
      <c r="J1373" s="37"/>
      <c r="N1373" s="37"/>
      <c r="Z1373" s="79"/>
    </row>
    <row r="1374" ht="15.75" customHeight="1">
      <c r="H1374" s="37"/>
      <c r="I1374" s="38"/>
      <c r="J1374" s="37"/>
      <c r="N1374" s="37"/>
      <c r="Z1374" s="79"/>
    </row>
    <row r="1375" ht="15.75" customHeight="1">
      <c r="H1375" s="37"/>
      <c r="I1375" s="38"/>
      <c r="J1375" s="37"/>
      <c r="N1375" s="37"/>
      <c r="Z1375" s="79"/>
    </row>
    <row r="1376" ht="15.75" customHeight="1">
      <c r="H1376" s="37"/>
      <c r="I1376" s="38"/>
      <c r="J1376" s="37"/>
      <c r="N1376" s="37"/>
      <c r="Z1376" s="79"/>
    </row>
    <row r="1377" ht="15.75" customHeight="1">
      <c r="H1377" s="37"/>
      <c r="I1377" s="38"/>
      <c r="J1377" s="37"/>
      <c r="N1377" s="37"/>
      <c r="Z1377" s="79"/>
    </row>
    <row r="1378" ht="15.75" customHeight="1">
      <c r="H1378" s="37"/>
      <c r="I1378" s="38"/>
      <c r="J1378" s="37"/>
      <c r="N1378" s="37"/>
      <c r="Z1378" s="79"/>
    </row>
    <row r="1379" ht="15.75" customHeight="1">
      <c r="H1379" s="37"/>
      <c r="I1379" s="38"/>
      <c r="J1379" s="37"/>
      <c r="N1379" s="37"/>
      <c r="Z1379" s="79"/>
    </row>
    <row r="1380" ht="15.75" customHeight="1">
      <c r="H1380" s="37"/>
      <c r="I1380" s="38"/>
      <c r="J1380" s="37"/>
      <c r="N1380" s="37"/>
      <c r="Z1380" s="79"/>
    </row>
    <row r="1381" ht="15.75" customHeight="1">
      <c r="H1381" s="37"/>
      <c r="I1381" s="38"/>
      <c r="J1381" s="37"/>
      <c r="N1381" s="37"/>
      <c r="Z1381" s="79"/>
    </row>
    <row r="1382" ht="15.75" customHeight="1">
      <c r="H1382" s="37"/>
      <c r="I1382" s="38"/>
      <c r="J1382" s="37"/>
      <c r="N1382" s="37"/>
      <c r="Z1382" s="79"/>
    </row>
    <row r="1383" ht="15.75" customHeight="1">
      <c r="H1383" s="37"/>
      <c r="I1383" s="38"/>
      <c r="J1383" s="37"/>
      <c r="N1383" s="37"/>
      <c r="Z1383" s="79"/>
    </row>
    <row r="1384" ht="15.75" customHeight="1">
      <c r="H1384" s="37"/>
      <c r="I1384" s="38"/>
      <c r="J1384" s="37"/>
      <c r="N1384" s="37"/>
      <c r="Z1384" s="79"/>
    </row>
    <row r="1385" ht="15.75" customHeight="1">
      <c r="H1385" s="37"/>
      <c r="I1385" s="38"/>
      <c r="J1385" s="37"/>
      <c r="N1385" s="37"/>
      <c r="Z1385" s="79"/>
    </row>
    <row r="1386" ht="15.75" customHeight="1">
      <c r="H1386" s="37"/>
      <c r="I1386" s="38"/>
      <c r="J1386" s="37"/>
      <c r="N1386" s="37"/>
      <c r="Z1386" s="79"/>
    </row>
    <row r="1387" ht="15.75" customHeight="1">
      <c r="H1387" s="37"/>
      <c r="I1387" s="38"/>
      <c r="J1387" s="37"/>
      <c r="N1387" s="37"/>
      <c r="Z1387" s="79"/>
    </row>
    <row r="1388" ht="15.75" customHeight="1">
      <c r="H1388" s="37"/>
      <c r="I1388" s="38"/>
      <c r="J1388" s="37"/>
      <c r="N1388" s="37"/>
      <c r="Z1388" s="79"/>
    </row>
    <row r="1389" ht="15.75" customHeight="1">
      <c r="H1389" s="37"/>
      <c r="I1389" s="38"/>
      <c r="J1389" s="37"/>
      <c r="N1389" s="37"/>
      <c r="Z1389" s="79"/>
    </row>
    <row r="1390" ht="15.75" customHeight="1">
      <c r="H1390" s="37"/>
      <c r="I1390" s="38"/>
      <c r="J1390" s="37"/>
      <c r="N1390" s="37"/>
      <c r="Z1390" s="79"/>
    </row>
    <row r="1391" ht="15.75" customHeight="1">
      <c r="H1391" s="37"/>
      <c r="I1391" s="38"/>
      <c r="J1391" s="37"/>
      <c r="N1391" s="37"/>
      <c r="Z1391" s="79"/>
    </row>
    <row r="1392" ht="15.75" customHeight="1">
      <c r="H1392" s="37"/>
      <c r="I1392" s="38"/>
      <c r="J1392" s="37"/>
      <c r="N1392" s="37"/>
      <c r="Z1392" s="79"/>
    </row>
    <row r="1393" ht="15.75" customHeight="1">
      <c r="H1393" s="37"/>
      <c r="I1393" s="38"/>
      <c r="J1393" s="37"/>
      <c r="N1393" s="37"/>
      <c r="Z1393" s="79"/>
    </row>
    <row r="1394" ht="15.75" customHeight="1">
      <c r="H1394" s="37"/>
      <c r="I1394" s="38"/>
      <c r="J1394" s="37"/>
      <c r="N1394" s="37"/>
      <c r="Z1394" s="79"/>
    </row>
    <row r="1395" ht="15.75" customHeight="1">
      <c r="H1395" s="37"/>
      <c r="I1395" s="38"/>
      <c r="J1395" s="37"/>
      <c r="N1395" s="37"/>
      <c r="Z1395" s="79"/>
    </row>
    <row r="1396" ht="15.75" customHeight="1">
      <c r="H1396" s="37"/>
      <c r="I1396" s="38"/>
      <c r="J1396" s="37"/>
      <c r="N1396" s="37"/>
      <c r="Z1396" s="79"/>
    </row>
    <row r="1397" ht="15.75" customHeight="1">
      <c r="H1397" s="37"/>
      <c r="I1397" s="38"/>
      <c r="J1397" s="37"/>
      <c r="N1397" s="37"/>
      <c r="Z1397" s="79"/>
    </row>
    <row r="1398" ht="15.75" customHeight="1">
      <c r="H1398" s="37"/>
      <c r="I1398" s="38"/>
      <c r="J1398" s="37"/>
      <c r="N1398" s="37"/>
      <c r="Z1398" s="79"/>
    </row>
    <row r="1399" ht="15.75" customHeight="1">
      <c r="H1399" s="37"/>
      <c r="I1399" s="38"/>
      <c r="J1399" s="37"/>
      <c r="N1399" s="37"/>
      <c r="Z1399" s="79"/>
    </row>
    <row r="1400" ht="15.75" customHeight="1">
      <c r="H1400" s="37"/>
      <c r="I1400" s="38"/>
      <c r="J1400" s="37"/>
      <c r="N1400" s="37"/>
      <c r="Z1400" s="79"/>
    </row>
    <row r="1401" ht="15.75" customHeight="1">
      <c r="H1401" s="37"/>
      <c r="I1401" s="38"/>
      <c r="J1401" s="37"/>
      <c r="N1401" s="37"/>
      <c r="Z1401" s="79"/>
    </row>
    <row r="1402" ht="15.75" customHeight="1">
      <c r="H1402" s="37"/>
      <c r="I1402" s="38"/>
      <c r="J1402" s="37"/>
      <c r="N1402" s="37"/>
      <c r="Z1402" s="79"/>
    </row>
    <row r="1403" ht="15.75" customHeight="1">
      <c r="H1403" s="37"/>
      <c r="I1403" s="38"/>
      <c r="J1403" s="37"/>
      <c r="N1403" s="37"/>
      <c r="Z1403" s="79"/>
    </row>
    <row r="1404" ht="15.75" customHeight="1">
      <c r="H1404" s="37"/>
      <c r="I1404" s="38"/>
      <c r="J1404" s="37"/>
      <c r="N1404" s="37"/>
      <c r="Z1404" s="79"/>
    </row>
    <row r="1405" ht="15.75" customHeight="1">
      <c r="H1405" s="37"/>
      <c r="I1405" s="38"/>
      <c r="J1405" s="37"/>
      <c r="N1405" s="37"/>
      <c r="Z1405" s="79"/>
    </row>
    <row r="1406" ht="15.75" customHeight="1">
      <c r="H1406" s="37"/>
      <c r="I1406" s="38"/>
      <c r="J1406" s="37"/>
      <c r="N1406" s="37"/>
      <c r="Z1406" s="79"/>
    </row>
    <row r="1407" ht="15.75" customHeight="1">
      <c r="H1407" s="37"/>
      <c r="I1407" s="38"/>
      <c r="J1407" s="37"/>
      <c r="N1407" s="37"/>
      <c r="Z1407" s="79"/>
    </row>
    <row r="1408" ht="15.75" customHeight="1">
      <c r="H1408" s="37"/>
      <c r="I1408" s="38"/>
      <c r="J1408" s="37"/>
      <c r="N1408" s="37"/>
      <c r="Z1408" s="79"/>
    </row>
    <row r="1409" ht="15.75" customHeight="1">
      <c r="H1409" s="37"/>
      <c r="I1409" s="38"/>
      <c r="J1409" s="37"/>
      <c r="N1409" s="37"/>
      <c r="Z1409" s="79"/>
    </row>
    <row r="1410" ht="15.75" customHeight="1">
      <c r="H1410" s="37"/>
      <c r="I1410" s="38"/>
      <c r="J1410" s="37"/>
      <c r="N1410" s="37"/>
      <c r="Z1410" s="79"/>
    </row>
    <row r="1411" ht="15.75" customHeight="1">
      <c r="H1411" s="37"/>
      <c r="I1411" s="38"/>
      <c r="J1411" s="37"/>
      <c r="N1411" s="37"/>
      <c r="Z1411" s="79"/>
    </row>
    <row r="1412" ht="15.75" customHeight="1">
      <c r="H1412" s="37"/>
      <c r="I1412" s="38"/>
      <c r="J1412" s="37"/>
      <c r="N1412" s="37"/>
      <c r="Z1412" s="79"/>
    </row>
    <row r="1413" ht="15.75" customHeight="1">
      <c r="H1413" s="37"/>
      <c r="I1413" s="38"/>
      <c r="J1413" s="37"/>
      <c r="N1413" s="37"/>
      <c r="Z1413" s="79"/>
    </row>
    <row r="1414" ht="15.75" customHeight="1">
      <c r="H1414" s="37"/>
      <c r="I1414" s="38"/>
      <c r="J1414" s="37"/>
      <c r="N1414" s="37"/>
      <c r="Z1414" s="79"/>
    </row>
    <row r="1415" ht="15.75" customHeight="1">
      <c r="H1415" s="37"/>
      <c r="I1415" s="38"/>
      <c r="J1415" s="37"/>
      <c r="N1415" s="37"/>
      <c r="Z1415" s="79"/>
    </row>
    <row r="1416" ht="15.75" customHeight="1">
      <c r="H1416" s="37"/>
      <c r="I1416" s="38"/>
      <c r="J1416" s="37"/>
      <c r="N1416" s="37"/>
      <c r="Z1416" s="79"/>
    </row>
    <row r="1417" ht="15.75" customHeight="1">
      <c r="H1417" s="37"/>
      <c r="I1417" s="38"/>
      <c r="J1417" s="37"/>
      <c r="N1417" s="37"/>
      <c r="Z1417" s="79"/>
    </row>
    <row r="1418" ht="15.75" customHeight="1">
      <c r="H1418" s="37"/>
      <c r="I1418" s="38"/>
      <c r="J1418" s="37"/>
      <c r="N1418" s="37"/>
      <c r="Z1418" s="79"/>
    </row>
    <row r="1419" ht="15.75" customHeight="1">
      <c r="H1419" s="37"/>
      <c r="I1419" s="38"/>
      <c r="J1419" s="37"/>
      <c r="N1419" s="37"/>
      <c r="Z1419" s="79"/>
    </row>
    <row r="1420" ht="15.75" customHeight="1">
      <c r="H1420" s="37"/>
      <c r="I1420" s="38"/>
      <c r="J1420" s="37"/>
      <c r="N1420" s="37"/>
      <c r="Z1420" s="79"/>
    </row>
    <row r="1421" ht="15.75" customHeight="1">
      <c r="H1421" s="37"/>
      <c r="I1421" s="38"/>
      <c r="J1421" s="37"/>
      <c r="N1421" s="37"/>
      <c r="Z1421" s="79"/>
    </row>
    <row r="1422" ht="15.75" customHeight="1">
      <c r="H1422" s="37"/>
      <c r="I1422" s="38"/>
      <c r="J1422" s="37"/>
      <c r="N1422" s="37"/>
      <c r="Z1422" s="79"/>
    </row>
    <row r="1423" ht="15.75" customHeight="1">
      <c r="H1423" s="37"/>
      <c r="I1423" s="38"/>
      <c r="J1423" s="37"/>
      <c r="N1423" s="37"/>
      <c r="Z1423" s="79"/>
    </row>
    <row r="1424" ht="15.75" customHeight="1">
      <c r="H1424" s="37"/>
      <c r="I1424" s="38"/>
      <c r="J1424" s="37"/>
      <c r="N1424" s="37"/>
      <c r="Z1424" s="79"/>
    </row>
    <row r="1425" ht="15.75" customHeight="1">
      <c r="H1425" s="37"/>
      <c r="I1425" s="38"/>
      <c r="J1425" s="37"/>
      <c r="N1425" s="37"/>
      <c r="Z1425" s="79"/>
    </row>
    <row r="1426" ht="15.75" customHeight="1">
      <c r="H1426" s="37"/>
      <c r="I1426" s="38"/>
      <c r="J1426" s="37"/>
      <c r="N1426" s="37"/>
      <c r="Z1426" s="79"/>
    </row>
    <row r="1427" ht="15.75" customHeight="1">
      <c r="H1427" s="37"/>
      <c r="I1427" s="38"/>
      <c r="J1427" s="37"/>
      <c r="N1427" s="37"/>
      <c r="Z1427" s="79"/>
    </row>
  </sheetData>
  <autoFilter ref="$A$6:$AD$719"/>
  <mergeCells count="15">
    <mergeCell ref="P4:P5"/>
    <mergeCell ref="Q4:Q5"/>
    <mergeCell ref="Y4:Y5"/>
    <mergeCell ref="Z4:Z5"/>
    <mergeCell ref="AA4:AA5"/>
    <mergeCell ref="AB4:AB5"/>
    <mergeCell ref="AC4:AC5"/>
    <mergeCell ref="A4:B4"/>
    <mergeCell ref="C4:D4"/>
    <mergeCell ref="E4:F4"/>
    <mergeCell ref="G4:H4"/>
    <mergeCell ref="I4:J4"/>
    <mergeCell ref="K4:L4"/>
    <mergeCell ref="M4:N4"/>
    <mergeCell ref="A16:C16"/>
  </mergeCells>
  <conditionalFormatting sqref="M4:N4">
    <cfRule type="colorScale" priority="1">
      <colorScale>
        <cfvo type="min"/>
        <cfvo type="max"/>
        <color rgb="FF57BB8A"/>
        <color rgb="FFFFFFFF"/>
      </colorScale>
    </cfRule>
  </conditionalFormatting>
  <conditionalFormatting sqref="P1">
    <cfRule type="expression" dxfId="1" priority="2">
      <formula>countif(P1:P2157,P1)&gt;1</formula>
    </cfRule>
  </conditionalFormatting>
  <conditionalFormatting sqref="P1:P1155">
    <cfRule type="expression" dxfId="1" priority="3">
      <formula>countif(P1:P1155,P1)&gt;1</formula>
    </cfRule>
  </conditionalFormatting>
  <hyperlinks>
    <hyperlink r:id="rId2" ref="Z122"/>
    <hyperlink r:id="rId3" ref="Z141"/>
  </hyperlinks>
  <printOptions/>
  <pageMargins bottom="0.75" footer="0.0" header="0.0" left="0.7" right="0.7" top="0.75"/>
  <pageSetup orientation="landscape"/>
  <drawing r:id="rId4"/>
  <legacy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FF"/>
    <pageSetUpPr/>
  </sheetPr>
  <sheetViews>
    <sheetView showGridLines="0" workbookViewId="0">
      <pane xSplit="16.0" ySplit="5.0" topLeftCell="Q6" activePane="bottomRight" state="frozen"/>
      <selection activeCell="Q1" sqref="Q1" pane="topRight"/>
      <selection activeCell="A6" sqref="A6" pane="bottomLeft"/>
      <selection activeCell="Q6" sqref="Q6" pane="bottomRight"/>
    </sheetView>
  </sheetViews>
  <sheetFormatPr customHeight="1" defaultColWidth="11.22" defaultRowHeight="15.0" outlineLevelRow="1"/>
  <cols>
    <col customWidth="1" min="1" max="1" width="3.78"/>
    <col customWidth="1" min="2" max="2" width="5.11"/>
    <col customWidth="1" min="3" max="3" width="4.11"/>
    <col customWidth="1" min="4" max="4" width="3.11"/>
    <col customWidth="1" min="5" max="5" width="5.0"/>
    <col customWidth="1" min="6" max="6" width="7.33"/>
    <col customWidth="1" min="7" max="7" width="4.0"/>
    <col customWidth="1" min="8" max="8" width="30.22"/>
    <col customWidth="1" min="9" max="9" width="3.78"/>
    <col customWidth="1" min="10" max="10" width="30.67"/>
    <col customWidth="1" min="11" max="11" width="3.56"/>
    <col customWidth="1" min="12" max="12" width="22.89"/>
    <col customWidth="1" min="13" max="13" width="3.56"/>
    <col customWidth="1" min="14" max="14" width="12.89"/>
    <col customWidth="1" hidden="1" min="15" max="15" width="14.22"/>
    <col customWidth="1" min="16" max="16" width="16.0"/>
    <col customWidth="1" min="17" max="17" width="4.78"/>
    <col customWidth="1" min="18" max="18" width="16.22"/>
    <col customWidth="1" min="19" max="19" width="15.22"/>
    <col customWidth="1" min="20" max="20" width="17.22"/>
    <col customWidth="1" min="21" max="21" width="24.56"/>
    <col customWidth="1" min="22" max="22" width="24.78"/>
    <col customWidth="1" min="23" max="23" width="26.11"/>
    <col customWidth="1" min="24" max="24" width="25.22"/>
    <col customWidth="1" min="25" max="25" width="16.22"/>
    <col customWidth="1" min="26" max="26" width="21.33"/>
    <col customWidth="1" min="27" max="27" width="10.78"/>
    <col customWidth="1" min="28" max="28" width="11.11"/>
    <col customWidth="1" min="29" max="30" width="8.56"/>
  </cols>
  <sheetData>
    <row r="1" ht="15.75" customHeight="1">
      <c r="H1" s="37"/>
      <c r="I1" s="38"/>
      <c r="J1" s="37"/>
      <c r="N1" s="37"/>
      <c r="Z1" s="79"/>
    </row>
    <row r="2" ht="15.75" customHeight="1">
      <c r="A2" s="15" t="s">
        <v>10482</v>
      </c>
      <c r="H2" s="37"/>
      <c r="I2" s="38"/>
      <c r="J2" s="37"/>
      <c r="N2" s="37"/>
      <c r="T2" s="80" t="s">
        <v>10517</v>
      </c>
      <c r="Z2" s="79"/>
    </row>
    <row r="3" ht="15.75" customHeight="1">
      <c r="H3" s="37"/>
      <c r="I3" s="38"/>
      <c r="N3" s="37"/>
      <c r="Z3" s="79"/>
    </row>
    <row r="4" ht="25.5" customHeight="1">
      <c r="A4" s="39" t="s">
        <v>10483</v>
      </c>
      <c r="B4" s="40"/>
      <c r="C4" s="39" t="s">
        <v>10484</v>
      </c>
      <c r="D4" s="40"/>
      <c r="E4" s="39" t="s">
        <v>10485</v>
      </c>
      <c r="F4" s="40"/>
      <c r="G4" s="39" t="s">
        <v>10486</v>
      </c>
      <c r="H4" s="40"/>
      <c r="I4" s="39" t="s">
        <v>10487</v>
      </c>
      <c r="J4" s="40"/>
      <c r="K4" s="39" t="s">
        <v>10488</v>
      </c>
      <c r="L4" s="40"/>
      <c r="M4" s="39" t="s">
        <v>10489</v>
      </c>
      <c r="N4" s="40"/>
      <c r="O4" s="81" t="s">
        <v>10518</v>
      </c>
      <c r="P4" s="82" t="s">
        <v>10519</v>
      </c>
      <c r="Q4" s="83" t="s">
        <v>10520</v>
      </c>
      <c r="R4" s="84" t="s">
        <v>10521</v>
      </c>
      <c r="S4" s="84" t="s">
        <v>10522</v>
      </c>
      <c r="T4" s="85" t="s">
        <v>10491</v>
      </c>
      <c r="U4" s="86"/>
      <c r="V4" s="86"/>
      <c r="W4" s="86"/>
      <c r="X4" s="87"/>
      <c r="Y4" s="88" t="s">
        <v>10523</v>
      </c>
      <c r="Z4" s="89" t="s">
        <v>10524</v>
      </c>
      <c r="AA4" s="89" t="s">
        <v>10525</v>
      </c>
      <c r="AB4" s="90" t="s">
        <v>10526</v>
      </c>
      <c r="AC4" s="91"/>
      <c r="AD4" s="91"/>
    </row>
    <row r="5" ht="15.75" customHeight="1">
      <c r="A5" s="42" t="s">
        <v>8</v>
      </c>
      <c r="B5" s="42" t="s">
        <v>9</v>
      </c>
      <c r="C5" s="42" t="s">
        <v>10</v>
      </c>
      <c r="D5" s="42" t="s">
        <v>11</v>
      </c>
      <c r="E5" s="42" t="s">
        <v>12</v>
      </c>
      <c r="F5" s="42" t="s">
        <v>13</v>
      </c>
      <c r="G5" s="42" t="s">
        <v>14</v>
      </c>
      <c r="H5" s="42" t="s">
        <v>15</v>
      </c>
      <c r="I5" s="42" t="s">
        <v>16</v>
      </c>
      <c r="J5" s="42" t="s">
        <v>17</v>
      </c>
      <c r="K5" s="42" t="s">
        <v>18</v>
      </c>
      <c r="L5" s="42" t="s">
        <v>19</v>
      </c>
      <c r="M5" s="42" t="s">
        <v>20</v>
      </c>
      <c r="N5" s="42" t="s">
        <v>21</v>
      </c>
      <c r="O5" s="92" t="s">
        <v>10492</v>
      </c>
      <c r="P5" s="93"/>
      <c r="Q5" s="93"/>
      <c r="R5" s="94"/>
      <c r="S5" s="94"/>
      <c r="T5" s="45" t="s">
        <v>10492</v>
      </c>
      <c r="U5" s="45" t="s">
        <v>242</v>
      </c>
      <c r="V5" s="45" t="s">
        <v>243</v>
      </c>
      <c r="W5" s="45" t="s">
        <v>244</v>
      </c>
      <c r="X5" s="45" t="s">
        <v>256</v>
      </c>
      <c r="Y5" s="93"/>
      <c r="Z5" s="93"/>
      <c r="AA5" s="93"/>
      <c r="AB5" s="93"/>
      <c r="AC5" s="91"/>
      <c r="AD5" s="91"/>
    </row>
    <row r="6" ht="15.75" customHeight="1">
      <c r="A6" s="46"/>
      <c r="B6" s="95"/>
      <c r="C6" s="47"/>
      <c r="D6" s="47"/>
      <c r="E6" s="47"/>
      <c r="F6" s="47"/>
      <c r="G6" s="48"/>
      <c r="H6" s="49"/>
      <c r="I6" s="48"/>
      <c r="J6" s="48"/>
      <c r="K6" s="48"/>
      <c r="L6" s="48"/>
      <c r="M6" s="48"/>
      <c r="N6" s="49"/>
      <c r="O6" s="48"/>
      <c r="P6" s="48"/>
      <c r="Q6" s="96"/>
      <c r="R6" s="96"/>
      <c r="S6" s="96"/>
      <c r="T6" s="97"/>
      <c r="U6" s="97"/>
      <c r="V6" s="96"/>
      <c r="W6" s="96"/>
      <c r="X6" s="96"/>
      <c r="Y6" s="96"/>
      <c r="Z6" s="98"/>
      <c r="AA6" s="99"/>
      <c r="AB6" s="91"/>
      <c r="AC6" s="91"/>
      <c r="AD6" s="91"/>
    </row>
    <row r="7" ht="15.75" customHeight="1">
      <c r="A7" s="46" t="s">
        <v>22</v>
      </c>
      <c r="B7" s="95" t="s">
        <v>10527</v>
      </c>
      <c r="C7" s="47"/>
      <c r="D7" s="47"/>
      <c r="E7" s="47"/>
      <c r="F7" s="47"/>
      <c r="G7" s="48"/>
      <c r="H7" s="49"/>
      <c r="I7" s="48"/>
      <c r="J7" s="48"/>
      <c r="K7" s="48"/>
      <c r="L7" s="48"/>
      <c r="M7" s="48"/>
      <c r="N7" s="49"/>
      <c r="O7" s="48"/>
      <c r="P7" s="48"/>
      <c r="Q7" s="96"/>
      <c r="R7" s="96"/>
      <c r="S7" s="96"/>
      <c r="T7" s="97" t="s">
        <v>10528</v>
      </c>
      <c r="U7" s="97" t="s">
        <v>10527</v>
      </c>
      <c r="V7" s="96"/>
      <c r="W7" s="96"/>
      <c r="X7" s="96"/>
      <c r="Y7" s="96"/>
      <c r="Z7" s="98" t="s">
        <v>10528</v>
      </c>
      <c r="AA7" s="99"/>
      <c r="AB7" s="91"/>
      <c r="AC7" s="91"/>
      <c r="AD7" s="91"/>
    </row>
    <row r="8" ht="15.75" hidden="1" customHeight="1" outlineLevel="1">
      <c r="A8" s="100" t="s">
        <v>10529</v>
      </c>
      <c r="B8" s="101" t="s">
        <v>206</v>
      </c>
      <c r="C8" s="101" t="s">
        <v>27</v>
      </c>
      <c r="D8" s="102" t="s">
        <v>4</v>
      </c>
      <c r="E8" s="103" t="s">
        <v>27</v>
      </c>
      <c r="F8" s="102" t="s">
        <v>4</v>
      </c>
      <c r="G8" s="102" t="s">
        <v>29</v>
      </c>
      <c r="H8" s="104" t="s">
        <v>220</v>
      </c>
      <c r="I8" s="103" t="s">
        <v>27</v>
      </c>
      <c r="J8" s="105" t="s">
        <v>4</v>
      </c>
      <c r="K8" s="103" t="s">
        <v>27</v>
      </c>
      <c r="L8" s="102" t="s">
        <v>4</v>
      </c>
      <c r="M8" s="106" t="s">
        <v>27</v>
      </c>
      <c r="N8" s="104"/>
      <c r="O8" s="107" t="str">
        <f t="shared" ref="O8:O15" si="1">A8&amp;"."&amp;C8&amp;"."&amp;E8&amp;"."&amp;G8&amp;"."&amp;I8&amp;"."&amp;K8</f>
        <v>L4.00.00.01.00.00</v>
      </c>
      <c r="P8" s="107" t="str">
        <f t="shared" ref="P8:P15" si="2">A8&amp;"."&amp;C8&amp;"."&amp;E8&amp;"."&amp;G8&amp;"."&amp;I8&amp;"."&amp;K8&amp;"."&amp;M8</f>
        <v>L4.00.00.01.00.00.00</v>
      </c>
      <c r="Q8" s="108" t="s">
        <v>10530</v>
      </c>
      <c r="R8" s="109" t="str">
        <f t="shared" ref="R8:R15" si="3">if(L8&lt;&gt;"-",L8,if(AND(L8="-",J8&lt;&gt;"-"),J8,if(AND(J8="-",H8&lt;&gt;"-"),H8,"NA")))</f>
        <v>Hội đồng quản trị</v>
      </c>
      <c r="S8" s="110" t="s">
        <v>22</v>
      </c>
      <c r="T8" s="111" t="s">
        <v>7220</v>
      </c>
      <c r="U8" s="111" t="s">
        <v>303</v>
      </c>
      <c r="V8" s="111" t="s">
        <v>7219</v>
      </c>
      <c r="W8" s="111"/>
      <c r="X8" s="111"/>
      <c r="Y8" s="111"/>
      <c r="Z8" s="112" t="s">
        <v>10531</v>
      </c>
      <c r="AA8" s="113" t="s">
        <v>10530</v>
      </c>
      <c r="AB8" s="114"/>
      <c r="AC8" s="114"/>
      <c r="AD8" s="114"/>
    </row>
    <row r="9" ht="15.75" hidden="1" customHeight="1" outlineLevel="1">
      <c r="A9" s="115" t="s">
        <v>10529</v>
      </c>
      <c r="B9" s="116" t="s">
        <v>206</v>
      </c>
      <c r="C9" s="116" t="s">
        <v>27</v>
      </c>
      <c r="D9" s="117" t="s">
        <v>4</v>
      </c>
      <c r="E9" s="118" t="s">
        <v>27</v>
      </c>
      <c r="F9" s="117" t="s">
        <v>4</v>
      </c>
      <c r="G9" s="117" t="s">
        <v>29</v>
      </c>
      <c r="H9" s="119" t="s">
        <v>220</v>
      </c>
      <c r="I9" s="118" t="s">
        <v>27</v>
      </c>
      <c r="J9" s="120" t="s">
        <v>4</v>
      </c>
      <c r="K9" s="121" t="s">
        <v>27</v>
      </c>
      <c r="L9" s="122" t="s">
        <v>4</v>
      </c>
      <c r="M9" s="122" t="s">
        <v>44</v>
      </c>
      <c r="N9" s="123" t="s">
        <v>10505</v>
      </c>
      <c r="O9" s="124" t="str">
        <f t="shared" si="1"/>
        <v>L4.00.00.01.00.00</v>
      </c>
      <c r="P9" s="124" t="str">
        <f t="shared" si="2"/>
        <v>L4.00.00.01.00.00.06</v>
      </c>
      <c r="Q9" s="125"/>
      <c r="R9" s="125" t="str">
        <f t="shared" si="3"/>
        <v>Hội đồng quản trị</v>
      </c>
      <c r="S9" s="126" t="s">
        <v>10532</v>
      </c>
      <c r="T9" s="127"/>
      <c r="U9" s="127"/>
      <c r="V9" s="127"/>
      <c r="W9" s="127"/>
      <c r="X9" s="127"/>
      <c r="Y9" s="127"/>
      <c r="Z9" s="128"/>
      <c r="AA9" s="129"/>
      <c r="AB9" s="130"/>
      <c r="AC9" s="130"/>
      <c r="AD9" s="130"/>
    </row>
    <row r="10" ht="15.75" hidden="1" customHeight="1" outlineLevel="1">
      <c r="A10" s="115" t="s">
        <v>10529</v>
      </c>
      <c r="B10" s="116" t="s">
        <v>206</v>
      </c>
      <c r="C10" s="116" t="s">
        <v>27</v>
      </c>
      <c r="D10" s="117" t="s">
        <v>4</v>
      </c>
      <c r="E10" s="118" t="s">
        <v>27</v>
      </c>
      <c r="F10" s="117" t="s">
        <v>4</v>
      </c>
      <c r="G10" s="117" t="s">
        <v>29</v>
      </c>
      <c r="H10" s="119" t="s">
        <v>220</v>
      </c>
      <c r="I10" s="118" t="s">
        <v>27</v>
      </c>
      <c r="J10" s="120" t="s">
        <v>4</v>
      </c>
      <c r="K10" s="121" t="s">
        <v>27</v>
      </c>
      <c r="L10" s="122" t="s">
        <v>4</v>
      </c>
      <c r="M10" s="122" t="s">
        <v>46</v>
      </c>
      <c r="N10" s="123" t="s">
        <v>10496</v>
      </c>
      <c r="O10" s="124" t="str">
        <f t="shared" si="1"/>
        <v>L4.00.00.01.00.00</v>
      </c>
      <c r="P10" s="124" t="str">
        <f t="shared" si="2"/>
        <v>L4.00.00.01.00.00.07</v>
      </c>
      <c r="Q10" s="125"/>
      <c r="R10" s="125" t="str">
        <f t="shared" si="3"/>
        <v>Hội đồng quản trị</v>
      </c>
      <c r="S10" s="126" t="s">
        <v>10532</v>
      </c>
      <c r="T10" s="127"/>
      <c r="U10" s="127"/>
      <c r="V10" s="127"/>
      <c r="W10" s="127"/>
      <c r="X10" s="127"/>
      <c r="Y10" s="127"/>
      <c r="Z10" s="128"/>
      <c r="AA10" s="129"/>
      <c r="AB10" s="130"/>
      <c r="AC10" s="130"/>
      <c r="AD10" s="130"/>
    </row>
    <row r="11" ht="15.75" hidden="1" customHeight="1" outlineLevel="1">
      <c r="A11" s="115" t="s">
        <v>10529</v>
      </c>
      <c r="B11" s="116" t="s">
        <v>206</v>
      </c>
      <c r="C11" s="116" t="s">
        <v>27</v>
      </c>
      <c r="D11" s="117" t="s">
        <v>4</v>
      </c>
      <c r="E11" s="118" t="s">
        <v>27</v>
      </c>
      <c r="F11" s="117" t="s">
        <v>4</v>
      </c>
      <c r="G11" s="117" t="s">
        <v>29</v>
      </c>
      <c r="H11" s="119" t="s">
        <v>220</v>
      </c>
      <c r="I11" s="118" t="s">
        <v>27</v>
      </c>
      <c r="J11" s="120" t="s">
        <v>4</v>
      </c>
      <c r="K11" s="121" t="s">
        <v>27</v>
      </c>
      <c r="L11" s="122" t="s">
        <v>4</v>
      </c>
      <c r="M11" s="122" t="s">
        <v>33</v>
      </c>
      <c r="N11" s="123" t="s">
        <v>10499</v>
      </c>
      <c r="O11" s="124" t="str">
        <f t="shared" si="1"/>
        <v>L4.00.00.01.00.00</v>
      </c>
      <c r="P11" s="124" t="str">
        <f t="shared" si="2"/>
        <v>L4.00.00.01.00.00.02</v>
      </c>
      <c r="Q11" s="125"/>
      <c r="R11" s="125" t="str">
        <f t="shared" si="3"/>
        <v>Hội đồng quản trị</v>
      </c>
      <c r="S11" s="126" t="s">
        <v>10532</v>
      </c>
      <c r="T11" s="127"/>
      <c r="U11" s="127"/>
      <c r="V11" s="127"/>
      <c r="W11" s="127"/>
      <c r="X11" s="127"/>
      <c r="Y11" s="127"/>
      <c r="Z11" s="128"/>
      <c r="AA11" s="129"/>
      <c r="AB11" s="130"/>
      <c r="AC11" s="130"/>
      <c r="AD11" s="130"/>
    </row>
    <row r="12" ht="15.75" hidden="1" customHeight="1" outlineLevel="1">
      <c r="A12" s="131" t="s">
        <v>10529</v>
      </c>
      <c r="B12" s="132" t="s">
        <v>206</v>
      </c>
      <c r="C12" s="132" t="s">
        <v>27</v>
      </c>
      <c r="D12" s="133" t="s">
        <v>4</v>
      </c>
      <c r="E12" s="134" t="s">
        <v>27</v>
      </c>
      <c r="F12" s="133" t="s">
        <v>4</v>
      </c>
      <c r="G12" s="133" t="s">
        <v>33</v>
      </c>
      <c r="H12" s="135" t="s">
        <v>221</v>
      </c>
      <c r="I12" s="134" t="s">
        <v>27</v>
      </c>
      <c r="J12" s="105" t="s">
        <v>4</v>
      </c>
      <c r="K12" s="103" t="s">
        <v>27</v>
      </c>
      <c r="L12" s="102" t="s">
        <v>4</v>
      </c>
      <c r="M12" s="106" t="s">
        <v>27</v>
      </c>
      <c r="N12" s="104"/>
      <c r="O12" s="136" t="str">
        <f t="shared" si="1"/>
        <v>L4.00.00.02.00.00</v>
      </c>
      <c r="P12" s="136" t="str">
        <f t="shared" si="2"/>
        <v>L4.00.00.02.00.00.00</v>
      </c>
      <c r="Q12" s="108" t="s">
        <v>10530</v>
      </c>
      <c r="R12" s="109" t="str">
        <f t="shared" si="3"/>
        <v>Ban điều hành</v>
      </c>
      <c r="S12" s="110" t="s">
        <v>22</v>
      </c>
      <c r="T12" s="111" t="s">
        <v>9861</v>
      </c>
      <c r="U12" s="111" t="s">
        <v>303</v>
      </c>
      <c r="V12" s="111" t="s">
        <v>221</v>
      </c>
      <c r="W12" s="111"/>
      <c r="X12" s="111"/>
      <c r="Y12" s="111"/>
      <c r="Z12" s="112" t="s">
        <v>10533</v>
      </c>
      <c r="AA12" s="113" t="s">
        <v>10530</v>
      </c>
      <c r="AB12" s="114"/>
      <c r="AC12" s="114"/>
      <c r="AD12" s="114"/>
    </row>
    <row r="13" ht="15.75" hidden="1" customHeight="1" outlineLevel="1">
      <c r="A13" s="137" t="s">
        <v>10529</v>
      </c>
      <c r="B13" s="138" t="s">
        <v>206</v>
      </c>
      <c r="C13" s="139" t="s">
        <v>27</v>
      </c>
      <c r="D13" s="140" t="s">
        <v>4</v>
      </c>
      <c r="E13" s="141" t="s">
        <v>27</v>
      </c>
      <c r="F13" s="140" t="s">
        <v>4</v>
      </c>
      <c r="G13" s="142" t="s">
        <v>33</v>
      </c>
      <c r="H13" s="143" t="s">
        <v>221</v>
      </c>
      <c r="I13" s="141" t="s">
        <v>27</v>
      </c>
      <c r="J13" s="144" t="s">
        <v>4</v>
      </c>
      <c r="K13" s="145" t="s">
        <v>27</v>
      </c>
      <c r="L13" s="146" t="s">
        <v>4</v>
      </c>
      <c r="M13" s="147" t="s">
        <v>44</v>
      </c>
      <c r="N13" s="148" t="s">
        <v>10505</v>
      </c>
      <c r="O13" s="149" t="str">
        <f t="shared" si="1"/>
        <v>L4.00.00.02.00.00</v>
      </c>
      <c r="P13" s="149" t="str">
        <f t="shared" si="2"/>
        <v>L4.00.00.02.00.00.06</v>
      </c>
      <c r="Q13" s="125"/>
      <c r="R13" s="125" t="str">
        <f t="shared" si="3"/>
        <v>Ban điều hành</v>
      </c>
      <c r="S13" s="126" t="s">
        <v>10534</v>
      </c>
      <c r="T13" s="127"/>
      <c r="U13" s="127"/>
      <c r="V13" s="127"/>
      <c r="W13" s="127"/>
      <c r="X13" s="127"/>
      <c r="Y13" s="127"/>
      <c r="Z13" s="128"/>
      <c r="AA13" s="129"/>
      <c r="AB13" s="130"/>
      <c r="AC13" s="130"/>
      <c r="AD13" s="130"/>
    </row>
    <row r="14" ht="15.75" hidden="1" customHeight="1" outlineLevel="1">
      <c r="A14" s="137" t="s">
        <v>10529</v>
      </c>
      <c r="B14" s="138" t="s">
        <v>206</v>
      </c>
      <c r="C14" s="139" t="s">
        <v>27</v>
      </c>
      <c r="D14" s="140" t="s">
        <v>4</v>
      </c>
      <c r="E14" s="141" t="s">
        <v>27</v>
      </c>
      <c r="F14" s="140" t="s">
        <v>4</v>
      </c>
      <c r="G14" s="142" t="s">
        <v>33</v>
      </c>
      <c r="H14" s="143" t="s">
        <v>221</v>
      </c>
      <c r="I14" s="141" t="s">
        <v>27</v>
      </c>
      <c r="J14" s="144" t="s">
        <v>4</v>
      </c>
      <c r="K14" s="145" t="s">
        <v>27</v>
      </c>
      <c r="L14" s="146" t="s">
        <v>4</v>
      </c>
      <c r="M14" s="147" t="s">
        <v>46</v>
      </c>
      <c r="N14" s="148" t="s">
        <v>10496</v>
      </c>
      <c r="O14" s="149" t="str">
        <f t="shared" si="1"/>
        <v>L4.00.00.02.00.00</v>
      </c>
      <c r="P14" s="149" t="str">
        <f t="shared" si="2"/>
        <v>L4.00.00.02.00.00.07</v>
      </c>
      <c r="Q14" s="125"/>
      <c r="R14" s="125" t="str">
        <f t="shared" si="3"/>
        <v>Ban điều hành</v>
      </c>
      <c r="S14" s="126" t="s">
        <v>10534</v>
      </c>
      <c r="T14" s="127"/>
      <c r="U14" s="127"/>
      <c r="V14" s="127"/>
      <c r="W14" s="127"/>
      <c r="X14" s="127"/>
      <c r="Y14" s="127"/>
      <c r="Z14" s="128"/>
      <c r="AA14" s="129"/>
      <c r="AB14" s="130"/>
      <c r="AC14" s="130"/>
      <c r="AD14" s="130"/>
    </row>
    <row r="15" ht="15.75" hidden="1" customHeight="1" outlineLevel="1">
      <c r="A15" s="137" t="s">
        <v>10529</v>
      </c>
      <c r="B15" s="138" t="s">
        <v>206</v>
      </c>
      <c r="C15" s="139" t="s">
        <v>27</v>
      </c>
      <c r="D15" s="140" t="s">
        <v>4</v>
      </c>
      <c r="E15" s="141" t="s">
        <v>27</v>
      </c>
      <c r="F15" s="140" t="s">
        <v>4</v>
      </c>
      <c r="G15" s="142" t="s">
        <v>33</v>
      </c>
      <c r="H15" s="143" t="s">
        <v>221</v>
      </c>
      <c r="I15" s="141" t="s">
        <v>27</v>
      </c>
      <c r="J15" s="144" t="s">
        <v>4</v>
      </c>
      <c r="K15" s="145" t="s">
        <v>27</v>
      </c>
      <c r="L15" s="146" t="s">
        <v>4</v>
      </c>
      <c r="M15" s="147" t="s">
        <v>33</v>
      </c>
      <c r="N15" s="148" t="s">
        <v>10499</v>
      </c>
      <c r="O15" s="149" t="str">
        <f t="shared" si="1"/>
        <v>L4.00.00.02.00.00</v>
      </c>
      <c r="P15" s="150" t="str">
        <f t="shared" si="2"/>
        <v>L4.00.00.02.00.00.02</v>
      </c>
      <c r="Q15" s="125"/>
      <c r="R15" s="125" t="str">
        <f t="shared" si="3"/>
        <v>Ban điều hành</v>
      </c>
      <c r="S15" s="126" t="s">
        <v>10534</v>
      </c>
      <c r="T15" s="127"/>
      <c r="U15" s="127"/>
      <c r="V15" s="127"/>
      <c r="W15" s="127"/>
      <c r="X15" s="127"/>
      <c r="Y15" s="127"/>
      <c r="Z15" s="128"/>
      <c r="AA15" s="129"/>
      <c r="AB15" s="130"/>
      <c r="AC15" s="130"/>
      <c r="AD15" s="130"/>
    </row>
    <row r="16" ht="15.75" customHeight="1" collapsed="1">
      <c r="A16" s="151" t="s">
        <v>453</v>
      </c>
      <c r="B16" s="44"/>
      <c r="C16" s="40"/>
      <c r="D16" s="47"/>
      <c r="E16" s="47"/>
      <c r="F16" s="47"/>
      <c r="G16" s="48"/>
      <c r="H16" s="49"/>
      <c r="I16" s="48"/>
      <c r="J16" s="48"/>
      <c r="K16" s="48"/>
      <c r="L16" s="48"/>
      <c r="M16" s="48"/>
      <c r="N16" s="49"/>
      <c r="O16" s="49"/>
      <c r="P16" s="48"/>
      <c r="Q16" s="96"/>
      <c r="R16" s="96"/>
      <c r="S16" s="96"/>
      <c r="T16" s="96"/>
      <c r="U16" s="96"/>
      <c r="V16" s="96"/>
      <c r="W16" s="96"/>
      <c r="X16" s="96"/>
      <c r="Y16" s="96"/>
      <c r="Z16" s="152"/>
      <c r="AA16" s="153" t="s">
        <v>10530</v>
      </c>
      <c r="AB16" s="91"/>
      <c r="AC16" s="91"/>
      <c r="AD16" s="91"/>
    </row>
    <row r="17" ht="15.75" customHeight="1" outlineLevel="1">
      <c r="A17" s="154" t="s">
        <v>10535</v>
      </c>
      <c r="B17" s="154" t="s">
        <v>26</v>
      </c>
      <c r="C17" s="155" t="s">
        <v>27</v>
      </c>
      <c r="D17" s="156" t="s">
        <v>4</v>
      </c>
      <c r="E17" s="155" t="s">
        <v>27</v>
      </c>
      <c r="F17" s="156" t="s">
        <v>4</v>
      </c>
      <c r="G17" s="155" t="s">
        <v>27</v>
      </c>
      <c r="H17" s="156" t="s">
        <v>4</v>
      </c>
      <c r="I17" s="157" t="s">
        <v>27</v>
      </c>
      <c r="J17" s="156" t="s">
        <v>4</v>
      </c>
      <c r="K17" s="157" t="s">
        <v>27</v>
      </c>
      <c r="L17" s="156" t="s">
        <v>4</v>
      </c>
      <c r="M17" s="155" t="s">
        <v>46</v>
      </c>
      <c r="N17" s="158" t="s">
        <v>10496</v>
      </c>
      <c r="O17" s="55" t="str">
        <f t="shared" ref="O17:O284" si="4">A17&amp;"."&amp;C17&amp;"."&amp;E17&amp;"."&amp;G17&amp;"."&amp;I17&amp;"."&amp;K17</f>
        <v>L1.00.00.00.00.00</v>
      </c>
      <c r="P17" s="159" t="str">
        <f t="shared" ref="P17:P190" si="5">A17&amp;"."&amp;C17&amp;"."&amp;E17&amp;"."&amp;G17&amp;"."&amp;I17&amp;"."&amp;K17&amp;"."&amp;M17</f>
        <v>L1.00.00.00.00.00.07</v>
      </c>
      <c r="Q17" s="160" t="s">
        <v>10530</v>
      </c>
      <c r="R17" s="161" t="s">
        <v>453</v>
      </c>
      <c r="S17" s="162" t="s">
        <v>22</v>
      </c>
      <c r="T17" s="160" t="s">
        <v>25</v>
      </c>
      <c r="U17" s="160" t="s">
        <v>453</v>
      </c>
      <c r="V17" s="162"/>
      <c r="W17" s="163"/>
      <c r="X17" s="163"/>
      <c r="Y17" s="163"/>
      <c r="Z17" s="98" t="s">
        <v>26</v>
      </c>
      <c r="AA17" s="99"/>
      <c r="AB17" s="164"/>
      <c r="AC17" s="164"/>
      <c r="AD17" s="164"/>
    </row>
    <row r="18" ht="15.75" customHeight="1" outlineLevel="1">
      <c r="A18" s="154" t="s">
        <v>10535</v>
      </c>
      <c r="B18" s="165" t="s">
        <v>26</v>
      </c>
      <c r="C18" s="155" t="s">
        <v>27</v>
      </c>
      <c r="D18" s="155" t="s">
        <v>4</v>
      </c>
      <c r="E18" s="166" t="s">
        <v>27</v>
      </c>
      <c r="F18" s="155" t="s">
        <v>4</v>
      </c>
      <c r="G18" s="155" t="s">
        <v>29</v>
      </c>
      <c r="H18" s="167" t="s">
        <v>31</v>
      </c>
      <c r="I18" s="168" t="s">
        <v>27</v>
      </c>
      <c r="J18" s="156" t="s">
        <v>4</v>
      </c>
      <c r="K18" s="157" t="s">
        <v>27</v>
      </c>
      <c r="L18" s="156" t="s">
        <v>4</v>
      </c>
      <c r="M18" s="155" t="s">
        <v>46</v>
      </c>
      <c r="N18" s="158" t="s">
        <v>10496</v>
      </c>
      <c r="O18" s="55" t="str">
        <f t="shared" si="4"/>
        <v>L1.00.00.01.00.00</v>
      </c>
      <c r="P18" s="159" t="str">
        <f t="shared" si="5"/>
        <v>L1.00.00.01.00.00.07</v>
      </c>
      <c r="Q18" s="160" t="s">
        <v>10530</v>
      </c>
      <c r="R18" s="169" t="str">
        <f t="shared" ref="R18:R191" si="6">if(L18&lt;&gt;"-",L18,if(AND(L18="-",J18&lt;&gt;"-"),J18,if(AND(J18="-",H18&lt;&gt;"-"),H18,"NA")))</f>
        <v>Văn phòng sản xuất</v>
      </c>
      <c r="S18" s="162" t="s">
        <v>10536</v>
      </c>
      <c r="T18" s="160" t="s">
        <v>10537</v>
      </c>
      <c r="U18" s="162" t="s">
        <v>2717</v>
      </c>
      <c r="V18" s="162" t="s">
        <v>10538</v>
      </c>
      <c r="W18" s="163"/>
      <c r="X18" s="163"/>
      <c r="Y18" s="163"/>
      <c r="Z18" s="98" t="s">
        <v>10539</v>
      </c>
      <c r="AA18" s="153" t="s">
        <v>10530</v>
      </c>
      <c r="AB18" s="164"/>
      <c r="AC18" s="164"/>
      <c r="AD18" s="164"/>
    </row>
    <row r="19" ht="15.75" customHeight="1" outlineLevel="1">
      <c r="A19" s="170" t="s">
        <v>10535</v>
      </c>
      <c r="B19" s="51" t="s">
        <v>26</v>
      </c>
      <c r="C19" s="52" t="s">
        <v>27</v>
      </c>
      <c r="D19" s="52" t="s">
        <v>4</v>
      </c>
      <c r="E19" s="53" t="s">
        <v>27</v>
      </c>
      <c r="F19" s="52" t="s">
        <v>4</v>
      </c>
      <c r="G19" s="52" t="s">
        <v>29</v>
      </c>
      <c r="H19" s="171" t="s">
        <v>31</v>
      </c>
      <c r="I19" s="172" t="s">
        <v>29</v>
      </c>
      <c r="J19" s="173" t="s">
        <v>32</v>
      </c>
      <c r="K19" s="172" t="s">
        <v>27</v>
      </c>
      <c r="L19" s="174" t="s">
        <v>4</v>
      </c>
      <c r="M19" s="52" t="s">
        <v>46</v>
      </c>
      <c r="N19" s="54" t="s">
        <v>10496</v>
      </c>
      <c r="O19" s="55" t="str">
        <f t="shared" si="4"/>
        <v>L1.00.00.01.01.00</v>
      </c>
      <c r="P19" s="55" t="str">
        <f t="shared" si="5"/>
        <v>L1.00.00.01.01.00.07</v>
      </c>
      <c r="Q19" s="160" t="s">
        <v>10530</v>
      </c>
      <c r="R19" s="169" t="str">
        <f t="shared" si="6"/>
        <v>Ban Giám đốc Văn phòng</v>
      </c>
      <c r="S19" s="161" t="str">
        <f t="shared" ref="S19:S22" si="7">if(L19&lt;&gt;"-",xlookup(J19,R:R,P:P,0),if(and(L19="-",J19&lt;&gt;"-"),xlookup(H19,R:R,P:P,0),"NA"))</f>
        <v>L1.00.00.01.00.00.07</v>
      </c>
      <c r="T19" s="169" t="s">
        <v>6789</v>
      </c>
      <c r="U19" s="169" t="s">
        <v>2717</v>
      </c>
      <c r="V19" s="169" t="s">
        <v>10538</v>
      </c>
      <c r="W19" s="96"/>
      <c r="X19" s="96"/>
      <c r="Y19" s="96"/>
      <c r="Z19" s="98" t="s">
        <v>10540</v>
      </c>
      <c r="AA19" s="153" t="s">
        <v>10530</v>
      </c>
      <c r="AB19" s="91"/>
      <c r="AC19" s="91"/>
      <c r="AD19" s="91"/>
    </row>
    <row r="20" ht="15.75" customHeight="1" outlineLevel="1">
      <c r="A20" s="170" t="s">
        <v>10535</v>
      </c>
      <c r="B20" s="51" t="s">
        <v>26</v>
      </c>
      <c r="C20" s="52" t="s">
        <v>27</v>
      </c>
      <c r="D20" s="52" t="s">
        <v>4</v>
      </c>
      <c r="E20" s="53" t="s">
        <v>27</v>
      </c>
      <c r="F20" s="52" t="s">
        <v>4</v>
      </c>
      <c r="G20" s="52" t="s">
        <v>29</v>
      </c>
      <c r="H20" s="171" t="s">
        <v>31</v>
      </c>
      <c r="I20" s="172" t="s">
        <v>33</v>
      </c>
      <c r="J20" s="173" t="s">
        <v>34</v>
      </c>
      <c r="K20" s="172" t="s">
        <v>27</v>
      </c>
      <c r="L20" s="174" t="s">
        <v>4</v>
      </c>
      <c r="M20" s="52" t="s">
        <v>46</v>
      </c>
      <c r="N20" s="54" t="s">
        <v>10496</v>
      </c>
      <c r="O20" s="55" t="str">
        <f t="shared" si="4"/>
        <v>L1.00.00.01.02.00</v>
      </c>
      <c r="P20" s="55" t="str">
        <f t="shared" si="5"/>
        <v>L1.00.00.01.02.00.07</v>
      </c>
      <c r="Q20" s="160" t="s">
        <v>10530</v>
      </c>
      <c r="R20" s="169" t="str">
        <f t="shared" si="6"/>
        <v>Phòng HCTH</v>
      </c>
      <c r="S20" s="161" t="str">
        <f t="shared" si="7"/>
        <v>L1.00.00.01.00.00.07</v>
      </c>
      <c r="T20" s="169" t="s">
        <v>5165</v>
      </c>
      <c r="U20" s="169" t="s">
        <v>2717</v>
      </c>
      <c r="V20" s="169" t="s">
        <v>10541</v>
      </c>
      <c r="W20" s="96"/>
      <c r="X20" s="96"/>
      <c r="Y20" s="96"/>
      <c r="Z20" s="98" t="s">
        <v>10542</v>
      </c>
      <c r="AA20" s="153" t="s">
        <v>10530</v>
      </c>
      <c r="AB20" s="91"/>
      <c r="AC20" s="91"/>
      <c r="AD20" s="91"/>
    </row>
    <row r="21" ht="15.75" customHeight="1" outlineLevel="1">
      <c r="A21" s="170" t="s">
        <v>10535</v>
      </c>
      <c r="B21" s="51" t="s">
        <v>26</v>
      </c>
      <c r="C21" s="51" t="s">
        <v>27</v>
      </c>
      <c r="D21" s="52" t="s">
        <v>4</v>
      </c>
      <c r="E21" s="53" t="s">
        <v>27</v>
      </c>
      <c r="F21" s="52" t="s">
        <v>4</v>
      </c>
      <c r="G21" s="52" t="s">
        <v>29</v>
      </c>
      <c r="H21" s="171" t="s">
        <v>31</v>
      </c>
      <c r="I21" s="172" t="s">
        <v>35</v>
      </c>
      <c r="J21" s="173" t="s">
        <v>36</v>
      </c>
      <c r="K21" s="172" t="s">
        <v>27</v>
      </c>
      <c r="L21" s="174" t="s">
        <v>4</v>
      </c>
      <c r="M21" s="52" t="s">
        <v>46</v>
      </c>
      <c r="N21" s="54" t="s">
        <v>10496</v>
      </c>
      <c r="O21" s="55" t="str">
        <f t="shared" si="4"/>
        <v>L1.00.00.01.03.00</v>
      </c>
      <c r="P21" s="55" t="str">
        <f t="shared" si="5"/>
        <v>L1.00.00.01.03.00.07</v>
      </c>
      <c r="Q21" s="160" t="s">
        <v>10530</v>
      </c>
      <c r="R21" s="169" t="str">
        <f t="shared" si="6"/>
        <v>Phòng Quan hệ cộng đồng</v>
      </c>
      <c r="S21" s="161" t="str">
        <f t="shared" si="7"/>
        <v>L1.00.00.01.00.00.07</v>
      </c>
      <c r="T21" s="169" t="s">
        <v>6126</v>
      </c>
      <c r="U21" s="169" t="s">
        <v>2717</v>
      </c>
      <c r="V21" s="169" t="s">
        <v>10543</v>
      </c>
      <c r="W21" s="96"/>
      <c r="X21" s="96"/>
      <c r="Y21" s="96"/>
      <c r="Z21" s="98" t="s">
        <v>10544</v>
      </c>
      <c r="AA21" s="153" t="s">
        <v>10530</v>
      </c>
      <c r="AB21" s="91"/>
      <c r="AC21" s="91"/>
      <c r="AD21" s="91"/>
    </row>
    <row r="22" ht="15.75" customHeight="1" outlineLevel="1">
      <c r="A22" s="170" t="s">
        <v>10535</v>
      </c>
      <c r="B22" s="51" t="s">
        <v>26</v>
      </c>
      <c r="C22" s="51" t="s">
        <v>27</v>
      </c>
      <c r="D22" s="52" t="s">
        <v>4</v>
      </c>
      <c r="E22" s="53" t="s">
        <v>27</v>
      </c>
      <c r="F22" s="52" t="s">
        <v>4</v>
      </c>
      <c r="G22" s="52" t="s">
        <v>29</v>
      </c>
      <c r="H22" s="171" t="s">
        <v>31</v>
      </c>
      <c r="I22" s="172" t="s">
        <v>37</v>
      </c>
      <c r="J22" s="173" t="s">
        <v>38</v>
      </c>
      <c r="K22" s="172" t="s">
        <v>27</v>
      </c>
      <c r="L22" s="174" t="s">
        <v>4</v>
      </c>
      <c r="M22" s="52" t="s">
        <v>46</v>
      </c>
      <c r="N22" s="54" t="s">
        <v>10496</v>
      </c>
      <c r="O22" s="55" t="str">
        <f t="shared" si="4"/>
        <v>L1.00.00.01.04.00</v>
      </c>
      <c r="P22" s="55" t="str">
        <f t="shared" si="5"/>
        <v>L1.00.00.01.04.00.07</v>
      </c>
      <c r="Q22" s="160" t="s">
        <v>10530</v>
      </c>
      <c r="R22" s="169" t="str">
        <f t="shared" si="6"/>
        <v>Phòng Quản trị nguồn nhân lực</v>
      </c>
      <c r="S22" s="161" t="str">
        <f t="shared" si="7"/>
        <v>L1.00.00.01.00.00.07</v>
      </c>
      <c r="T22" s="169" t="s">
        <v>2718</v>
      </c>
      <c r="U22" s="169" t="s">
        <v>2717</v>
      </c>
      <c r="V22" s="169" t="s">
        <v>10545</v>
      </c>
      <c r="W22" s="96"/>
      <c r="X22" s="96"/>
      <c r="Y22" s="96"/>
      <c r="Z22" s="98" t="s">
        <v>10546</v>
      </c>
      <c r="AA22" s="153" t="s">
        <v>10530</v>
      </c>
      <c r="AB22" s="91"/>
      <c r="AC22" s="91"/>
      <c r="AD22" s="91"/>
    </row>
    <row r="23" ht="15.75" customHeight="1" outlineLevel="1">
      <c r="A23" s="170" t="s">
        <v>10535</v>
      </c>
      <c r="B23" s="51" t="s">
        <v>26</v>
      </c>
      <c r="C23" s="51" t="s">
        <v>27</v>
      </c>
      <c r="D23" s="52" t="s">
        <v>4</v>
      </c>
      <c r="E23" s="53" t="s">
        <v>27</v>
      </c>
      <c r="F23" s="52" t="s">
        <v>4</v>
      </c>
      <c r="G23" s="52" t="s">
        <v>33</v>
      </c>
      <c r="H23" s="171" t="s">
        <v>39</v>
      </c>
      <c r="I23" s="172" t="s">
        <v>27</v>
      </c>
      <c r="J23" s="172" t="s">
        <v>4</v>
      </c>
      <c r="K23" s="172" t="s">
        <v>27</v>
      </c>
      <c r="L23" s="174" t="s">
        <v>4</v>
      </c>
      <c r="M23" s="52" t="s">
        <v>46</v>
      </c>
      <c r="N23" s="54" t="s">
        <v>10496</v>
      </c>
      <c r="O23" s="55" t="str">
        <f t="shared" si="4"/>
        <v>L1.00.00.02.00.00</v>
      </c>
      <c r="P23" s="55" t="str">
        <f t="shared" si="5"/>
        <v>L1.00.00.02.00.00.07</v>
      </c>
      <c r="Q23" s="160" t="s">
        <v>10530</v>
      </c>
      <c r="R23" s="169" t="str">
        <f t="shared" si="6"/>
        <v>Phòng Đảm bảo chất lượng</v>
      </c>
      <c r="S23" s="161" t="str">
        <f>$P$17</f>
        <v>L1.00.00.00.00.00.07</v>
      </c>
      <c r="T23" s="96" t="s">
        <v>4881</v>
      </c>
      <c r="U23" s="96" t="s">
        <v>453</v>
      </c>
      <c r="V23" s="96" t="s">
        <v>39</v>
      </c>
      <c r="W23" s="96"/>
      <c r="X23" s="96"/>
      <c r="Y23" s="96"/>
      <c r="Z23" s="98" t="s">
        <v>10547</v>
      </c>
      <c r="AA23" s="153" t="s">
        <v>10530</v>
      </c>
      <c r="AB23" s="91"/>
      <c r="AC23" s="91"/>
      <c r="AD23" s="91"/>
    </row>
    <row r="24" ht="15.75" customHeight="1" outlineLevel="1">
      <c r="A24" s="170" t="s">
        <v>10535</v>
      </c>
      <c r="B24" s="51" t="s">
        <v>26</v>
      </c>
      <c r="C24" s="51" t="s">
        <v>27</v>
      </c>
      <c r="D24" s="52" t="s">
        <v>4</v>
      </c>
      <c r="E24" s="53" t="s">
        <v>27</v>
      </c>
      <c r="F24" s="52" t="s">
        <v>4</v>
      </c>
      <c r="G24" s="52" t="s">
        <v>35</v>
      </c>
      <c r="H24" s="171" t="s">
        <v>40</v>
      </c>
      <c r="I24" s="172" t="s">
        <v>27</v>
      </c>
      <c r="J24" s="172" t="s">
        <v>4</v>
      </c>
      <c r="K24" s="172" t="s">
        <v>27</v>
      </c>
      <c r="L24" s="174" t="s">
        <v>4</v>
      </c>
      <c r="M24" s="52" t="s">
        <v>46</v>
      </c>
      <c r="N24" s="54" t="s">
        <v>10496</v>
      </c>
      <c r="O24" s="55" t="str">
        <f t="shared" si="4"/>
        <v>L1.00.00.03.00.00</v>
      </c>
      <c r="P24" s="55" t="str">
        <f t="shared" si="5"/>
        <v>L1.00.00.03.00.00.07</v>
      </c>
      <c r="Q24" s="160" t="s">
        <v>10530</v>
      </c>
      <c r="R24" s="169" t="str">
        <f t="shared" si="6"/>
        <v>Phòng Quản trị hệ thống</v>
      </c>
      <c r="S24" s="97" t="s">
        <v>10536</v>
      </c>
      <c r="T24" s="96" t="s">
        <v>4969</v>
      </c>
      <c r="U24" s="96" t="s">
        <v>453</v>
      </c>
      <c r="V24" s="96" t="s">
        <v>40</v>
      </c>
      <c r="W24" s="96"/>
      <c r="X24" s="96"/>
      <c r="Y24" s="96"/>
      <c r="Z24" s="98" t="s">
        <v>10548</v>
      </c>
      <c r="AA24" s="153" t="s">
        <v>10530</v>
      </c>
      <c r="AB24" s="91"/>
      <c r="AC24" s="91"/>
      <c r="AD24" s="91"/>
    </row>
    <row r="25" ht="15.75" customHeight="1" outlineLevel="1">
      <c r="A25" s="170" t="s">
        <v>10535</v>
      </c>
      <c r="B25" s="51" t="s">
        <v>26</v>
      </c>
      <c r="C25" s="51" t="s">
        <v>27</v>
      </c>
      <c r="D25" s="52" t="s">
        <v>4</v>
      </c>
      <c r="E25" s="53" t="s">
        <v>27</v>
      </c>
      <c r="F25" s="52" t="s">
        <v>4</v>
      </c>
      <c r="G25" s="52" t="s">
        <v>37</v>
      </c>
      <c r="H25" s="171" t="s">
        <v>41</v>
      </c>
      <c r="I25" s="172" t="s">
        <v>27</v>
      </c>
      <c r="J25" s="172" t="s">
        <v>4</v>
      </c>
      <c r="K25" s="172" t="s">
        <v>27</v>
      </c>
      <c r="L25" s="174" t="s">
        <v>4</v>
      </c>
      <c r="M25" s="52" t="s">
        <v>46</v>
      </c>
      <c r="N25" s="54" t="s">
        <v>10496</v>
      </c>
      <c r="O25" s="55" t="str">
        <f t="shared" si="4"/>
        <v>L1.00.00.04.00.00</v>
      </c>
      <c r="P25" s="55" t="str">
        <f t="shared" si="5"/>
        <v>L1.00.00.04.00.00.07</v>
      </c>
      <c r="Q25" s="160" t="s">
        <v>10530</v>
      </c>
      <c r="R25" s="169" t="str">
        <f t="shared" si="6"/>
        <v>Phòng Hỗ trợ kỹ thuật</v>
      </c>
      <c r="S25" s="161" t="s">
        <v>10536</v>
      </c>
      <c r="T25" s="169" t="s">
        <v>623</v>
      </c>
      <c r="U25" s="169" t="s">
        <v>453</v>
      </c>
      <c r="V25" s="169" t="s">
        <v>10549</v>
      </c>
      <c r="W25" s="96"/>
      <c r="X25" s="96"/>
      <c r="Y25" s="96"/>
      <c r="Z25" s="98" t="s">
        <v>10550</v>
      </c>
      <c r="AA25" s="153" t="s">
        <v>10530</v>
      </c>
      <c r="AB25" s="91"/>
      <c r="AC25" s="91"/>
      <c r="AD25" s="91"/>
    </row>
    <row r="26" ht="15.75" customHeight="1" outlineLevel="1">
      <c r="A26" s="170" t="s">
        <v>10535</v>
      </c>
      <c r="B26" s="51" t="s">
        <v>26</v>
      </c>
      <c r="C26" s="51" t="s">
        <v>27</v>
      </c>
      <c r="D26" s="52" t="s">
        <v>4</v>
      </c>
      <c r="E26" s="53" t="s">
        <v>27</v>
      </c>
      <c r="F26" s="52" t="s">
        <v>4</v>
      </c>
      <c r="G26" s="52" t="s">
        <v>42</v>
      </c>
      <c r="H26" s="171" t="s">
        <v>43</v>
      </c>
      <c r="I26" s="172" t="s">
        <v>27</v>
      </c>
      <c r="J26" s="172" t="s">
        <v>4</v>
      </c>
      <c r="K26" s="172" t="s">
        <v>27</v>
      </c>
      <c r="L26" s="174" t="s">
        <v>4</v>
      </c>
      <c r="M26" s="52" t="s">
        <v>46</v>
      </c>
      <c r="N26" s="54" t="s">
        <v>10496</v>
      </c>
      <c r="O26" s="55" t="str">
        <f t="shared" si="4"/>
        <v>L1.00.00.05.00.00</v>
      </c>
      <c r="P26" s="55" t="str">
        <f t="shared" si="5"/>
        <v>L1.00.00.05.00.00.07</v>
      </c>
      <c r="Q26" s="160" t="s">
        <v>10530</v>
      </c>
      <c r="R26" s="169" t="str">
        <f t="shared" si="6"/>
        <v>Ban Phát triển đối tác</v>
      </c>
      <c r="S26" s="161" t="s">
        <v>10536</v>
      </c>
      <c r="T26" s="169" t="s">
        <v>6164</v>
      </c>
      <c r="U26" s="169" t="s">
        <v>453</v>
      </c>
      <c r="V26" s="169" t="s">
        <v>10551</v>
      </c>
      <c r="W26" s="96"/>
      <c r="X26" s="96"/>
      <c r="Y26" s="96"/>
      <c r="Z26" s="98" t="s">
        <v>10552</v>
      </c>
      <c r="AA26" s="153" t="s">
        <v>10530</v>
      </c>
      <c r="AB26" s="91"/>
      <c r="AC26" s="91"/>
      <c r="AD26" s="91"/>
    </row>
    <row r="27" ht="15.75" customHeight="1" outlineLevel="1">
      <c r="A27" s="170" t="s">
        <v>10535</v>
      </c>
      <c r="B27" s="51" t="s">
        <v>26</v>
      </c>
      <c r="C27" s="51" t="s">
        <v>27</v>
      </c>
      <c r="D27" s="52" t="s">
        <v>4</v>
      </c>
      <c r="E27" s="53" t="s">
        <v>27</v>
      </c>
      <c r="F27" s="52" t="s">
        <v>4</v>
      </c>
      <c r="G27" s="52" t="s">
        <v>44</v>
      </c>
      <c r="H27" s="171" t="s">
        <v>45</v>
      </c>
      <c r="I27" s="172" t="s">
        <v>27</v>
      </c>
      <c r="J27" s="172" t="s">
        <v>4</v>
      </c>
      <c r="K27" s="172" t="s">
        <v>27</v>
      </c>
      <c r="L27" s="174" t="s">
        <v>4</v>
      </c>
      <c r="M27" s="52" t="s">
        <v>46</v>
      </c>
      <c r="N27" s="54" t="s">
        <v>10496</v>
      </c>
      <c r="O27" s="55" t="str">
        <f t="shared" si="4"/>
        <v>L1.00.00.06.00.00</v>
      </c>
      <c r="P27" s="55" t="str">
        <f t="shared" si="5"/>
        <v>L1.00.00.06.00.00.07</v>
      </c>
      <c r="Q27" s="160" t="s">
        <v>10530</v>
      </c>
      <c r="R27" s="169" t="str">
        <f t="shared" si="6"/>
        <v>Ban Nghiên cứu Thị trường &amp; Sản phẩm</v>
      </c>
      <c r="S27" s="97" t="s">
        <v>10536</v>
      </c>
      <c r="T27" s="96" t="s">
        <v>2842</v>
      </c>
      <c r="U27" s="96" t="s">
        <v>453</v>
      </c>
      <c r="V27" s="96" t="s">
        <v>2841</v>
      </c>
      <c r="W27" s="96"/>
      <c r="X27" s="96"/>
      <c r="Y27" s="96"/>
      <c r="Z27" s="98" t="s">
        <v>10553</v>
      </c>
      <c r="AA27" s="153" t="s">
        <v>10530</v>
      </c>
      <c r="AB27" s="91"/>
      <c r="AC27" s="91"/>
      <c r="AD27" s="91"/>
    </row>
    <row r="28" ht="15.75" customHeight="1" outlineLevel="1">
      <c r="A28" s="170" t="s">
        <v>10535</v>
      </c>
      <c r="B28" s="57" t="s">
        <v>26</v>
      </c>
      <c r="C28" s="51" t="s">
        <v>27</v>
      </c>
      <c r="D28" s="52" t="s">
        <v>4</v>
      </c>
      <c r="E28" s="53" t="s">
        <v>27</v>
      </c>
      <c r="F28" s="52" t="s">
        <v>4</v>
      </c>
      <c r="G28" s="52" t="s">
        <v>46</v>
      </c>
      <c r="H28" s="171" t="s">
        <v>47</v>
      </c>
      <c r="I28" s="175" t="s">
        <v>27</v>
      </c>
      <c r="J28" s="172" t="s">
        <v>4</v>
      </c>
      <c r="K28" s="172" t="s">
        <v>27</v>
      </c>
      <c r="L28" s="174" t="s">
        <v>4</v>
      </c>
      <c r="M28" s="52" t="s">
        <v>46</v>
      </c>
      <c r="N28" s="54" t="s">
        <v>10496</v>
      </c>
      <c r="O28" s="55" t="str">
        <f t="shared" si="4"/>
        <v>L1.00.00.07.00.00</v>
      </c>
      <c r="P28" s="55" t="str">
        <f t="shared" si="5"/>
        <v>L1.00.00.07.00.00.07</v>
      </c>
      <c r="Q28" s="160" t="s">
        <v>10530</v>
      </c>
      <c r="R28" s="169" t="str">
        <f t="shared" si="6"/>
        <v>Ban Công nghệ thông tin</v>
      </c>
      <c r="S28" s="97" t="s">
        <v>10536</v>
      </c>
      <c r="T28" s="97" t="s">
        <v>10554</v>
      </c>
      <c r="U28" s="96" t="s">
        <v>453</v>
      </c>
      <c r="V28" s="96" t="s">
        <v>47</v>
      </c>
      <c r="W28" s="96"/>
      <c r="X28" s="96"/>
      <c r="Y28" s="96"/>
      <c r="Z28" s="98" t="s">
        <v>10555</v>
      </c>
      <c r="AA28" s="153" t="s">
        <v>10530</v>
      </c>
      <c r="AB28" s="91"/>
      <c r="AC28" s="91"/>
      <c r="AD28" s="91"/>
    </row>
    <row r="29" ht="15.75" customHeight="1" outlineLevel="1">
      <c r="A29" s="170" t="s">
        <v>10535</v>
      </c>
      <c r="B29" s="57" t="s">
        <v>26</v>
      </c>
      <c r="C29" s="51" t="s">
        <v>27</v>
      </c>
      <c r="D29" s="52" t="s">
        <v>4</v>
      </c>
      <c r="E29" s="53" t="s">
        <v>27</v>
      </c>
      <c r="F29" s="52" t="s">
        <v>4</v>
      </c>
      <c r="G29" s="52" t="s">
        <v>46</v>
      </c>
      <c r="H29" s="171" t="s">
        <v>47</v>
      </c>
      <c r="I29" s="172" t="s">
        <v>29</v>
      </c>
      <c r="J29" s="173" t="s">
        <v>48</v>
      </c>
      <c r="K29" s="172" t="s">
        <v>27</v>
      </c>
      <c r="L29" s="174" t="s">
        <v>4</v>
      </c>
      <c r="M29" s="52" t="s">
        <v>46</v>
      </c>
      <c r="N29" s="54" t="s">
        <v>10496</v>
      </c>
      <c r="O29" s="55" t="str">
        <f t="shared" si="4"/>
        <v>L1.00.00.07.01.00</v>
      </c>
      <c r="P29" s="55" t="str">
        <f t="shared" si="5"/>
        <v>L1.00.00.07.01.00.07</v>
      </c>
      <c r="Q29" s="160" t="s">
        <v>10530</v>
      </c>
      <c r="R29" s="169" t="str">
        <f t="shared" si="6"/>
        <v>Ban giám đốc - Ban CNTT</v>
      </c>
      <c r="S29" s="97" t="s">
        <v>10556</v>
      </c>
      <c r="T29" s="96" t="s">
        <v>6309</v>
      </c>
      <c r="U29" s="96" t="s">
        <v>453</v>
      </c>
      <c r="V29" s="96" t="s">
        <v>47</v>
      </c>
      <c r="W29" s="96" t="s">
        <v>6308</v>
      </c>
      <c r="X29" s="96"/>
      <c r="Y29" s="96"/>
      <c r="Z29" s="98" t="s">
        <v>10557</v>
      </c>
      <c r="AA29" s="153" t="s">
        <v>10530</v>
      </c>
      <c r="AB29" s="91"/>
      <c r="AC29" s="91"/>
      <c r="AD29" s="91"/>
    </row>
    <row r="30" ht="15.75" customHeight="1" outlineLevel="1">
      <c r="A30" s="170" t="s">
        <v>10535</v>
      </c>
      <c r="B30" s="57" t="s">
        <v>26</v>
      </c>
      <c r="C30" s="51" t="s">
        <v>27</v>
      </c>
      <c r="D30" s="52" t="s">
        <v>4</v>
      </c>
      <c r="E30" s="53" t="s">
        <v>27</v>
      </c>
      <c r="F30" s="52" t="s">
        <v>4</v>
      </c>
      <c r="G30" s="52" t="s">
        <v>46</v>
      </c>
      <c r="H30" s="171" t="s">
        <v>47</v>
      </c>
      <c r="I30" s="172" t="s">
        <v>33</v>
      </c>
      <c r="J30" s="176" t="s">
        <v>3397</v>
      </c>
      <c r="K30" s="175" t="s">
        <v>27</v>
      </c>
      <c r="L30" s="174" t="s">
        <v>4</v>
      </c>
      <c r="M30" s="52" t="s">
        <v>46</v>
      </c>
      <c r="N30" s="54" t="s">
        <v>10496</v>
      </c>
      <c r="O30" s="55" t="str">
        <f t="shared" si="4"/>
        <v>L1.00.00.07.02.00</v>
      </c>
      <c r="P30" s="55" t="str">
        <f t="shared" si="5"/>
        <v>L1.00.00.07.02.00.07</v>
      </c>
      <c r="Q30" s="160" t="s">
        <v>10530</v>
      </c>
      <c r="R30" s="169" t="str">
        <f t="shared" si="6"/>
        <v>Sản phẩm Automation Support</v>
      </c>
      <c r="S30" s="97" t="s">
        <v>10556</v>
      </c>
      <c r="T30" s="97" t="s">
        <v>10558</v>
      </c>
      <c r="U30" s="96" t="s">
        <v>453</v>
      </c>
      <c r="V30" s="96" t="s">
        <v>47</v>
      </c>
      <c r="W30" s="96" t="s">
        <v>3397</v>
      </c>
      <c r="X30" s="96"/>
      <c r="Y30" s="96"/>
      <c r="Z30" s="98" t="s">
        <v>10559</v>
      </c>
      <c r="AA30" s="153" t="s">
        <v>10530</v>
      </c>
      <c r="AB30" s="91"/>
      <c r="AC30" s="91"/>
      <c r="AD30" s="91"/>
    </row>
    <row r="31" ht="15.75" customHeight="1" outlineLevel="1">
      <c r="A31" s="170" t="s">
        <v>10535</v>
      </c>
      <c r="B31" s="57" t="s">
        <v>26</v>
      </c>
      <c r="C31" s="51" t="s">
        <v>27</v>
      </c>
      <c r="D31" s="52" t="s">
        <v>4</v>
      </c>
      <c r="E31" s="53" t="s">
        <v>27</v>
      </c>
      <c r="F31" s="52" t="s">
        <v>4</v>
      </c>
      <c r="G31" s="52" t="s">
        <v>46</v>
      </c>
      <c r="H31" s="171" t="s">
        <v>47</v>
      </c>
      <c r="I31" s="172" t="s">
        <v>33</v>
      </c>
      <c r="J31" s="176" t="s">
        <v>3397</v>
      </c>
      <c r="K31" s="175" t="s">
        <v>29</v>
      </c>
      <c r="L31" s="176" t="s">
        <v>5136</v>
      </c>
      <c r="M31" s="52" t="s">
        <v>46</v>
      </c>
      <c r="N31" s="54" t="s">
        <v>10496</v>
      </c>
      <c r="O31" s="55" t="str">
        <f t="shared" si="4"/>
        <v>L1.00.00.07.02.01</v>
      </c>
      <c r="P31" s="55" t="str">
        <f t="shared" si="5"/>
        <v>L1.00.00.07.02.01.07</v>
      </c>
      <c r="Q31" s="160" t="s">
        <v>10530</v>
      </c>
      <c r="R31" s="169" t="str">
        <f t="shared" si="6"/>
        <v>Dự án MISA Order</v>
      </c>
      <c r="S31" s="97" t="s">
        <v>10560</v>
      </c>
      <c r="T31" s="96" t="s">
        <v>5137</v>
      </c>
      <c r="U31" s="96" t="s">
        <v>453</v>
      </c>
      <c r="V31" s="96" t="s">
        <v>47</v>
      </c>
      <c r="W31" s="96" t="s">
        <v>3397</v>
      </c>
      <c r="X31" s="96" t="s">
        <v>5136</v>
      </c>
      <c r="Y31" s="96"/>
      <c r="Z31" s="98" t="s">
        <v>10561</v>
      </c>
      <c r="AA31" s="153" t="s">
        <v>10530</v>
      </c>
      <c r="AB31" s="91"/>
      <c r="AC31" s="91"/>
      <c r="AD31" s="91"/>
    </row>
    <row r="32" ht="15.75" customHeight="1" outlineLevel="1">
      <c r="A32" s="170" t="s">
        <v>10535</v>
      </c>
      <c r="B32" s="57" t="s">
        <v>26</v>
      </c>
      <c r="C32" s="51" t="s">
        <v>27</v>
      </c>
      <c r="D32" s="52" t="s">
        <v>4</v>
      </c>
      <c r="E32" s="53" t="s">
        <v>27</v>
      </c>
      <c r="F32" s="52" t="s">
        <v>4</v>
      </c>
      <c r="G32" s="52" t="s">
        <v>46</v>
      </c>
      <c r="H32" s="171" t="s">
        <v>47</v>
      </c>
      <c r="I32" s="172" t="s">
        <v>33</v>
      </c>
      <c r="J32" s="176" t="s">
        <v>3397</v>
      </c>
      <c r="K32" s="177" t="s">
        <v>33</v>
      </c>
      <c r="L32" s="176" t="s">
        <v>4869</v>
      </c>
      <c r="M32" s="52" t="s">
        <v>46</v>
      </c>
      <c r="N32" s="54" t="s">
        <v>10496</v>
      </c>
      <c r="O32" s="55" t="str">
        <f t="shared" si="4"/>
        <v>L1.00.00.07.02.02</v>
      </c>
      <c r="P32" s="55" t="str">
        <f t="shared" si="5"/>
        <v>L1.00.00.07.02.02.07</v>
      </c>
      <c r="Q32" s="160" t="s">
        <v>10530</v>
      </c>
      <c r="R32" s="169" t="str">
        <f t="shared" si="6"/>
        <v>Dự án MISA SUMAN</v>
      </c>
      <c r="S32" s="97" t="s">
        <v>10560</v>
      </c>
      <c r="T32" s="96" t="s">
        <v>4870</v>
      </c>
      <c r="U32" s="96" t="s">
        <v>453</v>
      </c>
      <c r="V32" s="96" t="s">
        <v>47</v>
      </c>
      <c r="W32" s="96" t="s">
        <v>3397</v>
      </c>
      <c r="X32" s="96" t="s">
        <v>4869</v>
      </c>
      <c r="Y32" s="96"/>
      <c r="Z32" s="98" t="s">
        <v>10562</v>
      </c>
      <c r="AA32" s="153" t="s">
        <v>10530</v>
      </c>
      <c r="AB32" s="91"/>
      <c r="AC32" s="91"/>
      <c r="AD32" s="91"/>
    </row>
    <row r="33" ht="15.75" customHeight="1" outlineLevel="1">
      <c r="A33" s="170" t="s">
        <v>10535</v>
      </c>
      <c r="B33" s="57" t="s">
        <v>26</v>
      </c>
      <c r="C33" s="51" t="s">
        <v>27</v>
      </c>
      <c r="D33" s="52" t="s">
        <v>4</v>
      </c>
      <c r="E33" s="53" t="s">
        <v>27</v>
      </c>
      <c r="F33" s="52" t="s">
        <v>4</v>
      </c>
      <c r="G33" s="52" t="s">
        <v>46</v>
      </c>
      <c r="H33" s="171" t="s">
        <v>47</v>
      </c>
      <c r="I33" s="172" t="s">
        <v>33</v>
      </c>
      <c r="J33" s="176" t="s">
        <v>3397</v>
      </c>
      <c r="K33" s="177" t="s">
        <v>35</v>
      </c>
      <c r="L33" s="176" t="s">
        <v>3396</v>
      </c>
      <c r="M33" s="52" t="s">
        <v>46</v>
      </c>
      <c r="N33" s="54" t="s">
        <v>10496</v>
      </c>
      <c r="O33" s="55" t="str">
        <f t="shared" si="4"/>
        <v>L1.00.00.07.02.03</v>
      </c>
      <c r="P33" s="55" t="str">
        <f t="shared" si="5"/>
        <v>L1.00.00.07.02.03.07</v>
      </c>
      <c r="Q33" s="160" t="s">
        <v>10530</v>
      </c>
      <c r="R33" s="169" t="str">
        <f t="shared" si="6"/>
        <v>[Automation Support] Nhóm Phân tích và Thiết kế</v>
      </c>
      <c r="S33" s="97" t="s">
        <v>10560</v>
      </c>
      <c r="T33" s="96" t="s">
        <v>3398</v>
      </c>
      <c r="U33" s="96" t="s">
        <v>453</v>
      </c>
      <c r="V33" s="96" t="s">
        <v>47</v>
      </c>
      <c r="W33" s="96" t="s">
        <v>3397</v>
      </c>
      <c r="X33" s="96" t="s">
        <v>3396</v>
      </c>
      <c r="Y33" s="96"/>
      <c r="Z33" s="98" t="s">
        <v>10563</v>
      </c>
      <c r="AA33" s="153" t="s">
        <v>10530</v>
      </c>
      <c r="AB33" s="91"/>
      <c r="AC33" s="91"/>
      <c r="AD33" s="91"/>
    </row>
    <row r="34" ht="15.75" customHeight="1" outlineLevel="1">
      <c r="A34" s="170" t="s">
        <v>10535</v>
      </c>
      <c r="B34" s="57" t="s">
        <v>26</v>
      </c>
      <c r="C34" s="51" t="s">
        <v>27</v>
      </c>
      <c r="D34" s="52" t="s">
        <v>4</v>
      </c>
      <c r="E34" s="53" t="s">
        <v>27</v>
      </c>
      <c r="F34" s="52" t="s">
        <v>4</v>
      </c>
      <c r="G34" s="52" t="s">
        <v>46</v>
      </c>
      <c r="H34" s="171" t="s">
        <v>47</v>
      </c>
      <c r="I34" s="172" t="s">
        <v>33</v>
      </c>
      <c r="J34" s="176" t="s">
        <v>3397</v>
      </c>
      <c r="K34" s="177" t="s">
        <v>37</v>
      </c>
      <c r="L34" s="176" t="s">
        <v>3619</v>
      </c>
      <c r="M34" s="52" t="s">
        <v>46</v>
      </c>
      <c r="N34" s="54" t="s">
        <v>10496</v>
      </c>
      <c r="O34" s="55" t="str">
        <f t="shared" si="4"/>
        <v>L1.00.00.07.02.04</v>
      </c>
      <c r="P34" s="55" t="str">
        <f t="shared" si="5"/>
        <v>L1.00.00.07.02.04.07</v>
      </c>
      <c r="Q34" s="160" t="s">
        <v>10530</v>
      </c>
      <c r="R34" s="169" t="str">
        <f t="shared" si="6"/>
        <v>Dự án MISA Automation Support</v>
      </c>
      <c r="S34" s="97" t="s">
        <v>10560</v>
      </c>
      <c r="T34" s="96" t="s">
        <v>3620</v>
      </c>
      <c r="U34" s="96" t="s">
        <v>453</v>
      </c>
      <c r="V34" s="96" t="s">
        <v>47</v>
      </c>
      <c r="W34" s="96" t="s">
        <v>3397</v>
      </c>
      <c r="X34" s="96" t="s">
        <v>3619</v>
      </c>
      <c r="Y34" s="96"/>
      <c r="Z34" s="98" t="s">
        <v>10564</v>
      </c>
      <c r="AA34" s="153" t="s">
        <v>10530</v>
      </c>
      <c r="AB34" s="91"/>
      <c r="AC34" s="91"/>
      <c r="AD34" s="91"/>
    </row>
    <row r="35" ht="15.75" customHeight="1" outlineLevel="1">
      <c r="A35" s="170" t="s">
        <v>10535</v>
      </c>
      <c r="B35" s="57" t="s">
        <v>26</v>
      </c>
      <c r="C35" s="51" t="s">
        <v>27</v>
      </c>
      <c r="D35" s="52" t="s">
        <v>4</v>
      </c>
      <c r="E35" s="53" t="s">
        <v>27</v>
      </c>
      <c r="F35" s="52" t="s">
        <v>4</v>
      </c>
      <c r="G35" s="52" t="s">
        <v>46</v>
      </c>
      <c r="H35" s="171" t="s">
        <v>47</v>
      </c>
      <c r="I35" s="175" t="s">
        <v>35</v>
      </c>
      <c r="J35" s="176" t="s">
        <v>4508</v>
      </c>
      <c r="K35" s="172" t="s">
        <v>27</v>
      </c>
      <c r="L35" s="174" t="s">
        <v>4</v>
      </c>
      <c r="M35" s="52" t="s">
        <v>46</v>
      </c>
      <c r="N35" s="54" t="s">
        <v>10496</v>
      </c>
      <c r="O35" s="55" t="str">
        <f t="shared" si="4"/>
        <v>L1.00.00.07.03.00</v>
      </c>
      <c r="P35" s="55" t="str">
        <f t="shared" si="5"/>
        <v>L1.00.00.07.03.00.07</v>
      </c>
      <c r="Q35" s="160" t="s">
        <v>10530</v>
      </c>
      <c r="R35" s="169" t="str">
        <f t="shared" si="6"/>
        <v>Sản phẩm Automation Marketing</v>
      </c>
      <c r="S35" s="97" t="s">
        <v>10556</v>
      </c>
      <c r="T35" s="96" t="s">
        <v>4509</v>
      </c>
      <c r="U35" s="96" t="s">
        <v>453</v>
      </c>
      <c r="V35" s="96" t="s">
        <v>47</v>
      </c>
      <c r="W35" s="96" t="s">
        <v>4508</v>
      </c>
      <c r="X35" s="96"/>
      <c r="Y35" s="96"/>
      <c r="Z35" s="98" t="s">
        <v>10565</v>
      </c>
      <c r="AA35" s="153" t="s">
        <v>10530</v>
      </c>
      <c r="AB35" s="91"/>
      <c r="AC35" s="91"/>
      <c r="AD35" s="91"/>
    </row>
    <row r="36" ht="15.75" customHeight="1" outlineLevel="1">
      <c r="A36" s="170" t="s">
        <v>10535</v>
      </c>
      <c r="B36" s="57" t="s">
        <v>26</v>
      </c>
      <c r="C36" s="51" t="s">
        <v>27</v>
      </c>
      <c r="D36" s="52" t="s">
        <v>4</v>
      </c>
      <c r="E36" s="53" t="s">
        <v>27</v>
      </c>
      <c r="F36" s="52" t="s">
        <v>4</v>
      </c>
      <c r="G36" s="52" t="s">
        <v>46</v>
      </c>
      <c r="H36" s="171" t="s">
        <v>47</v>
      </c>
      <c r="I36" s="175" t="s">
        <v>35</v>
      </c>
      <c r="J36" s="176" t="s">
        <v>4508</v>
      </c>
      <c r="K36" s="175" t="s">
        <v>29</v>
      </c>
      <c r="L36" s="176" t="s">
        <v>5282</v>
      </c>
      <c r="M36" s="52" t="s">
        <v>46</v>
      </c>
      <c r="N36" s="54" t="s">
        <v>10496</v>
      </c>
      <c r="O36" s="55" t="str">
        <f t="shared" si="4"/>
        <v>L1.00.00.07.03.01</v>
      </c>
      <c r="P36" s="55" t="str">
        <f t="shared" si="5"/>
        <v>L1.00.00.07.03.01.07</v>
      </c>
      <c r="Q36" s="160" t="s">
        <v>10530</v>
      </c>
      <c r="R36" s="169" t="str">
        <f t="shared" si="6"/>
        <v>Dự án Websites</v>
      </c>
      <c r="S36" s="97" t="s">
        <v>10566</v>
      </c>
      <c r="T36" s="96" t="s">
        <v>5283</v>
      </c>
      <c r="U36" s="96" t="s">
        <v>453</v>
      </c>
      <c r="V36" s="96" t="s">
        <v>47</v>
      </c>
      <c r="W36" s="96" t="s">
        <v>4508</v>
      </c>
      <c r="X36" s="96" t="s">
        <v>5282</v>
      </c>
      <c r="Y36" s="96"/>
      <c r="Z36" s="98" t="s">
        <v>10567</v>
      </c>
      <c r="AA36" s="153" t="s">
        <v>10530</v>
      </c>
      <c r="AB36" s="91"/>
      <c r="AC36" s="91"/>
      <c r="AD36" s="91"/>
    </row>
    <row r="37" ht="15.75" customHeight="1" outlineLevel="1">
      <c r="A37" s="178" t="s">
        <v>10535</v>
      </c>
      <c r="B37" s="179" t="s">
        <v>26</v>
      </c>
      <c r="C37" s="180" t="s">
        <v>27</v>
      </c>
      <c r="D37" s="64" t="s">
        <v>4</v>
      </c>
      <c r="E37" s="71" t="s">
        <v>27</v>
      </c>
      <c r="F37" s="64" t="s">
        <v>4</v>
      </c>
      <c r="G37" s="64" t="s">
        <v>46</v>
      </c>
      <c r="H37" s="181" t="s">
        <v>47</v>
      </c>
      <c r="I37" s="182" t="s">
        <v>35</v>
      </c>
      <c r="J37" s="183" t="s">
        <v>4508</v>
      </c>
      <c r="K37" s="182" t="s">
        <v>33</v>
      </c>
      <c r="L37" s="184" t="s">
        <v>10568</v>
      </c>
      <c r="M37" s="64" t="s">
        <v>46</v>
      </c>
      <c r="N37" s="70" t="s">
        <v>10496</v>
      </c>
      <c r="O37" s="58" t="str">
        <f t="shared" si="4"/>
        <v>L1.00.00.07.03.02</v>
      </c>
      <c r="P37" s="58" t="str">
        <f t="shared" si="5"/>
        <v>L1.00.00.07.03.02.07</v>
      </c>
      <c r="Q37" s="185" t="s">
        <v>10530</v>
      </c>
      <c r="R37" s="186" t="str">
        <f t="shared" si="6"/>
        <v>[Automation Marketing] Nhóm Phân tích và Thiết kế</v>
      </c>
      <c r="S37" s="187" t="s">
        <v>10566</v>
      </c>
      <c r="T37" s="188" t="s">
        <v>10569</v>
      </c>
      <c r="U37" s="189" t="s">
        <v>453</v>
      </c>
      <c r="V37" s="189" t="s">
        <v>47</v>
      </c>
      <c r="W37" s="189" t="s">
        <v>4508</v>
      </c>
      <c r="X37" s="190" t="s">
        <v>10568</v>
      </c>
      <c r="Y37" s="189"/>
      <c r="Z37" s="191" t="s">
        <v>10567</v>
      </c>
      <c r="AA37" s="192" t="s">
        <v>10530</v>
      </c>
      <c r="AB37" s="193"/>
      <c r="AC37" s="193"/>
      <c r="AD37" s="193"/>
    </row>
    <row r="38" ht="15.75" customHeight="1" outlineLevel="1">
      <c r="A38" s="170" t="s">
        <v>10535</v>
      </c>
      <c r="B38" s="57" t="s">
        <v>26</v>
      </c>
      <c r="C38" s="51" t="s">
        <v>27</v>
      </c>
      <c r="D38" s="52" t="s">
        <v>4</v>
      </c>
      <c r="E38" s="53" t="s">
        <v>27</v>
      </c>
      <c r="F38" s="52" t="s">
        <v>4</v>
      </c>
      <c r="G38" s="52" t="s">
        <v>46</v>
      </c>
      <c r="H38" s="171" t="s">
        <v>47</v>
      </c>
      <c r="I38" s="175" t="s">
        <v>37</v>
      </c>
      <c r="J38" s="176" t="s">
        <v>4765</v>
      </c>
      <c r="K38" s="175" t="s">
        <v>27</v>
      </c>
      <c r="L38" s="174" t="s">
        <v>4</v>
      </c>
      <c r="M38" s="52" t="s">
        <v>46</v>
      </c>
      <c r="N38" s="54" t="s">
        <v>10496</v>
      </c>
      <c r="O38" s="55" t="str">
        <f t="shared" si="4"/>
        <v>L1.00.00.07.04.00</v>
      </c>
      <c r="P38" s="55" t="str">
        <f t="shared" si="5"/>
        <v>L1.00.00.07.04.00.07</v>
      </c>
      <c r="Q38" s="160" t="s">
        <v>10530</v>
      </c>
      <c r="R38" s="169" t="str">
        <f t="shared" si="6"/>
        <v>Sản phẩm Automation Sales</v>
      </c>
      <c r="S38" s="97" t="s">
        <v>10556</v>
      </c>
      <c r="T38" s="97" t="s">
        <v>10570</v>
      </c>
      <c r="U38" s="96" t="s">
        <v>453</v>
      </c>
      <c r="V38" s="96" t="s">
        <v>47</v>
      </c>
      <c r="W38" s="96" t="s">
        <v>4765</v>
      </c>
      <c r="X38" s="96"/>
      <c r="Y38" s="96"/>
      <c r="Z38" s="98" t="s">
        <v>10571</v>
      </c>
      <c r="AA38" s="153" t="s">
        <v>10530</v>
      </c>
      <c r="AB38" s="91"/>
      <c r="AC38" s="91"/>
      <c r="AD38" s="91"/>
    </row>
    <row r="39" ht="15.75" customHeight="1" outlineLevel="1">
      <c r="A39" s="170" t="s">
        <v>10535</v>
      </c>
      <c r="B39" s="57" t="s">
        <v>26</v>
      </c>
      <c r="C39" s="51" t="s">
        <v>27</v>
      </c>
      <c r="D39" s="52" t="s">
        <v>4</v>
      </c>
      <c r="E39" s="53" t="s">
        <v>27</v>
      </c>
      <c r="F39" s="52" t="s">
        <v>4</v>
      </c>
      <c r="G39" s="52" t="s">
        <v>46</v>
      </c>
      <c r="H39" s="171" t="s">
        <v>47</v>
      </c>
      <c r="I39" s="175" t="s">
        <v>37</v>
      </c>
      <c r="J39" s="176" t="s">
        <v>4765</v>
      </c>
      <c r="K39" s="175" t="s">
        <v>29</v>
      </c>
      <c r="L39" s="176" t="s">
        <v>4836</v>
      </c>
      <c r="M39" s="52" t="s">
        <v>46</v>
      </c>
      <c r="N39" s="54" t="s">
        <v>10496</v>
      </c>
      <c r="O39" s="55" t="str">
        <f t="shared" si="4"/>
        <v>L1.00.00.07.04.01</v>
      </c>
      <c r="P39" s="55" t="str">
        <f t="shared" si="5"/>
        <v>L1.00.00.07.04.01.07</v>
      </c>
      <c r="Q39" s="160" t="s">
        <v>10530</v>
      </c>
      <c r="R39" s="169" t="str">
        <f t="shared" si="6"/>
        <v>Dự án MISA Automation Sales</v>
      </c>
      <c r="S39" s="97" t="s">
        <v>10572</v>
      </c>
      <c r="T39" s="96" t="s">
        <v>4837</v>
      </c>
      <c r="U39" s="96" t="s">
        <v>453</v>
      </c>
      <c r="V39" s="96" t="s">
        <v>47</v>
      </c>
      <c r="W39" s="96" t="s">
        <v>4765</v>
      </c>
      <c r="X39" s="96" t="s">
        <v>4836</v>
      </c>
      <c r="Y39" s="96"/>
      <c r="Z39" s="98" t="s">
        <v>10573</v>
      </c>
      <c r="AA39" s="153" t="s">
        <v>10530</v>
      </c>
      <c r="AB39" s="91"/>
      <c r="AC39" s="91"/>
      <c r="AD39" s="91"/>
    </row>
    <row r="40" ht="15.75" customHeight="1" outlineLevel="1">
      <c r="A40" s="170" t="s">
        <v>10535</v>
      </c>
      <c r="B40" s="57" t="s">
        <v>26</v>
      </c>
      <c r="C40" s="51" t="s">
        <v>27</v>
      </c>
      <c r="D40" s="52" t="s">
        <v>4</v>
      </c>
      <c r="E40" s="53" t="s">
        <v>27</v>
      </c>
      <c r="F40" s="52" t="s">
        <v>4</v>
      </c>
      <c r="G40" s="52" t="s">
        <v>46</v>
      </c>
      <c r="H40" s="171" t="s">
        <v>47</v>
      </c>
      <c r="I40" s="175" t="s">
        <v>37</v>
      </c>
      <c r="J40" s="176" t="s">
        <v>4765</v>
      </c>
      <c r="K40" s="177" t="s">
        <v>33</v>
      </c>
      <c r="L40" s="176" t="s">
        <v>4764</v>
      </c>
      <c r="M40" s="52" t="s">
        <v>46</v>
      </c>
      <c r="N40" s="54" t="s">
        <v>10496</v>
      </c>
      <c r="O40" s="55" t="str">
        <f t="shared" si="4"/>
        <v>L1.00.00.07.04.02</v>
      </c>
      <c r="P40" s="55" t="str">
        <f t="shared" si="5"/>
        <v>L1.00.00.07.04.02.07</v>
      </c>
      <c r="Q40" s="160" t="s">
        <v>10530</v>
      </c>
      <c r="R40" s="169" t="str">
        <f t="shared" si="6"/>
        <v>[Automation Sales] Nhóm Phân tích và Thiết kế</v>
      </c>
      <c r="S40" s="97" t="s">
        <v>10572</v>
      </c>
      <c r="T40" s="96" t="s">
        <v>4766</v>
      </c>
      <c r="U40" s="96" t="s">
        <v>453</v>
      </c>
      <c r="V40" s="96" t="s">
        <v>47</v>
      </c>
      <c r="W40" s="96" t="s">
        <v>4765</v>
      </c>
      <c r="X40" s="96" t="s">
        <v>4764</v>
      </c>
      <c r="Y40" s="96"/>
      <c r="Z40" s="98" t="s">
        <v>10574</v>
      </c>
      <c r="AA40" s="153" t="s">
        <v>10530</v>
      </c>
      <c r="AB40" s="91"/>
      <c r="AC40" s="91"/>
      <c r="AD40" s="91"/>
    </row>
    <row r="41" ht="15.75" customHeight="1" outlineLevel="1">
      <c r="A41" s="170" t="s">
        <v>10535</v>
      </c>
      <c r="B41" s="57" t="s">
        <v>26</v>
      </c>
      <c r="C41" s="51" t="s">
        <v>27</v>
      </c>
      <c r="D41" s="52" t="s">
        <v>4</v>
      </c>
      <c r="E41" s="53" t="s">
        <v>27</v>
      </c>
      <c r="F41" s="52" t="s">
        <v>4</v>
      </c>
      <c r="G41" s="52" t="s">
        <v>46</v>
      </c>
      <c r="H41" s="171" t="s">
        <v>47</v>
      </c>
      <c r="I41" s="175" t="s">
        <v>42</v>
      </c>
      <c r="J41" s="176" t="s">
        <v>4502</v>
      </c>
      <c r="K41" s="175" t="s">
        <v>27</v>
      </c>
      <c r="L41" s="194" t="s">
        <v>4</v>
      </c>
      <c r="M41" s="52" t="s">
        <v>46</v>
      </c>
      <c r="N41" s="54" t="s">
        <v>10496</v>
      </c>
      <c r="O41" s="55" t="str">
        <f t="shared" si="4"/>
        <v>L1.00.00.07.05.00</v>
      </c>
      <c r="P41" s="55" t="str">
        <f t="shared" si="5"/>
        <v>L1.00.00.07.05.00.07</v>
      </c>
      <c r="Q41" s="160" t="s">
        <v>10530</v>
      </c>
      <c r="R41" s="169" t="str">
        <f t="shared" si="6"/>
        <v>Sản phẩm Data Analytics</v>
      </c>
      <c r="S41" s="97" t="s">
        <v>10556</v>
      </c>
      <c r="T41" s="97" t="s">
        <v>10575</v>
      </c>
      <c r="U41" s="96" t="s">
        <v>453</v>
      </c>
      <c r="V41" s="96" t="s">
        <v>47</v>
      </c>
      <c r="W41" s="96" t="s">
        <v>4502</v>
      </c>
      <c r="X41" s="96"/>
      <c r="Y41" s="96"/>
      <c r="Z41" s="98" t="s">
        <v>10576</v>
      </c>
      <c r="AA41" s="153" t="s">
        <v>10530</v>
      </c>
      <c r="AB41" s="91"/>
      <c r="AC41" s="91"/>
      <c r="AD41" s="91"/>
    </row>
    <row r="42" ht="15.75" customHeight="1" outlineLevel="1">
      <c r="A42" s="170" t="s">
        <v>10535</v>
      </c>
      <c r="B42" s="57" t="s">
        <v>26</v>
      </c>
      <c r="C42" s="51" t="s">
        <v>27</v>
      </c>
      <c r="D42" s="52" t="s">
        <v>4</v>
      </c>
      <c r="E42" s="53" t="s">
        <v>27</v>
      </c>
      <c r="F42" s="52" t="s">
        <v>4</v>
      </c>
      <c r="G42" s="52" t="s">
        <v>46</v>
      </c>
      <c r="H42" s="171" t="s">
        <v>47</v>
      </c>
      <c r="I42" s="175" t="s">
        <v>42</v>
      </c>
      <c r="J42" s="176" t="s">
        <v>4502</v>
      </c>
      <c r="K42" s="175" t="s">
        <v>29</v>
      </c>
      <c r="L42" s="176" t="s">
        <v>4864</v>
      </c>
      <c r="M42" s="52" t="s">
        <v>46</v>
      </c>
      <c r="N42" s="54" t="s">
        <v>10496</v>
      </c>
      <c r="O42" s="55" t="str">
        <f t="shared" si="4"/>
        <v>L1.00.00.07.05.01</v>
      </c>
      <c r="P42" s="55" t="str">
        <f t="shared" si="5"/>
        <v>L1.00.00.07.05.01.07</v>
      </c>
      <c r="Q42" s="160" t="s">
        <v>10530</v>
      </c>
      <c r="R42" s="169" t="str">
        <f t="shared" si="6"/>
        <v>Dự án MISA Customer Profile</v>
      </c>
      <c r="S42" s="97" t="s">
        <v>10577</v>
      </c>
      <c r="T42" s="96" t="s">
        <v>4865</v>
      </c>
      <c r="U42" s="96" t="s">
        <v>453</v>
      </c>
      <c r="V42" s="96" t="s">
        <v>47</v>
      </c>
      <c r="W42" s="96" t="s">
        <v>4502</v>
      </c>
      <c r="X42" s="96" t="s">
        <v>4864</v>
      </c>
      <c r="Y42" s="96"/>
      <c r="Z42" s="98" t="s">
        <v>10578</v>
      </c>
      <c r="AA42" s="153" t="s">
        <v>10530</v>
      </c>
      <c r="AB42" s="91"/>
      <c r="AC42" s="91"/>
      <c r="AD42" s="91"/>
    </row>
    <row r="43" ht="15.75" customHeight="1" outlineLevel="1">
      <c r="A43" s="170" t="s">
        <v>10535</v>
      </c>
      <c r="B43" s="57" t="s">
        <v>26</v>
      </c>
      <c r="C43" s="51" t="s">
        <v>27</v>
      </c>
      <c r="D43" s="52" t="s">
        <v>4</v>
      </c>
      <c r="E43" s="53" t="s">
        <v>27</v>
      </c>
      <c r="F43" s="52" t="s">
        <v>4</v>
      </c>
      <c r="G43" s="52" t="s">
        <v>46</v>
      </c>
      <c r="H43" s="171" t="s">
        <v>47</v>
      </c>
      <c r="I43" s="175" t="s">
        <v>42</v>
      </c>
      <c r="J43" s="176" t="s">
        <v>4502</v>
      </c>
      <c r="K43" s="177" t="s">
        <v>33</v>
      </c>
      <c r="L43" s="176" t="s">
        <v>4501</v>
      </c>
      <c r="M43" s="52" t="s">
        <v>46</v>
      </c>
      <c r="N43" s="54" t="s">
        <v>10496</v>
      </c>
      <c r="O43" s="55" t="str">
        <f t="shared" si="4"/>
        <v>L1.00.00.07.05.02</v>
      </c>
      <c r="P43" s="55" t="str">
        <f t="shared" si="5"/>
        <v>L1.00.00.07.05.02.07</v>
      </c>
      <c r="Q43" s="160" t="s">
        <v>10530</v>
      </c>
      <c r="R43" s="169" t="str">
        <f t="shared" si="6"/>
        <v>[Data Analytics] Nhóm Phân tích và Thiết kế</v>
      </c>
      <c r="S43" s="97" t="s">
        <v>10577</v>
      </c>
      <c r="T43" s="96" t="s">
        <v>4503</v>
      </c>
      <c r="U43" s="96" t="s">
        <v>453</v>
      </c>
      <c r="V43" s="96" t="s">
        <v>47</v>
      </c>
      <c r="W43" s="96" t="s">
        <v>4502</v>
      </c>
      <c r="X43" s="96" t="s">
        <v>4501</v>
      </c>
      <c r="Y43" s="96"/>
      <c r="Z43" s="98" t="s">
        <v>10579</v>
      </c>
      <c r="AA43" s="153" t="s">
        <v>10530</v>
      </c>
      <c r="AB43" s="91"/>
      <c r="AC43" s="91"/>
      <c r="AD43" s="91"/>
    </row>
    <row r="44" ht="15.75" customHeight="1" outlineLevel="1">
      <c r="A44" s="170" t="s">
        <v>10535</v>
      </c>
      <c r="B44" s="57" t="s">
        <v>26</v>
      </c>
      <c r="C44" s="51" t="s">
        <v>27</v>
      </c>
      <c r="D44" s="52" t="s">
        <v>4</v>
      </c>
      <c r="E44" s="53" t="s">
        <v>27</v>
      </c>
      <c r="F44" s="52" t="s">
        <v>4</v>
      </c>
      <c r="G44" s="52" t="s">
        <v>46</v>
      </c>
      <c r="H44" s="171" t="s">
        <v>47</v>
      </c>
      <c r="I44" s="175" t="s">
        <v>44</v>
      </c>
      <c r="J44" s="176" t="s">
        <v>5038</v>
      </c>
      <c r="K44" s="172" t="s">
        <v>27</v>
      </c>
      <c r="L44" s="174" t="s">
        <v>4</v>
      </c>
      <c r="M44" s="52" t="s">
        <v>46</v>
      </c>
      <c r="N44" s="54" t="s">
        <v>10496</v>
      </c>
      <c r="O44" s="55" t="str">
        <f t="shared" si="4"/>
        <v>L1.00.00.07.06.00</v>
      </c>
      <c r="P44" s="55" t="str">
        <f t="shared" si="5"/>
        <v>L1.00.00.07.06.00.07</v>
      </c>
      <c r="Q44" s="160" t="s">
        <v>10530</v>
      </c>
      <c r="R44" s="169" t="str">
        <f t="shared" si="6"/>
        <v>Nhóm chuyên gia Ban CNTT</v>
      </c>
      <c r="S44" s="97" t="s">
        <v>10556</v>
      </c>
      <c r="T44" s="96" t="s">
        <v>5039</v>
      </c>
      <c r="U44" s="96" t="s">
        <v>453</v>
      </c>
      <c r="V44" s="96" t="s">
        <v>47</v>
      </c>
      <c r="W44" s="96" t="s">
        <v>5038</v>
      </c>
      <c r="X44" s="96"/>
      <c r="Y44" s="96"/>
      <c r="Z44" s="98" t="s">
        <v>10580</v>
      </c>
      <c r="AA44" s="153" t="s">
        <v>10530</v>
      </c>
      <c r="AB44" s="91"/>
      <c r="AC44" s="91"/>
      <c r="AD44" s="91"/>
    </row>
    <row r="45" ht="15.75" customHeight="1" outlineLevel="1">
      <c r="A45" s="170" t="s">
        <v>10535</v>
      </c>
      <c r="B45" s="57" t="s">
        <v>26</v>
      </c>
      <c r="C45" s="51" t="s">
        <v>27</v>
      </c>
      <c r="D45" s="52" t="s">
        <v>4</v>
      </c>
      <c r="E45" s="53" t="s">
        <v>27</v>
      </c>
      <c r="F45" s="52" t="s">
        <v>4</v>
      </c>
      <c r="G45" s="52" t="s">
        <v>49</v>
      </c>
      <c r="H45" s="171" t="s">
        <v>50</v>
      </c>
      <c r="I45" s="172" t="s">
        <v>27</v>
      </c>
      <c r="J45" s="172" t="s">
        <v>4</v>
      </c>
      <c r="K45" s="172" t="s">
        <v>27</v>
      </c>
      <c r="L45" s="174" t="s">
        <v>4</v>
      </c>
      <c r="M45" s="52" t="s">
        <v>46</v>
      </c>
      <c r="N45" s="54" t="s">
        <v>10496</v>
      </c>
      <c r="O45" s="55" t="str">
        <f t="shared" si="4"/>
        <v>L1.00.00.08.00.00</v>
      </c>
      <c r="P45" s="55" t="str">
        <f t="shared" si="5"/>
        <v>L1.00.00.08.00.00.07</v>
      </c>
      <c r="Q45" s="160" t="s">
        <v>10530</v>
      </c>
      <c r="R45" s="169" t="str">
        <f t="shared" si="6"/>
        <v>Ban An Ninh thông tin</v>
      </c>
      <c r="S45" s="169" t="s">
        <v>10536</v>
      </c>
      <c r="T45" s="169" t="s">
        <v>588</v>
      </c>
      <c r="U45" s="169" t="s">
        <v>453</v>
      </c>
      <c r="V45" s="169" t="s">
        <v>10581</v>
      </c>
      <c r="W45" s="96"/>
      <c r="X45" s="96"/>
      <c r="Y45" s="96"/>
      <c r="Z45" s="98" t="s">
        <v>10582</v>
      </c>
      <c r="AA45" s="153" t="s">
        <v>10530</v>
      </c>
      <c r="AB45" s="91"/>
      <c r="AC45" s="91"/>
      <c r="AD45" s="91"/>
    </row>
    <row r="46" ht="15.75" customHeight="1" outlineLevel="1">
      <c r="A46" s="170" t="s">
        <v>10535</v>
      </c>
      <c r="B46" s="57" t="s">
        <v>26</v>
      </c>
      <c r="C46" s="51" t="s">
        <v>27</v>
      </c>
      <c r="D46" s="52" t="s">
        <v>4</v>
      </c>
      <c r="E46" s="53" t="s">
        <v>27</v>
      </c>
      <c r="F46" s="52" t="s">
        <v>4</v>
      </c>
      <c r="G46" s="52" t="s">
        <v>51</v>
      </c>
      <c r="H46" s="171" t="s">
        <v>52</v>
      </c>
      <c r="I46" s="175" t="s">
        <v>27</v>
      </c>
      <c r="J46" s="195" t="s">
        <v>4</v>
      </c>
      <c r="K46" s="172" t="s">
        <v>27</v>
      </c>
      <c r="L46" s="174" t="s">
        <v>4</v>
      </c>
      <c r="M46" s="52" t="s">
        <v>46</v>
      </c>
      <c r="N46" s="54" t="s">
        <v>10496</v>
      </c>
      <c r="O46" s="55" t="str">
        <f t="shared" si="4"/>
        <v>L1.00.00.09.00.00</v>
      </c>
      <c r="P46" s="55" t="str">
        <f t="shared" si="5"/>
        <v>L1.00.00.09.00.00.07</v>
      </c>
      <c r="Q46" s="160" t="s">
        <v>10530</v>
      </c>
      <c r="R46" s="169" t="str">
        <f t="shared" si="6"/>
        <v>Viện Công nghệ</v>
      </c>
      <c r="S46" s="97" t="s">
        <v>10536</v>
      </c>
      <c r="T46" s="97" t="s">
        <v>10583</v>
      </c>
      <c r="U46" s="96" t="s">
        <v>453</v>
      </c>
      <c r="V46" s="96" t="s">
        <v>52</v>
      </c>
      <c r="W46" s="96"/>
      <c r="X46" s="96"/>
      <c r="Y46" s="96"/>
      <c r="Z46" s="98" t="s">
        <v>10584</v>
      </c>
      <c r="AA46" s="153" t="s">
        <v>10530</v>
      </c>
      <c r="AB46" s="91"/>
      <c r="AC46" s="91"/>
      <c r="AD46" s="91"/>
    </row>
    <row r="47" ht="15.75" customHeight="1" outlineLevel="1">
      <c r="A47" s="170" t="s">
        <v>10535</v>
      </c>
      <c r="B47" s="57" t="s">
        <v>26</v>
      </c>
      <c r="C47" s="51" t="s">
        <v>27</v>
      </c>
      <c r="D47" s="52" t="s">
        <v>4</v>
      </c>
      <c r="E47" s="53" t="s">
        <v>27</v>
      </c>
      <c r="F47" s="52" t="s">
        <v>4</v>
      </c>
      <c r="G47" s="52" t="s">
        <v>51</v>
      </c>
      <c r="H47" s="171" t="s">
        <v>52</v>
      </c>
      <c r="I47" s="172" t="s">
        <v>29</v>
      </c>
      <c r="J47" s="173" t="s">
        <v>53</v>
      </c>
      <c r="K47" s="172" t="s">
        <v>27</v>
      </c>
      <c r="L47" s="174" t="s">
        <v>4</v>
      </c>
      <c r="M47" s="52" t="s">
        <v>46</v>
      </c>
      <c r="N47" s="54" t="s">
        <v>10496</v>
      </c>
      <c r="O47" s="55" t="str">
        <f t="shared" si="4"/>
        <v>L1.00.00.09.01.00</v>
      </c>
      <c r="P47" s="55" t="str">
        <f t="shared" si="5"/>
        <v>L1.00.00.09.01.00.07</v>
      </c>
      <c r="Q47" s="160" t="s">
        <v>10530</v>
      </c>
      <c r="R47" s="169" t="str">
        <f t="shared" si="6"/>
        <v>Ban Giám đốc Viện</v>
      </c>
      <c r="S47" s="97" t="s">
        <v>10585</v>
      </c>
      <c r="T47" s="96" t="s">
        <v>6947</v>
      </c>
      <c r="U47" s="96" t="s">
        <v>453</v>
      </c>
      <c r="V47" s="96" t="s">
        <v>52</v>
      </c>
      <c r="W47" s="96" t="s">
        <v>6946</v>
      </c>
      <c r="X47" s="96"/>
      <c r="Y47" s="96"/>
      <c r="Z47" s="98" t="s">
        <v>10586</v>
      </c>
      <c r="AA47" s="153" t="s">
        <v>10530</v>
      </c>
      <c r="AB47" s="91"/>
      <c r="AC47" s="91"/>
      <c r="AD47" s="91"/>
    </row>
    <row r="48" ht="15.75" customHeight="1" outlineLevel="1">
      <c r="A48" s="170" t="s">
        <v>10535</v>
      </c>
      <c r="B48" s="57" t="s">
        <v>26</v>
      </c>
      <c r="C48" s="51" t="s">
        <v>27</v>
      </c>
      <c r="D48" s="52" t="s">
        <v>4</v>
      </c>
      <c r="E48" s="53" t="s">
        <v>27</v>
      </c>
      <c r="F48" s="52" t="s">
        <v>4</v>
      </c>
      <c r="G48" s="52" t="s">
        <v>51</v>
      </c>
      <c r="H48" s="171" t="s">
        <v>52</v>
      </c>
      <c r="I48" s="172" t="s">
        <v>33</v>
      </c>
      <c r="J48" s="173" t="s">
        <v>54</v>
      </c>
      <c r="K48" s="172" t="s">
        <v>27</v>
      </c>
      <c r="L48" s="194" t="s">
        <v>4</v>
      </c>
      <c r="M48" s="52" t="s">
        <v>46</v>
      </c>
      <c r="N48" s="54" t="s">
        <v>10496</v>
      </c>
      <c r="O48" s="55" t="str">
        <f t="shared" si="4"/>
        <v>L1.00.00.09.02.00</v>
      </c>
      <c r="P48" s="55" t="str">
        <f t="shared" si="5"/>
        <v>L1.00.00.09.02.00.07</v>
      </c>
      <c r="Q48" s="160" t="s">
        <v>10530</v>
      </c>
      <c r="R48" s="169" t="str">
        <f t="shared" si="6"/>
        <v>Phòng Nghiên cứu công nghệ</v>
      </c>
      <c r="S48" s="97" t="s">
        <v>10585</v>
      </c>
      <c r="T48" s="96" t="s">
        <v>3267</v>
      </c>
      <c r="U48" s="96" t="s">
        <v>453</v>
      </c>
      <c r="V48" s="96" t="s">
        <v>52</v>
      </c>
      <c r="W48" s="96" t="s">
        <v>638</v>
      </c>
      <c r="X48" s="96"/>
      <c r="Y48" s="96"/>
      <c r="Z48" s="98" t="s">
        <v>10587</v>
      </c>
      <c r="AA48" s="153" t="s">
        <v>10530</v>
      </c>
      <c r="AB48" s="91"/>
      <c r="AC48" s="91"/>
      <c r="AD48" s="91"/>
    </row>
    <row r="49" ht="15.75" customHeight="1" outlineLevel="1">
      <c r="A49" s="196" t="s">
        <v>10535</v>
      </c>
      <c r="B49" s="197" t="s">
        <v>26</v>
      </c>
      <c r="C49" s="197" t="s">
        <v>27</v>
      </c>
      <c r="D49" s="198" t="s">
        <v>4</v>
      </c>
      <c r="E49" s="199" t="s">
        <v>27</v>
      </c>
      <c r="F49" s="198" t="s">
        <v>4</v>
      </c>
      <c r="G49" s="198" t="s">
        <v>51</v>
      </c>
      <c r="H49" s="200" t="s">
        <v>52</v>
      </c>
      <c r="I49" s="198" t="s">
        <v>33</v>
      </c>
      <c r="J49" s="201" t="s">
        <v>54</v>
      </c>
      <c r="K49" s="197" t="s">
        <v>29</v>
      </c>
      <c r="L49" s="202" t="s">
        <v>10588</v>
      </c>
      <c r="M49" s="198" t="s">
        <v>46</v>
      </c>
      <c r="N49" s="200" t="s">
        <v>10496</v>
      </c>
      <c r="O49" s="201" t="str">
        <f t="shared" si="4"/>
        <v>L1.00.00.09.02.01</v>
      </c>
      <c r="P49" s="201" t="str">
        <f t="shared" si="5"/>
        <v>L1.00.00.09.02.01.07</v>
      </c>
      <c r="Q49" s="203" t="s">
        <v>10530</v>
      </c>
      <c r="R49" s="204" t="str">
        <f t="shared" si="6"/>
        <v>Dự án AI (bỏ)</v>
      </c>
      <c r="S49" s="202" t="s">
        <v>10589</v>
      </c>
      <c r="T49" s="205" t="s">
        <v>639</v>
      </c>
      <c r="U49" s="205" t="s">
        <v>453</v>
      </c>
      <c r="V49" s="205" t="s">
        <v>52</v>
      </c>
      <c r="W49" s="205" t="s">
        <v>638</v>
      </c>
      <c r="X49" s="205" t="s">
        <v>637</v>
      </c>
      <c r="Y49" s="205"/>
      <c r="Z49" s="206" t="s">
        <v>10590</v>
      </c>
      <c r="AA49" s="207" t="s">
        <v>10530</v>
      </c>
      <c r="AB49" s="208"/>
      <c r="AC49" s="208"/>
      <c r="AD49" s="208"/>
    </row>
    <row r="50" ht="15.75" customHeight="1" outlineLevel="1">
      <c r="A50" s="196" t="s">
        <v>10535</v>
      </c>
      <c r="B50" s="197" t="s">
        <v>26</v>
      </c>
      <c r="C50" s="197" t="s">
        <v>27</v>
      </c>
      <c r="D50" s="198" t="s">
        <v>4</v>
      </c>
      <c r="E50" s="199" t="s">
        <v>27</v>
      </c>
      <c r="F50" s="198" t="s">
        <v>4</v>
      </c>
      <c r="G50" s="198" t="s">
        <v>51</v>
      </c>
      <c r="H50" s="200" t="s">
        <v>52</v>
      </c>
      <c r="I50" s="198" t="s">
        <v>33</v>
      </c>
      <c r="J50" s="201" t="s">
        <v>54</v>
      </c>
      <c r="K50" s="197" t="s">
        <v>33</v>
      </c>
      <c r="L50" s="202" t="s">
        <v>10591</v>
      </c>
      <c r="M50" s="198" t="s">
        <v>46</v>
      </c>
      <c r="N50" s="200" t="s">
        <v>10496</v>
      </c>
      <c r="O50" s="201" t="str">
        <f t="shared" si="4"/>
        <v>L1.00.00.09.02.02</v>
      </c>
      <c r="P50" s="201" t="str">
        <f t="shared" si="5"/>
        <v>L1.00.00.09.02.02.07</v>
      </c>
      <c r="Q50" s="203" t="s">
        <v>10530</v>
      </c>
      <c r="R50" s="204" t="str">
        <f t="shared" si="6"/>
        <v>[AI] Nhóm Phân tích và Thiết kế (bỏ)</v>
      </c>
      <c r="S50" s="202" t="s">
        <v>10589</v>
      </c>
      <c r="T50" s="205" t="s">
        <v>9468</v>
      </c>
      <c r="U50" s="205" t="s">
        <v>453</v>
      </c>
      <c r="V50" s="205" t="s">
        <v>52</v>
      </c>
      <c r="W50" s="205" t="s">
        <v>638</v>
      </c>
      <c r="X50" s="205" t="s">
        <v>9467</v>
      </c>
      <c r="Y50" s="205"/>
      <c r="Z50" s="206" t="s">
        <v>10592</v>
      </c>
      <c r="AA50" s="207" t="s">
        <v>10530</v>
      </c>
      <c r="AB50" s="208"/>
      <c r="AC50" s="208"/>
      <c r="AD50" s="208"/>
    </row>
    <row r="51" ht="15.75" customHeight="1" outlineLevel="1">
      <c r="A51" s="170" t="s">
        <v>10535</v>
      </c>
      <c r="B51" s="57" t="s">
        <v>26</v>
      </c>
      <c r="C51" s="51" t="s">
        <v>27</v>
      </c>
      <c r="D51" s="52" t="s">
        <v>4</v>
      </c>
      <c r="E51" s="53" t="s">
        <v>27</v>
      </c>
      <c r="F51" s="52" t="s">
        <v>4</v>
      </c>
      <c r="G51" s="52" t="s">
        <v>51</v>
      </c>
      <c r="H51" s="171" t="s">
        <v>52</v>
      </c>
      <c r="I51" s="172" t="s">
        <v>35</v>
      </c>
      <c r="J51" s="176" t="s">
        <v>2874</v>
      </c>
      <c r="K51" s="172" t="s">
        <v>27</v>
      </c>
      <c r="L51" s="174" t="s">
        <v>4</v>
      </c>
      <c r="M51" s="52" t="s">
        <v>46</v>
      </c>
      <c r="N51" s="54" t="s">
        <v>10496</v>
      </c>
      <c r="O51" s="55" t="str">
        <f t="shared" si="4"/>
        <v>L1.00.00.09.03.00</v>
      </c>
      <c r="P51" s="55" t="str">
        <f t="shared" si="5"/>
        <v>L1.00.00.09.03.00.07</v>
      </c>
      <c r="Q51" s="160" t="s">
        <v>10530</v>
      </c>
      <c r="R51" s="169" t="str">
        <f t="shared" si="6"/>
        <v>Dự án MISA Core Project</v>
      </c>
      <c r="S51" s="97" t="s">
        <v>10585</v>
      </c>
      <c r="T51" s="96" t="s">
        <v>2875</v>
      </c>
      <c r="U51" s="96" t="s">
        <v>453</v>
      </c>
      <c r="V51" s="96" t="s">
        <v>52</v>
      </c>
      <c r="W51" s="96" t="s">
        <v>2874</v>
      </c>
      <c r="X51" s="96"/>
      <c r="Y51" s="96"/>
      <c r="Z51" s="98" t="s">
        <v>10593</v>
      </c>
      <c r="AA51" s="153" t="s">
        <v>10530</v>
      </c>
      <c r="AB51" s="91"/>
      <c r="AC51" s="91"/>
      <c r="AD51" s="91"/>
    </row>
    <row r="52" ht="15.75" customHeight="1" outlineLevel="1">
      <c r="A52" s="170" t="s">
        <v>10535</v>
      </c>
      <c r="B52" s="57" t="s">
        <v>26</v>
      </c>
      <c r="C52" s="51" t="s">
        <v>27</v>
      </c>
      <c r="D52" s="52" t="s">
        <v>4</v>
      </c>
      <c r="E52" s="53" t="s">
        <v>27</v>
      </c>
      <c r="F52" s="52" t="s">
        <v>4</v>
      </c>
      <c r="G52" s="52" t="s">
        <v>51</v>
      </c>
      <c r="H52" s="171" t="s">
        <v>52</v>
      </c>
      <c r="I52" s="175" t="s">
        <v>37</v>
      </c>
      <c r="J52" s="176" t="s">
        <v>3549</v>
      </c>
      <c r="K52" s="172" t="s">
        <v>27</v>
      </c>
      <c r="L52" s="174" t="s">
        <v>4</v>
      </c>
      <c r="M52" s="52" t="s">
        <v>46</v>
      </c>
      <c r="N52" s="54" t="s">
        <v>10496</v>
      </c>
      <c r="O52" s="55" t="str">
        <f t="shared" si="4"/>
        <v>L1.00.00.09.04.00</v>
      </c>
      <c r="P52" s="55" t="str">
        <f t="shared" si="5"/>
        <v>L1.00.00.09.04.00.07</v>
      </c>
      <c r="Q52" s="160" t="s">
        <v>10530</v>
      </c>
      <c r="R52" s="169" t="str">
        <f t="shared" si="6"/>
        <v>Dự án giám sát</v>
      </c>
      <c r="S52" s="97" t="s">
        <v>10585</v>
      </c>
      <c r="T52" s="96" t="s">
        <v>3550</v>
      </c>
      <c r="U52" s="96" t="s">
        <v>453</v>
      </c>
      <c r="V52" s="96" t="s">
        <v>52</v>
      </c>
      <c r="W52" s="96" t="s">
        <v>3549</v>
      </c>
      <c r="X52" s="96"/>
      <c r="Y52" s="96"/>
      <c r="Z52" s="98" t="s">
        <v>10594</v>
      </c>
      <c r="AA52" s="153" t="s">
        <v>10530</v>
      </c>
      <c r="AB52" s="91"/>
      <c r="AC52" s="91"/>
      <c r="AD52" s="91"/>
    </row>
    <row r="53" ht="15.75" customHeight="1" outlineLevel="1">
      <c r="A53" s="178" t="s">
        <v>10535</v>
      </c>
      <c r="B53" s="179" t="s">
        <v>26</v>
      </c>
      <c r="C53" s="180" t="s">
        <v>27</v>
      </c>
      <c r="D53" s="64" t="s">
        <v>4</v>
      </c>
      <c r="E53" s="71" t="s">
        <v>27</v>
      </c>
      <c r="F53" s="64" t="s">
        <v>4</v>
      </c>
      <c r="G53" s="64" t="s">
        <v>51</v>
      </c>
      <c r="H53" s="181" t="s">
        <v>52</v>
      </c>
      <c r="I53" s="182" t="s">
        <v>42</v>
      </c>
      <c r="J53" s="184" t="s">
        <v>10595</v>
      </c>
      <c r="K53" s="209" t="s">
        <v>27</v>
      </c>
      <c r="L53" s="210" t="s">
        <v>4</v>
      </c>
      <c r="M53" s="64" t="s">
        <v>46</v>
      </c>
      <c r="N53" s="70" t="s">
        <v>10496</v>
      </c>
      <c r="O53" s="58" t="str">
        <f t="shared" si="4"/>
        <v>L1.00.00.09.05.00</v>
      </c>
      <c r="P53" s="58" t="str">
        <f t="shared" si="5"/>
        <v>L1.00.00.09.05.00.07</v>
      </c>
      <c r="Q53" s="185" t="s">
        <v>10530</v>
      </c>
      <c r="R53" s="186" t="str">
        <f t="shared" si="6"/>
        <v> Sản phẩm AI</v>
      </c>
      <c r="S53" s="187" t="str">
        <f>P46</f>
        <v>L1.00.00.09.00.00.07</v>
      </c>
      <c r="T53" s="211" t="s">
        <v>10596</v>
      </c>
      <c r="U53" s="189" t="s">
        <v>453</v>
      </c>
      <c r="V53" s="189" t="s">
        <v>52</v>
      </c>
      <c r="W53" s="211" t="s">
        <v>10597</v>
      </c>
      <c r="X53" s="189"/>
      <c r="Y53" s="189"/>
      <c r="Z53" s="191" t="s">
        <v>10598</v>
      </c>
      <c r="AA53" s="192" t="s">
        <v>10530</v>
      </c>
      <c r="AB53" s="193"/>
      <c r="AC53" s="193"/>
      <c r="AD53" s="193"/>
    </row>
    <row r="54" ht="15.75" customHeight="1" outlineLevel="1">
      <c r="A54" s="178" t="s">
        <v>10535</v>
      </c>
      <c r="B54" s="179" t="s">
        <v>26</v>
      </c>
      <c r="C54" s="180" t="s">
        <v>27</v>
      </c>
      <c r="D54" s="64" t="s">
        <v>4</v>
      </c>
      <c r="E54" s="71" t="s">
        <v>27</v>
      </c>
      <c r="F54" s="64" t="s">
        <v>4</v>
      </c>
      <c r="G54" s="64" t="s">
        <v>51</v>
      </c>
      <c r="H54" s="181" t="s">
        <v>52</v>
      </c>
      <c r="I54" s="182" t="s">
        <v>42</v>
      </c>
      <c r="J54" s="184" t="s">
        <v>10595</v>
      </c>
      <c r="K54" s="182" t="s">
        <v>29</v>
      </c>
      <c r="L54" s="212" t="s">
        <v>10599</v>
      </c>
      <c r="M54" s="64" t="s">
        <v>46</v>
      </c>
      <c r="N54" s="70" t="s">
        <v>10496</v>
      </c>
      <c r="O54" s="58" t="str">
        <f t="shared" si="4"/>
        <v>L1.00.00.09.05.01</v>
      </c>
      <c r="P54" s="58" t="str">
        <f t="shared" si="5"/>
        <v>L1.00.00.09.05.01.07</v>
      </c>
      <c r="Q54" s="185" t="s">
        <v>10530</v>
      </c>
      <c r="R54" s="186" t="str">
        <f t="shared" si="6"/>
        <v>Dự án AI (NLP)</v>
      </c>
      <c r="S54" s="187" t="str">
        <f>P53</f>
        <v>L1.00.00.09.05.00.07</v>
      </c>
      <c r="T54" s="213" t="s">
        <v>10600</v>
      </c>
      <c r="U54" s="189" t="s">
        <v>453</v>
      </c>
      <c r="V54" s="189" t="s">
        <v>52</v>
      </c>
      <c r="W54" s="213" t="s">
        <v>10599</v>
      </c>
      <c r="X54" s="189"/>
      <c r="Y54" s="189"/>
      <c r="Z54" s="191" t="s">
        <v>10601</v>
      </c>
      <c r="AA54" s="192" t="s">
        <v>10530</v>
      </c>
      <c r="AB54" s="193"/>
      <c r="AC54" s="193"/>
      <c r="AD54" s="193"/>
    </row>
    <row r="55" ht="15.75" customHeight="1" outlineLevel="1">
      <c r="A55" s="178" t="s">
        <v>10535</v>
      </c>
      <c r="B55" s="179" t="s">
        <v>26</v>
      </c>
      <c r="C55" s="180" t="s">
        <v>27</v>
      </c>
      <c r="D55" s="64" t="s">
        <v>4</v>
      </c>
      <c r="E55" s="71" t="s">
        <v>27</v>
      </c>
      <c r="F55" s="64" t="s">
        <v>4</v>
      </c>
      <c r="G55" s="64" t="s">
        <v>51</v>
      </c>
      <c r="H55" s="181" t="s">
        <v>52</v>
      </c>
      <c r="I55" s="182" t="s">
        <v>42</v>
      </c>
      <c r="J55" s="184" t="s">
        <v>10595</v>
      </c>
      <c r="K55" s="182" t="s">
        <v>33</v>
      </c>
      <c r="L55" s="212" t="s">
        <v>10602</v>
      </c>
      <c r="M55" s="64" t="s">
        <v>46</v>
      </c>
      <c r="N55" s="70" t="s">
        <v>10496</v>
      </c>
      <c r="O55" s="58" t="str">
        <f t="shared" si="4"/>
        <v>L1.00.00.09.05.02</v>
      </c>
      <c r="P55" s="58" t="str">
        <f t="shared" si="5"/>
        <v>L1.00.00.09.05.02.07</v>
      </c>
      <c r="Q55" s="185" t="s">
        <v>10530</v>
      </c>
      <c r="R55" s="186" t="str">
        <f t="shared" si="6"/>
        <v>Dự án AI (Computer vision)</v>
      </c>
      <c r="S55" s="187" t="str">
        <f>P53</f>
        <v>L1.00.00.09.05.00.07</v>
      </c>
      <c r="T55" s="213" t="s">
        <v>10603</v>
      </c>
      <c r="U55" s="189" t="s">
        <v>453</v>
      </c>
      <c r="V55" s="189" t="s">
        <v>52</v>
      </c>
      <c r="W55" s="213" t="s">
        <v>10602</v>
      </c>
      <c r="X55" s="189"/>
      <c r="Y55" s="189"/>
      <c r="Z55" s="191" t="s">
        <v>10604</v>
      </c>
      <c r="AA55" s="192" t="s">
        <v>10530</v>
      </c>
      <c r="AB55" s="193"/>
      <c r="AC55" s="193"/>
      <c r="AD55" s="193"/>
    </row>
    <row r="56" ht="15.75" customHeight="1" outlineLevel="1">
      <c r="A56" s="178" t="s">
        <v>10535</v>
      </c>
      <c r="B56" s="179" t="s">
        <v>26</v>
      </c>
      <c r="C56" s="180" t="s">
        <v>27</v>
      </c>
      <c r="D56" s="64" t="s">
        <v>4</v>
      </c>
      <c r="E56" s="71" t="s">
        <v>27</v>
      </c>
      <c r="F56" s="64" t="s">
        <v>4</v>
      </c>
      <c r="G56" s="64" t="s">
        <v>51</v>
      </c>
      <c r="H56" s="181" t="s">
        <v>52</v>
      </c>
      <c r="I56" s="182" t="s">
        <v>42</v>
      </c>
      <c r="J56" s="184" t="s">
        <v>10595</v>
      </c>
      <c r="K56" s="182" t="s">
        <v>35</v>
      </c>
      <c r="L56" s="212" t="s">
        <v>10605</v>
      </c>
      <c r="M56" s="64" t="s">
        <v>46</v>
      </c>
      <c r="N56" s="70" t="s">
        <v>10496</v>
      </c>
      <c r="O56" s="58" t="str">
        <f t="shared" si="4"/>
        <v>L1.00.00.09.05.03</v>
      </c>
      <c r="P56" s="58" t="str">
        <f t="shared" si="5"/>
        <v>L1.00.00.09.05.03.07</v>
      </c>
      <c r="Q56" s="185" t="s">
        <v>10530</v>
      </c>
      <c r="R56" s="186" t="str">
        <f t="shared" si="6"/>
        <v>[AI] Nhóm Phân tích &amp; Thiết kế</v>
      </c>
      <c r="S56" s="187" t="str">
        <f>P53</f>
        <v>L1.00.00.09.05.00.07</v>
      </c>
      <c r="T56" s="213" t="s">
        <v>10606</v>
      </c>
      <c r="U56" s="189" t="s">
        <v>453</v>
      </c>
      <c r="V56" s="189" t="s">
        <v>52</v>
      </c>
      <c r="W56" s="213" t="s">
        <v>10605</v>
      </c>
      <c r="X56" s="189"/>
      <c r="Y56" s="189"/>
      <c r="Z56" s="191" t="s">
        <v>10607</v>
      </c>
      <c r="AA56" s="192" t="s">
        <v>10530</v>
      </c>
      <c r="AB56" s="193"/>
      <c r="AC56" s="193"/>
      <c r="AD56" s="193"/>
    </row>
    <row r="57" ht="15.75" customHeight="1" outlineLevel="1">
      <c r="A57" s="170" t="s">
        <v>10535</v>
      </c>
      <c r="B57" s="51" t="s">
        <v>26</v>
      </c>
      <c r="C57" s="51" t="s">
        <v>27</v>
      </c>
      <c r="D57" s="52" t="s">
        <v>4</v>
      </c>
      <c r="E57" s="53" t="s">
        <v>27</v>
      </c>
      <c r="F57" s="52" t="s">
        <v>4</v>
      </c>
      <c r="G57" s="52" t="s">
        <v>55</v>
      </c>
      <c r="H57" s="176" t="s">
        <v>454</v>
      </c>
      <c r="I57" s="175" t="s">
        <v>27</v>
      </c>
      <c r="J57" s="195" t="s">
        <v>4</v>
      </c>
      <c r="K57" s="172" t="s">
        <v>27</v>
      </c>
      <c r="L57" s="174" t="s">
        <v>4</v>
      </c>
      <c r="M57" s="52" t="s">
        <v>46</v>
      </c>
      <c r="N57" s="54" t="s">
        <v>10496</v>
      </c>
      <c r="O57" s="55" t="str">
        <f t="shared" si="4"/>
        <v>L1.00.00.10.00.00</v>
      </c>
      <c r="P57" s="55" t="str">
        <f t="shared" si="5"/>
        <v>L1.00.00.10.00.00.07</v>
      </c>
      <c r="Q57" s="160" t="s">
        <v>10530</v>
      </c>
      <c r="R57" s="169" t="str">
        <f t="shared" si="6"/>
        <v>Khối sản phẩm Doanh nghiệp</v>
      </c>
      <c r="S57" s="97" t="s">
        <v>10536</v>
      </c>
      <c r="T57" s="97" t="s">
        <v>10608</v>
      </c>
      <c r="U57" s="96" t="s">
        <v>453</v>
      </c>
      <c r="V57" s="96" t="s">
        <v>454</v>
      </c>
      <c r="W57" s="96"/>
      <c r="X57" s="96"/>
      <c r="Y57" s="96"/>
      <c r="Z57" s="98" t="s">
        <v>10609</v>
      </c>
      <c r="AA57" s="153" t="s">
        <v>10530</v>
      </c>
      <c r="AB57" s="91"/>
      <c r="AC57" s="91"/>
      <c r="AD57" s="91"/>
    </row>
    <row r="58" ht="15.75" customHeight="1" outlineLevel="1">
      <c r="A58" s="170" t="s">
        <v>10535</v>
      </c>
      <c r="B58" s="51" t="s">
        <v>26</v>
      </c>
      <c r="C58" s="51" t="s">
        <v>27</v>
      </c>
      <c r="D58" s="52" t="s">
        <v>4</v>
      </c>
      <c r="E58" s="53" t="s">
        <v>27</v>
      </c>
      <c r="F58" s="52" t="s">
        <v>4</v>
      </c>
      <c r="G58" s="52" t="s">
        <v>55</v>
      </c>
      <c r="H58" s="176" t="s">
        <v>454</v>
      </c>
      <c r="I58" s="172" t="s">
        <v>29</v>
      </c>
      <c r="J58" s="214" t="s">
        <v>4671</v>
      </c>
      <c r="K58" s="172" t="s">
        <v>27</v>
      </c>
      <c r="L58" s="174" t="s">
        <v>4</v>
      </c>
      <c r="M58" s="52" t="s">
        <v>46</v>
      </c>
      <c r="N58" s="54" t="s">
        <v>10496</v>
      </c>
      <c r="O58" s="55" t="str">
        <f t="shared" si="4"/>
        <v>L1.00.00.10.01.00</v>
      </c>
      <c r="P58" s="55" t="str">
        <f t="shared" si="5"/>
        <v>L1.00.00.10.01.00.07</v>
      </c>
      <c r="Q58" s="160" t="s">
        <v>10530</v>
      </c>
      <c r="R58" s="169" t="str">
        <f t="shared" si="6"/>
        <v>Ban Giám đốc Khối SP Doanh nghiệp</v>
      </c>
      <c r="S58" s="97" t="s">
        <v>10610</v>
      </c>
      <c r="T58" s="96" t="s">
        <v>4672</v>
      </c>
      <c r="U58" s="96" t="s">
        <v>453</v>
      </c>
      <c r="V58" s="96" t="s">
        <v>454</v>
      </c>
      <c r="W58" s="96" t="s">
        <v>4671</v>
      </c>
      <c r="X58" s="96"/>
      <c r="Y58" s="96"/>
      <c r="Z58" s="98" t="s">
        <v>10611</v>
      </c>
      <c r="AA58" s="153" t="s">
        <v>10530</v>
      </c>
      <c r="AB58" s="91"/>
      <c r="AC58" s="91"/>
      <c r="AD58" s="91"/>
    </row>
    <row r="59" ht="15.75" customHeight="1" outlineLevel="1">
      <c r="A59" s="170" t="s">
        <v>10535</v>
      </c>
      <c r="B59" s="51" t="s">
        <v>26</v>
      </c>
      <c r="C59" s="51" t="s">
        <v>27</v>
      </c>
      <c r="D59" s="52" t="s">
        <v>4</v>
      </c>
      <c r="E59" s="53" t="s">
        <v>27</v>
      </c>
      <c r="F59" s="52" t="s">
        <v>4</v>
      </c>
      <c r="G59" s="52" t="s">
        <v>55</v>
      </c>
      <c r="H59" s="176" t="s">
        <v>454</v>
      </c>
      <c r="I59" s="172" t="s">
        <v>33</v>
      </c>
      <c r="J59" s="176" t="s">
        <v>3163</v>
      </c>
      <c r="K59" s="172" t="s">
        <v>27</v>
      </c>
      <c r="L59" s="174" t="s">
        <v>4</v>
      </c>
      <c r="M59" s="52" t="s">
        <v>46</v>
      </c>
      <c r="N59" s="54" t="s">
        <v>10496</v>
      </c>
      <c r="O59" s="55" t="str">
        <f t="shared" si="4"/>
        <v>L1.00.00.10.02.00</v>
      </c>
      <c r="P59" s="55" t="str">
        <f t="shared" si="5"/>
        <v>L1.00.00.10.02.00.07</v>
      </c>
      <c r="Q59" s="160" t="s">
        <v>10530</v>
      </c>
      <c r="R59" s="169" t="str">
        <f t="shared" si="6"/>
        <v>Dự án Automation Test</v>
      </c>
      <c r="S59" s="97" t="s">
        <v>10610</v>
      </c>
      <c r="T59" s="96" t="s">
        <v>3164</v>
      </c>
      <c r="U59" s="96" t="s">
        <v>453</v>
      </c>
      <c r="V59" s="96" t="s">
        <v>454</v>
      </c>
      <c r="W59" s="96" t="s">
        <v>3163</v>
      </c>
      <c r="X59" s="96"/>
      <c r="Y59" s="96"/>
      <c r="Z59" s="98" t="s">
        <v>10612</v>
      </c>
      <c r="AA59" s="153" t="s">
        <v>10530</v>
      </c>
      <c r="AB59" s="91"/>
      <c r="AC59" s="91"/>
      <c r="AD59" s="91"/>
    </row>
    <row r="60" ht="15.75" customHeight="1" outlineLevel="1">
      <c r="A60" s="170" t="s">
        <v>10535</v>
      </c>
      <c r="B60" s="51" t="s">
        <v>26</v>
      </c>
      <c r="C60" s="51" t="s">
        <v>27</v>
      </c>
      <c r="D60" s="52" t="s">
        <v>4</v>
      </c>
      <c r="E60" s="53" t="s">
        <v>27</v>
      </c>
      <c r="F60" s="52" t="s">
        <v>4</v>
      </c>
      <c r="G60" s="52" t="s">
        <v>55</v>
      </c>
      <c r="H60" s="176" t="s">
        <v>454</v>
      </c>
      <c r="I60" s="175" t="s">
        <v>35</v>
      </c>
      <c r="J60" s="176" t="s">
        <v>4917</v>
      </c>
      <c r="K60" s="172" t="s">
        <v>27</v>
      </c>
      <c r="L60" s="174" t="s">
        <v>4</v>
      </c>
      <c r="M60" s="52" t="s">
        <v>46</v>
      </c>
      <c r="N60" s="54" t="s">
        <v>10496</v>
      </c>
      <c r="O60" s="55" t="str">
        <f t="shared" si="4"/>
        <v>L1.00.00.10.03.00</v>
      </c>
      <c r="P60" s="55" t="str">
        <f t="shared" si="5"/>
        <v>L1.00.00.10.03.00.07</v>
      </c>
      <c r="Q60" s="160" t="s">
        <v>10530</v>
      </c>
      <c r="R60" s="169" t="str">
        <f t="shared" si="6"/>
        <v>Nhóm chuyên gia Khối SP Doanh nghiệp</v>
      </c>
      <c r="S60" s="97" t="s">
        <v>10610</v>
      </c>
      <c r="T60" s="96" t="s">
        <v>4918</v>
      </c>
      <c r="U60" s="96" t="s">
        <v>453</v>
      </c>
      <c r="V60" s="96" t="s">
        <v>454</v>
      </c>
      <c r="W60" s="96" t="s">
        <v>4917</v>
      </c>
      <c r="X60" s="96"/>
      <c r="Y60" s="96"/>
      <c r="Z60" s="98" t="s">
        <v>10613</v>
      </c>
      <c r="AA60" s="153" t="s">
        <v>10530</v>
      </c>
      <c r="AB60" s="91"/>
      <c r="AC60" s="91"/>
      <c r="AD60" s="91"/>
    </row>
    <row r="61" ht="15.75" customHeight="1" outlineLevel="1">
      <c r="A61" s="170" t="s">
        <v>10535</v>
      </c>
      <c r="B61" s="51" t="s">
        <v>26</v>
      </c>
      <c r="C61" s="51" t="s">
        <v>27</v>
      </c>
      <c r="D61" s="52" t="s">
        <v>4</v>
      </c>
      <c r="E61" s="53" t="s">
        <v>27</v>
      </c>
      <c r="F61" s="52" t="s">
        <v>4</v>
      </c>
      <c r="G61" s="52" t="s">
        <v>55</v>
      </c>
      <c r="H61" s="176" t="s">
        <v>454</v>
      </c>
      <c r="I61" s="175" t="s">
        <v>37</v>
      </c>
      <c r="J61" s="176" t="s">
        <v>58</v>
      </c>
      <c r="K61" s="175" t="s">
        <v>27</v>
      </c>
      <c r="L61" s="194" t="s">
        <v>4</v>
      </c>
      <c r="M61" s="52" t="s">
        <v>46</v>
      </c>
      <c r="N61" s="54" t="s">
        <v>10496</v>
      </c>
      <c r="O61" s="55" t="str">
        <f t="shared" si="4"/>
        <v>L1.00.00.10.04.00</v>
      </c>
      <c r="P61" s="55" t="str">
        <f t="shared" si="5"/>
        <v>L1.00.00.10.04.00.07</v>
      </c>
      <c r="Q61" s="160" t="s">
        <v>10530</v>
      </c>
      <c r="R61" s="169" t="str">
        <f t="shared" si="6"/>
        <v>Sản phẩm MISA meInvoice - Xăng dầu</v>
      </c>
      <c r="S61" s="97" t="s">
        <v>10610</v>
      </c>
      <c r="T61" s="97" t="s">
        <v>10614</v>
      </c>
      <c r="U61" s="96" t="s">
        <v>453</v>
      </c>
      <c r="V61" s="96" t="s">
        <v>454</v>
      </c>
      <c r="W61" s="96" t="s">
        <v>58</v>
      </c>
      <c r="X61" s="96"/>
      <c r="Y61" s="96"/>
      <c r="Z61" s="98" t="s">
        <v>10615</v>
      </c>
      <c r="AA61" s="153" t="s">
        <v>10530</v>
      </c>
      <c r="AB61" s="91"/>
      <c r="AC61" s="91"/>
      <c r="AD61" s="91"/>
    </row>
    <row r="62" ht="15.75" customHeight="1" outlineLevel="1">
      <c r="A62" s="170" t="s">
        <v>10535</v>
      </c>
      <c r="B62" s="51" t="s">
        <v>26</v>
      </c>
      <c r="C62" s="51" t="s">
        <v>27</v>
      </c>
      <c r="D62" s="52" t="s">
        <v>4</v>
      </c>
      <c r="E62" s="53" t="s">
        <v>27</v>
      </c>
      <c r="F62" s="52" t="s">
        <v>4</v>
      </c>
      <c r="G62" s="52" t="s">
        <v>55</v>
      </c>
      <c r="H62" s="176" t="s">
        <v>454</v>
      </c>
      <c r="I62" s="175" t="s">
        <v>37</v>
      </c>
      <c r="J62" s="176" t="s">
        <v>58</v>
      </c>
      <c r="K62" s="175" t="s">
        <v>29</v>
      </c>
      <c r="L62" s="176" t="s">
        <v>60</v>
      </c>
      <c r="M62" s="52" t="s">
        <v>46</v>
      </c>
      <c r="N62" s="54" t="s">
        <v>10496</v>
      </c>
      <c r="O62" s="55" t="str">
        <f t="shared" si="4"/>
        <v>L1.00.00.10.04.01</v>
      </c>
      <c r="P62" s="55" t="str">
        <f t="shared" si="5"/>
        <v>L1.00.00.10.04.01.07</v>
      </c>
      <c r="Q62" s="160" t="s">
        <v>10530</v>
      </c>
      <c r="R62" s="169" t="str">
        <f t="shared" si="6"/>
        <v>Dự án MISA meInvoice - Xăng dầu</v>
      </c>
      <c r="S62" s="97" t="s">
        <v>10616</v>
      </c>
      <c r="T62" s="96" t="s">
        <v>464</v>
      </c>
      <c r="U62" s="96" t="s">
        <v>453</v>
      </c>
      <c r="V62" s="96" t="s">
        <v>454</v>
      </c>
      <c r="W62" s="96" t="s">
        <v>58</v>
      </c>
      <c r="X62" s="96" t="s">
        <v>60</v>
      </c>
      <c r="Y62" s="96"/>
      <c r="Z62" s="98" t="s">
        <v>10617</v>
      </c>
      <c r="AA62" s="153" t="s">
        <v>10530</v>
      </c>
      <c r="AB62" s="91"/>
      <c r="AC62" s="91"/>
      <c r="AD62" s="91"/>
    </row>
    <row r="63" ht="15.75" customHeight="1" outlineLevel="1">
      <c r="A63" s="170" t="s">
        <v>10535</v>
      </c>
      <c r="B63" s="51" t="s">
        <v>26</v>
      </c>
      <c r="C63" s="51" t="s">
        <v>27</v>
      </c>
      <c r="D63" s="52" t="s">
        <v>4</v>
      </c>
      <c r="E63" s="53" t="s">
        <v>27</v>
      </c>
      <c r="F63" s="52" t="s">
        <v>4</v>
      </c>
      <c r="G63" s="52" t="s">
        <v>55</v>
      </c>
      <c r="H63" s="176" t="s">
        <v>454</v>
      </c>
      <c r="I63" s="175" t="s">
        <v>37</v>
      </c>
      <c r="J63" s="176" t="s">
        <v>58</v>
      </c>
      <c r="K63" s="177" t="s">
        <v>33</v>
      </c>
      <c r="L63" s="176" t="s">
        <v>59</v>
      </c>
      <c r="M63" s="52" t="s">
        <v>46</v>
      </c>
      <c r="N63" s="54" t="s">
        <v>10496</v>
      </c>
      <c r="O63" s="55" t="str">
        <f t="shared" si="4"/>
        <v>L1.00.00.10.04.02</v>
      </c>
      <c r="P63" s="55" t="str">
        <f t="shared" si="5"/>
        <v>L1.00.00.10.04.02.07</v>
      </c>
      <c r="Q63" s="160" t="s">
        <v>10530</v>
      </c>
      <c r="R63" s="169" t="str">
        <f t="shared" si="6"/>
        <v>[meInvoice - Xăng dầu] Nhóm Phân tích &amp; Thiết kế</v>
      </c>
      <c r="S63" s="97" t="s">
        <v>10616</v>
      </c>
      <c r="T63" s="96" t="s">
        <v>455</v>
      </c>
      <c r="U63" s="96" t="s">
        <v>453</v>
      </c>
      <c r="V63" s="96" t="s">
        <v>454</v>
      </c>
      <c r="W63" s="96" t="s">
        <v>58</v>
      </c>
      <c r="X63" s="96" t="s">
        <v>59</v>
      </c>
      <c r="Y63" s="96"/>
      <c r="Z63" s="98" t="s">
        <v>10618</v>
      </c>
      <c r="AA63" s="153" t="s">
        <v>10530</v>
      </c>
      <c r="AB63" s="91"/>
      <c r="AC63" s="91"/>
      <c r="AD63" s="91"/>
    </row>
    <row r="64" ht="15.75" customHeight="1" outlineLevel="1">
      <c r="A64" s="170" t="s">
        <v>10535</v>
      </c>
      <c r="B64" s="51" t="s">
        <v>26</v>
      </c>
      <c r="C64" s="51" t="s">
        <v>27</v>
      </c>
      <c r="D64" s="52" t="s">
        <v>4</v>
      </c>
      <c r="E64" s="53" t="s">
        <v>27</v>
      </c>
      <c r="F64" s="52" t="s">
        <v>4</v>
      </c>
      <c r="G64" s="52" t="s">
        <v>55</v>
      </c>
      <c r="H64" s="176" t="s">
        <v>454</v>
      </c>
      <c r="I64" s="175" t="s">
        <v>42</v>
      </c>
      <c r="J64" s="176" t="s">
        <v>3217</v>
      </c>
      <c r="K64" s="175" t="s">
        <v>27</v>
      </c>
      <c r="L64" s="194" t="s">
        <v>4</v>
      </c>
      <c r="M64" s="52" t="s">
        <v>46</v>
      </c>
      <c r="N64" s="54" t="s">
        <v>10496</v>
      </c>
      <c r="O64" s="55" t="str">
        <f t="shared" si="4"/>
        <v>L1.00.00.10.05.00</v>
      </c>
      <c r="P64" s="55" t="str">
        <f t="shared" si="5"/>
        <v>L1.00.00.10.05.00.07</v>
      </c>
      <c r="Q64" s="160" t="s">
        <v>10530</v>
      </c>
      <c r="R64" s="169" t="str">
        <f t="shared" si="6"/>
        <v>Sản phẩm AMIS C&amp;B</v>
      </c>
      <c r="S64" s="97" t="s">
        <v>10610</v>
      </c>
      <c r="T64" s="97" t="s">
        <v>10619</v>
      </c>
      <c r="U64" s="96" t="s">
        <v>453</v>
      </c>
      <c r="V64" s="96" t="s">
        <v>454</v>
      </c>
      <c r="W64" s="96" t="s">
        <v>3217</v>
      </c>
      <c r="X64" s="96" t="s">
        <v>4991</v>
      </c>
      <c r="Y64" s="96"/>
      <c r="Z64" s="98" t="s">
        <v>10620</v>
      </c>
      <c r="AA64" s="153" t="s">
        <v>10530</v>
      </c>
      <c r="AB64" s="91"/>
      <c r="AC64" s="91"/>
      <c r="AD64" s="91"/>
    </row>
    <row r="65" ht="15.75" customHeight="1" outlineLevel="1">
      <c r="A65" s="170" t="s">
        <v>10535</v>
      </c>
      <c r="B65" s="51" t="s">
        <v>26</v>
      </c>
      <c r="C65" s="51" t="s">
        <v>27</v>
      </c>
      <c r="D65" s="52" t="s">
        <v>4</v>
      </c>
      <c r="E65" s="53" t="s">
        <v>27</v>
      </c>
      <c r="F65" s="52" t="s">
        <v>4</v>
      </c>
      <c r="G65" s="52" t="s">
        <v>55</v>
      </c>
      <c r="H65" s="176" t="s">
        <v>454</v>
      </c>
      <c r="I65" s="175" t="s">
        <v>42</v>
      </c>
      <c r="J65" s="176" t="s">
        <v>3217</v>
      </c>
      <c r="K65" s="175" t="s">
        <v>29</v>
      </c>
      <c r="L65" s="176" t="s">
        <v>4991</v>
      </c>
      <c r="M65" s="52" t="s">
        <v>46</v>
      </c>
      <c r="N65" s="54" t="s">
        <v>10496</v>
      </c>
      <c r="O65" s="55" t="str">
        <f t="shared" si="4"/>
        <v>L1.00.00.10.05.01</v>
      </c>
      <c r="P65" s="55" t="str">
        <f t="shared" si="5"/>
        <v>L1.00.00.10.05.01.07</v>
      </c>
      <c r="Q65" s="160" t="s">
        <v>10530</v>
      </c>
      <c r="R65" s="169" t="str">
        <f t="shared" si="6"/>
        <v>Dự án AMIS C&amp;B</v>
      </c>
      <c r="S65" s="97" t="s">
        <v>10621</v>
      </c>
      <c r="T65" s="96" t="s">
        <v>4992</v>
      </c>
      <c r="U65" s="96" t="s">
        <v>453</v>
      </c>
      <c r="V65" s="96" t="s">
        <v>454</v>
      </c>
      <c r="W65" s="96" t="s">
        <v>3217</v>
      </c>
      <c r="X65" s="96" t="s">
        <v>4991</v>
      </c>
      <c r="Y65" s="96"/>
      <c r="Z65" s="98" t="s">
        <v>10622</v>
      </c>
      <c r="AA65" s="153" t="s">
        <v>10530</v>
      </c>
      <c r="AB65" s="91"/>
      <c r="AC65" s="91"/>
      <c r="AD65" s="91"/>
    </row>
    <row r="66" ht="15.75" customHeight="1" outlineLevel="1">
      <c r="A66" s="170" t="s">
        <v>10535</v>
      </c>
      <c r="B66" s="51" t="s">
        <v>26</v>
      </c>
      <c r="C66" s="51" t="s">
        <v>27</v>
      </c>
      <c r="D66" s="52" t="s">
        <v>4</v>
      </c>
      <c r="E66" s="53" t="s">
        <v>27</v>
      </c>
      <c r="F66" s="52" t="s">
        <v>4</v>
      </c>
      <c r="G66" s="52" t="s">
        <v>55</v>
      </c>
      <c r="H66" s="176" t="s">
        <v>454</v>
      </c>
      <c r="I66" s="175" t="s">
        <v>42</v>
      </c>
      <c r="J66" s="176" t="s">
        <v>3217</v>
      </c>
      <c r="K66" s="177" t="s">
        <v>33</v>
      </c>
      <c r="L66" s="176" t="s">
        <v>3216</v>
      </c>
      <c r="M66" s="52" t="s">
        <v>46</v>
      </c>
      <c r="N66" s="54" t="s">
        <v>10496</v>
      </c>
      <c r="O66" s="55" t="str">
        <f t="shared" si="4"/>
        <v>L1.00.00.10.05.02</v>
      </c>
      <c r="P66" s="55" t="str">
        <f t="shared" si="5"/>
        <v>L1.00.00.10.05.02.07</v>
      </c>
      <c r="Q66" s="160" t="s">
        <v>10530</v>
      </c>
      <c r="R66" s="169" t="str">
        <f t="shared" si="6"/>
        <v>[C&amp;B] Nhóm Phân tích &amp; Thiết kế</v>
      </c>
      <c r="S66" s="97" t="s">
        <v>10621</v>
      </c>
      <c r="T66" s="96" t="s">
        <v>3218</v>
      </c>
      <c r="U66" s="96" t="s">
        <v>453</v>
      </c>
      <c r="V66" s="96" t="s">
        <v>454</v>
      </c>
      <c r="W66" s="96" t="s">
        <v>3217</v>
      </c>
      <c r="X66" s="96" t="s">
        <v>3216</v>
      </c>
      <c r="Y66" s="96"/>
      <c r="Z66" s="98" t="s">
        <v>10623</v>
      </c>
      <c r="AA66" s="153" t="s">
        <v>10530</v>
      </c>
      <c r="AB66" s="91"/>
      <c r="AC66" s="91"/>
      <c r="AD66" s="91"/>
    </row>
    <row r="67" ht="15.75" customHeight="1" outlineLevel="1">
      <c r="A67" s="170" t="s">
        <v>10535</v>
      </c>
      <c r="B67" s="51" t="s">
        <v>26</v>
      </c>
      <c r="C67" s="51" t="s">
        <v>27</v>
      </c>
      <c r="D67" s="52" t="s">
        <v>4</v>
      </c>
      <c r="E67" s="53" t="s">
        <v>27</v>
      </c>
      <c r="F67" s="52" t="s">
        <v>4</v>
      </c>
      <c r="G67" s="52" t="s">
        <v>55</v>
      </c>
      <c r="H67" s="176" t="s">
        <v>454</v>
      </c>
      <c r="I67" s="175" t="s">
        <v>44</v>
      </c>
      <c r="J67" s="176" t="s">
        <v>3604</v>
      </c>
      <c r="K67" s="175" t="s">
        <v>27</v>
      </c>
      <c r="L67" s="194" t="s">
        <v>4</v>
      </c>
      <c r="M67" s="52" t="s">
        <v>46</v>
      </c>
      <c r="N67" s="54" t="s">
        <v>10496</v>
      </c>
      <c r="O67" s="55" t="str">
        <f t="shared" si="4"/>
        <v>L1.00.00.10.06.00</v>
      </c>
      <c r="P67" s="55" t="str">
        <f t="shared" si="5"/>
        <v>L1.00.00.10.06.00.07</v>
      </c>
      <c r="Q67" s="160" t="s">
        <v>10530</v>
      </c>
      <c r="R67" s="169" t="str">
        <f t="shared" si="6"/>
        <v>Sản phẩm AMIS Đánh giá</v>
      </c>
      <c r="S67" s="97" t="s">
        <v>10610</v>
      </c>
      <c r="T67" s="97" t="s">
        <v>10624</v>
      </c>
      <c r="U67" s="96" t="s">
        <v>453</v>
      </c>
      <c r="V67" s="96" t="s">
        <v>454</v>
      </c>
      <c r="W67" s="96" t="s">
        <v>3604</v>
      </c>
      <c r="X67" s="96"/>
      <c r="Y67" s="96"/>
      <c r="Z67" s="98" t="s">
        <v>10625</v>
      </c>
      <c r="AA67" s="153" t="s">
        <v>10530</v>
      </c>
      <c r="AB67" s="91"/>
      <c r="AC67" s="91"/>
      <c r="AD67" s="91"/>
    </row>
    <row r="68" ht="15.75" customHeight="1" outlineLevel="1">
      <c r="A68" s="170" t="s">
        <v>10535</v>
      </c>
      <c r="B68" s="51" t="s">
        <v>26</v>
      </c>
      <c r="C68" s="51" t="s">
        <v>27</v>
      </c>
      <c r="D68" s="52" t="s">
        <v>4</v>
      </c>
      <c r="E68" s="53" t="s">
        <v>27</v>
      </c>
      <c r="F68" s="52" t="s">
        <v>4</v>
      </c>
      <c r="G68" s="52" t="s">
        <v>55</v>
      </c>
      <c r="H68" s="176" t="s">
        <v>454</v>
      </c>
      <c r="I68" s="175" t="s">
        <v>44</v>
      </c>
      <c r="J68" s="176" t="s">
        <v>3604</v>
      </c>
      <c r="K68" s="175" t="s">
        <v>29</v>
      </c>
      <c r="L68" s="176" t="s">
        <v>3603</v>
      </c>
      <c r="M68" s="52" t="s">
        <v>46</v>
      </c>
      <c r="N68" s="54" t="s">
        <v>10496</v>
      </c>
      <c r="O68" s="55" t="str">
        <f t="shared" si="4"/>
        <v>L1.00.00.10.06.01</v>
      </c>
      <c r="P68" s="55" t="str">
        <f t="shared" si="5"/>
        <v>L1.00.00.10.06.01.07</v>
      </c>
      <c r="Q68" s="160" t="s">
        <v>10530</v>
      </c>
      <c r="R68" s="169" t="str">
        <f t="shared" si="6"/>
        <v>Dự án AMIS Đánh giá</v>
      </c>
      <c r="S68" s="97" t="s">
        <v>10626</v>
      </c>
      <c r="T68" s="96" t="s">
        <v>3605</v>
      </c>
      <c r="U68" s="96" t="s">
        <v>453</v>
      </c>
      <c r="V68" s="96" t="s">
        <v>454</v>
      </c>
      <c r="W68" s="96" t="s">
        <v>3604</v>
      </c>
      <c r="X68" s="96" t="s">
        <v>3603</v>
      </c>
      <c r="Y68" s="96"/>
      <c r="Z68" s="98" t="s">
        <v>10627</v>
      </c>
      <c r="AA68" s="153" t="s">
        <v>10530</v>
      </c>
      <c r="AB68" s="91"/>
      <c r="AC68" s="91"/>
      <c r="AD68" s="91"/>
    </row>
    <row r="69" ht="15.75" customHeight="1" outlineLevel="1">
      <c r="A69" s="170" t="s">
        <v>10535</v>
      </c>
      <c r="B69" s="51" t="s">
        <v>26</v>
      </c>
      <c r="C69" s="51" t="s">
        <v>27</v>
      </c>
      <c r="D69" s="52" t="s">
        <v>4</v>
      </c>
      <c r="E69" s="53" t="s">
        <v>27</v>
      </c>
      <c r="F69" s="52" t="s">
        <v>4</v>
      </c>
      <c r="G69" s="52" t="s">
        <v>55</v>
      </c>
      <c r="H69" s="176" t="s">
        <v>454</v>
      </c>
      <c r="I69" s="175" t="s">
        <v>44</v>
      </c>
      <c r="J69" s="176" t="s">
        <v>3604</v>
      </c>
      <c r="K69" s="177" t="s">
        <v>33</v>
      </c>
      <c r="L69" s="176" t="s">
        <v>10214</v>
      </c>
      <c r="M69" s="52" t="s">
        <v>46</v>
      </c>
      <c r="N69" s="54" t="s">
        <v>10496</v>
      </c>
      <c r="O69" s="55" t="str">
        <f t="shared" si="4"/>
        <v>L1.00.00.10.06.02</v>
      </c>
      <c r="P69" s="55" t="str">
        <f t="shared" si="5"/>
        <v>L1.00.00.10.06.02.07</v>
      </c>
      <c r="Q69" s="160" t="s">
        <v>10530</v>
      </c>
      <c r="R69" s="169" t="str">
        <f t="shared" si="6"/>
        <v>[AMIS Đánh giá] Nhóm Phân tích &amp; Thiết kế</v>
      </c>
      <c r="S69" s="97" t="s">
        <v>10626</v>
      </c>
      <c r="T69" s="96" t="s">
        <v>10215</v>
      </c>
      <c r="U69" s="96" t="s">
        <v>453</v>
      </c>
      <c r="V69" s="96" t="s">
        <v>454</v>
      </c>
      <c r="W69" s="96" t="s">
        <v>3604</v>
      </c>
      <c r="X69" s="96" t="s">
        <v>10214</v>
      </c>
      <c r="Y69" s="96"/>
      <c r="Z69" s="98" t="s">
        <v>10628</v>
      </c>
      <c r="AA69" s="153" t="s">
        <v>10530</v>
      </c>
      <c r="AB69" s="91"/>
      <c r="AC69" s="91"/>
      <c r="AD69" s="91"/>
    </row>
    <row r="70" ht="15.75" customHeight="1" outlineLevel="1">
      <c r="A70" s="170" t="s">
        <v>10535</v>
      </c>
      <c r="B70" s="51" t="s">
        <v>26</v>
      </c>
      <c r="C70" s="51" t="s">
        <v>27</v>
      </c>
      <c r="D70" s="52" t="s">
        <v>4</v>
      </c>
      <c r="E70" s="53" t="s">
        <v>27</v>
      </c>
      <c r="F70" s="52" t="s">
        <v>4</v>
      </c>
      <c r="G70" s="52" t="s">
        <v>55</v>
      </c>
      <c r="H70" s="176" t="s">
        <v>454</v>
      </c>
      <c r="I70" s="175" t="s">
        <v>46</v>
      </c>
      <c r="J70" s="176" t="s">
        <v>3041</v>
      </c>
      <c r="K70" s="175" t="s">
        <v>27</v>
      </c>
      <c r="L70" s="194" t="s">
        <v>4</v>
      </c>
      <c r="M70" s="52" t="s">
        <v>46</v>
      </c>
      <c r="N70" s="54" t="s">
        <v>10496</v>
      </c>
      <c r="O70" s="55" t="str">
        <f t="shared" si="4"/>
        <v>L1.00.00.10.07.00</v>
      </c>
      <c r="P70" s="55" t="str">
        <f t="shared" si="5"/>
        <v>L1.00.00.10.07.00.07</v>
      </c>
      <c r="Q70" s="160" t="s">
        <v>10530</v>
      </c>
      <c r="R70" s="169" t="str">
        <f t="shared" si="6"/>
        <v>Sản phẩm AMIS HRM MISA</v>
      </c>
      <c r="S70" s="97" t="s">
        <v>10610</v>
      </c>
      <c r="T70" s="97" t="s">
        <v>10629</v>
      </c>
      <c r="U70" s="96" t="s">
        <v>453</v>
      </c>
      <c r="V70" s="96" t="s">
        <v>454</v>
      </c>
      <c r="W70" s="96" t="s">
        <v>3041</v>
      </c>
      <c r="X70" s="96"/>
      <c r="Y70" s="96"/>
      <c r="Z70" s="98" t="s">
        <v>10630</v>
      </c>
      <c r="AA70" s="153" t="s">
        <v>10530</v>
      </c>
      <c r="AB70" s="91"/>
      <c r="AC70" s="91"/>
      <c r="AD70" s="91"/>
    </row>
    <row r="71" ht="15.75" customHeight="1" outlineLevel="1">
      <c r="A71" s="170" t="s">
        <v>10535</v>
      </c>
      <c r="B71" s="51" t="s">
        <v>26</v>
      </c>
      <c r="C71" s="51" t="s">
        <v>27</v>
      </c>
      <c r="D71" s="52" t="s">
        <v>4</v>
      </c>
      <c r="E71" s="53" t="s">
        <v>27</v>
      </c>
      <c r="F71" s="52" t="s">
        <v>4</v>
      </c>
      <c r="G71" s="52" t="s">
        <v>55</v>
      </c>
      <c r="H71" s="176" t="s">
        <v>454</v>
      </c>
      <c r="I71" s="175" t="s">
        <v>46</v>
      </c>
      <c r="J71" s="176" t="s">
        <v>3041</v>
      </c>
      <c r="K71" s="175" t="s">
        <v>29</v>
      </c>
      <c r="L71" s="176" t="s">
        <v>5747</v>
      </c>
      <c r="M71" s="52" t="s">
        <v>46</v>
      </c>
      <c r="N71" s="54" t="s">
        <v>10496</v>
      </c>
      <c r="O71" s="55" t="str">
        <f t="shared" si="4"/>
        <v>L1.00.00.10.07.01</v>
      </c>
      <c r="P71" s="55" t="str">
        <f t="shared" si="5"/>
        <v>L1.00.00.10.07.01.07</v>
      </c>
      <c r="Q71" s="160" t="s">
        <v>10530</v>
      </c>
      <c r="R71" s="169" t="str">
        <f t="shared" si="6"/>
        <v>Dự án AMIS HRM MISA</v>
      </c>
      <c r="S71" s="97" t="s">
        <v>10631</v>
      </c>
      <c r="T71" s="96" t="s">
        <v>5748</v>
      </c>
      <c r="U71" s="96" t="s">
        <v>453</v>
      </c>
      <c r="V71" s="96" t="s">
        <v>454</v>
      </c>
      <c r="W71" s="96" t="s">
        <v>3041</v>
      </c>
      <c r="X71" s="96" t="s">
        <v>5747</v>
      </c>
      <c r="Y71" s="96"/>
      <c r="Z71" s="98" t="s">
        <v>10632</v>
      </c>
      <c r="AA71" s="153" t="s">
        <v>10530</v>
      </c>
      <c r="AB71" s="91"/>
      <c r="AC71" s="91"/>
      <c r="AD71" s="91"/>
    </row>
    <row r="72" ht="15.75" customHeight="1" outlineLevel="1">
      <c r="A72" s="170" t="s">
        <v>10535</v>
      </c>
      <c r="B72" s="51" t="s">
        <v>26</v>
      </c>
      <c r="C72" s="51" t="s">
        <v>27</v>
      </c>
      <c r="D72" s="52" t="s">
        <v>4</v>
      </c>
      <c r="E72" s="53" t="s">
        <v>27</v>
      </c>
      <c r="F72" s="52" t="s">
        <v>4</v>
      </c>
      <c r="G72" s="52" t="s">
        <v>55</v>
      </c>
      <c r="H72" s="176" t="s">
        <v>454</v>
      </c>
      <c r="I72" s="175" t="s">
        <v>46</v>
      </c>
      <c r="J72" s="176" t="s">
        <v>3041</v>
      </c>
      <c r="K72" s="177" t="s">
        <v>33</v>
      </c>
      <c r="L72" s="176" t="s">
        <v>3040</v>
      </c>
      <c r="M72" s="52" t="s">
        <v>46</v>
      </c>
      <c r="N72" s="54" t="s">
        <v>10496</v>
      </c>
      <c r="O72" s="55" t="str">
        <f t="shared" si="4"/>
        <v>L1.00.00.10.07.02</v>
      </c>
      <c r="P72" s="55" t="str">
        <f t="shared" si="5"/>
        <v>L1.00.00.10.07.02.07</v>
      </c>
      <c r="Q72" s="160" t="s">
        <v>10530</v>
      </c>
      <c r="R72" s="169" t="str">
        <f t="shared" si="6"/>
        <v>[AMIS HRM MISA] Nhóm Phân tích &amp; Thiết kế</v>
      </c>
      <c r="S72" s="97" t="s">
        <v>10631</v>
      </c>
      <c r="T72" s="96" t="s">
        <v>3042</v>
      </c>
      <c r="U72" s="96" t="s">
        <v>453</v>
      </c>
      <c r="V72" s="96" t="s">
        <v>454</v>
      </c>
      <c r="W72" s="96" t="s">
        <v>3041</v>
      </c>
      <c r="X72" s="96" t="s">
        <v>3040</v>
      </c>
      <c r="Y72" s="96"/>
      <c r="Z72" s="98" t="s">
        <v>10633</v>
      </c>
      <c r="AA72" s="153" t="s">
        <v>10530</v>
      </c>
      <c r="AB72" s="91"/>
      <c r="AC72" s="91"/>
      <c r="AD72" s="91"/>
    </row>
    <row r="73" ht="15.75" customHeight="1" outlineLevel="1">
      <c r="A73" s="170" t="s">
        <v>10535</v>
      </c>
      <c r="B73" s="51" t="s">
        <v>26</v>
      </c>
      <c r="C73" s="51" t="s">
        <v>27</v>
      </c>
      <c r="D73" s="52" t="s">
        <v>4</v>
      </c>
      <c r="E73" s="53" t="s">
        <v>27</v>
      </c>
      <c r="F73" s="52" t="s">
        <v>4</v>
      </c>
      <c r="G73" s="52" t="s">
        <v>55</v>
      </c>
      <c r="H73" s="176" t="s">
        <v>454</v>
      </c>
      <c r="I73" s="175" t="s">
        <v>49</v>
      </c>
      <c r="J73" s="176" t="s">
        <v>2676</v>
      </c>
      <c r="K73" s="215" t="s">
        <v>29</v>
      </c>
      <c r="L73" s="194" t="s">
        <v>4</v>
      </c>
      <c r="M73" s="52" t="s">
        <v>46</v>
      </c>
      <c r="N73" s="54" t="s">
        <v>10496</v>
      </c>
      <c r="O73" s="55" t="str">
        <f t="shared" si="4"/>
        <v>L1.00.00.10.08.01</v>
      </c>
      <c r="P73" s="55" t="str">
        <f t="shared" si="5"/>
        <v>L1.00.00.10.08.01.07</v>
      </c>
      <c r="Q73" s="160" t="s">
        <v>10530</v>
      </c>
      <c r="R73" s="169" t="str">
        <f t="shared" si="6"/>
        <v>Sản phẩm AMIS Operation</v>
      </c>
      <c r="S73" s="97" t="s">
        <v>10610</v>
      </c>
      <c r="T73" s="96" t="s">
        <v>5297</v>
      </c>
      <c r="U73" s="96" t="s">
        <v>453</v>
      </c>
      <c r="V73" s="96" t="s">
        <v>454</v>
      </c>
      <c r="W73" s="96" t="s">
        <v>2676</v>
      </c>
      <c r="X73" s="96"/>
      <c r="Y73" s="96"/>
      <c r="Z73" s="98" t="s">
        <v>10634</v>
      </c>
      <c r="AA73" s="153" t="s">
        <v>10530</v>
      </c>
      <c r="AB73" s="91"/>
      <c r="AC73" s="91"/>
      <c r="AD73" s="91"/>
    </row>
    <row r="74" ht="15.75" customHeight="1" outlineLevel="1">
      <c r="A74" s="170" t="s">
        <v>10535</v>
      </c>
      <c r="B74" s="51" t="s">
        <v>26</v>
      </c>
      <c r="C74" s="51" t="s">
        <v>27</v>
      </c>
      <c r="D74" s="52" t="s">
        <v>4</v>
      </c>
      <c r="E74" s="53" t="s">
        <v>27</v>
      </c>
      <c r="F74" s="52" t="s">
        <v>4</v>
      </c>
      <c r="G74" s="52" t="s">
        <v>55</v>
      </c>
      <c r="H74" s="176" t="s">
        <v>454</v>
      </c>
      <c r="I74" s="175" t="s">
        <v>49</v>
      </c>
      <c r="J74" s="176" t="s">
        <v>2676</v>
      </c>
      <c r="K74" s="216" t="s">
        <v>33</v>
      </c>
      <c r="L74" s="217" t="s">
        <v>2675</v>
      </c>
      <c r="M74" s="52" t="s">
        <v>46</v>
      </c>
      <c r="N74" s="54" t="s">
        <v>10496</v>
      </c>
      <c r="O74" s="55" t="str">
        <f t="shared" si="4"/>
        <v>L1.00.00.10.08.02</v>
      </c>
      <c r="P74" s="55" t="str">
        <f t="shared" si="5"/>
        <v>L1.00.00.10.08.02.07</v>
      </c>
      <c r="Q74" s="160" t="s">
        <v>10530</v>
      </c>
      <c r="R74" s="169" t="str">
        <f t="shared" si="6"/>
        <v>Dự án AMIS Operation</v>
      </c>
      <c r="S74" s="97" t="s">
        <v>10635</v>
      </c>
      <c r="T74" s="96" t="s">
        <v>2677</v>
      </c>
      <c r="U74" s="96" t="s">
        <v>453</v>
      </c>
      <c r="V74" s="96" t="s">
        <v>454</v>
      </c>
      <c r="W74" s="96" t="s">
        <v>2676</v>
      </c>
      <c r="X74" s="96" t="s">
        <v>2675</v>
      </c>
      <c r="Y74" s="96"/>
      <c r="Z74" s="98" t="s">
        <v>10636</v>
      </c>
      <c r="AA74" s="153" t="s">
        <v>10530</v>
      </c>
      <c r="AB74" s="91"/>
      <c r="AC74" s="91"/>
      <c r="AD74" s="91"/>
    </row>
    <row r="75" ht="15.75" customHeight="1" outlineLevel="1">
      <c r="A75" s="170" t="s">
        <v>10535</v>
      </c>
      <c r="B75" s="51" t="s">
        <v>26</v>
      </c>
      <c r="C75" s="51" t="s">
        <v>27</v>
      </c>
      <c r="D75" s="52" t="s">
        <v>4</v>
      </c>
      <c r="E75" s="53" t="s">
        <v>27</v>
      </c>
      <c r="F75" s="52" t="s">
        <v>4</v>
      </c>
      <c r="G75" s="52" t="s">
        <v>55</v>
      </c>
      <c r="H75" s="176" t="s">
        <v>454</v>
      </c>
      <c r="I75" s="175" t="s">
        <v>49</v>
      </c>
      <c r="J75" s="176" t="s">
        <v>2676</v>
      </c>
      <c r="K75" s="216" t="s">
        <v>35</v>
      </c>
      <c r="L75" s="217" t="s">
        <v>5173</v>
      </c>
      <c r="M75" s="52" t="s">
        <v>46</v>
      </c>
      <c r="N75" s="54" t="s">
        <v>10496</v>
      </c>
      <c r="O75" s="55" t="str">
        <f t="shared" si="4"/>
        <v>L1.00.00.10.08.03</v>
      </c>
      <c r="P75" s="55" t="str">
        <f t="shared" si="5"/>
        <v>L1.00.00.10.08.03.07</v>
      </c>
      <c r="Q75" s="160" t="s">
        <v>10530</v>
      </c>
      <c r="R75" s="169" t="str">
        <f t="shared" si="6"/>
        <v>[AMIS Operation] Nhóm Phân tích &amp; Thiết kế</v>
      </c>
      <c r="S75" s="97" t="s">
        <v>10635</v>
      </c>
      <c r="T75" s="96" t="s">
        <v>5174</v>
      </c>
      <c r="U75" s="96" t="s">
        <v>453</v>
      </c>
      <c r="V75" s="96" t="s">
        <v>454</v>
      </c>
      <c r="W75" s="96" t="s">
        <v>2676</v>
      </c>
      <c r="X75" s="96" t="s">
        <v>5173</v>
      </c>
      <c r="Y75" s="96"/>
      <c r="Z75" s="98" t="s">
        <v>10637</v>
      </c>
      <c r="AA75" s="153" t="s">
        <v>10530</v>
      </c>
      <c r="AB75" s="91"/>
      <c r="AC75" s="91"/>
      <c r="AD75" s="91"/>
    </row>
    <row r="76" ht="15.75" customHeight="1" outlineLevel="1">
      <c r="A76" s="170" t="s">
        <v>10535</v>
      </c>
      <c r="B76" s="51" t="s">
        <v>26</v>
      </c>
      <c r="C76" s="51" t="s">
        <v>27</v>
      </c>
      <c r="D76" s="52" t="s">
        <v>4</v>
      </c>
      <c r="E76" s="53" t="s">
        <v>27</v>
      </c>
      <c r="F76" s="52" t="s">
        <v>4</v>
      </c>
      <c r="G76" s="52" t="s">
        <v>55</v>
      </c>
      <c r="H76" s="176" t="s">
        <v>454</v>
      </c>
      <c r="I76" s="175" t="s">
        <v>51</v>
      </c>
      <c r="J76" s="176" t="s">
        <v>5107</v>
      </c>
      <c r="K76" s="175" t="s">
        <v>27</v>
      </c>
      <c r="L76" s="218" t="s">
        <v>4</v>
      </c>
      <c r="M76" s="52" t="s">
        <v>46</v>
      </c>
      <c r="N76" s="54" t="s">
        <v>10496</v>
      </c>
      <c r="O76" s="55" t="str">
        <f t="shared" si="4"/>
        <v>L1.00.00.10.09.00</v>
      </c>
      <c r="P76" s="55" t="str">
        <f t="shared" si="5"/>
        <v>L1.00.00.10.09.00.07</v>
      </c>
      <c r="Q76" s="160" t="s">
        <v>10530</v>
      </c>
      <c r="R76" s="169" t="str">
        <f t="shared" si="6"/>
        <v>Sản phẩm AMIS TMS</v>
      </c>
      <c r="S76" s="97" t="s">
        <v>10610</v>
      </c>
      <c r="T76" s="97" t="s">
        <v>10638</v>
      </c>
      <c r="U76" s="96" t="s">
        <v>453</v>
      </c>
      <c r="V76" s="96" t="s">
        <v>454</v>
      </c>
      <c r="W76" s="96" t="s">
        <v>5107</v>
      </c>
      <c r="X76" s="96"/>
      <c r="Y76" s="96"/>
      <c r="Z76" s="98" t="s">
        <v>10639</v>
      </c>
      <c r="AA76" s="153" t="s">
        <v>10530</v>
      </c>
      <c r="AB76" s="91"/>
      <c r="AC76" s="91"/>
      <c r="AD76" s="91"/>
    </row>
    <row r="77" ht="15.75" customHeight="1" outlineLevel="1">
      <c r="A77" s="170" t="s">
        <v>10535</v>
      </c>
      <c r="B77" s="51" t="s">
        <v>26</v>
      </c>
      <c r="C77" s="51" t="s">
        <v>27</v>
      </c>
      <c r="D77" s="52" t="s">
        <v>4</v>
      </c>
      <c r="E77" s="53" t="s">
        <v>27</v>
      </c>
      <c r="F77" s="52" t="s">
        <v>4</v>
      </c>
      <c r="G77" s="52" t="s">
        <v>55</v>
      </c>
      <c r="H77" s="176" t="s">
        <v>454</v>
      </c>
      <c r="I77" s="175" t="s">
        <v>51</v>
      </c>
      <c r="J77" s="176" t="s">
        <v>5107</v>
      </c>
      <c r="K77" s="175" t="s">
        <v>29</v>
      </c>
      <c r="L77" s="176" t="s">
        <v>5106</v>
      </c>
      <c r="M77" s="52" t="s">
        <v>46</v>
      </c>
      <c r="N77" s="54" t="s">
        <v>10496</v>
      </c>
      <c r="O77" s="55" t="str">
        <f t="shared" si="4"/>
        <v>L1.00.00.10.09.01</v>
      </c>
      <c r="P77" s="55" t="str">
        <f t="shared" si="5"/>
        <v>L1.00.00.10.09.01.07</v>
      </c>
      <c r="Q77" s="160" t="s">
        <v>10530</v>
      </c>
      <c r="R77" s="169" t="str">
        <f t="shared" si="6"/>
        <v>Dự án AMIS TMS</v>
      </c>
      <c r="S77" s="97" t="s">
        <v>10640</v>
      </c>
      <c r="T77" s="96" t="s">
        <v>5108</v>
      </c>
      <c r="U77" s="96" t="s">
        <v>453</v>
      </c>
      <c r="V77" s="96" t="s">
        <v>454</v>
      </c>
      <c r="W77" s="96" t="s">
        <v>5107</v>
      </c>
      <c r="X77" s="96" t="s">
        <v>5106</v>
      </c>
      <c r="Y77" s="96"/>
      <c r="Z77" s="98" t="s">
        <v>10641</v>
      </c>
      <c r="AA77" s="153" t="s">
        <v>10530</v>
      </c>
      <c r="AB77" s="91"/>
      <c r="AC77" s="91"/>
      <c r="AD77" s="91"/>
    </row>
    <row r="78" ht="15.75" customHeight="1" outlineLevel="1">
      <c r="A78" s="170" t="s">
        <v>10535</v>
      </c>
      <c r="B78" s="51" t="s">
        <v>26</v>
      </c>
      <c r="C78" s="51" t="s">
        <v>27</v>
      </c>
      <c r="D78" s="52" t="s">
        <v>4</v>
      </c>
      <c r="E78" s="53" t="s">
        <v>27</v>
      </c>
      <c r="F78" s="52" t="s">
        <v>4</v>
      </c>
      <c r="G78" s="52" t="s">
        <v>55</v>
      </c>
      <c r="H78" s="176" t="s">
        <v>454</v>
      </c>
      <c r="I78" s="175" t="s">
        <v>51</v>
      </c>
      <c r="J78" s="176" t="s">
        <v>5107</v>
      </c>
      <c r="K78" s="177" t="s">
        <v>33</v>
      </c>
      <c r="L78" s="176" t="s">
        <v>5604</v>
      </c>
      <c r="M78" s="52" t="s">
        <v>46</v>
      </c>
      <c r="N78" s="54" t="s">
        <v>10496</v>
      </c>
      <c r="O78" s="55" t="str">
        <f t="shared" si="4"/>
        <v>L1.00.00.10.09.02</v>
      </c>
      <c r="P78" s="55" t="str">
        <f t="shared" si="5"/>
        <v>L1.00.00.10.09.02.07</v>
      </c>
      <c r="Q78" s="160" t="s">
        <v>10530</v>
      </c>
      <c r="R78" s="169" t="str">
        <f t="shared" si="6"/>
        <v>[AMIS TMS] Nhóm Phân tích &amp; Thiết kế</v>
      </c>
      <c r="S78" s="97" t="s">
        <v>10640</v>
      </c>
      <c r="T78" s="96" t="s">
        <v>5605</v>
      </c>
      <c r="U78" s="96" t="s">
        <v>453</v>
      </c>
      <c r="V78" s="96" t="s">
        <v>454</v>
      </c>
      <c r="W78" s="96" t="s">
        <v>5107</v>
      </c>
      <c r="X78" s="96" t="s">
        <v>5604</v>
      </c>
      <c r="Y78" s="96"/>
      <c r="Z78" s="98" t="s">
        <v>10642</v>
      </c>
      <c r="AA78" s="153" t="s">
        <v>10530</v>
      </c>
      <c r="AB78" s="91"/>
      <c r="AC78" s="91"/>
      <c r="AD78" s="91"/>
    </row>
    <row r="79" ht="15.75" customHeight="1" outlineLevel="1">
      <c r="A79" s="170" t="s">
        <v>10535</v>
      </c>
      <c r="B79" s="51" t="s">
        <v>26</v>
      </c>
      <c r="C79" s="51" t="s">
        <v>27</v>
      </c>
      <c r="D79" s="52" t="s">
        <v>4</v>
      </c>
      <c r="E79" s="53" t="s">
        <v>27</v>
      </c>
      <c r="F79" s="52" t="s">
        <v>4</v>
      </c>
      <c r="G79" s="52" t="s">
        <v>55</v>
      </c>
      <c r="H79" s="176" t="s">
        <v>454</v>
      </c>
      <c r="I79" s="175" t="s">
        <v>55</v>
      </c>
      <c r="J79" s="217" t="s">
        <v>3048</v>
      </c>
      <c r="K79" s="175" t="s">
        <v>27</v>
      </c>
      <c r="L79" s="218" t="s">
        <v>4</v>
      </c>
      <c r="M79" s="52" t="s">
        <v>46</v>
      </c>
      <c r="N79" s="54" t="s">
        <v>10496</v>
      </c>
      <c r="O79" s="55" t="str">
        <f t="shared" si="4"/>
        <v>L1.00.00.10.10.00</v>
      </c>
      <c r="P79" s="55" t="str">
        <f t="shared" si="5"/>
        <v>L1.00.00.10.10.00.07</v>
      </c>
      <c r="Q79" s="160" t="s">
        <v>10530</v>
      </c>
      <c r="R79" s="169" t="str">
        <f t="shared" si="6"/>
        <v>Sản phẩm AMIS.VN Mobile</v>
      </c>
      <c r="S79" s="97" t="s">
        <v>10610</v>
      </c>
      <c r="T79" s="97" t="s">
        <v>10643</v>
      </c>
      <c r="U79" s="96" t="s">
        <v>453</v>
      </c>
      <c r="V79" s="96" t="s">
        <v>454</v>
      </c>
      <c r="W79" s="96" t="s">
        <v>3048</v>
      </c>
      <c r="X79" s="96"/>
      <c r="Y79" s="96"/>
      <c r="Z79" s="98" t="s">
        <v>10644</v>
      </c>
      <c r="AA79" s="153" t="s">
        <v>10530</v>
      </c>
      <c r="AB79" s="91"/>
      <c r="AC79" s="91"/>
      <c r="AD79" s="91"/>
    </row>
    <row r="80" ht="15.75" customHeight="1" outlineLevel="1">
      <c r="A80" s="170" t="s">
        <v>10535</v>
      </c>
      <c r="B80" s="51" t="s">
        <v>26</v>
      </c>
      <c r="C80" s="51" t="s">
        <v>27</v>
      </c>
      <c r="D80" s="52" t="s">
        <v>4</v>
      </c>
      <c r="E80" s="53" t="s">
        <v>27</v>
      </c>
      <c r="F80" s="52" t="s">
        <v>4</v>
      </c>
      <c r="G80" s="52" t="s">
        <v>55</v>
      </c>
      <c r="H80" s="176" t="s">
        <v>454</v>
      </c>
      <c r="I80" s="175" t="s">
        <v>55</v>
      </c>
      <c r="J80" s="217" t="s">
        <v>3048</v>
      </c>
      <c r="K80" s="175" t="s">
        <v>29</v>
      </c>
      <c r="L80" s="176" t="s">
        <v>3047</v>
      </c>
      <c r="M80" s="52" t="s">
        <v>46</v>
      </c>
      <c r="N80" s="54" t="s">
        <v>10496</v>
      </c>
      <c r="O80" s="55" t="str">
        <f t="shared" si="4"/>
        <v>L1.00.00.10.10.01</v>
      </c>
      <c r="P80" s="55" t="str">
        <f t="shared" si="5"/>
        <v>L1.00.00.10.10.01.07</v>
      </c>
      <c r="Q80" s="160" t="s">
        <v>10530</v>
      </c>
      <c r="R80" s="169" t="str">
        <f t="shared" si="6"/>
        <v>Dự án AMIS.VN Mobile</v>
      </c>
      <c r="S80" s="97" t="s">
        <v>10645</v>
      </c>
      <c r="T80" s="96" t="s">
        <v>3049</v>
      </c>
      <c r="U80" s="96" t="s">
        <v>453</v>
      </c>
      <c r="V80" s="96" t="s">
        <v>454</v>
      </c>
      <c r="W80" s="96" t="s">
        <v>3048</v>
      </c>
      <c r="X80" s="96" t="s">
        <v>3047</v>
      </c>
      <c r="Y80" s="96"/>
      <c r="Z80" s="98" t="s">
        <v>10646</v>
      </c>
      <c r="AA80" s="153" t="s">
        <v>10530</v>
      </c>
      <c r="AB80" s="91"/>
      <c r="AC80" s="91"/>
      <c r="AD80" s="91"/>
    </row>
    <row r="81" ht="15.75" customHeight="1" outlineLevel="1">
      <c r="A81" s="170" t="s">
        <v>10535</v>
      </c>
      <c r="B81" s="51" t="s">
        <v>26</v>
      </c>
      <c r="C81" s="51" t="s">
        <v>27</v>
      </c>
      <c r="D81" s="52" t="s">
        <v>4</v>
      </c>
      <c r="E81" s="53" t="s">
        <v>27</v>
      </c>
      <c r="F81" s="52" t="s">
        <v>4</v>
      </c>
      <c r="G81" s="52" t="s">
        <v>55</v>
      </c>
      <c r="H81" s="176" t="s">
        <v>454</v>
      </c>
      <c r="I81" s="175" t="s">
        <v>61</v>
      </c>
      <c r="J81" s="176" t="s">
        <v>2682</v>
      </c>
      <c r="K81" s="172" t="s">
        <v>27</v>
      </c>
      <c r="L81" s="218" t="s">
        <v>4</v>
      </c>
      <c r="M81" s="52" t="s">
        <v>46</v>
      </c>
      <c r="N81" s="54" t="s">
        <v>10496</v>
      </c>
      <c r="O81" s="55" t="str">
        <f t="shared" si="4"/>
        <v>L1.00.00.10.11.00</v>
      </c>
      <c r="P81" s="55" t="str">
        <f t="shared" si="5"/>
        <v>L1.00.00.10.11.00.07</v>
      </c>
      <c r="Q81" s="160" t="s">
        <v>10530</v>
      </c>
      <c r="R81" s="169" t="str">
        <f t="shared" si="6"/>
        <v>Sản phẩm iVAN</v>
      </c>
      <c r="S81" s="97" t="s">
        <v>10610</v>
      </c>
      <c r="T81" s="96" t="s">
        <v>5025</v>
      </c>
      <c r="U81" s="96" t="s">
        <v>453</v>
      </c>
      <c r="V81" s="96" t="s">
        <v>454</v>
      </c>
      <c r="W81" s="96" t="s">
        <v>2682</v>
      </c>
      <c r="X81" s="96"/>
      <c r="Y81" s="96"/>
      <c r="Z81" s="98" t="s">
        <v>10647</v>
      </c>
      <c r="AA81" s="153" t="s">
        <v>10530</v>
      </c>
      <c r="AB81" s="91"/>
      <c r="AC81" s="91"/>
      <c r="AD81" s="91"/>
    </row>
    <row r="82" ht="15.75" customHeight="1" outlineLevel="1">
      <c r="A82" s="170" t="s">
        <v>10535</v>
      </c>
      <c r="B82" s="51" t="s">
        <v>26</v>
      </c>
      <c r="C82" s="51" t="s">
        <v>27</v>
      </c>
      <c r="D82" s="52" t="s">
        <v>4</v>
      </c>
      <c r="E82" s="53" t="s">
        <v>27</v>
      </c>
      <c r="F82" s="52" t="s">
        <v>4</v>
      </c>
      <c r="G82" s="52" t="s">
        <v>55</v>
      </c>
      <c r="H82" s="176" t="s">
        <v>454</v>
      </c>
      <c r="I82" s="175" t="s">
        <v>61</v>
      </c>
      <c r="J82" s="176" t="s">
        <v>2682</v>
      </c>
      <c r="K82" s="175" t="s">
        <v>29</v>
      </c>
      <c r="L82" s="176" t="s">
        <v>2681</v>
      </c>
      <c r="M82" s="52" t="s">
        <v>46</v>
      </c>
      <c r="N82" s="54" t="s">
        <v>10496</v>
      </c>
      <c r="O82" s="55" t="str">
        <f t="shared" si="4"/>
        <v>L1.00.00.10.11.01</v>
      </c>
      <c r="P82" s="55" t="str">
        <f t="shared" si="5"/>
        <v>L1.00.00.10.11.01.07</v>
      </c>
      <c r="Q82" s="160" t="s">
        <v>10530</v>
      </c>
      <c r="R82" s="169" t="str">
        <f t="shared" si="6"/>
        <v>Dự án iVAN</v>
      </c>
      <c r="S82" s="97" t="s">
        <v>10648</v>
      </c>
      <c r="T82" s="96" t="s">
        <v>2683</v>
      </c>
      <c r="U82" s="96" t="s">
        <v>453</v>
      </c>
      <c r="V82" s="96" t="s">
        <v>454</v>
      </c>
      <c r="W82" s="96" t="s">
        <v>2682</v>
      </c>
      <c r="X82" s="96" t="s">
        <v>2681</v>
      </c>
      <c r="Y82" s="96"/>
      <c r="Z82" s="98" t="s">
        <v>10649</v>
      </c>
      <c r="AA82" s="153" t="s">
        <v>10530</v>
      </c>
      <c r="AB82" s="91"/>
      <c r="AC82" s="91"/>
      <c r="AD82" s="91"/>
    </row>
    <row r="83" ht="15.75" customHeight="1" outlineLevel="1">
      <c r="A83" s="170" t="s">
        <v>10535</v>
      </c>
      <c r="B83" s="51" t="s">
        <v>26</v>
      </c>
      <c r="C83" s="51" t="s">
        <v>27</v>
      </c>
      <c r="D83" s="52" t="s">
        <v>4</v>
      </c>
      <c r="E83" s="53" t="s">
        <v>27</v>
      </c>
      <c r="F83" s="52" t="s">
        <v>4</v>
      </c>
      <c r="G83" s="52" t="s">
        <v>55</v>
      </c>
      <c r="H83" s="176" t="s">
        <v>454</v>
      </c>
      <c r="I83" s="175" t="s">
        <v>61</v>
      </c>
      <c r="J83" s="176" t="s">
        <v>2682</v>
      </c>
      <c r="K83" s="177" t="s">
        <v>33</v>
      </c>
      <c r="L83" s="176" t="s">
        <v>5492</v>
      </c>
      <c r="M83" s="52" t="s">
        <v>46</v>
      </c>
      <c r="N83" s="54" t="s">
        <v>10496</v>
      </c>
      <c r="O83" s="55" t="str">
        <f t="shared" si="4"/>
        <v>L1.00.00.10.11.02</v>
      </c>
      <c r="P83" s="55" t="str">
        <f t="shared" si="5"/>
        <v>L1.00.00.10.11.02.07</v>
      </c>
      <c r="Q83" s="160" t="s">
        <v>10530</v>
      </c>
      <c r="R83" s="169" t="str">
        <f t="shared" si="6"/>
        <v>[iVAN] Nhóm Phân tích &amp; Thiết kế</v>
      </c>
      <c r="S83" s="97" t="s">
        <v>10648</v>
      </c>
      <c r="T83" s="96" t="s">
        <v>5493</v>
      </c>
      <c r="U83" s="96" t="s">
        <v>453</v>
      </c>
      <c r="V83" s="96" t="s">
        <v>454</v>
      </c>
      <c r="W83" s="96" t="s">
        <v>2682</v>
      </c>
      <c r="X83" s="96" t="s">
        <v>5492</v>
      </c>
      <c r="Y83" s="96"/>
      <c r="Z83" s="98" t="s">
        <v>10650</v>
      </c>
      <c r="AA83" s="153" t="s">
        <v>10530</v>
      </c>
      <c r="AB83" s="91"/>
      <c r="AC83" s="91"/>
      <c r="AD83" s="91"/>
    </row>
    <row r="84" ht="15.75" customHeight="1" outlineLevel="1">
      <c r="A84" s="170" t="s">
        <v>10535</v>
      </c>
      <c r="B84" s="51" t="s">
        <v>26</v>
      </c>
      <c r="C84" s="51" t="s">
        <v>27</v>
      </c>
      <c r="D84" s="52" t="s">
        <v>4</v>
      </c>
      <c r="E84" s="53" t="s">
        <v>27</v>
      </c>
      <c r="F84" s="52" t="s">
        <v>4</v>
      </c>
      <c r="G84" s="52" t="s">
        <v>55</v>
      </c>
      <c r="H84" s="176" t="s">
        <v>454</v>
      </c>
      <c r="I84" s="175" t="s">
        <v>64</v>
      </c>
      <c r="J84" s="176" t="s">
        <v>3188</v>
      </c>
      <c r="K84" s="175" t="s">
        <v>27</v>
      </c>
      <c r="L84" s="218" t="s">
        <v>4</v>
      </c>
      <c r="M84" s="52" t="s">
        <v>46</v>
      </c>
      <c r="N84" s="54" t="s">
        <v>10496</v>
      </c>
      <c r="O84" s="55" t="str">
        <f t="shared" si="4"/>
        <v>L1.00.00.10.12.00</v>
      </c>
      <c r="P84" s="55" t="str">
        <f t="shared" si="5"/>
        <v>L1.00.00.10.12.00.07</v>
      </c>
      <c r="Q84" s="160" t="s">
        <v>10530</v>
      </c>
      <c r="R84" s="169" t="str">
        <f t="shared" si="6"/>
        <v>Sản phẩm AMIS Kế toán</v>
      </c>
      <c r="S84" s="97" t="s">
        <v>10610</v>
      </c>
      <c r="T84" s="97" t="s">
        <v>10651</v>
      </c>
      <c r="U84" s="96" t="s">
        <v>453</v>
      </c>
      <c r="V84" s="96" t="s">
        <v>454</v>
      </c>
      <c r="W84" s="96" t="s">
        <v>3188</v>
      </c>
      <c r="X84" s="96" t="s">
        <v>3419</v>
      </c>
      <c r="Y84" s="96"/>
      <c r="Z84" s="98" t="s">
        <v>10652</v>
      </c>
      <c r="AA84" s="153" t="s">
        <v>10530</v>
      </c>
      <c r="AB84" s="91"/>
      <c r="AC84" s="91"/>
      <c r="AD84" s="91"/>
    </row>
    <row r="85" ht="15.75" customHeight="1" outlineLevel="1">
      <c r="A85" s="170" t="s">
        <v>10535</v>
      </c>
      <c r="B85" s="51" t="s">
        <v>26</v>
      </c>
      <c r="C85" s="51" t="s">
        <v>27</v>
      </c>
      <c r="D85" s="52" t="s">
        <v>4</v>
      </c>
      <c r="E85" s="53" t="s">
        <v>27</v>
      </c>
      <c r="F85" s="52" t="s">
        <v>4</v>
      </c>
      <c r="G85" s="52" t="s">
        <v>55</v>
      </c>
      <c r="H85" s="176" t="s">
        <v>454</v>
      </c>
      <c r="I85" s="175" t="s">
        <v>64</v>
      </c>
      <c r="J85" s="176" t="s">
        <v>3188</v>
      </c>
      <c r="K85" s="175" t="s">
        <v>29</v>
      </c>
      <c r="L85" s="176" t="s">
        <v>3419</v>
      </c>
      <c r="M85" s="52" t="s">
        <v>46</v>
      </c>
      <c r="N85" s="54" t="s">
        <v>10496</v>
      </c>
      <c r="O85" s="55" t="str">
        <f t="shared" si="4"/>
        <v>L1.00.00.10.12.01</v>
      </c>
      <c r="P85" s="55" t="str">
        <f t="shared" si="5"/>
        <v>L1.00.00.10.12.01.07</v>
      </c>
      <c r="Q85" s="160" t="s">
        <v>10530</v>
      </c>
      <c r="R85" s="169" t="str">
        <f t="shared" si="6"/>
        <v>Dự án AMIS Kế toán</v>
      </c>
      <c r="S85" s="97" t="s">
        <v>10653</v>
      </c>
      <c r="T85" s="96" t="s">
        <v>3420</v>
      </c>
      <c r="U85" s="96" t="s">
        <v>453</v>
      </c>
      <c r="V85" s="96" t="s">
        <v>454</v>
      </c>
      <c r="W85" s="96" t="s">
        <v>3188</v>
      </c>
      <c r="X85" s="96" t="s">
        <v>3419</v>
      </c>
      <c r="Y85" s="96"/>
      <c r="Z85" s="98" t="s">
        <v>10654</v>
      </c>
      <c r="AA85" s="153" t="s">
        <v>10530</v>
      </c>
      <c r="AB85" s="91"/>
      <c r="AC85" s="91"/>
      <c r="AD85" s="91"/>
    </row>
    <row r="86" ht="15.75" customHeight="1" outlineLevel="1">
      <c r="A86" s="170" t="s">
        <v>10535</v>
      </c>
      <c r="B86" s="51" t="s">
        <v>26</v>
      </c>
      <c r="C86" s="51" t="s">
        <v>27</v>
      </c>
      <c r="D86" s="52" t="s">
        <v>4</v>
      </c>
      <c r="E86" s="53" t="s">
        <v>27</v>
      </c>
      <c r="F86" s="52" t="s">
        <v>4</v>
      </c>
      <c r="G86" s="52" t="s">
        <v>55</v>
      </c>
      <c r="H86" s="176" t="s">
        <v>454</v>
      </c>
      <c r="I86" s="175" t="s">
        <v>64</v>
      </c>
      <c r="J86" s="176" t="s">
        <v>3188</v>
      </c>
      <c r="K86" s="177" t="s">
        <v>33</v>
      </c>
      <c r="L86" s="176" t="s">
        <v>3187</v>
      </c>
      <c r="M86" s="52" t="s">
        <v>46</v>
      </c>
      <c r="N86" s="54" t="s">
        <v>10496</v>
      </c>
      <c r="O86" s="55" t="str">
        <f t="shared" si="4"/>
        <v>L1.00.00.10.12.02</v>
      </c>
      <c r="P86" s="55" t="str">
        <f t="shared" si="5"/>
        <v>L1.00.00.10.12.02.07</v>
      </c>
      <c r="Q86" s="160" t="s">
        <v>10530</v>
      </c>
      <c r="R86" s="169" t="str">
        <f t="shared" si="6"/>
        <v>[AMIS Kế toán] Nhóm Phân tích &amp; Thiết kế</v>
      </c>
      <c r="S86" s="97" t="s">
        <v>10653</v>
      </c>
      <c r="T86" s="96" t="s">
        <v>3189</v>
      </c>
      <c r="U86" s="96" t="s">
        <v>453</v>
      </c>
      <c r="V86" s="96" t="s">
        <v>454</v>
      </c>
      <c r="W86" s="96" t="s">
        <v>3188</v>
      </c>
      <c r="X86" s="96" t="s">
        <v>3187</v>
      </c>
      <c r="Y86" s="96"/>
      <c r="Z86" s="98" t="s">
        <v>10655</v>
      </c>
      <c r="AA86" s="153" t="s">
        <v>10530</v>
      </c>
      <c r="AB86" s="91"/>
      <c r="AC86" s="91"/>
      <c r="AD86" s="91"/>
    </row>
    <row r="87" ht="15.75" customHeight="1" outlineLevel="1">
      <c r="A87" s="170" t="s">
        <v>10535</v>
      </c>
      <c r="B87" s="51" t="s">
        <v>26</v>
      </c>
      <c r="C87" s="51" t="s">
        <v>27</v>
      </c>
      <c r="D87" s="52" t="s">
        <v>4</v>
      </c>
      <c r="E87" s="53" t="s">
        <v>27</v>
      </c>
      <c r="F87" s="52" t="s">
        <v>4</v>
      </c>
      <c r="G87" s="52" t="s">
        <v>55</v>
      </c>
      <c r="H87" s="176" t="s">
        <v>454</v>
      </c>
      <c r="I87" s="175" t="s">
        <v>67</v>
      </c>
      <c r="J87" s="176" t="s">
        <v>5599</v>
      </c>
      <c r="K87" s="175" t="s">
        <v>27</v>
      </c>
      <c r="L87" s="218" t="s">
        <v>4</v>
      </c>
      <c r="M87" s="52" t="s">
        <v>46</v>
      </c>
      <c r="N87" s="54" t="s">
        <v>10496</v>
      </c>
      <c r="O87" s="55" t="str">
        <f t="shared" si="4"/>
        <v>L1.00.00.10.13.00</v>
      </c>
      <c r="P87" s="55" t="str">
        <f t="shared" si="5"/>
        <v>L1.00.00.10.13.00.07</v>
      </c>
      <c r="Q87" s="160" t="s">
        <v>10530</v>
      </c>
      <c r="R87" s="169" t="str">
        <f t="shared" si="6"/>
        <v>Sản phẩm AMIS Mua hàng</v>
      </c>
      <c r="S87" s="97" t="s">
        <v>10610</v>
      </c>
      <c r="T87" s="97" t="s">
        <v>10656</v>
      </c>
      <c r="U87" s="96" t="s">
        <v>453</v>
      </c>
      <c r="V87" s="96" t="s">
        <v>454</v>
      </c>
      <c r="W87" s="96" t="s">
        <v>5599</v>
      </c>
      <c r="X87" s="96" t="s">
        <v>5598</v>
      </c>
      <c r="Y87" s="96"/>
      <c r="Z87" s="98" t="s">
        <v>10657</v>
      </c>
      <c r="AA87" s="153" t="s">
        <v>10530</v>
      </c>
      <c r="AB87" s="91"/>
      <c r="AC87" s="91"/>
      <c r="AD87" s="91"/>
    </row>
    <row r="88" ht="15.75" customHeight="1" outlineLevel="1">
      <c r="A88" s="170" t="s">
        <v>10535</v>
      </c>
      <c r="B88" s="51" t="s">
        <v>26</v>
      </c>
      <c r="C88" s="51" t="s">
        <v>27</v>
      </c>
      <c r="D88" s="52" t="s">
        <v>4</v>
      </c>
      <c r="E88" s="53" t="s">
        <v>27</v>
      </c>
      <c r="F88" s="52" t="s">
        <v>4</v>
      </c>
      <c r="G88" s="52" t="s">
        <v>55</v>
      </c>
      <c r="H88" s="176" t="s">
        <v>454</v>
      </c>
      <c r="I88" s="175" t="s">
        <v>67</v>
      </c>
      <c r="J88" s="176" t="s">
        <v>5599</v>
      </c>
      <c r="K88" s="175" t="s">
        <v>29</v>
      </c>
      <c r="L88" s="176" t="s">
        <v>5598</v>
      </c>
      <c r="M88" s="52" t="s">
        <v>46</v>
      </c>
      <c r="N88" s="54" t="s">
        <v>10496</v>
      </c>
      <c r="O88" s="55" t="str">
        <f t="shared" si="4"/>
        <v>L1.00.00.10.13.01</v>
      </c>
      <c r="P88" s="55" t="str">
        <f t="shared" si="5"/>
        <v>L1.00.00.10.13.01.07</v>
      </c>
      <c r="Q88" s="160" t="s">
        <v>10530</v>
      </c>
      <c r="R88" s="169" t="str">
        <f t="shared" si="6"/>
        <v>[AMIS Mua hàng] Nhóm Phân tích &amp; Thiết kế</v>
      </c>
      <c r="S88" s="97" t="s">
        <v>10658</v>
      </c>
      <c r="T88" s="96" t="s">
        <v>5600</v>
      </c>
      <c r="U88" s="96" t="s">
        <v>453</v>
      </c>
      <c r="V88" s="96" t="s">
        <v>454</v>
      </c>
      <c r="W88" s="96" t="s">
        <v>5599</v>
      </c>
      <c r="X88" s="96" t="s">
        <v>5598</v>
      </c>
      <c r="Y88" s="96"/>
      <c r="Z88" s="98" t="s">
        <v>10659</v>
      </c>
      <c r="AA88" s="153" t="s">
        <v>10530</v>
      </c>
      <c r="AB88" s="91"/>
      <c r="AC88" s="91"/>
      <c r="AD88" s="91"/>
    </row>
    <row r="89" ht="15.75" customHeight="1" outlineLevel="1">
      <c r="A89" s="170" t="s">
        <v>10535</v>
      </c>
      <c r="B89" s="51" t="s">
        <v>26</v>
      </c>
      <c r="C89" s="51" t="s">
        <v>27</v>
      </c>
      <c r="D89" s="52" t="s">
        <v>4</v>
      </c>
      <c r="E89" s="53" t="s">
        <v>27</v>
      </c>
      <c r="F89" s="52" t="s">
        <v>4</v>
      </c>
      <c r="G89" s="52" t="s">
        <v>55</v>
      </c>
      <c r="H89" s="176" t="s">
        <v>454</v>
      </c>
      <c r="I89" s="175" t="s">
        <v>69</v>
      </c>
      <c r="J89" s="176" t="s">
        <v>4823</v>
      </c>
      <c r="K89" s="172" t="s">
        <v>27</v>
      </c>
      <c r="L89" s="218" t="s">
        <v>4</v>
      </c>
      <c r="M89" s="52" t="s">
        <v>46</v>
      </c>
      <c r="N89" s="54" t="s">
        <v>10496</v>
      </c>
      <c r="O89" s="55" t="str">
        <f t="shared" si="4"/>
        <v>L1.00.00.10.14.00</v>
      </c>
      <c r="P89" s="55" t="str">
        <f t="shared" si="5"/>
        <v>L1.00.00.10.14.00.07</v>
      </c>
      <c r="Q89" s="160" t="s">
        <v>10530</v>
      </c>
      <c r="R89" s="169" t="str">
        <f t="shared" si="6"/>
        <v>Sản phẩm MISA meInvoice</v>
      </c>
      <c r="S89" s="97" t="s">
        <v>10610</v>
      </c>
      <c r="T89" s="96" t="s">
        <v>5410</v>
      </c>
      <c r="U89" s="96" t="s">
        <v>453</v>
      </c>
      <c r="V89" s="96" t="s">
        <v>454</v>
      </c>
      <c r="W89" s="96" t="s">
        <v>4823</v>
      </c>
      <c r="X89" s="96"/>
      <c r="Y89" s="96"/>
      <c r="Z89" s="98" t="s">
        <v>10660</v>
      </c>
      <c r="AA89" s="153" t="s">
        <v>10530</v>
      </c>
      <c r="AB89" s="91"/>
      <c r="AC89" s="91"/>
      <c r="AD89" s="91"/>
    </row>
    <row r="90" ht="15.75" customHeight="1" outlineLevel="1">
      <c r="A90" s="170" t="s">
        <v>10535</v>
      </c>
      <c r="B90" s="51" t="s">
        <v>26</v>
      </c>
      <c r="C90" s="51" t="s">
        <v>27</v>
      </c>
      <c r="D90" s="52" t="s">
        <v>4</v>
      </c>
      <c r="E90" s="53" t="s">
        <v>27</v>
      </c>
      <c r="F90" s="52" t="s">
        <v>4</v>
      </c>
      <c r="G90" s="52" t="s">
        <v>55</v>
      </c>
      <c r="H90" s="176" t="s">
        <v>454</v>
      </c>
      <c r="I90" s="175" t="s">
        <v>69</v>
      </c>
      <c r="J90" s="176" t="s">
        <v>4823</v>
      </c>
      <c r="K90" s="175" t="s">
        <v>29</v>
      </c>
      <c r="L90" s="176" t="s">
        <v>5124</v>
      </c>
      <c r="M90" s="52" t="s">
        <v>46</v>
      </c>
      <c r="N90" s="54" t="s">
        <v>10496</v>
      </c>
      <c r="O90" s="55" t="str">
        <f t="shared" si="4"/>
        <v>L1.00.00.10.14.01</v>
      </c>
      <c r="P90" s="55" t="str">
        <f t="shared" si="5"/>
        <v>L1.00.00.10.14.01.07</v>
      </c>
      <c r="Q90" s="160" t="s">
        <v>10530</v>
      </c>
      <c r="R90" s="169" t="str">
        <f t="shared" si="6"/>
        <v>Dự án MISA meInvoice Desktop</v>
      </c>
      <c r="S90" s="97" t="s">
        <v>10661</v>
      </c>
      <c r="T90" s="96" t="s">
        <v>5125</v>
      </c>
      <c r="U90" s="96" t="s">
        <v>453</v>
      </c>
      <c r="V90" s="96" t="s">
        <v>454</v>
      </c>
      <c r="W90" s="96" t="s">
        <v>4823</v>
      </c>
      <c r="X90" s="96" t="s">
        <v>5124</v>
      </c>
      <c r="Y90" s="96"/>
      <c r="Z90" s="98" t="s">
        <v>10662</v>
      </c>
      <c r="AA90" s="153" t="s">
        <v>10530</v>
      </c>
      <c r="AB90" s="91"/>
      <c r="AC90" s="91"/>
      <c r="AD90" s="91"/>
    </row>
    <row r="91" ht="15.75" customHeight="1" outlineLevel="1">
      <c r="A91" s="170" t="s">
        <v>10535</v>
      </c>
      <c r="B91" s="51" t="s">
        <v>26</v>
      </c>
      <c r="C91" s="51" t="s">
        <v>27</v>
      </c>
      <c r="D91" s="52" t="s">
        <v>4</v>
      </c>
      <c r="E91" s="53" t="s">
        <v>27</v>
      </c>
      <c r="F91" s="52" t="s">
        <v>4</v>
      </c>
      <c r="G91" s="52" t="s">
        <v>55</v>
      </c>
      <c r="H91" s="176" t="s">
        <v>454</v>
      </c>
      <c r="I91" s="175" t="s">
        <v>69</v>
      </c>
      <c r="J91" s="176" t="s">
        <v>4823</v>
      </c>
      <c r="K91" s="177" t="s">
        <v>33</v>
      </c>
      <c r="L91" s="176" t="s">
        <v>4895</v>
      </c>
      <c r="M91" s="52" t="s">
        <v>46</v>
      </c>
      <c r="N91" s="54" t="s">
        <v>10496</v>
      </c>
      <c r="O91" s="55" t="str">
        <f t="shared" si="4"/>
        <v>L1.00.00.10.14.02</v>
      </c>
      <c r="P91" s="55" t="str">
        <f t="shared" si="5"/>
        <v>L1.00.00.10.14.02.07</v>
      </c>
      <c r="Q91" s="160" t="s">
        <v>10530</v>
      </c>
      <c r="R91" s="169" t="str">
        <f t="shared" si="6"/>
        <v>Dự án MISA invoiceBot</v>
      </c>
      <c r="S91" s="97" t="s">
        <v>10661</v>
      </c>
      <c r="T91" s="96" t="s">
        <v>4896</v>
      </c>
      <c r="U91" s="96" t="s">
        <v>453</v>
      </c>
      <c r="V91" s="96" t="s">
        <v>454</v>
      </c>
      <c r="W91" s="96" t="s">
        <v>4823</v>
      </c>
      <c r="X91" s="96" t="s">
        <v>4895</v>
      </c>
      <c r="Y91" s="96"/>
      <c r="Z91" s="98" t="s">
        <v>10663</v>
      </c>
      <c r="AA91" s="153" t="s">
        <v>10530</v>
      </c>
      <c r="AB91" s="91"/>
      <c r="AC91" s="91"/>
      <c r="AD91" s="91"/>
    </row>
    <row r="92" ht="15.75" customHeight="1" outlineLevel="1">
      <c r="A92" s="170" t="s">
        <v>10535</v>
      </c>
      <c r="B92" s="51" t="s">
        <v>26</v>
      </c>
      <c r="C92" s="51" t="s">
        <v>27</v>
      </c>
      <c r="D92" s="52" t="s">
        <v>4</v>
      </c>
      <c r="E92" s="53" t="s">
        <v>27</v>
      </c>
      <c r="F92" s="52" t="s">
        <v>4</v>
      </c>
      <c r="G92" s="52" t="s">
        <v>55</v>
      </c>
      <c r="H92" s="176" t="s">
        <v>454</v>
      </c>
      <c r="I92" s="175" t="s">
        <v>69</v>
      </c>
      <c r="J92" s="176" t="s">
        <v>4823</v>
      </c>
      <c r="K92" s="177" t="s">
        <v>35</v>
      </c>
      <c r="L92" s="176" t="s">
        <v>5118</v>
      </c>
      <c r="M92" s="52" t="s">
        <v>46</v>
      </c>
      <c r="N92" s="54" t="s">
        <v>10496</v>
      </c>
      <c r="O92" s="55" t="str">
        <f t="shared" si="4"/>
        <v>L1.00.00.10.14.03</v>
      </c>
      <c r="P92" s="55" t="str">
        <f t="shared" si="5"/>
        <v>L1.00.00.10.14.03.07</v>
      </c>
      <c r="Q92" s="160" t="s">
        <v>10530</v>
      </c>
      <c r="R92" s="169" t="str">
        <f t="shared" si="6"/>
        <v>[MISA meInvoice] Nhóm Phân tích &amp; Thiết kế</v>
      </c>
      <c r="S92" s="97" t="s">
        <v>10661</v>
      </c>
      <c r="T92" s="96" t="s">
        <v>5119</v>
      </c>
      <c r="U92" s="96" t="s">
        <v>453</v>
      </c>
      <c r="V92" s="96" t="s">
        <v>454</v>
      </c>
      <c r="W92" s="96" t="s">
        <v>4823</v>
      </c>
      <c r="X92" s="96" t="s">
        <v>5118</v>
      </c>
      <c r="Y92" s="96"/>
      <c r="Z92" s="98" t="s">
        <v>10664</v>
      </c>
      <c r="AA92" s="153" t="s">
        <v>10530</v>
      </c>
      <c r="AB92" s="91"/>
      <c r="AC92" s="91"/>
      <c r="AD92" s="91"/>
    </row>
    <row r="93" ht="15.75" customHeight="1" outlineLevel="1">
      <c r="A93" s="170" t="s">
        <v>10535</v>
      </c>
      <c r="B93" s="51" t="s">
        <v>26</v>
      </c>
      <c r="C93" s="51" t="s">
        <v>27</v>
      </c>
      <c r="D93" s="52" t="s">
        <v>4</v>
      </c>
      <c r="E93" s="53" t="s">
        <v>27</v>
      </c>
      <c r="F93" s="52" t="s">
        <v>4</v>
      </c>
      <c r="G93" s="52" t="s">
        <v>55</v>
      </c>
      <c r="H93" s="176" t="s">
        <v>454</v>
      </c>
      <c r="I93" s="175" t="s">
        <v>69</v>
      </c>
      <c r="J93" s="176" t="s">
        <v>4823</v>
      </c>
      <c r="K93" s="177" t="s">
        <v>37</v>
      </c>
      <c r="L93" s="176" t="s">
        <v>4822</v>
      </c>
      <c r="M93" s="52" t="s">
        <v>46</v>
      </c>
      <c r="N93" s="54" t="s">
        <v>10496</v>
      </c>
      <c r="O93" s="55" t="str">
        <f t="shared" si="4"/>
        <v>L1.00.00.10.14.04</v>
      </c>
      <c r="P93" s="55" t="str">
        <f t="shared" si="5"/>
        <v>L1.00.00.10.14.04.07</v>
      </c>
      <c r="Q93" s="160" t="s">
        <v>10530</v>
      </c>
      <c r="R93" s="169" t="str">
        <f t="shared" si="6"/>
        <v>Dự án MISA meInvoice</v>
      </c>
      <c r="S93" s="97" t="s">
        <v>10661</v>
      </c>
      <c r="T93" s="96" t="s">
        <v>4824</v>
      </c>
      <c r="U93" s="96" t="s">
        <v>453</v>
      </c>
      <c r="V93" s="96" t="s">
        <v>454</v>
      </c>
      <c r="W93" s="96" t="s">
        <v>4823</v>
      </c>
      <c r="X93" s="96" t="s">
        <v>4822</v>
      </c>
      <c r="Y93" s="96"/>
      <c r="Z93" s="98" t="s">
        <v>10665</v>
      </c>
      <c r="AA93" s="153" t="s">
        <v>10530</v>
      </c>
      <c r="AB93" s="91"/>
      <c r="AC93" s="91"/>
      <c r="AD93" s="91"/>
    </row>
    <row r="94" ht="15.75" customHeight="1" outlineLevel="1">
      <c r="A94" s="170" t="s">
        <v>10535</v>
      </c>
      <c r="B94" s="51" t="s">
        <v>26</v>
      </c>
      <c r="C94" s="51" t="s">
        <v>27</v>
      </c>
      <c r="D94" s="52" t="s">
        <v>4</v>
      </c>
      <c r="E94" s="53" t="s">
        <v>27</v>
      </c>
      <c r="F94" s="52" t="s">
        <v>4</v>
      </c>
      <c r="G94" s="52" t="s">
        <v>55</v>
      </c>
      <c r="H94" s="176" t="s">
        <v>454</v>
      </c>
      <c r="I94" s="175" t="s">
        <v>71</v>
      </c>
      <c r="J94" s="176" t="s">
        <v>2903</v>
      </c>
      <c r="K94" s="175" t="s">
        <v>27</v>
      </c>
      <c r="L94" s="218" t="s">
        <v>4</v>
      </c>
      <c r="M94" s="52" t="s">
        <v>46</v>
      </c>
      <c r="N94" s="54" t="s">
        <v>10496</v>
      </c>
      <c r="O94" s="55" t="str">
        <f t="shared" si="4"/>
        <v>L1.00.00.10.15.00</v>
      </c>
      <c r="P94" s="55" t="str">
        <f t="shared" si="5"/>
        <v>L1.00.00.10.15.00.07</v>
      </c>
      <c r="Q94" s="160" t="s">
        <v>10530</v>
      </c>
      <c r="R94" s="169" t="str">
        <f t="shared" si="6"/>
        <v>Sản phẩm AMIS CRM (KH)</v>
      </c>
      <c r="S94" s="97" t="s">
        <v>10610</v>
      </c>
      <c r="T94" s="97" t="s">
        <v>10666</v>
      </c>
      <c r="U94" s="96" t="s">
        <v>453</v>
      </c>
      <c r="V94" s="96" t="s">
        <v>454</v>
      </c>
      <c r="W94" s="96" t="s">
        <v>2903</v>
      </c>
      <c r="X94" s="96"/>
      <c r="Y94" s="96"/>
      <c r="Z94" s="98" t="s">
        <v>10667</v>
      </c>
      <c r="AA94" s="153" t="s">
        <v>10530</v>
      </c>
      <c r="AB94" s="91"/>
      <c r="AC94" s="91"/>
      <c r="AD94" s="91"/>
    </row>
    <row r="95" ht="15.75" customHeight="1" outlineLevel="1">
      <c r="A95" s="170" t="s">
        <v>10535</v>
      </c>
      <c r="B95" s="51" t="s">
        <v>26</v>
      </c>
      <c r="C95" s="51" t="s">
        <v>27</v>
      </c>
      <c r="D95" s="52" t="s">
        <v>4</v>
      </c>
      <c r="E95" s="53" t="s">
        <v>27</v>
      </c>
      <c r="F95" s="52" t="s">
        <v>4</v>
      </c>
      <c r="G95" s="52" t="s">
        <v>55</v>
      </c>
      <c r="H95" s="176" t="s">
        <v>454</v>
      </c>
      <c r="I95" s="175" t="s">
        <v>71</v>
      </c>
      <c r="J95" s="176" t="s">
        <v>2903</v>
      </c>
      <c r="K95" s="175" t="s">
        <v>29</v>
      </c>
      <c r="L95" s="176" t="s">
        <v>2902</v>
      </c>
      <c r="M95" s="52" t="s">
        <v>46</v>
      </c>
      <c r="N95" s="54" t="s">
        <v>10496</v>
      </c>
      <c r="O95" s="55" t="str">
        <f t="shared" si="4"/>
        <v>L1.00.00.10.15.01</v>
      </c>
      <c r="P95" s="55" t="str">
        <f t="shared" si="5"/>
        <v>L1.00.00.10.15.01.07</v>
      </c>
      <c r="Q95" s="160" t="s">
        <v>10530</v>
      </c>
      <c r="R95" s="169" t="str">
        <f t="shared" si="6"/>
        <v>Dự án AMIS CRM (KH)</v>
      </c>
      <c r="S95" s="97" t="s">
        <v>10668</v>
      </c>
      <c r="T95" s="96" t="s">
        <v>2904</v>
      </c>
      <c r="U95" s="96" t="s">
        <v>453</v>
      </c>
      <c r="V95" s="96" t="s">
        <v>454</v>
      </c>
      <c r="W95" s="96" t="s">
        <v>2903</v>
      </c>
      <c r="X95" s="96" t="s">
        <v>2902</v>
      </c>
      <c r="Y95" s="96"/>
      <c r="Z95" s="98" t="s">
        <v>10669</v>
      </c>
      <c r="AA95" s="153" t="s">
        <v>10530</v>
      </c>
      <c r="AB95" s="91"/>
      <c r="AC95" s="91"/>
      <c r="AD95" s="91"/>
    </row>
    <row r="96" ht="15.75" customHeight="1" outlineLevel="1">
      <c r="A96" s="170" t="s">
        <v>10535</v>
      </c>
      <c r="B96" s="51" t="s">
        <v>26</v>
      </c>
      <c r="C96" s="51" t="s">
        <v>27</v>
      </c>
      <c r="D96" s="52" t="s">
        <v>4</v>
      </c>
      <c r="E96" s="53" t="s">
        <v>27</v>
      </c>
      <c r="F96" s="52" t="s">
        <v>4</v>
      </c>
      <c r="G96" s="52" t="s">
        <v>55</v>
      </c>
      <c r="H96" s="176" t="s">
        <v>454</v>
      </c>
      <c r="I96" s="175" t="s">
        <v>71</v>
      </c>
      <c r="J96" s="176" t="s">
        <v>2903</v>
      </c>
      <c r="K96" s="177" t="s">
        <v>33</v>
      </c>
      <c r="L96" s="176" t="s">
        <v>4953</v>
      </c>
      <c r="M96" s="52" t="s">
        <v>46</v>
      </c>
      <c r="N96" s="54" t="s">
        <v>10496</v>
      </c>
      <c r="O96" s="55" t="str">
        <f t="shared" si="4"/>
        <v>L1.00.00.10.15.02</v>
      </c>
      <c r="P96" s="55" t="str">
        <f t="shared" si="5"/>
        <v>L1.00.00.10.15.02.07</v>
      </c>
      <c r="Q96" s="160" t="s">
        <v>10530</v>
      </c>
      <c r="R96" s="169" t="str">
        <f t="shared" si="6"/>
        <v>[AMIS CRM KH] Nhóm Phân tích &amp; Thiết kế</v>
      </c>
      <c r="S96" s="97" t="s">
        <v>10668</v>
      </c>
      <c r="T96" s="96" t="s">
        <v>4954</v>
      </c>
      <c r="U96" s="96" t="s">
        <v>453</v>
      </c>
      <c r="V96" s="96" t="s">
        <v>454</v>
      </c>
      <c r="W96" s="96" t="s">
        <v>2903</v>
      </c>
      <c r="X96" s="96" t="s">
        <v>4953</v>
      </c>
      <c r="Y96" s="96"/>
      <c r="Z96" s="98" t="s">
        <v>10670</v>
      </c>
      <c r="AA96" s="153" t="s">
        <v>10530</v>
      </c>
      <c r="AB96" s="91"/>
      <c r="AC96" s="91"/>
      <c r="AD96" s="91"/>
    </row>
    <row r="97" ht="15.75" customHeight="1" outlineLevel="1">
      <c r="A97" s="170" t="s">
        <v>10535</v>
      </c>
      <c r="B97" s="51" t="s">
        <v>26</v>
      </c>
      <c r="C97" s="51" t="s">
        <v>27</v>
      </c>
      <c r="D97" s="52" t="s">
        <v>4</v>
      </c>
      <c r="E97" s="53" t="s">
        <v>27</v>
      </c>
      <c r="F97" s="52" t="s">
        <v>4</v>
      </c>
      <c r="G97" s="52" t="s">
        <v>55</v>
      </c>
      <c r="H97" s="176" t="s">
        <v>454</v>
      </c>
      <c r="I97" s="175" t="s">
        <v>10671</v>
      </c>
      <c r="J97" s="176" t="s">
        <v>4777</v>
      </c>
      <c r="K97" s="172" t="s">
        <v>27</v>
      </c>
      <c r="L97" s="218" t="s">
        <v>4</v>
      </c>
      <c r="M97" s="52" t="s">
        <v>46</v>
      </c>
      <c r="N97" s="54" t="s">
        <v>10496</v>
      </c>
      <c r="O97" s="55" t="str">
        <f t="shared" si="4"/>
        <v>L1.00.00.10.16.00</v>
      </c>
      <c r="P97" s="55" t="str">
        <f t="shared" si="5"/>
        <v>L1.00.00.10.16.00.07</v>
      </c>
      <c r="Q97" s="160" t="s">
        <v>10530</v>
      </c>
      <c r="R97" s="169" t="str">
        <f t="shared" si="6"/>
        <v>Sản phẩm MISA eSign</v>
      </c>
      <c r="S97" s="97" t="s">
        <v>10610</v>
      </c>
      <c r="T97" s="96" t="s">
        <v>4778</v>
      </c>
      <c r="U97" s="96" t="s">
        <v>453</v>
      </c>
      <c r="V97" s="96" t="s">
        <v>454</v>
      </c>
      <c r="W97" s="96" t="s">
        <v>4777</v>
      </c>
      <c r="X97" s="96"/>
      <c r="Y97" s="96"/>
      <c r="Z97" s="98" t="s">
        <v>10672</v>
      </c>
      <c r="AA97" s="153" t="s">
        <v>10530</v>
      </c>
      <c r="AB97" s="91"/>
      <c r="AC97" s="91"/>
      <c r="AD97" s="91"/>
    </row>
    <row r="98" ht="15.75" customHeight="1" outlineLevel="1">
      <c r="A98" s="170" t="s">
        <v>10535</v>
      </c>
      <c r="B98" s="51" t="s">
        <v>26</v>
      </c>
      <c r="C98" s="51" t="s">
        <v>27</v>
      </c>
      <c r="D98" s="52" t="s">
        <v>4</v>
      </c>
      <c r="E98" s="53" t="s">
        <v>27</v>
      </c>
      <c r="F98" s="52" t="s">
        <v>4</v>
      </c>
      <c r="G98" s="52" t="s">
        <v>55</v>
      </c>
      <c r="H98" s="176" t="s">
        <v>454</v>
      </c>
      <c r="I98" s="175" t="s">
        <v>10671</v>
      </c>
      <c r="J98" s="176" t="s">
        <v>4777</v>
      </c>
      <c r="K98" s="175" t="s">
        <v>29</v>
      </c>
      <c r="L98" s="176" t="s">
        <v>5506</v>
      </c>
      <c r="M98" s="52" t="s">
        <v>46</v>
      </c>
      <c r="N98" s="54" t="s">
        <v>10496</v>
      </c>
      <c r="O98" s="55" t="str">
        <f t="shared" si="4"/>
        <v>L1.00.00.10.16.01</v>
      </c>
      <c r="P98" s="55" t="str">
        <f t="shared" si="5"/>
        <v>L1.00.00.10.16.01.07</v>
      </c>
      <c r="Q98" s="160" t="s">
        <v>10530</v>
      </c>
      <c r="R98" s="169" t="str">
        <f t="shared" si="6"/>
        <v>Dự án MISA eSign</v>
      </c>
      <c r="S98" s="97" t="s">
        <v>10673</v>
      </c>
      <c r="T98" s="96" t="s">
        <v>5507</v>
      </c>
      <c r="U98" s="96" t="s">
        <v>453</v>
      </c>
      <c r="V98" s="96" t="s">
        <v>454</v>
      </c>
      <c r="W98" s="96" t="s">
        <v>4777</v>
      </c>
      <c r="X98" s="96" t="s">
        <v>5506</v>
      </c>
      <c r="Y98" s="96"/>
      <c r="Z98" s="98" t="s">
        <v>10674</v>
      </c>
      <c r="AA98" s="153" t="s">
        <v>10530</v>
      </c>
      <c r="AB98" s="91"/>
      <c r="AC98" s="91"/>
      <c r="AD98" s="91"/>
    </row>
    <row r="99" ht="15.75" customHeight="1" outlineLevel="1">
      <c r="A99" s="170" t="s">
        <v>10535</v>
      </c>
      <c r="B99" s="51" t="s">
        <v>26</v>
      </c>
      <c r="C99" s="51" t="s">
        <v>27</v>
      </c>
      <c r="D99" s="52" t="s">
        <v>4</v>
      </c>
      <c r="E99" s="53" t="s">
        <v>27</v>
      </c>
      <c r="F99" s="52" t="s">
        <v>4</v>
      </c>
      <c r="G99" s="52" t="s">
        <v>55</v>
      </c>
      <c r="H99" s="176" t="s">
        <v>454</v>
      </c>
      <c r="I99" s="175" t="s">
        <v>10671</v>
      </c>
      <c r="J99" s="176" t="s">
        <v>4777</v>
      </c>
      <c r="K99" s="177" t="s">
        <v>33</v>
      </c>
      <c r="L99" s="176" t="s">
        <v>5734</v>
      </c>
      <c r="M99" s="52" t="s">
        <v>46</v>
      </c>
      <c r="N99" s="54" t="s">
        <v>10496</v>
      </c>
      <c r="O99" s="55" t="str">
        <f t="shared" si="4"/>
        <v>L1.00.00.10.16.02</v>
      </c>
      <c r="P99" s="55" t="str">
        <f t="shared" si="5"/>
        <v>L1.00.00.10.16.02.07</v>
      </c>
      <c r="Q99" s="160" t="s">
        <v>10530</v>
      </c>
      <c r="R99" s="169" t="str">
        <f t="shared" si="6"/>
        <v>Dự án MISA eSign Mobile</v>
      </c>
      <c r="S99" s="97" t="s">
        <v>10673</v>
      </c>
      <c r="T99" s="96" t="s">
        <v>5735</v>
      </c>
      <c r="U99" s="96" t="s">
        <v>453</v>
      </c>
      <c r="V99" s="96" t="s">
        <v>454</v>
      </c>
      <c r="W99" s="96" t="s">
        <v>4777</v>
      </c>
      <c r="X99" s="96" t="s">
        <v>5734</v>
      </c>
      <c r="Y99" s="96"/>
      <c r="Z99" s="98" t="s">
        <v>10675</v>
      </c>
      <c r="AA99" s="153" t="s">
        <v>10530</v>
      </c>
      <c r="AB99" s="91"/>
      <c r="AC99" s="91"/>
      <c r="AD99" s="91"/>
    </row>
    <row r="100" ht="15.75" customHeight="1" outlineLevel="1">
      <c r="A100" s="170" t="s">
        <v>10535</v>
      </c>
      <c r="B100" s="51" t="s">
        <v>26</v>
      </c>
      <c r="C100" s="51" t="s">
        <v>27</v>
      </c>
      <c r="D100" s="52" t="s">
        <v>4</v>
      </c>
      <c r="E100" s="53" t="s">
        <v>27</v>
      </c>
      <c r="F100" s="52" t="s">
        <v>4</v>
      </c>
      <c r="G100" s="52" t="s">
        <v>55</v>
      </c>
      <c r="H100" s="176" t="s">
        <v>454</v>
      </c>
      <c r="I100" s="175" t="s">
        <v>10671</v>
      </c>
      <c r="J100" s="176" t="s">
        <v>4777</v>
      </c>
      <c r="K100" s="177" t="s">
        <v>35</v>
      </c>
      <c r="L100" s="176" t="s">
        <v>5705</v>
      </c>
      <c r="M100" s="52" t="s">
        <v>46</v>
      </c>
      <c r="N100" s="54" t="s">
        <v>10496</v>
      </c>
      <c r="O100" s="55" t="str">
        <f t="shared" si="4"/>
        <v>L1.00.00.10.16.03</v>
      </c>
      <c r="P100" s="55" t="str">
        <f t="shared" si="5"/>
        <v>L1.00.00.10.16.03.07</v>
      </c>
      <c r="Q100" s="160" t="s">
        <v>10530</v>
      </c>
      <c r="R100" s="169" t="str">
        <f t="shared" si="6"/>
        <v>[MISA eSign] Nhóm Phân tích và Thiết kế</v>
      </c>
      <c r="S100" s="97" t="s">
        <v>10673</v>
      </c>
      <c r="T100" s="96" t="s">
        <v>5706</v>
      </c>
      <c r="U100" s="96" t="s">
        <v>453</v>
      </c>
      <c r="V100" s="96" t="s">
        <v>454</v>
      </c>
      <c r="W100" s="96" t="s">
        <v>4777</v>
      </c>
      <c r="X100" s="96" t="s">
        <v>5705</v>
      </c>
      <c r="Y100" s="96"/>
      <c r="Z100" s="98" t="s">
        <v>10676</v>
      </c>
      <c r="AA100" s="153" t="s">
        <v>10530</v>
      </c>
      <c r="AB100" s="91"/>
      <c r="AC100" s="91"/>
      <c r="AD100" s="91"/>
    </row>
    <row r="101" ht="15.75" customHeight="1" outlineLevel="1">
      <c r="A101" s="170" t="s">
        <v>10535</v>
      </c>
      <c r="B101" s="51" t="s">
        <v>26</v>
      </c>
      <c r="C101" s="51" t="s">
        <v>27</v>
      </c>
      <c r="D101" s="52" t="s">
        <v>4</v>
      </c>
      <c r="E101" s="53" t="s">
        <v>27</v>
      </c>
      <c r="F101" s="52" t="s">
        <v>4</v>
      </c>
      <c r="G101" s="52" t="s">
        <v>55</v>
      </c>
      <c r="H101" s="176" t="s">
        <v>454</v>
      </c>
      <c r="I101" s="175" t="s">
        <v>10677</v>
      </c>
      <c r="J101" s="176" t="s">
        <v>2669</v>
      </c>
      <c r="K101" s="172" t="s">
        <v>27</v>
      </c>
      <c r="L101" s="218" t="s">
        <v>4</v>
      </c>
      <c r="M101" s="52" t="s">
        <v>46</v>
      </c>
      <c r="N101" s="54" t="s">
        <v>10496</v>
      </c>
      <c r="O101" s="55" t="str">
        <f t="shared" si="4"/>
        <v>L1.00.00.10.17.00</v>
      </c>
      <c r="P101" s="55" t="str">
        <f t="shared" si="5"/>
        <v>L1.00.00.10.17.00.07</v>
      </c>
      <c r="Q101" s="160" t="s">
        <v>10530</v>
      </c>
      <c r="R101" s="169" t="str">
        <f t="shared" si="6"/>
        <v>Sản phẩm AMIS weSign</v>
      </c>
      <c r="S101" s="97" t="s">
        <v>10610</v>
      </c>
      <c r="T101" s="97" t="s">
        <v>10678</v>
      </c>
      <c r="U101" s="96" t="s">
        <v>453</v>
      </c>
      <c r="V101" s="96" t="s">
        <v>454</v>
      </c>
      <c r="W101" s="96" t="s">
        <v>2669</v>
      </c>
      <c r="X101" s="96"/>
      <c r="Y101" s="96"/>
      <c r="Z101" s="98" t="s">
        <v>10679</v>
      </c>
      <c r="AA101" s="153" t="s">
        <v>10530</v>
      </c>
      <c r="AB101" s="91"/>
      <c r="AC101" s="91"/>
      <c r="AD101" s="91"/>
    </row>
    <row r="102" ht="15.75" customHeight="1" outlineLevel="1">
      <c r="A102" s="170" t="s">
        <v>10535</v>
      </c>
      <c r="B102" s="51" t="s">
        <v>26</v>
      </c>
      <c r="C102" s="51" t="s">
        <v>27</v>
      </c>
      <c r="D102" s="52" t="s">
        <v>4</v>
      </c>
      <c r="E102" s="53" t="s">
        <v>27</v>
      </c>
      <c r="F102" s="52" t="s">
        <v>4</v>
      </c>
      <c r="G102" s="52" t="s">
        <v>55</v>
      </c>
      <c r="H102" s="176" t="s">
        <v>454</v>
      </c>
      <c r="I102" s="175" t="s">
        <v>10677</v>
      </c>
      <c r="J102" s="176" t="s">
        <v>2669</v>
      </c>
      <c r="K102" s="175" t="s">
        <v>29</v>
      </c>
      <c r="L102" s="176" t="s">
        <v>2668</v>
      </c>
      <c r="M102" s="52" t="s">
        <v>46</v>
      </c>
      <c r="N102" s="54" t="s">
        <v>10496</v>
      </c>
      <c r="O102" s="55" t="str">
        <f t="shared" si="4"/>
        <v>L1.00.00.10.17.01</v>
      </c>
      <c r="P102" s="55" t="str">
        <f t="shared" si="5"/>
        <v>L1.00.00.10.17.01.07</v>
      </c>
      <c r="Q102" s="160" t="s">
        <v>10530</v>
      </c>
      <c r="R102" s="169" t="str">
        <f t="shared" si="6"/>
        <v>Dự án AMIS weSign</v>
      </c>
      <c r="S102" s="97" t="s">
        <v>10680</v>
      </c>
      <c r="T102" s="96" t="s">
        <v>2670</v>
      </c>
      <c r="U102" s="96" t="s">
        <v>453</v>
      </c>
      <c r="V102" s="96" t="s">
        <v>454</v>
      </c>
      <c r="W102" s="96" t="s">
        <v>2669</v>
      </c>
      <c r="X102" s="96" t="s">
        <v>2668</v>
      </c>
      <c r="Y102" s="96"/>
      <c r="Z102" s="98" t="s">
        <v>10681</v>
      </c>
      <c r="AA102" s="153" t="s">
        <v>10530</v>
      </c>
      <c r="AB102" s="91"/>
      <c r="AC102" s="91"/>
      <c r="AD102" s="91"/>
    </row>
    <row r="103" ht="15.75" customHeight="1" outlineLevel="1">
      <c r="A103" s="170" t="s">
        <v>10535</v>
      </c>
      <c r="B103" s="51" t="s">
        <v>26</v>
      </c>
      <c r="C103" s="51" t="s">
        <v>27</v>
      </c>
      <c r="D103" s="52" t="s">
        <v>4</v>
      </c>
      <c r="E103" s="53" t="s">
        <v>27</v>
      </c>
      <c r="F103" s="52" t="s">
        <v>4</v>
      </c>
      <c r="G103" s="52" t="s">
        <v>55</v>
      </c>
      <c r="H103" s="176" t="s">
        <v>454</v>
      </c>
      <c r="I103" s="175" t="s">
        <v>10677</v>
      </c>
      <c r="J103" s="176" t="s">
        <v>2669</v>
      </c>
      <c r="K103" s="177" t="s">
        <v>33</v>
      </c>
      <c r="L103" s="176" t="s">
        <v>6002</v>
      </c>
      <c r="M103" s="52" t="s">
        <v>46</v>
      </c>
      <c r="N103" s="54" t="s">
        <v>10496</v>
      </c>
      <c r="O103" s="55" t="str">
        <f t="shared" si="4"/>
        <v>L1.00.00.10.17.02</v>
      </c>
      <c r="P103" s="55" t="str">
        <f t="shared" si="5"/>
        <v>L1.00.00.10.17.02.07</v>
      </c>
      <c r="Q103" s="160" t="s">
        <v>10530</v>
      </c>
      <c r="R103" s="169" t="str">
        <f t="shared" si="6"/>
        <v>[AMIS weSign] Nhóm Phân tích và Thiết kế</v>
      </c>
      <c r="S103" s="97" t="s">
        <v>10680</v>
      </c>
      <c r="T103" s="96" t="s">
        <v>6003</v>
      </c>
      <c r="U103" s="96" t="s">
        <v>453</v>
      </c>
      <c r="V103" s="96" t="s">
        <v>454</v>
      </c>
      <c r="W103" s="96" t="s">
        <v>2669</v>
      </c>
      <c r="X103" s="96" t="s">
        <v>6002</v>
      </c>
      <c r="Y103" s="96"/>
      <c r="Z103" s="98" t="s">
        <v>10682</v>
      </c>
      <c r="AA103" s="153" t="s">
        <v>10530</v>
      </c>
      <c r="AB103" s="91"/>
      <c r="AC103" s="91"/>
      <c r="AD103" s="91"/>
    </row>
    <row r="104" ht="15.75" customHeight="1" outlineLevel="1">
      <c r="A104" s="170" t="s">
        <v>10535</v>
      </c>
      <c r="B104" s="51" t="s">
        <v>26</v>
      </c>
      <c r="C104" s="51" t="s">
        <v>27</v>
      </c>
      <c r="D104" s="52" t="s">
        <v>4</v>
      </c>
      <c r="E104" s="53" t="s">
        <v>27</v>
      </c>
      <c r="F104" s="52" t="s">
        <v>4</v>
      </c>
      <c r="G104" s="52" t="s">
        <v>55</v>
      </c>
      <c r="H104" s="176" t="s">
        <v>454</v>
      </c>
      <c r="I104" s="175" t="s">
        <v>10683</v>
      </c>
      <c r="J104" s="176" t="s">
        <v>3569</v>
      </c>
      <c r="K104" s="172" t="s">
        <v>27</v>
      </c>
      <c r="L104" s="174" t="s">
        <v>4</v>
      </c>
      <c r="M104" s="52" t="s">
        <v>46</v>
      </c>
      <c r="N104" s="54" t="s">
        <v>10496</v>
      </c>
      <c r="O104" s="55" t="str">
        <f t="shared" si="4"/>
        <v>L1.00.00.10.18.00</v>
      </c>
      <c r="P104" s="55" t="str">
        <f t="shared" si="5"/>
        <v>L1.00.00.10.18.00.07</v>
      </c>
      <c r="Q104" s="160" t="s">
        <v>10530</v>
      </c>
      <c r="R104" s="169" t="str">
        <f t="shared" si="6"/>
        <v>Sản phẩm QTKD Mobile</v>
      </c>
      <c r="S104" s="97" t="s">
        <v>10610</v>
      </c>
      <c r="T104" s="96" t="s">
        <v>3570</v>
      </c>
      <c r="U104" s="96" t="s">
        <v>453</v>
      </c>
      <c r="V104" s="96" t="s">
        <v>454</v>
      </c>
      <c r="W104" s="96" t="s">
        <v>3569</v>
      </c>
      <c r="X104" s="96"/>
      <c r="Y104" s="96"/>
      <c r="Z104" s="98" t="s">
        <v>10684</v>
      </c>
      <c r="AA104" s="153" t="s">
        <v>10530</v>
      </c>
      <c r="AB104" s="91"/>
      <c r="AC104" s="91"/>
      <c r="AD104" s="91"/>
    </row>
    <row r="105" ht="15.75" customHeight="1" outlineLevel="1">
      <c r="A105" s="170" t="s">
        <v>10535</v>
      </c>
      <c r="B105" s="51" t="s">
        <v>26</v>
      </c>
      <c r="C105" s="51" t="s">
        <v>27</v>
      </c>
      <c r="D105" s="52" t="s">
        <v>4</v>
      </c>
      <c r="E105" s="53" t="s">
        <v>27</v>
      </c>
      <c r="F105" s="52" t="s">
        <v>4</v>
      </c>
      <c r="G105" s="52" t="s">
        <v>55</v>
      </c>
      <c r="H105" s="176" t="s">
        <v>454</v>
      </c>
      <c r="I105" s="175" t="s">
        <v>10685</v>
      </c>
      <c r="J105" s="176" t="s">
        <v>3378</v>
      </c>
      <c r="K105" s="172" t="s">
        <v>27</v>
      </c>
      <c r="L105" s="194" t="s">
        <v>4</v>
      </c>
      <c r="M105" s="52" t="s">
        <v>46</v>
      </c>
      <c r="N105" s="54" t="s">
        <v>10496</v>
      </c>
      <c r="O105" s="55" t="str">
        <f t="shared" si="4"/>
        <v>L1.00.00.10.19.00</v>
      </c>
      <c r="P105" s="55" t="str">
        <f t="shared" si="5"/>
        <v>L1.00.00.10.19.00.07</v>
      </c>
      <c r="Q105" s="160" t="s">
        <v>10530</v>
      </c>
      <c r="R105" s="169" t="str">
        <f t="shared" si="6"/>
        <v>Sản phẩm Customize</v>
      </c>
      <c r="S105" s="97" t="s">
        <v>10610</v>
      </c>
      <c r="T105" s="97" t="s">
        <v>10686</v>
      </c>
      <c r="U105" s="96" t="s">
        <v>453</v>
      </c>
      <c r="V105" s="96" t="s">
        <v>454</v>
      </c>
      <c r="W105" s="96" t="s">
        <v>3378</v>
      </c>
      <c r="X105" s="96" t="s">
        <v>3377</v>
      </c>
      <c r="Y105" s="96"/>
      <c r="Z105" s="98" t="s">
        <v>10687</v>
      </c>
      <c r="AA105" s="153" t="s">
        <v>10530</v>
      </c>
      <c r="AB105" s="91"/>
      <c r="AC105" s="91"/>
      <c r="AD105" s="91"/>
    </row>
    <row r="106" ht="15.75" customHeight="1" outlineLevel="1">
      <c r="A106" s="170" t="s">
        <v>10535</v>
      </c>
      <c r="B106" s="51" t="s">
        <v>26</v>
      </c>
      <c r="C106" s="51" t="s">
        <v>27</v>
      </c>
      <c r="D106" s="52" t="s">
        <v>4</v>
      </c>
      <c r="E106" s="53" t="s">
        <v>27</v>
      </c>
      <c r="F106" s="52" t="s">
        <v>4</v>
      </c>
      <c r="G106" s="52" t="s">
        <v>55</v>
      </c>
      <c r="H106" s="176" t="s">
        <v>454</v>
      </c>
      <c r="I106" s="175" t="s">
        <v>10685</v>
      </c>
      <c r="J106" s="176" t="s">
        <v>3378</v>
      </c>
      <c r="K106" s="175" t="s">
        <v>29</v>
      </c>
      <c r="L106" s="176" t="s">
        <v>3377</v>
      </c>
      <c r="M106" s="52" t="s">
        <v>46</v>
      </c>
      <c r="N106" s="54" t="s">
        <v>10496</v>
      </c>
      <c r="O106" s="55" t="str">
        <f t="shared" si="4"/>
        <v>L1.00.00.10.19.01</v>
      </c>
      <c r="P106" s="55" t="str">
        <f t="shared" si="5"/>
        <v>L1.00.00.10.19.01.07</v>
      </c>
      <c r="Q106" s="160" t="s">
        <v>10530</v>
      </c>
      <c r="R106" s="169" t="str">
        <f t="shared" si="6"/>
        <v>Dự án chuyển đổi kế toán MISA</v>
      </c>
      <c r="S106" s="97" t="s">
        <v>10688</v>
      </c>
      <c r="T106" s="96" t="s">
        <v>3379</v>
      </c>
      <c r="U106" s="96" t="s">
        <v>453</v>
      </c>
      <c r="V106" s="96" t="s">
        <v>454</v>
      </c>
      <c r="W106" s="96" t="s">
        <v>3378</v>
      </c>
      <c r="X106" s="96" t="s">
        <v>3377</v>
      </c>
      <c r="Y106" s="96"/>
      <c r="Z106" s="98" t="s">
        <v>10689</v>
      </c>
      <c r="AA106" s="153" t="s">
        <v>10530</v>
      </c>
      <c r="AB106" s="91"/>
      <c r="AC106" s="91"/>
      <c r="AD106" s="91"/>
    </row>
    <row r="107" ht="15.75" customHeight="1" outlineLevel="1">
      <c r="A107" s="170" t="s">
        <v>10535</v>
      </c>
      <c r="B107" s="51" t="s">
        <v>26</v>
      </c>
      <c r="C107" s="51" t="s">
        <v>27</v>
      </c>
      <c r="D107" s="52" t="s">
        <v>4</v>
      </c>
      <c r="E107" s="53" t="s">
        <v>27</v>
      </c>
      <c r="F107" s="52" t="s">
        <v>4</v>
      </c>
      <c r="G107" s="52" t="s">
        <v>55</v>
      </c>
      <c r="H107" s="176" t="s">
        <v>454</v>
      </c>
      <c r="I107" s="175" t="s">
        <v>10685</v>
      </c>
      <c r="J107" s="176" t="s">
        <v>3378</v>
      </c>
      <c r="K107" s="177" t="s">
        <v>33</v>
      </c>
      <c r="L107" s="176" t="s">
        <v>4420</v>
      </c>
      <c r="M107" s="52" t="s">
        <v>46</v>
      </c>
      <c r="N107" s="54" t="s">
        <v>10496</v>
      </c>
      <c r="O107" s="55" t="str">
        <f t="shared" si="4"/>
        <v>L1.00.00.10.19.02</v>
      </c>
      <c r="P107" s="55" t="str">
        <f t="shared" si="5"/>
        <v>L1.00.00.10.19.02.07</v>
      </c>
      <c r="Q107" s="160" t="s">
        <v>10530</v>
      </c>
      <c r="R107" s="169" t="str">
        <f t="shared" si="6"/>
        <v>Dự án Customize KH DN lớn</v>
      </c>
      <c r="S107" s="97" t="s">
        <v>10688</v>
      </c>
      <c r="T107" s="96" t="s">
        <v>4421</v>
      </c>
      <c r="U107" s="96" t="s">
        <v>453</v>
      </c>
      <c r="V107" s="96" t="s">
        <v>454</v>
      </c>
      <c r="W107" s="96" t="s">
        <v>3378</v>
      </c>
      <c r="X107" s="96" t="s">
        <v>4420</v>
      </c>
      <c r="Y107" s="96"/>
      <c r="Z107" s="98" t="s">
        <v>10690</v>
      </c>
      <c r="AA107" s="153" t="s">
        <v>10530</v>
      </c>
      <c r="AB107" s="91"/>
      <c r="AC107" s="91"/>
      <c r="AD107" s="91"/>
    </row>
    <row r="108" ht="15.75" customHeight="1" outlineLevel="1">
      <c r="A108" s="170" t="s">
        <v>10535</v>
      </c>
      <c r="B108" s="51" t="s">
        <v>26</v>
      </c>
      <c r="C108" s="51" t="s">
        <v>27</v>
      </c>
      <c r="D108" s="52" t="s">
        <v>4</v>
      </c>
      <c r="E108" s="53" t="s">
        <v>27</v>
      </c>
      <c r="F108" s="52" t="s">
        <v>4</v>
      </c>
      <c r="G108" s="52" t="s">
        <v>55</v>
      </c>
      <c r="H108" s="176" t="s">
        <v>454</v>
      </c>
      <c r="I108" s="175" t="s">
        <v>10691</v>
      </c>
      <c r="J108" s="176" t="s">
        <v>4597</v>
      </c>
      <c r="K108" s="175" t="s">
        <v>27</v>
      </c>
      <c r="L108" s="194" t="s">
        <v>4</v>
      </c>
      <c r="M108" s="52" t="s">
        <v>46</v>
      </c>
      <c r="N108" s="54" t="s">
        <v>10496</v>
      </c>
      <c r="O108" s="55" t="str">
        <f t="shared" si="4"/>
        <v>L1.00.00.10.20.00</v>
      </c>
      <c r="P108" s="55" t="str">
        <f t="shared" si="5"/>
        <v>L1.00.00.10.20.00.07</v>
      </c>
      <c r="Q108" s="160" t="s">
        <v>10530</v>
      </c>
      <c r="R108" s="169" t="str">
        <f t="shared" si="6"/>
        <v>Sản phẩm AMIS CRM (MISA)</v>
      </c>
      <c r="S108" s="97" t="s">
        <v>10610</v>
      </c>
      <c r="T108" s="97" t="s">
        <v>10692</v>
      </c>
      <c r="U108" s="96" t="s">
        <v>453</v>
      </c>
      <c r="V108" s="96" t="s">
        <v>454</v>
      </c>
      <c r="W108" s="96" t="s">
        <v>4597</v>
      </c>
      <c r="X108" s="96" t="s">
        <v>4596</v>
      </c>
      <c r="Y108" s="96"/>
      <c r="Z108" s="98" t="s">
        <v>10693</v>
      </c>
      <c r="AA108" s="153" t="s">
        <v>10530</v>
      </c>
      <c r="AB108" s="91"/>
      <c r="AC108" s="91"/>
      <c r="AD108" s="91"/>
    </row>
    <row r="109" ht="15.75" customHeight="1" outlineLevel="1">
      <c r="A109" s="170" t="s">
        <v>10535</v>
      </c>
      <c r="B109" s="51" t="s">
        <v>26</v>
      </c>
      <c r="C109" s="51" t="s">
        <v>27</v>
      </c>
      <c r="D109" s="52" t="s">
        <v>4</v>
      </c>
      <c r="E109" s="53" t="s">
        <v>27</v>
      </c>
      <c r="F109" s="52" t="s">
        <v>4</v>
      </c>
      <c r="G109" s="52" t="s">
        <v>55</v>
      </c>
      <c r="H109" s="176" t="s">
        <v>454</v>
      </c>
      <c r="I109" s="175" t="s">
        <v>10691</v>
      </c>
      <c r="J109" s="176" t="s">
        <v>4597</v>
      </c>
      <c r="K109" s="175" t="s">
        <v>29</v>
      </c>
      <c r="L109" s="176" t="s">
        <v>4596</v>
      </c>
      <c r="M109" s="52" t="s">
        <v>46</v>
      </c>
      <c r="N109" s="54" t="s">
        <v>10496</v>
      </c>
      <c r="O109" s="55" t="str">
        <f t="shared" si="4"/>
        <v>L1.00.00.10.20.01</v>
      </c>
      <c r="P109" s="55" t="str">
        <f t="shared" si="5"/>
        <v>L1.00.00.10.20.01.07</v>
      </c>
      <c r="Q109" s="160" t="s">
        <v>10530</v>
      </c>
      <c r="R109" s="169" t="str">
        <f t="shared" si="6"/>
        <v>Dự án AMIS CRM (MISA)</v>
      </c>
      <c r="S109" s="97" t="s">
        <v>10694</v>
      </c>
      <c r="T109" s="96" t="s">
        <v>4598</v>
      </c>
      <c r="U109" s="96" t="s">
        <v>453</v>
      </c>
      <c r="V109" s="96" t="s">
        <v>454</v>
      </c>
      <c r="W109" s="96" t="s">
        <v>4597</v>
      </c>
      <c r="X109" s="96" t="s">
        <v>4596</v>
      </c>
      <c r="Y109" s="96"/>
      <c r="Z109" s="98" t="s">
        <v>10695</v>
      </c>
      <c r="AA109" s="153" t="s">
        <v>10530</v>
      </c>
      <c r="AB109" s="91"/>
      <c r="AC109" s="91"/>
      <c r="AD109" s="91"/>
    </row>
    <row r="110" ht="15.75" customHeight="1" outlineLevel="1">
      <c r="A110" s="170" t="s">
        <v>10535</v>
      </c>
      <c r="B110" s="51" t="s">
        <v>26</v>
      </c>
      <c r="C110" s="51" t="s">
        <v>27</v>
      </c>
      <c r="D110" s="52" t="s">
        <v>4</v>
      </c>
      <c r="E110" s="53" t="s">
        <v>27</v>
      </c>
      <c r="F110" s="52" t="s">
        <v>4</v>
      </c>
      <c r="G110" s="52" t="s">
        <v>55</v>
      </c>
      <c r="H110" s="176" t="s">
        <v>454</v>
      </c>
      <c r="I110" s="175" t="s">
        <v>10691</v>
      </c>
      <c r="J110" s="176" t="s">
        <v>4597</v>
      </c>
      <c r="K110" s="177" t="s">
        <v>33</v>
      </c>
      <c r="L110" s="176" t="s">
        <v>6639</v>
      </c>
      <c r="M110" s="52" t="s">
        <v>46</v>
      </c>
      <c r="N110" s="54" t="s">
        <v>10496</v>
      </c>
      <c r="O110" s="55" t="str">
        <f t="shared" si="4"/>
        <v>L1.00.00.10.20.02</v>
      </c>
      <c r="P110" s="55" t="str">
        <f t="shared" si="5"/>
        <v>L1.00.00.10.20.02.07</v>
      </c>
      <c r="Q110" s="160" t="s">
        <v>10530</v>
      </c>
      <c r="R110" s="169" t="str">
        <f t="shared" si="6"/>
        <v>[AMIS CRM MISA] Nhóm Phân tích &amp; Thiết kế</v>
      </c>
      <c r="S110" s="97" t="s">
        <v>10694</v>
      </c>
      <c r="T110" s="96" t="s">
        <v>6640</v>
      </c>
      <c r="U110" s="96" t="s">
        <v>453</v>
      </c>
      <c r="V110" s="96" t="s">
        <v>454</v>
      </c>
      <c r="W110" s="96" t="s">
        <v>4597</v>
      </c>
      <c r="X110" s="96" t="s">
        <v>6639</v>
      </c>
      <c r="Y110" s="96"/>
      <c r="Z110" s="98" t="s">
        <v>10696</v>
      </c>
      <c r="AA110" s="153" t="s">
        <v>10530</v>
      </c>
      <c r="AB110" s="91"/>
      <c r="AC110" s="91"/>
      <c r="AD110" s="91"/>
    </row>
    <row r="111" ht="15.75" customHeight="1" outlineLevel="1">
      <c r="A111" s="170" t="s">
        <v>10535</v>
      </c>
      <c r="B111" s="51" t="s">
        <v>26</v>
      </c>
      <c r="C111" s="51" t="s">
        <v>27</v>
      </c>
      <c r="D111" s="52" t="s">
        <v>4</v>
      </c>
      <c r="E111" s="53" t="s">
        <v>27</v>
      </c>
      <c r="F111" s="52" t="s">
        <v>4</v>
      </c>
      <c r="G111" s="52" t="s">
        <v>55</v>
      </c>
      <c r="H111" s="176" t="s">
        <v>454</v>
      </c>
      <c r="I111" s="175" t="s">
        <v>10697</v>
      </c>
      <c r="J111" s="176" t="s">
        <v>5228</v>
      </c>
      <c r="K111" s="175" t="s">
        <v>27</v>
      </c>
      <c r="L111" s="194" t="s">
        <v>4</v>
      </c>
      <c r="M111" s="52" t="s">
        <v>46</v>
      </c>
      <c r="N111" s="54" t="s">
        <v>10496</v>
      </c>
      <c r="O111" s="55" t="str">
        <f t="shared" si="4"/>
        <v>L1.00.00.10.21.00</v>
      </c>
      <c r="P111" s="55" t="str">
        <f t="shared" si="5"/>
        <v>L1.00.00.10.21.00.07</v>
      </c>
      <c r="Q111" s="160" t="s">
        <v>10530</v>
      </c>
      <c r="R111" s="169" t="str">
        <f t="shared" si="6"/>
        <v>Sản phẩm AMIS Quản lý Tài sản</v>
      </c>
      <c r="S111" s="97" t="s">
        <v>10610</v>
      </c>
      <c r="T111" s="97" t="s">
        <v>10698</v>
      </c>
      <c r="U111" s="96" t="s">
        <v>453</v>
      </c>
      <c r="V111" s="96" t="s">
        <v>454</v>
      </c>
      <c r="W111" s="96" t="s">
        <v>5228</v>
      </c>
      <c r="X111" s="96" t="s">
        <v>6809</v>
      </c>
      <c r="Y111" s="96"/>
      <c r="Z111" s="98" t="s">
        <v>10699</v>
      </c>
      <c r="AA111" s="153" t="s">
        <v>10530</v>
      </c>
      <c r="AB111" s="91"/>
      <c r="AC111" s="91"/>
      <c r="AD111" s="91"/>
    </row>
    <row r="112" ht="15.75" customHeight="1" outlineLevel="1">
      <c r="A112" s="170" t="s">
        <v>10535</v>
      </c>
      <c r="B112" s="51" t="s">
        <v>26</v>
      </c>
      <c r="C112" s="51" t="s">
        <v>27</v>
      </c>
      <c r="D112" s="52" t="s">
        <v>4</v>
      </c>
      <c r="E112" s="53" t="s">
        <v>27</v>
      </c>
      <c r="F112" s="52" t="s">
        <v>4</v>
      </c>
      <c r="G112" s="52" t="s">
        <v>55</v>
      </c>
      <c r="H112" s="176" t="s">
        <v>454</v>
      </c>
      <c r="I112" s="175" t="s">
        <v>10697</v>
      </c>
      <c r="J112" s="176" t="s">
        <v>5228</v>
      </c>
      <c r="K112" s="175" t="s">
        <v>29</v>
      </c>
      <c r="L112" s="176" t="s">
        <v>6809</v>
      </c>
      <c r="M112" s="52" t="s">
        <v>46</v>
      </c>
      <c r="N112" s="54" t="s">
        <v>10496</v>
      </c>
      <c r="O112" s="55" t="str">
        <f t="shared" si="4"/>
        <v>L1.00.00.10.21.01</v>
      </c>
      <c r="P112" s="55" t="str">
        <f t="shared" si="5"/>
        <v>L1.00.00.10.21.01.07</v>
      </c>
      <c r="Q112" s="160" t="s">
        <v>10530</v>
      </c>
      <c r="R112" s="169" t="str">
        <f t="shared" si="6"/>
        <v>Dự án AMIS Quản lý Tài sản</v>
      </c>
      <c r="S112" s="97" t="s">
        <v>10700</v>
      </c>
      <c r="T112" s="96" t="s">
        <v>6810</v>
      </c>
      <c r="U112" s="96" t="s">
        <v>453</v>
      </c>
      <c r="V112" s="96" t="s">
        <v>454</v>
      </c>
      <c r="W112" s="96" t="s">
        <v>5228</v>
      </c>
      <c r="X112" s="96" t="s">
        <v>6809</v>
      </c>
      <c r="Y112" s="96"/>
      <c r="Z112" s="98" t="s">
        <v>10701</v>
      </c>
      <c r="AA112" s="153" t="s">
        <v>10530</v>
      </c>
      <c r="AB112" s="91"/>
      <c r="AC112" s="91"/>
      <c r="AD112" s="91"/>
    </row>
    <row r="113" ht="15.75" customHeight="1" outlineLevel="1">
      <c r="A113" s="170" t="s">
        <v>10535</v>
      </c>
      <c r="B113" s="51" t="s">
        <v>26</v>
      </c>
      <c r="C113" s="51" t="s">
        <v>27</v>
      </c>
      <c r="D113" s="52" t="s">
        <v>4</v>
      </c>
      <c r="E113" s="53" t="s">
        <v>27</v>
      </c>
      <c r="F113" s="52" t="s">
        <v>4</v>
      </c>
      <c r="G113" s="52" t="s">
        <v>55</v>
      </c>
      <c r="H113" s="176" t="s">
        <v>454</v>
      </c>
      <c r="I113" s="175" t="s">
        <v>10697</v>
      </c>
      <c r="J113" s="176" t="s">
        <v>5228</v>
      </c>
      <c r="K113" s="177" t="s">
        <v>33</v>
      </c>
      <c r="L113" s="176" t="s">
        <v>5227</v>
      </c>
      <c r="M113" s="52" t="s">
        <v>46</v>
      </c>
      <c r="N113" s="54" t="s">
        <v>10496</v>
      </c>
      <c r="O113" s="55" t="str">
        <f t="shared" si="4"/>
        <v>L1.00.00.10.21.02</v>
      </c>
      <c r="P113" s="55" t="str">
        <f t="shared" si="5"/>
        <v>L1.00.00.10.21.02.07</v>
      </c>
      <c r="Q113" s="160" t="s">
        <v>10530</v>
      </c>
      <c r="R113" s="169" t="str">
        <f t="shared" si="6"/>
        <v>[AMIS QLTS] Nhóm Phân tích &amp; Thiết kế</v>
      </c>
      <c r="S113" s="97" t="s">
        <v>10700</v>
      </c>
      <c r="T113" s="96" t="s">
        <v>5229</v>
      </c>
      <c r="U113" s="96" t="s">
        <v>453</v>
      </c>
      <c r="V113" s="96" t="s">
        <v>454</v>
      </c>
      <c r="W113" s="96" t="s">
        <v>5228</v>
      </c>
      <c r="X113" s="96" t="s">
        <v>5227</v>
      </c>
      <c r="Y113" s="96"/>
      <c r="Z113" s="98" t="s">
        <v>10702</v>
      </c>
      <c r="AA113" s="153" t="s">
        <v>10530</v>
      </c>
      <c r="AB113" s="91"/>
      <c r="AC113" s="91"/>
      <c r="AD113" s="91"/>
    </row>
    <row r="114" ht="15.75" customHeight="1" outlineLevel="1">
      <c r="A114" s="170" t="s">
        <v>10535</v>
      </c>
      <c r="B114" s="51" t="s">
        <v>26</v>
      </c>
      <c r="C114" s="51" t="s">
        <v>27</v>
      </c>
      <c r="D114" s="52" t="s">
        <v>4</v>
      </c>
      <c r="E114" s="53" t="s">
        <v>27</v>
      </c>
      <c r="F114" s="52" t="s">
        <v>4</v>
      </c>
      <c r="G114" s="52" t="s">
        <v>55</v>
      </c>
      <c r="H114" s="176" t="s">
        <v>454</v>
      </c>
      <c r="I114" s="175" t="s">
        <v>10703</v>
      </c>
      <c r="J114" s="176" t="s">
        <v>474</v>
      </c>
      <c r="K114" s="175" t="s">
        <v>27</v>
      </c>
      <c r="L114" s="218" t="s">
        <v>4</v>
      </c>
      <c r="M114" s="52" t="s">
        <v>46</v>
      </c>
      <c r="N114" s="54" t="s">
        <v>10496</v>
      </c>
      <c r="O114" s="55" t="str">
        <f t="shared" si="4"/>
        <v>L1.00.00.10.22.00</v>
      </c>
      <c r="P114" s="55" t="str">
        <f t="shared" si="5"/>
        <v>L1.00.00.10.22.00.07</v>
      </c>
      <c r="Q114" s="160" t="s">
        <v>10530</v>
      </c>
      <c r="R114" s="169" t="str">
        <f t="shared" si="6"/>
        <v>Sản phẩm AMIS Platform Core</v>
      </c>
      <c r="S114" s="97" t="s">
        <v>10610</v>
      </c>
      <c r="T114" s="97" t="s">
        <v>10704</v>
      </c>
      <c r="U114" s="96" t="s">
        <v>453</v>
      </c>
      <c r="V114" s="96" t="s">
        <v>454</v>
      </c>
      <c r="W114" s="96" t="s">
        <v>474</v>
      </c>
      <c r="X114" s="96"/>
      <c r="Y114" s="97"/>
      <c r="Z114" s="98" t="s">
        <v>10705</v>
      </c>
      <c r="AA114" s="153" t="s">
        <v>10530</v>
      </c>
      <c r="AB114" s="91"/>
      <c r="AC114" s="91"/>
      <c r="AD114" s="91"/>
    </row>
    <row r="115" ht="15.75" customHeight="1" outlineLevel="1">
      <c r="A115" s="170" t="s">
        <v>10535</v>
      </c>
      <c r="B115" s="51" t="s">
        <v>26</v>
      </c>
      <c r="C115" s="51" t="s">
        <v>27</v>
      </c>
      <c r="D115" s="52" t="s">
        <v>4</v>
      </c>
      <c r="E115" s="53" t="s">
        <v>27</v>
      </c>
      <c r="F115" s="52" t="s">
        <v>4</v>
      </c>
      <c r="G115" s="52" t="s">
        <v>55</v>
      </c>
      <c r="H115" s="176" t="s">
        <v>454</v>
      </c>
      <c r="I115" s="175" t="s">
        <v>10703</v>
      </c>
      <c r="J115" s="176" t="s">
        <v>474</v>
      </c>
      <c r="K115" s="175" t="s">
        <v>29</v>
      </c>
      <c r="L115" s="176" t="s">
        <v>473</v>
      </c>
      <c r="M115" s="52" t="s">
        <v>46</v>
      </c>
      <c r="N115" s="54" t="s">
        <v>10496</v>
      </c>
      <c r="O115" s="55" t="str">
        <f t="shared" si="4"/>
        <v>L1.00.00.10.22.01</v>
      </c>
      <c r="P115" s="55" t="str">
        <f t="shared" si="5"/>
        <v>L1.00.00.10.22.01.07</v>
      </c>
      <c r="Q115" s="160" t="s">
        <v>10530</v>
      </c>
      <c r="R115" s="169" t="str">
        <f t="shared" si="6"/>
        <v>Dự án AMIS Platform Core</v>
      </c>
      <c r="S115" s="97" t="s">
        <v>10706</v>
      </c>
      <c r="T115" s="96" t="s">
        <v>475</v>
      </c>
      <c r="U115" s="96" t="s">
        <v>453</v>
      </c>
      <c r="V115" s="96" t="s">
        <v>454</v>
      </c>
      <c r="W115" s="96" t="s">
        <v>474</v>
      </c>
      <c r="X115" s="96" t="s">
        <v>473</v>
      </c>
      <c r="Y115" s="96"/>
      <c r="Z115" s="98" t="s">
        <v>10707</v>
      </c>
      <c r="AA115" s="153" t="s">
        <v>10530</v>
      </c>
      <c r="AB115" s="91"/>
      <c r="AC115" s="91"/>
      <c r="AD115" s="91"/>
    </row>
    <row r="116" ht="15.75" customHeight="1" outlineLevel="1">
      <c r="A116" s="170" t="s">
        <v>10535</v>
      </c>
      <c r="B116" s="51" t="s">
        <v>26</v>
      </c>
      <c r="C116" s="51" t="s">
        <v>27</v>
      </c>
      <c r="D116" s="52" t="s">
        <v>4</v>
      </c>
      <c r="E116" s="53" t="s">
        <v>27</v>
      </c>
      <c r="F116" s="52" t="s">
        <v>4</v>
      </c>
      <c r="G116" s="52" t="s">
        <v>55</v>
      </c>
      <c r="H116" s="176" t="s">
        <v>454</v>
      </c>
      <c r="I116" s="175" t="s">
        <v>10703</v>
      </c>
      <c r="J116" s="176" t="s">
        <v>474</v>
      </c>
      <c r="K116" s="177" t="s">
        <v>33</v>
      </c>
      <c r="L116" s="176" t="s">
        <v>483</v>
      </c>
      <c r="M116" s="52" t="s">
        <v>46</v>
      </c>
      <c r="N116" s="54" t="s">
        <v>10496</v>
      </c>
      <c r="O116" s="55" t="str">
        <f t="shared" si="4"/>
        <v>L1.00.00.10.22.02</v>
      </c>
      <c r="P116" s="55" t="str">
        <f t="shared" si="5"/>
        <v>L1.00.00.10.22.02.07</v>
      </c>
      <c r="Q116" s="160" t="s">
        <v>10530</v>
      </c>
      <c r="R116" s="169" t="str">
        <f t="shared" si="6"/>
        <v>[AMIS Platform Core] Nhóm Phân tích &amp; Thiết kế</v>
      </c>
      <c r="S116" s="97" t="s">
        <v>10706</v>
      </c>
      <c r="T116" s="96" t="s">
        <v>484</v>
      </c>
      <c r="U116" s="96" t="s">
        <v>453</v>
      </c>
      <c r="V116" s="96" t="s">
        <v>454</v>
      </c>
      <c r="W116" s="96" t="s">
        <v>474</v>
      </c>
      <c r="X116" s="96" t="s">
        <v>483</v>
      </c>
      <c r="Y116" s="96"/>
      <c r="Z116" s="98" t="s">
        <v>10708</v>
      </c>
      <c r="AA116" s="153" t="s">
        <v>10530</v>
      </c>
      <c r="AB116" s="91"/>
      <c r="AC116" s="91"/>
      <c r="AD116" s="91"/>
    </row>
    <row r="117" ht="15.75" customHeight="1" outlineLevel="1">
      <c r="A117" s="170" t="s">
        <v>10535</v>
      </c>
      <c r="B117" s="51" t="s">
        <v>26</v>
      </c>
      <c r="C117" s="51" t="s">
        <v>27</v>
      </c>
      <c r="D117" s="52" t="s">
        <v>4</v>
      </c>
      <c r="E117" s="53" t="s">
        <v>27</v>
      </c>
      <c r="F117" s="52" t="s">
        <v>4</v>
      </c>
      <c r="G117" s="52" t="s">
        <v>61</v>
      </c>
      <c r="H117" s="176" t="s">
        <v>607</v>
      </c>
      <c r="I117" s="175" t="s">
        <v>27</v>
      </c>
      <c r="J117" s="219" t="s">
        <v>4</v>
      </c>
      <c r="K117" s="172" t="s">
        <v>27</v>
      </c>
      <c r="L117" s="174" t="s">
        <v>4</v>
      </c>
      <c r="M117" s="52" t="s">
        <v>46</v>
      </c>
      <c r="N117" s="54" t="s">
        <v>10496</v>
      </c>
      <c r="O117" s="55" t="str">
        <f t="shared" si="4"/>
        <v>L1.00.00.11.00.00</v>
      </c>
      <c r="P117" s="55" t="str">
        <f t="shared" si="5"/>
        <v>L1.00.00.11.00.00.07</v>
      </c>
      <c r="Q117" s="160" t="s">
        <v>10530</v>
      </c>
      <c r="R117" s="169" t="str">
        <f t="shared" si="6"/>
        <v>Khối sản phẩm Hành chính sự nghiệp</v>
      </c>
      <c r="S117" s="97" t="s">
        <v>10536</v>
      </c>
      <c r="T117" s="97" t="s">
        <v>10709</v>
      </c>
      <c r="U117" s="96" t="s">
        <v>453</v>
      </c>
      <c r="V117" s="96" t="s">
        <v>607</v>
      </c>
      <c r="W117" s="96" t="s">
        <v>63</v>
      </c>
      <c r="X117" s="96"/>
      <c r="Y117" s="96"/>
      <c r="Z117" s="98" t="s">
        <v>10710</v>
      </c>
      <c r="AA117" s="153" t="s">
        <v>10530</v>
      </c>
      <c r="AB117" s="91"/>
      <c r="AC117" s="91"/>
      <c r="AD117" s="91"/>
    </row>
    <row r="118" ht="15.75" customHeight="1" outlineLevel="1">
      <c r="A118" s="170" t="s">
        <v>10535</v>
      </c>
      <c r="B118" s="51" t="s">
        <v>26</v>
      </c>
      <c r="C118" s="51" t="s">
        <v>27</v>
      </c>
      <c r="D118" s="52" t="s">
        <v>4</v>
      </c>
      <c r="E118" s="53" t="s">
        <v>27</v>
      </c>
      <c r="F118" s="52" t="s">
        <v>4</v>
      </c>
      <c r="G118" s="52" t="s">
        <v>61</v>
      </c>
      <c r="H118" s="176" t="s">
        <v>607</v>
      </c>
      <c r="I118" s="172" t="s">
        <v>29</v>
      </c>
      <c r="J118" s="173" t="s">
        <v>63</v>
      </c>
      <c r="K118" s="172" t="s">
        <v>27</v>
      </c>
      <c r="L118" s="174" t="s">
        <v>4</v>
      </c>
      <c r="M118" s="52" t="s">
        <v>46</v>
      </c>
      <c r="N118" s="54" t="s">
        <v>10496</v>
      </c>
      <c r="O118" s="55" t="str">
        <f t="shared" si="4"/>
        <v>L1.00.00.11.01.00</v>
      </c>
      <c r="P118" s="55" t="str">
        <f t="shared" si="5"/>
        <v>L1.00.00.11.01.00.07</v>
      </c>
      <c r="Q118" s="160" t="s">
        <v>10530</v>
      </c>
      <c r="R118" s="169" t="str">
        <f t="shared" si="6"/>
        <v>Ban Giám đốc Khối SP HCSN</v>
      </c>
      <c r="S118" s="97" t="s">
        <v>10517</v>
      </c>
      <c r="T118" s="96" t="s">
        <v>4997</v>
      </c>
      <c r="U118" s="96" t="s">
        <v>453</v>
      </c>
      <c r="V118" s="96" t="s">
        <v>607</v>
      </c>
      <c r="W118" s="96" t="s">
        <v>63</v>
      </c>
      <c r="X118" s="96"/>
      <c r="Y118" s="96"/>
      <c r="Z118" s="98" t="s">
        <v>10711</v>
      </c>
      <c r="AA118" s="153" t="s">
        <v>10530</v>
      </c>
      <c r="AB118" s="91"/>
      <c r="AC118" s="91"/>
      <c r="AD118" s="91"/>
    </row>
    <row r="119" ht="15.75" customHeight="1" outlineLevel="1">
      <c r="A119" s="170" t="s">
        <v>10535</v>
      </c>
      <c r="B119" s="51" t="s">
        <v>26</v>
      </c>
      <c r="C119" s="51" t="s">
        <v>27</v>
      </c>
      <c r="D119" s="52" t="s">
        <v>4</v>
      </c>
      <c r="E119" s="53" t="s">
        <v>27</v>
      </c>
      <c r="F119" s="52" t="s">
        <v>4</v>
      </c>
      <c r="G119" s="52" t="s">
        <v>61</v>
      </c>
      <c r="H119" s="176" t="s">
        <v>607</v>
      </c>
      <c r="I119" s="172" t="s">
        <v>33</v>
      </c>
      <c r="J119" s="176" t="s">
        <v>4415</v>
      </c>
      <c r="K119" s="175" t="s">
        <v>27</v>
      </c>
      <c r="L119" s="194" t="s">
        <v>4</v>
      </c>
      <c r="M119" s="52" t="s">
        <v>46</v>
      </c>
      <c r="N119" s="54" t="s">
        <v>10496</v>
      </c>
      <c r="O119" s="55" t="str">
        <f t="shared" si="4"/>
        <v>L1.00.00.11.02.00</v>
      </c>
      <c r="P119" s="55" t="str">
        <f t="shared" si="5"/>
        <v>L1.00.00.11.02.00.07</v>
      </c>
      <c r="Q119" s="160" t="s">
        <v>10530</v>
      </c>
      <c r="R119" s="169" t="str">
        <f t="shared" si="6"/>
        <v>Sản phẩm MISA MIMOSA Online</v>
      </c>
      <c r="S119" s="97" t="s">
        <v>10517</v>
      </c>
      <c r="T119" s="97" t="s">
        <v>10712</v>
      </c>
      <c r="U119" s="96" t="s">
        <v>453</v>
      </c>
      <c r="V119" s="96" t="s">
        <v>607</v>
      </c>
      <c r="W119" s="96" t="s">
        <v>4415</v>
      </c>
      <c r="X119" s="96" t="s">
        <v>4414</v>
      </c>
      <c r="Y119" s="96"/>
      <c r="Z119" s="98" t="s">
        <v>10713</v>
      </c>
      <c r="AA119" s="153" t="s">
        <v>10530</v>
      </c>
      <c r="AB119" s="91"/>
      <c r="AC119" s="91"/>
      <c r="AD119" s="91"/>
    </row>
    <row r="120" ht="15.75" customHeight="1" outlineLevel="1">
      <c r="A120" s="170" t="s">
        <v>10535</v>
      </c>
      <c r="B120" s="51" t="s">
        <v>26</v>
      </c>
      <c r="C120" s="51" t="s">
        <v>27</v>
      </c>
      <c r="D120" s="52" t="s">
        <v>4</v>
      </c>
      <c r="E120" s="53" t="s">
        <v>27</v>
      </c>
      <c r="F120" s="52" t="s">
        <v>4</v>
      </c>
      <c r="G120" s="52" t="s">
        <v>61</v>
      </c>
      <c r="H120" s="176" t="s">
        <v>607</v>
      </c>
      <c r="I120" s="172" t="s">
        <v>33</v>
      </c>
      <c r="J120" s="176" t="s">
        <v>4415</v>
      </c>
      <c r="K120" s="175" t="s">
        <v>29</v>
      </c>
      <c r="L120" s="176" t="s">
        <v>4414</v>
      </c>
      <c r="M120" s="52" t="s">
        <v>46</v>
      </c>
      <c r="N120" s="54" t="s">
        <v>10496</v>
      </c>
      <c r="O120" s="55" t="str">
        <f t="shared" si="4"/>
        <v>L1.00.00.11.02.01</v>
      </c>
      <c r="P120" s="55" t="str">
        <f t="shared" si="5"/>
        <v>L1.00.00.11.02.01.07</v>
      </c>
      <c r="Q120" s="160" t="s">
        <v>10530</v>
      </c>
      <c r="R120" s="169" t="str">
        <f t="shared" si="6"/>
        <v>Dự án MISA MIMOSA Online</v>
      </c>
      <c r="S120" s="97" t="s">
        <v>10714</v>
      </c>
      <c r="T120" s="96" t="s">
        <v>4416</v>
      </c>
      <c r="U120" s="96" t="s">
        <v>453</v>
      </c>
      <c r="V120" s="96" t="s">
        <v>607</v>
      </c>
      <c r="W120" s="96" t="s">
        <v>4415</v>
      </c>
      <c r="X120" s="96" t="s">
        <v>4414</v>
      </c>
      <c r="Y120" s="96"/>
      <c r="Z120" s="98" t="s">
        <v>10715</v>
      </c>
      <c r="AA120" s="153" t="s">
        <v>10530</v>
      </c>
      <c r="AB120" s="91"/>
      <c r="AC120" s="91"/>
      <c r="AD120" s="91"/>
    </row>
    <row r="121" ht="15.75" customHeight="1" outlineLevel="1">
      <c r="A121" s="170" t="s">
        <v>10535</v>
      </c>
      <c r="B121" s="51" t="s">
        <v>26</v>
      </c>
      <c r="C121" s="51" t="s">
        <v>27</v>
      </c>
      <c r="D121" s="52" t="s">
        <v>4</v>
      </c>
      <c r="E121" s="53" t="s">
        <v>27</v>
      </c>
      <c r="F121" s="52" t="s">
        <v>4</v>
      </c>
      <c r="G121" s="52" t="s">
        <v>61</v>
      </c>
      <c r="H121" s="176" t="s">
        <v>607</v>
      </c>
      <c r="I121" s="172" t="s">
        <v>33</v>
      </c>
      <c r="J121" s="176" t="s">
        <v>4415</v>
      </c>
      <c r="K121" s="177" t="s">
        <v>33</v>
      </c>
      <c r="L121" s="176" t="s">
        <v>6181</v>
      </c>
      <c r="M121" s="52" t="s">
        <v>46</v>
      </c>
      <c r="N121" s="54" t="s">
        <v>10496</v>
      </c>
      <c r="O121" s="55" t="str">
        <f t="shared" si="4"/>
        <v>L1.00.00.11.02.02</v>
      </c>
      <c r="P121" s="55" t="str">
        <f t="shared" si="5"/>
        <v>L1.00.00.11.02.02.07</v>
      </c>
      <c r="Q121" s="160" t="s">
        <v>10530</v>
      </c>
      <c r="R121" s="169" t="str">
        <f t="shared" si="6"/>
        <v>[MIMOSA Online] Nhóm Phân tích và Thiết kế</v>
      </c>
      <c r="S121" s="97" t="s">
        <v>10714</v>
      </c>
      <c r="T121" s="96" t="s">
        <v>6182</v>
      </c>
      <c r="U121" s="96" t="s">
        <v>453</v>
      </c>
      <c r="V121" s="96" t="s">
        <v>607</v>
      </c>
      <c r="W121" s="96" t="s">
        <v>4415</v>
      </c>
      <c r="X121" s="96" t="s">
        <v>6181</v>
      </c>
      <c r="Y121" s="96"/>
      <c r="Z121" s="98" t="s">
        <v>10716</v>
      </c>
      <c r="AA121" s="153" t="s">
        <v>10530</v>
      </c>
      <c r="AB121" s="91"/>
      <c r="AC121" s="91"/>
      <c r="AD121" s="91"/>
    </row>
    <row r="122" ht="15.75" customHeight="1" outlineLevel="1">
      <c r="A122" s="170" t="s">
        <v>10535</v>
      </c>
      <c r="B122" s="51" t="s">
        <v>26</v>
      </c>
      <c r="C122" s="51" t="s">
        <v>27</v>
      </c>
      <c r="D122" s="52" t="s">
        <v>4</v>
      </c>
      <c r="E122" s="53" t="s">
        <v>27</v>
      </c>
      <c r="F122" s="52" t="s">
        <v>4</v>
      </c>
      <c r="G122" s="52" t="s">
        <v>61</v>
      </c>
      <c r="H122" s="176" t="s">
        <v>607</v>
      </c>
      <c r="I122" s="175" t="s">
        <v>35</v>
      </c>
      <c r="J122" s="176" t="s">
        <v>5009</v>
      </c>
      <c r="K122" s="175" t="s">
        <v>27</v>
      </c>
      <c r="L122" s="194" t="s">
        <v>4</v>
      </c>
      <c r="M122" s="52" t="s">
        <v>46</v>
      </c>
      <c r="N122" s="54" t="s">
        <v>10496</v>
      </c>
      <c r="O122" s="55" t="str">
        <f t="shared" si="4"/>
        <v>L1.00.00.11.03.00</v>
      </c>
      <c r="P122" s="55" t="str">
        <f t="shared" si="5"/>
        <v>L1.00.00.11.03.00.07</v>
      </c>
      <c r="Q122" s="160" t="s">
        <v>10530</v>
      </c>
      <c r="R122" s="169" t="str">
        <f t="shared" si="6"/>
        <v>Sản phẩm Mimosa.NET</v>
      </c>
      <c r="S122" s="97" t="s">
        <v>10517</v>
      </c>
      <c r="T122" s="97" t="s">
        <v>10717</v>
      </c>
      <c r="U122" s="96" t="s">
        <v>453</v>
      </c>
      <c r="V122" s="96" t="s">
        <v>607</v>
      </c>
      <c r="W122" s="96" t="s">
        <v>5009</v>
      </c>
      <c r="X122" s="96" t="s">
        <v>5008</v>
      </c>
      <c r="Y122" s="96"/>
      <c r="Z122" s="220" t="s">
        <v>10718</v>
      </c>
      <c r="AA122" s="153" t="s">
        <v>10530</v>
      </c>
      <c r="AB122" s="91"/>
      <c r="AC122" s="91"/>
      <c r="AD122" s="91"/>
    </row>
    <row r="123" ht="15.75" customHeight="1" outlineLevel="1">
      <c r="A123" s="170" t="s">
        <v>10535</v>
      </c>
      <c r="B123" s="51" t="s">
        <v>26</v>
      </c>
      <c r="C123" s="51" t="s">
        <v>27</v>
      </c>
      <c r="D123" s="52" t="s">
        <v>4</v>
      </c>
      <c r="E123" s="53" t="s">
        <v>27</v>
      </c>
      <c r="F123" s="52" t="s">
        <v>4</v>
      </c>
      <c r="G123" s="52" t="s">
        <v>61</v>
      </c>
      <c r="H123" s="176" t="s">
        <v>607</v>
      </c>
      <c r="I123" s="175" t="s">
        <v>35</v>
      </c>
      <c r="J123" s="176" t="s">
        <v>5009</v>
      </c>
      <c r="K123" s="175" t="s">
        <v>29</v>
      </c>
      <c r="L123" s="176" t="s">
        <v>5008</v>
      </c>
      <c r="M123" s="52" t="s">
        <v>46</v>
      </c>
      <c r="N123" s="54" t="s">
        <v>10496</v>
      </c>
      <c r="O123" s="55" t="str">
        <f t="shared" si="4"/>
        <v>L1.00.00.11.03.01</v>
      </c>
      <c r="P123" s="55" t="str">
        <f t="shared" si="5"/>
        <v>L1.00.00.11.03.01.07</v>
      </c>
      <c r="Q123" s="160" t="s">
        <v>10530</v>
      </c>
      <c r="R123" s="169" t="str">
        <f t="shared" si="6"/>
        <v>Dự án Mimosa.NET</v>
      </c>
      <c r="S123" s="97" t="s">
        <v>10719</v>
      </c>
      <c r="T123" s="96" t="s">
        <v>5010</v>
      </c>
      <c r="U123" s="96" t="s">
        <v>453</v>
      </c>
      <c r="V123" s="96" t="s">
        <v>607</v>
      </c>
      <c r="W123" s="96" t="s">
        <v>5009</v>
      </c>
      <c r="X123" s="96" t="s">
        <v>5008</v>
      </c>
      <c r="Y123" s="96"/>
      <c r="Z123" s="98" t="s">
        <v>10720</v>
      </c>
      <c r="AA123" s="153" t="s">
        <v>10530</v>
      </c>
      <c r="AB123" s="91"/>
      <c r="AC123" s="91"/>
      <c r="AD123" s="91"/>
    </row>
    <row r="124" ht="15.75" customHeight="1" outlineLevel="1">
      <c r="A124" s="170" t="s">
        <v>10535</v>
      </c>
      <c r="B124" s="51" t="s">
        <v>26</v>
      </c>
      <c r="C124" s="51" t="s">
        <v>27</v>
      </c>
      <c r="D124" s="52" t="s">
        <v>4</v>
      </c>
      <c r="E124" s="53" t="s">
        <v>27</v>
      </c>
      <c r="F124" s="52" t="s">
        <v>4</v>
      </c>
      <c r="G124" s="52" t="s">
        <v>61</v>
      </c>
      <c r="H124" s="176" t="s">
        <v>607</v>
      </c>
      <c r="I124" s="175" t="s">
        <v>35</v>
      </c>
      <c r="J124" s="176" t="s">
        <v>5009</v>
      </c>
      <c r="K124" s="177" t="s">
        <v>33</v>
      </c>
      <c r="L124" s="176" t="s">
        <v>10047</v>
      </c>
      <c r="M124" s="52" t="s">
        <v>46</v>
      </c>
      <c r="N124" s="54" t="s">
        <v>10496</v>
      </c>
      <c r="O124" s="55" t="str">
        <f t="shared" si="4"/>
        <v>L1.00.00.11.03.02</v>
      </c>
      <c r="P124" s="55" t="str">
        <f t="shared" si="5"/>
        <v>L1.00.00.11.03.02.07</v>
      </c>
      <c r="Q124" s="160" t="s">
        <v>10530</v>
      </c>
      <c r="R124" s="169" t="str">
        <f t="shared" si="6"/>
        <v>[MIMOSA] Nhóm Phân tích &amp; Thiết kế</v>
      </c>
      <c r="S124" s="97" t="s">
        <v>10719</v>
      </c>
      <c r="T124" s="96" t="s">
        <v>10048</v>
      </c>
      <c r="U124" s="96" t="s">
        <v>453</v>
      </c>
      <c r="V124" s="96" t="s">
        <v>607</v>
      </c>
      <c r="W124" s="96" t="s">
        <v>5009</v>
      </c>
      <c r="X124" s="96" t="s">
        <v>10047</v>
      </c>
      <c r="Y124" s="96"/>
      <c r="Z124" s="98" t="s">
        <v>10721</v>
      </c>
      <c r="AA124" s="153" t="s">
        <v>10530</v>
      </c>
      <c r="AB124" s="91"/>
      <c r="AC124" s="91"/>
      <c r="AD124" s="91"/>
    </row>
    <row r="125" ht="15.75" customHeight="1" outlineLevel="1">
      <c r="A125" s="170" t="s">
        <v>10535</v>
      </c>
      <c r="B125" s="51" t="s">
        <v>26</v>
      </c>
      <c r="C125" s="51" t="s">
        <v>27</v>
      </c>
      <c r="D125" s="52" t="s">
        <v>4</v>
      </c>
      <c r="E125" s="53" t="s">
        <v>27</v>
      </c>
      <c r="F125" s="52" t="s">
        <v>4</v>
      </c>
      <c r="G125" s="52" t="s">
        <v>61</v>
      </c>
      <c r="H125" s="176" t="s">
        <v>607</v>
      </c>
      <c r="I125" s="175" t="s">
        <v>37</v>
      </c>
      <c r="J125" s="176" t="s">
        <v>4380</v>
      </c>
      <c r="K125" s="175" t="s">
        <v>27</v>
      </c>
      <c r="L125" s="194" t="s">
        <v>4</v>
      </c>
      <c r="M125" s="52" t="s">
        <v>46</v>
      </c>
      <c r="N125" s="54" t="s">
        <v>10496</v>
      </c>
      <c r="O125" s="55" t="str">
        <f t="shared" si="4"/>
        <v>L1.00.00.11.04.00</v>
      </c>
      <c r="P125" s="55" t="str">
        <f t="shared" si="5"/>
        <v>L1.00.00.11.04.00.07</v>
      </c>
      <c r="Q125" s="160" t="s">
        <v>10530</v>
      </c>
      <c r="R125" s="169" t="str">
        <f t="shared" si="6"/>
        <v>Sản phẩm MISA Bamboo Online</v>
      </c>
      <c r="S125" s="97" t="s">
        <v>10517</v>
      </c>
      <c r="T125" s="96" t="s">
        <v>5429</v>
      </c>
      <c r="U125" s="96" t="s">
        <v>453</v>
      </c>
      <c r="V125" s="96" t="s">
        <v>607</v>
      </c>
      <c r="W125" s="96" t="s">
        <v>4380</v>
      </c>
      <c r="X125" s="96"/>
      <c r="Y125" s="96"/>
      <c r="Z125" s="98" t="s">
        <v>10722</v>
      </c>
      <c r="AA125" s="153" t="s">
        <v>10530</v>
      </c>
      <c r="AB125" s="91"/>
      <c r="AC125" s="91"/>
      <c r="AD125" s="91"/>
    </row>
    <row r="126" ht="15.75" customHeight="1" outlineLevel="1">
      <c r="A126" s="170" t="s">
        <v>10535</v>
      </c>
      <c r="B126" s="51" t="s">
        <v>26</v>
      </c>
      <c r="C126" s="51" t="s">
        <v>27</v>
      </c>
      <c r="D126" s="52" t="s">
        <v>4</v>
      </c>
      <c r="E126" s="53" t="s">
        <v>27</v>
      </c>
      <c r="F126" s="52" t="s">
        <v>4</v>
      </c>
      <c r="G126" s="52" t="s">
        <v>61</v>
      </c>
      <c r="H126" s="176" t="s">
        <v>607</v>
      </c>
      <c r="I126" s="175" t="s">
        <v>37</v>
      </c>
      <c r="J126" s="176" t="s">
        <v>4380</v>
      </c>
      <c r="K126" s="177" t="s">
        <v>29</v>
      </c>
      <c r="L126" s="176" t="s">
        <v>4379</v>
      </c>
      <c r="M126" s="52" t="s">
        <v>46</v>
      </c>
      <c r="N126" s="54" t="s">
        <v>10496</v>
      </c>
      <c r="O126" s="55" t="str">
        <f t="shared" si="4"/>
        <v>L1.00.00.11.04.01</v>
      </c>
      <c r="P126" s="55" t="str">
        <f t="shared" si="5"/>
        <v>L1.00.00.11.04.01.07</v>
      </c>
      <c r="Q126" s="160" t="s">
        <v>10530</v>
      </c>
      <c r="R126" s="169" t="str">
        <f t="shared" si="6"/>
        <v>Dự án MISA Bamboo Online</v>
      </c>
      <c r="S126" s="97" t="s">
        <v>10723</v>
      </c>
      <c r="T126" s="96" t="s">
        <v>4381</v>
      </c>
      <c r="U126" s="96" t="s">
        <v>453</v>
      </c>
      <c r="V126" s="96" t="s">
        <v>607</v>
      </c>
      <c r="W126" s="96" t="s">
        <v>4380</v>
      </c>
      <c r="X126" s="96" t="s">
        <v>4379</v>
      </c>
      <c r="Y126" s="96"/>
      <c r="Z126" s="98" t="s">
        <v>10724</v>
      </c>
      <c r="AA126" s="153" t="s">
        <v>10530</v>
      </c>
      <c r="AB126" s="91"/>
      <c r="AC126" s="91"/>
      <c r="AD126" s="91"/>
    </row>
    <row r="127" ht="15.75" customHeight="1" outlineLevel="1">
      <c r="A127" s="170" t="s">
        <v>10535</v>
      </c>
      <c r="B127" s="51" t="s">
        <v>26</v>
      </c>
      <c r="C127" s="51" t="s">
        <v>27</v>
      </c>
      <c r="D127" s="52" t="s">
        <v>4</v>
      </c>
      <c r="E127" s="53" t="s">
        <v>27</v>
      </c>
      <c r="F127" s="52" t="s">
        <v>4</v>
      </c>
      <c r="G127" s="52" t="s">
        <v>61</v>
      </c>
      <c r="H127" s="176" t="s">
        <v>607</v>
      </c>
      <c r="I127" s="175" t="s">
        <v>37</v>
      </c>
      <c r="J127" s="176" t="s">
        <v>4380</v>
      </c>
      <c r="K127" s="177" t="s">
        <v>33</v>
      </c>
      <c r="L127" s="176" t="s">
        <v>5620</v>
      </c>
      <c r="M127" s="52" t="s">
        <v>46</v>
      </c>
      <c r="N127" s="54" t="s">
        <v>10496</v>
      </c>
      <c r="O127" s="55" t="str">
        <f t="shared" si="4"/>
        <v>L1.00.00.11.04.02</v>
      </c>
      <c r="P127" s="55" t="str">
        <f t="shared" si="5"/>
        <v>L1.00.00.11.04.02.07</v>
      </c>
      <c r="Q127" s="160" t="s">
        <v>10530</v>
      </c>
      <c r="R127" s="169" t="str">
        <f t="shared" si="6"/>
        <v>[Bamboo Online] Nhóm Phân tích &amp; Thiết kế</v>
      </c>
      <c r="S127" s="97" t="s">
        <v>10723</v>
      </c>
      <c r="T127" s="96" t="s">
        <v>5621</v>
      </c>
      <c r="U127" s="96" t="s">
        <v>453</v>
      </c>
      <c r="V127" s="96" t="s">
        <v>607</v>
      </c>
      <c r="W127" s="96" t="s">
        <v>4380</v>
      </c>
      <c r="X127" s="96" t="s">
        <v>5620</v>
      </c>
      <c r="Y127" s="96"/>
      <c r="Z127" s="98" t="s">
        <v>10725</v>
      </c>
      <c r="AA127" s="153" t="s">
        <v>10530</v>
      </c>
      <c r="AB127" s="91"/>
      <c r="AC127" s="91"/>
      <c r="AD127" s="91"/>
    </row>
    <row r="128" ht="15.75" customHeight="1" outlineLevel="1">
      <c r="A128" s="170" t="s">
        <v>10535</v>
      </c>
      <c r="B128" s="51" t="s">
        <v>26</v>
      </c>
      <c r="C128" s="51" t="s">
        <v>27</v>
      </c>
      <c r="D128" s="52" t="s">
        <v>4</v>
      </c>
      <c r="E128" s="53" t="s">
        <v>27</v>
      </c>
      <c r="F128" s="52" t="s">
        <v>4</v>
      </c>
      <c r="G128" s="52" t="s">
        <v>61</v>
      </c>
      <c r="H128" s="176" t="s">
        <v>607</v>
      </c>
      <c r="I128" s="175" t="s">
        <v>42</v>
      </c>
      <c r="J128" s="176" t="s">
        <v>2697</v>
      </c>
      <c r="K128" s="175" t="s">
        <v>27</v>
      </c>
      <c r="L128" s="218" t="s">
        <v>4</v>
      </c>
      <c r="M128" s="52" t="s">
        <v>46</v>
      </c>
      <c r="N128" s="54" t="s">
        <v>10496</v>
      </c>
      <c r="O128" s="55" t="str">
        <f t="shared" si="4"/>
        <v>L1.00.00.11.05.00</v>
      </c>
      <c r="P128" s="55" t="str">
        <f t="shared" si="5"/>
        <v>L1.00.00.11.05.00.07</v>
      </c>
      <c r="Q128" s="160" t="s">
        <v>10530</v>
      </c>
      <c r="R128" s="169" t="str">
        <f t="shared" si="6"/>
        <v>Sản phẩm Quản lý ngân sách (BUMAS)</v>
      </c>
      <c r="S128" s="97" t="s">
        <v>10517</v>
      </c>
      <c r="T128" s="97" t="s">
        <v>10726</v>
      </c>
      <c r="U128" s="96" t="s">
        <v>453</v>
      </c>
      <c r="V128" s="96" t="s">
        <v>607</v>
      </c>
      <c r="W128" s="96" t="s">
        <v>2697</v>
      </c>
      <c r="X128" s="96" t="s">
        <v>2696</v>
      </c>
      <c r="Y128" s="96"/>
      <c r="Z128" s="98" t="s">
        <v>10727</v>
      </c>
      <c r="AA128" s="153" t="s">
        <v>10530</v>
      </c>
      <c r="AB128" s="91"/>
      <c r="AC128" s="91"/>
      <c r="AD128" s="91"/>
    </row>
    <row r="129" ht="15.75" customHeight="1" outlineLevel="1">
      <c r="A129" s="170" t="s">
        <v>10535</v>
      </c>
      <c r="B129" s="51" t="s">
        <v>26</v>
      </c>
      <c r="C129" s="51" t="s">
        <v>27</v>
      </c>
      <c r="D129" s="52" t="s">
        <v>4</v>
      </c>
      <c r="E129" s="53" t="s">
        <v>27</v>
      </c>
      <c r="F129" s="52" t="s">
        <v>4</v>
      </c>
      <c r="G129" s="52" t="s">
        <v>61</v>
      </c>
      <c r="H129" s="176" t="s">
        <v>607</v>
      </c>
      <c r="I129" s="175" t="s">
        <v>42</v>
      </c>
      <c r="J129" s="176" t="s">
        <v>2697</v>
      </c>
      <c r="K129" s="177" t="s">
        <v>29</v>
      </c>
      <c r="L129" s="176" t="s">
        <v>2696</v>
      </c>
      <c r="M129" s="52" t="s">
        <v>46</v>
      </c>
      <c r="N129" s="54" t="s">
        <v>10496</v>
      </c>
      <c r="O129" s="55" t="str">
        <f t="shared" si="4"/>
        <v>L1.00.00.11.05.01</v>
      </c>
      <c r="P129" s="55" t="str">
        <f t="shared" si="5"/>
        <v>L1.00.00.11.05.01.07</v>
      </c>
      <c r="Q129" s="160" t="s">
        <v>10530</v>
      </c>
      <c r="R129" s="169" t="str">
        <f t="shared" si="6"/>
        <v>Dự án Quản lý ngân sách nhà nước BUMAS Địa phương</v>
      </c>
      <c r="S129" s="97" t="s">
        <v>10728</v>
      </c>
      <c r="T129" s="96" t="s">
        <v>2698</v>
      </c>
      <c r="U129" s="96" t="s">
        <v>453</v>
      </c>
      <c r="V129" s="96" t="s">
        <v>607</v>
      </c>
      <c r="W129" s="96" t="s">
        <v>2697</v>
      </c>
      <c r="X129" s="96" t="s">
        <v>2696</v>
      </c>
      <c r="Y129" s="96"/>
      <c r="Z129" s="98" t="s">
        <v>10729</v>
      </c>
      <c r="AA129" s="153" t="s">
        <v>10530</v>
      </c>
      <c r="AB129" s="91"/>
      <c r="AC129" s="91"/>
      <c r="AD129" s="91"/>
    </row>
    <row r="130" ht="15.75" customHeight="1" outlineLevel="1">
      <c r="A130" s="170" t="s">
        <v>10535</v>
      </c>
      <c r="B130" s="51" t="s">
        <v>26</v>
      </c>
      <c r="C130" s="51" t="s">
        <v>27</v>
      </c>
      <c r="D130" s="52" t="s">
        <v>4</v>
      </c>
      <c r="E130" s="53" t="s">
        <v>27</v>
      </c>
      <c r="F130" s="52" t="s">
        <v>4</v>
      </c>
      <c r="G130" s="52" t="s">
        <v>61</v>
      </c>
      <c r="H130" s="176" t="s">
        <v>607</v>
      </c>
      <c r="I130" s="175" t="s">
        <v>42</v>
      </c>
      <c r="J130" s="176" t="s">
        <v>2697</v>
      </c>
      <c r="K130" s="177" t="s">
        <v>33</v>
      </c>
      <c r="L130" s="176" t="s">
        <v>4446</v>
      </c>
      <c r="M130" s="52" t="s">
        <v>46</v>
      </c>
      <c r="N130" s="54" t="s">
        <v>10496</v>
      </c>
      <c r="O130" s="55" t="str">
        <f t="shared" si="4"/>
        <v>L1.00.00.11.05.02</v>
      </c>
      <c r="P130" s="55" t="str">
        <f t="shared" si="5"/>
        <v>L1.00.00.11.05.02.07</v>
      </c>
      <c r="Q130" s="160" t="s">
        <v>10530</v>
      </c>
      <c r="R130" s="169" t="str">
        <f t="shared" si="6"/>
        <v>[BUMAS Địa phương] Nhóm Phân tích &amp; Thiết kế</v>
      </c>
      <c r="S130" s="97" t="s">
        <v>10728</v>
      </c>
      <c r="T130" s="96" t="s">
        <v>4447</v>
      </c>
      <c r="U130" s="96" t="s">
        <v>453</v>
      </c>
      <c r="V130" s="96" t="s">
        <v>607</v>
      </c>
      <c r="W130" s="96" t="s">
        <v>2697</v>
      </c>
      <c r="X130" s="96" t="s">
        <v>4446</v>
      </c>
      <c r="Y130" s="96"/>
      <c r="Z130" s="98" t="s">
        <v>10730</v>
      </c>
      <c r="AA130" s="153" t="s">
        <v>10530</v>
      </c>
      <c r="AB130" s="91"/>
      <c r="AC130" s="91"/>
      <c r="AD130" s="91"/>
    </row>
    <row r="131" ht="15.75" customHeight="1" outlineLevel="1">
      <c r="A131" s="170" t="s">
        <v>10535</v>
      </c>
      <c r="B131" s="51" t="s">
        <v>26</v>
      </c>
      <c r="C131" s="51" t="s">
        <v>27</v>
      </c>
      <c r="D131" s="52" t="s">
        <v>4</v>
      </c>
      <c r="E131" s="53" t="s">
        <v>27</v>
      </c>
      <c r="F131" s="52" t="s">
        <v>4</v>
      </c>
      <c r="G131" s="52" t="s">
        <v>61</v>
      </c>
      <c r="H131" s="176" t="s">
        <v>607</v>
      </c>
      <c r="I131" s="175" t="s">
        <v>44</v>
      </c>
      <c r="J131" s="176" t="s">
        <v>4927</v>
      </c>
      <c r="K131" s="175" t="s">
        <v>27</v>
      </c>
      <c r="L131" s="218" t="s">
        <v>4</v>
      </c>
      <c r="M131" s="52" t="s">
        <v>46</v>
      </c>
      <c r="N131" s="54" t="s">
        <v>10496</v>
      </c>
      <c r="O131" s="55" t="str">
        <f t="shared" si="4"/>
        <v>L1.00.00.11.06.00</v>
      </c>
      <c r="P131" s="55" t="str">
        <f t="shared" si="5"/>
        <v>L1.00.00.11.06.00.07</v>
      </c>
      <c r="Q131" s="160" t="s">
        <v>10530</v>
      </c>
      <c r="R131" s="186" t="str">
        <f t="shared" si="6"/>
        <v>Sản phẩm Tổng hợp báo cáo tài chính HCSN (LEKIMA)</v>
      </c>
      <c r="S131" s="97" t="s">
        <v>10517</v>
      </c>
      <c r="T131" s="97" t="s">
        <v>10731</v>
      </c>
      <c r="U131" s="96" t="s">
        <v>453</v>
      </c>
      <c r="V131" s="96" t="s">
        <v>607</v>
      </c>
      <c r="W131" s="96" t="s">
        <v>4927</v>
      </c>
      <c r="X131" s="96" t="s">
        <v>4926</v>
      </c>
      <c r="Y131" s="96"/>
      <c r="Z131" s="98" t="s">
        <v>10732</v>
      </c>
      <c r="AA131" s="153" t="s">
        <v>10530</v>
      </c>
      <c r="AB131" s="91"/>
      <c r="AC131" s="91"/>
      <c r="AD131" s="91"/>
    </row>
    <row r="132" ht="15.75" customHeight="1" outlineLevel="1">
      <c r="A132" s="170" t="s">
        <v>10535</v>
      </c>
      <c r="B132" s="51" t="s">
        <v>26</v>
      </c>
      <c r="C132" s="51" t="s">
        <v>27</v>
      </c>
      <c r="D132" s="52" t="s">
        <v>4</v>
      </c>
      <c r="E132" s="53" t="s">
        <v>27</v>
      </c>
      <c r="F132" s="52" t="s">
        <v>4</v>
      </c>
      <c r="G132" s="52" t="s">
        <v>61</v>
      </c>
      <c r="H132" s="176" t="s">
        <v>607</v>
      </c>
      <c r="I132" s="175" t="s">
        <v>44</v>
      </c>
      <c r="J132" s="176" t="s">
        <v>4927</v>
      </c>
      <c r="K132" s="177" t="s">
        <v>29</v>
      </c>
      <c r="L132" s="176" t="s">
        <v>4926</v>
      </c>
      <c r="M132" s="52" t="s">
        <v>46</v>
      </c>
      <c r="N132" s="54" t="s">
        <v>10496</v>
      </c>
      <c r="O132" s="55" t="str">
        <f t="shared" si="4"/>
        <v>L1.00.00.11.06.01</v>
      </c>
      <c r="P132" s="55" t="str">
        <f t="shared" si="5"/>
        <v>L1.00.00.11.06.01.07</v>
      </c>
      <c r="Q132" s="160" t="s">
        <v>10530</v>
      </c>
      <c r="R132" s="169" t="str">
        <f t="shared" si="6"/>
        <v>Dự án Tổng hợp báo cáo tài chính HCSN (LEKIMA)</v>
      </c>
      <c r="S132" s="97" t="s">
        <v>10733</v>
      </c>
      <c r="T132" s="96" t="s">
        <v>4928</v>
      </c>
      <c r="U132" s="96" t="s">
        <v>453</v>
      </c>
      <c r="V132" s="96" t="s">
        <v>607</v>
      </c>
      <c r="W132" s="96" t="s">
        <v>4927</v>
      </c>
      <c r="X132" s="96" t="s">
        <v>4926</v>
      </c>
      <c r="Y132" s="96"/>
      <c r="Z132" s="98" t="s">
        <v>10734</v>
      </c>
      <c r="AA132" s="153" t="s">
        <v>10530</v>
      </c>
      <c r="AB132" s="91"/>
      <c r="AC132" s="91"/>
      <c r="AD132" s="91"/>
    </row>
    <row r="133" ht="15.75" customHeight="1" outlineLevel="1">
      <c r="A133" s="170" t="s">
        <v>10535</v>
      </c>
      <c r="B133" s="51" t="s">
        <v>26</v>
      </c>
      <c r="C133" s="51" t="s">
        <v>27</v>
      </c>
      <c r="D133" s="52" t="s">
        <v>4</v>
      </c>
      <c r="E133" s="53" t="s">
        <v>27</v>
      </c>
      <c r="F133" s="52" t="s">
        <v>4</v>
      </c>
      <c r="G133" s="52" t="s">
        <v>61</v>
      </c>
      <c r="H133" s="176" t="s">
        <v>607</v>
      </c>
      <c r="I133" s="175" t="s">
        <v>46</v>
      </c>
      <c r="J133" s="176" t="s">
        <v>3035</v>
      </c>
      <c r="K133" s="175" t="s">
        <v>27</v>
      </c>
      <c r="L133" s="218" t="s">
        <v>4</v>
      </c>
      <c r="M133" s="52" t="s">
        <v>46</v>
      </c>
      <c r="N133" s="54" t="s">
        <v>10496</v>
      </c>
      <c r="O133" s="55" t="str">
        <f t="shared" si="4"/>
        <v>L1.00.00.11.07.00</v>
      </c>
      <c r="P133" s="55" t="str">
        <f t="shared" si="5"/>
        <v>L1.00.00.11.07.00.07</v>
      </c>
      <c r="Q133" s="160" t="s">
        <v>10530</v>
      </c>
      <c r="R133" s="169" t="str">
        <f t="shared" si="6"/>
        <v>Sản phẩm MISA QLCB</v>
      </c>
      <c r="S133" s="97" t="s">
        <v>10517</v>
      </c>
      <c r="T133" s="96" t="s">
        <v>4698</v>
      </c>
      <c r="U133" s="96" t="s">
        <v>453</v>
      </c>
      <c r="V133" s="96" t="s">
        <v>607</v>
      </c>
      <c r="W133" s="96" t="s">
        <v>3035</v>
      </c>
      <c r="X133" s="96"/>
      <c r="Y133" s="96"/>
      <c r="Z133" s="98" t="s">
        <v>10735</v>
      </c>
      <c r="AA133" s="153" t="s">
        <v>10530</v>
      </c>
      <c r="AB133" s="91"/>
      <c r="AC133" s="91"/>
      <c r="AD133" s="91"/>
    </row>
    <row r="134" ht="15.75" customHeight="1" outlineLevel="1">
      <c r="A134" s="170" t="s">
        <v>10535</v>
      </c>
      <c r="B134" s="51" t="s">
        <v>26</v>
      </c>
      <c r="C134" s="51" t="s">
        <v>27</v>
      </c>
      <c r="D134" s="52" t="s">
        <v>4</v>
      </c>
      <c r="E134" s="53" t="s">
        <v>27</v>
      </c>
      <c r="F134" s="52" t="s">
        <v>4</v>
      </c>
      <c r="G134" s="52" t="s">
        <v>61</v>
      </c>
      <c r="H134" s="176" t="s">
        <v>607</v>
      </c>
      <c r="I134" s="175" t="s">
        <v>46</v>
      </c>
      <c r="J134" s="176" t="s">
        <v>3035</v>
      </c>
      <c r="K134" s="177" t="s">
        <v>29</v>
      </c>
      <c r="L134" s="176" t="s">
        <v>5499</v>
      </c>
      <c r="M134" s="52" t="s">
        <v>46</v>
      </c>
      <c r="N134" s="54" t="s">
        <v>10496</v>
      </c>
      <c r="O134" s="55" t="str">
        <f t="shared" si="4"/>
        <v>L1.00.00.11.07.01</v>
      </c>
      <c r="P134" s="55" t="str">
        <f t="shared" si="5"/>
        <v>L1.00.00.11.07.01.07</v>
      </c>
      <c r="Q134" s="160" t="s">
        <v>10530</v>
      </c>
      <c r="R134" s="169" t="str">
        <f t="shared" si="6"/>
        <v>Dự án MISA QLCB</v>
      </c>
      <c r="S134" s="97" t="s">
        <v>10736</v>
      </c>
      <c r="T134" s="96" t="s">
        <v>5500</v>
      </c>
      <c r="U134" s="96" t="s">
        <v>453</v>
      </c>
      <c r="V134" s="96" t="s">
        <v>607</v>
      </c>
      <c r="W134" s="96" t="s">
        <v>3035</v>
      </c>
      <c r="X134" s="96" t="s">
        <v>5499</v>
      </c>
      <c r="Y134" s="96"/>
      <c r="Z134" s="98" t="s">
        <v>10737</v>
      </c>
      <c r="AA134" s="153" t="s">
        <v>10530</v>
      </c>
      <c r="AB134" s="91"/>
      <c r="AC134" s="91"/>
      <c r="AD134" s="91"/>
    </row>
    <row r="135" ht="15.75" customHeight="1" outlineLevel="1">
      <c r="A135" s="170" t="s">
        <v>10535</v>
      </c>
      <c r="B135" s="51" t="s">
        <v>26</v>
      </c>
      <c r="C135" s="51" t="s">
        <v>27</v>
      </c>
      <c r="D135" s="52" t="s">
        <v>4</v>
      </c>
      <c r="E135" s="53" t="s">
        <v>27</v>
      </c>
      <c r="F135" s="52" t="s">
        <v>4</v>
      </c>
      <c r="G135" s="52" t="s">
        <v>61</v>
      </c>
      <c r="H135" s="176" t="s">
        <v>607</v>
      </c>
      <c r="I135" s="175" t="s">
        <v>46</v>
      </c>
      <c r="J135" s="176" t="s">
        <v>3035</v>
      </c>
      <c r="K135" s="177" t="s">
        <v>33</v>
      </c>
      <c r="L135" s="176" t="s">
        <v>3034</v>
      </c>
      <c r="M135" s="52" t="s">
        <v>46</v>
      </c>
      <c r="N135" s="54" t="s">
        <v>10496</v>
      </c>
      <c r="O135" s="55" t="str">
        <f t="shared" si="4"/>
        <v>L1.00.00.11.07.02</v>
      </c>
      <c r="P135" s="55" t="str">
        <f t="shared" si="5"/>
        <v>L1.00.00.11.07.02.07</v>
      </c>
      <c r="Q135" s="160" t="s">
        <v>10530</v>
      </c>
      <c r="R135" s="169" t="str">
        <f t="shared" si="6"/>
        <v>[MISA QLCB] Nhóm Phân tích &amp; Thiết kế</v>
      </c>
      <c r="S135" s="97" t="s">
        <v>10736</v>
      </c>
      <c r="T135" s="96" t="s">
        <v>3036</v>
      </c>
      <c r="U135" s="96" t="s">
        <v>453</v>
      </c>
      <c r="V135" s="96" t="s">
        <v>607</v>
      </c>
      <c r="W135" s="96" t="s">
        <v>3035</v>
      </c>
      <c r="X135" s="96" t="s">
        <v>3034</v>
      </c>
      <c r="Y135" s="96"/>
      <c r="Z135" s="98" t="s">
        <v>10738</v>
      </c>
      <c r="AA135" s="153" t="s">
        <v>10530</v>
      </c>
      <c r="AB135" s="91"/>
      <c r="AC135" s="91"/>
      <c r="AD135" s="91"/>
    </row>
    <row r="136" ht="15.75" customHeight="1" outlineLevel="1">
      <c r="A136" s="170" t="s">
        <v>10535</v>
      </c>
      <c r="B136" s="51" t="s">
        <v>26</v>
      </c>
      <c r="C136" s="51" t="s">
        <v>27</v>
      </c>
      <c r="D136" s="52" t="s">
        <v>4</v>
      </c>
      <c r="E136" s="53" t="s">
        <v>27</v>
      </c>
      <c r="F136" s="52" t="s">
        <v>4</v>
      </c>
      <c r="G136" s="52" t="s">
        <v>61</v>
      </c>
      <c r="H136" s="176" t="s">
        <v>607</v>
      </c>
      <c r="I136" s="175" t="s">
        <v>49</v>
      </c>
      <c r="J136" s="176" t="s">
        <v>5626</v>
      </c>
      <c r="K136" s="175" t="s">
        <v>27</v>
      </c>
      <c r="L136" s="218" t="s">
        <v>4</v>
      </c>
      <c r="M136" s="52" t="s">
        <v>46</v>
      </c>
      <c r="N136" s="54" t="s">
        <v>10496</v>
      </c>
      <c r="O136" s="55" t="str">
        <f t="shared" si="4"/>
        <v>L1.00.00.11.08.00</v>
      </c>
      <c r="P136" s="55" t="str">
        <f t="shared" si="5"/>
        <v>L1.00.00.11.08.00.07</v>
      </c>
      <c r="Q136" s="160" t="s">
        <v>10530</v>
      </c>
      <c r="R136" s="169" t="str">
        <f t="shared" si="6"/>
        <v>Sản phẩm MISA TaskGo</v>
      </c>
      <c r="S136" s="97" t="s">
        <v>10517</v>
      </c>
      <c r="T136" s="97" t="s">
        <v>10739</v>
      </c>
      <c r="U136" s="96" t="s">
        <v>453</v>
      </c>
      <c r="V136" s="96" t="s">
        <v>607</v>
      </c>
      <c r="W136" s="96" t="s">
        <v>5626</v>
      </c>
      <c r="X136" s="96" t="s">
        <v>5625</v>
      </c>
      <c r="Y136" s="96"/>
      <c r="Z136" s="98" t="s">
        <v>10740</v>
      </c>
      <c r="AA136" s="153" t="s">
        <v>10530</v>
      </c>
      <c r="AB136" s="91"/>
      <c r="AC136" s="91"/>
      <c r="AD136" s="91"/>
    </row>
    <row r="137" ht="15.75" customHeight="1" outlineLevel="1">
      <c r="A137" s="170" t="s">
        <v>10535</v>
      </c>
      <c r="B137" s="51" t="s">
        <v>26</v>
      </c>
      <c r="C137" s="51" t="s">
        <v>27</v>
      </c>
      <c r="D137" s="52" t="s">
        <v>4</v>
      </c>
      <c r="E137" s="53" t="s">
        <v>27</v>
      </c>
      <c r="F137" s="52" t="s">
        <v>4</v>
      </c>
      <c r="G137" s="52" t="s">
        <v>61</v>
      </c>
      <c r="H137" s="176" t="s">
        <v>607</v>
      </c>
      <c r="I137" s="175" t="s">
        <v>49</v>
      </c>
      <c r="J137" s="176" t="s">
        <v>5626</v>
      </c>
      <c r="K137" s="177" t="s">
        <v>29</v>
      </c>
      <c r="L137" s="176" t="s">
        <v>5625</v>
      </c>
      <c r="M137" s="52" t="s">
        <v>46</v>
      </c>
      <c r="N137" s="54" t="s">
        <v>10496</v>
      </c>
      <c r="O137" s="55" t="str">
        <f t="shared" si="4"/>
        <v>L1.00.00.11.08.01</v>
      </c>
      <c r="P137" s="55" t="str">
        <f t="shared" si="5"/>
        <v>L1.00.00.11.08.01.07</v>
      </c>
      <c r="Q137" s="160" t="s">
        <v>10530</v>
      </c>
      <c r="R137" s="169" t="str">
        <f t="shared" si="6"/>
        <v>Dự án MISA TaskGo</v>
      </c>
      <c r="S137" s="97" t="s">
        <v>10741</v>
      </c>
      <c r="T137" s="96" t="s">
        <v>5627</v>
      </c>
      <c r="U137" s="96" t="s">
        <v>453</v>
      </c>
      <c r="V137" s="96" t="s">
        <v>607</v>
      </c>
      <c r="W137" s="96" t="s">
        <v>5626</v>
      </c>
      <c r="X137" s="96" t="s">
        <v>5625</v>
      </c>
      <c r="Y137" s="96"/>
      <c r="Z137" s="98" t="s">
        <v>10742</v>
      </c>
      <c r="AA137" s="153" t="s">
        <v>10530</v>
      </c>
      <c r="AB137" s="91"/>
      <c r="AC137" s="91"/>
      <c r="AD137" s="91"/>
    </row>
    <row r="138" ht="15.75" customHeight="1" outlineLevel="1">
      <c r="A138" s="170" t="s">
        <v>10535</v>
      </c>
      <c r="B138" s="51" t="s">
        <v>26</v>
      </c>
      <c r="C138" s="51" t="s">
        <v>27</v>
      </c>
      <c r="D138" s="52" t="s">
        <v>4</v>
      </c>
      <c r="E138" s="53" t="s">
        <v>27</v>
      </c>
      <c r="F138" s="52" t="s">
        <v>4</v>
      </c>
      <c r="G138" s="52" t="s">
        <v>61</v>
      </c>
      <c r="H138" s="176" t="s">
        <v>607</v>
      </c>
      <c r="I138" s="175" t="s">
        <v>49</v>
      </c>
      <c r="J138" s="176" t="s">
        <v>5626</v>
      </c>
      <c r="K138" s="177" t="s">
        <v>33</v>
      </c>
      <c r="L138" s="176" t="s">
        <v>6093</v>
      </c>
      <c r="M138" s="52" t="s">
        <v>46</v>
      </c>
      <c r="N138" s="54" t="s">
        <v>10496</v>
      </c>
      <c r="O138" s="55" t="str">
        <f t="shared" si="4"/>
        <v>L1.00.00.11.08.02</v>
      </c>
      <c r="P138" s="55" t="str">
        <f t="shared" si="5"/>
        <v>L1.00.00.11.08.02.07</v>
      </c>
      <c r="Q138" s="160" t="s">
        <v>10530</v>
      </c>
      <c r="R138" s="169" t="str">
        <f t="shared" si="6"/>
        <v>Dự án MISA TaskGo 2</v>
      </c>
      <c r="S138" s="97" t="s">
        <v>10741</v>
      </c>
      <c r="T138" s="96" t="s">
        <v>6094</v>
      </c>
      <c r="U138" s="96" t="s">
        <v>453</v>
      </c>
      <c r="V138" s="96" t="s">
        <v>607</v>
      </c>
      <c r="W138" s="96" t="s">
        <v>5626</v>
      </c>
      <c r="X138" s="96" t="s">
        <v>6093</v>
      </c>
      <c r="Y138" s="96"/>
      <c r="Z138" s="98" t="s">
        <v>10743</v>
      </c>
      <c r="AA138" s="153" t="s">
        <v>10530</v>
      </c>
      <c r="AB138" s="91"/>
      <c r="AC138" s="91"/>
      <c r="AD138" s="91"/>
    </row>
    <row r="139" ht="15.75" customHeight="1" outlineLevel="1">
      <c r="A139" s="170" t="s">
        <v>10535</v>
      </c>
      <c r="B139" s="51" t="s">
        <v>26</v>
      </c>
      <c r="C139" s="51" t="s">
        <v>27</v>
      </c>
      <c r="D139" s="52" t="s">
        <v>4</v>
      </c>
      <c r="E139" s="53" t="s">
        <v>27</v>
      </c>
      <c r="F139" s="52" t="s">
        <v>4</v>
      </c>
      <c r="G139" s="52" t="s">
        <v>61</v>
      </c>
      <c r="H139" s="176" t="s">
        <v>607</v>
      </c>
      <c r="I139" s="175" t="s">
        <v>51</v>
      </c>
      <c r="J139" s="176" t="s">
        <v>4856</v>
      </c>
      <c r="K139" s="175" t="s">
        <v>27</v>
      </c>
      <c r="L139" s="218" t="s">
        <v>4</v>
      </c>
      <c r="M139" s="52" t="s">
        <v>46</v>
      </c>
      <c r="N139" s="54" t="s">
        <v>10496</v>
      </c>
      <c r="O139" s="55" t="str">
        <f t="shared" si="4"/>
        <v>L1.00.00.11.09.00</v>
      </c>
      <c r="P139" s="55" t="str">
        <f t="shared" si="5"/>
        <v>L1.00.00.11.09.00.07</v>
      </c>
      <c r="Q139" s="160" t="s">
        <v>10530</v>
      </c>
      <c r="R139" s="169" t="str">
        <f t="shared" si="6"/>
        <v>Sản phẩm MISA CeGov</v>
      </c>
      <c r="S139" s="97" t="s">
        <v>10517</v>
      </c>
      <c r="T139" s="97" t="s">
        <v>10744</v>
      </c>
      <c r="U139" s="96" t="s">
        <v>453</v>
      </c>
      <c r="V139" s="96" t="s">
        <v>607</v>
      </c>
      <c r="W139" s="96" t="s">
        <v>4856</v>
      </c>
      <c r="X139" s="96"/>
      <c r="Y139" s="96"/>
      <c r="Z139" s="98" t="s">
        <v>10745</v>
      </c>
      <c r="AA139" s="153" t="s">
        <v>10530</v>
      </c>
      <c r="AB139" s="91"/>
      <c r="AC139" s="91"/>
      <c r="AD139" s="91"/>
    </row>
    <row r="140" ht="15.75" customHeight="1" outlineLevel="1">
      <c r="A140" s="170" t="s">
        <v>10535</v>
      </c>
      <c r="B140" s="51" t="s">
        <v>26</v>
      </c>
      <c r="C140" s="51" t="s">
        <v>27</v>
      </c>
      <c r="D140" s="52" t="s">
        <v>4</v>
      </c>
      <c r="E140" s="53" t="s">
        <v>27</v>
      </c>
      <c r="F140" s="52" t="s">
        <v>4</v>
      </c>
      <c r="G140" s="52" t="s">
        <v>61</v>
      </c>
      <c r="H140" s="176" t="s">
        <v>607</v>
      </c>
      <c r="I140" s="175" t="s">
        <v>51</v>
      </c>
      <c r="J140" s="176" t="s">
        <v>4856</v>
      </c>
      <c r="K140" s="175" t="s">
        <v>29</v>
      </c>
      <c r="L140" s="176" t="s">
        <v>4855</v>
      </c>
      <c r="M140" s="52" t="s">
        <v>46</v>
      </c>
      <c r="N140" s="54" t="s">
        <v>10496</v>
      </c>
      <c r="O140" s="55" t="str">
        <f t="shared" si="4"/>
        <v>L1.00.00.11.09.01</v>
      </c>
      <c r="P140" s="55" t="str">
        <f t="shared" si="5"/>
        <v>L1.00.00.11.09.01.07</v>
      </c>
      <c r="Q140" s="160" t="s">
        <v>10530</v>
      </c>
      <c r="R140" s="169" t="str">
        <f t="shared" si="6"/>
        <v>Dự án MISA CeGov</v>
      </c>
      <c r="S140" s="97" t="s">
        <v>10746</v>
      </c>
      <c r="T140" s="96" t="s">
        <v>4857</v>
      </c>
      <c r="U140" s="96" t="s">
        <v>453</v>
      </c>
      <c r="V140" s="96" t="s">
        <v>607</v>
      </c>
      <c r="W140" s="96" t="s">
        <v>4856</v>
      </c>
      <c r="X140" s="96" t="s">
        <v>4855</v>
      </c>
      <c r="Y140" s="96"/>
      <c r="Z140" s="98" t="s">
        <v>10747</v>
      </c>
      <c r="AA140" s="153" t="s">
        <v>10530</v>
      </c>
      <c r="AB140" s="91"/>
      <c r="AC140" s="91"/>
      <c r="AD140" s="91"/>
    </row>
    <row r="141" ht="15.75" customHeight="1" outlineLevel="1">
      <c r="A141" s="170" t="s">
        <v>10535</v>
      </c>
      <c r="B141" s="51" t="s">
        <v>26</v>
      </c>
      <c r="C141" s="51" t="s">
        <v>27</v>
      </c>
      <c r="D141" s="52" t="s">
        <v>4</v>
      </c>
      <c r="E141" s="53" t="s">
        <v>27</v>
      </c>
      <c r="F141" s="52" t="s">
        <v>4</v>
      </c>
      <c r="G141" s="52" t="s">
        <v>61</v>
      </c>
      <c r="H141" s="176" t="s">
        <v>607</v>
      </c>
      <c r="I141" s="175" t="s">
        <v>55</v>
      </c>
      <c r="J141" s="176" t="s">
        <v>3247</v>
      </c>
      <c r="K141" s="172" t="s">
        <v>27</v>
      </c>
      <c r="L141" s="218" t="s">
        <v>4</v>
      </c>
      <c r="M141" s="52" t="s">
        <v>46</v>
      </c>
      <c r="N141" s="54" t="s">
        <v>10496</v>
      </c>
      <c r="O141" s="55" t="str">
        <f t="shared" si="4"/>
        <v>L1.00.00.11.10.00</v>
      </c>
      <c r="P141" s="55" t="str">
        <f t="shared" si="5"/>
        <v>L1.00.00.11.10.00.07</v>
      </c>
      <c r="Q141" s="160" t="s">
        <v>10530</v>
      </c>
      <c r="R141" s="169" t="str">
        <f t="shared" si="6"/>
        <v>Sản phẩm QLTS.VN</v>
      </c>
      <c r="S141" s="97" t="s">
        <v>10517</v>
      </c>
      <c r="T141" s="96" t="s">
        <v>10432</v>
      </c>
      <c r="U141" s="96" t="s">
        <v>453</v>
      </c>
      <c r="V141" s="96" t="s">
        <v>607</v>
      </c>
      <c r="W141" s="96" t="s">
        <v>3247</v>
      </c>
      <c r="X141" s="96"/>
      <c r="Y141" s="96"/>
      <c r="Z141" s="220" t="s">
        <v>10748</v>
      </c>
      <c r="AA141" s="153" t="s">
        <v>10530</v>
      </c>
      <c r="AB141" s="91"/>
      <c r="AC141" s="91"/>
      <c r="AD141" s="91"/>
    </row>
    <row r="142" ht="15.75" customHeight="1" outlineLevel="1">
      <c r="A142" s="170" t="s">
        <v>10535</v>
      </c>
      <c r="B142" s="51" t="s">
        <v>26</v>
      </c>
      <c r="C142" s="51" t="s">
        <v>27</v>
      </c>
      <c r="D142" s="52" t="s">
        <v>4</v>
      </c>
      <c r="E142" s="53" t="s">
        <v>27</v>
      </c>
      <c r="F142" s="52" t="s">
        <v>4</v>
      </c>
      <c r="G142" s="52" t="s">
        <v>61</v>
      </c>
      <c r="H142" s="176" t="s">
        <v>607</v>
      </c>
      <c r="I142" s="175" t="s">
        <v>55</v>
      </c>
      <c r="J142" s="176" t="s">
        <v>3247</v>
      </c>
      <c r="K142" s="221" t="s">
        <v>29</v>
      </c>
      <c r="L142" s="176" t="s">
        <v>3246</v>
      </c>
      <c r="M142" s="52" t="s">
        <v>46</v>
      </c>
      <c r="N142" s="54" t="s">
        <v>10496</v>
      </c>
      <c r="O142" s="55" t="str">
        <f t="shared" si="4"/>
        <v>L1.00.00.11.10.01</v>
      </c>
      <c r="P142" s="55" t="str">
        <f t="shared" si="5"/>
        <v>L1.00.00.11.10.01.07</v>
      </c>
      <c r="Q142" s="160" t="s">
        <v>10530</v>
      </c>
      <c r="R142" s="169" t="str">
        <f t="shared" si="6"/>
        <v>Dự án QLTS.VN</v>
      </c>
      <c r="S142" s="97" t="s">
        <v>10749</v>
      </c>
      <c r="T142" s="96" t="s">
        <v>3248</v>
      </c>
      <c r="U142" s="96" t="s">
        <v>453</v>
      </c>
      <c r="V142" s="96" t="s">
        <v>607</v>
      </c>
      <c r="W142" s="96" t="s">
        <v>3247</v>
      </c>
      <c r="X142" s="96" t="s">
        <v>3246</v>
      </c>
      <c r="Y142" s="96"/>
      <c r="Z142" s="98" t="s">
        <v>10750</v>
      </c>
      <c r="AA142" s="153" t="s">
        <v>10530</v>
      </c>
      <c r="AB142" s="91"/>
      <c r="AC142" s="91"/>
      <c r="AD142" s="91"/>
    </row>
    <row r="143" ht="15.75" customHeight="1" outlineLevel="1">
      <c r="A143" s="170" t="s">
        <v>10535</v>
      </c>
      <c r="B143" s="51" t="s">
        <v>26</v>
      </c>
      <c r="C143" s="51" t="s">
        <v>27</v>
      </c>
      <c r="D143" s="52" t="s">
        <v>4</v>
      </c>
      <c r="E143" s="53" t="s">
        <v>27</v>
      </c>
      <c r="F143" s="52" t="s">
        <v>4</v>
      </c>
      <c r="G143" s="52" t="s">
        <v>61</v>
      </c>
      <c r="H143" s="176" t="s">
        <v>607</v>
      </c>
      <c r="I143" s="175" t="s">
        <v>55</v>
      </c>
      <c r="J143" s="176" t="s">
        <v>3247</v>
      </c>
      <c r="K143" s="221" t="s">
        <v>33</v>
      </c>
      <c r="L143" s="176" t="s">
        <v>3388</v>
      </c>
      <c r="M143" s="52" t="s">
        <v>46</v>
      </c>
      <c r="N143" s="54" t="s">
        <v>10496</v>
      </c>
      <c r="O143" s="55" t="str">
        <f t="shared" si="4"/>
        <v>L1.00.00.11.10.02</v>
      </c>
      <c r="P143" s="55" t="str">
        <f t="shared" si="5"/>
        <v>L1.00.00.11.10.02.07</v>
      </c>
      <c r="Q143" s="160" t="s">
        <v>10530</v>
      </c>
      <c r="R143" s="169" t="str">
        <f t="shared" si="6"/>
        <v>[QLTS] Nhóm Phân tích &amp; Thiết kế</v>
      </c>
      <c r="S143" s="97" t="s">
        <v>10749</v>
      </c>
      <c r="T143" s="96" t="s">
        <v>3389</v>
      </c>
      <c r="U143" s="96" t="s">
        <v>453</v>
      </c>
      <c r="V143" s="96" t="s">
        <v>607</v>
      </c>
      <c r="W143" s="96" t="s">
        <v>3247</v>
      </c>
      <c r="X143" s="96" t="s">
        <v>3388</v>
      </c>
      <c r="Y143" s="96"/>
      <c r="Z143" s="98" t="s">
        <v>10751</v>
      </c>
      <c r="AA143" s="153" t="s">
        <v>10530</v>
      </c>
      <c r="AB143" s="91"/>
      <c r="AC143" s="91"/>
      <c r="AD143" s="91"/>
    </row>
    <row r="144" ht="15.75" customHeight="1" outlineLevel="1">
      <c r="A144" s="170" t="s">
        <v>10535</v>
      </c>
      <c r="B144" s="51" t="s">
        <v>26</v>
      </c>
      <c r="C144" s="51" t="s">
        <v>27</v>
      </c>
      <c r="D144" s="52" t="s">
        <v>4</v>
      </c>
      <c r="E144" s="53" t="s">
        <v>27</v>
      </c>
      <c r="F144" s="52" t="s">
        <v>4</v>
      </c>
      <c r="G144" s="52" t="s">
        <v>61</v>
      </c>
      <c r="H144" s="176" t="s">
        <v>607</v>
      </c>
      <c r="I144" s="177" t="s">
        <v>61</v>
      </c>
      <c r="J144" s="176" t="s">
        <v>608</v>
      </c>
      <c r="K144" s="172" t="s">
        <v>27</v>
      </c>
      <c r="L144" s="218" t="s">
        <v>4</v>
      </c>
      <c r="M144" s="52" t="s">
        <v>46</v>
      </c>
      <c r="N144" s="54" t="s">
        <v>10496</v>
      </c>
      <c r="O144" s="55" t="str">
        <f t="shared" si="4"/>
        <v>L1.00.00.11.11.00</v>
      </c>
      <c r="P144" s="55" t="str">
        <f t="shared" si="5"/>
        <v>L1.00.00.11.11.00.07</v>
      </c>
      <c r="Q144" s="160" t="s">
        <v>10530</v>
      </c>
      <c r="R144" s="169" t="str">
        <f t="shared" si="6"/>
        <v>Sản phẩm MISA SalaGov</v>
      </c>
      <c r="S144" s="97" t="s">
        <v>10517</v>
      </c>
      <c r="T144" s="97" t="s">
        <v>10752</v>
      </c>
      <c r="U144" s="96" t="s">
        <v>453</v>
      </c>
      <c r="V144" s="96" t="s">
        <v>607</v>
      </c>
      <c r="W144" s="96" t="s">
        <v>608</v>
      </c>
      <c r="X144" s="96" t="s">
        <v>606</v>
      </c>
      <c r="Y144" s="96"/>
      <c r="Z144" s="98" t="s">
        <v>10753</v>
      </c>
      <c r="AA144" s="153" t="s">
        <v>10530</v>
      </c>
      <c r="AB144" s="91"/>
      <c r="AC144" s="91"/>
      <c r="AD144" s="91"/>
    </row>
    <row r="145" ht="15.75" customHeight="1" outlineLevel="1">
      <c r="A145" s="170" t="s">
        <v>10535</v>
      </c>
      <c r="B145" s="51" t="s">
        <v>26</v>
      </c>
      <c r="C145" s="51" t="s">
        <v>27</v>
      </c>
      <c r="D145" s="52" t="s">
        <v>4</v>
      </c>
      <c r="E145" s="53" t="s">
        <v>27</v>
      </c>
      <c r="F145" s="52" t="s">
        <v>4</v>
      </c>
      <c r="G145" s="52" t="s">
        <v>61</v>
      </c>
      <c r="H145" s="176" t="s">
        <v>607</v>
      </c>
      <c r="I145" s="177" t="s">
        <v>61</v>
      </c>
      <c r="J145" s="176" t="s">
        <v>608</v>
      </c>
      <c r="K145" s="221" t="s">
        <v>29</v>
      </c>
      <c r="L145" s="176" t="s">
        <v>606</v>
      </c>
      <c r="M145" s="52" t="s">
        <v>46</v>
      </c>
      <c r="N145" s="54" t="s">
        <v>10496</v>
      </c>
      <c r="O145" s="55" t="str">
        <f t="shared" si="4"/>
        <v>L1.00.00.11.11.01</v>
      </c>
      <c r="P145" s="55" t="str">
        <f t="shared" si="5"/>
        <v>L1.00.00.11.11.01.07</v>
      </c>
      <c r="Q145" s="160" t="s">
        <v>10530</v>
      </c>
      <c r="R145" s="169" t="str">
        <f t="shared" si="6"/>
        <v>Dự án MISA SalaGov</v>
      </c>
      <c r="S145" s="97" t="s">
        <v>10754</v>
      </c>
      <c r="T145" s="96" t="s">
        <v>609</v>
      </c>
      <c r="U145" s="96" t="s">
        <v>453</v>
      </c>
      <c r="V145" s="96" t="s">
        <v>607</v>
      </c>
      <c r="W145" s="96" t="s">
        <v>608</v>
      </c>
      <c r="X145" s="96" t="s">
        <v>606</v>
      </c>
      <c r="Y145" s="96"/>
      <c r="Z145" s="98" t="s">
        <v>10755</v>
      </c>
      <c r="AA145" s="153" t="s">
        <v>10530</v>
      </c>
      <c r="AB145" s="91"/>
      <c r="AC145" s="91"/>
      <c r="AD145" s="91"/>
    </row>
    <row r="146" ht="15.75" customHeight="1" outlineLevel="1">
      <c r="A146" s="177" t="s">
        <v>10535</v>
      </c>
      <c r="B146" s="221" t="s">
        <v>26</v>
      </c>
      <c r="C146" s="221" t="s">
        <v>27</v>
      </c>
      <c r="D146" s="172" t="s">
        <v>4</v>
      </c>
      <c r="E146" s="222" t="s">
        <v>27</v>
      </c>
      <c r="F146" s="172" t="s">
        <v>4</v>
      </c>
      <c r="G146" s="172" t="s">
        <v>61</v>
      </c>
      <c r="H146" s="176" t="s">
        <v>607</v>
      </c>
      <c r="I146" s="177" t="s">
        <v>61</v>
      </c>
      <c r="J146" s="176" t="s">
        <v>608</v>
      </c>
      <c r="K146" s="221" t="s">
        <v>33</v>
      </c>
      <c r="L146" s="176" t="s">
        <v>3425</v>
      </c>
      <c r="M146" s="172" t="s">
        <v>46</v>
      </c>
      <c r="N146" s="171" t="s">
        <v>10496</v>
      </c>
      <c r="O146" s="55" t="str">
        <f t="shared" si="4"/>
        <v>L1.00.00.11.11.02</v>
      </c>
      <c r="P146" s="173" t="str">
        <f t="shared" si="5"/>
        <v>L1.00.00.11.11.02.07</v>
      </c>
      <c r="Q146" s="160" t="s">
        <v>10530</v>
      </c>
      <c r="R146" s="223" t="str">
        <f t="shared" si="6"/>
        <v>[SalaGov] Nhóm Phân tích &amp; Thiết kế</v>
      </c>
      <c r="S146" s="224" t="s">
        <v>10754</v>
      </c>
      <c r="T146" s="176" t="s">
        <v>3426</v>
      </c>
      <c r="U146" s="176" t="s">
        <v>453</v>
      </c>
      <c r="V146" s="176" t="s">
        <v>607</v>
      </c>
      <c r="W146" s="176" t="s">
        <v>608</v>
      </c>
      <c r="X146" s="176" t="s">
        <v>3425</v>
      </c>
      <c r="Y146" s="176"/>
      <c r="Z146" s="225" t="s">
        <v>10756</v>
      </c>
      <c r="AA146" s="153" t="s">
        <v>10530</v>
      </c>
      <c r="AB146" s="226"/>
      <c r="AC146" s="226"/>
      <c r="AD146" s="226"/>
    </row>
    <row r="147" ht="15.75" customHeight="1" outlineLevel="1">
      <c r="A147" s="170" t="s">
        <v>10535</v>
      </c>
      <c r="B147" s="51" t="s">
        <v>26</v>
      </c>
      <c r="C147" s="51" t="s">
        <v>27</v>
      </c>
      <c r="D147" s="52" t="s">
        <v>4</v>
      </c>
      <c r="E147" s="53" t="s">
        <v>27</v>
      </c>
      <c r="F147" s="52" t="s">
        <v>4</v>
      </c>
      <c r="G147" s="52" t="s">
        <v>61</v>
      </c>
      <c r="H147" s="176" t="s">
        <v>607</v>
      </c>
      <c r="I147" s="177" t="s">
        <v>64</v>
      </c>
      <c r="J147" s="176" t="s">
        <v>5207</v>
      </c>
      <c r="K147" s="172" t="s">
        <v>27</v>
      </c>
      <c r="L147" s="174" t="s">
        <v>4</v>
      </c>
      <c r="M147" s="52" t="s">
        <v>46</v>
      </c>
      <c r="N147" s="54" t="s">
        <v>10496</v>
      </c>
      <c r="O147" s="55" t="str">
        <f t="shared" si="4"/>
        <v>L1.00.00.11.12.00</v>
      </c>
      <c r="P147" s="55" t="str">
        <f t="shared" si="5"/>
        <v>L1.00.00.11.12.00.07</v>
      </c>
      <c r="Q147" s="160" t="s">
        <v>10530</v>
      </c>
      <c r="R147" s="169" t="str">
        <f t="shared" si="6"/>
        <v>Nhóm chuyên gia Khối SP HCSN</v>
      </c>
      <c r="S147" s="97" t="s">
        <v>10517</v>
      </c>
      <c r="T147" s="96" t="s">
        <v>5208</v>
      </c>
      <c r="U147" s="96" t="s">
        <v>453</v>
      </c>
      <c r="V147" s="96" t="s">
        <v>607</v>
      </c>
      <c r="W147" s="96" t="s">
        <v>5207</v>
      </c>
      <c r="X147" s="96"/>
      <c r="Y147" s="96"/>
      <c r="Z147" s="98" t="s">
        <v>10757</v>
      </c>
      <c r="AA147" s="153" t="s">
        <v>10530</v>
      </c>
      <c r="AB147" s="91"/>
      <c r="AC147" s="91"/>
      <c r="AD147" s="91"/>
    </row>
    <row r="148" ht="15.75" customHeight="1" outlineLevel="1">
      <c r="A148" s="170" t="s">
        <v>10535</v>
      </c>
      <c r="B148" s="51" t="s">
        <v>26</v>
      </c>
      <c r="C148" s="51" t="s">
        <v>27</v>
      </c>
      <c r="D148" s="52" t="s">
        <v>4</v>
      </c>
      <c r="E148" s="53" t="s">
        <v>27</v>
      </c>
      <c r="F148" s="52" t="s">
        <v>4</v>
      </c>
      <c r="G148" s="52" t="s">
        <v>61</v>
      </c>
      <c r="H148" s="176" t="s">
        <v>607</v>
      </c>
      <c r="I148" s="177" t="s">
        <v>67</v>
      </c>
      <c r="J148" s="176" t="s">
        <v>6890</v>
      </c>
      <c r="K148" s="172" t="s">
        <v>27</v>
      </c>
      <c r="L148" s="194" t="s">
        <v>4</v>
      </c>
      <c r="M148" s="52" t="s">
        <v>46</v>
      </c>
      <c r="N148" s="54" t="s">
        <v>10496</v>
      </c>
      <c r="O148" s="55" t="str">
        <f t="shared" si="4"/>
        <v>L1.00.00.11.13.00</v>
      </c>
      <c r="P148" s="55" t="str">
        <f t="shared" si="5"/>
        <v>L1.00.00.11.13.00.07</v>
      </c>
      <c r="Q148" s="160" t="s">
        <v>10530</v>
      </c>
      <c r="R148" s="169" t="str">
        <f t="shared" si="6"/>
        <v>Sản phẩm MISA Panda Online</v>
      </c>
      <c r="S148" s="97" t="s">
        <v>10517</v>
      </c>
      <c r="T148" s="97" t="s">
        <v>10758</v>
      </c>
      <c r="U148" s="96" t="s">
        <v>453</v>
      </c>
      <c r="V148" s="96" t="s">
        <v>607</v>
      </c>
      <c r="W148" s="96" t="s">
        <v>6890</v>
      </c>
      <c r="X148" s="96" t="s">
        <v>6889</v>
      </c>
      <c r="Y148" s="96"/>
      <c r="Z148" s="98" t="s">
        <v>10759</v>
      </c>
      <c r="AA148" s="153" t="s">
        <v>10530</v>
      </c>
      <c r="AB148" s="91"/>
      <c r="AC148" s="91"/>
      <c r="AD148" s="91"/>
    </row>
    <row r="149" ht="15.75" customHeight="1" outlineLevel="1">
      <c r="A149" s="170" t="s">
        <v>10535</v>
      </c>
      <c r="B149" s="51" t="s">
        <v>26</v>
      </c>
      <c r="C149" s="51" t="s">
        <v>27</v>
      </c>
      <c r="D149" s="52" t="s">
        <v>4</v>
      </c>
      <c r="E149" s="53" t="s">
        <v>27</v>
      </c>
      <c r="F149" s="52" t="s">
        <v>4</v>
      </c>
      <c r="G149" s="52" t="s">
        <v>61</v>
      </c>
      <c r="H149" s="176" t="s">
        <v>607</v>
      </c>
      <c r="I149" s="177" t="s">
        <v>67</v>
      </c>
      <c r="J149" s="176" t="s">
        <v>6890</v>
      </c>
      <c r="K149" s="221" t="s">
        <v>29</v>
      </c>
      <c r="L149" s="176" t="s">
        <v>6889</v>
      </c>
      <c r="M149" s="52" t="s">
        <v>46</v>
      </c>
      <c r="N149" s="54" t="s">
        <v>10496</v>
      </c>
      <c r="O149" s="55" t="str">
        <f t="shared" si="4"/>
        <v>L1.00.00.11.13.01</v>
      </c>
      <c r="P149" s="55" t="str">
        <f t="shared" si="5"/>
        <v>L1.00.00.11.13.01.07</v>
      </c>
      <c r="Q149" s="160" t="s">
        <v>10530</v>
      </c>
      <c r="R149" s="169" t="str">
        <f t="shared" si="6"/>
        <v>[MISA Panda Online] Nhóm Phân tích &amp; Thiết kế</v>
      </c>
      <c r="S149" s="227" t="s">
        <v>10760</v>
      </c>
      <c r="T149" s="96" t="s">
        <v>6891</v>
      </c>
      <c r="U149" s="96" t="s">
        <v>453</v>
      </c>
      <c r="V149" s="96" t="s">
        <v>607</v>
      </c>
      <c r="W149" s="96" t="s">
        <v>6890</v>
      </c>
      <c r="X149" s="96" t="s">
        <v>6889</v>
      </c>
      <c r="Y149" s="96"/>
      <c r="Z149" s="98" t="s">
        <v>10761</v>
      </c>
      <c r="AA149" s="153" t="s">
        <v>10530</v>
      </c>
      <c r="AB149" s="91"/>
      <c r="AC149" s="91"/>
      <c r="AD149" s="91"/>
    </row>
    <row r="150" ht="15.75" customHeight="1" outlineLevel="1">
      <c r="A150" s="178" t="s">
        <v>10535</v>
      </c>
      <c r="B150" s="180" t="s">
        <v>26</v>
      </c>
      <c r="C150" s="180" t="s">
        <v>27</v>
      </c>
      <c r="D150" s="64" t="s">
        <v>4</v>
      </c>
      <c r="E150" s="71" t="s">
        <v>27</v>
      </c>
      <c r="F150" s="64" t="s">
        <v>4</v>
      </c>
      <c r="G150" s="64" t="s">
        <v>61</v>
      </c>
      <c r="H150" s="183" t="s">
        <v>607</v>
      </c>
      <c r="I150" s="228">
        <v>14.0</v>
      </c>
      <c r="J150" s="184" t="s">
        <v>10762</v>
      </c>
      <c r="K150" s="182" t="s">
        <v>27</v>
      </c>
      <c r="L150" s="184" t="s">
        <v>4</v>
      </c>
      <c r="M150" s="64" t="s">
        <v>46</v>
      </c>
      <c r="N150" s="70" t="s">
        <v>10496</v>
      </c>
      <c r="O150" s="58" t="str">
        <f t="shared" si="4"/>
        <v>L1.00.00.11.14.00</v>
      </c>
      <c r="P150" s="58" t="str">
        <f t="shared" si="5"/>
        <v>L1.00.00.11.14.00.07</v>
      </c>
      <c r="Q150" s="185" t="s">
        <v>10530</v>
      </c>
      <c r="R150" s="186" t="str">
        <f t="shared" si="6"/>
        <v>Sản phẩm HCSN Mobile</v>
      </c>
      <c r="S150" s="229" t="s">
        <v>10517</v>
      </c>
      <c r="T150" s="187" t="s">
        <v>10763</v>
      </c>
      <c r="U150" s="189" t="s">
        <v>453</v>
      </c>
      <c r="V150" s="189" t="s">
        <v>607</v>
      </c>
      <c r="W150" s="184" t="s">
        <v>10762</v>
      </c>
      <c r="X150" s="189"/>
      <c r="Y150" s="189"/>
      <c r="Z150" s="191" t="s">
        <v>10764</v>
      </c>
      <c r="AA150" s="192" t="s">
        <v>10530</v>
      </c>
      <c r="AB150" s="193"/>
      <c r="AC150" s="193"/>
      <c r="AD150" s="193"/>
    </row>
    <row r="151" ht="15.75" customHeight="1" outlineLevel="1">
      <c r="A151" s="170" t="s">
        <v>10535</v>
      </c>
      <c r="B151" s="51" t="s">
        <v>26</v>
      </c>
      <c r="C151" s="51" t="s">
        <v>27</v>
      </c>
      <c r="D151" s="52" t="s">
        <v>4</v>
      </c>
      <c r="E151" s="53" t="s">
        <v>27</v>
      </c>
      <c r="F151" s="52" t="s">
        <v>4</v>
      </c>
      <c r="G151" s="52" t="s">
        <v>64</v>
      </c>
      <c r="H151" s="230" t="s">
        <v>10765</v>
      </c>
      <c r="I151" s="175" t="s">
        <v>27</v>
      </c>
      <c r="J151" s="195" t="s">
        <v>4</v>
      </c>
      <c r="K151" s="172" t="s">
        <v>27</v>
      </c>
      <c r="L151" s="174" t="s">
        <v>4</v>
      </c>
      <c r="M151" s="52" t="s">
        <v>46</v>
      </c>
      <c r="N151" s="54" t="s">
        <v>10496</v>
      </c>
      <c r="O151" s="55" t="str">
        <f t="shared" si="4"/>
        <v>L1.00.00.12.00.00</v>
      </c>
      <c r="P151" s="55" t="str">
        <f t="shared" si="5"/>
        <v>L1.00.00.12.00.00.07</v>
      </c>
      <c r="Q151" s="160" t="s">
        <v>10530</v>
      </c>
      <c r="R151" s="169" t="str">
        <f t="shared" si="6"/>
        <v>Khối sản phẩm Bán lẻ</v>
      </c>
      <c r="S151" s="97" t="s">
        <v>10536</v>
      </c>
      <c r="T151" s="97" t="s">
        <v>10766</v>
      </c>
      <c r="U151" s="96" t="s">
        <v>453</v>
      </c>
      <c r="V151" s="96" t="s">
        <v>566</v>
      </c>
      <c r="W151" s="96"/>
      <c r="X151" s="96"/>
      <c r="Y151" s="96"/>
      <c r="Z151" s="98" t="s">
        <v>10767</v>
      </c>
      <c r="AA151" s="153" t="s">
        <v>10530</v>
      </c>
      <c r="AB151" s="91"/>
      <c r="AC151" s="91"/>
      <c r="AD151" s="91"/>
    </row>
    <row r="152" ht="15.75" customHeight="1" outlineLevel="1">
      <c r="A152" s="170" t="s">
        <v>10535</v>
      </c>
      <c r="B152" s="51" t="s">
        <v>26</v>
      </c>
      <c r="C152" s="51" t="s">
        <v>27</v>
      </c>
      <c r="D152" s="52" t="s">
        <v>4</v>
      </c>
      <c r="E152" s="53" t="s">
        <v>27</v>
      </c>
      <c r="F152" s="52" t="s">
        <v>4</v>
      </c>
      <c r="G152" s="52" t="s">
        <v>64</v>
      </c>
      <c r="H152" s="230" t="s">
        <v>10765</v>
      </c>
      <c r="I152" s="172" t="s">
        <v>29</v>
      </c>
      <c r="J152" s="173" t="s">
        <v>66</v>
      </c>
      <c r="K152" s="172" t="s">
        <v>27</v>
      </c>
      <c r="L152" s="174" t="s">
        <v>4</v>
      </c>
      <c r="M152" s="52" t="s">
        <v>46</v>
      </c>
      <c r="N152" s="54" t="s">
        <v>10496</v>
      </c>
      <c r="O152" s="55" t="str">
        <f t="shared" si="4"/>
        <v>L1.00.00.12.01.00</v>
      </c>
      <c r="P152" s="55" t="str">
        <f t="shared" si="5"/>
        <v>L1.00.00.12.01.00.07</v>
      </c>
      <c r="Q152" s="160" t="s">
        <v>10530</v>
      </c>
      <c r="R152" s="169" t="str">
        <f t="shared" si="6"/>
        <v>Ban giám đốc Khối SP Bán lẻ</v>
      </c>
      <c r="S152" s="227" t="s">
        <v>10768</v>
      </c>
      <c r="T152" s="96" t="s">
        <v>10335</v>
      </c>
      <c r="U152" s="96" t="s">
        <v>453</v>
      </c>
      <c r="V152" s="96" t="s">
        <v>566</v>
      </c>
      <c r="W152" s="96" t="s">
        <v>10334</v>
      </c>
      <c r="X152" s="96"/>
      <c r="Y152" s="96"/>
      <c r="Z152" s="98" t="s">
        <v>10769</v>
      </c>
      <c r="AA152" s="153" t="s">
        <v>10530</v>
      </c>
      <c r="AB152" s="91"/>
      <c r="AC152" s="91"/>
      <c r="AD152" s="91"/>
    </row>
    <row r="153" ht="15.75" customHeight="1" outlineLevel="1">
      <c r="A153" s="170" t="s">
        <v>10535</v>
      </c>
      <c r="B153" s="51" t="s">
        <v>26</v>
      </c>
      <c r="C153" s="51" t="s">
        <v>27</v>
      </c>
      <c r="D153" s="52" t="s">
        <v>4</v>
      </c>
      <c r="E153" s="53" t="s">
        <v>27</v>
      </c>
      <c r="F153" s="52" t="s">
        <v>4</v>
      </c>
      <c r="G153" s="52" t="s">
        <v>64</v>
      </c>
      <c r="H153" s="230" t="s">
        <v>10765</v>
      </c>
      <c r="I153" s="172" t="s">
        <v>33</v>
      </c>
      <c r="J153" s="176" t="s">
        <v>2888</v>
      </c>
      <c r="K153" s="172" t="s">
        <v>27</v>
      </c>
      <c r="L153" s="194" t="s">
        <v>4</v>
      </c>
      <c r="M153" s="52" t="s">
        <v>46</v>
      </c>
      <c r="N153" s="54" t="s">
        <v>10496</v>
      </c>
      <c r="O153" s="55" t="str">
        <f t="shared" si="4"/>
        <v>L1.00.00.12.02.00</v>
      </c>
      <c r="P153" s="55" t="str">
        <f t="shared" si="5"/>
        <v>L1.00.00.12.02.00.07</v>
      </c>
      <c r="Q153" s="160" t="s">
        <v>10530</v>
      </c>
      <c r="R153" s="169" t="str">
        <f t="shared" si="6"/>
        <v>Sản phẩm CukCuk (TTVN)</v>
      </c>
      <c r="S153" s="227" t="s">
        <v>10768</v>
      </c>
      <c r="T153" s="97" t="s">
        <v>10770</v>
      </c>
      <c r="U153" s="96" t="s">
        <v>453</v>
      </c>
      <c r="V153" s="96" t="s">
        <v>566</v>
      </c>
      <c r="W153" s="96" t="s">
        <v>2888</v>
      </c>
      <c r="X153" s="96"/>
      <c r="Y153" s="96"/>
      <c r="Z153" s="98" t="s">
        <v>10771</v>
      </c>
      <c r="AA153" s="153" t="s">
        <v>10530</v>
      </c>
      <c r="AB153" s="91"/>
      <c r="AC153" s="91"/>
      <c r="AD153" s="91"/>
    </row>
    <row r="154" ht="15.75" customHeight="1" outlineLevel="1">
      <c r="A154" s="170" t="s">
        <v>10535</v>
      </c>
      <c r="B154" s="51" t="s">
        <v>26</v>
      </c>
      <c r="C154" s="51" t="s">
        <v>27</v>
      </c>
      <c r="D154" s="52" t="s">
        <v>4</v>
      </c>
      <c r="E154" s="53" t="s">
        <v>27</v>
      </c>
      <c r="F154" s="52" t="s">
        <v>4</v>
      </c>
      <c r="G154" s="52" t="s">
        <v>64</v>
      </c>
      <c r="H154" s="230" t="s">
        <v>10765</v>
      </c>
      <c r="I154" s="172" t="s">
        <v>33</v>
      </c>
      <c r="J154" s="176" t="s">
        <v>2888</v>
      </c>
      <c r="K154" s="221" t="s">
        <v>29</v>
      </c>
      <c r="L154" s="176" t="s">
        <v>2893</v>
      </c>
      <c r="M154" s="52" t="s">
        <v>46</v>
      </c>
      <c r="N154" s="54" t="s">
        <v>10496</v>
      </c>
      <c r="O154" s="55" t="str">
        <f t="shared" si="4"/>
        <v>L1.00.00.12.02.01</v>
      </c>
      <c r="P154" s="55" t="str">
        <f t="shared" si="5"/>
        <v>L1.00.00.12.02.01.07</v>
      </c>
      <c r="Q154" s="160" t="s">
        <v>10530</v>
      </c>
      <c r="R154" s="169" t="str">
        <f t="shared" si="6"/>
        <v>Dự án Cukcuk W&amp;D (TTVN)</v>
      </c>
      <c r="S154" s="227" t="s">
        <v>10772</v>
      </c>
      <c r="T154" s="96" t="s">
        <v>2894</v>
      </c>
      <c r="U154" s="96" t="s">
        <v>453</v>
      </c>
      <c r="V154" s="96" t="s">
        <v>566</v>
      </c>
      <c r="W154" s="96" t="s">
        <v>2888</v>
      </c>
      <c r="X154" s="96" t="s">
        <v>2893</v>
      </c>
      <c r="Y154" s="96"/>
      <c r="Z154" s="98" t="s">
        <v>10773</v>
      </c>
      <c r="AA154" s="153" t="s">
        <v>10530</v>
      </c>
      <c r="AB154" s="91"/>
      <c r="AC154" s="91"/>
      <c r="AD154" s="91"/>
    </row>
    <row r="155" ht="15.75" customHeight="1" outlineLevel="1">
      <c r="A155" s="170" t="s">
        <v>10535</v>
      </c>
      <c r="B155" s="51" t="s">
        <v>26</v>
      </c>
      <c r="C155" s="51" t="s">
        <v>27</v>
      </c>
      <c r="D155" s="52" t="s">
        <v>4</v>
      </c>
      <c r="E155" s="53" t="s">
        <v>27</v>
      </c>
      <c r="F155" s="52" t="s">
        <v>4</v>
      </c>
      <c r="G155" s="52" t="s">
        <v>64</v>
      </c>
      <c r="H155" s="230" t="s">
        <v>10765</v>
      </c>
      <c r="I155" s="172" t="s">
        <v>33</v>
      </c>
      <c r="J155" s="176" t="s">
        <v>2888</v>
      </c>
      <c r="K155" s="221" t="s">
        <v>33</v>
      </c>
      <c r="L155" s="176" t="s">
        <v>4466</v>
      </c>
      <c r="M155" s="52" t="s">
        <v>46</v>
      </c>
      <c r="N155" s="54" t="s">
        <v>10496</v>
      </c>
      <c r="O155" s="55" t="str">
        <f t="shared" si="4"/>
        <v>L1.00.00.12.02.02</v>
      </c>
      <c r="P155" s="55" t="str">
        <f t="shared" si="5"/>
        <v>L1.00.00.12.02.02.07</v>
      </c>
      <c r="Q155" s="160" t="s">
        <v>10530</v>
      </c>
      <c r="R155" s="169" t="str">
        <f t="shared" si="6"/>
        <v>Dự án CukCuk Mobile TTVN</v>
      </c>
      <c r="S155" s="227" t="s">
        <v>10772</v>
      </c>
      <c r="T155" s="96" t="s">
        <v>4467</v>
      </c>
      <c r="U155" s="96" t="s">
        <v>453</v>
      </c>
      <c r="V155" s="96" t="s">
        <v>566</v>
      </c>
      <c r="W155" s="96" t="s">
        <v>2888</v>
      </c>
      <c r="X155" s="96" t="s">
        <v>4466</v>
      </c>
      <c r="Y155" s="96"/>
      <c r="Z155" s="98" t="s">
        <v>10774</v>
      </c>
      <c r="AA155" s="153" t="s">
        <v>10530</v>
      </c>
      <c r="AB155" s="91"/>
      <c r="AC155" s="91"/>
      <c r="AD155" s="91"/>
    </row>
    <row r="156" ht="15.75" customHeight="1" outlineLevel="1">
      <c r="A156" s="170" t="s">
        <v>10535</v>
      </c>
      <c r="B156" s="51" t="s">
        <v>26</v>
      </c>
      <c r="C156" s="51" t="s">
        <v>27</v>
      </c>
      <c r="D156" s="52" t="s">
        <v>4</v>
      </c>
      <c r="E156" s="53" t="s">
        <v>27</v>
      </c>
      <c r="F156" s="52" t="s">
        <v>4</v>
      </c>
      <c r="G156" s="52" t="s">
        <v>64</v>
      </c>
      <c r="H156" s="230" t="s">
        <v>10765</v>
      </c>
      <c r="I156" s="172" t="s">
        <v>33</v>
      </c>
      <c r="J156" s="176" t="s">
        <v>2888</v>
      </c>
      <c r="K156" s="221" t="s">
        <v>35</v>
      </c>
      <c r="L156" s="176" t="s">
        <v>2887</v>
      </c>
      <c r="M156" s="52" t="s">
        <v>46</v>
      </c>
      <c r="N156" s="54" t="s">
        <v>10496</v>
      </c>
      <c r="O156" s="55" t="str">
        <f t="shared" si="4"/>
        <v>L1.00.00.12.02.03</v>
      </c>
      <c r="P156" s="55" t="str">
        <f t="shared" si="5"/>
        <v>L1.00.00.12.02.03.07</v>
      </c>
      <c r="Q156" s="160" t="s">
        <v>10530</v>
      </c>
      <c r="R156" s="169" t="str">
        <f t="shared" si="6"/>
        <v>[Cukcuk TTVN] Nhóm Phân tích &amp; Thiết kế</v>
      </c>
      <c r="S156" s="227" t="s">
        <v>10772</v>
      </c>
      <c r="T156" s="96" t="s">
        <v>2889</v>
      </c>
      <c r="U156" s="96" t="s">
        <v>453</v>
      </c>
      <c r="V156" s="96" t="s">
        <v>566</v>
      </c>
      <c r="W156" s="96" t="s">
        <v>2888</v>
      </c>
      <c r="X156" s="96" t="s">
        <v>2887</v>
      </c>
      <c r="Y156" s="96"/>
      <c r="Z156" s="98" t="s">
        <v>10775</v>
      </c>
      <c r="AA156" s="153" t="s">
        <v>10530</v>
      </c>
      <c r="AB156" s="91"/>
      <c r="AC156" s="91"/>
      <c r="AD156" s="91"/>
    </row>
    <row r="157" ht="15.75" customHeight="1" outlineLevel="1">
      <c r="A157" s="170" t="s">
        <v>10535</v>
      </c>
      <c r="B157" s="51" t="s">
        <v>26</v>
      </c>
      <c r="C157" s="51" t="s">
        <v>27</v>
      </c>
      <c r="D157" s="52" t="s">
        <v>4</v>
      </c>
      <c r="E157" s="53" t="s">
        <v>27</v>
      </c>
      <c r="F157" s="52" t="s">
        <v>4</v>
      </c>
      <c r="G157" s="52" t="s">
        <v>64</v>
      </c>
      <c r="H157" s="230" t="s">
        <v>10765</v>
      </c>
      <c r="I157" s="221" t="s">
        <v>35</v>
      </c>
      <c r="J157" s="176" t="s">
        <v>567</v>
      </c>
      <c r="K157" s="172" t="s">
        <v>27</v>
      </c>
      <c r="L157" s="194" t="s">
        <v>4</v>
      </c>
      <c r="M157" s="52" t="s">
        <v>46</v>
      </c>
      <c r="N157" s="54" t="s">
        <v>10496</v>
      </c>
      <c r="O157" s="55" t="str">
        <f t="shared" si="4"/>
        <v>L1.00.00.12.03.00</v>
      </c>
      <c r="P157" s="55" t="str">
        <f t="shared" si="5"/>
        <v>L1.00.00.12.03.00.07</v>
      </c>
      <c r="Q157" s="160" t="s">
        <v>10530</v>
      </c>
      <c r="R157" s="169" t="str">
        <f t="shared" si="6"/>
        <v>Sản phẩm eShop (TTVN)</v>
      </c>
      <c r="S157" s="227" t="s">
        <v>10768</v>
      </c>
      <c r="T157" s="97" t="s">
        <v>10776</v>
      </c>
      <c r="U157" s="96" t="s">
        <v>453</v>
      </c>
      <c r="V157" s="96" t="s">
        <v>566</v>
      </c>
      <c r="W157" s="96" t="s">
        <v>567</v>
      </c>
      <c r="X157" s="96"/>
      <c r="Y157" s="96"/>
      <c r="Z157" s="98" t="s">
        <v>10771</v>
      </c>
      <c r="AA157" s="153" t="s">
        <v>10530</v>
      </c>
      <c r="AB157" s="91"/>
      <c r="AC157" s="91"/>
      <c r="AD157" s="91"/>
    </row>
    <row r="158" ht="15.75" customHeight="1" outlineLevel="1">
      <c r="A158" s="170" t="s">
        <v>10535</v>
      </c>
      <c r="B158" s="51" t="s">
        <v>26</v>
      </c>
      <c r="C158" s="51" t="s">
        <v>27</v>
      </c>
      <c r="D158" s="52" t="s">
        <v>4</v>
      </c>
      <c r="E158" s="53" t="s">
        <v>27</v>
      </c>
      <c r="F158" s="52" t="s">
        <v>4</v>
      </c>
      <c r="G158" s="52" t="s">
        <v>64</v>
      </c>
      <c r="H158" s="230" t="s">
        <v>10765</v>
      </c>
      <c r="I158" s="221" t="s">
        <v>35</v>
      </c>
      <c r="J158" s="176" t="s">
        <v>567</v>
      </c>
      <c r="K158" s="221" t="s">
        <v>29</v>
      </c>
      <c r="L158" s="176" t="s">
        <v>2651</v>
      </c>
      <c r="M158" s="52" t="s">
        <v>46</v>
      </c>
      <c r="N158" s="54" t="s">
        <v>10496</v>
      </c>
      <c r="O158" s="55" t="str">
        <f t="shared" si="4"/>
        <v>L1.00.00.12.03.01</v>
      </c>
      <c r="P158" s="55" t="str">
        <f t="shared" si="5"/>
        <v>L1.00.00.12.03.01.07</v>
      </c>
      <c r="Q158" s="160" t="s">
        <v>10530</v>
      </c>
      <c r="R158" s="169" t="str">
        <f t="shared" si="6"/>
        <v>Dự án Quản lý cửa hàng thời trang (TTVN)</v>
      </c>
      <c r="S158" s="227" t="s">
        <v>10777</v>
      </c>
      <c r="T158" s="96" t="s">
        <v>2652</v>
      </c>
      <c r="U158" s="96" t="s">
        <v>453</v>
      </c>
      <c r="V158" s="96" t="s">
        <v>566</v>
      </c>
      <c r="W158" s="96" t="s">
        <v>567</v>
      </c>
      <c r="X158" s="96" t="s">
        <v>2651</v>
      </c>
      <c r="Y158" s="96"/>
      <c r="Z158" s="98" t="s">
        <v>10778</v>
      </c>
      <c r="AA158" s="153" t="s">
        <v>10530</v>
      </c>
      <c r="AB158" s="91"/>
      <c r="AC158" s="91"/>
      <c r="AD158" s="91"/>
    </row>
    <row r="159" ht="15.75" customHeight="1" outlineLevel="1">
      <c r="A159" s="170" t="s">
        <v>10535</v>
      </c>
      <c r="B159" s="51" t="s">
        <v>26</v>
      </c>
      <c r="C159" s="51" t="s">
        <v>27</v>
      </c>
      <c r="D159" s="52" t="s">
        <v>4</v>
      </c>
      <c r="E159" s="53" t="s">
        <v>27</v>
      </c>
      <c r="F159" s="52" t="s">
        <v>4</v>
      </c>
      <c r="G159" s="52" t="s">
        <v>64</v>
      </c>
      <c r="H159" s="230" t="s">
        <v>10765</v>
      </c>
      <c r="I159" s="221" t="s">
        <v>35</v>
      </c>
      <c r="J159" s="176" t="s">
        <v>567</v>
      </c>
      <c r="K159" s="221" t="s">
        <v>33</v>
      </c>
      <c r="L159" s="176" t="s">
        <v>10075</v>
      </c>
      <c r="M159" s="52" t="s">
        <v>46</v>
      </c>
      <c r="N159" s="54" t="s">
        <v>10496</v>
      </c>
      <c r="O159" s="55" t="str">
        <f t="shared" si="4"/>
        <v>L1.00.00.12.03.02</v>
      </c>
      <c r="P159" s="55" t="str">
        <f t="shared" si="5"/>
        <v>L1.00.00.12.03.02.07</v>
      </c>
      <c r="Q159" s="160" t="s">
        <v>10530</v>
      </c>
      <c r="R159" s="169" t="str">
        <f t="shared" si="6"/>
        <v>Dự án Quản lý cửa hàng Mobile (TTVN)</v>
      </c>
      <c r="S159" s="227" t="s">
        <v>10777</v>
      </c>
      <c r="T159" s="96" t="s">
        <v>10076</v>
      </c>
      <c r="U159" s="96" t="s">
        <v>453</v>
      </c>
      <c r="V159" s="96" t="s">
        <v>566</v>
      </c>
      <c r="W159" s="96" t="s">
        <v>567</v>
      </c>
      <c r="X159" s="96" t="s">
        <v>10075</v>
      </c>
      <c r="Y159" s="96"/>
      <c r="Z159" s="98" t="s">
        <v>10779</v>
      </c>
      <c r="AA159" s="153" t="s">
        <v>10530</v>
      </c>
      <c r="AB159" s="91"/>
      <c r="AC159" s="91"/>
      <c r="AD159" s="91"/>
    </row>
    <row r="160" ht="15.75" customHeight="1" outlineLevel="1">
      <c r="A160" s="170" t="s">
        <v>10535</v>
      </c>
      <c r="B160" s="51" t="s">
        <v>26</v>
      </c>
      <c r="C160" s="51" t="s">
        <v>27</v>
      </c>
      <c r="D160" s="52" t="s">
        <v>4</v>
      </c>
      <c r="E160" s="53" t="s">
        <v>27</v>
      </c>
      <c r="F160" s="52" t="s">
        <v>4</v>
      </c>
      <c r="G160" s="52" t="s">
        <v>64</v>
      </c>
      <c r="H160" s="230" t="s">
        <v>10765</v>
      </c>
      <c r="I160" s="221" t="s">
        <v>35</v>
      </c>
      <c r="J160" s="176" t="s">
        <v>567</v>
      </c>
      <c r="K160" s="221" t="s">
        <v>35</v>
      </c>
      <c r="L160" s="176" t="s">
        <v>565</v>
      </c>
      <c r="M160" s="52" t="s">
        <v>46</v>
      </c>
      <c r="N160" s="54" t="s">
        <v>10496</v>
      </c>
      <c r="O160" s="55" t="str">
        <f t="shared" si="4"/>
        <v>L1.00.00.12.03.03</v>
      </c>
      <c r="P160" s="55" t="str">
        <f t="shared" si="5"/>
        <v>L1.00.00.12.03.03.07</v>
      </c>
      <c r="Q160" s="160" t="s">
        <v>10530</v>
      </c>
      <c r="R160" s="169" t="str">
        <f t="shared" si="6"/>
        <v>[eShop TTVN] Nhóm Phân tích &amp; Thiết kế</v>
      </c>
      <c r="S160" s="227" t="s">
        <v>10777</v>
      </c>
      <c r="T160" s="96" t="s">
        <v>568</v>
      </c>
      <c r="U160" s="96" t="s">
        <v>453</v>
      </c>
      <c r="V160" s="96" t="s">
        <v>566</v>
      </c>
      <c r="W160" s="96" t="s">
        <v>567</v>
      </c>
      <c r="X160" s="96" t="s">
        <v>565</v>
      </c>
      <c r="Y160" s="96"/>
      <c r="Z160" s="98" t="s">
        <v>10780</v>
      </c>
      <c r="AA160" s="153" t="s">
        <v>10530</v>
      </c>
      <c r="AB160" s="91"/>
      <c r="AC160" s="91"/>
      <c r="AD160" s="91"/>
    </row>
    <row r="161" ht="15.75" customHeight="1" outlineLevel="1">
      <c r="A161" s="170" t="s">
        <v>10535</v>
      </c>
      <c r="B161" s="51" t="s">
        <v>26</v>
      </c>
      <c r="C161" s="51" t="s">
        <v>27</v>
      </c>
      <c r="D161" s="52" t="s">
        <v>4</v>
      </c>
      <c r="E161" s="53" t="s">
        <v>27</v>
      </c>
      <c r="F161" s="52" t="s">
        <v>4</v>
      </c>
      <c r="G161" s="52" t="s">
        <v>64</v>
      </c>
      <c r="H161" s="230" t="s">
        <v>10765</v>
      </c>
      <c r="I161" s="221" t="s">
        <v>37</v>
      </c>
      <c r="J161" s="176" t="s">
        <v>6383</v>
      </c>
      <c r="K161" s="172" t="s">
        <v>27</v>
      </c>
      <c r="L161" s="218" t="s">
        <v>4</v>
      </c>
      <c r="M161" s="52" t="s">
        <v>46</v>
      </c>
      <c r="N161" s="54" t="s">
        <v>10496</v>
      </c>
      <c r="O161" s="55" t="str">
        <f t="shared" si="4"/>
        <v>L1.00.00.12.04.00</v>
      </c>
      <c r="P161" s="55" t="str">
        <f t="shared" si="5"/>
        <v>L1.00.00.12.04.00.07</v>
      </c>
      <c r="Q161" s="160" t="s">
        <v>10530</v>
      </c>
      <c r="R161" s="169" t="str">
        <f t="shared" si="6"/>
        <v>Sản phẩm AMIS Kế toán (HKD)</v>
      </c>
      <c r="S161" s="227" t="s">
        <v>10768</v>
      </c>
      <c r="T161" s="96" t="s">
        <v>6522</v>
      </c>
      <c r="U161" s="96" t="s">
        <v>453</v>
      </c>
      <c r="V161" s="96" t="s">
        <v>566</v>
      </c>
      <c r="W161" s="96" t="s">
        <v>6383</v>
      </c>
      <c r="X161" s="96"/>
      <c r="Y161" s="96"/>
      <c r="Z161" s="98" t="s">
        <v>10781</v>
      </c>
      <c r="AA161" s="153" t="s">
        <v>10530</v>
      </c>
      <c r="AB161" s="91"/>
      <c r="AC161" s="91"/>
      <c r="AD161" s="91"/>
    </row>
    <row r="162" ht="15.75" customHeight="1" outlineLevel="1">
      <c r="A162" s="170" t="s">
        <v>10535</v>
      </c>
      <c r="B162" s="51" t="s">
        <v>26</v>
      </c>
      <c r="C162" s="51" t="s">
        <v>27</v>
      </c>
      <c r="D162" s="52" t="s">
        <v>4</v>
      </c>
      <c r="E162" s="53" t="s">
        <v>27</v>
      </c>
      <c r="F162" s="52" t="s">
        <v>4</v>
      </c>
      <c r="G162" s="52" t="s">
        <v>64</v>
      </c>
      <c r="H162" s="230" t="s">
        <v>10765</v>
      </c>
      <c r="I162" s="221" t="s">
        <v>37</v>
      </c>
      <c r="J162" s="176" t="s">
        <v>6383</v>
      </c>
      <c r="K162" s="221" t="s">
        <v>29</v>
      </c>
      <c r="L162" s="176" t="s">
        <v>6382</v>
      </c>
      <c r="M162" s="52" t="s">
        <v>46</v>
      </c>
      <c r="N162" s="54" t="s">
        <v>10496</v>
      </c>
      <c r="O162" s="55" t="str">
        <f t="shared" si="4"/>
        <v>L1.00.00.12.04.01</v>
      </c>
      <c r="P162" s="55" t="str">
        <f t="shared" si="5"/>
        <v>L1.00.00.12.04.01.07</v>
      </c>
      <c r="Q162" s="160" t="s">
        <v>10530</v>
      </c>
      <c r="R162" s="169" t="str">
        <f t="shared" si="6"/>
        <v>Dự án AMIS Kế toán (HKD)</v>
      </c>
      <c r="S162" s="227" t="s">
        <v>10782</v>
      </c>
      <c r="T162" s="96" t="s">
        <v>6384</v>
      </c>
      <c r="U162" s="96" t="s">
        <v>453</v>
      </c>
      <c r="V162" s="96" t="s">
        <v>566</v>
      </c>
      <c r="W162" s="96" t="s">
        <v>6383</v>
      </c>
      <c r="X162" s="96" t="s">
        <v>6382</v>
      </c>
      <c r="Y162" s="96"/>
      <c r="Z162" s="98" t="s">
        <v>10783</v>
      </c>
      <c r="AA162" s="153" t="s">
        <v>10530</v>
      </c>
      <c r="AB162" s="91"/>
      <c r="AC162" s="91"/>
      <c r="AD162" s="91"/>
    </row>
    <row r="163" ht="15.75" customHeight="1" outlineLevel="1">
      <c r="A163" s="170" t="s">
        <v>10535</v>
      </c>
      <c r="B163" s="51" t="s">
        <v>26</v>
      </c>
      <c r="C163" s="51" t="s">
        <v>27</v>
      </c>
      <c r="D163" s="52" t="s">
        <v>4</v>
      </c>
      <c r="E163" s="53" t="s">
        <v>27</v>
      </c>
      <c r="F163" s="52" t="s">
        <v>4</v>
      </c>
      <c r="G163" s="52" t="s">
        <v>64</v>
      </c>
      <c r="H163" s="230" t="s">
        <v>10765</v>
      </c>
      <c r="I163" s="221" t="s">
        <v>37</v>
      </c>
      <c r="J163" s="176" t="s">
        <v>6383</v>
      </c>
      <c r="K163" s="221" t="s">
        <v>33</v>
      </c>
      <c r="L163" s="176" t="s">
        <v>6484</v>
      </c>
      <c r="M163" s="52" t="s">
        <v>46</v>
      </c>
      <c r="N163" s="54" t="s">
        <v>10496</v>
      </c>
      <c r="O163" s="55" t="str">
        <f t="shared" si="4"/>
        <v>L1.00.00.12.04.02</v>
      </c>
      <c r="P163" s="55" t="str">
        <f t="shared" si="5"/>
        <v>L1.00.00.12.04.02.07</v>
      </c>
      <c r="Q163" s="160" t="s">
        <v>10530</v>
      </c>
      <c r="R163" s="169" t="str">
        <f t="shared" si="6"/>
        <v>[AMIS Kế toán HKD] Nhóm Phân tích &amp; Thiết kế</v>
      </c>
      <c r="S163" s="227" t="s">
        <v>10782</v>
      </c>
      <c r="T163" s="96" t="s">
        <v>6485</v>
      </c>
      <c r="U163" s="96" t="s">
        <v>453</v>
      </c>
      <c r="V163" s="96" t="s">
        <v>566</v>
      </c>
      <c r="W163" s="96" t="s">
        <v>6383</v>
      </c>
      <c r="X163" s="96" t="s">
        <v>6484</v>
      </c>
      <c r="Y163" s="96"/>
      <c r="Z163" s="98" t="s">
        <v>10784</v>
      </c>
      <c r="AA163" s="153" t="s">
        <v>10530</v>
      </c>
      <c r="AB163" s="91"/>
      <c r="AC163" s="91"/>
      <c r="AD163" s="91"/>
    </row>
    <row r="164" ht="15.75" customHeight="1" outlineLevel="1">
      <c r="A164" s="170" t="s">
        <v>10535</v>
      </c>
      <c r="B164" s="51" t="s">
        <v>26</v>
      </c>
      <c r="C164" s="51" t="s">
        <v>27</v>
      </c>
      <c r="D164" s="52" t="s">
        <v>4</v>
      </c>
      <c r="E164" s="53" t="s">
        <v>27</v>
      </c>
      <c r="F164" s="52" t="s">
        <v>4</v>
      </c>
      <c r="G164" s="52" t="s">
        <v>64</v>
      </c>
      <c r="H164" s="230" t="s">
        <v>10765</v>
      </c>
      <c r="I164" s="221" t="s">
        <v>42</v>
      </c>
      <c r="J164" s="176" t="s">
        <v>6545</v>
      </c>
      <c r="K164" s="172" t="s">
        <v>27</v>
      </c>
      <c r="L164" s="174" t="s">
        <v>4</v>
      </c>
      <c r="M164" s="52" t="s">
        <v>46</v>
      </c>
      <c r="N164" s="54" t="s">
        <v>10496</v>
      </c>
      <c r="O164" s="55" t="str">
        <f t="shared" si="4"/>
        <v>L1.00.00.12.05.00</v>
      </c>
      <c r="P164" s="55" t="str">
        <f t="shared" si="5"/>
        <v>L1.00.00.12.05.00.07</v>
      </c>
      <c r="Q164" s="160" t="s">
        <v>10530</v>
      </c>
      <c r="R164" s="169" t="str">
        <f t="shared" si="6"/>
        <v>Nhóm chuyên gia Khối SP Hộ cá thể</v>
      </c>
      <c r="S164" s="227" t="s">
        <v>10768</v>
      </c>
      <c r="T164" s="96" t="s">
        <v>6546</v>
      </c>
      <c r="U164" s="96" t="s">
        <v>453</v>
      </c>
      <c r="V164" s="96" t="s">
        <v>566</v>
      </c>
      <c r="W164" s="96" t="s">
        <v>6545</v>
      </c>
      <c r="X164" s="96"/>
      <c r="Y164" s="96"/>
      <c r="Z164" s="98" t="s">
        <v>10785</v>
      </c>
      <c r="AA164" s="153" t="s">
        <v>10530</v>
      </c>
      <c r="AB164" s="91"/>
      <c r="AC164" s="91"/>
      <c r="AD164" s="91"/>
    </row>
    <row r="165" ht="15.75" customHeight="1" outlineLevel="1">
      <c r="A165" s="170" t="s">
        <v>10535</v>
      </c>
      <c r="B165" s="57" t="s">
        <v>26</v>
      </c>
      <c r="C165" s="51" t="s">
        <v>27</v>
      </c>
      <c r="D165" s="52" t="s">
        <v>4</v>
      </c>
      <c r="E165" s="53" t="s">
        <v>27</v>
      </c>
      <c r="F165" s="52" t="s">
        <v>4</v>
      </c>
      <c r="G165" s="52" t="s">
        <v>67</v>
      </c>
      <c r="H165" s="230" t="s">
        <v>10786</v>
      </c>
      <c r="I165" s="168" t="s">
        <v>27</v>
      </c>
      <c r="J165" s="218" t="s">
        <v>4</v>
      </c>
      <c r="K165" s="172" t="s">
        <v>27</v>
      </c>
      <c r="L165" s="194" t="s">
        <v>4</v>
      </c>
      <c r="M165" s="52" t="s">
        <v>46</v>
      </c>
      <c r="N165" s="54" t="s">
        <v>10496</v>
      </c>
      <c r="O165" s="55" t="str">
        <f t="shared" si="4"/>
        <v>L1.00.00.13.00.00</v>
      </c>
      <c r="P165" s="55" t="str">
        <f t="shared" si="5"/>
        <v>L1.00.00.13.00.00.07</v>
      </c>
      <c r="Q165" s="160" t="s">
        <v>10530</v>
      </c>
      <c r="R165" s="169" t="str">
        <f t="shared" si="6"/>
        <v>Khối nền tảng Giáo dục</v>
      </c>
      <c r="S165" s="97" t="s">
        <v>10536</v>
      </c>
      <c r="T165" s="97" t="s">
        <v>10787</v>
      </c>
      <c r="U165" s="96" t="s">
        <v>453</v>
      </c>
      <c r="V165" s="96" t="s">
        <v>555</v>
      </c>
      <c r="W165" s="96"/>
      <c r="X165" s="96"/>
      <c r="Y165" s="96"/>
      <c r="Z165" s="98" t="s">
        <v>10788</v>
      </c>
      <c r="AA165" s="153" t="s">
        <v>10530</v>
      </c>
      <c r="AB165" s="91"/>
      <c r="AC165" s="91"/>
      <c r="AD165" s="91"/>
    </row>
    <row r="166" ht="15.75" customHeight="1" outlineLevel="1">
      <c r="A166" s="170" t="s">
        <v>10535</v>
      </c>
      <c r="B166" s="57" t="s">
        <v>26</v>
      </c>
      <c r="C166" s="51" t="s">
        <v>27</v>
      </c>
      <c r="D166" s="52" t="s">
        <v>4</v>
      </c>
      <c r="E166" s="53" t="s">
        <v>27</v>
      </c>
      <c r="F166" s="52" t="s">
        <v>4</v>
      </c>
      <c r="G166" s="52" t="s">
        <v>67</v>
      </c>
      <c r="H166" s="230" t="s">
        <v>10786</v>
      </c>
      <c r="I166" s="157" t="s">
        <v>29</v>
      </c>
      <c r="J166" s="176" t="s">
        <v>556</v>
      </c>
      <c r="K166" s="172" t="s">
        <v>27</v>
      </c>
      <c r="L166" s="194" t="s">
        <v>4</v>
      </c>
      <c r="M166" s="52" t="s">
        <v>46</v>
      </c>
      <c r="N166" s="54" t="s">
        <v>10496</v>
      </c>
      <c r="O166" s="55" t="str">
        <f t="shared" si="4"/>
        <v>L1.00.00.13.01.00</v>
      </c>
      <c r="P166" s="55" t="str">
        <f t="shared" si="5"/>
        <v>L1.00.00.13.01.00.07</v>
      </c>
      <c r="Q166" s="160" t="s">
        <v>10530</v>
      </c>
      <c r="R166" s="169" t="str">
        <f t="shared" si="6"/>
        <v>Sản phẩm MISA EMIS</v>
      </c>
      <c r="S166" s="227" t="s">
        <v>10789</v>
      </c>
      <c r="T166" s="96" t="s">
        <v>5189</v>
      </c>
      <c r="U166" s="96" t="s">
        <v>453</v>
      </c>
      <c r="V166" s="96" t="s">
        <v>555</v>
      </c>
      <c r="W166" s="96" t="s">
        <v>556</v>
      </c>
      <c r="X166" s="96"/>
      <c r="Y166" s="96"/>
      <c r="Z166" s="98" t="s">
        <v>10790</v>
      </c>
      <c r="AA166" s="153" t="s">
        <v>10530</v>
      </c>
      <c r="AB166" s="91"/>
      <c r="AC166" s="91"/>
      <c r="AD166" s="91"/>
    </row>
    <row r="167" ht="15.75" customHeight="1" outlineLevel="1">
      <c r="A167" s="170" t="s">
        <v>10535</v>
      </c>
      <c r="B167" s="57" t="s">
        <v>26</v>
      </c>
      <c r="C167" s="51" t="s">
        <v>27</v>
      </c>
      <c r="D167" s="52" t="s">
        <v>4</v>
      </c>
      <c r="E167" s="53" t="s">
        <v>27</v>
      </c>
      <c r="F167" s="52" t="s">
        <v>4</v>
      </c>
      <c r="G167" s="52" t="s">
        <v>67</v>
      </c>
      <c r="H167" s="230" t="s">
        <v>10786</v>
      </c>
      <c r="I167" s="157" t="s">
        <v>29</v>
      </c>
      <c r="J167" s="176" t="s">
        <v>556</v>
      </c>
      <c r="K167" s="221" t="s">
        <v>29</v>
      </c>
      <c r="L167" s="176" t="s">
        <v>3055</v>
      </c>
      <c r="M167" s="52" t="s">
        <v>46</v>
      </c>
      <c r="N167" s="54" t="s">
        <v>10496</v>
      </c>
      <c r="O167" s="55" t="str">
        <f t="shared" si="4"/>
        <v>L1.00.00.13.01.01</v>
      </c>
      <c r="P167" s="55" t="str">
        <f t="shared" si="5"/>
        <v>L1.00.00.13.01.01.07</v>
      </c>
      <c r="Q167" s="160" t="s">
        <v>10530</v>
      </c>
      <c r="R167" s="169" t="str">
        <f t="shared" si="6"/>
        <v>Dự án EMIS Công lập</v>
      </c>
      <c r="S167" s="227" t="s">
        <v>10791</v>
      </c>
      <c r="T167" s="96" t="s">
        <v>3056</v>
      </c>
      <c r="U167" s="96" t="s">
        <v>453</v>
      </c>
      <c r="V167" s="96" t="s">
        <v>555</v>
      </c>
      <c r="W167" s="96" t="s">
        <v>556</v>
      </c>
      <c r="X167" s="96" t="s">
        <v>3055</v>
      </c>
      <c r="Y167" s="96"/>
      <c r="Z167" s="98" t="s">
        <v>10792</v>
      </c>
      <c r="AA167" s="153" t="s">
        <v>10530</v>
      </c>
      <c r="AB167" s="91"/>
      <c r="AC167" s="91"/>
      <c r="AD167" s="91"/>
    </row>
    <row r="168" ht="15.75" customHeight="1" outlineLevel="1">
      <c r="A168" s="170" t="s">
        <v>10535</v>
      </c>
      <c r="B168" s="57" t="s">
        <v>26</v>
      </c>
      <c r="C168" s="51" t="s">
        <v>27</v>
      </c>
      <c r="D168" s="52" t="s">
        <v>4</v>
      </c>
      <c r="E168" s="53" t="s">
        <v>27</v>
      </c>
      <c r="F168" s="52" t="s">
        <v>4</v>
      </c>
      <c r="G168" s="52" t="s">
        <v>67</v>
      </c>
      <c r="H168" s="230" t="s">
        <v>10786</v>
      </c>
      <c r="I168" s="157" t="s">
        <v>29</v>
      </c>
      <c r="J168" s="176" t="s">
        <v>556</v>
      </c>
      <c r="K168" s="221" t="s">
        <v>33</v>
      </c>
      <c r="L168" s="176" t="s">
        <v>4492</v>
      </c>
      <c r="M168" s="52" t="s">
        <v>46</v>
      </c>
      <c r="N168" s="54" t="s">
        <v>10496</v>
      </c>
      <c r="O168" s="55" t="str">
        <f t="shared" si="4"/>
        <v>L1.00.00.13.01.02</v>
      </c>
      <c r="P168" s="55" t="str">
        <f t="shared" si="5"/>
        <v>L1.00.00.13.01.02.07</v>
      </c>
      <c r="Q168" s="160" t="s">
        <v>10530</v>
      </c>
      <c r="R168" s="169" t="str">
        <f t="shared" si="6"/>
        <v>Dự án EMIS Core Platform</v>
      </c>
      <c r="S168" s="227" t="s">
        <v>10791</v>
      </c>
      <c r="T168" s="96" t="s">
        <v>4493</v>
      </c>
      <c r="U168" s="96" t="s">
        <v>453</v>
      </c>
      <c r="V168" s="96" t="s">
        <v>555</v>
      </c>
      <c r="W168" s="96" t="s">
        <v>556</v>
      </c>
      <c r="X168" s="96" t="s">
        <v>4492</v>
      </c>
      <c r="Y168" s="96"/>
      <c r="Z168" s="98" t="s">
        <v>10793</v>
      </c>
      <c r="AA168" s="153" t="s">
        <v>10530</v>
      </c>
      <c r="AB168" s="91"/>
      <c r="AC168" s="91"/>
      <c r="AD168" s="91"/>
    </row>
    <row r="169" ht="15.75" customHeight="1" outlineLevel="1">
      <c r="A169" s="170" t="s">
        <v>10535</v>
      </c>
      <c r="B169" s="57" t="s">
        <v>26</v>
      </c>
      <c r="C169" s="51" t="s">
        <v>27</v>
      </c>
      <c r="D169" s="52" t="s">
        <v>4</v>
      </c>
      <c r="E169" s="53" t="s">
        <v>27</v>
      </c>
      <c r="F169" s="52" t="s">
        <v>4</v>
      </c>
      <c r="G169" s="52" t="s">
        <v>67</v>
      </c>
      <c r="H169" s="230" t="s">
        <v>10786</v>
      </c>
      <c r="I169" s="157" t="s">
        <v>29</v>
      </c>
      <c r="J169" s="176" t="s">
        <v>556</v>
      </c>
      <c r="K169" s="221" t="s">
        <v>35</v>
      </c>
      <c r="L169" s="176" t="s">
        <v>554</v>
      </c>
      <c r="M169" s="52" t="s">
        <v>46</v>
      </c>
      <c r="N169" s="54" t="s">
        <v>10496</v>
      </c>
      <c r="O169" s="55" t="str">
        <f t="shared" si="4"/>
        <v>L1.00.00.13.01.03</v>
      </c>
      <c r="P169" s="55" t="str">
        <f t="shared" si="5"/>
        <v>L1.00.00.13.01.03.07</v>
      </c>
      <c r="Q169" s="160" t="s">
        <v>10530</v>
      </c>
      <c r="R169" s="169" t="str">
        <f t="shared" si="6"/>
        <v>Dự án EMIS Mầm non</v>
      </c>
      <c r="S169" s="227" t="s">
        <v>10791</v>
      </c>
      <c r="T169" s="96" t="s">
        <v>557</v>
      </c>
      <c r="U169" s="96" t="s">
        <v>453</v>
      </c>
      <c r="V169" s="96" t="s">
        <v>555</v>
      </c>
      <c r="W169" s="96" t="s">
        <v>556</v>
      </c>
      <c r="X169" s="96" t="s">
        <v>554</v>
      </c>
      <c r="Y169" s="96"/>
      <c r="Z169" s="98" t="s">
        <v>10794</v>
      </c>
      <c r="AA169" s="153" t="s">
        <v>10530</v>
      </c>
      <c r="AB169" s="91"/>
      <c r="AC169" s="91"/>
      <c r="AD169" s="91"/>
    </row>
    <row r="170" ht="15.75" customHeight="1" outlineLevel="1">
      <c r="A170" s="170" t="s">
        <v>10535</v>
      </c>
      <c r="B170" s="57" t="s">
        <v>26</v>
      </c>
      <c r="C170" s="51" t="s">
        <v>27</v>
      </c>
      <c r="D170" s="52" t="s">
        <v>4</v>
      </c>
      <c r="E170" s="53" t="s">
        <v>27</v>
      </c>
      <c r="F170" s="52" t="s">
        <v>4</v>
      </c>
      <c r="G170" s="52" t="s">
        <v>67</v>
      </c>
      <c r="H170" s="230" t="s">
        <v>10786</v>
      </c>
      <c r="I170" s="157" t="s">
        <v>29</v>
      </c>
      <c r="J170" s="176" t="s">
        <v>556</v>
      </c>
      <c r="K170" s="221" t="s">
        <v>37</v>
      </c>
      <c r="L170" s="176" t="s">
        <v>3292</v>
      </c>
      <c r="M170" s="52" t="s">
        <v>46</v>
      </c>
      <c r="N170" s="54" t="s">
        <v>10496</v>
      </c>
      <c r="O170" s="55" t="str">
        <f t="shared" si="4"/>
        <v>L1.00.00.13.01.04</v>
      </c>
      <c r="P170" s="55" t="str">
        <f t="shared" si="5"/>
        <v>L1.00.00.13.01.04.07</v>
      </c>
      <c r="Q170" s="160" t="s">
        <v>10530</v>
      </c>
      <c r="R170" s="169" t="str">
        <f t="shared" si="6"/>
        <v>Dự án EMIS Mobile</v>
      </c>
      <c r="S170" s="227" t="s">
        <v>10791</v>
      </c>
      <c r="T170" s="96" t="s">
        <v>3293</v>
      </c>
      <c r="U170" s="96" t="s">
        <v>453</v>
      </c>
      <c r="V170" s="96" t="s">
        <v>555</v>
      </c>
      <c r="W170" s="96" t="s">
        <v>556</v>
      </c>
      <c r="X170" s="96" t="s">
        <v>3292</v>
      </c>
      <c r="Y170" s="96"/>
      <c r="Z170" s="98" t="s">
        <v>10795</v>
      </c>
      <c r="AA170" s="153" t="s">
        <v>10530</v>
      </c>
      <c r="AB170" s="91"/>
      <c r="AC170" s="91"/>
      <c r="AD170" s="91"/>
    </row>
    <row r="171" ht="15.75" customHeight="1" outlineLevel="1">
      <c r="A171" s="170" t="s">
        <v>10535</v>
      </c>
      <c r="B171" s="57" t="s">
        <v>26</v>
      </c>
      <c r="C171" s="51" t="s">
        <v>27</v>
      </c>
      <c r="D171" s="52" t="s">
        <v>4</v>
      </c>
      <c r="E171" s="53" t="s">
        <v>27</v>
      </c>
      <c r="F171" s="52" t="s">
        <v>4</v>
      </c>
      <c r="G171" s="52" t="s">
        <v>67</v>
      </c>
      <c r="H171" s="230" t="s">
        <v>10786</v>
      </c>
      <c r="I171" s="157" t="s">
        <v>29</v>
      </c>
      <c r="J171" s="176" t="s">
        <v>556</v>
      </c>
      <c r="K171" s="221" t="s">
        <v>42</v>
      </c>
      <c r="L171" s="176" t="s">
        <v>616</v>
      </c>
      <c r="M171" s="52" t="s">
        <v>46</v>
      </c>
      <c r="N171" s="54" t="s">
        <v>10496</v>
      </c>
      <c r="O171" s="55" t="str">
        <f t="shared" si="4"/>
        <v>L1.00.00.13.01.05</v>
      </c>
      <c r="P171" s="55" t="str">
        <f t="shared" si="5"/>
        <v>L1.00.00.13.01.05.07</v>
      </c>
      <c r="Q171" s="160" t="s">
        <v>10530</v>
      </c>
      <c r="R171" s="169" t="str">
        <f t="shared" si="6"/>
        <v>[EMIS Ngoài công lập] Nhóm Phân tích và Thiết kế</v>
      </c>
      <c r="S171" s="227" t="s">
        <v>10791</v>
      </c>
      <c r="T171" s="96" t="s">
        <v>617</v>
      </c>
      <c r="U171" s="96" t="s">
        <v>453</v>
      </c>
      <c r="V171" s="96" t="s">
        <v>555</v>
      </c>
      <c r="W171" s="96" t="s">
        <v>556</v>
      </c>
      <c r="X171" s="96" t="s">
        <v>616</v>
      </c>
      <c r="Y171" s="96"/>
      <c r="Z171" s="98" t="s">
        <v>10796</v>
      </c>
      <c r="AA171" s="153" t="s">
        <v>10530</v>
      </c>
      <c r="AB171" s="91"/>
      <c r="AC171" s="91"/>
      <c r="AD171" s="91"/>
    </row>
    <row r="172" ht="15.75" customHeight="1" outlineLevel="1">
      <c r="A172" s="170" t="s">
        <v>10535</v>
      </c>
      <c r="B172" s="57" t="s">
        <v>26</v>
      </c>
      <c r="C172" s="51" t="s">
        <v>27</v>
      </c>
      <c r="D172" s="52" t="s">
        <v>4</v>
      </c>
      <c r="E172" s="53" t="s">
        <v>27</v>
      </c>
      <c r="F172" s="52" t="s">
        <v>4</v>
      </c>
      <c r="G172" s="52" t="s">
        <v>67</v>
      </c>
      <c r="H172" s="230" t="s">
        <v>10786</v>
      </c>
      <c r="I172" s="157" t="s">
        <v>29</v>
      </c>
      <c r="J172" s="176" t="s">
        <v>556</v>
      </c>
      <c r="K172" s="221" t="s">
        <v>44</v>
      </c>
      <c r="L172" s="176" t="s">
        <v>2995</v>
      </c>
      <c r="M172" s="52" t="s">
        <v>46</v>
      </c>
      <c r="N172" s="54" t="s">
        <v>10496</v>
      </c>
      <c r="O172" s="55" t="str">
        <f t="shared" si="4"/>
        <v>L1.00.00.13.01.06</v>
      </c>
      <c r="P172" s="55" t="str">
        <f t="shared" si="5"/>
        <v>L1.00.00.13.01.06.07</v>
      </c>
      <c r="Q172" s="160" t="s">
        <v>10530</v>
      </c>
      <c r="R172" s="169" t="str">
        <f t="shared" si="6"/>
        <v>[EMIS Công lập] Nhóm Phân tích và Thiết kế</v>
      </c>
      <c r="S172" s="227" t="s">
        <v>10791</v>
      </c>
      <c r="T172" s="96" t="s">
        <v>2996</v>
      </c>
      <c r="U172" s="96" t="s">
        <v>453</v>
      </c>
      <c r="V172" s="96" t="s">
        <v>555</v>
      </c>
      <c r="W172" s="96" t="s">
        <v>556</v>
      </c>
      <c r="X172" s="96" t="s">
        <v>2995</v>
      </c>
      <c r="Y172" s="96"/>
      <c r="Z172" s="98" t="s">
        <v>10797</v>
      </c>
      <c r="AA172" s="153" t="s">
        <v>10530</v>
      </c>
      <c r="AB172" s="91"/>
      <c r="AC172" s="91"/>
      <c r="AD172" s="91"/>
    </row>
    <row r="173" ht="15.75" customHeight="1" outlineLevel="1">
      <c r="A173" s="170" t="s">
        <v>10535</v>
      </c>
      <c r="B173" s="57" t="s">
        <v>26</v>
      </c>
      <c r="C173" s="51" t="s">
        <v>27</v>
      </c>
      <c r="D173" s="52" t="s">
        <v>4</v>
      </c>
      <c r="E173" s="53" t="s">
        <v>27</v>
      </c>
      <c r="F173" s="52" t="s">
        <v>4</v>
      </c>
      <c r="G173" s="52" t="s">
        <v>67</v>
      </c>
      <c r="H173" s="230" t="s">
        <v>10786</v>
      </c>
      <c r="I173" s="231" t="s">
        <v>33</v>
      </c>
      <c r="J173" s="176" t="s">
        <v>5194</v>
      </c>
      <c r="K173" s="172" t="s">
        <v>27</v>
      </c>
      <c r="L173" s="174" t="s">
        <v>4</v>
      </c>
      <c r="M173" s="52" t="s">
        <v>46</v>
      </c>
      <c r="N173" s="54" t="s">
        <v>10496</v>
      </c>
      <c r="O173" s="55" t="str">
        <f t="shared" si="4"/>
        <v>L1.00.00.13.02.00</v>
      </c>
      <c r="P173" s="55" t="str">
        <f t="shared" si="5"/>
        <v>L1.00.00.13.02.00.07</v>
      </c>
      <c r="Q173" s="160" t="s">
        <v>10530</v>
      </c>
      <c r="R173" s="169" t="str">
        <f t="shared" si="6"/>
        <v>Nhóm chuyên gia Khối Nền tảng GD</v>
      </c>
      <c r="S173" s="227" t="s">
        <v>10789</v>
      </c>
      <c r="T173" s="96" t="s">
        <v>5195</v>
      </c>
      <c r="U173" s="96" t="s">
        <v>453</v>
      </c>
      <c r="V173" s="96" t="s">
        <v>555</v>
      </c>
      <c r="W173" s="96" t="s">
        <v>5194</v>
      </c>
      <c r="X173" s="96"/>
      <c r="Y173" s="96"/>
      <c r="Z173" s="98" t="s">
        <v>10798</v>
      </c>
      <c r="AA173" s="153" t="s">
        <v>10530</v>
      </c>
      <c r="AB173" s="91"/>
      <c r="AC173" s="91"/>
      <c r="AD173" s="91"/>
    </row>
    <row r="174" ht="15.75" customHeight="1" outlineLevel="1">
      <c r="A174" s="170" t="s">
        <v>10535</v>
      </c>
      <c r="B174" s="57" t="s">
        <v>26</v>
      </c>
      <c r="C174" s="51" t="s">
        <v>27</v>
      </c>
      <c r="D174" s="52" t="s">
        <v>4</v>
      </c>
      <c r="E174" s="53" t="s">
        <v>27</v>
      </c>
      <c r="F174" s="52" t="s">
        <v>4</v>
      </c>
      <c r="G174" s="52" t="s">
        <v>69</v>
      </c>
      <c r="H174" s="230" t="s">
        <v>10799</v>
      </c>
      <c r="I174" s="168" t="s">
        <v>27</v>
      </c>
      <c r="J174" s="218" t="s">
        <v>4</v>
      </c>
      <c r="K174" s="172" t="s">
        <v>27</v>
      </c>
      <c r="L174" s="194" t="s">
        <v>4</v>
      </c>
      <c r="M174" s="52" t="s">
        <v>46</v>
      </c>
      <c r="N174" s="54" t="s">
        <v>10496</v>
      </c>
      <c r="O174" s="55" t="str">
        <f t="shared" si="4"/>
        <v>L1.00.00.14.00.00</v>
      </c>
      <c r="P174" s="55" t="str">
        <f t="shared" si="5"/>
        <v>L1.00.00.14.00.00.07</v>
      </c>
      <c r="Q174" s="160" t="s">
        <v>10530</v>
      </c>
      <c r="R174" s="169" t="str">
        <f t="shared" si="6"/>
        <v>Khối nền tảng Kế toán dịch vụ</v>
      </c>
      <c r="S174" s="97" t="s">
        <v>10536</v>
      </c>
      <c r="T174" s="97" t="s">
        <v>10800</v>
      </c>
      <c r="U174" s="96" t="s">
        <v>453</v>
      </c>
      <c r="V174" s="96" t="s">
        <v>4330</v>
      </c>
      <c r="W174" s="96" t="s">
        <v>4331</v>
      </c>
      <c r="X174" s="96"/>
      <c r="Y174" s="96"/>
      <c r="Z174" s="98" t="s">
        <v>10801</v>
      </c>
      <c r="AA174" s="153" t="s">
        <v>10530</v>
      </c>
      <c r="AB174" s="91"/>
      <c r="AC174" s="91"/>
      <c r="AD174" s="91"/>
    </row>
    <row r="175" ht="15.75" customHeight="1" outlineLevel="1">
      <c r="A175" s="170" t="s">
        <v>10535</v>
      </c>
      <c r="B175" s="57" t="s">
        <v>26</v>
      </c>
      <c r="C175" s="51" t="s">
        <v>27</v>
      </c>
      <c r="D175" s="52" t="s">
        <v>4</v>
      </c>
      <c r="E175" s="53" t="s">
        <v>27</v>
      </c>
      <c r="F175" s="52" t="s">
        <v>4</v>
      </c>
      <c r="G175" s="52" t="s">
        <v>69</v>
      </c>
      <c r="H175" s="230" t="s">
        <v>10799</v>
      </c>
      <c r="I175" s="157" t="s">
        <v>29</v>
      </c>
      <c r="J175" s="176" t="s">
        <v>4331</v>
      </c>
      <c r="K175" s="172" t="s">
        <v>27</v>
      </c>
      <c r="L175" s="194" t="s">
        <v>4</v>
      </c>
      <c r="M175" s="52" t="s">
        <v>46</v>
      </c>
      <c r="N175" s="54" t="s">
        <v>10496</v>
      </c>
      <c r="O175" s="55" t="str">
        <f t="shared" si="4"/>
        <v>L1.00.00.14.01.00</v>
      </c>
      <c r="P175" s="55" t="str">
        <f t="shared" si="5"/>
        <v>L1.00.00.14.01.00.07</v>
      </c>
      <c r="Q175" s="160" t="s">
        <v>10530</v>
      </c>
      <c r="R175" s="169" t="str">
        <f t="shared" si="6"/>
        <v>Sản phẩm MISA ASP</v>
      </c>
      <c r="S175" s="227" t="s">
        <v>10802</v>
      </c>
      <c r="T175" s="96" t="s">
        <v>5728</v>
      </c>
      <c r="U175" s="96" t="s">
        <v>453</v>
      </c>
      <c r="V175" s="96" t="s">
        <v>4330</v>
      </c>
      <c r="W175" s="96" t="s">
        <v>4331</v>
      </c>
      <c r="X175" s="96"/>
      <c r="Y175" s="96"/>
      <c r="Z175" s="98" t="s">
        <v>10803</v>
      </c>
      <c r="AA175" s="153" t="s">
        <v>10530</v>
      </c>
      <c r="AB175" s="91"/>
      <c r="AC175" s="91"/>
      <c r="AD175" s="91"/>
    </row>
    <row r="176" ht="15.75" customHeight="1" outlineLevel="1">
      <c r="A176" s="170" t="s">
        <v>10535</v>
      </c>
      <c r="B176" s="57" t="s">
        <v>26</v>
      </c>
      <c r="C176" s="51" t="s">
        <v>27</v>
      </c>
      <c r="D176" s="52" t="s">
        <v>4</v>
      </c>
      <c r="E176" s="53" t="s">
        <v>27</v>
      </c>
      <c r="F176" s="52" t="s">
        <v>4</v>
      </c>
      <c r="G176" s="52" t="s">
        <v>69</v>
      </c>
      <c r="H176" s="230" t="s">
        <v>10799</v>
      </c>
      <c r="I176" s="157" t="s">
        <v>29</v>
      </c>
      <c r="J176" s="176" t="s">
        <v>4331</v>
      </c>
      <c r="K176" s="221" t="s">
        <v>29</v>
      </c>
      <c r="L176" s="176" t="s">
        <v>4983</v>
      </c>
      <c r="M176" s="52" t="s">
        <v>46</v>
      </c>
      <c r="N176" s="54" t="s">
        <v>10496</v>
      </c>
      <c r="O176" s="55" t="str">
        <f t="shared" si="4"/>
        <v>L1.00.00.14.01.01</v>
      </c>
      <c r="P176" s="55" t="str">
        <f t="shared" si="5"/>
        <v>L1.00.00.14.01.01.07</v>
      </c>
      <c r="Q176" s="160" t="s">
        <v>10530</v>
      </c>
      <c r="R176" s="169" t="str">
        <f t="shared" si="6"/>
        <v>Dự án MISA ASP</v>
      </c>
      <c r="S176" s="227" t="s">
        <v>10804</v>
      </c>
      <c r="T176" s="96" t="s">
        <v>4984</v>
      </c>
      <c r="U176" s="96" t="s">
        <v>453</v>
      </c>
      <c r="V176" s="96" t="s">
        <v>4330</v>
      </c>
      <c r="W176" s="96" t="s">
        <v>4331</v>
      </c>
      <c r="X176" s="96" t="s">
        <v>4983</v>
      </c>
      <c r="Y176" s="96"/>
      <c r="Z176" s="98" t="s">
        <v>10805</v>
      </c>
      <c r="AA176" s="153" t="s">
        <v>10530</v>
      </c>
      <c r="AB176" s="91"/>
      <c r="AC176" s="91"/>
      <c r="AD176" s="91"/>
    </row>
    <row r="177" ht="15.75" customHeight="1" outlineLevel="1">
      <c r="A177" s="170" t="s">
        <v>10535</v>
      </c>
      <c r="B177" s="57" t="s">
        <v>26</v>
      </c>
      <c r="C177" s="51" t="s">
        <v>27</v>
      </c>
      <c r="D177" s="52" t="s">
        <v>4</v>
      </c>
      <c r="E177" s="53" t="s">
        <v>27</v>
      </c>
      <c r="F177" s="52" t="s">
        <v>4</v>
      </c>
      <c r="G177" s="52" t="s">
        <v>69</v>
      </c>
      <c r="H177" s="230" t="s">
        <v>10799</v>
      </c>
      <c r="I177" s="157" t="s">
        <v>29</v>
      </c>
      <c r="J177" s="176" t="s">
        <v>4331</v>
      </c>
      <c r="K177" s="221" t="s">
        <v>33</v>
      </c>
      <c r="L177" s="176" t="s">
        <v>4329</v>
      </c>
      <c r="M177" s="52" t="s">
        <v>46</v>
      </c>
      <c r="N177" s="54" t="s">
        <v>10496</v>
      </c>
      <c r="O177" s="55" t="str">
        <f t="shared" si="4"/>
        <v>L1.00.00.14.01.02</v>
      </c>
      <c r="P177" s="55" t="str">
        <f t="shared" si="5"/>
        <v>L1.00.00.14.01.02.07</v>
      </c>
      <c r="Q177" s="160" t="s">
        <v>10530</v>
      </c>
      <c r="R177" s="169" t="str">
        <f t="shared" si="6"/>
        <v>[MISA ASP] Nhóm Phân tích &amp; Thiết kế</v>
      </c>
      <c r="S177" s="227" t="s">
        <v>10804</v>
      </c>
      <c r="T177" s="96" t="s">
        <v>4332</v>
      </c>
      <c r="U177" s="96" t="s">
        <v>453</v>
      </c>
      <c r="V177" s="96" t="s">
        <v>4330</v>
      </c>
      <c r="W177" s="96" t="s">
        <v>4331</v>
      </c>
      <c r="X177" s="96" t="s">
        <v>4329</v>
      </c>
      <c r="Y177" s="96"/>
      <c r="Z177" s="98" t="s">
        <v>10806</v>
      </c>
      <c r="AA177" s="153" t="s">
        <v>10530</v>
      </c>
      <c r="AB177" s="91"/>
      <c r="AC177" s="91"/>
      <c r="AD177" s="91"/>
    </row>
    <row r="178" ht="15.75" customHeight="1" outlineLevel="1">
      <c r="A178" s="170" t="s">
        <v>10535</v>
      </c>
      <c r="B178" s="57" t="s">
        <v>26</v>
      </c>
      <c r="C178" s="51" t="s">
        <v>27</v>
      </c>
      <c r="D178" s="52" t="s">
        <v>4</v>
      </c>
      <c r="E178" s="53" t="s">
        <v>27</v>
      </c>
      <c r="F178" s="52" t="s">
        <v>4</v>
      </c>
      <c r="G178" s="52" t="s">
        <v>71</v>
      </c>
      <c r="H178" s="230" t="s">
        <v>10807</v>
      </c>
      <c r="I178" s="168" t="s">
        <v>27</v>
      </c>
      <c r="J178" s="218" t="s">
        <v>4</v>
      </c>
      <c r="K178" s="175" t="s">
        <v>27</v>
      </c>
      <c r="L178" s="218" t="s">
        <v>4</v>
      </c>
      <c r="M178" s="52" t="s">
        <v>46</v>
      </c>
      <c r="N178" s="54" t="s">
        <v>10496</v>
      </c>
      <c r="O178" s="55" t="str">
        <f t="shared" si="4"/>
        <v>L1.00.00.15.00.00</v>
      </c>
      <c r="P178" s="55" t="str">
        <f t="shared" si="5"/>
        <v>L1.00.00.15.00.00.07</v>
      </c>
      <c r="Q178" s="160" t="s">
        <v>10530</v>
      </c>
      <c r="R178" s="169" t="str">
        <f t="shared" si="6"/>
        <v>Khối nền tảng Thị trường nước ngoài</v>
      </c>
      <c r="S178" s="97" t="s">
        <v>10536</v>
      </c>
      <c r="T178" s="97" t="s">
        <v>10808</v>
      </c>
      <c r="U178" s="96" t="s">
        <v>453</v>
      </c>
      <c r="V178" s="96" t="s">
        <v>2835</v>
      </c>
      <c r="W178" s="96" t="s">
        <v>3564</v>
      </c>
      <c r="X178" s="96" t="s">
        <v>3563</v>
      </c>
      <c r="Y178" s="96"/>
      <c r="Z178" s="98" t="s">
        <v>10809</v>
      </c>
      <c r="AA178" s="153" t="s">
        <v>10530</v>
      </c>
      <c r="AB178" s="91"/>
      <c r="AC178" s="91"/>
      <c r="AD178" s="91"/>
    </row>
    <row r="179" ht="15.75" customHeight="1" outlineLevel="1">
      <c r="A179" s="170" t="s">
        <v>10535</v>
      </c>
      <c r="B179" s="57" t="s">
        <v>26</v>
      </c>
      <c r="C179" s="51" t="s">
        <v>27</v>
      </c>
      <c r="D179" s="52" t="s">
        <v>4</v>
      </c>
      <c r="E179" s="53" t="s">
        <v>27</v>
      </c>
      <c r="F179" s="52" t="s">
        <v>4</v>
      </c>
      <c r="G179" s="52" t="s">
        <v>71</v>
      </c>
      <c r="H179" s="230" t="s">
        <v>10807</v>
      </c>
      <c r="I179" s="157" t="s">
        <v>29</v>
      </c>
      <c r="J179" s="176" t="s">
        <v>3564</v>
      </c>
      <c r="K179" s="175" t="s">
        <v>27</v>
      </c>
      <c r="L179" s="218" t="s">
        <v>4</v>
      </c>
      <c r="M179" s="52" t="s">
        <v>46</v>
      </c>
      <c r="N179" s="54" t="s">
        <v>10496</v>
      </c>
      <c r="O179" s="55" t="str">
        <f t="shared" si="4"/>
        <v>L1.00.00.15.01.00</v>
      </c>
      <c r="P179" s="55" t="str">
        <f t="shared" si="5"/>
        <v>L1.00.00.15.01.00.07</v>
      </c>
      <c r="Q179" s="160" t="s">
        <v>10530</v>
      </c>
      <c r="R179" s="169" t="str">
        <f t="shared" si="6"/>
        <v>Sản phẩm CukCuk (TTNN)</v>
      </c>
      <c r="S179" s="227" t="s">
        <v>10810</v>
      </c>
      <c r="T179" s="97" t="s">
        <v>10811</v>
      </c>
      <c r="U179" s="96" t="s">
        <v>453</v>
      </c>
      <c r="V179" s="96" t="s">
        <v>2835</v>
      </c>
      <c r="W179" s="96" t="s">
        <v>3564</v>
      </c>
      <c r="X179" s="96" t="s">
        <v>3563</v>
      </c>
      <c r="Y179" s="96"/>
      <c r="Z179" s="98" t="s">
        <v>10812</v>
      </c>
      <c r="AA179" s="153" t="s">
        <v>10530</v>
      </c>
      <c r="AB179" s="91"/>
      <c r="AC179" s="91"/>
      <c r="AD179" s="91"/>
    </row>
    <row r="180" ht="15.75" customHeight="1" outlineLevel="1">
      <c r="A180" s="170" t="s">
        <v>10535</v>
      </c>
      <c r="B180" s="57" t="s">
        <v>26</v>
      </c>
      <c r="C180" s="51" t="s">
        <v>27</v>
      </c>
      <c r="D180" s="52" t="s">
        <v>4</v>
      </c>
      <c r="E180" s="53" t="s">
        <v>27</v>
      </c>
      <c r="F180" s="52" t="s">
        <v>4</v>
      </c>
      <c r="G180" s="52" t="s">
        <v>71</v>
      </c>
      <c r="H180" s="230" t="s">
        <v>10807</v>
      </c>
      <c r="I180" s="157" t="s">
        <v>29</v>
      </c>
      <c r="J180" s="176" t="s">
        <v>3564</v>
      </c>
      <c r="K180" s="221" t="s">
        <v>29</v>
      </c>
      <c r="L180" s="176" t="s">
        <v>3563</v>
      </c>
      <c r="M180" s="52" t="s">
        <v>46</v>
      </c>
      <c r="N180" s="54" t="s">
        <v>10496</v>
      </c>
      <c r="O180" s="55" t="str">
        <f t="shared" si="4"/>
        <v>L1.00.00.15.01.01</v>
      </c>
      <c r="P180" s="55" t="str">
        <f t="shared" si="5"/>
        <v>L1.00.00.15.01.01.07</v>
      </c>
      <c r="Q180" s="160" t="s">
        <v>10530</v>
      </c>
      <c r="R180" s="169" t="str">
        <f t="shared" si="6"/>
        <v>Dự án Cukcuk W&amp;D (TTNN)</v>
      </c>
      <c r="S180" s="227" t="s">
        <v>10813</v>
      </c>
      <c r="T180" s="96" t="s">
        <v>3565</v>
      </c>
      <c r="U180" s="96" t="s">
        <v>453</v>
      </c>
      <c r="V180" s="96" t="s">
        <v>2835</v>
      </c>
      <c r="W180" s="96" t="s">
        <v>3564</v>
      </c>
      <c r="X180" s="96" t="s">
        <v>3563</v>
      </c>
      <c r="Y180" s="96"/>
      <c r="Z180" s="98" t="s">
        <v>10814</v>
      </c>
      <c r="AA180" s="153" t="s">
        <v>10530</v>
      </c>
      <c r="AB180" s="91"/>
      <c r="AC180" s="91"/>
      <c r="AD180" s="91"/>
    </row>
    <row r="181" ht="15.75" customHeight="1" outlineLevel="1">
      <c r="A181" s="170" t="s">
        <v>10535</v>
      </c>
      <c r="B181" s="57" t="s">
        <v>26</v>
      </c>
      <c r="C181" s="51" t="s">
        <v>27</v>
      </c>
      <c r="D181" s="52" t="s">
        <v>4</v>
      </c>
      <c r="E181" s="53" t="s">
        <v>27</v>
      </c>
      <c r="F181" s="52" t="s">
        <v>4</v>
      </c>
      <c r="G181" s="52" t="s">
        <v>71</v>
      </c>
      <c r="H181" s="230" t="s">
        <v>10807</v>
      </c>
      <c r="I181" s="157" t="s">
        <v>29</v>
      </c>
      <c r="J181" s="176" t="s">
        <v>3564</v>
      </c>
      <c r="K181" s="221" t="s">
        <v>33</v>
      </c>
      <c r="L181" s="176" t="s">
        <v>5387</v>
      </c>
      <c r="M181" s="52" t="s">
        <v>46</v>
      </c>
      <c r="N181" s="54" t="s">
        <v>10496</v>
      </c>
      <c r="O181" s="55" t="str">
        <f t="shared" si="4"/>
        <v>L1.00.00.15.01.02</v>
      </c>
      <c r="P181" s="55" t="str">
        <f t="shared" si="5"/>
        <v>L1.00.00.15.01.02.07</v>
      </c>
      <c r="Q181" s="160" t="s">
        <v>10530</v>
      </c>
      <c r="R181" s="169" t="str">
        <f t="shared" si="6"/>
        <v>[Cukcuk TTNN] Nhóm Phân tích &amp; Thiết kế</v>
      </c>
      <c r="S181" s="227" t="s">
        <v>10813</v>
      </c>
      <c r="T181" s="96" t="s">
        <v>5388</v>
      </c>
      <c r="U181" s="96" t="s">
        <v>453</v>
      </c>
      <c r="V181" s="96" t="s">
        <v>2835</v>
      </c>
      <c r="W181" s="96" t="s">
        <v>3564</v>
      </c>
      <c r="X181" s="96" t="s">
        <v>5387</v>
      </c>
      <c r="Y181" s="96"/>
      <c r="Z181" s="98" t="s">
        <v>10815</v>
      </c>
      <c r="AA181" s="153" t="s">
        <v>10530</v>
      </c>
      <c r="AB181" s="91"/>
      <c r="AC181" s="91"/>
      <c r="AD181" s="91"/>
    </row>
    <row r="182" ht="15.75" customHeight="1" outlineLevel="1">
      <c r="A182" s="170" t="s">
        <v>10535</v>
      </c>
      <c r="B182" s="57" t="s">
        <v>26</v>
      </c>
      <c r="C182" s="51" t="s">
        <v>27</v>
      </c>
      <c r="D182" s="52" t="s">
        <v>4</v>
      </c>
      <c r="E182" s="53" t="s">
        <v>27</v>
      </c>
      <c r="F182" s="52" t="s">
        <v>4</v>
      </c>
      <c r="G182" s="52" t="s">
        <v>71</v>
      </c>
      <c r="H182" s="230" t="s">
        <v>10807</v>
      </c>
      <c r="I182" s="231" t="s">
        <v>33</v>
      </c>
      <c r="J182" s="176" t="s">
        <v>4612</v>
      </c>
      <c r="K182" s="175" t="s">
        <v>27</v>
      </c>
      <c r="L182" s="218" t="s">
        <v>4</v>
      </c>
      <c r="M182" s="52" t="s">
        <v>46</v>
      </c>
      <c r="N182" s="54" t="s">
        <v>10496</v>
      </c>
      <c r="O182" s="55" t="str">
        <f t="shared" si="4"/>
        <v>L1.00.00.15.02.00</v>
      </c>
      <c r="P182" s="55" t="str">
        <f t="shared" si="5"/>
        <v>L1.00.00.15.02.00.07</v>
      </c>
      <c r="Q182" s="160" t="s">
        <v>10530</v>
      </c>
      <c r="R182" s="169" t="str">
        <f t="shared" si="6"/>
        <v>Sản phẩm CukCuk (TT Mỹ)</v>
      </c>
      <c r="S182" s="227" t="s">
        <v>10810</v>
      </c>
      <c r="T182" s="97" t="s">
        <v>10816</v>
      </c>
      <c r="U182" s="96" t="s">
        <v>453</v>
      </c>
      <c r="V182" s="96" t="s">
        <v>2835</v>
      </c>
      <c r="W182" s="96" t="s">
        <v>4612</v>
      </c>
      <c r="X182" s="96" t="s">
        <v>5091</v>
      </c>
      <c r="Y182" s="96"/>
      <c r="Z182" s="98" t="s">
        <v>10817</v>
      </c>
      <c r="AA182" s="153" t="s">
        <v>10530</v>
      </c>
      <c r="AB182" s="91"/>
      <c r="AC182" s="91"/>
      <c r="AD182" s="91"/>
    </row>
    <row r="183" ht="15.75" customHeight="1" outlineLevel="1">
      <c r="A183" s="170" t="s">
        <v>10535</v>
      </c>
      <c r="B183" s="57" t="s">
        <v>26</v>
      </c>
      <c r="C183" s="51" t="s">
        <v>27</v>
      </c>
      <c r="D183" s="52" t="s">
        <v>4</v>
      </c>
      <c r="E183" s="53" t="s">
        <v>27</v>
      </c>
      <c r="F183" s="52" t="s">
        <v>4</v>
      </c>
      <c r="G183" s="52" t="s">
        <v>71</v>
      </c>
      <c r="H183" s="230" t="s">
        <v>10807</v>
      </c>
      <c r="I183" s="231" t="s">
        <v>33</v>
      </c>
      <c r="J183" s="176" t="s">
        <v>4612</v>
      </c>
      <c r="K183" s="221" t="s">
        <v>29</v>
      </c>
      <c r="L183" s="176" t="s">
        <v>5091</v>
      </c>
      <c r="M183" s="52" t="s">
        <v>46</v>
      </c>
      <c r="N183" s="54" t="s">
        <v>10496</v>
      </c>
      <c r="O183" s="55" t="str">
        <f t="shared" si="4"/>
        <v>L1.00.00.15.02.01</v>
      </c>
      <c r="P183" s="55" t="str">
        <f t="shared" si="5"/>
        <v>L1.00.00.15.02.01.07</v>
      </c>
      <c r="Q183" s="160" t="s">
        <v>10530</v>
      </c>
      <c r="R183" s="169" t="str">
        <f t="shared" si="6"/>
        <v>Dự án Cukcuk W&amp;D (TT Mỹ)</v>
      </c>
      <c r="S183" s="227" t="s">
        <v>10818</v>
      </c>
      <c r="T183" s="96" t="s">
        <v>5092</v>
      </c>
      <c r="U183" s="96" t="s">
        <v>453</v>
      </c>
      <c r="V183" s="96" t="s">
        <v>2835</v>
      </c>
      <c r="W183" s="96" t="s">
        <v>4612</v>
      </c>
      <c r="X183" s="96" t="s">
        <v>5091</v>
      </c>
      <c r="Y183" s="96"/>
      <c r="Z183" s="98" t="s">
        <v>10819</v>
      </c>
      <c r="AA183" s="153" t="s">
        <v>10530</v>
      </c>
      <c r="AB183" s="91"/>
      <c r="AC183" s="91"/>
      <c r="AD183" s="91"/>
    </row>
    <row r="184" ht="15.75" customHeight="1" outlineLevel="1">
      <c r="A184" s="170" t="s">
        <v>10535</v>
      </c>
      <c r="B184" s="57" t="s">
        <v>26</v>
      </c>
      <c r="C184" s="51" t="s">
        <v>27</v>
      </c>
      <c r="D184" s="52" t="s">
        <v>4</v>
      </c>
      <c r="E184" s="53" t="s">
        <v>27</v>
      </c>
      <c r="F184" s="52" t="s">
        <v>4</v>
      </c>
      <c r="G184" s="52" t="s">
        <v>71</v>
      </c>
      <c r="H184" s="230" t="s">
        <v>10807</v>
      </c>
      <c r="I184" s="231" t="s">
        <v>33</v>
      </c>
      <c r="J184" s="176" t="s">
        <v>4612</v>
      </c>
      <c r="K184" s="221" t="s">
        <v>33</v>
      </c>
      <c r="L184" s="176" t="s">
        <v>4611</v>
      </c>
      <c r="M184" s="52" t="s">
        <v>46</v>
      </c>
      <c r="N184" s="54" t="s">
        <v>10496</v>
      </c>
      <c r="O184" s="55" t="str">
        <f t="shared" si="4"/>
        <v>L1.00.00.15.02.02</v>
      </c>
      <c r="P184" s="55" t="str">
        <f t="shared" si="5"/>
        <v>L1.00.00.15.02.02.07</v>
      </c>
      <c r="Q184" s="160" t="s">
        <v>10530</v>
      </c>
      <c r="R184" s="169" t="str">
        <f t="shared" si="6"/>
        <v>Dự án CukCuk Mobile TT Mỹ</v>
      </c>
      <c r="S184" s="227" t="s">
        <v>10818</v>
      </c>
      <c r="T184" s="96" t="s">
        <v>4613</v>
      </c>
      <c r="U184" s="96" t="s">
        <v>453</v>
      </c>
      <c r="V184" s="96" t="s">
        <v>2835</v>
      </c>
      <c r="W184" s="96" t="s">
        <v>4612</v>
      </c>
      <c r="X184" s="96" t="s">
        <v>4611</v>
      </c>
      <c r="Y184" s="96"/>
      <c r="Z184" s="98" t="s">
        <v>10820</v>
      </c>
      <c r="AA184" s="153" t="s">
        <v>10530</v>
      </c>
      <c r="AB184" s="91"/>
      <c r="AC184" s="91"/>
      <c r="AD184" s="91"/>
    </row>
    <row r="185" ht="15.75" customHeight="1" outlineLevel="1">
      <c r="A185" s="170" t="s">
        <v>10535</v>
      </c>
      <c r="B185" s="57" t="s">
        <v>26</v>
      </c>
      <c r="C185" s="51" t="s">
        <v>27</v>
      </c>
      <c r="D185" s="52" t="s">
        <v>4</v>
      </c>
      <c r="E185" s="53" t="s">
        <v>27</v>
      </c>
      <c r="F185" s="52" t="s">
        <v>4</v>
      </c>
      <c r="G185" s="52" t="s">
        <v>71</v>
      </c>
      <c r="H185" s="230" t="s">
        <v>10807</v>
      </c>
      <c r="I185" s="231" t="s">
        <v>35</v>
      </c>
      <c r="J185" s="176" t="s">
        <v>2836</v>
      </c>
      <c r="K185" s="175" t="s">
        <v>27</v>
      </c>
      <c r="L185" s="218" t="s">
        <v>4</v>
      </c>
      <c r="M185" s="52" t="s">
        <v>46</v>
      </c>
      <c r="N185" s="54" t="s">
        <v>10496</v>
      </c>
      <c r="O185" s="55" t="str">
        <f t="shared" si="4"/>
        <v>L1.00.00.15.03.00</v>
      </c>
      <c r="P185" s="55" t="str">
        <f t="shared" si="5"/>
        <v>L1.00.00.15.03.00.07</v>
      </c>
      <c r="Q185" s="160" t="s">
        <v>10530</v>
      </c>
      <c r="R185" s="169" t="str">
        <f t="shared" si="6"/>
        <v>Sản phẩm CukCuk (TT Philippines)</v>
      </c>
      <c r="S185" s="227" t="s">
        <v>10810</v>
      </c>
      <c r="T185" s="97" t="s">
        <v>10821</v>
      </c>
      <c r="U185" s="96" t="s">
        <v>453</v>
      </c>
      <c r="V185" s="96" t="s">
        <v>2835</v>
      </c>
      <c r="W185" s="96" t="s">
        <v>2836</v>
      </c>
      <c r="X185" s="96" t="s">
        <v>2834</v>
      </c>
      <c r="Y185" s="96"/>
      <c r="Z185" s="98" t="s">
        <v>10822</v>
      </c>
      <c r="AA185" s="153" t="s">
        <v>10530</v>
      </c>
      <c r="AB185" s="91"/>
      <c r="AC185" s="91"/>
      <c r="AD185" s="91"/>
    </row>
    <row r="186" ht="15.75" customHeight="1" outlineLevel="1">
      <c r="A186" s="170" t="s">
        <v>10535</v>
      </c>
      <c r="B186" s="57" t="s">
        <v>26</v>
      </c>
      <c r="C186" s="51" t="s">
        <v>27</v>
      </c>
      <c r="D186" s="52" t="s">
        <v>4</v>
      </c>
      <c r="E186" s="53" t="s">
        <v>27</v>
      </c>
      <c r="F186" s="52" t="s">
        <v>4</v>
      </c>
      <c r="G186" s="52" t="s">
        <v>71</v>
      </c>
      <c r="H186" s="230" t="s">
        <v>10807</v>
      </c>
      <c r="I186" s="231" t="s">
        <v>35</v>
      </c>
      <c r="J186" s="176" t="s">
        <v>2836</v>
      </c>
      <c r="K186" s="221" t="s">
        <v>29</v>
      </c>
      <c r="L186" s="176" t="s">
        <v>2834</v>
      </c>
      <c r="M186" s="52" t="s">
        <v>46</v>
      </c>
      <c r="N186" s="54" t="s">
        <v>10496</v>
      </c>
      <c r="O186" s="55" t="str">
        <f t="shared" si="4"/>
        <v>L1.00.00.15.03.01</v>
      </c>
      <c r="P186" s="55" t="str">
        <f t="shared" si="5"/>
        <v>L1.00.00.15.03.01.07</v>
      </c>
      <c r="Q186" s="160" t="s">
        <v>10530</v>
      </c>
      <c r="R186" s="169" t="str">
        <f t="shared" si="6"/>
        <v>Dự án CukCuk W&amp;D (TT Philippines)</v>
      </c>
      <c r="S186" s="227" t="s">
        <v>10823</v>
      </c>
      <c r="T186" s="96" t="s">
        <v>2837</v>
      </c>
      <c r="U186" s="96" t="s">
        <v>453</v>
      </c>
      <c r="V186" s="96" t="s">
        <v>2835</v>
      </c>
      <c r="W186" s="96" t="s">
        <v>2836</v>
      </c>
      <c r="X186" s="96" t="s">
        <v>2834</v>
      </c>
      <c r="Y186" s="96"/>
      <c r="Z186" s="98" t="s">
        <v>10824</v>
      </c>
      <c r="AA186" s="153" t="s">
        <v>10530</v>
      </c>
      <c r="AB186" s="91"/>
      <c r="AC186" s="91"/>
      <c r="AD186" s="91"/>
    </row>
    <row r="187" ht="18.75" customHeight="1" outlineLevel="1">
      <c r="A187" s="170" t="s">
        <v>10535</v>
      </c>
      <c r="B187" s="57" t="s">
        <v>26</v>
      </c>
      <c r="C187" s="51" t="s">
        <v>27</v>
      </c>
      <c r="D187" s="52" t="s">
        <v>4</v>
      </c>
      <c r="E187" s="53" t="s">
        <v>27</v>
      </c>
      <c r="F187" s="52" t="s">
        <v>4</v>
      </c>
      <c r="G187" s="51">
        <v>16.0</v>
      </c>
      <c r="H187" s="171" t="s">
        <v>28</v>
      </c>
      <c r="I187" s="168" t="s">
        <v>27</v>
      </c>
      <c r="J187" s="218" t="s">
        <v>4</v>
      </c>
      <c r="K187" s="175" t="s">
        <v>27</v>
      </c>
      <c r="L187" s="218" t="s">
        <v>4</v>
      </c>
      <c r="M187" s="52" t="s">
        <v>46</v>
      </c>
      <c r="N187" s="54" t="s">
        <v>10496</v>
      </c>
      <c r="O187" s="55" t="str">
        <f t="shared" si="4"/>
        <v>L1.00.00.16.00.00</v>
      </c>
      <c r="P187" s="55" t="str">
        <f t="shared" si="5"/>
        <v>L1.00.00.16.00.00.07</v>
      </c>
      <c r="Q187" s="160" t="s">
        <v>10530</v>
      </c>
      <c r="R187" s="169" t="str">
        <f t="shared" si="6"/>
        <v>Khối thị trường khách hàng cá nhân</v>
      </c>
      <c r="S187" s="187" t="s">
        <v>10536</v>
      </c>
      <c r="T187" s="97" t="s">
        <v>10825</v>
      </c>
      <c r="U187" s="96" t="s">
        <v>453</v>
      </c>
      <c r="V187" s="96" t="s">
        <v>6077</v>
      </c>
      <c r="W187" s="96" t="s">
        <v>6078</v>
      </c>
      <c r="X187" s="96" t="s">
        <v>6076</v>
      </c>
      <c r="Y187" s="96"/>
      <c r="Z187" s="98" t="s">
        <v>10826</v>
      </c>
      <c r="AA187" s="153" t="s">
        <v>10530</v>
      </c>
      <c r="AB187" s="91"/>
      <c r="AC187" s="91"/>
      <c r="AD187" s="91"/>
    </row>
    <row r="188" ht="18.75" customHeight="1" outlineLevel="1">
      <c r="A188" s="170" t="s">
        <v>10535</v>
      </c>
      <c r="B188" s="57" t="s">
        <v>26</v>
      </c>
      <c r="C188" s="51" t="s">
        <v>27</v>
      </c>
      <c r="D188" s="52" t="s">
        <v>4</v>
      </c>
      <c r="E188" s="53" t="s">
        <v>27</v>
      </c>
      <c r="F188" s="52" t="s">
        <v>4</v>
      </c>
      <c r="G188" s="51">
        <v>16.0</v>
      </c>
      <c r="H188" s="171" t="s">
        <v>28</v>
      </c>
      <c r="I188" s="168" t="s">
        <v>29</v>
      </c>
      <c r="J188" s="176" t="s">
        <v>6078</v>
      </c>
      <c r="K188" s="175" t="s">
        <v>27</v>
      </c>
      <c r="L188" s="218" t="s">
        <v>4</v>
      </c>
      <c r="M188" s="52" t="s">
        <v>46</v>
      </c>
      <c r="N188" s="54" t="s">
        <v>10496</v>
      </c>
      <c r="O188" s="55" t="str">
        <f t="shared" si="4"/>
        <v>L1.00.00.16.01.00</v>
      </c>
      <c r="P188" s="55" t="str">
        <f t="shared" si="5"/>
        <v>L1.00.00.16.01.00.07</v>
      </c>
      <c r="Q188" s="160" t="s">
        <v>10530</v>
      </c>
      <c r="R188" s="169" t="str">
        <f t="shared" si="6"/>
        <v>Sản phẩm MISA MoneyKeeper</v>
      </c>
      <c r="S188" s="229" t="str">
        <f>P187</f>
        <v>L1.00.00.16.00.00.07</v>
      </c>
      <c r="T188" s="97" t="s">
        <v>10827</v>
      </c>
      <c r="U188" s="96" t="s">
        <v>453</v>
      </c>
      <c r="V188" s="96" t="s">
        <v>6077</v>
      </c>
      <c r="W188" s="96" t="s">
        <v>6078</v>
      </c>
      <c r="X188" s="96" t="s">
        <v>6076</v>
      </c>
      <c r="Y188" s="96"/>
      <c r="Z188" s="98" t="s">
        <v>10828</v>
      </c>
      <c r="AA188" s="153" t="s">
        <v>10530</v>
      </c>
      <c r="AB188" s="91"/>
      <c r="AC188" s="91"/>
      <c r="AD188" s="91"/>
    </row>
    <row r="189" ht="18.75" customHeight="1" outlineLevel="1">
      <c r="A189" s="170" t="s">
        <v>10535</v>
      </c>
      <c r="B189" s="57" t="s">
        <v>26</v>
      </c>
      <c r="C189" s="51" t="s">
        <v>27</v>
      </c>
      <c r="D189" s="52" t="s">
        <v>4</v>
      </c>
      <c r="E189" s="53" t="s">
        <v>27</v>
      </c>
      <c r="F189" s="52" t="s">
        <v>4</v>
      </c>
      <c r="G189" s="51">
        <v>16.0</v>
      </c>
      <c r="H189" s="171" t="s">
        <v>28</v>
      </c>
      <c r="I189" s="168" t="s">
        <v>29</v>
      </c>
      <c r="J189" s="176" t="s">
        <v>6078</v>
      </c>
      <c r="K189" s="175" t="s">
        <v>29</v>
      </c>
      <c r="L189" s="176" t="s">
        <v>6076</v>
      </c>
      <c r="M189" s="52" t="s">
        <v>46</v>
      </c>
      <c r="N189" s="54" t="s">
        <v>10496</v>
      </c>
      <c r="O189" s="55" t="str">
        <f t="shared" si="4"/>
        <v>L1.00.00.16.01.01</v>
      </c>
      <c r="P189" s="55" t="str">
        <f t="shared" si="5"/>
        <v>L1.00.00.16.01.01.07</v>
      </c>
      <c r="Q189" s="160" t="s">
        <v>10530</v>
      </c>
      <c r="R189" s="169" t="str">
        <f t="shared" si="6"/>
        <v>Dự án MISA MoneyKeeper</v>
      </c>
      <c r="S189" s="229" t="s">
        <v>10829</v>
      </c>
      <c r="T189" s="96" t="s">
        <v>6079</v>
      </c>
      <c r="U189" s="96" t="s">
        <v>453</v>
      </c>
      <c r="V189" s="96" t="s">
        <v>6077</v>
      </c>
      <c r="W189" s="96" t="s">
        <v>6078</v>
      </c>
      <c r="X189" s="96" t="s">
        <v>6076</v>
      </c>
      <c r="Y189" s="96"/>
      <c r="Z189" s="98" t="s">
        <v>10830</v>
      </c>
      <c r="AA189" s="153" t="s">
        <v>10530</v>
      </c>
      <c r="AB189" s="91"/>
      <c r="AC189" s="91"/>
      <c r="AD189" s="91"/>
    </row>
    <row r="190" ht="18.75" customHeight="1" outlineLevel="1">
      <c r="A190" s="178" t="s">
        <v>10535</v>
      </c>
      <c r="B190" s="179" t="s">
        <v>26</v>
      </c>
      <c r="C190" s="180" t="s">
        <v>27</v>
      </c>
      <c r="D190" s="64" t="s">
        <v>4</v>
      </c>
      <c r="E190" s="71" t="s">
        <v>27</v>
      </c>
      <c r="F190" s="64" t="s">
        <v>4</v>
      </c>
      <c r="G190" s="178">
        <v>17.0</v>
      </c>
      <c r="H190" s="212" t="s">
        <v>10831</v>
      </c>
      <c r="I190" s="182" t="s">
        <v>27</v>
      </c>
      <c r="J190" s="218" t="s">
        <v>4</v>
      </c>
      <c r="K190" s="182" t="s">
        <v>27</v>
      </c>
      <c r="L190" s="218" t="s">
        <v>4</v>
      </c>
      <c r="M190" s="64" t="s">
        <v>46</v>
      </c>
      <c r="N190" s="70" t="s">
        <v>10496</v>
      </c>
      <c r="O190" s="58" t="str">
        <f t="shared" si="4"/>
        <v>L1.00.00.17.00.00</v>
      </c>
      <c r="P190" s="58" t="str">
        <f t="shared" si="5"/>
        <v>L1.00.00.17.00.00.07</v>
      </c>
      <c r="Q190" s="185" t="s">
        <v>10530</v>
      </c>
      <c r="R190" s="169" t="str">
        <f t="shared" si="6"/>
        <v>Ban giám đốc khối sản xuất</v>
      </c>
      <c r="S190" s="229" t="s">
        <v>10536</v>
      </c>
      <c r="T190" s="232" t="s">
        <v>5357</v>
      </c>
      <c r="U190" s="232" t="s">
        <v>453</v>
      </c>
      <c r="V190" s="232" t="s">
        <v>5356</v>
      </c>
      <c r="W190" s="189" t="s">
        <v>6078</v>
      </c>
      <c r="X190" s="189" t="s">
        <v>6076</v>
      </c>
      <c r="Y190" s="189"/>
      <c r="Z190" s="191" t="s">
        <v>10830</v>
      </c>
      <c r="AA190" s="192" t="s">
        <v>10530</v>
      </c>
      <c r="AB190" s="193"/>
      <c r="AC190" s="193"/>
      <c r="AD190" s="193"/>
    </row>
    <row r="191" ht="15.75" customHeight="1">
      <c r="A191" s="233" t="s">
        <v>10832</v>
      </c>
      <c r="B191" s="47"/>
      <c r="C191" s="47"/>
      <c r="D191" s="47"/>
      <c r="E191" s="47"/>
      <c r="F191" s="47"/>
      <c r="G191" s="48"/>
      <c r="H191" s="49"/>
      <c r="I191" s="48"/>
      <c r="J191" s="48"/>
      <c r="K191" s="48"/>
      <c r="L191" s="48"/>
      <c r="M191" s="48"/>
      <c r="N191" s="49"/>
      <c r="O191" s="55" t="str">
        <f t="shared" si="4"/>
        <v>Khối kinh doanh thị trường HCSN.....</v>
      </c>
      <c r="P191" s="48"/>
      <c r="Q191" s="169"/>
      <c r="R191" s="169" t="str">
        <f t="shared" si="6"/>
        <v/>
      </c>
      <c r="S191" s="96"/>
      <c r="T191" s="96"/>
      <c r="U191" s="96"/>
      <c r="V191" s="96"/>
      <c r="W191" s="96"/>
      <c r="X191" s="96"/>
      <c r="Y191" s="96"/>
      <c r="Z191" s="152"/>
      <c r="AA191" s="153" t="s">
        <v>10530</v>
      </c>
      <c r="AB191" s="91"/>
      <c r="AC191" s="91"/>
      <c r="AD191" s="91"/>
    </row>
    <row r="192" ht="15.75" hidden="1" customHeight="1" outlineLevel="1">
      <c r="A192" s="234" t="s">
        <v>10833</v>
      </c>
      <c r="B192" s="235" t="s">
        <v>77</v>
      </c>
      <c r="C192" s="236" t="s">
        <v>29</v>
      </c>
      <c r="D192" s="236" t="s">
        <v>78</v>
      </c>
      <c r="E192" s="237" t="s">
        <v>27</v>
      </c>
      <c r="F192" s="236" t="s">
        <v>4</v>
      </c>
      <c r="G192" s="238" t="s">
        <v>27</v>
      </c>
      <c r="H192" s="239" t="s">
        <v>4</v>
      </c>
      <c r="I192" s="238" t="s">
        <v>27</v>
      </c>
      <c r="J192" s="240" t="s">
        <v>4</v>
      </c>
      <c r="K192" s="236" t="s">
        <v>27</v>
      </c>
      <c r="L192" s="241" t="s">
        <v>4</v>
      </c>
      <c r="M192" s="238" t="s">
        <v>27</v>
      </c>
      <c r="N192" s="242"/>
      <c r="O192" s="55" t="str">
        <f t="shared" si="4"/>
        <v>L2.01.00.00.00.00</v>
      </c>
      <c r="P192" s="243" t="str">
        <f t="shared" ref="P192:P240" si="8">A192&amp;"."&amp;C192&amp;"."&amp;E192&amp;"."&amp;G192&amp;"."&amp;I192&amp;"."&amp;K192&amp;"."&amp;M192</f>
        <v>L2.01.00.00.00.00.00</v>
      </c>
      <c r="Q192" s="161" t="s">
        <v>10530</v>
      </c>
      <c r="R192" s="244" t="s">
        <v>10834</v>
      </c>
      <c r="S192" s="245" t="s">
        <v>22</v>
      </c>
      <c r="T192" s="246"/>
      <c r="U192" s="247"/>
      <c r="V192" s="247"/>
      <c r="W192" s="247"/>
      <c r="X192" s="247"/>
      <c r="Y192" s="246" t="s">
        <v>10835</v>
      </c>
      <c r="Z192" s="248" t="s">
        <v>78</v>
      </c>
      <c r="AA192" s="153" t="s">
        <v>10530</v>
      </c>
      <c r="AB192" s="249"/>
      <c r="AC192" s="249"/>
      <c r="AD192" s="249"/>
    </row>
    <row r="193" ht="15.75" hidden="1" customHeight="1" outlineLevel="1">
      <c r="A193" s="170" t="s">
        <v>10833</v>
      </c>
      <c r="B193" s="57" t="s">
        <v>77</v>
      </c>
      <c r="C193" s="52" t="s">
        <v>29</v>
      </c>
      <c r="D193" s="52" t="s">
        <v>78</v>
      </c>
      <c r="E193" s="53" t="s">
        <v>27</v>
      </c>
      <c r="F193" s="52" t="s">
        <v>4</v>
      </c>
      <c r="G193" s="52" t="s">
        <v>29</v>
      </c>
      <c r="H193" s="230" t="s">
        <v>10836</v>
      </c>
      <c r="I193" s="250" t="s">
        <v>27</v>
      </c>
      <c r="J193" s="251" t="s">
        <v>4</v>
      </c>
      <c r="K193" s="52" t="s">
        <v>27</v>
      </c>
      <c r="L193" s="56" t="s">
        <v>4</v>
      </c>
      <c r="M193" s="52" t="s">
        <v>29</v>
      </c>
      <c r="N193" s="54" t="s">
        <v>10498</v>
      </c>
      <c r="O193" s="55" t="str">
        <f t="shared" si="4"/>
        <v>L2.01.00.01.00.00</v>
      </c>
      <c r="P193" s="55" t="str">
        <f t="shared" si="8"/>
        <v>L2.01.00.01.00.00.01</v>
      </c>
      <c r="Q193" s="161" t="s">
        <v>10530</v>
      </c>
      <c r="R193" s="252" t="str">
        <f t="shared" ref="R193:R241" si="9">if(L193&lt;&gt;"-",L193,if(AND(L193="-",J193&lt;&gt;"-"),J193,if(AND(J193="-",H193&lt;&gt;"-"),H193,"NA")))</f>
        <v>Trung tâm KD Hành chính sự nghiệp - Hà Nội</v>
      </c>
      <c r="S193" s="227" t="s">
        <v>10837</v>
      </c>
      <c r="T193" s="97" t="s">
        <v>10838</v>
      </c>
      <c r="U193" s="96" t="s">
        <v>346</v>
      </c>
      <c r="V193" s="96" t="s">
        <v>315</v>
      </c>
      <c r="W193" s="96" t="s">
        <v>8332</v>
      </c>
      <c r="X193" s="96"/>
      <c r="Y193" s="96"/>
      <c r="Z193" s="98" t="s">
        <v>10839</v>
      </c>
      <c r="AA193" s="153" t="s">
        <v>10530</v>
      </c>
      <c r="AB193" s="91"/>
      <c r="AC193" s="91"/>
      <c r="AD193" s="91"/>
    </row>
    <row r="194" ht="15.75" hidden="1" customHeight="1" outlineLevel="1">
      <c r="A194" s="170" t="s">
        <v>10833</v>
      </c>
      <c r="B194" s="57" t="s">
        <v>77</v>
      </c>
      <c r="C194" s="52" t="s">
        <v>29</v>
      </c>
      <c r="D194" s="52" t="s">
        <v>78</v>
      </c>
      <c r="E194" s="53" t="s">
        <v>27</v>
      </c>
      <c r="F194" s="52" t="s">
        <v>4</v>
      </c>
      <c r="G194" s="52" t="s">
        <v>29</v>
      </c>
      <c r="H194" s="230" t="s">
        <v>10836</v>
      </c>
      <c r="I194" s="52" t="s">
        <v>29</v>
      </c>
      <c r="J194" s="253" t="s">
        <v>84</v>
      </c>
      <c r="K194" s="52" t="s">
        <v>27</v>
      </c>
      <c r="L194" s="56" t="s">
        <v>4</v>
      </c>
      <c r="M194" s="52" t="s">
        <v>29</v>
      </c>
      <c r="N194" s="54" t="s">
        <v>10498</v>
      </c>
      <c r="O194" s="55" t="str">
        <f t="shared" si="4"/>
        <v>L2.01.00.01.01.00</v>
      </c>
      <c r="P194" s="55" t="str">
        <f t="shared" si="8"/>
        <v>L2.01.00.01.01.00.01</v>
      </c>
      <c r="Q194" s="161" t="s">
        <v>10530</v>
      </c>
      <c r="R194" s="169" t="str">
        <f t="shared" si="9"/>
        <v>Ban giám đốc TT KD HCSN</v>
      </c>
      <c r="S194" s="227" t="s">
        <v>10840</v>
      </c>
      <c r="T194" s="96" t="s">
        <v>8333</v>
      </c>
      <c r="U194" s="96" t="s">
        <v>346</v>
      </c>
      <c r="V194" s="96" t="s">
        <v>315</v>
      </c>
      <c r="W194" s="96" t="s">
        <v>8332</v>
      </c>
      <c r="X194" s="96"/>
      <c r="Y194" s="96"/>
      <c r="Z194" s="98" t="s">
        <v>10841</v>
      </c>
      <c r="AA194" s="153" t="s">
        <v>10530</v>
      </c>
      <c r="AB194" s="91"/>
      <c r="AC194" s="91"/>
      <c r="AD194" s="91"/>
    </row>
    <row r="195" ht="15.75" hidden="1" customHeight="1" outlineLevel="1">
      <c r="A195" s="170" t="s">
        <v>10833</v>
      </c>
      <c r="B195" s="57" t="s">
        <v>77</v>
      </c>
      <c r="C195" s="51" t="s">
        <v>29</v>
      </c>
      <c r="D195" s="52" t="s">
        <v>78</v>
      </c>
      <c r="E195" s="53" t="s">
        <v>27</v>
      </c>
      <c r="F195" s="52" t="s">
        <v>4</v>
      </c>
      <c r="G195" s="52" t="s">
        <v>29</v>
      </c>
      <c r="H195" s="230" t="s">
        <v>10836</v>
      </c>
      <c r="I195" s="52" t="s">
        <v>33</v>
      </c>
      <c r="J195" s="176" t="s">
        <v>1577</v>
      </c>
      <c r="K195" s="52" t="s">
        <v>27</v>
      </c>
      <c r="L195" s="254" t="s">
        <v>4</v>
      </c>
      <c r="M195" s="52" t="s">
        <v>29</v>
      </c>
      <c r="N195" s="54" t="s">
        <v>10498</v>
      </c>
      <c r="O195" s="55" t="str">
        <f t="shared" si="4"/>
        <v>L2.01.00.01.02.00</v>
      </c>
      <c r="P195" s="55" t="str">
        <f t="shared" si="8"/>
        <v>L2.01.00.01.02.00.01</v>
      </c>
      <c r="Q195" s="161" t="s">
        <v>10530</v>
      </c>
      <c r="R195" s="169" t="str">
        <f t="shared" si="9"/>
        <v>Phòng KD HCSN 01</v>
      </c>
      <c r="S195" s="227" t="s">
        <v>10840</v>
      </c>
      <c r="T195" s="96" t="s">
        <v>3697</v>
      </c>
      <c r="U195" s="96" t="s">
        <v>346</v>
      </c>
      <c r="V195" s="96" t="s">
        <v>315</v>
      </c>
      <c r="W195" s="96" t="s">
        <v>1577</v>
      </c>
      <c r="X195" s="96"/>
      <c r="Y195" s="96"/>
      <c r="Z195" s="98" t="s">
        <v>10842</v>
      </c>
      <c r="AA195" s="153" t="s">
        <v>10530</v>
      </c>
      <c r="AB195" s="91"/>
      <c r="AC195" s="91"/>
      <c r="AD195" s="91"/>
    </row>
    <row r="196" ht="15.75" hidden="1" customHeight="1" outlineLevel="1">
      <c r="A196" s="170" t="s">
        <v>10833</v>
      </c>
      <c r="B196" s="57" t="s">
        <v>77</v>
      </c>
      <c r="C196" s="51" t="s">
        <v>29</v>
      </c>
      <c r="D196" s="52" t="s">
        <v>78</v>
      </c>
      <c r="E196" s="53" t="s">
        <v>27</v>
      </c>
      <c r="F196" s="52" t="s">
        <v>4</v>
      </c>
      <c r="G196" s="52" t="s">
        <v>29</v>
      </c>
      <c r="H196" s="230" t="s">
        <v>10836</v>
      </c>
      <c r="I196" s="52" t="s">
        <v>33</v>
      </c>
      <c r="J196" s="176" t="s">
        <v>1577</v>
      </c>
      <c r="K196" s="250" t="s">
        <v>29</v>
      </c>
      <c r="L196" s="96" t="s">
        <v>1598</v>
      </c>
      <c r="M196" s="52" t="s">
        <v>29</v>
      </c>
      <c r="N196" s="54" t="s">
        <v>10498</v>
      </c>
      <c r="O196" s="55" t="str">
        <f t="shared" si="4"/>
        <v>L2.01.00.01.02.01</v>
      </c>
      <c r="P196" s="55" t="str">
        <f t="shared" si="8"/>
        <v>L2.01.00.01.02.01.01</v>
      </c>
      <c r="Q196" s="161" t="s">
        <v>10530</v>
      </c>
      <c r="R196" s="169" t="str">
        <f t="shared" si="9"/>
        <v>Nhóm KD HCSN 02</v>
      </c>
      <c r="S196" s="227" t="s">
        <v>10843</v>
      </c>
      <c r="T196" s="96" t="s">
        <v>1599</v>
      </c>
      <c r="U196" s="96" t="s">
        <v>346</v>
      </c>
      <c r="V196" s="96" t="s">
        <v>315</v>
      </c>
      <c r="W196" s="96" t="s">
        <v>1577</v>
      </c>
      <c r="X196" s="96" t="s">
        <v>1598</v>
      </c>
      <c r="Y196" s="96"/>
      <c r="Z196" s="98" t="s">
        <v>10844</v>
      </c>
      <c r="AA196" s="153" t="s">
        <v>10530</v>
      </c>
      <c r="AB196" s="91"/>
      <c r="AC196" s="91"/>
      <c r="AD196" s="91"/>
    </row>
    <row r="197" ht="15.75" hidden="1" customHeight="1" outlineLevel="1">
      <c r="A197" s="170" t="s">
        <v>10833</v>
      </c>
      <c r="B197" s="57" t="s">
        <v>77</v>
      </c>
      <c r="C197" s="51" t="s">
        <v>29</v>
      </c>
      <c r="D197" s="52" t="s">
        <v>78</v>
      </c>
      <c r="E197" s="53" t="s">
        <v>27</v>
      </c>
      <c r="F197" s="52" t="s">
        <v>4</v>
      </c>
      <c r="G197" s="52" t="s">
        <v>29</v>
      </c>
      <c r="H197" s="230" t="s">
        <v>10836</v>
      </c>
      <c r="I197" s="52" t="s">
        <v>33</v>
      </c>
      <c r="J197" s="176" t="s">
        <v>1577</v>
      </c>
      <c r="K197" s="170" t="s">
        <v>33</v>
      </c>
      <c r="L197" s="96" t="s">
        <v>1576</v>
      </c>
      <c r="M197" s="52" t="s">
        <v>29</v>
      </c>
      <c r="N197" s="54" t="s">
        <v>10498</v>
      </c>
      <c r="O197" s="55" t="str">
        <f t="shared" si="4"/>
        <v>L2.01.00.01.02.02</v>
      </c>
      <c r="P197" s="55" t="str">
        <f t="shared" si="8"/>
        <v>L2.01.00.01.02.02.01</v>
      </c>
      <c r="Q197" s="161" t="s">
        <v>10530</v>
      </c>
      <c r="R197" s="169" t="str">
        <f t="shared" si="9"/>
        <v>Nhóm KD HCSN 03</v>
      </c>
      <c r="S197" s="227" t="s">
        <v>10843</v>
      </c>
      <c r="T197" s="96" t="s">
        <v>1578</v>
      </c>
      <c r="U197" s="96" t="s">
        <v>346</v>
      </c>
      <c r="V197" s="96" t="s">
        <v>315</v>
      </c>
      <c r="W197" s="96" t="s">
        <v>1577</v>
      </c>
      <c r="X197" s="96" t="s">
        <v>1576</v>
      </c>
      <c r="Y197" s="96"/>
      <c r="Z197" s="98" t="s">
        <v>10845</v>
      </c>
      <c r="AA197" s="153" t="s">
        <v>10530</v>
      </c>
      <c r="AB197" s="91"/>
      <c r="AC197" s="91"/>
      <c r="AD197" s="91"/>
    </row>
    <row r="198" ht="15.75" hidden="1" customHeight="1" outlineLevel="1">
      <c r="A198" s="170" t="s">
        <v>10833</v>
      </c>
      <c r="B198" s="57" t="s">
        <v>77</v>
      </c>
      <c r="C198" s="51" t="s">
        <v>29</v>
      </c>
      <c r="D198" s="52" t="s">
        <v>78</v>
      </c>
      <c r="E198" s="53" t="s">
        <v>27</v>
      </c>
      <c r="F198" s="52" t="s">
        <v>4</v>
      </c>
      <c r="G198" s="52" t="s">
        <v>29</v>
      </c>
      <c r="H198" s="230" t="s">
        <v>10836</v>
      </c>
      <c r="I198" s="250" t="s">
        <v>35</v>
      </c>
      <c r="J198" s="176" t="s">
        <v>1487</v>
      </c>
      <c r="K198" s="52" t="s">
        <v>27</v>
      </c>
      <c r="L198" s="254" t="s">
        <v>4</v>
      </c>
      <c r="M198" s="52" t="s">
        <v>29</v>
      </c>
      <c r="N198" s="54" t="s">
        <v>10498</v>
      </c>
      <c r="O198" s="55" t="str">
        <f t="shared" si="4"/>
        <v>L2.01.00.01.03.00</v>
      </c>
      <c r="P198" s="55" t="str">
        <f t="shared" si="8"/>
        <v>L2.01.00.01.03.00.01</v>
      </c>
      <c r="Q198" s="161" t="s">
        <v>10530</v>
      </c>
      <c r="R198" s="169" t="str">
        <f t="shared" si="9"/>
        <v>Phòng KD HCSN 02</v>
      </c>
      <c r="S198" s="227" t="s">
        <v>10840</v>
      </c>
      <c r="T198" s="96" t="s">
        <v>3702</v>
      </c>
      <c r="U198" s="96" t="s">
        <v>346</v>
      </c>
      <c r="V198" s="96" t="s">
        <v>315</v>
      </c>
      <c r="W198" s="96" t="s">
        <v>1487</v>
      </c>
      <c r="X198" s="96"/>
      <c r="Y198" s="96"/>
      <c r="Z198" s="98" t="s">
        <v>10846</v>
      </c>
      <c r="AA198" s="153" t="s">
        <v>10530</v>
      </c>
      <c r="AB198" s="91"/>
      <c r="AC198" s="91"/>
      <c r="AD198" s="91"/>
    </row>
    <row r="199" ht="15.75" hidden="1" customHeight="1" outlineLevel="1">
      <c r="A199" s="170" t="s">
        <v>10833</v>
      </c>
      <c r="B199" s="57" t="s">
        <v>77</v>
      </c>
      <c r="C199" s="51" t="s">
        <v>29</v>
      </c>
      <c r="D199" s="52" t="s">
        <v>78</v>
      </c>
      <c r="E199" s="53" t="s">
        <v>27</v>
      </c>
      <c r="F199" s="52" t="s">
        <v>4</v>
      </c>
      <c r="G199" s="52" t="s">
        <v>29</v>
      </c>
      <c r="H199" s="230" t="s">
        <v>10836</v>
      </c>
      <c r="I199" s="250" t="s">
        <v>35</v>
      </c>
      <c r="J199" s="176" t="s">
        <v>1487</v>
      </c>
      <c r="K199" s="250" t="s">
        <v>29</v>
      </c>
      <c r="L199" s="96" t="s">
        <v>1486</v>
      </c>
      <c r="M199" s="52" t="s">
        <v>29</v>
      </c>
      <c r="N199" s="54" t="s">
        <v>10498</v>
      </c>
      <c r="O199" s="55" t="str">
        <f t="shared" si="4"/>
        <v>L2.01.00.01.03.01</v>
      </c>
      <c r="P199" s="55" t="str">
        <f t="shared" si="8"/>
        <v>L2.01.00.01.03.01.01</v>
      </c>
      <c r="Q199" s="161" t="s">
        <v>10530</v>
      </c>
      <c r="R199" s="169" t="str">
        <f t="shared" si="9"/>
        <v>Nhóm KD HCSN 04</v>
      </c>
      <c r="S199" s="227" t="s">
        <v>10847</v>
      </c>
      <c r="T199" s="96" t="s">
        <v>1488</v>
      </c>
      <c r="U199" s="96" t="s">
        <v>346</v>
      </c>
      <c r="V199" s="96" t="s">
        <v>315</v>
      </c>
      <c r="W199" s="96" t="s">
        <v>1487</v>
      </c>
      <c r="X199" s="96" t="s">
        <v>1486</v>
      </c>
      <c r="Y199" s="96"/>
      <c r="Z199" s="98" t="s">
        <v>10848</v>
      </c>
      <c r="AA199" s="153" t="s">
        <v>10530</v>
      </c>
      <c r="AB199" s="91"/>
      <c r="AC199" s="91"/>
      <c r="AD199" s="91"/>
    </row>
    <row r="200" ht="15.75" hidden="1" customHeight="1" outlineLevel="1">
      <c r="A200" s="170" t="s">
        <v>10833</v>
      </c>
      <c r="B200" s="57" t="s">
        <v>77</v>
      </c>
      <c r="C200" s="51" t="s">
        <v>29</v>
      </c>
      <c r="D200" s="52" t="s">
        <v>78</v>
      </c>
      <c r="E200" s="53" t="s">
        <v>27</v>
      </c>
      <c r="F200" s="52" t="s">
        <v>4</v>
      </c>
      <c r="G200" s="52" t="s">
        <v>29</v>
      </c>
      <c r="H200" s="230" t="s">
        <v>10836</v>
      </c>
      <c r="I200" s="250" t="s">
        <v>35</v>
      </c>
      <c r="J200" s="176" t="s">
        <v>1487</v>
      </c>
      <c r="K200" s="170" t="s">
        <v>33</v>
      </c>
      <c r="L200" s="96" t="s">
        <v>1507</v>
      </c>
      <c r="M200" s="52" t="s">
        <v>29</v>
      </c>
      <c r="N200" s="54" t="s">
        <v>10498</v>
      </c>
      <c r="O200" s="55" t="str">
        <f t="shared" si="4"/>
        <v>L2.01.00.01.03.02</v>
      </c>
      <c r="P200" s="55" t="str">
        <f t="shared" si="8"/>
        <v>L2.01.00.01.03.02.01</v>
      </c>
      <c r="Q200" s="161" t="s">
        <v>10530</v>
      </c>
      <c r="R200" s="169" t="str">
        <f t="shared" si="9"/>
        <v>Nhóm KD HCSN 05</v>
      </c>
      <c r="S200" s="227" t="s">
        <v>10847</v>
      </c>
      <c r="T200" s="96" t="s">
        <v>1508</v>
      </c>
      <c r="U200" s="96" t="s">
        <v>346</v>
      </c>
      <c r="V200" s="96" t="s">
        <v>315</v>
      </c>
      <c r="W200" s="96" t="s">
        <v>1487</v>
      </c>
      <c r="X200" s="96" t="s">
        <v>1507</v>
      </c>
      <c r="Y200" s="96"/>
      <c r="Z200" s="98" t="s">
        <v>10849</v>
      </c>
      <c r="AA200" s="153" t="s">
        <v>10530</v>
      </c>
      <c r="AB200" s="91"/>
      <c r="AC200" s="91"/>
      <c r="AD200" s="91"/>
    </row>
    <row r="201" ht="15.75" hidden="1" customHeight="1" outlineLevel="1">
      <c r="A201" s="170" t="s">
        <v>10833</v>
      </c>
      <c r="B201" s="57" t="s">
        <v>77</v>
      </c>
      <c r="C201" s="51" t="s">
        <v>29</v>
      </c>
      <c r="D201" s="52" t="s">
        <v>78</v>
      </c>
      <c r="E201" s="53" t="s">
        <v>27</v>
      </c>
      <c r="F201" s="52" t="s">
        <v>4</v>
      </c>
      <c r="G201" s="52" t="s">
        <v>29</v>
      </c>
      <c r="H201" s="230" t="s">
        <v>10836</v>
      </c>
      <c r="I201" s="250" t="s">
        <v>37</v>
      </c>
      <c r="J201" s="176" t="s">
        <v>316</v>
      </c>
      <c r="K201" s="52" t="s">
        <v>27</v>
      </c>
      <c r="L201" s="254" t="s">
        <v>4</v>
      </c>
      <c r="M201" s="52" t="s">
        <v>29</v>
      </c>
      <c r="N201" s="54" t="s">
        <v>10498</v>
      </c>
      <c r="O201" s="55" t="str">
        <f t="shared" si="4"/>
        <v>L2.01.00.01.04.00</v>
      </c>
      <c r="P201" s="55" t="str">
        <f t="shared" si="8"/>
        <v>L2.01.00.01.04.00.01</v>
      </c>
      <c r="Q201" s="161" t="s">
        <v>10530</v>
      </c>
      <c r="R201" s="169" t="str">
        <f t="shared" si="9"/>
        <v>Phòng KD HCSN 03</v>
      </c>
      <c r="S201" s="227" t="s">
        <v>10840</v>
      </c>
      <c r="T201" s="96" t="s">
        <v>3971</v>
      </c>
      <c r="U201" s="96" t="s">
        <v>346</v>
      </c>
      <c r="V201" s="96" t="s">
        <v>315</v>
      </c>
      <c r="W201" s="96" t="s">
        <v>316</v>
      </c>
      <c r="X201" s="96"/>
      <c r="Y201" s="96"/>
      <c r="Z201" s="98" t="s">
        <v>10850</v>
      </c>
      <c r="AA201" s="153" t="s">
        <v>10530</v>
      </c>
      <c r="AB201" s="91"/>
      <c r="AC201" s="91"/>
      <c r="AD201" s="91"/>
    </row>
    <row r="202" ht="15.75" hidden="1" customHeight="1" outlineLevel="1">
      <c r="A202" s="170" t="s">
        <v>10833</v>
      </c>
      <c r="B202" s="57" t="s">
        <v>77</v>
      </c>
      <c r="C202" s="51" t="s">
        <v>29</v>
      </c>
      <c r="D202" s="52" t="s">
        <v>78</v>
      </c>
      <c r="E202" s="53" t="s">
        <v>27</v>
      </c>
      <c r="F202" s="52" t="s">
        <v>4</v>
      </c>
      <c r="G202" s="52" t="s">
        <v>29</v>
      </c>
      <c r="H202" s="230" t="s">
        <v>10836</v>
      </c>
      <c r="I202" s="250" t="s">
        <v>37</v>
      </c>
      <c r="J202" s="176" t="s">
        <v>316</v>
      </c>
      <c r="K202" s="250" t="s">
        <v>29</v>
      </c>
      <c r="L202" s="96" t="s">
        <v>314</v>
      </c>
      <c r="M202" s="52" t="s">
        <v>29</v>
      </c>
      <c r="N202" s="54" t="s">
        <v>10498</v>
      </c>
      <c r="O202" s="55" t="str">
        <f t="shared" si="4"/>
        <v>L2.01.00.01.04.01</v>
      </c>
      <c r="P202" s="55" t="str">
        <f t="shared" si="8"/>
        <v>L2.01.00.01.04.01.01</v>
      </c>
      <c r="Q202" s="161" t="s">
        <v>10530</v>
      </c>
      <c r="R202" s="169" t="str">
        <f t="shared" si="9"/>
        <v>Nhóm KD HCSN 06</v>
      </c>
      <c r="S202" s="227" t="s">
        <v>10851</v>
      </c>
      <c r="T202" s="96" t="s">
        <v>1530</v>
      </c>
      <c r="U202" s="96" t="s">
        <v>346</v>
      </c>
      <c r="V202" s="96" t="s">
        <v>315</v>
      </c>
      <c r="W202" s="96" t="s">
        <v>316</v>
      </c>
      <c r="X202" s="96" t="s">
        <v>314</v>
      </c>
      <c r="Y202" s="96"/>
      <c r="Z202" s="98" t="s">
        <v>10852</v>
      </c>
      <c r="AA202" s="153" t="s">
        <v>10530</v>
      </c>
      <c r="AB202" s="91"/>
      <c r="AC202" s="91"/>
      <c r="AD202" s="91"/>
    </row>
    <row r="203" ht="15.75" hidden="1" customHeight="1" outlineLevel="1">
      <c r="A203" s="170" t="s">
        <v>10833</v>
      </c>
      <c r="B203" s="57" t="s">
        <v>77</v>
      </c>
      <c r="C203" s="51" t="s">
        <v>29</v>
      </c>
      <c r="D203" s="52" t="s">
        <v>78</v>
      </c>
      <c r="E203" s="53" t="s">
        <v>27</v>
      </c>
      <c r="F203" s="52" t="s">
        <v>4</v>
      </c>
      <c r="G203" s="52" t="s">
        <v>29</v>
      </c>
      <c r="H203" s="230" t="s">
        <v>10836</v>
      </c>
      <c r="I203" s="250" t="s">
        <v>37</v>
      </c>
      <c r="J203" s="176" t="s">
        <v>316</v>
      </c>
      <c r="K203" s="170" t="s">
        <v>33</v>
      </c>
      <c r="L203" s="96" t="s">
        <v>1501</v>
      </c>
      <c r="M203" s="52" t="s">
        <v>29</v>
      </c>
      <c r="N203" s="54" t="s">
        <v>10498</v>
      </c>
      <c r="O203" s="55" t="str">
        <f t="shared" si="4"/>
        <v>L2.01.00.01.04.02</v>
      </c>
      <c r="P203" s="55" t="str">
        <f t="shared" si="8"/>
        <v>L2.01.00.01.04.02.01</v>
      </c>
      <c r="Q203" s="161" t="s">
        <v>10530</v>
      </c>
      <c r="R203" s="169" t="str">
        <f t="shared" si="9"/>
        <v>Nhóm KD HCSN 07</v>
      </c>
      <c r="S203" s="227" t="s">
        <v>10851</v>
      </c>
      <c r="T203" s="96" t="s">
        <v>1502</v>
      </c>
      <c r="U203" s="96" t="s">
        <v>346</v>
      </c>
      <c r="V203" s="96" t="s">
        <v>315</v>
      </c>
      <c r="W203" s="96" t="s">
        <v>316</v>
      </c>
      <c r="X203" s="96" t="s">
        <v>1501</v>
      </c>
      <c r="Y203" s="96"/>
      <c r="Z203" s="98" t="s">
        <v>10853</v>
      </c>
      <c r="AA203" s="153" t="s">
        <v>10530</v>
      </c>
      <c r="AB203" s="91"/>
      <c r="AC203" s="91"/>
      <c r="AD203" s="91"/>
    </row>
    <row r="204" ht="15.75" hidden="1" customHeight="1" outlineLevel="1">
      <c r="A204" s="170" t="s">
        <v>10833</v>
      </c>
      <c r="B204" s="57" t="s">
        <v>77</v>
      </c>
      <c r="C204" s="51" t="s">
        <v>29</v>
      </c>
      <c r="D204" s="52" t="s">
        <v>78</v>
      </c>
      <c r="E204" s="53" t="s">
        <v>27</v>
      </c>
      <c r="F204" s="52" t="s">
        <v>4</v>
      </c>
      <c r="G204" s="52" t="s">
        <v>29</v>
      </c>
      <c r="H204" s="230" t="s">
        <v>10836</v>
      </c>
      <c r="I204" s="170" t="s">
        <v>42</v>
      </c>
      <c r="J204" s="176" t="s">
        <v>1493</v>
      </c>
      <c r="K204" s="52" t="s">
        <v>27</v>
      </c>
      <c r="L204" s="254" t="s">
        <v>4</v>
      </c>
      <c r="M204" s="52" t="s">
        <v>29</v>
      </c>
      <c r="N204" s="54" t="s">
        <v>10498</v>
      </c>
      <c r="O204" s="55" t="str">
        <f t="shared" si="4"/>
        <v>L2.01.00.01.05.00</v>
      </c>
      <c r="P204" s="55" t="str">
        <f t="shared" si="8"/>
        <v>L2.01.00.01.05.00.01</v>
      </c>
      <c r="Q204" s="161" t="s">
        <v>10530</v>
      </c>
      <c r="R204" s="169" t="str">
        <f t="shared" si="9"/>
        <v>Phòng KD HCSN 04</v>
      </c>
      <c r="S204" s="227" t="s">
        <v>10840</v>
      </c>
      <c r="T204" s="96" t="s">
        <v>1536</v>
      </c>
      <c r="U204" s="96" t="s">
        <v>346</v>
      </c>
      <c r="V204" s="96" t="s">
        <v>315</v>
      </c>
      <c r="W204" s="96" t="s">
        <v>1493</v>
      </c>
      <c r="X204" s="96"/>
      <c r="Y204" s="96"/>
      <c r="Z204" s="98" t="s">
        <v>10854</v>
      </c>
      <c r="AA204" s="153" t="s">
        <v>10530</v>
      </c>
      <c r="AB204" s="91"/>
      <c r="AC204" s="91"/>
      <c r="AD204" s="91"/>
    </row>
    <row r="205" ht="15.75" hidden="1" customHeight="1" outlineLevel="1">
      <c r="A205" s="170" t="s">
        <v>10833</v>
      </c>
      <c r="B205" s="57" t="s">
        <v>77</v>
      </c>
      <c r="C205" s="51" t="s">
        <v>29</v>
      </c>
      <c r="D205" s="52" t="s">
        <v>78</v>
      </c>
      <c r="E205" s="53" t="s">
        <v>27</v>
      </c>
      <c r="F205" s="52" t="s">
        <v>4</v>
      </c>
      <c r="G205" s="52" t="s">
        <v>29</v>
      </c>
      <c r="H205" s="230" t="s">
        <v>10836</v>
      </c>
      <c r="I205" s="170" t="s">
        <v>42</v>
      </c>
      <c r="J205" s="176" t="s">
        <v>1493</v>
      </c>
      <c r="K205" s="250" t="s">
        <v>29</v>
      </c>
      <c r="L205" s="96" t="s">
        <v>1564</v>
      </c>
      <c r="M205" s="52" t="s">
        <v>29</v>
      </c>
      <c r="N205" s="54" t="s">
        <v>10498</v>
      </c>
      <c r="O205" s="55" t="str">
        <f t="shared" si="4"/>
        <v>L2.01.00.01.05.01</v>
      </c>
      <c r="P205" s="55" t="str">
        <f t="shared" si="8"/>
        <v>L2.01.00.01.05.01.01</v>
      </c>
      <c r="Q205" s="161" t="s">
        <v>10530</v>
      </c>
      <c r="R205" s="169" t="str">
        <f t="shared" si="9"/>
        <v>Nhóm KD HCSN 08</v>
      </c>
      <c r="S205" s="227" t="s">
        <v>10855</v>
      </c>
      <c r="T205" s="96" t="s">
        <v>1565</v>
      </c>
      <c r="U205" s="96" t="s">
        <v>346</v>
      </c>
      <c r="V205" s="96" t="s">
        <v>315</v>
      </c>
      <c r="W205" s="96" t="s">
        <v>1493</v>
      </c>
      <c r="X205" s="96" t="s">
        <v>1564</v>
      </c>
      <c r="Y205" s="96"/>
      <c r="Z205" s="98" t="s">
        <v>10856</v>
      </c>
      <c r="AA205" s="153" t="s">
        <v>10530</v>
      </c>
      <c r="AB205" s="91"/>
      <c r="AC205" s="91"/>
      <c r="AD205" s="91"/>
    </row>
    <row r="206" ht="15.75" hidden="1" customHeight="1" outlineLevel="1">
      <c r="A206" s="170" t="s">
        <v>10833</v>
      </c>
      <c r="B206" s="57" t="s">
        <v>77</v>
      </c>
      <c r="C206" s="51" t="s">
        <v>29</v>
      </c>
      <c r="D206" s="52" t="s">
        <v>78</v>
      </c>
      <c r="E206" s="53" t="s">
        <v>27</v>
      </c>
      <c r="F206" s="52" t="s">
        <v>4</v>
      </c>
      <c r="G206" s="52" t="s">
        <v>29</v>
      </c>
      <c r="H206" s="230" t="s">
        <v>10836</v>
      </c>
      <c r="I206" s="170" t="s">
        <v>42</v>
      </c>
      <c r="J206" s="176" t="s">
        <v>1493</v>
      </c>
      <c r="K206" s="170" t="s">
        <v>33</v>
      </c>
      <c r="L206" s="96" t="s">
        <v>1525</v>
      </c>
      <c r="M206" s="52" t="s">
        <v>29</v>
      </c>
      <c r="N206" s="54" t="s">
        <v>10498</v>
      </c>
      <c r="O206" s="55" t="str">
        <f t="shared" si="4"/>
        <v>L2.01.00.01.05.02</v>
      </c>
      <c r="P206" s="55" t="str">
        <f t="shared" si="8"/>
        <v>L2.01.00.01.05.02.01</v>
      </c>
      <c r="Q206" s="161" t="s">
        <v>10530</v>
      </c>
      <c r="R206" s="169" t="str">
        <f t="shared" si="9"/>
        <v>Nhóm KD HCSN 09</v>
      </c>
      <c r="S206" s="227" t="s">
        <v>10855</v>
      </c>
      <c r="T206" s="96" t="s">
        <v>1526</v>
      </c>
      <c r="U206" s="96" t="s">
        <v>346</v>
      </c>
      <c r="V206" s="96" t="s">
        <v>315</v>
      </c>
      <c r="W206" s="96" t="s">
        <v>1493</v>
      </c>
      <c r="X206" s="96" t="s">
        <v>1525</v>
      </c>
      <c r="Y206" s="96"/>
      <c r="Z206" s="98" t="s">
        <v>10857</v>
      </c>
      <c r="AA206" s="153" t="s">
        <v>10530</v>
      </c>
      <c r="AB206" s="91"/>
      <c r="AC206" s="91"/>
      <c r="AD206" s="91"/>
    </row>
    <row r="207" ht="15.75" hidden="1" customHeight="1" outlineLevel="1">
      <c r="A207" s="170" t="s">
        <v>10833</v>
      </c>
      <c r="B207" s="57" t="s">
        <v>77</v>
      </c>
      <c r="C207" s="51" t="s">
        <v>29</v>
      </c>
      <c r="D207" s="52" t="s">
        <v>78</v>
      </c>
      <c r="E207" s="53" t="s">
        <v>27</v>
      </c>
      <c r="F207" s="52" t="s">
        <v>4</v>
      </c>
      <c r="G207" s="52" t="s">
        <v>29</v>
      </c>
      <c r="H207" s="230" t="s">
        <v>10836</v>
      </c>
      <c r="I207" s="170" t="s">
        <v>42</v>
      </c>
      <c r="J207" s="176" t="s">
        <v>1493</v>
      </c>
      <c r="K207" s="170" t="s">
        <v>35</v>
      </c>
      <c r="L207" s="96" t="s">
        <v>1492</v>
      </c>
      <c r="M207" s="52" t="s">
        <v>29</v>
      </c>
      <c r="N207" s="54" t="s">
        <v>10498</v>
      </c>
      <c r="O207" s="55" t="str">
        <f t="shared" si="4"/>
        <v>L2.01.00.01.05.03</v>
      </c>
      <c r="P207" s="55" t="str">
        <f t="shared" si="8"/>
        <v>L2.01.00.01.05.03.01</v>
      </c>
      <c r="Q207" s="161" t="s">
        <v>10530</v>
      </c>
      <c r="R207" s="169" t="str">
        <f t="shared" si="9"/>
        <v>Nhóm KD DA TW</v>
      </c>
      <c r="S207" s="227" t="s">
        <v>10855</v>
      </c>
      <c r="T207" s="96" t="s">
        <v>1494</v>
      </c>
      <c r="U207" s="96" t="s">
        <v>346</v>
      </c>
      <c r="V207" s="96" t="s">
        <v>315</v>
      </c>
      <c r="W207" s="96" t="s">
        <v>1493</v>
      </c>
      <c r="X207" s="96" t="s">
        <v>1492</v>
      </c>
      <c r="Y207" s="96"/>
      <c r="Z207" s="98" t="s">
        <v>10858</v>
      </c>
      <c r="AA207" s="153" t="s">
        <v>10530</v>
      </c>
      <c r="AB207" s="91"/>
      <c r="AC207" s="91"/>
      <c r="AD207" s="91"/>
    </row>
    <row r="208" ht="15.75" hidden="1" customHeight="1" outlineLevel="1">
      <c r="A208" s="170" t="s">
        <v>10833</v>
      </c>
      <c r="B208" s="57" t="s">
        <v>77</v>
      </c>
      <c r="C208" s="51" t="s">
        <v>29</v>
      </c>
      <c r="D208" s="52" t="s">
        <v>78</v>
      </c>
      <c r="E208" s="53" t="s">
        <v>27</v>
      </c>
      <c r="F208" s="52" t="s">
        <v>4</v>
      </c>
      <c r="G208" s="52" t="s">
        <v>29</v>
      </c>
      <c r="H208" s="230" t="s">
        <v>10836</v>
      </c>
      <c r="I208" s="170" t="s">
        <v>44</v>
      </c>
      <c r="J208" s="176" t="s">
        <v>1366</v>
      </c>
      <c r="K208" s="172" t="s">
        <v>27</v>
      </c>
      <c r="L208" s="218" t="s">
        <v>4</v>
      </c>
      <c r="M208" s="52" t="s">
        <v>29</v>
      </c>
      <c r="N208" s="54" t="s">
        <v>10498</v>
      </c>
      <c r="O208" s="55" t="str">
        <f t="shared" si="4"/>
        <v>L2.01.00.01.06.00</v>
      </c>
      <c r="P208" s="55" t="str">
        <f t="shared" si="8"/>
        <v>L2.01.00.01.06.00.01</v>
      </c>
      <c r="Q208" s="161" t="s">
        <v>10530</v>
      </c>
      <c r="R208" s="169" t="str">
        <f t="shared" si="9"/>
        <v>Phòng Triển khai &amp; CSKH 01</v>
      </c>
      <c r="S208" s="227" t="s">
        <v>10840</v>
      </c>
      <c r="T208" s="96" t="s">
        <v>1550</v>
      </c>
      <c r="U208" s="96" t="s">
        <v>346</v>
      </c>
      <c r="V208" s="96" t="s">
        <v>315</v>
      </c>
      <c r="W208" s="96" t="s">
        <v>1366</v>
      </c>
      <c r="X208" s="96"/>
      <c r="Y208" s="97"/>
      <c r="Z208" s="98" t="s">
        <v>10859</v>
      </c>
      <c r="AA208" s="153" t="s">
        <v>10530</v>
      </c>
      <c r="AB208" s="91"/>
      <c r="AC208" s="91"/>
      <c r="AD208" s="91"/>
    </row>
    <row r="209" ht="15.75" hidden="1" customHeight="1" outlineLevel="1">
      <c r="A209" s="170" t="s">
        <v>10833</v>
      </c>
      <c r="B209" s="57" t="s">
        <v>77</v>
      </c>
      <c r="C209" s="51" t="s">
        <v>29</v>
      </c>
      <c r="D209" s="52" t="s">
        <v>78</v>
      </c>
      <c r="E209" s="53" t="s">
        <v>27</v>
      </c>
      <c r="F209" s="52" t="s">
        <v>4</v>
      </c>
      <c r="G209" s="52" t="s">
        <v>29</v>
      </c>
      <c r="H209" s="230" t="s">
        <v>10836</v>
      </c>
      <c r="I209" s="170" t="s">
        <v>44</v>
      </c>
      <c r="J209" s="176" t="s">
        <v>1366</v>
      </c>
      <c r="K209" s="175" t="s">
        <v>29</v>
      </c>
      <c r="L209" s="224" t="s">
        <v>10860</v>
      </c>
      <c r="M209" s="52" t="s">
        <v>29</v>
      </c>
      <c r="N209" s="54" t="s">
        <v>10498</v>
      </c>
      <c r="O209" s="55" t="str">
        <f t="shared" si="4"/>
        <v>L2.01.00.01.06.01</v>
      </c>
      <c r="P209" s="55" t="str">
        <f t="shared" si="8"/>
        <v>L2.01.00.01.06.01.01</v>
      </c>
      <c r="Q209" s="161" t="s">
        <v>10530</v>
      </c>
      <c r="R209" s="169" t="str">
        <f t="shared" si="9"/>
        <v>Nhóm Triển khai &amp; CSKH sản phẩm tài chính</v>
      </c>
      <c r="S209" s="227" t="s">
        <v>10861</v>
      </c>
      <c r="T209" s="96"/>
      <c r="U209" s="96"/>
      <c r="V209" s="96"/>
      <c r="W209" s="96"/>
      <c r="X209" s="96"/>
      <c r="Y209" s="97" t="s">
        <v>10862</v>
      </c>
      <c r="Z209" s="98" t="s">
        <v>10863</v>
      </c>
      <c r="AA209" s="153" t="s">
        <v>10530</v>
      </c>
      <c r="AB209" s="91"/>
      <c r="AC209" s="91"/>
      <c r="AD209" s="91"/>
    </row>
    <row r="210" ht="15.75" hidden="1" customHeight="1" outlineLevel="1">
      <c r="A210" s="170" t="s">
        <v>10833</v>
      </c>
      <c r="B210" s="57" t="s">
        <v>77</v>
      </c>
      <c r="C210" s="51" t="s">
        <v>29</v>
      </c>
      <c r="D210" s="52" t="s">
        <v>78</v>
      </c>
      <c r="E210" s="53" t="s">
        <v>27</v>
      </c>
      <c r="F210" s="52" t="s">
        <v>4</v>
      </c>
      <c r="G210" s="52" t="s">
        <v>29</v>
      </c>
      <c r="H210" s="230" t="s">
        <v>10836</v>
      </c>
      <c r="I210" s="170" t="s">
        <v>44</v>
      </c>
      <c r="J210" s="176" t="s">
        <v>1366</v>
      </c>
      <c r="K210" s="177" t="s">
        <v>33</v>
      </c>
      <c r="L210" s="224" t="s">
        <v>10864</v>
      </c>
      <c r="M210" s="52" t="s">
        <v>29</v>
      </c>
      <c r="N210" s="54" t="s">
        <v>10498</v>
      </c>
      <c r="O210" s="55" t="str">
        <f t="shared" si="4"/>
        <v>L2.01.00.01.06.02</v>
      </c>
      <c r="P210" s="55" t="str">
        <f t="shared" si="8"/>
        <v>L2.01.00.01.06.02.01</v>
      </c>
      <c r="Q210" s="161" t="s">
        <v>10530</v>
      </c>
      <c r="R210" s="169" t="str">
        <f t="shared" si="9"/>
        <v>Nhóm Triển khai &amp; CSKH sản phẩm điều hành</v>
      </c>
      <c r="S210" s="227" t="s">
        <v>10861</v>
      </c>
      <c r="T210" s="96"/>
      <c r="U210" s="96"/>
      <c r="V210" s="96"/>
      <c r="W210" s="96"/>
      <c r="X210" s="96"/>
      <c r="Y210" s="97" t="s">
        <v>10862</v>
      </c>
      <c r="Z210" s="98" t="s">
        <v>10865</v>
      </c>
      <c r="AA210" s="153" t="s">
        <v>10530</v>
      </c>
      <c r="AB210" s="91"/>
      <c r="AC210" s="91"/>
      <c r="AD210" s="91"/>
    </row>
    <row r="211" ht="15.75" hidden="1" customHeight="1" outlineLevel="1">
      <c r="A211" s="170" t="s">
        <v>10833</v>
      </c>
      <c r="B211" s="57" t="s">
        <v>77</v>
      </c>
      <c r="C211" s="51" t="s">
        <v>29</v>
      </c>
      <c r="D211" s="52" t="s">
        <v>78</v>
      </c>
      <c r="E211" s="53" t="s">
        <v>27</v>
      </c>
      <c r="F211" s="52" t="s">
        <v>4</v>
      </c>
      <c r="G211" s="52" t="s">
        <v>29</v>
      </c>
      <c r="H211" s="230" t="s">
        <v>10836</v>
      </c>
      <c r="I211" s="170" t="s">
        <v>46</v>
      </c>
      <c r="J211" s="176" t="s">
        <v>1221</v>
      </c>
      <c r="K211" s="52" t="s">
        <v>27</v>
      </c>
      <c r="L211" s="254" t="s">
        <v>4</v>
      </c>
      <c r="M211" s="52" t="s">
        <v>29</v>
      </c>
      <c r="N211" s="54" t="s">
        <v>10498</v>
      </c>
      <c r="O211" s="55" t="str">
        <f t="shared" si="4"/>
        <v>L2.01.00.01.07.00</v>
      </c>
      <c r="P211" s="55" t="str">
        <f t="shared" si="8"/>
        <v>L2.01.00.01.07.00.01</v>
      </c>
      <c r="Q211" s="161" t="s">
        <v>10530</v>
      </c>
      <c r="R211" s="169" t="str">
        <f t="shared" si="9"/>
        <v>Phòng Triển khai &amp; CSKH 02</v>
      </c>
      <c r="S211" s="227" t="s">
        <v>10840</v>
      </c>
      <c r="T211" s="96" t="s">
        <v>1318</v>
      </c>
      <c r="U211" s="96" t="s">
        <v>346</v>
      </c>
      <c r="V211" s="96" t="s">
        <v>315</v>
      </c>
      <c r="W211" s="96" t="s">
        <v>1221</v>
      </c>
      <c r="X211" s="96"/>
      <c r="Y211" s="96"/>
      <c r="Z211" s="98" t="s">
        <v>10866</v>
      </c>
      <c r="AA211" s="153" t="s">
        <v>10530</v>
      </c>
      <c r="AB211" s="91"/>
      <c r="AC211" s="91"/>
      <c r="AD211" s="91"/>
    </row>
    <row r="212" ht="15.75" hidden="1" customHeight="1" outlineLevel="1">
      <c r="A212" s="170" t="s">
        <v>10833</v>
      </c>
      <c r="B212" s="57" t="s">
        <v>77</v>
      </c>
      <c r="C212" s="51" t="s">
        <v>29</v>
      </c>
      <c r="D212" s="52" t="s">
        <v>78</v>
      </c>
      <c r="E212" s="53" t="s">
        <v>27</v>
      </c>
      <c r="F212" s="52" t="s">
        <v>4</v>
      </c>
      <c r="G212" s="52" t="s">
        <v>29</v>
      </c>
      <c r="H212" s="230" t="s">
        <v>10836</v>
      </c>
      <c r="I212" s="170" t="s">
        <v>46</v>
      </c>
      <c r="J212" s="176" t="s">
        <v>1221</v>
      </c>
      <c r="K212" s="250" t="s">
        <v>29</v>
      </c>
      <c r="L212" s="224" t="s">
        <v>10860</v>
      </c>
      <c r="M212" s="52" t="s">
        <v>29</v>
      </c>
      <c r="N212" s="54" t="s">
        <v>10498</v>
      </c>
      <c r="O212" s="55" t="str">
        <f t="shared" si="4"/>
        <v>L2.01.00.01.07.01</v>
      </c>
      <c r="P212" s="55" t="str">
        <f t="shared" si="8"/>
        <v>L2.01.00.01.07.01.01</v>
      </c>
      <c r="Q212" s="161" t="s">
        <v>10530</v>
      </c>
      <c r="R212" s="169" t="str">
        <f t="shared" si="9"/>
        <v>Nhóm Triển khai &amp; CSKH sản phẩm tài chính</v>
      </c>
      <c r="S212" s="227" t="s">
        <v>10867</v>
      </c>
      <c r="T212" s="96"/>
      <c r="U212" s="96"/>
      <c r="V212" s="96"/>
      <c r="W212" s="96"/>
      <c r="X212" s="96"/>
      <c r="Y212" s="97" t="s">
        <v>10862</v>
      </c>
      <c r="Z212" s="98" t="s">
        <v>10868</v>
      </c>
      <c r="AA212" s="153" t="s">
        <v>10530</v>
      </c>
      <c r="AB212" s="91"/>
      <c r="AC212" s="91"/>
      <c r="AD212" s="91"/>
    </row>
    <row r="213" ht="15.75" hidden="1" customHeight="1" outlineLevel="1">
      <c r="A213" s="170" t="s">
        <v>10833</v>
      </c>
      <c r="B213" s="57" t="s">
        <v>77</v>
      </c>
      <c r="C213" s="51" t="s">
        <v>29</v>
      </c>
      <c r="D213" s="52" t="s">
        <v>78</v>
      </c>
      <c r="E213" s="53" t="s">
        <v>27</v>
      </c>
      <c r="F213" s="52" t="s">
        <v>4</v>
      </c>
      <c r="G213" s="52" t="s">
        <v>29</v>
      </c>
      <c r="H213" s="230" t="s">
        <v>10836</v>
      </c>
      <c r="I213" s="170" t="s">
        <v>46</v>
      </c>
      <c r="J213" s="176" t="s">
        <v>1221</v>
      </c>
      <c r="K213" s="170" t="s">
        <v>33</v>
      </c>
      <c r="L213" s="224" t="s">
        <v>10864</v>
      </c>
      <c r="M213" s="52" t="s">
        <v>29</v>
      </c>
      <c r="N213" s="54" t="s">
        <v>10498</v>
      </c>
      <c r="O213" s="55" t="str">
        <f t="shared" si="4"/>
        <v>L2.01.00.01.07.02</v>
      </c>
      <c r="P213" s="55" t="str">
        <f t="shared" si="8"/>
        <v>L2.01.00.01.07.02.01</v>
      </c>
      <c r="Q213" s="161" t="s">
        <v>10530</v>
      </c>
      <c r="R213" s="169" t="str">
        <f t="shared" si="9"/>
        <v>Nhóm Triển khai &amp; CSKH sản phẩm điều hành</v>
      </c>
      <c r="S213" s="227" t="s">
        <v>10867</v>
      </c>
      <c r="T213" s="96"/>
      <c r="U213" s="96"/>
      <c r="V213" s="96"/>
      <c r="W213" s="96"/>
      <c r="X213" s="96"/>
      <c r="Y213" s="97" t="s">
        <v>10862</v>
      </c>
      <c r="Z213" s="98" t="s">
        <v>10869</v>
      </c>
      <c r="AA213" s="153" t="s">
        <v>10530</v>
      </c>
      <c r="AB213" s="91"/>
      <c r="AC213" s="91"/>
      <c r="AD213" s="91"/>
    </row>
    <row r="214" ht="15.75" hidden="1" customHeight="1" outlineLevel="1">
      <c r="A214" s="170" t="s">
        <v>10833</v>
      </c>
      <c r="B214" s="57" t="s">
        <v>77</v>
      </c>
      <c r="C214" s="51" t="s">
        <v>29</v>
      </c>
      <c r="D214" s="52" t="s">
        <v>78</v>
      </c>
      <c r="E214" s="53" t="s">
        <v>27</v>
      </c>
      <c r="F214" s="52" t="s">
        <v>4</v>
      </c>
      <c r="G214" s="52" t="s">
        <v>29</v>
      </c>
      <c r="H214" s="230" t="s">
        <v>10870</v>
      </c>
      <c r="I214" s="250" t="s">
        <v>27</v>
      </c>
      <c r="J214" s="251" t="s">
        <v>4</v>
      </c>
      <c r="K214" s="52" t="s">
        <v>27</v>
      </c>
      <c r="L214" s="56" t="s">
        <v>4</v>
      </c>
      <c r="M214" s="52" t="s">
        <v>33</v>
      </c>
      <c r="N214" s="54" t="s">
        <v>10499</v>
      </c>
      <c r="O214" s="55" t="str">
        <f t="shared" si="4"/>
        <v>L2.01.00.01.00.00</v>
      </c>
      <c r="P214" s="55" t="str">
        <f t="shared" si="8"/>
        <v>L2.01.00.01.00.00.02</v>
      </c>
      <c r="Q214" s="161" t="s">
        <v>10530</v>
      </c>
      <c r="R214" s="169" t="str">
        <f t="shared" si="9"/>
        <v>Trung tâm KD Hành chính sự nghiệp - Hồ Chí Minh</v>
      </c>
      <c r="S214" s="227" t="s">
        <v>10837</v>
      </c>
      <c r="T214" s="97" t="s">
        <v>10871</v>
      </c>
      <c r="U214" s="96" t="s">
        <v>262</v>
      </c>
      <c r="V214" s="96" t="s">
        <v>315</v>
      </c>
      <c r="W214" s="96"/>
      <c r="X214" s="96"/>
      <c r="Y214" s="96"/>
      <c r="Z214" s="98" t="s">
        <v>10872</v>
      </c>
      <c r="AA214" s="153" t="s">
        <v>10530</v>
      </c>
      <c r="AB214" s="91"/>
      <c r="AC214" s="91"/>
      <c r="AD214" s="91"/>
    </row>
    <row r="215" ht="15.75" hidden="1" customHeight="1" outlineLevel="1">
      <c r="A215" s="170" t="s">
        <v>10833</v>
      </c>
      <c r="B215" s="57" t="s">
        <v>77</v>
      </c>
      <c r="C215" s="51" t="s">
        <v>29</v>
      </c>
      <c r="D215" s="52" t="s">
        <v>78</v>
      </c>
      <c r="E215" s="53" t="s">
        <v>27</v>
      </c>
      <c r="F215" s="52" t="s">
        <v>4</v>
      </c>
      <c r="G215" s="52" t="s">
        <v>29</v>
      </c>
      <c r="H215" s="230" t="s">
        <v>10870</v>
      </c>
      <c r="I215" s="52" t="s">
        <v>29</v>
      </c>
      <c r="J215" s="55" t="s">
        <v>84</v>
      </c>
      <c r="K215" s="52" t="s">
        <v>27</v>
      </c>
      <c r="L215" s="56" t="s">
        <v>4</v>
      </c>
      <c r="M215" s="52" t="s">
        <v>33</v>
      </c>
      <c r="N215" s="54" t="s">
        <v>10499</v>
      </c>
      <c r="O215" s="55" t="str">
        <f t="shared" si="4"/>
        <v>L2.01.00.01.01.00</v>
      </c>
      <c r="P215" s="55" t="str">
        <f t="shared" si="8"/>
        <v>L2.01.00.01.01.00.02</v>
      </c>
      <c r="Q215" s="161" t="s">
        <v>10530</v>
      </c>
      <c r="R215" s="169" t="str">
        <f t="shared" si="9"/>
        <v>Ban giám đốc TT KD HCSN</v>
      </c>
      <c r="S215" s="227" t="s">
        <v>10873</v>
      </c>
      <c r="T215" s="96" t="s">
        <v>8680</v>
      </c>
      <c r="U215" s="96" t="s">
        <v>262</v>
      </c>
      <c r="V215" s="96" t="s">
        <v>315</v>
      </c>
      <c r="W215" s="96" t="s">
        <v>8679</v>
      </c>
      <c r="X215" s="96"/>
      <c r="Y215" s="96"/>
      <c r="Z215" s="98" t="s">
        <v>10874</v>
      </c>
      <c r="AA215" s="153" t="s">
        <v>10530</v>
      </c>
      <c r="AB215" s="91"/>
      <c r="AC215" s="91"/>
      <c r="AD215" s="91"/>
    </row>
    <row r="216" ht="15.75" hidden="1" customHeight="1" outlineLevel="1">
      <c r="A216" s="170" t="s">
        <v>10833</v>
      </c>
      <c r="B216" s="57" t="s">
        <v>77</v>
      </c>
      <c r="C216" s="51" t="s">
        <v>29</v>
      </c>
      <c r="D216" s="52" t="s">
        <v>78</v>
      </c>
      <c r="E216" s="53" t="s">
        <v>27</v>
      </c>
      <c r="F216" s="52" t="s">
        <v>4</v>
      </c>
      <c r="G216" s="52" t="s">
        <v>29</v>
      </c>
      <c r="H216" s="230" t="s">
        <v>10870</v>
      </c>
      <c r="I216" s="52" t="s">
        <v>33</v>
      </c>
      <c r="J216" s="176" t="s">
        <v>1577</v>
      </c>
      <c r="K216" s="52" t="s">
        <v>27</v>
      </c>
      <c r="L216" s="254" t="s">
        <v>4</v>
      </c>
      <c r="M216" s="52" t="s">
        <v>33</v>
      </c>
      <c r="N216" s="54" t="s">
        <v>10499</v>
      </c>
      <c r="O216" s="55" t="str">
        <f t="shared" si="4"/>
        <v>L2.01.00.01.02.00</v>
      </c>
      <c r="P216" s="55" t="str">
        <f t="shared" si="8"/>
        <v>L2.01.00.01.02.00.02</v>
      </c>
      <c r="Q216" s="161" t="s">
        <v>10530</v>
      </c>
      <c r="R216" s="169" t="str">
        <f t="shared" si="9"/>
        <v>Phòng KD HCSN 01</v>
      </c>
      <c r="S216" s="227" t="s">
        <v>10873</v>
      </c>
      <c r="T216" s="96" t="s">
        <v>8389</v>
      </c>
      <c r="U216" s="96" t="s">
        <v>262</v>
      </c>
      <c r="V216" s="96" t="s">
        <v>315</v>
      </c>
      <c r="W216" s="96" t="s">
        <v>1577</v>
      </c>
      <c r="X216" s="96"/>
      <c r="Y216" s="96"/>
      <c r="Z216" s="98" t="s">
        <v>10875</v>
      </c>
      <c r="AA216" s="153" t="s">
        <v>10530</v>
      </c>
      <c r="AB216" s="91"/>
      <c r="AC216" s="91"/>
      <c r="AD216" s="91"/>
    </row>
    <row r="217" ht="15.75" hidden="1" customHeight="1" outlineLevel="1">
      <c r="A217" s="170" t="s">
        <v>10833</v>
      </c>
      <c r="B217" s="57" t="s">
        <v>77</v>
      </c>
      <c r="C217" s="51" t="s">
        <v>29</v>
      </c>
      <c r="D217" s="52" t="s">
        <v>78</v>
      </c>
      <c r="E217" s="53" t="s">
        <v>27</v>
      </c>
      <c r="F217" s="52" t="s">
        <v>4</v>
      </c>
      <c r="G217" s="52" t="s">
        <v>29</v>
      </c>
      <c r="H217" s="230" t="s">
        <v>10870</v>
      </c>
      <c r="I217" s="52" t="s">
        <v>33</v>
      </c>
      <c r="J217" s="176" t="s">
        <v>1577</v>
      </c>
      <c r="K217" s="250" t="s">
        <v>29</v>
      </c>
      <c r="L217" s="96" t="s">
        <v>2439</v>
      </c>
      <c r="M217" s="52" t="s">
        <v>33</v>
      </c>
      <c r="N217" s="54" t="s">
        <v>10499</v>
      </c>
      <c r="O217" s="55" t="str">
        <f t="shared" si="4"/>
        <v>L2.01.00.01.02.01</v>
      </c>
      <c r="P217" s="55" t="str">
        <f t="shared" si="8"/>
        <v>L2.01.00.01.02.01.02</v>
      </c>
      <c r="Q217" s="161" t="s">
        <v>10530</v>
      </c>
      <c r="R217" s="169" t="str">
        <f t="shared" si="9"/>
        <v>Nhóm KD HCSN 01</v>
      </c>
      <c r="S217" s="227" t="s">
        <v>10876</v>
      </c>
      <c r="T217" s="96" t="s">
        <v>2440</v>
      </c>
      <c r="U217" s="96" t="s">
        <v>262</v>
      </c>
      <c r="V217" s="96" t="s">
        <v>315</v>
      </c>
      <c r="W217" s="96" t="s">
        <v>1577</v>
      </c>
      <c r="X217" s="96" t="s">
        <v>2439</v>
      </c>
      <c r="Y217" s="96"/>
      <c r="Z217" s="98" t="s">
        <v>10877</v>
      </c>
      <c r="AA217" s="153" t="s">
        <v>10530</v>
      </c>
      <c r="AB217" s="91"/>
      <c r="AC217" s="91"/>
      <c r="AD217" s="91"/>
    </row>
    <row r="218" ht="15.75" hidden="1" customHeight="1" outlineLevel="1">
      <c r="A218" s="170" t="s">
        <v>10833</v>
      </c>
      <c r="B218" s="57" t="s">
        <v>77</v>
      </c>
      <c r="C218" s="51" t="s">
        <v>29</v>
      </c>
      <c r="D218" s="52" t="s">
        <v>78</v>
      </c>
      <c r="E218" s="53" t="s">
        <v>27</v>
      </c>
      <c r="F218" s="52" t="s">
        <v>4</v>
      </c>
      <c r="G218" s="52" t="s">
        <v>29</v>
      </c>
      <c r="H218" s="230" t="s">
        <v>10870</v>
      </c>
      <c r="I218" s="52" t="s">
        <v>33</v>
      </c>
      <c r="J218" s="176" t="s">
        <v>1577</v>
      </c>
      <c r="K218" s="170" t="s">
        <v>33</v>
      </c>
      <c r="L218" s="96" t="s">
        <v>1598</v>
      </c>
      <c r="M218" s="52" t="s">
        <v>33</v>
      </c>
      <c r="N218" s="54" t="s">
        <v>10499</v>
      </c>
      <c r="O218" s="55" t="str">
        <f t="shared" si="4"/>
        <v>L2.01.00.01.02.02</v>
      </c>
      <c r="P218" s="55" t="str">
        <f t="shared" si="8"/>
        <v>L2.01.00.01.02.02.02</v>
      </c>
      <c r="Q218" s="161" t="s">
        <v>10530</v>
      </c>
      <c r="R218" s="169" t="str">
        <f t="shared" si="9"/>
        <v>Nhóm KD HCSN 02</v>
      </c>
      <c r="S218" s="227" t="s">
        <v>10876</v>
      </c>
      <c r="T218" s="96" t="s">
        <v>8419</v>
      </c>
      <c r="U218" s="96" t="s">
        <v>262</v>
      </c>
      <c r="V218" s="96" t="s">
        <v>315</v>
      </c>
      <c r="W218" s="96" t="s">
        <v>1577</v>
      </c>
      <c r="X218" s="96" t="s">
        <v>1598</v>
      </c>
      <c r="Y218" s="96"/>
      <c r="Z218" s="98" t="s">
        <v>10878</v>
      </c>
      <c r="AA218" s="153" t="s">
        <v>10530</v>
      </c>
      <c r="AB218" s="91"/>
      <c r="AC218" s="91"/>
      <c r="AD218" s="91"/>
    </row>
    <row r="219" ht="15.75" hidden="1" customHeight="1" outlineLevel="1">
      <c r="A219" s="170" t="s">
        <v>10833</v>
      </c>
      <c r="B219" s="57" t="s">
        <v>77</v>
      </c>
      <c r="C219" s="51" t="s">
        <v>29</v>
      </c>
      <c r="D219" s="52" t="s">
        <v>78</v>
      </c>
      <c r="E219" s="53" t="s">
        <v>27</v>
      </c>
      <c r="F219" s="52" t="s">
        <v>4</v>
      </c>
      <c r="G219" s="52" t="s">
        <v>29</v>
      </c>
      <c r="H219" s="230" t="s">
        <v>10870</v>
      </c>
      <c r="I219" s="52" t="s">
        <v>33</v>
      </c>
      <c r="J219" s="176" t="s">
        <v>1577</v>
      </c>
      <c r="K219" s="170" t="s">
        <v>35</v>
      </c>
      <c r="L219" s="96" t="s">
        <v>1576</v>
      </c>
      <c r="M219" s="52" t="s">
        <v>33</v>
      </c>
      <c r="N219" s="54" t="s">
        <v>10499</v>
      </c>
      <c r="O219" s="55" t="str">
        <f t="shared" si="4"/>
        <v>L2.01.00.01.02.03</v>
      </c>
      <c r="P219" s="55" t="str">
        <f t="shared" si="8"/>
        <v>L2.01.00.01.02.03.02</v>
      </c>
      <c r="Q219" s="161" t="s">
        <v>10530</v>
      </c>
      <c r="R219" s="169" t="str">
        <f t="shared" si="9"/>
        <v>Nhóm KD HCSN 03</v>
      </c>
      <c r="S219" s="227" t="s">
        <v>10876</v>
      </c>
      <c r="T219" s="96" t="s">
        <v>7194</v>
      </c>
      <c r="U219" s="96" t="s">
        <v>262</v>
      </c>
      <c r="V219" s="96" t="s">
        <v>315</v>
      </c>
      <c r="W219" s="96" t="s">
        <v>1577</v>
      </c>
      <c r="X219" s="96" t="s">
        <v>1576</v>
      </c>
      <c r="Y219" s="96"/>
      <c r="Z219" s="98" t="s">
        <v>10879</v>
      </c>
      <c r="AA219" s="153" t="s">
        <v>10530</v>
      </c>
      <c r="AB219" s="91"/>
      <c r="AC219" s="91"/>
      <c r="AD219" s="91"/>
    </row>
    <row r="220" ht="15.75" hidden="1" customHeight="1" outlineLevel="1">
      <c r="A220" s="170" t="s">
        <v>10833</v>
      </c>
      <c r="B220" s="57" t="s">
        <v>77</v>
      </c>
      <c r="C220" s="51" t="s">
        <v>29</v>
      </c>
      <c r="D220" s="52" t="s">
        <v>78</v>
      </c>
      <c r="E220" s="53" t="s">
        <v>27</v>
      </c>
      <c r="F220" s="52" t="s">
        <v>4</v>
      </c>
      <c r="G220" s="52" t="s">
        <v>29</v>
      </c>
      <c r="H220" s="230" t="s">
        <v>10870</v>
      </c>
      <c r="I220" s="51" t="s">
        <v>35</v>
      </c>
      <c r="J220" s="176" t="s">
        <v>316</v>
      </c>
      <c r="K220" s="52" t="s">
        <v>27</v>
      </c>
      <c r="L220" s="254" t="s">
        <v>4</v>
      </c>
      <c r="M220" s="52" t="s">
        <v>33</v>
      </c>
      <c r="N220" s="54" t="s">
        <v>10499</v>
      </c>
      <c r="O220" s="55" t="str">
        <f t="shared" si="4"/>
        <v>L2.01.00.01.03.00</v>
      </c>
      <c r="P220" s="55" t="str">
        <f t="shared" si="8"/>
        <v>L2.01.00.01.03.00.02</v>
      </c>
      <c r="Q220" s="161" t="s">
        <v>10530</v>
      </c>
      <c r="R220" s="169" t="str">
        <f t="shared" si="9"/>
        <v>Phòng KD HCSN 03</v>
      </c>
      <c r="S220" s="227" t="s">
        <v>10873</v>
      </c>
      <c r="T220" s="96" t="s">
        <v>8724</v>
      </c>
      <c r="U220" s="96" t="s">
        <v>262</v>
      </c>
      <c r="V220" s="96" t="s">
        <v>315</v>
      </c>
      <c r="W220" s="96" t="s">
        <v>316</v>
      </c>
      <c r="X220" s="96"/>
      <c r="Y220" s="96"/>
      <c r="Z220" s="98" t="s">
        <v>10880</v>
      </c>
      <c r="AA220" s="153" t="s">
        <v>10530</v>
      </c>
      <c r="AB220" s="91"/>
      <c r="AC220" s="91"/>
      <c r="AD220" s="91"/>
    </row>
    <row r="221" ht="15.75" hidden="1" customHeight="1" outlineLevel="1">
      <c r="A221" s="170" t="s">
        <v>10833</v>
      </c>
      <c r="B221" s="57" t="s">
        <v>77</v>
      </c>
      <c r="C221" s="51" t="s">
        <v>29</v>
      </c>
      <c r="D221" s="52" t="s">
        <v>78</v>
      </c>
      <c r="E221" s="53" t="s">
        <v>27</v>
      </c>
      <c r="F221" s="52" t="s">
        <v>4</v>
      </c>
      <c r="G221" s="52" t="s">
        <v>29</v>
      </c>
      <c r="H221" s="230" t="s">
        <v>10870</v>
      </c>
      <c r="I221" s="51" t="s">
        <v>35</v>
      </c>
      <c r="J221" s="176" t="s">
        <v>316</v>
      </c>
      <c r="K221" s="250" t="s">
        <v>29</v>
      </c>
      <c r="L221" s="96" t="s">
        <v>1507</v>
      </c>
      <c r="M221" s="52" t="s">
        <v>33</v>
      </c>
      <c r="N221" s="54" t="s">
        <v>10499</v>
      </c>
      <c r="O221" s="55" t="str">
        <f t="shared" si="4"/>
        <v>L2.01.00.01.03.01</v>
      </c>
      <c r="P221" s="55" t="str">
        <f t="shared" si="8"/>
        <v>L2.01.00.01.03.01.02</v>
      </c>
      <c r="Q221" s="161" t="s">
        <v>10530</v>
      </c>
      <c r="R221" s="169" t="str">
        <f t="shared" si="9"/>
        <v>Nhóm KD HCSN 05</v>
      </c>
      <c r="S221" s="227" t="s">
        <v>10881</v>
      </c>
      <c r="T221" s="96" t="s">
        <v>2390</v>
      </c>
      <c r="U221" s="96" t="s">
        <v>262</v>
      </c>
      <c r="V221" s="96" t="s">
        <v>315</v>
      </c>
      <c r="W221" s="96" t="s">
        <v>316</v>
      </c>
      <c r="X221" s="96" t="s">
        <v>1507</v>
      </c>
      <c r="Y221" s="96"/>
      <c r="Z221" s="98" t="s">
        <v>10882</v>
      </c>
      <c r="AA221" s="153" t="s">
        <v>10530</v>
      </c>
      <c r="AB221" s="91"/>
      <c r="AC221" s="91"/>
      <c r="AD221" s="91"/>
    </row>
    <row r="222" ht="15.75" hidden="1" customHeight="1" outlineLevel="1">
      <c r="A222" s="170" t="s">
        <v>10833</v>
      </c>
      <c r="B222" s="57" t="s">
        <v>77</v>
      </c>
      <c r="C222" s="51" t="s">
        <v>29</v>
      </c>
      <c r="D222" s="52" t="s">
        <v>78</v>
      </c>
      <c r="E222" s="53" t="s">
        <v>27</v>
      </c>
      <c r="F222" s="52" t="s">
        <v>4</v>
      </c>
      <c r="G222" s="52" t="s">
        <v>29</v>
      </c>
      <c r="H222" s="230" t="s">
        <v>10870</v>
      </c>
      <c r="I222" s="51" t="s">
        <v>35</v>
      </c>
      <c r="J222" s="176" t="s">
        <v>316</v>
      </c>
      <c r="K222" s="170" t="s">
        <v>33</v>
      </c>
      <c r="L222" s="96" t="s">
        <v>314</v>
      </c>
      <c r="M222" s="52" t="s">
        <v>33</v>
      </c>
      <c r="N222" s="54" t="s">
        <v>10499</v>
      </c>
      <c r="O222" s="55" t="str">
        <f t="shared" si="4"/>
        <v>L2.01.00.01.03.02</v>
      </c>
      <c r="P222" s="55" t="str">
        <f t="shared" si="8"/>
        <v>L2.01.00.01.03.02.02</v>
      </c>
      <c r="Q222" s="161" t="s">
        <v>10530</v>
      </c>
      <c r="R222" s="169" t="str">
        <f t="shared" si="9"/>
        <v>Nhóm KD HCSN 06</v>
      </c>
      <c r="S222" s="227" t="s">
        <v>10881</v>
      </c>
      <c r="T222" s="96" t="s">
        <v>317</v>
      </c>
      <c r="U222" s="96" t="s">
        <v>262</v>
      </c>
      <c r="V222" s="96" t="s">
        <v>315</v>
      </c>
      <c r="W222" s="96" t="s">
        <v>316</v>
      </c>
      <c r="X222" s="96" t="s">
        <v>314</v>
      </c>
      <c r="Y222" s="96"/>
      <c r="Z222" s="98" t="s">
        <v>10883</v>
      </c>
      <c r="AA222" s="153" t="s">
        <v>10530</v>
      </c>
      <c r="AB222" s="91"/>
      <c r="AC222" s="91"/>
      <c r="AD222" s="91"/>
    </row>
    <row r="223" ht="15.75" hidden="1" customHeight="1" outlineLevel="1">
      <c r="A223" s="170" t="s">
        <v>10833</v>
      </c>
      <c r="B223" s="57" t="s">
        <v>77</v>
      </c>
      <c r="C223" s="51" t="s">
        <v>29</v>
      </c>
      <c r="D223" s="52" t="s">
        <v>78</v>
      </c>
      <c r="E223" s="53" t="s">
        <v>27</v>
      </c>
      <c r="F223" s="52" t="s">
        <v>4</v>
      </c>
      <c r="G223" s="52" t="s">
        <v>29</v>
      </c>
      <c r="H223" s="230" t="s">
        <v>10870</v>
      </c>
      <c r="I223" s="51" t="s">
        <v>35</v>
      </c>
      <c r="J223" s="176" t="s">
        <v>316</v>
      </c>
      <c r="K223" s="170" t="s">
        <v>35</v>
      </c>
      <c r="L223" s="96" t="s">
        <v>1486</v>
      </c>
      <c r="M223" s="52" t="s">
        <v>33</v>
      </c>
      <c r="N223" s="54" t="s">
        <v>10499</v>
      </c>
      <c r="O223" s="55" t="str">
        <f t="shared" si="4"/>
        <v>L2.01.00.01.03.03</v>
      </c>
      <c r="P223" s="55" t="str">
        <f t="shared" si="8"/>
        <v>L2.01.00.01.03.03.02</v>
      </c>
      <c r="Q223" s="161" t="s">
        <v>10530</v>
      </c>
      <c r="R223" s="169" t="str">
        <f t="shared" si="9"/>
        <v>Nhóm KD HCSN 04</v>
      </c>
      <c r="S223" s="227" t="s">
        <v>10881</v>
      </c>
      <c r="T223" s="96" t="s">
        <v>2394</v>
      </c>
      <c r="U223" s="96" t="s">
        <v>262</v>
      </c>
      <c r="V223" s="96" t="s">
        <v>315</v>
      </c>
      <c r="W223" s="96" t="s">
        <v>316</v>
      </c>
      <c r="X223" s="96" t="s">
        <v>1486</v>
      </c>
      <c r="Y223" s="96"/>
      <c r="Z223" s="98" t="s">
        <v>10884</v>
      </c>
      <c r="AA223" s="153" t="s">
        <v>10530</v>
      </c>
      <c r="AB223" s="91"/>
      <c r="AC223" s="91"/>
      <c r="AD223" s="91"/>
    </row>
    <row r="224" ht="15.75" hidden="1" customHeight="1" outlineLevel="1">
      <c r="A224" s="170" t="s">
        <v>10833</v>
      </c>
      <c r="B224" s="57" t="s">
        <v>77</v>
      </c>
      <c r="C224" s="51" t="s">
        <v>29</v>
      </c>
      <c r="D224" s="52" t="s">
        <v>78</v>
      </c>
      <c r="E224" s="53" t="s">
        <v>27</v>
      </c>
      <c r="F224" s="52" t="s">
        <v>4</v>
      </c>
      <c r="G224" s="52" t="s">
        <v>29</v>
      </c>
      <c r="H224" s="230" t="s">
        <v>10870</v>
      </c>
      <c r="I224" s="51" t="s">
        <v>37</v>
      </c>
      <c r="J224" s="176" t="s">
        <v>86</v>
      </c>
      <c r="K224" s="52" t="s">
        <v>27</v>
      </c>
      <c r="L224" s="254" t="s">
        <v>4</v>
      </c>
      <c r="M224" s="52" t="s">
        <v>33</v>
      </c>
      <c r="N224" s="54" t="s">
        <v>10499</v>
      </c>
      <c r="O224" s="55" t="str">
        <f t="shared" si="4"/>
        <v>L2.01.00.01.04.00</v>
      </c>
      <c r="P224" s="55" t="str">
        <f t="shared" si="8"/>
        <v>L2.01.00.01.04.00.02</v>
      </c>
      <c r="Q224" s="161" t="s">
        <v>10530</v>
      </c>
      <c r="R224" s="169" t="str">
        <f t="shared" si="9"/>
        <v>Phòng Triển khai &amp; CSKH</v>
      </c>
      <c r="S224" s="227" t="s">
        <v>10873</v>
      </c>
      <c r="T224" s="96" t="s">
        <v>8703</v>
      </c>
      <c r="U224" s="96" t="s">
        <v>262</v>
      </c>
      <c r="V224" s="96" t="s">
        <v>315</v>
      </c>
      <c r="W224" s="96" t="s">
        <v>86</v>
      </c>
      <c r="X224" s="96"/>
      <c r="Y224" s="96"/>
      <c r="Z224" s="98" t="s">
        <v>10885</v>
      </c>
      <c r="AA224" s="153" t="s">
        <v>10530</v>
      </c>
      <c r="AB224" s="91"/>
      <c r="AC224" s="91"/>
      <c r="AD224" s="91"/>
    </row>
    <row r="225" ht="15.75" hidden="1" customHeight="1" outlineLevel="1">
      <c r="A225" s="170" t="s">
        <v>10833</v>
      </c>
      <c r="B225" s="57" t="s">
        <v>77</v>
      </c>
      <c r="C225" s="51" t="s">
        <v>29</v>
      </c>
      <c r="D225" s="52" t="s">
        <v>78</v>
      </c>
      <c r="E225" s="53" t="s">
        <v>27</v>
      </c>
      <c r="F225" s="52" t="s">
        <v>4</v>
      </c>
      <c r="G225" s="52" t="s">
        <v>29</v>
      </c>
      <c r="H225" s="230" t="s">
        <v>10870</v>
      </c>
      <c r="I225" s="51" t="s">
        <v>37</v>
      </c>
      <c r="J225" s="176" t="s">
        <v>86</v>
      </c>
      <c r="K225" s="250" t="s">
        <v>29</v>
      </c>
      <c r="L225" s="187" t="s">
        <v>10886</v>
      </c>
      <c r="M225" s="52" t="s">
        <v>33</v>
      </c>
      <c r="N225" s="54" t="s">
        <v>10499</v>
      </c>
      <c r="O225" s="55" t="str">
        <f t="shared" si="4"/>
        <v>L2.01.00.01.04.01</v>
      </c>
      <c r="P225" s="55" t="str">
        <f t="shared" si="8"/>
        <v>L2.01.00.01.04.01.02</v>
      </c>
      <c r="Q225" s="161" t="s">
        <v>10530</v>
      </c>
      <c r="R225" s="186" t="str">
        <f t="shared" si="9"/>
        <v>Nhóm Triển khai &amp; CSKH sản phẩm tài chính 01</v>
      </c>
      <c r="S225" s="227" t="s">
        <v>10887</v>
      </c>
      <c r="T225" s="96"/>
      <c r="U225" s="96"/>
      <c r="V225" s="96"/>
      <c r="W225" s="96"/>
      <c r="X225" s="96"/>
      <c r="Y225" s="97" t="s">
        <v>10862</v>
      </c>
      <c r="Z225" s="98" t="s">
        <v>10888</v>
      </c>
      <c r="AA225" s="153" t="s">
        <v>10530</v>
      </c>
      <c r="AB225" s="91"/>
      <c r="AC225" s="91"/>
      <c r="AD225" s="91"/>
    </row>
    <row r="226" ht="15.75" hidden="1" customHeight="1" outlineLevel="1">
      <c r="A226" s="178" t="s">
        <v>10833</v>
      </c>
      <c r="B226" s="179" t="s">
        <v>77</v>
      </c>
      <c r="C226" s="180" t="s">
        <v>29</v>
      </c>
      <c r="D226" s="64" t="s">
        <v>78</v>
      </c>
      <c r="E226" s="71" t="s">
        <v>27</v>
      </c>
      <c r="F226" s="64" t="s">
        <v>4</v>
      </c>
      <c r="G226" s="64" t="s">
        <v>29</v>
      </c>
      <c r="H226" s="212" t="s">
        <v>10870</v>
      </c>
      <c r="I226" s="180" t="s">
        <v>37</v>
      </c>
      <c r="J226" s="183" t="s">
        <v>86</v>
      </c>
      <c r="K226" s="255" t="s">
        <v>35</v>
      </c>
      <c r="L226" s="187" t="s">
        <v>10889</v>
      </c>
      <c r="M226" s="64" t="s">
        <v>33</v>
      </c>
      <c r="N226" s="70" t="s">
        <v>10499</v>
      </c>
      <c r="O226" s="58" t="str">
        <f t="shared" si="4"/>
        <v>L2.01.00.01.04.03</v>
      </c>
      <c r="P226" s="58" t="str">
        <f t="shared" si="8"/>
        <v>L2.01.00.01.04.03.02</v>
      </c>
      <c r="Q226" s="185" t="s">
        <v>10530</v>
      </c>
      <c r="R226" s="186" t="str">
        <f t="shared" si="9"/>
        <v>Nhóm Triển khai &amp; CSKH sản phẩm tài chính 02</v>
      </c>
      <c r="S226" s="229" t="s">
        <v>10887</v>
      </c>
      <c r="T226" s="189"/>
      <c r="U226" s="189"/>
      <c r="V226" s="189"/>
      <c r="W226" s="189"/>
      <c r="X226" s="189"/>
      <c r="Y226" s="187" t="s">
        <v>10862</v>
      </c>
      <c r="Z226" s="191" t="s">
        <v>10888</v>
      </c>
      <c r="AA226" s="192" t="s">
        <v>10530</v>
      </c>
      <c r="AB226" s="193"/>
      <c r="AC226" s="193"/>
      <c r="AD226" s="193"/>
    </row>
    <row r="227" ht="15.75" hidden="1" customHeight="1" outlineLevel="1">
      <c r="A227" s="178" t="s">
        <v>10833</v>
      </c>
      <c r="B227" s="179" t="s">
        <v>77</v>
      </c>
      <c r="C227" s="180" t="s">
        <v>29</v>
      </c>
      <c r="D227" s="64" t="s">
        <v>78</v>
      </c>
      <c r="E227" s="71" t="s">
        <v>27</v>
      </c>
      <c r="F227" s="64" t="s">
        <v>4</v>
      </c>
      <c r="G227" s="64" t="s">
        <v>29</v>
      </c>
      <c r="H227" s="212" t="s">
        <v>10870</v>
      </c>
      <c r="I227" s="180" t="s">
        <v>37</v>
      </c>
      <c r="J227" s="183" t="s">
        <v>86</v>
      </c>
      <c r="K227" s="255" t="s">
        <v>37</v>
      </c>
      <c r="L227" s="187" t="s">
        <v>10890</v>
      </c>
      <c r="M227" s="64" t="s">
        <v>33</v>
      </c>
      <c r="N227" s="70" t="s">
        <v>10499</v>
      </c>
      <c r="O227" s="58" t="str">
        <f t="shared" si="4"/>
        <v>L2.01.00.01.04.04</v>
      </c>
      <c r="P227" s="58" t="str">
        <f t="shared" si="8"/>
        <v>L2.01.00.01.04.04.02</v>
      </c>
      <c r="Q227" s="185" t="s">
        <v>10530</v>
      </c>
      <c r="R227" s="186" t="str">
        <f t="shared" si="9"/>
        <v>Nhóm Triển khai &amp; CSKH sản phẩm tài chính 03</v>
      </c>
      <c r="S227" s="229" t="s">
        <v>10887</v>
      </c>
      <c r="T227" s="189"/>
      <c r="U227" s="189"/>
      <c r="V227" s="189"/>
      <c r="W227" s="189"/>
      <c r="X227" s="189"/>
      <c r="Y227" s="187" t="s">
        <v>10862</v>
      </c>
      <c r="Z227" s="191" t="s">
        <v>10888</v>
      </c>
      <c r="AA227" s="192" t="s">
        <v>10530</v>
      </c>
      <c r="AB227" s="193"/>
      <c r="AC227" s="193"/>
      <c r="AD227" s="193"/>
    </row>
    <row r="228" ht="15.75" hidden="1" customHeight="1" outlineLevel="1">
      <c r="A228" s="170" t="s">
        <v>10833</v>
      </c>
      <c r="B228" s="57" t="s">
        <v>77</v>
      </c>
      <c r="C228" s="51" t="s">
        <v>29</v>
      </c>
      <c r="D228" s="52" t="s">
        <v>78</v>
      </c>
      <c r="E228" s="53" t="s">
        <v>27</v>
      </c>
      <c r="F228" s="52" t="s">
        <v>4</v>
      </c>
      <c r="G228" s="52" t="s">
        <v>29</v>
      </c>
      <c r="H228" s="230" t="s">
        <v>10870</v>
      </c>
      <c r="I228" s="51" t="s">
        <v>37</v>
      </c>
      <c r="J228" s="176" t="s">
        <v>86</v>
      </c>
      <c r="K228" s="170" t="s">
        <v>33</v>
      </c>
      <c r="L228" s="96" t="s">
        <v>10864</v>
      </c>
      <c r="M228" s="52" t="s">
        <v>33</v>
      </c>
      <c r="N228" s="54" t="s">
        <v>10499</v>
      </c>
      <c r="O228" s="55" t="str">
        <f t="shared" si="4"/>
        <v>L2.01.00.01.04.02</v>
      </c>
      <c r="P228" s="55" t="str">
        <f t="shared" si="8"/>
        <v>L2.01.00.01.04.02.02</v>
      </c>
      <c r="Q228" s="161" t="s">
        <v>10530</v>
      </c>
      <c r="R228" s="169" t="str">
        <f t="shared" si="9"/>
        <v>Nhóm Triển khai &amp; CSKH sản phẩm điều hành</v>
      </c>
      <c r="S228" s="227" t="s">
        <v>10887</v>
      </c>
      <c r="T228" s="96"/>
      <c r="U228" s="96"/>
      <c r="V228" s="96"/>
      <c r="W228" s="96"/>
      <c r="X228" s="96"/>
      <c r="Y228" s="97" t="s">
        <v>10862</v>
      </c>
      <c r="Z228" s="98" t="s">
        <v>10891</v>
      </c>
      <c r="AA228" s="153" t="s">
        <v>10530</v>
      </c>
      <c r="AB228" s="91"/>
      <c r="AC228" s="91"/>
      <c r="AD228" s="91"/>
    </row>
    <row r="229" ht="15.75" hidden="1" customHeight="1" outlineLevel="1">
      <c r="A229" s="170" t="s">
        <v>10833</v>
      </c>
      <c r="B229" s="57" t="s">
        <v>77</v>
      </c>
      <c r="C229" s="51" t="s">
        <v>29</v>
      </c>
      <c r="D229" s="52" t="s">
        <v>78</v>
      </c>
      <c r="E229" s="53" t="s">
        <v>27</v>
      </c>
      <c r="F229" s="52" t="s">
        <v>4</v>
      </c>
      <c r="G229" s="52" t="s">
        <v>29</v>
      </c>
      <c r="H229" s="256" t="s">
        <v>10892</v>
      </c>
      <c r="I229" s="52" t="s">
        <v>29</v>
      </c>
      <c r="J229" s="257" t="s">
        <v>80</v>
      </c>
      <c r="K229" s="52" t="s">
        <v>27</v>
      </c>
      <c r="L229" s="56" t="s">
        <v>4</v>
      </c>
      <c r="M229" s="52" t="s">
        <v>35</v>
      </c>
      <c r="N229" s="54" t="s">
        <v>10500</v>
      </c>
      <c r="O229" s="55" t="str">
        <f t="shared" si="4"/>
        <v>L2.01.00.01.01.00</v>
      </c>
      <c r="P229" s="55" t="str">
        <f t="shared" si="8"/>
        <v>L2.01.00.01.01.00.03</v>
      </c>
      <c r="Q229" s="161" t="s">
        <v>10530</v>
      </c>
      <c r="R229" s="169" t="str">
        <f t="shared" si="9"/>
        <v>Ban giám đốc KD</v>
      </c>
      <c r="S229" s="227" t="s">
        <v>10893</v>
      </c>
      <c r="T229" s="96"/>
      <c r="U229" s="96"/>
      <c r="V229" s="96"/>
      <c r="W229" s="96"/>
      <c r="X229" s="96"/>
      <c r="Y229" s="97" t="s">
        <v>10894</v>
      </c>
      <c r="Z229" s="98" t="s">
        <v>10895</v>
      </c>
      <c r="AA229" s="153" t="s">
        <v>10530</v>
      </c>
      <c r="AB229" s="91"/>
      <c r="AC229" s="91"/>
      <c r="AD229" s="91"/>
    </row>
    <row r="230" ht="15.75" hidden="1" customHeight="1" outlineLevel="1">
      <c r="A230" s="170" t="s">
        <v>10833</v>
      </c>
      <c r="B230" s="57" t="s">
        <v>77</v>
      </c>
      <c r="C230" s="51" t="s">
        <v>29</v>
      </c>
      <c r="D230" s="52" t="s">
        <v>78</v>
      </c>
      <c r="E230" s="53" t="s">
        <v>27</v>
      </c>
      <c r="F230" s="52" t="s">
        <v>4</v>
      </c>
      <c r="G230" s="52" t="s">
        <v>29</v>
      </c>
      <c r="H230" s="256" t="s">
        <v>10892</v>
      </c>
      <c r="I230" s="250" t="s">
        <v>27</v>
      </c>
      <c r="J230" s="258" t="s">
        <v>4</v>
      </c>
      <c r="K230" s="52" t="s">
        <v>27</v>
      </c>
      <c r="L230" s="56" t="s">
        <v>4</v>
      </c>
      <c r="M230" s="52" t="s">
        <v>35</v>
      </c>
      <c r="N230" s="54" t="s">
        <v>10500</v>
      </c>
      <c r="O230" s="55" t="str">
        <f t="shared" si="4"/>
        <v>L2.01.00.01.00.00</v>
      </c>
      <c r="P230" s="55" t="str">
        <f t="shared" si="8"/>
        <v>L2.01.00.01.00.00.03</v>
      </c>
      <c r="Q230" s="161" t="s">
        <v>10530</v>
      </c>
      <c r="R230" s="169" t="str">
        <f t="shared" si="9"/>
        <v>Phòng KD Hành chính sự nghiệp - Đà Nẵng</v>
      </c>
      <c r="S230" s="97" t="s">
        <v>10837</v>
      </c>
      <c r="T230" s="96" t="s">
        <v>9177</v>
      </c>
      <c r="U230" s="96" t="s">
        <v>2811</v>
      </c>
      <c r="V230" s="96" t="s">
        <v>2797</v>
      </c>
      <c r="W230" s="96"/>
      <c r="X230" s="96"/>
      <c r="Y230" s="96"/>
      <c r="Z230" s="98" t="s">
        <v>10896</v>
      </c>
      <c r="AA230" s="153" t="s">
        <v>10530</v>
      </c>
      <c r="AB230" s="91"/>
      <c r="AC230" s="91"/>
      <c r="AD230" s="91"/>
    </row>
    <row r="231" ht="15.75" hidden="1" customHeight="1" outlineLevel="1">
      <c r="A231" s="170" t="s">
        <v>10833</v>
      </c>
      <c r="B231" s="57" t="s">
        <v>77</v>
      </c>
      <c r="C231" s="51" t="s">
        <v>29</v>
      </c>
      <c r="D231" s="52" t="s">
        <v>78</v>
      </c>
      <c r="E231" s="53" t="s">
        <v>27</v>
      </c>
      <c r="F231" s="52" t="s">
        <v>4</v>
      </c>
      <c r="G231" s="52" t="s">
        <v>29</v>
      </c>
      <c r="H231" s="256" t="s">
        <v>10892</v>
      </c>
      <c r="I231" s="52" t="s">
        <v>33</v>
      </c>
      <c r="J231" s="56" t="s">
        <v>81</v>
      </c>
      <c r="K231" s="52" t="s">
        <v>27</v>
      </c>
      <c r="L231" s="56" t="s">
        <v>4</v>
      </c>
      <c r="M231" s="52" t="s">
        <v>35</v>
      </c>
      <c r="N231" s="54" t="s">
        <v>10500</v>
      </c>
      <c r="O231" s="55" t="str">
        <f t="shared" si="4"/>
        <v>L2.01.00.01.02.00</v>
      </c>
      <c r="P231" s="55" t="str">
        <f t="shared" si="8"/>
        <v>L2.01.00.01.02.00.03</v>
      </c>
      <c r="Q231" s="161" t="s">
        <v>10530</v>
      </c>
      <c r="R231" s="169" t="str">
        <f t="shared" si="9"/>
        <v>Nhóm KD HCSN</v>
      </c>
      <c r="S231" s="227" t="s">
        <v>10893</v>
      </c>
      <c r="T231" s="96" t="s">
        <v>3069</v>
      </c>
      <c r="U231" s="96" t="s">
        <v>2811</v>
      </c>
      <c r="V231" s="96" t="s">
        <v>2797</v>
      </c>
      <c r="W231" s="96" t="s">
        <v>3068</v>
      </c>
      <c r="X231" s="96"/>
      <c r="Y231" s="96"/>
      <c r="Z231" s="98" t="s">
        <v>10897</v>
      </c>
      <c r="AA231" s="153" t="s">
        <v>10530</v>
      </c>
      <c r="AB231" s="91"/>
      <c r="AC231" s="91"/>
      <c r="AD231" s="91"/>
    </row>
    <row r="232" ht="15.75" hidden="1" customHeight="1" outlineLevel="1">
      <c r="A232" s="170" t="s">
        <v>10833</v>
      </c>
      <c r="B232" s="57" t="s">
        <v>77</v>
      </c>
      <c r="C232" s="51" t="s">
        <v>29</v>
      </c>
      <c r="D232" s="52" t="s">
        <v>78</v>
      </c>
      <c r="E232" s="53" t="s">
        <v>27</v>
      </c>
      <c r="F232" s="52" t="s">
        <v>4</v>
      </c>
      <c r="G232" s="52" t="s">
        <v>29</v>
      </c>
      <c r="H232" s="256" t="s">
        <v>10892</v>
      </c>
      <c r="I232" s="52" t="s">
        <v>35</v>
      </c>
      <c r="J232" s="56" t="s">
        <v>82</v>
      </c>
      <c r="K232" s="52" t="s">
        <v>27</v>
      </c>
      <c r="L232" s="56" t="s">
        <v>4</v>
      </c>
      <c r="M232" s="52" t="s">
        <v>35</v>
      </c>
      <c r="N232" s="54" t="s">
        <v>10500</v>
      </c>
      <c r="O232" s="55" t="str">
        <f t="shared" si="4"/>
        <v>L2.01.00.01.03.00</v>
      </c>
      <c r="P232" s="55" t="str">
        <f t="shared" si="8"/>
        <v>L2.01.00.01.03.00.03</v>
      </c>
      <c r="Q232" s="161" t="s">
        <v>10530</v>
      </c>
      <c r="R232" s="169" t="str">
        <f t="shared" si="9"/>
        <v>Nhóm Triển khai &amp; CSKH</v>
      </c>
      <c r="S232" s="227" t="s">
        <v>10893</v>
      </c>
      <c r="T232" s="96" t="s">
        <v>7533</v>
      </c>
      <c r="U232" s="96" t="s">
        <v>2811</v>
      </c>
      <c r="V232" s="96" t="s">
        <v>2797</v>
      </c>
      <c r="W232" s="96" t="s">
        <v>7532</v>
      </c>
      <c r="X232" s="96"/>
      <c r="Y232" s="96"/>
      <c r="Z232" s="98" t="s">
        <v>10898</v>
      </c>
      <c r="AA232" s="153" t="s">
        <v>10530</v>
      </c>
      <c r="AB232" s="91"/>
      <c r="AC232" s="91"/>
      <c r="AD232" s="91"/>
    </row>
    <row r="233" ht="15.75" hidden="1" customHeight="1" outlineLevel="1">
      <c r="A233" s="170" t="s">
        <v>10833</v>
      </c>
      <c r="B233" s="57" t="s">
        <v>77</v>
      </c>
      <c r="C233" s="51" t="s">
        <v>29</v>
      </c>
      <c r="D233" s="52" t="s">
        <v>78</v>
      </c>
      <c r="E233" s="53" t="s">
        <v>27</v>
      </c>
      <c r="F233" s="52" t="s">
        <v>4</v>
      </c>
      <c r="G233" s="52" t="s">
        <v>29</v>
      </c>
      <c r="H233" s="256" t="s">
        <v>10899</v>
      </c>
      <c r="I233" s="52" t="s">
        <v>29</v>
      </c>
      <c r="J233" s="159" t="s">
        <v>80</v>
      </c>
      <c r="K233" s="52" t="s">
        <v>27</v>
      </c>
      <c r="L233" s="56" t="s">
        <v>4</v>
      </c>
      <c r="M233" s="52" t="s">
        <v>37</v>
      </c>
      <c r="N233" s="256" t="s">
        <v>10900</v>
      </c>
      <c r="O233" s="55" t="str">
        <f t="shared" si="4"/>
        <v>L2.01.00.01.01.00</v>
      </c>
      <c r="P233" s="55" t="str">
        <f t="shared" si="8"/>
        <v>L2.01.00.01.01.00.04</v>
      </c>
      <c r="Q233" s="161" t="s">
        <v>10530</v>
      </c>
      <c r="R233" s="169" t="str">
        <f t="shared" si="9"/>
        <v>Ban giám đốc KD</v>
      </c>
      <c r="S233" s="227" t="s">
        <v>10901</v>
      </c>
      <c r="T233" s="96"/>
      <c r="U233" s="96"/>
      <c r="V233" s="96"/>
      <c r="W233" s="96"/>
      <c r="X233" s="96"/>
      <c r="Y233" s="97" t="s">
        <v>10894</v>
      </c>
      <c r="Z233" s="98" t="s">
        <v>10902</v>
      </c>
      <c r="AA233" s="153" t="s">
        <v>10530</v>
      </c>
      <c r="AB233" s="91"/>
      <c r="AC233" s="91"/>
      <c r="AD233" s="91"/>
    </row>
    <row r="234" ht="15.75" hidden="1" customHeight="1" outlineLevel="1">
      <c r="A234" s="170" t="s">
        <v>10833</v>
      </c>
      <c r="B234" s="57" t="s">
        <v>77</v>
      </c>
      <c r="C234" s="51" t="s">
        <v>29</v>
      </c>
      <c r="D234" s="52" t="s">
        <v>78</v>
      </c>
      <c r="E234" s="53" t="s">
        <v>27</v>
      </c>
      <c r="F234" s="52" t="s">
        <v>4</v>
      </c>
      <c r="G234" s="52" t="s">
        <v>29</v>
      </c>
      <c r="H234" s="256" t="s">
        <v>10899</v>
      </c>
      <c r="I234" s="52" t="s">
        <v>33</v>
      </c>
      <c r="J234" s="56" t="s">
        <v>81</v>
      </c>
      <c r="K234" s="52" t="s">
        <v>27</v>
      </c>
      <c r="L234" s="56" t="s">
        <v>4</v>
      </c>
      <c r="M234" s="52" t="s">
        <v>37</v>
      </c>
      <c r="N234" s="256" t="s">
        <v>10900</v>
      </c>
      <c r="O234" s="55" t="str">
        <f t="shared" si="4"/>
        <v>L2.01.00.01.02.00</v>
      </c>
      <c r="P234" s="55" t="str">
        <f t="shared" si="8"/>
        <v>L2.01.00.01.02.00.04</v>
      </c>
      <c r="Q234" s="161" t="s">
        <v>10530</v>
      </c>
      <c r="R234" s="169" t="str">
        <f t="shared" si="9"/>
        <v>Nhóm KD HCSN</v>
      </c>
      <c r="S234" s="227" t="s">
        <v>10901</v>
      </c>
      <c r="T234" s="96" t="s">
        <v>7439</v>
      </c>
      <c r="U234" s="96" t="s">
        <v>2732</v>
      </c>
      <c r="V234" s="96" t="s">
        <v>2797</v>
      </c>
      <c r="W234" s="96" t="s">
        <v>81</v>
      </c>
      <c r="X234" s="96"/>
      <c r="Y234" s="96"/>
      <c r="Z234" s="98" t="s">
        <v>10903</v>
      </c>
      <c r="AA234" s="153" t="s">
        <v>10530</v>
      </c>
      <c r="AB234" s="91"/>
      <c r="AC234" s="91"/>
      <c r="AD234" s="91"/>
    </row>
    <row r="235" ht="15.75" hidden="1" customHeight="1" outlineLevel="1">
      <c r="A235" s="170" t="s">
        <v>10833</v>
      </c>
      <c r="B235" s="57" t="s">
        <v>77</v>
      </c>
      <c r="C235" s="51" t="s">
        <v>29</v>
      </c>
      <c r="D235" s="52" t="s">
        <v>78</v>
      </c>
      <c r="E235" s="53" t="s">
        <v>27</v>
      </c>
      <c r="F235" s="52" t="s">
        <v>4</v>
      </c>
      <c r="G235" s="52" t="s">
        <v>29</v>
      </c>
      <c r="H235" s="256" t="s">
        <v>10899</v>
      </c>
      <c r="I235" s="250" t="s">
        <v>27</v>
      </c>
      <c r="J235" s="259" t="s">
        <v>4</v>
      </c>
      <c r="K235" s="52" t="s">
        <v>27</v>
      </c>
      <c r="L235" s="56" t="s">
        <v>4</v>
      </c>
      <c r="M235" s="52" t="s">
        <v>37</v>
      </c>
      <c r="N235" s="256" t="s">
        <v>10900</v>
      </c>
      <c r="O235" s="55" t="str">
        <f t="shared" si="4"/>
        <v>L2.01.00.01.00.00</v>
      </c>
      <c r="P235" s="55" t="str">
        <f t="shared" si="8"/>
        <v>L2.01.00.01.00.00.04</v>
      </c>
      <c r="Q235" s="161" t="s">
        <v>10530</v>
      </c>
      <c r="R235" s="169" t="str">
        <f t="shared" si="9"/>
        <v>Phòng KD Hành chính sự nghiệp - Buôn Ma Thuột</v>
      </c>
      <c r="S235" s="227" t="s">
        <v>10837</v>
      </c>
      <c r="T235" s="97" t="s">
        <v>10904</v>
      </c>
      <c r="U235" s="96" t="s">
        <v>2732</v>
      </c>
      <c r="V235" s="96" t="s">
        <v>2797</v>
      </c>
      <c r="W235" s="96" t="s">
        <v>2796</v>
      </c>
      <c r="X235" s="96"/>
      <c r="Y235" s="96"/>
      <c r="Z235" s="98" t="s">
        <v>10905</v>
      </c>
      <c r="AA235" s="153" t="s">
        <v>10530</v>
      </c>
      <c r="AB235" s="91"/>
      <c r="AC235" s="91"/>
      <c r="AD235" s="91"/>
    </row>
    <row r="236" ht="15.75" hidden="1" customHeight="1" outlineLevel="1">
      <c r="A236" s="170" t="s">
        <v>10833</v>
      </c>
      <c r="B236" s="57" t="s">
        <v>77</v>
      </c>
      <c r="C236" s="51" t="s">
        <v>29</v>
      </c>
      <c r="D236" s="52" t="s">
        <v>78</v>
      </c>
      <c r="E236" s="53" t="s">
        <v>27</v>
      </c>
      <c r="F236" s="52" t="s">
        <v>4</v>
      </c>
      <c r="G236" s="52" t="s">
        <v>29</v>
      </c>
      <c r="H236" s="256" t="s">
        <v>10899</v>
      </c>
      <c r="I236" s="52" t="s">
        <v>35</v>
      </c>
      <c r="J236" s="56" t="s">
        <v>82</v>
      </c>
      <c r="K236" s="52" t="s">
        <v>27</v>
      </c>
      <c r="L236" s="56" t="s">
        <v>4</v>
      </c>
      <c r="M236" s="52" t="s">
        <v>37</v>
      </c>
      <c r="N236" s="256" t="s">
        <v>10900</v>
      </c>
      <c r="O236" s="55" t="str">
        <f t="shared" si="4"/>
        <v>L2.01.00.01.03.00</v>
      </c>
      <c r="P236" s="55" t="str">
        <f t="shared" si="8"/>
        <v>L2.01.00.01.03.00.04</v>
      </c>
      <c r="Q236" s="161" t="s">
        <v>10530</v>
      </c>
      <c r="R236" s="169" t="str">
        <f t="shared" si="9"/>
        <v>Nhóm Triển khai &amp; CSKH</v>
      </c>
      <c r="S236" s="227" t="s">
        <v>10901</v>
      </c>
      <c r="T236" s="96" t="s">
        <v>2798</v>
      </c>
      <c r="U236" s="96" t="s">
        <v>2732</v>
      </c>
      <c r="V236" s="96" t="s">
        <v>2797</v>
      </c>
      <c r="W236" s="96" t="s">
        <v>2796</v>
      </c>
      <c r="X236" s="96"/>
      <c r="Y236" s="96"/>
      <c r="Z236" s="98" t="s">
        <v>10906</v>
      </c>
      <c r="AA236" s="153" t="s">
        <v>10530</v>
      </c>
      <c r="AB236" s="91"/>
      <c r="AC236" s="91"/>
      <c r="AD236" s="91"/>
    </row>
    <row r="237" ht="15.75" hidden="1" customHeight="1" outlineLevel="1">
      <c r="A237" s="170" t="s">
        <v>10833</v>
      </c>
      <c r="B237" s="57" t="s">
        <v>77</v>
      </c>
      <c r="C237" s="51" t="s">
        <v>29</v>
      </c>
      <c r="D237" s="52" t="s">
        <v>78</v>
      </c>
      <c r="E237" s="53" t="s">
        <v>27</v>
      </c>
      <c r="F237" s="52" t="s">
        <v>4</v>
      </c>
      <c r="G237" s="52" t="s">
        <v>29</v>
      </c>
      <c r="H237" s="256" t="s">
        <v>10907</v>
      </c>
      <c r="I237" s="52" t="s">
        <v>29</v>
      </c>
      <c r="J237" s="159" t="s">
        <v>80</v>
      </c>
      <c r="K237" s="52" t="s">
        <v>27</v>
      </c>
      <c r="L237" s="56" t="s">
        <v>4</v>
      </c>
      <c r="M237" s="52" t="s">
        <v>42</v>
      </c>
      <c r="N237" s="54" t="s">
        <v>10502</v>
      </c>
      <c r="O237" s="55" t="str">
        <f t="shared" si="4"/>
        <v>L2.01.00.01.01.00</v>
      </c>
      <c r="P237" s="55" t="str">
        <f t="shared" si="8"/>
        <v>L2.01.00.01.01.00.05</v>
      </c>
      <c r="Q237" s="161" t="s">
        <v>10530</v>
      </c>
      <c r="R237" s="169" t="str">
        <f t="shared" si="9"/>
        <v>Ban giám đốc KD</v>
      </c>
      <c r="S237" s="227" t="s">
        <v>10908</v>
      </c>
      <c r="T237" s="96"/>
      <c r="U237" s="96"/>
      <c r="V237" s="96"/>
      <c r="W237" s="96"/>
      <c r="X237" s="96"/>
      <c r="Y237" s="97" t="s">
        <v>10894</v>
      </c>
      <c r="Z237" s="98" t="s">
        <v>10909</v>
      </c>
      <c r="AA237" s="153" t="s">
        <v>10530</v>
      </c>
      <c r="AB237" s="91"/>
      <c r="AC237" s="91"/>
      <c r="AD237" s="91"/>
    </row>
    <row r="238" ht="15.75" hidden="1" customHeight="1" outlineLevel="1">
      <c r="A238" s="170" t="s">
        <v>10833</v>
      </c>
      <c r="B238" s="57" t="s">
        <v>77</v>
      </c>
      <c r="C238" s="51" t="s">
        <v>29</v>
      </c>
      <c r="D238" s="52" t="s">
        <v>78</v>
      </c>
      <c r="E238" s="53" t="s">
        <v>27</v>
      </c>
      <c r="F238" s="52" t="s">
        <v>4</v>
      </c>
      <c r="G238" s="52" t="s">
        <v>29</v>
      </c>
      <c r="H238" s="256" t="s">
        <v>10907</v>
      </c>
      <c r="I238" s="250" t="s">
        <v>27</v>
      </c>
      <c r="J238" s="260" t="s">
        <v>4</v>
      </c>
      <c r="K238" s="52" t="s">
        <v>27</v>
      </c>
      <c r="L238" s="56" t="s">
        <v>4</v>
      </c>
      <c r="M238" s="52" t="s">
        <v>42</v>
      </c>
      <c r="N238" s="54" t="s">
        <v>10502</v>
      </c>
      <c r="O238" s="55" t="str">
        <f t="shared" si="4"/>
        <v>L2.01.00.01.00.00</v>
      </c>
      <c r="P238" s="55" t="str">
        <f t="shared" si="8"/>
        <v>L2.01.00.01.00.00.05</v>
      </c>
      <c r="Q238" s="161" t="s">
        <v>10530</v>
      </c>
      <c r="R238" s="169" t="str">
        <f t="shared" si="9"/>
        <v>Phòng KD Hành chính sự nghiệp - Cần Thơ</v>
      </c>
      <c r="S238" s="227" t="s">
        <v>10837</v>
      </c>
      <c r="T238" s="96" t="s">
        <v>9621</v>
      </c>
      <c r="U238" s="96" t="s">
        <v>325</v>
      </c>
      <c r="V238" s="96" t="s">
        <v>2797</v>
      </c>
      <c r="W238" s="96"/>
      <c r="X238" s="96"/>
      <c r="Y238" s="96"/>
      <c r="Z238" s="98" t="s">
        <v>10910</v>
      </c>
      <c r="AA238" s="153" t="s">
        <v>10530</v>
      </c>
      <c r="AB238" s="91"/>
      <c r="AC238" s="91"/>
      <c r="AD238" s="91"/>
    </row>
    <row r="239" ht="15.75" hidden="1" customHeight="1" outlineLevel="1">
      <c r="A239" s="170" t="s">
        <v>10833</v>
      </c>
      <c r="B239" s="57" t="s">
        <v>77</v>
      </c>
      <c r="C239" s="51" t="s">
        <v>29</v>
      </c>
      <c r="D239" s="52" t="s">
        <v>78</v>
      </c>
      <c r="E239" s="53" t="s">
        <v>27</v>
      </c>
      <c r="F239" s="52" t="s">
        <v>4</v>
      </c>
      <c r="G239" s="52" t="s">
        <v>29</v>
      </c>
      <c r="H239" s="256" t="s">
        <v>10907</v>
      </c>
      <c r="I239" s="52" t="s">
        <v>33</v>
      </c>
      <c r="J239" s="56" t="s">
        <v>81</v>
      </c>
      <c r="K239" s="52" t="s">
        <v>27</v>
      </c>
      <c r="L239" s="56" t="s">
        <v>4</v>
      </c>
      <c r="M239" s="52" t="s">
        <v>42</v>
      </c>
      <c r="N239" s="54" t="s">
        <v>10502</v>
      </c>
      <c r="O239" s="55" t="str">
        <f t="shared" si="4"/>
        <v>L2.01.00.01.02.00</v>
      </c>
      <c r="P239" s="55" t="str">
        <f t="shared" si="8"/>
        <v>L2.01.00.01.02.00.05</v>
      </c>
      <c r="Q239" s="161" t="s">
        <v>10530</v>
      </c>
      <c r="R239" s="169" t="str">
        <f t="shared" si="9"/>
        <v>Nhóm KD HCSN</v>
      </c>
      <c r="S239" s="227" t="s">
        <v>10908</v>
      </c>
      <c r="T239" s="96" t="s">
        <v>3589</v>
      </c>
      <c r="U239" s="96" t="s">
        <v>325</v>
      </c>
      <c r="V239" s="96" t="s">
        <v>2797</v>
      </c>
      <c r="W239" s="96" t="s">
        <v>3588</v>
      </c>
      <c r="X239" s="96"/>
      <c r="Y239" s="96"/>
      <c r="Z239" s="98" t="s">
        <v>10909</v>
      </c>
      <c r="AA239" s="153" t="s">
        <v>10530</v>
      </c>
      <c r="AB239" s="91"/>
      <c r="AC239" s="91"/>
      <c r="AD239" s="91"/>
    </row>
    <row r="240" ht="15.75" hidden="1" customHeight="1" outlineLevel="1">
      <c r="A240" s="170" t="s">
        <v>10833</v>
      </c>
      <c r="B240" s="57" t="s">
        <v>77</v>
      </c>
      <c r="C240" s="51" t="s">
        <v>29</v>
      </c>
      <c r="D240" s="52" t="s">
        <v>78</v>
      </c>
      <c r="E240" s="53" t="s">
        <v>27</v>
      </c>
      <c r="F240" s="52" t="s">
        <v>4</v>
      </c>
      <c r="G240" s="52" t="s">
        <v>29</v>
      </c>
      <c r="H240" s="256" t="s">
        <v>10907</v>
      </c>
      <c r="I240" s="52" t="s">
        <v>35</v>
      </c>
      <c r="J240" s="56" t="s">
        <v>82</v>
      </c>
      <c r="K240" s="52" t="s">
        <v>27</v>
      </c>
      <c r="L240" s="56" t="s">
        <v>4</v>
      </c>
      <c r="M240" s="52" t="s">
        <v>42</v>
      </c>
      <c r="N240" s="54" t="s">
        <v>10502</v>
      </c>
      <c r="O240" s="55" t="str">
        <f t="shared" si="4"/>
        <v>L2.01.00.01.03.00</v>
      </c>
      <c r="P240" s="55" t="str">
        <f t="shared" si="8"/>
        <v>L2.01.00.01.03.00.05</v>
      </c>
      <c r="Q240" s="161" t="s">
        <v>10530</v>
      </c>
      <c r="R240" s="169" t="str">
        <f t="shared" si="9"/>
        <v>Nhóm Triển khai &amp; CSKH</v>
      </c>
      <c r="S240" s="227" t="s">
        <v>10908</v>
      </c>
      <c r="T240" s="96" t="s">
        <v>7299</v>
      </c>
      <c r="U240" s="96" t="s">
        <v>325</v>
      </c>
      <c r="V240" s="96" t="s">
        <v>2797</v>
      </c>
      <c r="W240" s="96" t="s">
        <v>7298</v>
      </c>
      <c r="X240" s="96"/>
      <c r="Y240" s="96"/>
      <c r="Z240" s="98" t="s">
        <v>10911</v>
      </c>
      <c r="AA240" s="153" t="s">
        <v>10530</v>
      </c>
      <c r="AB240" s="91"/>
      <c r="AC240" s="91"/>
      <c r="AD240" s="91"/>
    </row>
    <row r="241" ht="15.75" customHeight="1" collapsed="1">
      <c r="A241" s="233" t="s">
        <v>10912</v>
      </c>
      <c r="B241" s="47"/>
      <c r="C241" s="47"/>
      <c r="D241" s="47"/>
      <c r="E241" s="47"/>
      <c r="F241" s="47"/>
      <c r="G241" s="48"/>
      <c r="H241" s="49"/>
      <c r="I241" s="48"/>
      <c r="J241" s="48"/>
      <c r="K241" s="48"/>
      <c r="L241" s="48"/>
      <c r="M241" s="48"/>
      <c r="N241" s="49"/>
      <c r="O241" s="55" t="str">
        <f t="shared" si="4"/>
        <v>Khối kinh doanh thị trường Doanh nghiệp.....</v>
      </c>
      <c r="P241" s="48"/>
      <c r="Q241" s="169"/>
      <c r="R241" s="169" t="str">
        <f t="shared" si="9"/>
        <v/>
      </c>
      <c r="S241" s="96"/>
      <c r="T241" s="96"/>
      <c r="U241" s="96"/>
      <c r="V241" s="96"/>
      <c r="W241" s="96"/>
      <c r="X241" s="96"/>
      <c r="Y241" s="96"/>
      <c r="Z241" s="152"/>
      <c r="AA241" s="99"/>
      <c r="AB241" s="91"/>
      <c r="AC241" s="91"/>
      <c r="AD241" s="91"/>
    </row>
    <row r="242" ht="15.75" hidden="1" customHeight="1" outlineLevel="1">
      <c r="A242" s="261" t="s">
        <v>10833</v>
      </c>
      <c r="B242" s="231" t="s">
        <v>77</v>
      </c>
      <c r="C242" s="157" t="s">
        <v>33</v>
      </c>
      <c r="D242" s="157" t="s">
        <v>89</v>
      </c>
      <c r="E242" s="168" t="s">
        <v>27</v>
      </c>
      <c r="F242" s="168" t="s">
        <v>4</v>
      </c>
      <c r="G242" s="168" t="s">
        <v>27</v>
      </c>
      <c r="H242" s="262" t="s">
        <v>4</v>
      </c>
      <c r="I242" s="157" t="s">
        <v>27</v>
      </c>
      <c r="J242" s="156" t="s">
        <v>4</v>
      </c>
      <c r="K242" s="157" t="s">
        <v>27</v>
      </c>
      <c r="L242" s="156" t="s">
        <v>4</v>
      </c>
      <c r="M242" s="168" t="s">
        <v>27</v>
      </c>
      <c r="N242" s="167"/>
      <c r="O242" s="55" t="str">
        <f t="shared" si="4"/>
        <v>L2.02.00.00.00.00</v>
      </c>
      <c r="P242" s="257" t="str">
        <f>A242&amp;"."&amp;C242&amp;"."&amp;E242&amp;"."&amp;G242&amp;"."&amp;I242&amp;"."&amp;K242&amp;"."&amp;M242</f>
        <v>L2.02.00.00.00.00.00</v>
      </c>
      <c r="Q242" s="161" t="s">
        <v>10530</v>
      </c>
      <c r="R242" s="263" t="s">
        <v>10913</v>
      </c>
      <c r="S242" s="264" t="s">
        <v>22</v>
      </c>
      <c r="T242" s="265"/>
      <c r="U242" s="265"/>
      <c r="V242" s="265"/>
      <c r="W242" s="265"/>
      <c r="X242" s="265"/>
      <c r="Y242" s="264" t="s">
        <v>10894</v>
      </c>
      <c r="Z242" s="225" t="s">
        <v>89</v>
      </c>
      <c r="AA242" s="266"/>
      <c r="AB242" s="267"/>
      <c r="AC242" s="267"/>
      <c r="AD242" s="267"/>
    </row>
    <row r="243" ht="15.75" customHeight="1" collapsed="1">
      <c r="A243" s="268" t="s">
        <v>10914</v>
      </c>
      <c r="B243" s="66"/>
      <c r="C243" s="66"/>
      <c r="D243" s="66"/>
      <c r="E243" s="67"/>
      <c r="F243" s="66"/>
      <c r="G243" s="66"/>
      <c r="H243" s="68"/>
      <c r="I243" s="66"/>
      <c r="J243" s="69"/>
      <c r="K243" s="66"/>
      <c r="L243" s="68"/>
      <c r="M243" s="66"/>
      <c r="N243" s="68"/>
      <c r="O243" s="55" t="str">
        <f t="shared" si="4"/>
        <v>Khối giải pháp bán lẻ.....</v>
      </c>
      <c r="P243" s="69"/>
      <c r="Q243" s="169"/>
      <c r="R243" s="169" t="str">
        <f>if(L243&lt;&gt;"-",L243,if(AND(L243="-",J243&lt;&gt;"-"),J243,if(AND(J243="-",H243&lt;&gt;"-"),H243,"NA")))</f>
        <v/>
      </c>
      <c r="S243" s="96"/>
      <c r="T243" s="96"/>
      <c r="U243" s="96"/>
      <c r="V243" s="96"/>
      <c r="W243" s="96"/>
      <c r="X243" s="96"/>
      <c r="Y243" s="96"/>
      <c r="Z243" s="152"/>
      <c r="AA243" s="99"/>
      <c r="AB243" s="91"/>
      <c r="AC243" s="91"/>
      <c r="AD243" s="91"/>
    </row>
    <row r="244" ht="15.75" hidden="1" customHeight="1" outlineLevel="1">
      <c r="A244" s="261" t="s">
        <v>10833</v>
      </c>
      <c r="B244" s="231" t="s">
        <v>77</v>
      </c>
      <c r="C244" s="157" t="s">
        <v>33</v>
      </c>
      <c r="D244" s="157" t="s">
        <v>89</v>
      </c>
      <c r="E244" s="168" t="s">
        <v>29</v>
      </c>
      <c r="F244" s="157" t="s">
        <v>90</v>
      </c>
      <c r="G244" s="168" t="s">
        <v>27</v>
      </c>
      <c r="H244" s="262" t="s">
        <v>4</v>
      </c>
      <c r="I244" s="157" t="s">
        <v>27</v>
      </c>
      <c r="J244" s="156" t="s">
        <v>4</v>
      </c>
      <c r="K244" s="157" t="s">
        <v>27</v>
      </c>
      <c r="L244" s="156" t="s">
        <v>4</v>
      </c>
      <c r="M244" s="168" t="s">
        <v>27</v>
      </c>
      <c r="N244" s="167"/>
      <c r="O244" s="55" t="str">
        <f t="shared" si="4"/>
        <v>L2.02.01.00.00.00</v>
      </c>
      <c r="P244" s="257" t="str">
        <f t="shared" ref="P244:P281" si="10">A244&amp;"."&amp;C244&amp;"."&amp;E244&amp;"."&amp;G244&amp;"."&amp;I244&amp;"."&amp;K244&amp;"."&amp;M244</f>
        <v>L2.02.01.00.00.00.00</v>
      </c>
      <c r="Q244" s="161" t="s">
        <v>10530</v>
      </c>
      <c r="R244" s="263" t="s">
        <v>10915</v>
      </c>
      <c r="S244" s="269" t="s">
        <v>10916</v>
      </c>
      <c r="T244" s="265"/>
      <c r="U244" s="265"/>
      <c r="V244" s="265"/>
      <c r="W244" s="265"/>
      <c r="X244" s="265"/>
      <c r="Y244" s="265"/>
      <c r="Z244" s="225" t="s">
        <v>10917</v>
      </c>
      <c r="AA244" s="266"/>
      <c r="AB244" s="267"/>
      <c r="AC244" s="267"/>
      <c r="AD244" s="267"/>
    </row>
    <row r="245" ht="15.75" hidden="1" customHeight="1" outlineLevel="1">
      <c r="A245" s="228" t="s">
        <v>10833</v>
      </c>
      <c r="B245" s="270" t="s">
        <v>77</v>
      </c>
      <c r="C245" s="209" t="s">
        <v>33</v>
      </c>
      <c r="D245" s="209" t="s">
        <v>89</v>
      </c>
      <c r="E245" s="271" t="s">
        <v>29</v>
      </c>
      <c r="F245" s="209" t="s">
        <v>90</v>
      </c>
      <c r="G245" s="209" t="s">
        <v>29</v>
      </c>
      <c r="H245" s="212" t="s">
        <v>10918</v>
      </c>
      <c r="I245" s="209" t="s">
        <v>27</v>
      </c>
      <c r="J245" s="210" t="s">
        <v>4</v>
      </c>
      <c r="K245" s="209" t="s">
        <v>27</v>
      </c>
      <c r="L245" s="210" t="s">
        <v>4</v>
      </c>
      <c r="M245" s="182" t="s">
        <v>27</v>
      </c>
      <c r="N245" s="181"/>
      <c r="O245" s="58" t="str">
        <f t="shared" si="4"/>
        <v>L2.02.01.01.00.00</v>
      </c>
      <c r="P245" s="272" t="str">
        <f t="shared" si="10"/>
        <v>L2.02.01.01.00.00.00</v>
      </c>
      <c r="Q245" s="185" t="s">
        <v>10530</v>
      </c>
      <c r="R245" s="273" t="str">
        <f t="shared" ref="R245:R282" si="11">if(L245&lt;&gt;"-",L245,if(AND(L245="-",J245&lt;&gt;"-"),J245,if(AND(J245="-",H245&lt;&gt;"-"),H245,"NA")))</f>
        <v>Ban giám đốc khối Giải pháp bán lẻ</v>
      </c>
      <c r="S245" s="274" t="s">
        <v>10919</v>
      </c>
      <c r="T245" s="183"/>
      <c r="U245" s="183"/>
      <c r="V245" s="183"/>
      <c r="W245" s="183"/>
      <c r="X245" s="183"/>
      <c r="Y245" s="184" t="s">
        <v>10894</v>
      </c>
      <c r="Z245" s="275" t="s">
        <v>10920</v>
      </c>
      <c r="AA245" s="276"/>
      <c r="AB245" s="277"/>
      <c r="AC245" s="277"/>
      <c r="AD245" s="277"/>
    </row>
    <row r="246" ht="15.75" hidden="1" customHeight="1" outlineLevel="1">
      <c r="A246" s="278" t="s">
        <v>10833</v>
      </c>
      <c r="B246" s="279" t="s">
        <v>77</v>
      </c>
      <c r="C246" s="279" t="s">
        <v>33</v>
      </c>
      <c r="D246" s="280" t="s">
        <v>89</v>
      </c>
      <c r="E246" s="281" t="s">
        <v>29</v>
      </c>
      <c r="F246" s="280" t="s">
        <v>90</v>
      </c>
      <c r="G246" s="280" t="s">
        <v>33</v>
      </c>
      <c r="H246" s="282" t="s">
        <v>10921</v>
      </c>
      <c r="I246" s="283" t="s">
        <v>27</v>
      </c>
      <c r="J246" s="284" t="s">
        <v>4</v>
      </c>
      <c r="K246" s="280" t="s">
        <v>27</v>
      </c>
      <c r="L246" s="285" t="s">
        <v>4</v>
      </c>
      <c r="M246" s="280" t="s">
        <v>27</v>
      </c>
      <c r="N246" s="286"/>
      <c r="O246" s="287" t="str">
        <f t="shared" si="4"/>
        <v>L2.02.01.02.00.00</v>
      </c>
      <c r="P246" s="287" t="str">
        <f t="shared" si="10"/>
        <v>L2.02.01.02.00.00.00</v>
      </c>
      <c r="Q246" s="288" t="s">
        <v>10530</v>
      </c>
      <c r="R246" s="289" t="str">
        <f t="shared" si="11"/>
        <v>Khối KD bán mới Giải pháp bán lẻ</v>
      </c>
      <c r="S246" s="290" t="s">
        <v>10919</v>
      </c>
      <c r="T246" s="291"/>
      <c r="U246" s="292"/>
      <c r="V246" s="292"/>
      <c r="W246" s="292"/>
      <c r="X246" s="292"/>
      <c r="Y246" s="292"/>
      <c r="Z246" s="293"/>
      <c r="AA246" s="294" t="s">
        <v>10530</v>
      </c>
      <c r="AB246" s="295"/>
      <c r="AC246" s="295"/>
      <c r="AD246" s="296"/>
    </row>
    <row r="247" ht="15.75" hidden="1" customHeight="1" outlineLevel="1">
      <c r="A247" s="261" t="s">
        <v>10833</v>
      </c>
      <c r="B247" s="231" t="s">
        <v>77</v>
      </c>
      <c r="C247" s="231" t="s">
        <v>33</v>
      </c>
      <c r="D247" s="157" t="s">
        <v>89</v>
      </c>
      <c r="E247" s="297" t="s">
        <v>29</v>
      </c>
      <c r="F247" s="157" t="s">
        <v>90</v>
      </c>
      <c r="G247" s="157" t="s">
        <v>33</v>
      </c>
      <c r="H247" s="298" t="s">
        <v>10922</v>
      </c>
      <c r="I247" s="168" t="s">
        <v>27</v>
      </c>
      <c r="J247" s="258" t="s">
        <v>4</v>
      </c>
      <c r="K247" s="157" t="s">
        <v>27</v>
      </c>
      <c r="L247" s="156" t="s">
        <v>4</v>
      </c>
      <c r="M247" s="157" t="s">
        <v>29</v>
      </c>
      <c r="N247" s="167" t="s">
        <v>10498</v>
      </c>
      <c r="O247" s="55" t="str">
        <f t="shared" si="4"/>
        <v>L2.02.01.02.00.00</v>
      </c>
      <c r="P247" s="257" t="str">
        <f t="shared" si="10"/>
        <v>L2.02.01.02.00.00.01</v>
      </c>
      <c r="Q247" s="161" t="s">
        <v>10530</v>
      </c>
      <c r="R247" s="299" t="str">
        <f t="shared" si="11"/>
        <v>Trung tâm KD Giải pháp bán lẻ - Hà Nội</v>
      </c>
      <c r="S247" s="274" t="s">
        <v>10923</v>
      </c>
      <c r="T247" s="264" t="s">
        <v>10924</v>
      </c>
      <c r="U247" s="265" t="s">
        <v>346</v>
      </c>
      <c r="V247" s="265" t="s">
        <v>93</v>
      </c>
      <c r="W247" s="265" t="s">
        <v>94</v>
      </c>
      <c r="X247" s="265"/>
      <c r="Y247" s="265"/>
      <c r="Z247" s="225" t="s">
        <v>10925</v>
      </c>
      <c r="AA247" s="300" t="s">
        <v>10530</v>
      </c>
      <c r="AB247" s="267"/>
      <c r="AC247" s="267"/>
      <c r="AD247" s="267"/>
    </row>
    <row r="248" ht="15.75" hidden="1" customHeight="1" outlineLevel="1">
      <c r="A248" s="261" t="s">
        <v>10833</v>
      </c>
      <c r="B248" s="231" t="s">
        <v>77</v>
      </c>
      <c r="C248" s="231" t="s">
        <v>33</v>
      </c>
      <c r="D248" s="157" t="s">
        <v>89</v>
      </c>
      <c r="E248" s="297" t="s">
        <v>29</v>
      </c>
      <c r="F248" s="157" t="s">
        <v>90</v>
      </c>
      <c r="G248" s="157" t="s">
        <v>33</v>
      </c>
      <c r="H248" s="298" t="s">
        <v>10922</v>
      </c>
      <c r="I248" s="157" t="s">
        <v>29</v>
      </c>
      <c r="J248" s="301" t="s">
        <v>10926</v>
      </c>
      <c r="K248" s="157" t="s">
        <v>27</v>
      </c>
      <c r="L248" s="156" t="s">
        <v>4</v>
      </c>
      <c r="M248" s="157" t="s">
        <v>29</v>
      </c>
      <c r="N248" s="167" t="s">
        <v>10498</v>
      </c>
      <c r="O248" s="55" t="str">
        <f t="shared" si="4"/>
        <v>L2.02.01.02.01.00</v>
      </c>
      <c r="P248" s="257" t="str">
        <f t="shared" si="10"/>
        <v>L2.02.01.02.01.00.01</v>
      </c>
      <c r="Q248" s="161" t="s">
        <v>10530</v>
      </c>
      <c r="R248" s="299" t="str">
        <f t="shared" si="11"/>
        <v>Ban giám đốc TTKD Giải pháp bán lẻ</v>
      </c>
      <c r="S248" s="269" t="s">
        <v>10927</v>
      </c>
      <c r="T248" s="265" t="s">
        <v>1626</v>
      </c>
      <c r="U248" s="265" t="s">
        <v>346</v>
      </c>
      <c r="V248" s="265" t="s">
        <v>93</v>
      </c>
      <c r="W248" s="265" t="s">
        <v>94</v>
      </c>
      <c r="X248" s="265"/>
      <c r="Y248" s="265"/>
      <c r="Z248" s="225" t="s">
        <v>10928</v>
      </c>
      <c r="AA248" s="300" t="s">
        <v>10530</v>
      </c>
      <c r="AB248" s="267"/>
      <c r="AC248" s="267"/>
      <c r="AD248" s="267"/>
    </row>
    <row r="249" ht="15.75" hidden="1" customHeight="1" outlineLevel="1">
      <c r="A249" s="261" t="s">
        <v>10833</v>
      </c>
      <c r="B249" s="231" t="s">
        <v>77</v>
      </c>
      <c r="C249" s="231" t="s">
        <v>33</v>
      </c>
      <c r="D249" s="157" t="s">
        <v>89</v>
      </c>
      <c r="E249" s="297" t="s">
        <v>29</v>
      </c>
      <c r="F249" s="157" t="s">
        <v>90</v>
      </c>
      <c r="G249" s="157" t="s">
        <v>33</v>
      </c>
      <c r="H249" s="298" t="s">
        <v>10922</v>
      </c>
      <c r="I249" s="157" t="s">
        <v>33</v>
      </c>
      <c r="J249" s="301" t="s">
        <v>10929</v>
      </c>
      <c r="K249" s="157" t="s">
        <v>27</v>
      </c>
      <c r="L249" s="156" t="s">
        <v>4</v>
      </c>
      <c r="M249" s="157" t="s">
        <v>29</v>
      </c>
      <c r="N249" s="167" t="s">
        <v>10498</v>
      </c>
      <c r="O249" s="55" t="str">
        <f t="shared" si="4"/>
        <v>L2.02.01.02.02.00</v>
      </c>
      <c r="P249" s="257" t="str">
        <f t="shared" si="10"/>
        <v>L2.02.01.02.02.00.01</v>
      </c>
      <c r="Q249" s="161" t="s">
        <v>10530</v>
      </c>
      <c r="R249" s="299" t="str">
        <f t="shared" si="11"/>
        <v>Phòng KD bán mới MISA CUKCUK</v>
      </c>
      <c r="S249" s="269" t="s">
        <v>10927</v>
      </c>
      <c r="T249" s="31" t="s">
        <v>10930</v>
      </c>
      <c r="U249" s="265" t="s">
        <v>346</v>
      </c>
      <c r="V249" s="265" t="s">
        <v>93</v>
      </c>
      <c r="W249" s="302" t="s">
        <v>903</v>
      </c>
      <c r="X249" s="265"/>
      <c r="Y249" s="265"/>
      <c r="Z249" s="225" t="s">
        <v>10931</v>
      </c>
      <c r="AA249" s="300" t="s">
        <v>10530</v>
      </c>
      <c r="AB249" s="267"/>
      <c r="AC249" s="267"/>
      <c r="AD249" s="267"/>
    </row>
    <row r="250" ht="15.75" hidden="1" customHeight="1" outlineLevel="1">
      <c r="A250" s="261" t="s">
        <v>10833</v>
      </c>
      <c r="B250" s="231" t="s">
        <v>77</v>
      </c>
      <c r="C250" s="231" t="s">
        <v>33</v>
      </c>
      <c r="D250" s="157" t="s">
        <v>89</v>
      </c>
      <c r="E250" s="297" t="s">
        <v>29</v>
      </c>
      <c r="F250" s="157" t="s">
        <v>90</v>
      </c>
      <c r="G250" s="157" t="s">
        <v>33</v>
      </c>
      <c r="H250" s="298" t="s">
        <v>10922</v>
      </c>
      <c r="I250" s="157" t="s">
        <v>33</v>
      </c>
      <c r="J250" s="301" t="s">
        <v>10929</v>
      </c>
      <c r="K250" s="157" t="s">
        <v>29</v>
      </c>
      <c r="L250" s="265" t="s">
        <v>902</v>
      </c>
      <c r="M250" s="157" t="s">
        <v>29</v>
      </c>
      <c r="N250" s="167" t="s">
        <v>10498</v>
      </c>
      <c r="O250" s="55" t="str">
        <f t="shared" si="4"/>
        <v>L2.02.01.02.02.01</v>
      </c>
      <c r="P250" s="257" t="str">
        <f t="shared" si="10"/>
        <v>L2.02.01.02.02.01.01</v>
      </c>
      <c r="Q250" s="161" t="s">
        <v>10530</v>
      </c>
      <c r="R250" s="299" t="str">
        <f t="shared" si="11"/>
        <v>Phòng KD bán mới CUKCUK 1</v>
      </c>
      <c r="S250" s="269" t="s">
        <v>10932</v>
      </c>
      <c r="T250" s="265" t="s">
        <v>904</v>
      </c>
      <c r="U250" s="265" t="s">
        <v>346</v>
      </c>
      <c r="V250" s="265" t="s">
        <v>93</v>
      </c>
      <c r="W250" s="265" t="s">
        <v>903</v>
      </c>
      <c r="X250" s="265" t="s">
        <v>902</v>
      </c>
      <c r="Y250" s="265"/>
      <c r="Z250" s="225" t="s">
        <v>10933</v>
      </c>
      <c r="AA250" s="300" t="s">
        <v>10530</v>
      </c>
      <c r="AB250" s="267"/>
      <c r="AC250" s="267"/>
      <c r="AD250" s="267"/>
    </row>
    <row r="251" ht="15.75" hidden="1" customHeight="1" outlineLevel="1">
      <c r="A251" s="261" t="s">
        <v>10833</v>
      </c>
      <c r="B251" s="231" t="s">
        <v>77</v>
      </c>
      <c r="C251" s="231" t="s">
        <v>33</v>
      </c>
      <c r="D251" s="157" t="s">
        <v>89</v>
      </c>
      <c r="E251" s="297" t="s">
        <v>29</v>
      </c>
      <c r="F251" s="157" t="s">
        <v>90</v>
      </c>
      <c r="G251" s="157" t="s">
        <v>33</v>
      </c>
      <c r="H251" s="298" t="s">
        <v>10922</v>
      </c>
      <c r="I251" s="157" t="s">
        <v>33</v>
      </c>
      <c r="J251" s="301" t="s">
        <v>10929</v>
      </c>
      <c r="K251" s="157" t="s">
        <v>33</v>
      </c>
      <c r="L251" s="265" t="s">
        <v>914</v>
      </c>
      <c r="M251" s="157" t="s">
        <v>29</v>
      </c>
      <c r="N251" s="167" t="s">
        <v>10498</v>
      </c>
      <c r="O251" s="55" t="str">
        <f t="shared" si="4"/>
        <v>L2.02.01.02.02.02</v>
      </c>
      <c r="P251" s="257" t="str">
        <f t="shared" si="10"/>
        <v>L2.02.01.02.02.02.01</v>
      </c>
      <c r="Q251" s="161" t="s">
        <v>10530</v>
      </c>
      <c r="R251" s="299" t="str">
        <f t="shared" si="11"/>
        <v>Phòng KD bán mới CUKCUK 3</v>
      </c>
      <c r="S251" s="269" t="s">
        <v>10932</v>
      </c>
      <c r="T251" s="265" t="s">
        <v>915</v>
      </c>
      <c r="U251" s="265" t="s">
        <v>346</v>
      </c>
      <c r="V251" s="265" t="s">
        <v>93</v>
      </c>
      <c r="W251" s="265" t="s">
        <v>903</v>
      </c>
      <c r="X251" s="265" t="s">
        <v>914</v>
      </c>
      <c r="Y251" s="265"/>
      <c r="Z251" s="225" t="s">
        <v>10934</v>
      </c>
      <c r="AA251" s="300" t="s">
        <v>10530</v>
      </c>
      <c r="AB251" s="267"/>
      <c r="AC251" s="267"/>
      <c r="AD251" s="267"/>
    </row>
    <row r="252" ht="15.75" hidden="1" customHeight="1" outlineLevel="1">
      <c r="A252" s="261" t="s">
        <v>10833</v>
      </c>
      <c r="B252" s="231" t="s">
        <v>77</v>
      </c>
      <c r="C252" s="231" t="s">
        <v>33</v>
      </c>
      <c r="D252" s="157" t="s">
        <v>89</v>
      </c>
      <c r="E252" s="297" t="s">
        <v>29</v>
      </c>
      <c r="F252" s="157" t="s">
        <v>90</v>
      </c>
      <c r="G252" s="157" t="s">
        <v>33</v>
      </c>
      <c r="H252" s="298" t="s">
        <v>10922</v>
      </c>
      <c r="I252" s="157" t="s">
        <v>35</v>
      </c>
      <c r="J252" s="301" t="s">
        <v>10935</v>
      </c>
      <c r="K252" s="157" t="s">
        <v>27</v>
      </c>
      <c r="L252" s="156" t="s">
        <v>4</v>
      </c>
      <c r="M252" s="157" t="s">
        <v>29</v>
      </c>
      <c r="N252" s="167" t="s">
        <v>10498</v>
      </c>
      <c r="O252" s="55" t="str">
        <f t="shared" si="4"/>
        <v>L2.02.01.02.03.00</v>
      </c>
      <c r="P252" s="257" t="str">
        <f t="shared" si="10"/>
        <v>L2.02.01.02.03.00.01</v>
      </c>
      <c r="Q252" s="161" t="s">
        <v>10530</v>
      </c>
      <c r="R252" s="299" t="str">
        <f t="shared" si="11"/>
        <v>Phòng KD bán mới MISA ESHOP</v>
      </c>
      <c r="S252" s="269" t="s">
        <v>10927</v>
      </c>
      <c r="T252" s="31" t="s">
        <v>10936</v>
      </c>
      <c r="U252" s="265" t="s">
        <v>346</v>
      </c>
      <c r="V252" s="265" t="s">
        <v>93</v>
      </c>
      <c r="W252" s="302" t="s">
        <v>366</v>
      </c>
      <c r="X252" s="265"/>
      <c r="Y252" s="265"/>
      <c r="Z252" s="225" t="s">
        <v>10937</v>
      </c>
      <c r="AA252" s="300" t="s">
        <v>10530</v>
      </c>
      <c r="AB252" s="267"/>
      <c r="AC252" s="267"/>
      <c r="AD252" s="267"/>
    </row>
    <row r="253" ht="15.75" hidden="1" customHeight="1" outlineLevel="1">
      <c r="A253" s="261" t="s">
        <v>10833</v>
      </c>
      <c r="B253" s="231" t="s">
        <v>77</v>
      </c>
      <c r="C253" s="231" t="s">
        <v>33</v>
      </c>
      <c r="D253" s="157" t="s">
        <v>89</v>
      </c>
      <c r="E253" s="297" t="s">
        <v>29</v>
      </c>
      <c r="F253" s="157" t="s">
        <v>90</v>
      </c>
      <c r="G253" s="157" t="s">
        <v>33</v>
      </c>
      <c r="H253" s="298" t="s">
        <v>10922</v>
      </c>
      <c r="I253" s="157" t="s">
        <v>35</v>
      </c>
      <c r="J253" s="301" t="s">
        <v>10935</v>
      </c>
      <c r="K253" s="157" t="s">
        <v>29</v>
      </c>
      <c r="L253" s="301" t="s">
        <v>10938</v>
      </c>
      <c r="M253" s="157" t="s">
        <v>29</v>
      </c>
      <c r="N253" s="167" t="s">
        <v>10498</v>
      </c>
      <c r="O253" s="55" t="str">
        <f t="shared" si="4"/>
        <v>L2.02.01.02.03.01</v>
      </c>
      <c r="P253" s="257" t="str">
        <f t="shared" si="10"/>
        <v>L2.02.01.02.03.01.01</v>
      </c>
      <c r="Q253" s="161" t="s">
        <v>10530</v>
      </c>
      <c r="R253" s="299" t="str">
        <f t="shared" si="11"/>
        <v>Phòng KD bán mới MISA ESHOP 01</v>
      </c>
      <c r="S253" s="269" t="s">
        <v>10939</v>
      </c>
      <c r="T253" s="265" t="s">
        <v>367</v>
      </c>
      <c r="U253" s="265" t="s">
        <v>346</v>
      </c>
      <c r="V253" s="265" t="s">
        <v>93</v>
      </c>
      <c r="W253" s="265" t="s">
        <v>366</v>
      </c>
      <c r="X253" s="265" t="s">
        <v>365</v>
      </c>
      <c r="Y253" s="265"/>
      <c r="Z253" s="225" t="s">
        <v>10940</v>
      </c>
      <c r="AA253" s="300" t="s">
        <v>10530</v>
      </c>
      <c r="AB253" s="267"/>
      <c r="AC253" s="267"/>
      <c r="AD253" s="267"/>
    </row>
    <row r="254" ht="15.75" hidden="1" customHeight="1" outlineLevel="1">
      <c r="A254" s="261" t="s">
        <v>10833</v>
      </c>
      <c r="B254" s="231" t="s">
        <v>77</v>
      </c>
      <c r="C254" s="231" t="s">
        <v>33</v>
      </c>
      <c r="D254" s="157" t="s">
        <v>89</v>
      </c>
      <c r="E254" s="297" t="s">
        <v>29</v>
      </c>
      <c r="F254" s="157" t="s">
        <v>90</v>
      </c>
      <c r="G254" s="157" t="s">
        <v>33</v>
      </c>
      <c r="H254" s="298" t="s">
        <v>10922</v>
      </c>
      <c r="I254" s="157" t="s">
        <v>35</v>
      </c>
      <c r="J254" s="301" t="s">
        <v>10935</v>
      </c>
      <c r="K254" s="157" t="s">
        <v>33</v>
      </c>
      <c r="L254" s="301" t="s">
        <v>10941</v>
      </c>
      <c r="M254" s="157" t="s">
        <v>29</v>
      </c>
      <c r="N254" s="167" t="s">
        <v>10498</v>
      </c>
      <c r="O254" s="55" t="str">
        <f t="shared" si="4"/>
        <v>L2.02.01.02.03.02</v>
      </c>
      <c r="P254" s="257" t="str">
        <f t="shared" si="10"/>
        <v>L2.02.01.02.03.02.01</v>
      </c>
      <c r="Q254" s="161" t="s">
        <v>10530</v>
      </c>
      <c r="R254" s="299" t="str">
        <f t="shared" si="11"/>
        <v>Phòng KD bán mới MISA ESHOP 02</v>
      </c>
      <c r="S254" s="269" t="s">
        <v>10939</v>
      </c>
      <c r="T254" s="265" t="s">
        <v>973</v>
      </c>
      <c r="U254" s="265" t="s">
        <v>346</v>
      </c>
      <c r="V254" s="265" t="s">
        <v>93</v>
      </c>
      <c r="W254" s="265" t="s">
        <v>366</v>
      </c>
      <c r="X254" s="265" t="s">
        <v>972</v>
      </c>
      <c r="Y254" s="265"/>
      <c r="Z254" s="225" t="s">
        <v>10942</v>
      </c>
      <c r="AA254" s="300" t="s">
        <v>10530</v>
      </c>
      <c r="AB254" s="267"/>
      <c r="AC254" s="267"/>
      <c r="AD254" s="267"/>
    </row>
    <row r="255" ht="15.75" hidden="1" customHeight="1" outlineLevel="1">
      <c r="A255" s="228" t="s">
        <v>10833</v>
      </c>
      <c r="B255" s="270" t="s">
        <v>77</v>
      </c>
      <c r="C255" s="270" t="s">
        <v>33</v>
      </c>
      <c r="D255" s="209" t="s">
        <v>89</v>
      </c>
      <c r="E255" s="271" t="s">
        <v>29</v>
      </c>
      <c r="F255" s="209" t="s">
        <v>90</v>
      </c>
      <c r="G255" s="209" t="s">
        <v>33</v>
      </c>
      <c r="H255" s="212" t="s">
        <v>10922</v>
      </c>
      <c r="I255" s="209" t="s">
        <v>37</v>
      </c>
      <c r="J255" s="303" t="s">
        <v>101</v>
      </c>
      <c r="K255" s="209" t="s">
        <v>27</v>
      </c>
      <c r="L255" s="210" t="s">
        <v>4</v>
      </c>
      <c r="M255" s="209" t="s">
        <v>29</v>
      </c>
      <c r="N255" s="181" t="s">
        <v>10498</v>
      </c>
      <c r="O255" s="58" t="str">
        <f t="shared" si="4"/>
        <v>L2.02.01.02.04.00</v>
      </c>
      <c r="P255" s="272" t="str">
        <f t="shared" si="10"/>
        <v>L2.02.01.02.04.00.01</v>
      </c>
      <c r="Q255" s="185" t="s">
        <v>10530</v>
      </c>
      <c r="R255" s="273" t="str">
        <f t="shared" si="11"/>
        <v>Phòng chuyển giao</v>
      </c>
      <c r="S255" s="274" t="s">
        <v>10927</v>
      </c>
      <c r="T255" s="183" t="s">
        <v>958</v>
      </c>
      <c r="U255" s="183" t="s">
        <v>346</v>
      </c>
      <c r="V255" s="183" t="s">
        <v>93</v>
      </c>
      <c r="W255" s="183" t="s">
        <v>153</v>
      </c>
      <c r="X255" s="183"/>
      <c r="Y255" s="183"/>
      <c r="Z255" s="275" t="s">
        <v>10943</v>
      </c>
      <c r="AA255" s="304" t="s">
        <v>10530</v>
      </c>
      <c r="AB255" s="277"/>
      <c r="AC255" s="277"/>
      <c r="AD255" s="277"/>
    </row>
    <row r="256" ht="15.75" hidden="1" customHeight="1" outlineLevel="1">
      <c r="A256" s="261" t="s">
        <v>10833</v>
      </c>
      <c r="B256" s="231" t="s">
        <v>77</v>
      </c>
      <c r="C256" s="231" t="s">
        <v>33</v>
      </c>
      <c r="D256" s="157" t="s">
        <v>89</v>
      </c>
      <c r="E256" s="297" t="s">
        <v>29</v>
      </c>
      <c r="F256" s="157" t="s">
        <v>90</v>
      </c>
      <c r="G256" s="157" t="s">
        <v>33</v>
      </c>
      <c r="H256" s="212" t="s">
        <v>10944</v>
      </c>
      <c r="I256" s="168" t="s">
        <v>27</v>
      </c>
      <c r="J256" s="258" t="s">
        <v>4</v>
      </c>
      <c r="K256" s="157" t="s">
        <v>27</v>
      </c>
      <c r="L256" s="156" t="s">
        <v>4</v>
      </c>
      <c r="M256" s="157" t="s">
        <v>33</v>
      </c>
      <c r="N256" s="167" t="s">
        <v>10499</v>
      </c>
      <c r="O256" s="55" t="str">
        <f t="shared" si="4"/>
        <v>L2.02.01.02.00.00</v>
      </c>
      <c r="P256" s="257" t="str">
        <f t="shared" si="10"/>
        <v>L2.02.01.02.00.00.02</v>
      </c>
      <c r="Q256" s="161" t="s">
        <v>10530</v>
      </c>
      <c r="R256" s="273" t="str">
        <f t="shared" si="11"/>
        <v>Trung tâm KD Giải pháp bán lẻ - Hồ Chí Minh</v>
      </c>
      <c r="S256" s="274" t="s">
        <v>10923</v>
      </c>
      <c r="T256" s="264" t="s">
        <v>10945</v>
      </c>
      <c r="U256" s="265" t="s">
        <v>262</v>
      </c>
      <c r="V256" s="265" t="s">
        <v>93</v>
      </c>
      <c r="W256" s="265"/>
      <c r="X256" s="265"/>
      <c r="Y256" s="265"/>
      <c r="Z256" s="225" t="s">
        <v>10946</v>
      </c>
      <c r="AA256" s="300" t="s">
        <v>10530</v>
      </c>
      <c r="AB256" s="267"/>
      <c r="AC256" s="267"/>
      <c r="AD256" s="267"/>
    </row>
    <row r="257" ht="15.75" hidden="1" customHeight="1" outlineLevel="1">
      <c r="A257" s="261" t="s">
        <v>10833</v>
      </c>
      <c r="B257" s="231" t="s">
        <v>77</v>
      </c>
      <c r="C257" s="231" t="s">
        <v>33</v>
      </c>
      <c r="D257" s="157" t="s">
        <v>89</v>
      </c>
      <c r="E257" s="297" t="s">
        <v>29</v>
      </c>
      <c r="F257" s="157" t="s">
        <v>90</v>
      </c>
      <c r="G257" s="157" t="s">
        <v>33</v>
      </c>
      <c r="H257" s="212" t="s">
        <v>10944</v>
      </c>
      <c r="I257" s="157" t="s">
        <v>29</v>
      </c>
      <c r="J257" s="301" t="s">
        <v>10926</v>
      </c>
      <c r="K257" s="157" t="s">
        <v>27</v>
      </c>
      <c r="L257" s="156" t="s">
        <v>4</v>
      </c>
      <c r="M257" s="157" t="s">
        <v>33</v>
      </c>
      <c r="N257" s="167" t="s">
        <v>10499</v>
      </c>
      <c r="O257" s="55" t="str">
        <f t="shared" si="4"/>
        <v>L2.02.01.02.01.00</v>
      </c>
      <c r="P257" s="257" t="str">
        <f t="shared" si="10"/>
        <v>L2.02.01.02.01.00.02</v>
      </c>
      <c r="Q257" s="161" t="s">
        <v>10530</v>
      </c>
      <c r="R257" s="299" t="str">
        <f t="shared" si="11"/>
        <v>Ban giám đốc TTKD Giải pháp bán lẻ</v>
      </c>
      <c r="S257" s="269" t="s">
        <v>10947</v>
      </c>
      <c r="T257" s="265" t="s">
        <v>7245</v>
      </c>
      <c r="U257" s="265" t="s">
        <v>262</v>
      </c>
      <c r="V257" s="265" t="s">
        <v>93</v>
      </c>
      <c r="W257" s="265" t="s">
        <v>7230</v>
      </c>
      <c r="X257" s="265"/>
      <c r="Y257" s="265"/>
      <c r="Z257" s="225" t="s">
        <v>10948</v>
      </c>
      <c r="AA257" s="300" t="s">
        <v>10530</v>
      </c>
      <c r="AB257" s="267"/>
      <c r="AC257" s="267"/>
      <c r="AD257" s="267"/>
    </row>
    <row r="258" ht="15.75" hidden="1" customHeight="1" outlineLevel="1">
      <c r="A258" s="261" t="s">
        <v>10833</v>
      </c>
      <c r="B258" s="231" t="s">
        <v>77</v>
      </c>
      <c r="C258" s="231" t="s">
        <v>33</v>
      </c>
      <c r="D258" s="157" t="s">
        <v>89</v>
      </c>
      <c r="E258" s="297" t="s">
        <v>29</v>
      </c>
      <c r="F258" s="157" t="s">
        <v>90</v>
      </c>
      <c r="G258" s="157" t="s">
        <v>33</v>
      </c>
      <c r="H258" s="212" t="s">
        <v>10944</v>
      </c>
      <c r="I258" s="157" t="s">
        <v>33</v>
      </c>
      <c r="J258" s="301" t="s">
        <v>10929</v>
      </c>
      <c r="K258" s="157" t="s">
        <v>27</v>
      </c>
      <c r="L258" s="156" t="s">
        <v>4</v>
      </c>
      <c r="M258" s="157" t="s">
        <v>33</v>
      </c>
      <c r="N258" s="167" t="s">
        <v>10499</v>
      </c>
      <c r="O258" s="55" t="str">
        <f t="shared" si="4"/>
        <v>L2.02.01.02.02.00</v>
      </c>
      <c r="P258" s="257" t="str">
        <f t="shared" si="10"/>
        <v>L2.02.01.02.02.00.02</v>
      </c>
      <c r="Q258" s="161" t="s">
        <v>10530</v>
      </c>
      <c r="R258" s="299" t="str">
        <f t="shared" si="11"/>
        <v>Phòng KD bán mới MISA CUKCUK</v>
      </c>
      <c r="S258" s="269" t="s">
        <v>10947</v>
      </c>
      <c r="T258" s="31" t="s">
        <v>10949</v>
      </c>
      <c r="U258" s="265" t="s">
        <v>262</v>
      </c>
      <c r="V258" s="265" t="s">
        <v>93</v>
      </c>
      <c r="W258" s="302" t="s">
        <v>1918</v>
      </c>
      <c r="X258" s="265"/>
      <c r="Y258" s="265"/>
      <c r="Z258" s="225" t="s">
        <v>10950</v>
      </c>
      <c r="AA258" s="300" t="s">
        <v>10530</v>
      </c>
      <c r="AB258" s="267"/>
      <c r="AC258" s="267"/>
      <c r="AD258" s="267"/>
    </row>
    <row r="259" ht="15.75" hidden="1" customHeight="1" outlineLevel="1">
      <c r="A259" s="261" t="s">
        <v>10833</v>
      </c>
      <c r="B259" s="231" t="s">
        <v>77</v>
      </c>
      <c r="C259" s="231" t="s">
        <v>33</v>
      </c>
      <c r="D259" s="157" t="s">
        <v>89</v>
      </c>
      <c r="E259" s="297" t="s">
        <v>29</v>
      </c>
      <c r="F259" s="157" t="s">
        <v>90</v>
      </c>
      <c r="G259" s="157" t="s">
        <v>33</v>
      </c>
      <c r="H259" s="212" t="s">
        <v>10944</v>
      </c>
      <c r="I259" s="157" t="s">
        <v>33</v>
      </c>
      <c r="J259" s="301" t="s">
        <v>10929</v>
      </c>
      <c r="K259" s="157" t="s">
        <v>29</v>
      </c>
      <c r="L259" s="301" t="s">
        <v>10951</v>
      </c>
      <c r="M259" s="157" t="s">
        <v>33</v>
      </c>
      <c r="N259" s="167" t="s">
        <v>10499</v>
      </c>
      <c r="O259" s="55" t="str">
        <f t="shared" si="4"/>
        <v>L2.02.01.02.02.01</v>
      </c>
      <c r="P259" s="257" t="str">
        <f t="shared" si="10"/>
        <v>L2.02.01.02.02.01.02</v>
      </c>
      <c r="Q259" s="161" t="s">
        <v>10530</v>
      </c>
      <c r="R259" s="299" t="str">
        <f t="shared" si="11"/>
        <v>Phòng KD bán mới MISA CUKCUK 01</v>
      </c>
      <c r="S259" s="269" t="s">
        <v>10952</v>
      </c>
      <c r="T259" s="265" t="s">
        <v>2005</v>
      </c>
      <c r="U259" s="265" t="s">
        <v>262</v>
      </c>
      <c r="V259" s="265" t="s">
        <v>93</v>
      </c>
      <c r="W259" s="265" t="s">
        <v>1918</v>
      </c>
      <c r="X259" s="265" t="s">
        <v>902</v>
      </c>
      <c r="Y259" s="265"/>
      <c r="Z259" s="225" t="s">
        <v>10953</v>
      </c>
      <c r="AA259" s="300" t="s">
        <v>10530</v>
      </c>
      <c r="AB259" s="267"/>
      <c r="AC259" s="267"/>
      <c r="AD259" s="267"/>
    </row>
    <row r="260" ht="15.75" hidden="1" customHeight="1" outlineLevel="1">
      <c r="A260" s="261" t="s">
        <v>10833</v>
      </c>
      <c r="B260" s="231" t="s">
        <v>77</v>
      </c>
      <c r="C260" s="231" t="s">
        <v>33</v>
      </c>
      <c r="D260" s="157" t="s">
        <v>89</v>
      </c>
      <c r="E260" s="297" t="s">
        <v>29</v>
      </c>
      <c r="F260" s="157" t="s">
        <v>90</v>
      </c>
      <c r="G260" s="157" t="s">
        <v>33</v>
      </c>
      <c r="H260" s="212" t="s">
        <v>10944</v>
      </c>
      <c r="I260" s="157" t="s">
        <v>33</v>
      </c>
      <c r="J260" s="301" t="s">
        <v>10929</v>
      </c>
      <c r="K260" s="157" t="s">
        <v>33</v>
      </c>
      <c r="L260" s="301" t="s">
        <v>10954</v>
      </c>
      <c r="M260" s="157" t="s">
        <v>33</v>
      </c>
      <c r="N260" s="167" t="s">
        <v>10499</v>
      </c>
      <c r="O260" s="55" t="str">
        <f t="shared" si="4"/>
        <v>L2.02.01.02.02.02</v>
      </c>
      <c r="P260" s="257" t="str">
        <f t="shared" si="10"/>
        <v>L2.02.01.02.02.02.02</v>
      </c>
      <c r="Q260" s="161" t="s">
        <v>10530</v>
      </c>
      <c r="R260" s="299" t="str">
        <f t="shared" si="11"/>
        <v>Phòng KD bán mới MISA CUKCUK 02</v>
      </c>
      <c r="S260" s="269" t="s">
        <v>10952</v>
      </c>
      <c r="T260" s="265" t="s">
        <v>1992</v>
      </c>
      <c r="U260" s="265" t="s">
        <v>262</v>
      </c>
      <c r="V260" s="265" t="s">
        <v>93</v>
      </c>
      <c r="W260" s="265" t="s">
        <v>1918</v>
      </c>
      <c r="X260" s="265" t="s">
        <v>1991</v>
      </c>
      <c r="Y260" s="265"/>
      <c r="Z260" s="225" t="s">
        <v>10955</v>
      </c>
      <c r="AA260" s="300" t="s">
        <v>10530</v>
      </c>
      <c r="AB260" s="267"/>
      <c r="AC260" s="267"/>
      <c r="AD260" s="267"/>
    </row>
    <row r="261" ht="15.75" hidden="1" customHeight="1" outlineLevel="1">
      <c r="A261" s="261" t="s">
        <v>10833</v>
      </c>
      <c r="B261" s="231" t="s">
        <v>77</v>
      </c>
      <c r="C261" s="231" t="s">
        <v>33</v>
      </c>
      <c r="D261" s="157" t="s">
        <v>89</v>
      </c>
      <c r="E261" s="297" t="s">
        <v>29</v>
      </c>
      <c r="F261" s="157" t="s">
        <v>90</v>
      </c>
      <c r="G261" s="157" t="s">
        <v>33</v>
      </c>
      <c r="H261" s="212" t="s">
        <v>10944</v>
      </c>
      <c r="I261" s="157" t="s">
        <v>33</v>
      </c>
      <c r="J261" s="301" t="s">
        <v>10929</v>
      </c>
      <c r="K261" s="168" t="s">
        <v>35</v>
      </c>
      <c r="L261" s="301" t="s">
        <v>10956</v>
      </c>
      <c r="M261" s="157" t="s">
        <v>33</v>
      </c>
      <c r="N261" s="167" t="s">
        <v>10499</v>
      </c>
      <c r="O261" s="55" t="str">
        <f t="shared" si="4"/>
        <v>L2.02.01.02.02.03</v>
      </c>
      <c r="P261" s="257" t="str">
        <f t="shared" si="10"/>
        <v>L2.02.01.02.02.03.02</v>
      </c>
      <c r="Q261" s="161" t="s">
        <v>10530</v>
      </c>
      <c r="R261" s="299" t="str">
        <f t="shared" si="11"/>
        <v>Phòng KD bán mới MISA CUKCUK 03</v>
      </c>
      <c r="S261" s="269" t="s">
        <v>10952</v>
      </c>
      <c r="T261" s="265" t="s">
        <v>1919</v>
      </c>
      <c r="U261" s="265" t="s">
        <v>262</v>
      </c>
      <c r="V261" s="265" t="s">
        <v>93</v>
      </c>
      <c r="W261" s="265" t="s">
        <v>1918</v>
      </c>
      <c r="X261" s="265" t="s">
        <v>914</v>
      </c>
      <c r="Y261" s="265"/>
      <c r="Z261" s="225" t="s">
        <v>10957</v>
      </c>
      <c r="AA261" s="300" t="s">
        <v>10530</v>
      </c>
      <c r="AB261" s="267"/>
      <c r="AC261" s="267"/>
      <c r="AD261" s="267"/>
    </row>
    <row r="262" ht="15.75" hidden="1" customHeight="1" outlineLevel="1">
      <c r="A262" s="261" t="s">
        <v>10833</v>
      </c>
      <c r="B262" s="231" t="s">
        <v>77</v>
      </c>
      <c r="C262" s="231" t="s">
        <v>33</v>
      </c>
      <c r="D262" s="157" t="s">
        <v>89</v>
      </c>
      <c r="E262" s="297" t="s">
        <v>29</v>
      </c>
      <c r="F262" s="157" t="s">
        <v>90</v>
      </c>
      <c r="G262" s="157" t="s">
        <v>33</v>
      </c>
      <c r="H262" s="212" t="s">
        <v>10944</v>
      </c>
      <c r="I262" s="157" t="s">
        <v>35</v>
      </c>
      <c r="J262" s="301" t="s">
        <v>10935</v>
      </c>
      <c r="K262" s="157" t="s">
        <v>27</v>
      </c>
      <c r="L262" s="156" t="s">
        <v>4</v>
      </c>
      <c r="M262" s="157" t="s">
        <v>33</v>
      </c>
      <c r="N262" s="167" t="s">
        <v>10499</v>
      </c>
      <c r="O262" s="55" t="str">
        <f t="shared" si="4"/>
        <v>L2.02.01.02.03.00</v>
      </c>
      <c r="P262" s="257" t="str">
        <f t="shared" si="10"/>
        <v>L2.02.01.02.03.00.02</v>
      </c>
      <c r="Q262" s="161" t="s">
        <v>10530</v>
      </c>
      <c r="R262" s="299" t="str">
        <f t="shared" si="11"/>
        <v>Phòng KD bán mới MISA ESHOP</v>
      </c>
      <c r="S262" s="269" t="s">
        <v>10947</v>
      </c>
      <c r="T262" s="31" t="s">
        <v>10958</v>
      </c>
      <c r="U262" s="265" t="s">
        <v>262</v>
      </c>
      <c r="V262" s="265" t="s">
        <v>93</v>
      </c>
      <c r="W262" s="302" t="s">
        <v>1912</v>
      </c>
      <c r="X262" s="265"/>
      <c r="Y262" s="265"/>
      <c r="Z262" s="225" t="s">
        <v>10959</v>
      </c>
      <c r="AA262" s="300" t="s">
        <v>10530</v>
      </c>
      <c r="AB262" s="267"/>
      <c r="AC262" s="267"/>
      <c r="AD262" s="267"/>
    </row>
    <row r="263" ht="15.75" hidden="1" customHeight="1" outlineLevel="1">
      <c r="A263" s="261" t="s">
        <v>10833</v>
      </c>
      <c r="B263" s="231" t="s">
        <v>77</v>
      </c>
      <c r="C263" s="231" t="s">
        <v>33</v>
      </c>
      <c r="D263" s="157" t="s">
        <v>89</v>
      </c>
      <c r="E263" s="297" t="s">
        <v>29</v>
      </c>
      <c r="F263" s="157" t="s">
        <v>90</v>
      </c>
      <c r="G263" s="157" t="s">
        <v>33</v>
      </c>
      <c r="H263" s="212" t="s">
        <v>10944</v>
      </c>
      <c r="I263" s="157" t="s">
        <v>35</v>
      </c>
      <c r="J263" s="301" t="s">
        <v>10935</v>
      </c>
      <c r="K263" s="157" t="s">
        <v>29</v>
      </c>
      <c r="L263" s="301" t="s">
        <v>10938</v>
      </c>
      <c r="M263" s="157" t="s">
        <v>33</v>
      </c>
      <c r="N263" s="167" t="s">
        <v>10499</v>
      </c>
      <c r="O263" s="55" t="str">
        <f t="shared" si="4"/>
        <v>L2.02.01.02.03.01</v>
      </c>
      <c r="P263" s="257" t="str">
        <f t="shared" si="10"/>
        <v>L2.02.01.02.03.01.02</v>
      </c>
      <c r="Q263" s="161" t="s">
        <v>10530</v>
      </c>
      <c r="R263" s="299" t="str">
        <f t="shared" si="11"/>
        <v>Phòng KD bán mới MISA ESHOP 01</v>
      </c>
      <c r="S263" s="269" t="s">
        <v>10960</v>
      </c>
      <c r="T263" s="265" t="s">
        <v>1913</v>
      </c>
      <c r="U263" s="265" t="s">
        <v>262</v>
      </c>
      <c r="V263" s="265" t="s">
        <v>93</v>
      </c>
      <c r="W263" s="265" t="s">
        <v>1912</v>
      </c>
      <c r="X263" s="265" t="s">
        <v>365</v>
      </c>
      <c r="Y263" s="265"/>
      <c r="Z263" s="225" t="s">
        <v>10961</v>
      </c>
      <c r="AA263" s="300" t="s">
        <v>10530</v>
      </c>
      <c r="AB263" s="267"/>
      <c r="AC263" s="267"/>
      <c r="AD263" s="267"/>
    </row>
    <row r="264" ht="15.75" hidden="1" customHeight="1" outlineLevel="1">
      <c r="A264" s="261" t="s">
        <v>10833</v>
      </c>
      <c r="B264" s="231" t="s">
        <v>77</v>
      </c>
      <c r="C264" s="231" t="s">
        <v>33</v>
      </c>
      <c r="D264" s="157" t="s">
        <v>89</v>
      </c>
      <c r="E264" s="297" t="s">
        <v>29</v>
      </c>
      <c r="F264" s="157" t="s">
        <v>90</v>
      </c>
      <c r="G264" s="157" t="s">
        <v>33</v>
      </c>
      <c r="H264" s="212" t="s">
        <v>10944</v>
      </c>
      <c r="I264" s="157" t="s">
        <v>37</v>
      </c>
      <c r="J264" s="303" t="s">
        <v>101</v>
      </c>
      <c r="K264" s="157" t="s">
        <v>27</v>
      </c>
      <c r="L264" s="156" t="s">
        <v>4</v>
      </c>
      <c r="M264" s="157" t="s">
        <v>33</v>
      </c>
      <c r="N264" s="167" t="s">
        <v>10499</v>
      </c>
      <c r="O264" s="55" t="str">
        <f t="shared" si="4"/>
        <v>L2.02.01.02.04.00</v>
      </c>
      <c r="P264" s="257" t="str">
        <f t="shared" si="10"/>
        <v>L2.02.01.02.04.00.02</v>
      </c>
      <c r="Q264" s="161" t="s">
        <v>10530</v>
      </c>
      <c r="R264" s="273" t="str">
        <f t="shared" si="11"/>
        <v>Phòng chuyển giao</v>
      </c>
      <c r="S264" s="269" t="s">
        <v>10947</v>
      </c>
      <c r="T264" s="265" t="s">
        <v>1850</v>
      </c>
      <c r="U264" s="265" t="s">
        <v>262</v>
      </c>
      <c r="V264" s="265" t="s">
        <v>93</v>
      </c>
      <c r="W264" s="265" t="s">
        <v>153</v>
      </c>
      <c r="X264" s="265"/>
      <c r="Y264" s="265"/>
      <c r="Z264" s="225" t="s">
        <v>10962</v>
      </c>
      <c r="AA264" s="300" t="s">
        <v>10530</v>
      </c>
      <c r="AB264" s="267"/>
      <c r="AC264" s="267"/>
      <c r="AD264" s="267"/>
    </row>
    <row r="265" ht="15.75" hidden="1" customHeight="1" outlineLevel="1">
      <c r="A265" s="261" t="s">
        <v>10833</v>
      </c>
      <c r="B265" s="231" t="s">
        <v>77</v>
      </c>
      <c r="C265" s="231" t="s">
        <v>33</v>
      </c>
      <c r="D265" s="157" t="s">
        <v>89</v>
      </c>
      <c r="E265" s="297" t="s">
        <v>29</v>
      </c>
      <c r="F265" s="157" t="s">
        <v>90</v>
      </c>
      <c r="G265" s="157" t="s">
        <v>33</v>
      </c>
      <c r="H265" s="298" t="s">
        <v>10963</v>
      </c>
      <c r="I265" s="157" t="s">
        <v>27</v>
      </c>
      <c r="J265" s="305" t="s">
        <v>4</v>
      </c>
      <c r="K265" s="157" t="s">
        <v>27</v>
      </c>
      <c r="L265" s="156" t="s">
        <v>4</v>
      </c>
      <c r="M265" s="157" t="s">
        <v>35</v>
      </c>
      <c r="N265" s="167" t="s">
        <v>10500</v>
      </c>
      <c r="O265" s="55" t="str">
        <f t="shared" si="4"/>
        <v>L2.02.01.02.00.00</v>
      </c>
      <c r="P265" s="257" t="str">
        <f t="shared" si="10"/>
        <v>L2.02.01.02.00.00.03</v>
      </c>
      <c r="Q265" s="161" t="s">
        <v>10530</v>
      </c>
      <c r="R265" s="299" t="str">
        <f t="shared" si="11"/>
        <v>Phòng KD Giải pháp bán lẻ - Đà Nẵng</v>
      </c>
      <c r="S265" s="274" t="s">
        <v>10923</v>
      </c>
      <c r="T265" s="265" t="s">
        <v>8625</v>
      </c>
      <c r="U265" s="265" t="s">
        <v>2811</v>
      </c>
      <c r="V265" s="265" t="s">
        <v>2909</v>
      </c>
      <c r="W265" s="265"/>
      <c r="X265" s="265"/>
      <c r="Y265" s="265"/>
      <c r="Z265" s="225" t="s">
        <v>10964</v>
      </c>
      <c r="AA265" s="300" t="s">
        <v>10530</v>
      </c>
      <c r="AB265" s="267"/>
      <c r="AC265" s="267"/>
      <c r="AD265" s="267"/>
    </row>
    <row r="266" ht="15.75" hidden="1" customHeight="1" outlineLevel="1">
      <c r="A266" s="261" t="s">
        <v>10833</v>
      </c>
      <c r="B266" s="231" t="s">
        <v>77</v>
      </c>
      <c r="C266" s="231" t="s">
        <v>33</v>
      </c>
      <c r="D266" s="157" t="s">
        <v>89</v>
      </c>
      <c r="E266" s="297" t="s">
        <v>29</v>
      </c>
      <c r="F266" s="157" t="s">
        <v>90</v>
      </c>
      <c r="G266" s="157" t="s">
        <v>33</v>
      </c>
      <c r="H266" s="298" t="s">
        <v>10963</v>
      </c>
      <c r="I266" s="168" t="s">
        <v>29</v>
      </c>
      <c r="J266" s="265" t="s">
        <v>2908</v>
      </c>
      <c r="K266" s="157" t="s">
        <v>27</v>
      </c>
      <c r="L266" s="156" t="s">
        <v>4</v>
      </c>
      <c r="M266" s="157" t="s">
        <v>35</v>
      </c>
      <c r="N266" s="167" t="s">
        <v>10500</v>
      </c>
      <c r="O266" s="55" t="str">
        <f t="shared" si="4"/>
        <v>L2.02.01.02.01.00</v>
      </c>
      <c r="P266" s="257" t="str">
        <f t="shared" si="10"/>
        <v>L2.02.01.02.01.00.03</v>
      </c>
      <c r="Q266" s="161" t="s">
        <v>10530</v>
      </c>
      <c r="R266" s="299" t="str">
        <f t="shared" si="11"/>
        <v>Nhóm KD CUKCUK &amp; ESHOP</v>
      </c>
      <c r="S266" s="269" t="s">
        <v>10965</v>
      </c>
      <c r="T266" s="265" t="s">
        <v>2910</v>
      </c>
      <c r="U266" s="265" t="s">
        <v>2811</v>
      </c>
      <c r="V266" s="265" t="s">
        <v>2909</v>
      </c>
      <c r="W266" s="265" t="s">
        <v>2908</v>
      </c>
      <c r="X266" s="265"/>
      <c r="Y266" s="265"/>
      <c r="Z266" s="225" t="s">
        <v>10966</v>
      </c>
      <c r="AA266" s="300" t="s">
        <v>10530</v>
      </c>
      <c r="AB266" s="267"/>
      <c r="AC266" s="267"/>
      <c r="AD266" s="267"/>
    </row>
    <row r="267" ht="15.75" hidden="1" customHeight="1" outlineLevel="1">
      <c r="A267" s="261" t="s">
        <v>10833</v>
      </c>
      <c r="B267" s="231" t="s">
        <v>77</v>
      </c>
      <c r="C267" s="231" t="s">
        <v>33</v>
      </c>
      <c r="D267" s="157" t="s">
        <v>89</v>
      </c>
      <c r="E267" s="297" t="s">
        <v>29</v>
      </c>
      <c r="F267" s="157" t="s">
        <v>90</v>
      </c>
      <c r="G267" s="157" t="s">
        <v>33</v>
      </c>
      <c r="H267" s="298" t="s">
        <v>11793</v>
      </c>
      <c r="I267" s="157" t="s">
        <v>27</v>
      </c>
      <c r="J267" s="156" t="s">
        <v>4</v>
      </c>
      <c r="K267" s="157" t="s">
        <v>27</v>
      </c>
      <c r="L267" s="156" t="s">
        <v>4</v>
      </c>
      <c r="M267" s="157" t="s">
        <v>37</v>
      </c>
      <c r="N267" s="298" t="s">
        <v>10900</v>
      </c>
      <c r="O267" s="55" t="str">
        <f t="shared" si="4"/>
        <v>L2.02.01.02.00.00</v>
      </c>
      <c r="P267" s="257" t="str">
        <f t="shared" si="10"/>
        <v>L2.02.01.02.00.00.04</v>
      </c>
      <c r="Q267" s="161" t="s">
        <v>10530</v>
      </c>
      <c r="R267" s="299" t="str">
        <f t="shared" si="11"/>
        <v>Phòng KD Giải pháp bán lẻ - Buôn Ma Thuột</v>
      </c>
      <c r="S267" s="274" t="s">
        <v>10923</v>
      </c>
      <c r="T267" s="265" t="s">
        <v>9079</v>
      </c>
      <c r="U267" s="265" t="s">
        <v>2732</v>
      </c>
      <c r="V267" s="265" t="s">
        <v>2761</v>
      </c>
      <c r="W267" s="265"/>
      <c r="X267" s="265"/>
      <c r="Y267" s="265"/>
      <c r="Z267" s="225" t="s">
        <v>10968</v>
      </c>
      <c r="AA267" s="300" t="s">
        <v>10530</v>
      </c>
      <c r="AB267" s="267"/>
      <c r="AC267" s="267"/>
      <c r="AD267" s="267"/>
    </row>
    <row r="268" ht="15.75" hidden="1" customHeight="1" outlineLevel="1">
      <c r="A268" s="261" t="s">
        <v>10833</v>
      </c>
      <c r="B268" s="231" t="s">
        <v>77</v>
      </c>
      <c r="C268" s="231" t="s">
        <v>33</v>
      </c>
      <c r="D268" s="157" t="s">
        <v>89</v>
      </c>
      <c r="E268" s="297" t="s">
        <v>29</v>
      </c>
      <c r="F268" s="157" t="s">
        <v>90</v>
      </c>
      <c r="G268" s="157" t="s">
        <v>33</v>
      </c>
      <c r="H268" s="298" t="s">
        <v>11794</v>
      </c>
      <c r="I268" s="168" t="s">
        <v>29</v>
      </c>
      <c r="J268" s="265" t="s">
        <v>2908</v>
      </c>
      <c r="K268" s="157" t="s">
        <v>27</v>
      </c>
      <c r="L268" s="156" t="s">
        <v>4</v>
      </c>
      <c r="M268" s="157" t="s">
        <v>37</v>
      </c>
      <c r="N268" s="298" t="s">
        <v>10900</v>
      </c>
      <c r="O268" s="55" t="str">
        <f t="shared" si="4"/>
        <v>L2.02.01.02.01.00</v>
      </c>
      <c r="P268" s="257" t="str">
        <f t="shared" si="10"/>
        <v>L2.02.01.02.01.00.04</v>
      </c>
      <c r="Q268" s="161" t="s">
        <v>10530</v>
      </c>
      <c r="R268" s="299" t="str">
        <f t="shared" si="11"/>
        <v>Nhóm KD CUKCUK &amp; ESHOP</v>
      </c>
      <c r="S268" s="269" t="s">
        <v>10970</v>
      </c>
      <c r="T268" s="265" t="s">
        <v>7611</v>
      </c>
      <c r="U268" s="265" t="s">
        <v>2732</v>
      </c>
      <c r="V268" s="265" t="s">
        <v>2761</v>
      </c>
      <c r="W268" s="265" t="s">
        <v>2908</v>
      </c>
      <c r="X268" s="265"/>
      <c r="Y268" s="265"/>
      <c r="Z268" s="225" t="s">
        <v>10971</v>
      </c>
      <c r="AA268" s="300" t="s">
        <v>10530</v>
      </c>
      <c r="AB268" s="267"/>
      <c r="AC268" s="267"/>
      <c r="AD268" s="267"/>
    </row>
    <row r="269" ht="15.75" hidden="1" customHeight="1" outlineLevel="1">
      <c r="A269" s="261" t="s">
        <v>10833</v>
      </c>
      <c r="B269" s="231" t="s">
        <v>77</v>
      </c>
      <c r="C269" s="231" t="s">
        <v>33</v>
      </c>
      <c r="D269" s="157" t="s">
        <v>89</v>
      </c>
      <c r="E269" s="297" t="s">
        <v>29</v>
      </c>
      <c r="F269" s="157" t="s">
        <v>90</v>
      </c>
      <c r="G269" s="157" t="s">
        <v>33</v>
      </c>
      <c r="H269" s="298" t="s">
        <v>10972</v>
      </c>
      <c r="I269" s="157" t="s">
        <v>27</v>
      </c>
      <c r="J269" s="156" t="s">
        <v>4</v>
      </c>
      <c r="K269" s="157" t="s">
        <v>27</v>
      </c>
      <c r="L269" s="156" t="s">
        <v>4</v>
      </c>
      <c r="M269" s="157" t="s">
        <v>42</v>
      </c>
      <c r="N269" s="167" t="s">
        <v>10502</v>
      </c>
      <c r="O269" s="55" t="str">
        <f t="shared" si="4"/>
        <v>L2.02.01.02.00.00</v>
      </c>
      <c r="P269" s="257" t="str">
        <f t="shared" si="10"/>
        <v>L2.02.01.02.00.00.05</v>
      </c>
      <c r="Q269" s="161" t="s">
        <v>10530</v>
      </c>
      <c r="R269" s="299" t="str">
        <f t="shared" si="11"/>
        <v>Phòng KD Giải pháp bán lẻ - Cần Thơ</v>
      </c>
      <c r="S269" s="274" t="s">
        <v>10923</v>
      </c>
      <c r="T269" s="265" t="s">
        <v>3361</v>
      </c>
      <c r="U269" s="265" t="s">
        <v>325</v>
      </c>
      <c r="V269" s="265" t="s">
        <v>2761</v>
      </c>
      <c r="W269" s="265"/>
      <c r="X269" s="265"/>
      <c r="Y269" s="265"/>
      <c r="Z269" s="225" t="s">
        <v>10973</v>
      </c>
      <c r="AA269" s="300" t="s">
        <v>10530</v>
      </c>
      <c r="AB269" s="267"/>
      <c r="AC269" s="267"/>
      <c r="AD269" s="267"/>
    </row>
    <row r="270" ht="15.75" hidden="1" customHeight="1" outlineLevel="1">
      <c r="A270" s="261" t="s">
        <v>10833</v>
      </c>
      <c r="B270" s="231" t="s">
        <v>77</v>
      </c>
      <c r="C270" s="231" t="s">
        <v>33</v>
      </c>
      <c r="D270" s="157" t="s">
        <v>89</v>
      </c>
      <c r="E270" s="297" t="s">
        <v>29</v>
      </c>
      <c r="F270" s="157" t="s">
        <v>90</v>
      </c>
      <c r="G270" s="157" t="s">
        <v>33</v>
      </c>
      <c r="H270" s="298" t="s">
        <v>10972</v>
      </c>
      <c r="I270" s="168" t="s">
        <v>29</v>
      </c>
      <c r="J270" s="265" t="s">
        <v>2908</v>
      </c>
      <c r="K270" s="157" t="s">
        <v>27</v>
      </c>
      <c r="L270" s="156" t="s">
        <v>4</v>
      </c>
      <c r="M270" s="157" t="s">
        <v>42</v>
      </c>
      <c r="N270" s="167" t="s">
        <v>10502</v>
      </c>
      <c r="O270" s="55" t="str">
        <f t="shared" si="4"/>
        <v>L2.02.01.02.01.00</v>
      </c>
      <c r="P270" s="257" t="str">
        <f t="shared" si="10"/>
        <v>L2.02.01.02.01.00.05</v>
      </c>
      <c r="Q270" s="161" t="s">
        <v>10530</v>
      </c>
      <c r="R270" s="299" t="str">
        <f t="shared" si="11"/>
        <v>Nhóm KD CUKCUK &amp; ESHOP</v>
      </c>
      <c r="S270" s="269" t="s">
        <v>10974</v>
      </c>
      <c r="T270" s="265" t="s">
        <v>3407</v>
      </c>
      <c r="U270" s="265" t="s">
        <v>325</v>
      </c>
      <c r="V270" s="265" t="s">
        <v>2761</v>
      </c>
      <c r="W270" s="265" t="s">
        <v>2908</v>
      </c>
      <c r="X270" s="265"/>
      <c r="Y270" s="265"/>
      <c r="Z270" s="225" t="s">
        <v>10975</v>
      </c>
      <c r="AA270" s="300" t="s">
        <v>10530</v>
      </c>
      <c r="AB270" s="267"/>
      <c r="AC270" s="267"/>
      <c r="AD270" s="267"/>
    </row>
    <row r="271" ht="15.75" hidden="1" customHeight="1" outlineLevel="1">
      <c r="A271" s="100" t="s">
        <v>10833</v>
      </c>
      <c r="B271" s="101" t="s">
        <v>77</v>
      </c>
      <c r="C271" s="101" t="s">
        <v>33</v>
      </c>
      <c r="D271" s="102" t="s">
        <v>89</v>
      </c>
      <c r="E271" s="103" t="s">
        <v>29</v>
      </c>
      <c r="F271" s="102" t="s">
        <v>90</v>
      </c>
      <c r="G271" s="102" t="s">
        <v>35</v>
      </c>
      <c r="H271" s="306" t="s">
        <v>10976</v>
      </c>
      <c r="I271" s="102" t="s">
        <v>27</v>
      </c>
      <c r="J271" s="105" t="s">
        <v>4</v>
      </c>
      <c r="K271" s="102" t="s">
        <v>27</v>
      </c>
      <c r="L271" s="105" t="s">
        <v>4</v>
      </c>
      <c r="M271" s="106" t="s">
        <v>27</v>
      </c>
      <c r="N271" s="104"/>
      <c r="O271" s="136" t="str">
        <f t="shared" si="4"/>
        <v>L2.02.01.03.00.00</v>
      </c>
      <c r="P271" s="107" t="str">
        <f t="shared" si="10"/>
        <v>L2.02.01.03.00.00.00</v>
      </c>
      <c r="Q271" s="307" t="s">
        <v>10530</v>
      </c>
      <c r="R271" s="308" t="str">
        <f t="shared" si="11"/>
        <v>Phòng KD bán thêm Giải pháp bán lẻ</v>
      </c>
      <c r="S271" s="309" t="s">
        <v>10919</v>
      </c>
      <c r="T271" s="310"/>
      <c r="U271" s="310"/>
      <c r="V271" s="310"/>
      <c r="W271" s="310"/>
      <c r="X271" s="310"/>
      <c r="Y271" s="311" t="s">
        <v>10977</v>
      </c>
      <c r="Z271" s="112" t="s">
        <v>10978</v>
      </c>
      <c r="AA271" s="312"/>
      <c r="AB271" s="313"/>
      <c r="AC271" s="313"/>
      <c r="AD271" s="313"/>
    </row>
    <row r="272" ht="15.75" hidden="1" customHeight="1" outlineLevel="1">
      <c r="A272" s="314" t="s">
        <v>10833</v>
      </c>
      <c r="B272" s="315" t="s">
        <v>77</v>
      </c>
      <c r="C272" s="315" t="s">
        <v>33</v>
      </c>
      <c r="D272" s="122" t="s">
        <v>89</v>
      </c>
      <c r="E272" s="121" t="s">
        <v>29</v>
      </c>
      <c r="F272" s="122" t="s">
        <v>90</v>
      </c>
      <c r="G272" s="122" t="s">
        <v>35</v>
      </c>
      <c r="H272" s="316" t="s">
        <v>10976</v>
      </c>
      <c r="I272" s="122" t="s">
        <v>27</v>
      </c>
      <c r="J272" s="120" t="s">
        <v>4</v>
      </c>
      <c r="K272" s="122" t="s">
        <v>27</v>
      </c>
      <c r="L272" s="120" t="s">
        <v>4</v>
      </c>
      <c r="M272" s="122" t="s">
        <v>29</v>
      </c>
      <c r="N272" s="123" t="s">
        <v>10498</v>
      </c>
      <c r="O272" s="149" t="str">
        <f t="shared" si="4"/>
        <v>L2.02.01.03.00.00</v>
      </c>
      <c r="P272" s="317" t="str">
        <f t="shared" si="10"/>
        <v>L2.02.01.03.00.00.01</v>
      </c>
      <c r="Q272" s="318"/>
      <c r="R272" s="318" t="str">
        <f t="shared" si="11"/>
        <v>Phòng KD bán thêm Giải pháp bán lẻ</v>
      </c>
      <c r="S272" s="319" t="s">
        <v>10979</v>
      </c>
      <c r="T272" s="320"/>
      <c r="U272" s="320"/>
      <c r="V272" s="320"/>
      <c r="W272" s="320"/>
      <c r="X272" s="320"/>
      <c r="Y272" s="321" t="s">
        <v>10977</v>
      </c>
      <c r="Z272" s="322"/>
      <c r="AA272" s="323"/>
      <c r="AB272" s="324"/>
      <c r="AC272" s="324"/>
      <c r="AD272" s="324"/>
    </row>
    <row r="273" ht="15.75" hidden="1" customHeight="1" outlineLevel="1">
      <c r="A273" s="314" t="s">
        <v>10833</v>
      </c>
      <c r="B273" s="315" t="s">
        <v>77</v>
      </c>
      <c r="C273" s="315" t="s">
        <v>33</v>
      </c>
      <c r="D273" s="122" t="s">
        <v>89</v>
      </c>
      <c r="E273" s="121" t="s">
        <v>29</v>
      </c>
      <c r="F273" s="122" t="s">
        <v>90</v>
      </c>
      <c r="G273" s="122" t="s">
        <v>35</v>
      </c>
      <c r="H273" s="316" t="s">
        <v>10976</v>
      </c>
      <c r="I273" s="122" t="s">
        <v>27</v>
      </c>
      <c r="J273" s="120" t="s">
        <v>4</v>
      </c>
      <c r="K273" s="122" t="s">
        <v>27</v>
      </c>
      <c r="L273" s="120" t="s">
        <v>4</v>
      </c>
      <c r="M273" s="122" t="s">
        <v>33</v>
      </c>
      <c r="N273" s="123" t="s">
        <v>10499</v>
      </c>
      <c r="O273" s="149" t="str">
        <f t="shared" si="4"/>
        <v>L2.02.01.03.00.00</v>
      </c>
      <c r="P273" s="317" t="str">
        <f t="shared" si="10"/>
        <v>L2.02.01.03.00.00.02</v>
      </c>
      <c r="Q273" s="318"/>
      <c r="R273" s="318" t="str">
        <f t="shared" si="11"/>
        <v>Phòng KD bán thêm Giải pháp bán lẻ</v>
      </c>
      <c r="S273" s="319" t="s">
        <v>10979</v>
      </c>
      <c r="T273" s="320"/>
      <c r="U273" s="320"/>
      <c r="V273" s="320"/>
      <c r="W273" s="320"/>
      <c r="X273" s="320"/>
      <c r="Y273" s="321" t="s">
        <v>10977</v>
      </c>
      <c r="Z273" s="322"/>
      <c r="AA273" s="323"/>
      <c r="AB273" s="324"/>
      <c r="AC273" s="324"/>
      <c r="AD273" s="324"/>
    </row>
    <row r="274" ht="15.75" hidden="1" customHeight="1" outlineLevel="1">
      <c r="A274" s="100" t="s">
        <v>10833</v>
      </c>
      <c r="B274" s="101" t="s">
        <v>77</v>
      </c>
      <c r="C274" s="101" t="s">
        <v>33</v>
      </c>
      <c r="D274" s="102" t="s">
        <v>89</v>
      </c>
      <c r="E274" s="103" t="s">
        <v>29</v>
      </c>
      <c r="F274" s="102" t="s">
        <v>90</v>
      </c>
      <c r="G274" s="102" t="s">
        <v>37</v>
      </c>
      <c r="H274" s="306" t="s">
        <v>10980</v>
      </c>
      <c r="I274" s="102" t="s">
        <v>27</v>
      </c>
      <c r="J274" s="105" t="s">
        <v>4</v>
      </c>
      <c r="K274" s="102" t="s">
        <v>27</v>
      </c>
      <c r="L274" s="105" t="s">
        <v>4</v>
      </c>
      <c r="M274" s="106" t="s">
        <v>27</v>
      </c>
      <c r="N274" s="104"/>
      <c r="O274" s="136" t="str">
        <f t="shared" si="4"/>
        <v>L2.02.01.04.00.00</v>
      </c>
      <c r="P274" s="107" t="str">
        <f t="shared" si="10"/>
        <v>L2.02.01.04.00.00.00</v>
      </c>
      <c r="Q274" s="307" t="s">
        <v>10530</v>
      </c>
      <c r="R274" s="308" t="str">
        <f t="shared" si="11"/>
        <v>Phòng KD mạng lưới Giải pháp bán lẻ</v>
      </c>
      <c r="S274" s="309" t="s">
        <v>10919</v>
      </c>
      <c r="T274" s="310"/>
      <c r="U274" s="310"/>
      <c r="V274" s="310"/>
      <c r="W274" s="310"/>
      <c r="X274" s="310"/>
      <c r="Y274" s="311" t="s">
        <v>10977</v>
      </c>
      <c r="Z274" s="112" t="s">
        <v>10981</v>
      </c>
      <c r="AA274" s="312"/>
      <c r="AB274" s="313"/>
      <c r="AC274" s="313"/>
      <c r="AD274" s="313"/>
    </row>
    <row r="275" ht="15.75" hidden="1" customHeight="1" outlineLevel="1">
      <c r="A275" s="314" t="s">
        <v>10833</v>
      </c>
      <c r="B275" s="315" t="s">
        <v>77</v>
      </c>
      <c r="C275" s="315" t="s">
        <v>33</v>
      </c>
      <c r="D275" s="122" t="s">
        <v>89</v>
      </c>
      <c r="E275" s="121" t="s">
        <v>29</v>
      </c>
      <c r="F275" s="122" t="s">
        <v>90</v>
      </c>
      <c r="G275" s="122" t="s">
        <v>37</v>
      </c>
      <c r="H275" s="316" t="s">
        <v>10980</v>
      </c>
      <c r="I275" s="122" t="s">
        <v>27</v>
      </c>
      <c r="J275" s="120" t="s">
        <v>4</v>
      </c>
      <c r="K275" s="122" t="s">
        <v>27</v>
      </c>
      <c r="L275" s="120" t="s">
        <v>4</v>
      </c>
      <c r="M275" s="122" t="s">
        <v>29</v>
      </c>
      <c r="N275" s="123" t="s">
        <v>10498</v>
      </c>
      <c r="O275" s="149" t="str">
        <f t="shared" si="4"/>
        <v>L2.02.01.04.00.00</v>
      </c>
      <c r="P275" s="317" t="str">
        <f t="shared" si="10"/>
        <v>L2.02.01.04.00.00.01</v>
      </c>
      <c r="Q275" s="318"/>
      <c r="R275" s="318" t="str">
        <f t="shared" si="11"/>
        <v>Phòng KD mạng lưới Giải pháp bán lẻ</v>
      </c>
      <c r="S275" s="319" t="s">
        <v>10982</v>
      </c>
      <c r="T275" s="320"/>
      <c r="U275" s="320"/>
      <c r="V275" s="320"/>
      <c r="W275" s="320"/>
      <c r="X275" s="320"/>
      <c r="Y275" s="321" t="s">
        <v>10977</v>
      </c>
      <c r="Z275" s="322"/>
      <c r="AA275" s="323"/>
      <c r="AB275" s="324"/>
      <c r="AC275" s="324"/>
      <c r="AD275" s="324"/>
    </row>
    <row r="276" ht="15.75" hidden="1" customHeight="1" outlineLevel="1">
      <c r="A276" s="314" t="s">
        <v>10833</v>
      </c>
      <c r="B276" s="315" t="s">
        <v>77</v>
      </c>
      <c r="C276" s="315" t="s">
        <v>33</v>
      </c>
      <c r="D276" s="122" t="s">
        <v>89</v>
      </c>
      <c r="E276" s="121" t="s">
        <v>29</v>
      </c>
      <c r="F276" s="122" t="s">
        <v>90</v>
      </c>
      <c r="G276" s="122" t="s">
        <v>37</v>
      </c>
      <c r="H276" s="316" t="s">
        <v>10980</v>
      </c>
      <c r="I276" s="122" t="s">
        <v>27</v>
      </c>
      <c r="J276" s="120" t="s">
        <v>4</v>
      </c>
      <c r="K276" s="122" t="s">
        <v>27</v>
      </c>
      <c r="L276" s="120" t="s">
        <v>4</v>
      </c>
      <c r="M276" s="122" t="s">
        <v>33</v>
      </c>
      <c r="N276" s="123" t="s">
        <v>10499</v>
      </c>
      <c r="O276" s="149" t="str">
        <f t="shared" si="4"/>
        <v>L2.02.01.04.00.00</v>
      </c>
      <c r="P276" s="317" t="str">
        <f t="shared" si="10"/>
        <v>L2.02.01.04.00.00.02</v>
      </c>
      <c r="Q276" s="318"/>
      <c r="R276" s="318" t="str">
        <f t="shared" si="11"/>
        <v>Phòng KD mạng lưới Giải pháp bán lẻ</v>
      </c>
      <c r="S276" s="319" t="s">
        <v>10982</v>
      </c>
      <c r="T276" s="320"/>
      <c r="U276" s="320"/>
      <c r="V276" s="320"/>
      <c r="W276" s="320"/>
      <c r="X276" s="320"/>
      <c r="Y276" s="321" t="s">
        <v>10977</v>
      </c>
      <c r="Z276" s="322"/>
      <c r="AA276" s="323"/>
      <c r="AB276" s="324"/>
      <c r="AC276" s="324"/>
      <c r="AD276" s="324"/>
    </row>
    <row r="277" ht="15.75" hidden="1" customHeight="1" outlineLevel="1">
      <c r="A277" s="261" t="s">
        <v>10833</v>
      </c>
      <c r="B277" s="231" t="s">
        <v>77</v>
      </c>
      <c r="C277" s="231" t="s">
        <v>33</v>
      </c>
      <c r="D277" s="157" t="s">
        <v>89</v>
      </c>
      <c r="E277" s="297" t="s">
        <v>29</v>
      </c>
      <c r="F277" s="157" t="s">
        <v>90</v>
      </c>
      <c r="G277" s="297" t="s">
        <v>42</v>
      </c>
      <c r="H277" s="167" t="s">
        <v>104</v>
      </c>
      <c r="I277" s="157" t="s">
        <v>27</v>
      </c>
      <c r="J277" s="156" t="s">
        <v>4</v>
      </c>
      <c r="K277" s="157" t="s">
        <v>27</v>
      </c>
      <c r="L277" s="156" t="s">
        <v>4</v>
      </c>
      <c r="M277" s="157" t="s">
        <v>44</v>
      </c>
      <c r="N277" s="167" t="s">
        <v>10505</v>
      </c>
      <c r="O277" s="55" t="str">
        <f t="shared" si="4"/>
        <v>L2.02.01.05.00.00</v>
      </c>
      <c r="P277" s="257" t="str">
        <f t="shared" si="10"/>
        <v>L2.02.01.05.00.00.06</v>
      </c>
      <c r="Q277" s="161" t="s">
        <v>10530</v>
      </c>
      <c r="R277" s="299" t="str">
        <f t="shared" si="11"/>
        <v>Nhóm MKT Bán lẻ</v>
      </c>
      <c r="S277" s="269" t="s">
        <v>10919</v>
      </c>
      <c r="T277" s="265" t="s">
        <v>337</v>
      </c>
      <c r="U277" s="265" t="s">
        <v>303</v>
      </c>
      <c r="V277" s="265" t="s">
        <v>335</v>
      </c>
      <c r="W277" s="265" t="s">
        <v>336</v>
      </c>
      <c r="X277" s="265" t="s">
        <v>104</v>
      </c>
      <c r="Y277" s="265"/>
      <c r="Z277" s="225" t="s">
        <v>10983</v>
      </c>
      <c r="AA277" s="266"/>
      <c r="AB277" s="267"/>
      <c r="AC277" s="267"/>
      <c r="AD277" s="267"/>
    </row>
    <row r="278" ht="15.75" hidden="1" customHeight="1" outlineLevel="1">
      <c r="A278" s="261" t="s">
        <v>10833</v>
      </c>
      <c r="B278" s="231" t="s">
        <v>77</v>
      </c>
      <c r="C278" s="231" t="s">
        <v>33</v>
      </c>
      <c r="D278" s="157" t="s">
        <v>89</v>
      </c>
      <c r="E278" s="297" t="s">
        <v>29</v>
      </c>
      <c r="F278" s="157" t="s">
        <v>90</v>
      </c>
      <c r="G278" s="297" t="s">
        <v>42</v>
      </c>
      <c r="H278" s="167" t="s">
        <v>104</v>
      </c>
      <c r="I278" s="168" t="s">
        <v>35</v>
      </c>
      <c r="J278" s="298" t="s">
        <v>10984</v>
      </c>
      <c r="K278" s="157" t="s">
        <v>27</v>
      </c>
      <c r="L278" s="156" t="s">
        <v>4</v>
      </c>
      <c r="M278" s="157" t="s">
        <v>44</v>
      </c>
      <c r="N278" s="167" t="s">
        <v>10505</v>
      </c>
      <c r="O278" s="55" t="str">
        <f t="shared" si="4"/>
        <v>L2.02.01.05.03.00</v>
      </c>
      <c r="P278" s="257" t="str">
        <f t="shared" si="10"/>
        <v>L2.02.01.05.03.00.06</v>
      </c>
      <c r="Q278" s="161" t="s">
        <v>10530</v>
      </c>
      <c r="R278" s="299" t="str">
        <f t="shared" si="11"/>
        <v>Nhóm Quản lý</v>
      </c>
      <c r="S278" s="269" t="s">
        <v>10985</v>
      </c>
      <c r="T278" s="265"/>
      <c r="U278" s="265"/>
      <c r="V278" s="265"/>
      <c r="W278" s="265"/>
      <c r="X278" s="265"/>
      <c r="Y278" s="264" t="s">
        <v>10986</v>
      </c>
      <c r="Z278" s="225" t="s">
        <v>10987</v>
      </c>
      <c r="AA278" s="266"/>
      <c r="AB278" s="267"/>
      <c r="AC278" s="267"/>
      <c r="AD278" s="267"/>
    </row>
    <row r="279" ht="15.75" hidden="1" customHeight="1" outlineLevel="1">
      <c r="A279" s="261" t="s">
        <v>10833</v>
      </c>
      <c r="B279" s="231" t="s">
        <v>77</v>
      </c>
      <c r="C279" s="231" t="s">
        <v>33</v>
      </c>
      <c r="D279" s="157" t="s">
        <v>89</v>
      </c>
      <c r="E279" s="297" t="s">
        <v>29</v>
      </c>
      <c r="F279" s="157" t="s">
        <v>90</v>
      </c>
      <c r="G279" s="297" t="s">
        <v>42</v>
      </c>
      <c r="H279" s="167" t="s">
        <v>104</v>
      </c>
      <c r="I279" s="157" t="s">
        <v>29</v>
      </c>
      <c r="J279" s="167" t="s">
        <v>105</v>
      </c>
      <c r="K279" s="157" t="s">
        <v>27</v>
      </c>
      <c r="L279" s="156" t="s">
        <v>4</v>
      </c>
      <c r="M279" s="157" t="s">
        <v>44</v>
      </c>
      <c r="N279" s="167" t="s">
        <v>10505</v>
      </c>
      <c r="O279" s="55" t="str">
        <f t="shared" si="4"/>
        <v>L2.02.01.05.01.00</v>
      </c>
      <c r="P279" s="257" t="str">
        <f t="shared" si="10"/>
        <v>L2.02.01.05.01.00.06</v>
      </c>
      <c r="Q279" s="161" t="s">
        <v>10530</v>
      </c>
      <c r="R279" s="299" t="str">
        <f t="shared" si="11"/>
        <v>Nhóm MKT Sản phẩm CUKCUK</v>
      </c>
      <c r="S279" s="269" t="s">
        <v>10985</v>
      </c>
      <c r="T279" s="265"/>
      <c r="U279" s="265"/>
      <c r="V279" s="265"/>
      <c r="W279" s="265"/>
      <c r="X279" s="265"/>
      <c r="Y279" s="264" t="s">
        <v>10986</v>
      </c>
      <c r="Z279" s="225" t="s">
        <v>10988</v>
      </c>
      <c r="AA279" s="266"/>
      <c r="AB279" s="267"/>
      <c r="AC279" s="267"/>
      <c r="AD279" s="267"/>
    </row>
    <row r="280" ht="15.75" hidden="1" customHeight="1" outlineLevel="1">
      <c r="A280" s="261" t="s">
        <v>10833</v>
      </c>
      <c r="B280" s="231" t="s">
        <v>77</v>
      </c>
      <c r="C280" s="231" t="s">
        <v>33</v>
      </c>
      <c r="D280" s="157" t="s">
        <v>89</v>
      </c>
      <c r="E280" s="297" t="s">
        <v>29</v>
      </c>
      <c r="F280" s="157" t="s">
        <v>90</v>
      </c>
      <c r="G280" s="297" t="s">
        <v>42</v>
      </c>
      <c r="H280" s="167" t="s">
        <v>104</v>
      </c>
      <c r="I280" s="157" t="s">
        <v>33</v>
      </c>
      <c r="J280" s="167" t="s">
        <v>106</v>
      </c>
      <c r="K280" s="157" t="s">
        <v>27</v>
      </c>
      <c r="L280" s="156" t="s">
        <v>4</v>
      </c>
      <c r="M280" s="157" t="s">
        <v>44</v>
      </c>
      <c r="N280" s="167" t="s">
        <v>10505</v>
      </c>
      <c r="O280" s="55" t="str">
        <f t="shared" si="4"/>
        <v>L2.02.01.05.02.00</v>
      </c>
      <c r="P280" s="257" t="str">
        <f t="shared" si="10"/>
        <v>L2.02.01.05.02.00.06</v>
      </c>
      <c r="Q280" s="161" t="s">
        <v>10530</v>
      </c>
      <c r="R280" s="299" t="str">
        <f t="shared" si="11"/>
        <v>Nhóm MKT Sản phẩm ESHOP</v>
      </c>
      <c r="S280" s="269" t="s">
        <v>10985</v>
      </c>
      <c r="T280" s="265"/>
      <c r="U280" s="265"/>
      <c r="V280" s="265"/>
      <c r="W280" s="265"/>
      <c r="X280" s="265"/>
      <c r="Y280" s="264" t="s">
        <v>10986</v>
      </c>
      <c r="Z280" s="225" t="s">
        <v>10989</v>
      </c>
      <c r="AA280" s="266"/>
      <c r="AB280" s="267"/>
      <c r="AC280" s="267"/>
      <c r="AD280" s="267"/>
    </row>
    <row r="281" ht="15.75" hidden="1" customHeight="1" outlineLevel="1">
      <c r="A281" s="261" t="s">
        <v>10833</v>
      </c>
      <c r="B281" s="231" t="s">
        <v>77</v>
      </c>
      <c r="C281" s="231" t="s">
        <v>33</v>
      </c>
      <c r="D281" s="157" t="s">
        <v>89</v>
      </c>
      <c r="E281" s="297" t="s">
        <v>29</v>
      </c>
      <c r="F281" s="157" t="s">
        <v>90</v>
      </c>
      <c r="G281" s="297" t="s">
        <v>42</v>
      </c>
      <c r="H281" s="167" t="s">
        <v>104</v>
      </c>
      <c r="I281" s="168" t="s">
        <v>37</v>
      </c>
      <c r="J281" s="298" t="s">
        <v>148</v>
      </c>
      <c r="K281" s="157" t="s">
        <v>27</v>
      </c>
      <c r="L281" s="156" t="s">
        <v>4</v>
      </c>
      <c r="M281" s="157" t="s">
        <v>44</v>
      </c>
      <c r="N281" s="167" t="s">
        <v>10505</v>
      </c>
      <c r="O281" s="55" t="str">
        <f t="shared" si="4"/>
        <v>L2.02.01.05.04.00</v>
      </c>
      <c r="P281" s="257" t="str">
        <f t="shared" si="10"/>
        <v>L2.02.01.05.04.00.06</v>
      </c>
      <c r="Q281" s="161" t="s">
        <v>10530</v>
      </c>
      <c r="R281" s="299" t="str">
        <f t="shared" si="11"/>
        <v>Nhóm MDR</v>
      </c>
      <c r="S281" s="269" t="s">
        <v>10985</v>
      </c>
      <c r="T281" s="265"/>
      <c r="U281" s="265"/>
      <c r="V281" s="265"/>
      <c r="W281" s="265"/>
      <c r="X281" s="265"/>
      <c r="Y281" s="264" t="s">
        <v>10986</v>
      </c>
      <c r="Z281" s="225" t="s">
        <v>10990</v>
      </c>
      <c r="AA281" s="266"/>
      <c r="AB281" s="267"/>
      <c r="AC281" s="267"/>
      <c r="AD281" s="267"/>
    </row>
    <row r="282" ht="15.75" customHeight="1" collapsed="1">
      <c r="A282" s="268" t="s">
        <v>10991</v>
      </c>
      <c r="B282" s="66"/>
      <c r="C282" s="66"/>
      <c r="D282" s="66"/>
      <c r="E282" s="67"/>
      <c r="F282" s="66"/>
      <c r="G282" s="66"/>
      <c r="H282" s="68"/>
      <c r="I282" s="66"/>
      <c r="J282" s="69"/>
      <c r="K282" s="66"/>
      <c r="L282" s="68"/>
      <c r="M282" s="66"/>
      <c r="N282" s="68"/>
      <c r="O282" s="55" t="str">
        <f t="shared" si="4"/>
        <v>Khối doanh nghiệp nhỏ.....</v>
      </c>
      <c r="P282" s="69"/>
      <c r="Q282" s="169"/>
      <c r="R282" s="169" t="str">
        <f t="shared" si="11"/>
        <v/>
      </c>
      <c r="S282" s="96"/>
      <c r="T282" s="96"/>
      <c r="U282" s="96"/>
      <c r="V282" s="96"/>
      <c r="W282" s="96"/>
      <c r="X282" s="96"/>
      <c r="Y282" s="96"/>
      <c r="Z282" s="152"/>
      <c r="AA282" s="99"/>
      <c r="AB282" s="91"/>
      <c r="AC282" s="91"/>
      <c r="AD282" s="91"/>
    </row>
    <row r="283" ht="15.75" customHeight="1" outlineLevel="1">
      <c r="A283" s="170" t="s">
        <v>10833</v>
      </c>
      <c r="B283" s="57" t="s">
        <v>77</v>
      </c>
      <c r="C283" s="51" t="s">
        <v>33</v>
      </c>
      <c r="D283" s="52" t="s">
        <v>89</v>
      </c>
      <c r="E283" s="53" t="s">
        <v>33</v>
      </c>
      <c r="F283" s="250" t="s">
        <v>10992</v>
      </c>
      <c r="G283" s="325" t="s">
        <v>27</v>
      </c>
      <c r="H283" s="256"/>
      <c r="I283" s="53" t="s">
        <v>27</v>
      </c>
      <c r="J283" s="155" t="s">
        <v>4</v>
      </c>
      <c r="K283" s="166" t="s">
        <v>27</v>
      </c>
      <c r="L283" s="155" t="s">
        <v>4</v>
      </c>
      <c r="M283" s="326" t="s">
        <v>27</v>
      </c>
      <c r="N283" s="158"/>
      <c r="O283" s="55" t="str">
        <f t="shared" si="4"/>
        <v>L2.02.02.00.00.00</v>
      </c>
      <c r="P283" s="55" t="str">
        <f t="shared" ref="P283:P392" si="12">A283&amp;"."&amp;C283&amp;"."&amp;E283&amp;"."&amp;G283&amp;"."&amp;I283&amp;"."&amp;K283&amp;"."&amp;M283</f>
        <v>L2.02.02.00.00.00.00</v>
      </c>
      <c r="Q283" s="161" t="s">
        <v>10530</v>
      </c>
      <c r="R283" s="161" t="s">
        <v>10993</v>
      </c>
      <c r="S283" s="269" t="s">
        <v>10916</v>
      </c>
      <c r="T283" s="96"/>
      <c r="U283" s="96"/>
      <c r="V283" s="96"/>
      <c r="W283" s="96"/>
      <c r="X283" s="96"/>
      <c r="Y283" s="97" t="s">
        <v>10894</v>
      </c>
      <c r="Z283" s="98" t="s">
        <v>10994</v>
      </c>
      <c r="AA283" s="99"/>
      <c r="AB283" s="91"/>
      <c r="AC283" s="91"/>
      <c r="AD283" s="91"/>
    </row>
    <row r="284" ht="15.75" customHeight="1" outlineLevel="1">
      <c r="A284" s="228" t="s">
        <v>10833</v>
      </c>
      <c r="B284" s="270" t="s">
        <v>77</v>
      </c>
      <c r="C284" s="270" t="s">
        <v>33</v>
      </c>
      <c r="D284" s="209" t="s">
        <v>89</v>
      </c>
      <c r="E284" s="271" t="s">
        <v>33</v>
      </c>
      <c r="F284" s="182" t="s">
        <v>10992</v>
      </c>
      <c r="G284" s="209" t="s">
        <v>29</v>
      </c>
      <c r="H284" s="212" t="s">
        <v>10995</v>
      </c>
      <c r="I284" s="271" t="s">
        <v>27</v>
      </c>
      <c r="J284" s="209" t="s">
        <v>4</v>
      </c>
      <c r="K284" s="271" t="s">
        <v>27</v>
      </c>
      <c r="L284" s="209" t="s">
        <v>4</v>
      </c>
      <c r="M284" s="327" t="s">
        <v>27</v>
      </c>
      <c r="N284" s="70"/>
      <c r="O284" s="58" t="str">
        <f t="shared" si="4"/>
        <v>L2.02.02.01.00.00</v>
      </c>
      <c r="P284" s="272" t="str">
        <f t="shared" si="12"/>
        <v>L2.02.02.01.00.00.00</v>
      </c>
      <c r="Q284" s="185" t="s">
        <v>10530</v>
      </c>
      <c r="R284" s="273" t="str">
        <f t="shared" ref="R284:R340" si="13">if(L284&lt;&gt;"-",L284,if(AND(L284="-",J284&lt;&gt;"-"),J284,if(AND(J284="-",H284&lt;&gt;"-"),H284,"NA")))</f>
        <v>Ban giám đốc Khối Doanh nghiệp nhỏ</v>
      </c>
      <c r="S284" s="274" t="s">
        <v>10996</v>
      </c>
      <c r="T284" s="183"/>
      <c r="U284" s="183"/>
      <c r="V284" s="183"/>
      <c r="W284" s="183"/>
      <c r="X284" s="183"/>
      <c r="Y284" s="184" t="s">
        <v>10894</v>
      </c>
      <c r="Z284" s="275" t="s">
        <v>10997</v>
      </c>
      <c r="AA284" s="276"/>
      <c r="AB284" s="277"/>
      <c r="AC284" s="277"/>
      <c r="AD284" s="277"/>
    </row>
    <row r="285" ht="15.75" customHeight="1" outlineLevel="1">
      <c r="A285" s="278" t="s">
        <v>10833</v>
      </c>
      <c r="B285" s="279" t="s">
        <v>77</v>
      </c>
      <c r="C285" s="279" t="s">
        <v>33</v>
      </c>
      <c r="D285" s="280" t="s">
        <v>89</v>
      </c>
      <c r="E285" s="281" t="s">
        <v>33</v>
      </c>
      <c r="F285" s="283" t="s">
        <v>10992</v>
      </c>
      <c r="G285" s="280" t="s">
        <v>33</v>
      </c>
      <c r="H285" s="282" t="s">
        <v>10998</v>
      </c>
      <c r="I285" s="283" t="s">
        <v>27</v>
      </c>
      <c r="J285" s="328" t="s">
        <v>4</v>
      </c>
      <c r="K285" s="281" t="s">
        <v>27</v>
      </c>
      <c r="L285" s="328" t="s">
        <v>4</v>
      </c>
      <c r="M285" s="280" t="s">
        <v>27</v>
      </c>
      <c r="N285" s="286"/>
      <c r="O285" s="286"/>
      <c r="P285" s="287" t="str">
        <f t="shared" si="12"/>
        <v>L2.02.02.02.00.00.00</v>
      </c>
      <c r="Q285" s="288" t="s">
        <v>10530</v>
      </c>
      <c r="R285" s="329" t="str">
        <f t="shared" si="13"/>
        <v>Khối KD giải pháp KTDN</v>
      </c>
      <c r="S285" s="290" t="str">
        <f>P283</f>
        <v>L2.02.02.00.00.00.00</v>
      </c>
      <c r="T285" s="291"/>
      <c r="U285" s="292"/>
      <c r="V285" s="292"/>
      <c r="W285" s="292"/>
      <c r="X285" s="292"/>
      <c r="Y285" s="292"/>
      <c r="Z285" s="330" t="s">
        <v>10999</v>
      </c>
      <c r="AA285" s="293"/>
      <c r="AB285" s="295"/>
      <c r="AC285" s="295"/>
      <c r="AD285" s="296"/>
    </row>
    <row r="286" ht="15.75" customHeight="1" outlineLevel="1">
      <c r="A286" s="331" t="s">
        <v>10833</v>
      </c>
      <c r="B286" s="332" t="s">
        <v>77</v>
      </c>
      <c r="C286" s="332" t="s">
        <v>33</v>
      </c>
      <c r="D286" s="333" t="s">
        <v>89</v>
      </c>
      <c r="E286" s="334" t="s">
        <v>33</v>
      </c>
      <c r="F286" s="335" t="s">
        <v>10992</v>
      </c>
      <c r="G286" s="333" t="s">
        <v>35</v>
      </c>
      <c r="H286" s="336" t="s">
        <v>11000</v>
      </c>
      <c r="I286" s="335" t="s">
        <v>27</v>
      </c>
      <c r="J286" s="328" t="s">
        <v>4</v>
      </c>
      <c r="K286" s="334" t="s">
        <v>27</v>
      </c>
      <c r="L286" s="328" t="s">
        <v>4</v>
      </c>
      <c r="M286" s="333" t="s">
        <v>27</v>
      </c>
      <c r="N286" s="337"/>
      <c r="O286" s="337"/>
      <c r="P286" s="338" t="str">
        <f t="shared" si="12"/>
        <v>L2.02.02.03.00.00.00</v>
      </c>
      <c r="Q286" s="339" t="s">
        <v>10530</v>
      </c>
      <c r="R286" s="329" t="str">
        <f t="shared" si="13"/>
        <v>Khối KD bán thêm</v>
      </c>
      <c r="S286" s="290" t="s">
        <v>10996</v>
      </c>
      <c r="T286" s="340"/>
      <c r="U286" s="341"/>
      <c r="V286" s="341"/>
      <c r="W286" s="341"/>
      <c r="X286" s="341"/>
      <c r="Y286" s="341"/>
      <c r="Z286" s="330" t="s">
        <v>11001</v>
      </c>
      <c r="AA286" s="293"/>
      <c r="AB286" s="295"/>
      <c r="AC286" s="295"/>
      <c r="AD286" s="296"/>
    </row>
    <row r="287" ht="15.75" customHeight="1" outlineLevel="1">
      <c r="A287" s="261" t="s">
        <v>10833</v>
      </c>
      <c r="B287" s="231" t="s">
        <v>77</v>
      </c>
      <c r="C287" s="231" t="s">
        <v>33</v>
      </c>
      <c r="D287" s="157" t="s">
        <v>89</v>
      </c>
      <c r="E287" s="297" t="s">
        <v>33</v>
      </c>
      <c r="F287" s="168" t="s">
        <v>10992</v>
      </c>
      <c r="G287" s="157" t="s">
        <v>33</v>
      </c>
      <c r="H287" s="298" t="s">
        <v>11002</v>
      </c>
      <c r="I287" s="168" t="s">
        <v>27</v>
      </c>
      <c r="J287" s="258" t="s">
        <v>4</v>
      </c>
      <c r="K287" s="297" t="s">
        <v>27</v>
      </c>
      <c r="L287" s="157" t="s">
        <v>4</v>
      </c>
      <c r="M287" s="157" t="s">
        <v>29</v>
      </c>
      <c r="N287" s="167" t="s">
        <v>10498</v>
      </c>
      <c r="O287" s="55" t="str">
        <f t="shared" ref="O287:O397" si="14">A287&amp;"."&amp;C287&amp;"."&amp;E287&amp;"."&amp;G287&amp;"."&amp;I287&amp;"."&amp;K287</f>
        <v>L2.02.02.02.00.00</v>
      </c>
      <c r="P287" s="257" t="str">
        <f t="shared" si="12"/>
        <v>L2.02.02.02.00.00.01</v>
      </c>
      <c r="Q287" s="161" t="s">
        <v>10530</v>
      </c>
      <c r="R287" s="299" t="str">
        <f t="shared" si="13"/>
        <v>Trung tâm KD giải pháp KTDN - Hà Nội</v>
      </c>
      <c r="S287" s="274" t="s">
        <v>11003</v>
      </c>
      <c r="T287" s="264" t="s">
        <v>11004</v>
      </c>
      <c r="U287" s="265" t="s">
        <v>346</v>
      </c>
      <c r="V287" s="265" t="s">
        <v>112</v>
      </c>
      <c r="W287" s="265" t="s">
        <v>113</v>
      </c>
      <c r="X287" s="265"/>
      <c r="Y287" s="265"/>
      <c r="Z287" s="225" t="s">
        <v>11005</v>
      </c>
      <c r="AA287" s="300" t="s">
        <v>10530</v>
      </c>
      <c r="AB287" s="267"/>
      <c r="AC287" s="267"/>
      <c r="AD287" s="267"/>
    </row>
    <row r="288" ht="15.75" customHeight="1" outlineLevel="1">
      <c r="A288" s="261" t="s">
        <v>10833</v>
      </c>
      <c r="B288" s="231" t="s">
        <v>77</v>
      </c>
      <c r="C288" s="231" t="s">
        <v>33</v>
      </c>
      <c r="D288" s="157" t="s">
        <v>89</v>
      </c>
      <c r="E288" s="297" t="s">
        <v>33</v>
      </c>
      <c r="F288" s="168" t="s">
        <v>10992</v>
      </c>
      <c r="G288" s="157" t="s">
        <v>33</v>
      </c>
      <c r="H288" s="298" t="s">
        <v>11002</v>
      </c>
      <c r="I288" s="157" t="s">
        <v>29</v>
      </c>
      <c r="J288" s="257" t="s">
        <v>113</v>
      </c>
      <c r="K288" s="297" t="s">
        <v>27</v>
      </c>
      <c r="L288" s="157" t="s">
        <v>4</v>
      </c>
      <c r="M288" s="157" t="s">
        <v>29</v>
      </c>
      <c r="N288" s="167" t="s">
        <v>10498</v>
      </c>
      <c r="O288" s="55" t="str">
        <f t="shared" si="14"/>
        <v>L2.02.02.02.01.00</v>
      </c>
      <c r="P288" s="257" t="str">
        <f t="shared" si="12"/>
        <v>L2.02.02.02.01.00.01</v>
      </c>
      <c r="Q288" s="161" t="s">
        <v>10530</v>
      </c>
      <c r="R288" s="299" t="str">
        <f t="shared" si="13"/>
        <v>Ban giám đốc TTKD GP KTDN</v>
      </c>
      <c r="S288" s="269" t="s">
        <v>11006</v>
      </c>
      <c r="T288" s="265" t="s">
        <v>9647</v>
      </c>
      <c r="U288" s="265" t="s">
        <v>346</v>
      </c>
      <c r="V288" s="265" t="s">
        <v>112</v>
      </c>
      <c r="W288" s="265" t="s">
        <v>113</v>
      </c>
      <c r="X288" s="265"/>
      <c r="Y288" s="265"/>
      <c r="Z288" s="225" t="s">
        <v>11007</v>
      </c>
      <c r="AA288" s="300" t="s">
        <v>10530</v>
      </c>
      <c r="AB288" s="267"/>
      <c r="AC288" s="267"/>
      <c r="AD288" s="267"/>
    </row>
    <row r="289" ht="15.75" customHeight="1" outlineLevel="1">
      <c r="A289" s="261" t="s">
        <v>10833</v>
      </c>
      <c r="B289" s="231" t="s">
        <v>77</v>
      </c>
      <c r="C289" s="231" t="s">
        <v>33</v>
      </c>
      <c r="D289" s="157" t="s">
        <v>89</v>
      </c>
      <c r="E289" s="297" t="s">
        <v>33</v>
      </c>
      <c r="F289" s="168" t="s">
        <v>10992</v>
      </c>
      <c r="G289" s="157" t="s">
        <v>33</v>
      </c>
      <c r="H289" s="298" t="s">
        <v>11002</v>
      </c>
      <c r="I289" s="231" t="s">
        <v>33</v>
      </c>
      <c r="J289" s="184" t="s">
        <v>11008</v>
      </c>
      <c r="K289" s="297" t="s">
        <v>27</v>
      </c>
      <c r="L289" s="157" t="s">
        <v>4</v>
      </c>
      <c r="M289" s="157" t="s">
        <v>29</v>
      </c>
      <c r="N289" s="167" t="s">
        <v>10498</v>
      </c>
      <c r="O289" s="55" t="str">
        <f t="shared" si="14"/>
        <v>L2.02.02.02.02.00</v>
      </c>
      <c r="P289" s="257" t="str">
        <f t="shared" si="12"/>
        <v>L2.02.02.02.02.00.01</v>
      </c>
      <c r="Q289" s="161" t="s">
        <v>10530</v>
      </c>
      <c r="R289" s="273" t="str">
        <f t="shared" si="13"/>
        <v>Phòng KD bán mới KTDN 01</v>
      </c>
      <c r="S289" s="269" t="s">
        <v>11006</v>
      </c>
      <c r="T289" s="265" t="s">
        <v>1261</v>
      </c>
      <c r="U289" s="265" t="s">
        <v>346</v>
      </c>
      <c r="V289" s="265" t="s">
        <v>112</v>
      </c>
      <c r="W289" s="265" t="s">
        <v>1260</v>
      </c>
      <c r="X289" s="265"/>
      <c r="Y289" s="265"/>
      <c r="Z289" s="225" t="s">
        <v>11009</v>
      </c>
      <c r="AA289" s="300" t="s">
        <v>10530</v>
      </c>
      <c r="AB289" s="267"/>
      <c r="AC289" s="267"/>
      <c r="AD289" s="267"/>
    </row>
    <row r="290" ht="15.75" customHeight="1" outlineLevel="1">
      <c r="A290" s="261" t="s">
        <v>10833</v>
      </c>
      <c r="B290" s="231" t="s">
        <v>77</v>
      </c>
      <c r="C290" s="231" t="s">
        <v>33</v>
      </c>
      <c r="D290" s="157" t="s">
        <v>89</v>
      </c>
      <c r="E290" s="297" t="s">
        <v>33</v>
      </c>
      <c r="F290" s="168" t="s">
        <v>10992</v>
      </c>
      <c r="G290" s="157" t="s">
        <v>33</v>
      </c>
      <c r="H290" s="298" t="s">
        <v>11002</v>
      </c>
      <c r="I290" s="231" t="s">
        <v>35</v>
      </c>
      <c r="J290" s="184" t="s">
        <v>11010</v>
      </c>
      <c r="K290" s="297" t="s">
        <v>27</v>
      </c>
      <c r="L290" s="157" t="s">
        <v>4</v>
      </c>
      <c r="M290" s="157" t="s">
        <v>29</v>
      </c>
      <c r="N290" s="167" t="s">
        <v>10498</v>
      </c>
      <c r="O290" s="55" t="str">
        <f t="shared" si="14"/>
        <v>L2.02.02.02.03.00</v>
      </c>
      <c r="P290" s="257" t="str">
        <f t="shared" si="12"/>
        <v>L2.02.02.02.03.00.01</v>
      </c>
      <c r="Q290" s="161" t="s">
        <v>10530</v>
      </c>
      <c r="R290" s="273" t="str">
        <f t="shared" si="13"/>
        <v>Phòng KD bán mới KTDN 03</v>
      </c>
      <c r="S290" s="269" t="s">
        <v>11006</v>
      </c>
      <c r="T290" s="265" t="s">
        <v>391</v>
      </c>
      <c r="U290" s="265" t="s">
        <v>346</v>
      </c>
      <c r="V290" s="265" t="s">
        <v>112</v>
      </c>
      <c r="W290" s="265" t="s">
        <v>390</v>
      </c>
      <c r="X290" s="265"/>
      <c r="Y290" s="265"/>
      <c r="Z290" s="225" t="s">
        <v>11011</v>
      </c>
      <c r="AA290" s="300" t="s">
        <v>10530</v>
      </c>
      <c r="AB290" s="267"/>
      <c r="AC290" s="267"/>
      <c r="AD290" s="267"/>
    </row>
    <row r="291" ht="15.75" customHeight="1" outlineLevel="1">
      <c r="A291" s="261" t="s">
        <v>10833</v>
      </c>
      <c r="B291" s="231" t="s">
        <v>77</v>
      </c>
      <c r="C291" s="231" t="s">
        <v>33</v>
      </c>
      <c r="D291" s="157" t="s">
        <v>89</v>
      </c>
      <c r="E291" s="297" t="s">
        <v>33</v>
      </c>
      <c r="F291" s="168" t="s">
        <v>10992</v>
      </c>
      <c r="G291" s="157" t="s">
        <v>33</v>
      </c>
      <c r="H291" s="298" t="s">
        <v>11002</v>
      </c>
      <c r="I291" s="231" t="s">
        <v>37</v>
      </c>
      <c r="J291" s="184" t="s">
        <v>11012</v>
      </c>
      <c r="K291" s="297" t="s">
        <v>27</v>
      </c>
      <c r="L291" s="157" t="s">
        <v>4</v>
      </c>
      <c r="M291" s="157" t="s">
        <v>29</v>
      </c>
      <c r="N291" s="167" t="s">
        <v>10498</v>
      </c>
      <c r="O291" s="55" t="str">
        <f t="shared" si="14"/>
        <v>L2.02.02.02.04.00</v>
      </c>
      <c r="P291" s="257" t="str">
        <f t="shared" si="12"/>
        <v>L2.02.02.02.04.00.01</v>
      </c>
      <c r="Q291" s="161" t="s">
        <v>10530</v>
      </c>
      <c r="R291" s="273" t="str">
        <f t="shared" si="13"/>
        <v>Phòng KD bán mới KTDN 04</v>
      </c>
      <c r="S291" s="269" t="s">
        <v>11006</v>
      </c>
      <c r="T291" s="265" t="s">
        <v>404</v>
      </c>
      <c r="U291" s="265" t="s">
        <v>346</v>
      </c>
      <c r="V291" s="265" t="s">
        <v>112</v>
      </c>
      <c r="W291" s="265" t="s">
        <v>403</v>
      </c>
      <c r="X291" s="265"/>
      <c r="Y291" s="265"/>
      <c r="Z291" s="225" t="s">
        <v>11013</v>
      </c>
      <c r="AA291" s="300" t="s">
        <v>10530</v>
      </c>
      <c r="AB291" s="267"/>
      <c r="AC291" s="267"/>
      <c r="AD291" s="267"/>
    </row>
    <row r="292" ht="15.75" customHeight="1" outlineLevel="1">
      <c r="A292" s="261" t="s">
        <v>10833</v>
      </c>
      <c r="B292" s="231" t="s">
        <v>77</v>
      </c>
      <c r="C292" s="231" t="s">
        <v>33</v>
      </c>
      <c r="D292" s="157" t="s">
        <v>89</v>
      </c>
      <c r="E292" s="297" t="s">
        <v>33</v>
      </c>
      <c r="F292" s="168" t="s">
        <v>10992</v>
      </c>
      <c r="G292" s="157" t="s">
        <v>33</v>
      </c>
      <c r="H292" s="298" t="s">
        <v>11002</v>
      </c>
      <c r="I292" s="231" t="s">
        <v>42</v>
      </c>
      <c r="J292" s="184" t="s">
        <v>11014</v>
      </c>
      <c r="K292" s="297" t="s">
        <v>27</v>
      </c>
      <c r="L292" s="157" t="s">
        <v>4</v>
      </c>
      <c r="M292" s="157" t="s">
        <v>29</v>
      </c>
      <c r="N292" s="167" t="s">
        <v>10498</v>
      </c>
      <c r="O292" s="55" t="str">
        <f t="shared" si="14"/>
        <v>L2.02.02.02.05.00</v>
      </c>
      <c r="P292" s="257" t="str">
        <f t="shared" si="12"/>
        <v>L2.02.02.02.05.00.01</v>
      </c>
      <c r="Q292" s="161" t="s">
        <v>10530</v>
      </c>
      <c r="R292" s="273" t="str">
        <f t="shared" si="13"/>
        <v>Phòng KD bán mới KTDN 05</v>
      </c>
      <c r="S292" s="269" t="s">
        <v>11006</v>
      </c>
      <c r="T292" s="265" t="s">
        <v>1131</v>
      </c>
      <c r="U292" s="265" t="s">
        <v>346</v>
      </c>
      <c r="V292" s="265" t="s">
        <v>112</v>
      </c>
      <c r="W292" s="265" t="s">
        <v>1130</v>
      </c>
      <c r="X292" s="265"/>
      <c r="Y292" s="265"/>
      <c r="Z292" s="225" t="s">
        <v>11015</v>
      </c>
      <c r="AA292" s="300" t="s">
        <v>10530</v>
      </c>
      <c r="AB292" s="267"/>
      <c r="AC292" s="267"/>
      <c r="AD292" s="267"/>
    </row>
    <row r="293" ht="15.75" customHeight="1" outlineLevel="1">
      <c r="A293" s="261" t="s">
        <v>10833</v>
      </c>
      <c r="B293" s="231" t="s">
        <v>77</v>
      </c>
      <c r="C293" s="231" t="s">
        <v>33</v>
      </c>
      <c r="D293" s="157" t="s">
        <v>89</v>
      </c>
      <c r="E293" s="297" t="s">
        <v>33</v>
      </c>
      <c r="F293" s="168" t="s">
        <v>10992</v>
      </c>
      <c r="G293" s="157" t="s">
        <v>33</v>
      </c>
      <c r="H293" s="298" t="s">
        <v>11002</v>
      </c>
      <c r="I293" s="231" t="s">
        <v>44</v>
      </c>
      <c r="J293" s="184" t="s">
        <v>11016</v>
      </c>
      <c r="K293" s="297" t="s">
        <v>27</v>
      </c>
      <c r="L293" s="157" t="s">
        <v>4</v>
      </c>
      <c r="M293" s="157" t="s">
        <v>29</v>
      </c>
      <c r="N293" s="167" t="s">
        <v>10498</v>
      </c>
      <c r="O293" s="55" t="str">
        <f t="shared" si="14"/>
        <v>L2.02.02.02.06.00</v>
      </c>
      <c r="P293" s="257" t="str">
        <f t="shared" si="12"/>
        <v>L2.02.02.02.06.00.01</v>
      </c>
      <c r="Q293" s="161" t="s">
        <v>10530</v>
      </c>
      <c r="R293" s="273" t="str">
        <f t="shared" si="13"/>
        <v>Phòng KD bán mới KTDN 07</v>
      </c>
      <c r="S293" s="269" t="s">
        <v>11006</v>
      </c>
      <c r="T293" s="265" t="s">
        <v>1140</v>
      </c>
      <c r="U293" s="265" t="s">
        <v>346</v>
      </c>
      <c r="V293" s="265" t="s">
        <v>112</v>
      </c>
      <c r="W293" s="265" t="s">
        <v>1139</v>
      </c>
      <c r="X293" s="265"/>
      <c r="Y293" s="265"/>
      <c r="Z293" s="225" t="s">
        <v>11017</v>
      </c>
      <c r="AA293" s="300" t="s">
        <v>10530</v>
      </c>
      <c r="AB293" s="267"/>
      <c r="AC293" s="267"/>
      <c r="AD293" s="267"/>
    </row>
    <row r="294" ht="15.75" customHeight="1" outlineLevel="1">
      <c r="A294" s="261" t="s">
        <v>10833</v>
      </c>
      <c r="B294" s="231" t="s">
        <v>77</v>
      </c>
      <c r="C294" s="231" t="s">
        <v>33</v>
      </c>
      <c r="D294" s="157" t="s">
        <v>89</v>
      </c>
      <c r="E294" s="297" t="s">
        <v>33</v>
      </c>
      <c r="F294" s="168" t="s">
        <v>10992</v>
      </c>
      <c r="G294" s="157" t="s">
        <v>33</v>
      </c>
      <c r="H294" s="298" t="s">
        <v>11002</v>
      </c>
      <c r="I294" s="231" t="s">
        <v>46</v>
      </c>
      <c r="J294" s="184" t="s">
        <v>11018</v>
      </c>
      <c r="K294" s="297" t="s">
        <v>27</v>
      </c>
      <c r="L294" s="157" t="s">
        <v>4</v>
      </c>
      <c r="M294" s="157" t="s">
        <v>29</v>
      </c>
      <c r="N294" s="167" t="s">
        <v>10498</v>
      </c>
      <c r="O294" s="55" t="str">
        <f t="shared" si="14"/>
        <v>L2.02.02.02.07.00</v>
      </c>
      <c r="P294" s="257" t="str">
        <f t="shared" si="12"/>
        <v>L2.02.02.02.07.00.01</v>
      </c>
      <c r="Q294" s="161" t="s">
        <v>10530</v>
      </c>
      <c r="R294" s="273" t="str">
        <f t="shared" si="13"/>
        <v>Phòng KD bán mới KTDN 08</v>
      </c>
      <c r="S294" s="269" t="s">
        <v>11006</v>
      </c>
      <c r="T294" s="265" t="s">
        <v>398</v>
      </c>
      <c r="U294" s="265" t="s">
        <v>346</v>
      </c>
      <c r="V294" s="265" t="s">
        <v>112</v>
      </c>
      <c r="W294" s="265" t="s">
        <v>397</v>
      </c>
      <c r="X294" s="265"/>
      <c r="Y294" s="265"/>
      <c r="Z294" s="225" t="s">
        <v>11019</v>
      </c>
      <c r="AA294" s="300" t="s">
        <v>10530</v>
      </c>
      <c r="AB294" s="267"/>
      <c r="AC294" s="267"/>
      <c r="AD294" s="267"/>
    </row>
    <row r="295" ht="15.75" customHeight="1" outlineLevel="1">
      <c r="A295" s="261" t="s">
        <v>10833</v>
      </c>
      <c r="B295" s="231" t="s">
        <v>77</v>
      </c>
      <c r="C295" s="231" t="s">
        <v>33</v>
      </c>
      <c r="D295" s="157" t="s">
        <v>89</v>
      </c>
      <c r="E295" s="297" t="s">
        <v>33</v>
      </c>
      <c r="F295" s="168" t="s">
        <v>10992</v>
      </c>
      <c r="G295" s="157" t="s">
        <v>35</v>
      </c>
      <c r="H295" s="298" t="s">
        <v>11020</v>
      </c>
      <c r="I295" s="168" t="s">
        <v>27</v>
      </c>
      <c r="J295" s="258" t="s">
        <v>4</v>
      </c>
      <c r="K295" s="297" t="s">
        <v>27</v>
      </c>
      <c r="L295" s="157" t="s">
        <v>4</v>
      </c>
      <c r="M295" s="157" t="s">
        <v>29</v>
      </c>
      <c r="N295" s="167" t="s">
        <v>10498</v>
      </c>
      <c r="O295" s="55" t="str">
        <f t="shared" si="14"/>
        <v>L2.02.02.03.00.00</v>
      </c>
      <c r="P295" s="257" t="str">
        <f t="shared" si="12"/>
        <v>L2.02.02.03.00.00.01</v>
      </c>
      <c r="Q295" s="161" t="s">
        <v>10530</v>
      </c>
      <c r="R295" s="273" t="str">
        <f t="shared" si="13"/>
        <v>Trung tâm KD bán thêm - Hà Nội</v>
      </c>
      <c r="S295" s="274" t="str">
        <f>P286</f>
        <v>L2.02.02.03.00.00.00</v>
      </c>
      <c r="T295" s="264" t="s">
        <v>11021</v>
      </c>
      <c r="U295" s="265" t="s">
        <v>346</v>
      </c>
      <c r="V295" s="265" t="s">
        <v>263</v>
      </c>
      <c r="W295" s="265" t="s">
        <v>122</v>
      </c>
      <c r="X295" s="265"/>
      <c r="Y295" s="265"/>
      <c r="Z295" s="225" t="s">
        <v>11022</v>
      </c>
      <c r="AA295" s="300" t="s">
        <v>10530</v>
      </c>
      <c r="AB295" s="267"/>
      <c r="AC295" s="267"/>
      <c r="AD295" s="267"/>
    </row>
    <row r="296" ht="15.75" customHeight="1" outlineLevel="1">
      <c r="A296" s="261" t="s">
        <v>10833</v>
      </c>
      <c r="B296" s="231" t="s">
        <v>77</v>
      </c>
      <c r="C296" s="231" t="s">
        <v>33</v>
      </c>
      <c r="D296" s="157" t="s">
        <v>89</v>
      </c>
      <c r="E296" s="297" t="s">
        <v>33</v>
      </c>
      <c r="F296" s="168" t="s">
        <v>10992</v>
      </c>
      <c r="G296" s="157" t="s">
        <v>35</v>
      </c>
      <c r="H296" s="298" t="s">
        <v>11020</v>
      </c>
      <c r="I296" s="157" t="s">
        <v>29</v>
      </c>
      <c r="J296" s="257" t="s">
        <v>122</v>
      </c>
      <c r="K296" s="297" t="s">
        <v>27</v>
      </c>
      <c r="L296" s="157" t="s">
        <v>4</v>
      </c>
      <c r="M296" s="157" t="s">
        <v>29</v>
      </c>
      <c r="N296" s="167" t="s">
        <v>10498</v>
      </c>
      <c r="O296" s="55" t="str">
        <f t="shared" si="14"/>
        <v>L2.02.02.03.01.00</v>
      </c>
      <c r="P296" s="257" t="str">
        <f t="shared" si="12"/>
        <v>L2.02.02.03.01.00.01</v>
      </c>
      <c r="Q296" s="161" t="s">
        <v>10530</v>
      </c>
      <c r="R296" s="299" t="str">
        <f t="shared" si="13"/>
        <v>Ban giám đốc TTKD Bán thêm</v>
      </c>
      <c r="S296" s="269" t="s">
        <v>11023</v>
      </c>
      <c r="T296" s="265" t="s">
        <v>2663</v>
      </c>
      <c r="U296" s="265" t="s">
        <v>346</v>
      </c>
      <c r="V296" s="265" t="s">
        <v>263</v>
      </c>
      <c r="W296" s="265" t="s">
        <v>122</v>
      </c>
      <c r="X296" s="265"/>
      <c r="Y296" s="265"/>
      <c r="Z296" s="225" t="s">
        <v>11024</v>
      </c>
      <c r="AA296" s="300" t="s">
        <v>10530</v>
      </c>
      <c r="AB296" s="267"/>
      <c r="AC296" s="267"/>
      <c r="AD296" s="267"/>
    </row>
    <row r="297" ht="15.75" customHeight="1" outlineLevel="1">
      <c r="A297" s="261" t="s">
        <v>10833</v>
      </c>
      <c r="B297" s="231" t="s">
        <v>77</v>
      </c>
      <c r="C297" s="231" t="s">
        <v>33</v>
      </c>
      <c r="D297" s="157" t="s">
        <v>89</v>
      </c>
      <c r="E297" s="297" t="s">
        <v>33</v>
      </c>
      <c r="F297" s="168" t="s">
        <v>10992</v>
      </c>
      <c r="G297" s="157" t="s">
        <v>35</v>
      </c>
      <c r="H297" s="298" t="s">
        <v>11020</v>
      </c>
      <c r="I297" s="157" t="s">
        <v>33</v>
      </c>
      <c r="J297" s="257" t="s">
        <v>123</v>
      </c>
      <c r="K297" s="297" t="s">
        <v>27</v>
      </c>
      <c r="L297" s="157" t="s">
        <v>4</v>
      </c>
      <c r="M297" s="157" t="s">
        <v>29</v>
      </c>
      <c r="N297" s="167" t="s">
        <v>10498</v>
      </c>
      <c r="O297" s="55" t="str">
        <f t="shared" si="14"/>
        <v>L2.02.02.03.02.00</v>
      </c>
      <c r="P297" s="257" t="str">
        <f t="shared" si="12"/>
        <v>L2.02.02.03.02.00.01</v>
      </c>
      <c r="Q297" s="161" t="s">
        <v>10530</v>
      </c>
      <c r="R297" s="299" t="str">
        <f t="shared" si="13"/>
        <v>Phòng bán thêm GP KTDN</v>
      </c>
      <c r="S297" s="269" t="s">
        <v>11023</v>
      </c>
      <c r="T297" s="342" t="s">
        <v>11025</v>
      </c>
      <c r="U297" s="265" t="s">
        <v>346</v>
      </c>
      <c r="V297" s="265" t="s">
        <v>263</v>
      </c>
      <c r="W297" s="302" t="s">
        <v>123</v>
      </c>
      <c r="X297" s="265"/>
      <c r="Y297" s="265"/>
      <c r="Z297" s="225" t="s">
        <v>11026</v>
      </c>
      <c r="AA297" s="300" t="s">
        <v>10530</v>
      </c>
      <c r="AB297" s="267"/>
      <c r="AC297" s="267"/>
      <c r="AD297" s="267"/>
    </row>
    <row r="298" ht="15.75" customHeight="1" outlineLevel="1">
      <c r="A298" s="261" t="s">
        <v>10833</v>
      </c>
      <c r="B298" s="231" t="s">
        <v>77</v>
      </c>
      <c r="C298" s="231" t="s">
        <v>33</v>
      </c>
      <c r="D298" s="157" t="s">
        <v>89</v>
      </c>
      <c r="E298" s="297" t="s">
        <v>33</v>
      </c>
      <c r="F298" s="168" t="s">
        <v>10992</v>
      </c>
      <c r="G298" s="157" t="s">
        <v>35</v>
      </c>
      <c r="H298" s="298" t="s">
        <v>11020</v>
      </c>
      <c r="I298" s="157" t="s">
        <v>33</v>
      </c>
      <c r="J298" s="257" t="s">
        <v>123</v>
      </c>
      <c r="K298" s="297" t="s">
        <v>29</v>
      </c>
      <c r="L298" s="257" t="s">
        <v>124</v>
      </c>
      <c r="M298" s="157" t="s">
        <v>29</v>
      </c>
      <c r="N298" s="167" t="s">
        <v>10498</v>
      </c>
      <c r="O298" s="55" t="str">
        <f t="shared" si="14"/>
        <v>L2.02.02.03.02.01</v>
      </c>
      <c r="P298" s="257" t="str">
        <f t="shared" si="12"/>
        <v>L2.02.02.03.02.01.01</v>
      </c>
      <c r="Q298" s="161" t="s">
        <v>10530</v>
      </c>
      <c r="R298" s="299" t="str">
        <f t="shared" si="13"/>
        <v>Phòng bán thêm GP KTDN 01</v>
      </c>
      <c r="S298" s="269" t="s">
        <v>11027</v>
      </c>
      <c r="T298" s="265" t="s">
        <v>535</v>
      </c>
      <c r="U298" s="265" t="s">
        <v>346</v>
      </c>
      <c r="V298" s="265" t="s">
        <v>263</v>
      </c>
      <c r="W298" s="265" t="s">
        <v>123</v>
      </c>
      <c r="X298" s="265" t="s">
        <v>124</v>
      </c>
      <c r="Y298" s="265"/>
      <c r="Z298" s="225" t="s">
        <v>11028</v>
      </c>
      <c r="AA298" s="300" t="s">
        <v>10530</v>
      </c>
      <c r="AB298" s="267"/>
      <c r="AC298" s="267"/>
      <c r="AD298" s="267"/>
    </row>
    <row r="299" ht="15.75" customHeight="1" outlineLevel="1">
      <c r="A299" s="261" t="s">
        <v>10833</v>
      </c>
      <c r="B299" s="231" t="s">
        <v>77</v>
      </c>
      <c r="C299" s="231" t="s">
        <v>33</v>
      </c>
      <c r="D299" s="157" t="s">
        <v>89</v>
      </c>
      <c r="E299" s="297" t="s">
        <v>33</v>
      </c>
      <c r="F299" s="168" t="s">
        <v>10992</v>
      </c>
      <c r="G299" s="157" t="s">
        <v>35</v>
      </c>
      <c r="H299" s="298" t="s">
        <v>11020</v>
      </c>
      <c r="I299" s="157" t="s">
        <v>33</v>
      </c>
      <c r="J299" s="257" t="s">
        <v>123</v>
      </c>
      <c r="K299" s="297" t="s">
        <v>33</v>
      </c>
      <c r="L299" s="257" t="s">
        <v>125</v>
      </c>
      <c r="M299" s="157" t="s">
        <v>29</v>
      </c>
      <c r="N299" s="167" t="s">
        <v>10498</v>
      </c>
      <c r="O299" s="55" t="str">
        <f t="shared" si="14"/>
        <v>L2.02.02.03.02.02</v>
      </c>
      <c r="P299" s="257" t="str">
        <f t="shared" si="12"/>
        <v>L2.02.02.03.02.02.01</v>
      </c>
      <c r="Q299" s="161" t="s">
        <v>10530</v>
      </c>
      <c r="R299" s="299" t="str">
        <f t="shared" si="13"/>
        <v>Phòng bán thêm GP KTDN 02</v>
      </c>
      <c r="S299" s="269" t="s">
        <v>11027</v>
      </c>
      <c r="T299" s="265" t="s">
        <v>430</v>
      </c>
      <c r="U299" s="265" t="s">
        <v>346</v>
      </c>
      <c r="V299" s="265" t="s">
        <v>263</v>
      </c>
      <c r="W299" s="265" t="s">
        <v>123</v>
      </c>
      <c r="X299" s="265" t="s">
        <v>125</v>
      </c>
      <c r="Y299" s="265"/>
      <c r="Z299" s="225" t="s">
        <v>11029</v>
      </c>
      <c r="AA299" s="300" t="s">
        <v>10530</v>
      </c>
      <c r="AB299" s="267"/>
      <c r="AC299" s="267"/>
      <c r="AD299" s="267"/>
    </row>
    <row r="300" ht="15.75" customHeight="1" outlineLevel="1">
      <c r="A300" s="261" t="s">
        <v>10833</v>
      </c>
      <c r="B300" s="231" t="s">
        <v>77</v>
      </c>
      <c r="C300" s="231" t="s">
        <v>33</v>
      </c>
      <c r="D300" s="157" t="s">
        <v>89</v>
      </c>
      <c r="E300" s="297" t="s">
        <v>33</v>
      </c>
      <c r="F300" s="168" t="s">
        <v>10992</v>
      </c>
      <c r="G300" s="157" t="s">
        <v>35</v>
      </c>
      <c r="H300" s="298" t="s">
        <v>11020</v>
      </c>
      <c r="I300" s="157" t="s">
        <v>35</v>
      </c>
      <c r="J300" s="257" t="s">
        <v>126</v>
      </c>
      <c r="K300" s="297" t="s">
        <v>27</v>
      </c>
      <c r="L300" s="157" t="s">
        <v>4</v>
      </c>
      <c r="M300" s="157" t="s">
        <v>29</v>
      </c>
      <c r="N300" s="167" t="s">
        <v>10498</v>
      </c>
      <c r="O300" s="55" t="str">
        <f t="shared" si="14"/>
        <v>L2.02.02.03.03.00</v>
      </c>
      <c r="P300" s="257" t="str">
        <f t="shared" si="12"/>
        <v>L2.02.02.03.03.00.01</v>
      </c>
      <c r="Q300" s="161" t="s">
        <v>10530</v>
      </c>
      <c r="R300" s="299" t="str">
        <f t="shared" si="13"/>
        <v>Phòng bán thêm GP HDDT</v>
      </c>
      <c r="S300" s="269" t="s">
        <v>11023</v>
      </c>
      <c r="T300" s="342" t="s">
        <v>11030</v>
      </c>
      <c r="U300" s="265" t="s">
        <v>346</v>
      </c>
      <c r="V300" s="265" t="s">
        <v>263</v>
      </c>
      <c r="W300" s="302" t="s">
        <v>356</v>
      </c>
      <c r="X300" s="265"/>
      <c r="Y300" s="265"/>
      <c r="Z300" s="225" t="s">
        <v>11031</v>
      </c>
      <c r="AA300" s="300" t="s">
        <v>10530</v>
      </c>
      <c r="AB300" s="267"/>
      <c r="AC300" s="267"/>
      <c r="AD300" s="267"/>
    </row>
    <row r="301" ht="15.75" customHeight="1" outlineLevel="1">
      <c r="A301" s="261" t="s">
        <v>10833</v>
      </c>
      <c r="B301" s="231" t="s">
        <v>77</v>
      </c>
      <c r="C301" s="231" t="s">
        <v>33</v>
      </c>
      <c r="D301" s="157" t="s">
        <v>89</v>
      </c>
      <c r="E301" s="297" t="s">
        <v>33</v>
      </c>
      <c r="F301" s="168" t="s">
        <v>10992</v>
      </c>
      <c r="G301" s="157" t="s">
        <v>35</v>
      </c>
      <c r="H301" s="298" t="s">
        <v>11020</v>
      </c>
      <c r="I301" s="157" t="s">
        <v>35</v>
      </c>
      <c r="J301" s="257" t="s">
        <v>126</v>
      </c>
      <c r="K301" s="297" t="s">
        <v>29</v>
      </c>
      <c r="L301" s="257" t="s">
        <v>127</v>
      </c>
      <c r="M301" s="157" t="s">
        <v>29</v>
      </c>
      <c r="N301" s="167" t="s">
        <v>10498</v>
      </c>
      <c r="O301" s="55" t="str">
        <f t="shared" si="14"/>
        <v>L2.02.02.03.03.01</v>
      </c>
      <c r="P301" s="257" t="str">
        <f t="shared" si="12"/>
        <v>L2.02.02.03.03.01.01</v>
      </c>
      <c r="Q301" s="161" t="s">
        <v>10530</v>
      </c>
      <c r="R301" s="299" t="str">
        <f t="shared" si="13"/>
        <v>Phòng bán thêm GP HDDT 01</v>
      </c>
      <c r="S301" s="269" t="s">
        <v>11032</v>
      </c>
      <c r="T301" s="265" t="s">
        <v>357</v>
      </c>
      <c r="U301" s="265" t="s">
        <v>346</v>
      </c>
      <c r="V301" s="265" t="s">
        <v>263</v>
      </c>
      <c r="W301" s="265" t="s">
        <v>356</v>
      </c>
      <c r="X301" s="265" t="s">
        <v>355</v>
      </c>
      <c r="Y301" s="265"/>
      <c r="Z301" s="225" t="s">
        <v>11033</v>
      </c>
      <c r="AA301" s="300" t="s">
        <v>10530</v>
      </c>
      <c r="AB301" s="267"/>
      <c r="AC301" s="267"/>
      <c r="AD301" s="267"/>
    </row>
    <row r="302" ht="15.75" customHeight="1" outlineLevel="1">
      <c r="A302" s="261" t="s">
        <v>10833</v>
      </c>
      <c r="B302" s="231" t="s">
        <v>77</v>
      </c>
      <c r="C302" s="231" t="s">
        <v>33</v>
      </c>
      <c r="D302" s="157" t="s">
        <v>89</v>
      </c>
      <c r="E302" s="297" t="s">
        <v>33</v>
      </c>
      <c r="F302" s="168" t="s">
        <v>10992</v>
      </c>
      <c r="G302" s="157" t="s">
        <v>35</v>
      </c>
      <c r="H302" s="298" t="s">
        <v>11020</v>
      </c>
      <c r="I302" s="157" t="s">
        <v>35</v>
      </c>
      <c r="J302" s="257" t="s">
        <v>126</v>
      </c>
      <c r="K302" s="297" t="s">
        <v>33</v>
      </c>
      <c r="L302" s="257" t="s">
        <v>128</v>
      </c>
      <c r="M302" s="157" t="s">
        <v>29</v>
      </c>
      <c r="N302" s="167" t="s">
        <v>10498</v>
      </c>
      <c r="O302" s="55" t="str">
        <f t="shared" si="14"/>
        <v>L2.02.02.03.03.02</v>
      </c>
      <c r="P302" s="257" t="str">
        <f t="shared" si="12"/>
        <v>L2.02.02.03.03.02.01</v>
      </c>
      <c r="Q302" s="161" t="s">
        <v>10530</v>
      </c>
      <c r="R302" s="299" t="str">
        <f t="shared" si="13"/>
        <v>Phòng bán thêm GP HDDT 02</v>
      </c>
      <c r="S302" s="269" t="s">
        <v>11032</v>
      </c>
      <c r="T302" s="265" t="s">
        <v>548</v>
      </c>
      <c r="U302" s="265" t="s">
        <v>346</v>
      </c>
      <c r="V302" s="265" t="s">
        <v>263</v>
      </c>
      <c r="W302" s="265" t="s">
        <v>356</v>
      </c>
      <c r="X302" s="265" t="s">
        <v>547</v>
      </c>
      <c r="Y302" s="265"/>
      <c r="Z302" s="225" t="s">
        <v>11034</v>
      </c>
      <c r="AA302" s="300" t="s">
        <v>10530</v>
      </c>
      <c r="AB302" s="267"/>
      <c r="AC302" s="267"/>
      <c r="AD302" s="267"/>
    </row>
    <row r="303" ht="15.75" customHeight="1" outlineLevel="1">
      <c r="A303" s="261" t="s">
        <v>10833</v>
      </c>
      <c r="B303" s="231" t="s">
        <v>77</v>
      </c>
      <c r="C303" s="231" t="s">
        <v>33</v>
      </c>
      <c r="D303" s="157" t="s">
        <v>89</v>
      </c>
      <c r="E303" s="297" t="s">
        <v>33</v>
      </c>
      <c r="F303" s="168" t="s">
        <v>10992</v>
      </c>
      <c r="G303" s="157" t="s">
        <v>35</v>
      </c>
      <c r="H303" s="298" t="s">
        <v>11020</v>
      </c>
      <c r="I303" s="157" t="s">
        <v>35</v>
      </c>
      <c r="J303" s="257" t="s">
        <v>126</v>
      </c>
      <c r="K303" s="168" t="s">
        <v>35</v>
      </c>
      <c r="L303" s="301" t="s">
        <v>11035</v>
      </c>
      <c r="M303" s="157" t="s">
        <v>29</v>
      </c>
      <c r="N303" s="167" t="s">
        <v>10498</v>
      </c>
      <c r="O303" s="55" t="str">
        <f t="shared" si="14"/>
        <v>L2.02.02.03.03.03</v>
      </c>
      <c r="P303" s="257" t="str">
        <f t="shared" si="12"/>
        <v>L2.02.02.03.03.03.01</v>
      </c>
      <c r="Q303" s="161" t="s">
        <v>10530</v>
      </c>
      <c r="R303" s="299" t="str">
        <f t="shared" si="13"/>
        <v>Phòng bán thêm GP HDDT 03</v>
      </c>
      <c r="S303" s="269" t="s">
        <v>11032</v>
      </c>
      <c r="T303" s="265" t="s">
        <v>541</v>
      </c>
      <c r="U303" s="265" t="s">
        <v>346</v>
      </c>
      <c r="V303" s="265" t="s">
        <v>263</v>
      </c>
      <c r="W303" s="265" t="s">
        <v>356</v>
      </c>
      <c r="X303" s="265" t="s">
        <v>540</v>
      </c>
      <c r="Y303" s="265"/>
      <c r="Z303" s="225" t="s">
        <v>11036</v>
      </c>
      <c r="AA303" s="300" t="s">
        <v>10530</v>
      </c>
      <c r="AB303" s="267"/>
      <c r="AC303" s="267"/>
      <c r="AD303" s="267"/>
    </row>
    <row r="304" ht="15.75" customHeight="1" outlineLevel="1">
      <c r="A304" s="261" t="s">
        <v>10833</v>
      </c>
      <c r="B304" s="231" t="s">
        <v>77</v>
      </c>
      <c r="C304" s="231" t="s">
        <v>33</v>
      </c>
      <c r="D304" s="157" t="s">
        <v>89</v>
      </c>
      <c r="E304" s="297" t="s">
        <v>33</v>
      </c>
      <c r="F304" s="168" t="s">
        <v>10992</v>
      </c>
      <c r="G304" s="157" t="s">
        <v>35</v>
      </c>
      <c r="H304" s="298" t="s">
        <v>11020</v>
      </c>
      <c r="I304" s="157" t="s">
        <v>37</v>
      </c>
      <c r="J304" s="257" t="s">
        <v>129</v>
      </c>
      <c r="K304" s="297" t="s">
        <v>27</v>
      </c>
      <c r="L304" s="157" t="s">
        <v>4</v>
      </c>
      <c r="M304" s="157" t="s">
        <v>29</v>
      </c>
      <c r="N304" s="167" t="s">
        <v>10498</v>
      </c>
      <c r="O304" s="55" t="str">
        <f t="shared" si="14"/>
        <v>L2.02.02.03.04.00</v>
      </c>
      <c r="P304" s="257" t="str">
        <f t="shared" si="12"/>
        <v>L2.02.02.03.04.00.01</v>
      </c>
      <c r="Q304" s="161" t="s">
        <v>10530</v>
      </c>
      <c r="R304" s="299" t="str">
        <f t="shared" si="13"/>
        <v>Phòng KD chuyển đổi GPKT</v>
      </c>
      <c r="S304" s="269" t="s">
        <v>11023</v>
      </c>
      <c r="T304" s="265" t="s">
        <v>768</v>
      </c>
      <c r="U304" s="265" t="s">
        <v>346</v>
      </c>
      <c r="V304" s="265" t="s">
        <v>263</v>
      </c>
      <c r="W304" s="265" t="s">
        <v>767</v>
      </c>
      <c r="X304" s="265" t="s">
        <v>766</v>
      </c>
      <c r="Y304" s="265"/>
      <c r="Z304" s="225" t="s">
        <v>11037</v>
      </c>
      <c r="AA304" s="300" t="s">
        <v>10530</v>
      </c>
      <c r="AB304" s="267"/>
      <c r="AC304" s="267"/>
      <c r="AD304" s="267"/>
    </row>
    <row r="305" ht="15.75" customHeight="1" outlineLevel="1">
      <c r="A305" s="261" t="s">
        <v>10833</v>
      </c>
      <c r="B305" s="231" t="s">
        <v>77</v>
      </c>
      <c r="C305" s="231" t="s">
        <v>33</v>
      </c>
      <c r="D305" s="157" t="s">
        <v>89</v>
      </c>
      <c r="E305" s="297" t="s">
        <v>33</v>
      </c>
      <c r="F305" s="168" t="s">
        <v>10992</v>
      </c>
      <c r="G305" s="157" t="s">
        <v>35</v>
      </c>
      <c r="H305" s="298" t="s">
        <v>11020</v>
      </c>
      <c r="I305" s="157" t="s">
        <v>42</v>
      </c>
      <c r="J305" s="257" t="s">
        <v>130</v>
      </c>
      <c r="K305" s="297" t="s">
        <v>27</v>
      </c>
      <c r="L305" s="157" t="s">
        <v>4</v>
      </c>
      <c r="M305" s="157" t="s">
        <v>29</v>
      </c>
      <c r="N305" s="167" t="s">
        <v>10498</v>
      </c>
      <c r="O305" s="55" t="str">
        <f t="shared" si="14"/>
        <v>L2.02.02.03.05.00</v>
      </c>
      <c r="P305" s="257" t="str">
        <f t="shared" si="12"/>
        <v>L2.02.02.03.05.00.01</v>
      </c>
      <c r="Q305" s="161" t="s">
        <v>10530</v>
      </c>
      <c r="R305" s="299" t="str">
        <f t="shared" si="13"/>
        <v>Phòng bán thêm GP Ký điện tử</v>
      </c>
      <c r="S305" s="269" t="s">
        <v>11023</v>
      </c>
      <c r="T305" s="265" t="s">
        <v>410</v>
      </c>
      <c r="U305" s="265" t="s">
        <v>346</v>
      </c>
      <c r="V305" s="265" t="s">
        <v>263</v>
      </c>
      <c r="W305" s="265" t="s">
        <v>130</v>
      </c>
      <c r="X305" s="265"/>
      <c r="Y305" s="265"/>
      <c r="Z305" s="225" t="s">
        <v>11038</v>
      </c>
      <c r="AA305" s="300" t="s">
        <v>10530</v>
      </c>
      <c r="AB305" s="267"/>
      <c r="AC305" s="267"/>
      <c r="AD305" s="267"/>
    </row>
    <row r="306" ht="15.75" customHeight="1" outlineLevel="1">
      <c r="A306" s="228" t="s">
        <v>10833</v>
      </c>
      <c r="B306" s="270" t="s">
        <v>77</v>
      </c>
      <c r="C306" s="270" t="s">
        <v>33</v>
      </c>
      <c r="D306" s="209" t="s">
        <v>89</v>
      </c>
      <c r="E306" s="271" t="s">
        <v>33</v>
      </c>
      <c r="F306" s="182" t="s">
        <v>10992</v>
      </c>
      <c r="G306" s="209" t="s">
        <v>35</v>
      </c>
      <c r="H306" s="212" t="s">
        <v>11020</v>
      </c>
      <c r="I306" s="209" t="s">
        <v>42</v>
      </c>
      <c r="J306" s="272" t="s">
        <v>130</v>
      </c>
      <c r="K306" s="182" t="s">
        <v>29</v>
      </c>
      <c r="L306" s="303" t="s">
        <v>11039</v>
      </c>
      <c r="M306" s="209" t="s">
        <v>29</v>
      </c>
      <c r="N306" s="181" t="s">
        <v>10498</v>
      </c>
      <c r="O306" s="58" t="str">
        <f t="shared" si="14"/>
        <v>L2.02.02.03.05.01</v>
      </c>
      <c r="P306" s="272" t="str">
        <f t="shared" si="12"/>
        <v>L2.02.02.03.05.01.01</v>
      </c>
      <c r="Q306" s="185" t="s">
        <v>10530</v>
      </c>
      <c r="R306" s="273" t="str">
        <f t="shared" si="13"/>
        <v>Phòng bán thêm GP Ký điện tử 01</v>
      </c>
      <c r="S306" s="274" t="s">
        <v>11023</v>
      </c>
      <c r="T306" s="183" t="s">
        <v>410</v>
      </c>
      <c r="U306" s="183" t="s">
        <v>346</v>
      </c>
      <c r="V306" s="183" t="s">
        <v>263</v>
      </c>
      <c r="W306" s="183" t="s">
        <v>130</v>
      </c>
      <c r="X306" s="183"/>
      <c r="Y306" s="183"/>
      <c r="Z306" s="275" t="s">
        <v>11040</v>
      </c>
      <c r="AA306" s="304" t="s">
        <v>10530</v>
      </c>
      <c r="AB306" s="277"/>
      <c r="AC306" s="277"/>
      <c r="AD306" s="277"/>
    </row>
    <row r="307" ht="15.75" customHeight="1" outlineLevel="1">
      <c r="A307" s="261" t="s">
        <v>10833</v>
      </c>
      <c r="B307" s="231" t="s">
        <v>77</v>
      </c>
      <c r="C307" s="231" t="s">
        <v>33</v>
      </c>
      <c r="D307" s="157" t="s">
        <v>89</v>
      </c>
      <c r="E307" s="297" t="s">
        <v>33</v>
      </c>
      <c r="F307" s="168" t="s">
        <v>10992</v>
      </c>
      <c r="G307" s="157" t="s">
        <v>35</v>
      </c>
      <c r="H307" s="298" t="s">
        <v>11020</v>
      </c>
      <c r="I307" s="157" t="s">
        <v>44</v>
      </c>
      <c r="J307" s="257" t="s">
        <v>131</v>
      </c>
      <c r="K307" s="297" t="s">
        <v>27</v>
      </c>
      <c r="L307" s="157" t="s">
        <v>4</v>
      </c>
      <c r="M307" s="157" t="s">
        <v>29</v>
      </c>
      <c r="N307" s="167" t="s">
        <v>10498</v>
      </c>
      <c r="O307" s="55" t="str">
        <f t="shared" si="14"/>
        <v>L2.02.02.03.06.00</v>
      </c>
      <c r="P307" s="257" t="str">
        <f t="shared" si="12"/>
        <v>L2.02.02.03.06.00.01</v>
      </c>
      <c r="Q307" s="161" t="s">
        <v>10530</v>
      </c>
      <c r="R307" s="299" t="str">
        <f t="shared" si="13"/>
        <v>Phòng KD meInvoice dự án</v>
      </c>
      <c r="S307" s="269" t="s">
        <v>11023</v>
      </c>
      <c r="T307" s="265" t="s">
        <v>748</v>
      </c>
      <c r="U307" s="265" t="s">
        <v>346</v>
      </c>
      <c r="V307" s="265" t="s">
        <v>263</v>
      </c>
      <c r="W307" s="265" t="s">
        <v>747</v>
      </c>
      <c r="X307" s="265"/>
      <c r="Y307" s="265"/>
      <c r="Z307" s="225" t="s">
        <v>11041</v>
      </c>
      <c r="AA307" s="300" t="s">
        <v>10530</v>
      </c>
      <c r="AB307" s="267"/>
      <c r="AC307" s="267"/>
      <c r="AD307" s="267"/>
    </row>
    <row r="308" ht="15.75" customHeight="1" outlineLevel="1">
      <c r="A308" s="261" t="s">
        <v>10833</v>
      </c>
      <c r="B308" s="231" t="s">
        <v>77</v>
      </c>
      <c r="C308" s="231" t="s">
        <v>33</v>
      </c>
      <c r="D308" s="157" t="s">
        <v>89</v>
      </c>
      <c r="E308" s="297" t="s">
        <v>33</v>
      </c>
      <c r="F308" s="168" t="s">
        <v>10992</v>
      </c>
      <c r="G308" s="157" t="s">
        <v>33</v>
      </c>
      <c r="H308" s="298" t="s">
        <v>11042</v>
      </c>
      <c r="I308" s="168" t="s">
        <v>27</v>
      </c>
      <c r="J308" s="258" t="s">
        <v>4</v>
      </c>
      <c r="K308" s="297" t="s">
        <v>27</v>
      </c>
      <c r="L308" s="157" t="s">
        <v>4</v>
      </c>
      <c r="M308" s="157" t="s">
        <v>33</v>
      </c>
      <c r="N308" s="167" t="s">
        <v>10499</v>
      </c>
      <c r="O308" s="55" t="str">
        <f t="shared" si="14"/>
        <v>L2.02.02.02.00.00</v>
      </c>
      <c r="P308" s="257" t="str">
        <f t="shared" si="12"/>
        <v>L2.02.02.02.00.00.02</v>
      </c>
      <c r="Q308" s="161" t="s">
        <v>10530</v>
      </c>
      <c r="R308" s="299" t="str">
        <f t="shared" si="13"/>
        <v>Trung tâm KD giải pháp KTDN - Hồ Chí Minh</v>
      </c>
      <c r="S308" s="274" t="s">
        <v>11003</v>
      </c>
      <c r="T308" s="264" t="s">
        <v>11043</v>
      </c>
      <c r="U308" s="265" t="s">
        <v>262</v>
      </c>
      <c r="V308" s="265" t="s">
        <v>2219</v>
      </c>
      <c r="W308" s="265"/>
      <c r="X308" s="265"/>
      <c r="Y308" s="265"/>
      <c r="Z308" s="225" t="s">
        <v>11044</v>
      </c>
      <c r="AA308" s="300" t="s">
        <v>10530</v>
      </c>
      <c r="AB308" s="267"/>
      <c r="AC308" s="267"/>
      <c r="AD308" s="267"/>
    </row>
    <row r="309" ht="15.75" customHeight="1" outlineLevel="1">
      <c r="A309" s="261" t="s">
        <v>10833</v>
      </c>
      <c r="B309" s="231" t="s">
        <v>77</v>
      </c>
      <c r="C309" s="231" t="s">
        <v>33</v>
      </c>
      <c r="D309" s="157" t="s">
        <v>89</v>
      </c>
      <c r="E309" s="297" t="s">
        <v>33</v>
      </c>
      <c r="F309" s="168" t="s">
        <v>10992</v>
      </c>
      <c r="G309" s="157" t="s">
        <v>33</v>
      </c>
      <c r="H309" s="298" t="s">
        <v>11042</v>
      </c>
      <c r="I309" s="157" t="s">
        <v>29</v>
      </c>
      <c r="J309" s="257" t="s">
        <v>113</v>
      </c>
      <c r="K309" s="297" t="s">
        <v>27</v>
      </c>
      <c r="L309" s="157" t="s">
        <v>4</v>
      </c>
      <c r="M309" s="157" t="s">
        <v>33</v>
      </c>
      <c r="N309" s="167" t="s">
        <v>10499</v>
      </c>
      <c r="O309" s="55" t="str">
        <f t="shared" si="14"/>
        <v>L2.02.02.02.01.00</v>
      </c>
      <c r="P309" s="257" t="str">
        <f t="shared" si="12"/>
        <v>L2.02.02.02.01.00.02</v>
      </c>
      <c r="Q309" s="161" t="s">
        <v>10530</v>
      </c>
      <c r="R309" s="299" t="str">
        <f t="shared" si="13"/>
        <v>Ban giám đốc TTKD GP KTDN</v>
      </c>
      <c r="S309" s="269" t="s">
        <v>11045</v>
      </c>
      <c r="T309" s="265" t="s">
        <v>7661</v>
      </c>
      <c r="U309" s="265" t="s">
        <v>262</v>
      </c>
      <c r="V309" s="265" t="s">
        <v>2219</v>
      </c>
      <c r="W309" s="265" t="s">
        <v>7230</v>
      </c>
      <c r="X309" s="265"/>
      <c r="Y309" s="265"/>
      <c r="Z309" s="225" t="s">
        <v>11046</v>
      </c>
      <c r="AA309" s="300" t="s">
        <v>10530</v>
      </c>
      <c r="AB309" s="267"/>
      <c r="AC309" s="267"/>
      <c r="AD309" s="267"/>
    </row>
    <row r="310" ht="15.75" customHeight="1" outlineLevel="1">
      <c r="A310" s="261" t="s">
        <v>10833</v>
      </c>
      <c r="B310" s="231" t="s">
        <v>77</v>
      </c>
      <c r="C310" s="231" t="s">
        <v>33</v>
      </c>
      <c r="D310" s="157" t="s">
        <v>89</v>
      </c>
      <c r="E310" s="297" t="s">
        <v>33</v>
      </c>
      <c r="F310" s="168" t="s">
        <v>10992</v>
      </c>
      <c r="G310" s="157" t="s">
        <v>33</v>
      </c>
      <c r="H310" s="298" t="s">
        <v>11042</v>
      </c>
      <c r="I310" s="231" t="s">
        <v>33</v>
      </c>
      <c r="J310" s="184" t="s">
        <v>11008</v>
      </c>
      <c r="K310" s="297" t="s">
        <v>27</v>
      </c>
      <c r="L310" s="157" t="s">
        <v>4</v>
      </c>
      <c r="M310" s="157" t="s">
        <v>33</v>
      </c>
      <c r="N310" s="167" t="s">
        <v>10499</v>
      </c>
      <c r="O310" s="55" t="str">
        <f t="shared" si="14"/>
        <v>L2.02.02.02.02.00</v>
      </c>
      <c r="P310" s="257" t="str">
        <f t="shared" si="12"/>
        <v>L2.02.02.02.02.00.02</v>
      </c>
      <c r="Q310" s="161" t="s">
        <v>10530</v>
      </c>
      <c r="R310" s="273" t="str">
        <f t="shared" si="13"/>
        <v>Phòng KD bán mới KTDN 01</v>
      </c>
      <c r="S310" s="269" t="s">
        <v>11045</v>
      </c>
      <c r="T310" s="265" t="s">
        <v>2281</v>
      </c>
      <c r="U310" s="265" t="s">
        <v>262</v>
      </c>
      <c r="V310" s="265" t="s">
        <v>2219</v>
      </c>
      <c r="W310" s="265" t="s">
        <v>1260</v>
      </c>
      <c r="X310" s="265"/>
      <c r="Y310" s="265"/>
      <c r="Z310" s="225" t="s">
        <v>11047</v>
      </c>
      <c r="AA310" s="300" t="s">
        <v>10530</v>
      </c>
      <c r="AB310" s="267"/>
      <c r="AC310" s="267"/>
      <c r="AD310" s="267"/>
    </row>
    <row r="311" ht="15.75" customHeight="1" outlineLevel="1">
      <c r="A311" s="261" t="s">
        <v>10833</v>
      </c>
      <c r="B311" s="231" t="s">
        <v>77</v>
      </c>
      <c r="C311" s="231" t="s">
        <v>33</v>
      </c>
      <c r="D311" s="157" t="s">
        <v>89</v>
      </c>
      <c r="E311" s="297" t="s">
        <v>33</v>
      </c>
      <c r="F311" s="168" t="s">
        <v>10992</v>
      </c>
      <c r="G311" s="157" t="s">
        <v>33</v>
      </c>
      <c r="H311" s="298" t="s">
        <v>11042</v>
      </c>
      <c r="I311" s="231" t="s">
        <v>35</v>
      </c>
      <c r="J311" s="184" t="s">
        <v>11048</v>
      </c>
      <c r="K311" s="297" t="s">
        <v>27</v>
      </c>
      <c r="L311" s="157" t="s">
        <v>4</v>
      </c>
      <c r="M311" s="157" t="s">
        <v>33</v>
      </c>
      <c r="N311" s="167" t="s">
        <v>10499</v>
      </c>
      <c r="O311" s="55" t="str">
        <f t="shared" si="14"/>
        <v>L2.02.02.02.03.00</v>
      </c>
      <c r="P311" s="257" t="str">
        <f t="shared" si="12"/>
        <v>L2.02.02.02.03.00.02</v>
      </c>
      <c r="Q311" s="161" t="s">
        <v>10530</v>
      </c>
      <c r="R311" s="273" t="str">
        <f t="shared" si="13"/>
        <v>Phòng KD bán mới KTDN 02</v>
      </c>
      <c r="S311" s="269" t="s">
        <v>11045</v>
      </c>
      <c r="T311" s="265" t="s">
        <v>2286</v>
      </c>
      <c r="U311" s="265" t="s">
        <v>262</v>
      </c>
      <c r="V311" s="265" t="s">
        <v>2219</v>
      </c>
      <c r="W311" s="265" t="s">
        <v>2285</v>
      </c>
      <c r="X311" s="265"/>
      <c r="Y311" s="265"/>
      <c r="Z311" s="225" t="s">
        <v>11049</v>
      </c>
      <c r="AA311" s="300" t="s">
        <v>10530</v>
      </c>
      <c r="AB311" s="267"/>
      <c r="AC311" s="267"/>
      <c r="AD311" s="267"/>
    </row>
    <row r="312" ht="15.75" customHeight="1" outlineLevel="1">
      <c r="A312" s="261" t="s">
        <v>10833</v>
      </c>
      <c r="B312" s="231" t="s">
        <v>77</v>
      </c>
      <c r="C312" s="231" t="s">
        <v>33</v>
      </c>
      <c r="D312" s="157" t="s">
        <v>89</v>
      </c>
      <c r="E312" s="297" t="s">
        <v>33</v>
      </c>
      <c r="F312" s="168" t="s">
        <v>10992</v>
      </c>
      <c r="G312" s="157" t="s">
        <v>33</v>
      </c>
      <c r="H312" s="298" t="s">
        <v>11042</v>
      </c>
      <c r="I312" s="231" t="s">
        <v>37</v>
      </c>
      <c r="J312" s="184" t="s">
        <v>11010</v>
      </c>
      <c r="K312" s="297" t="s">
        <v>27</v>
      </c>
      <c r="L312" s="157" t="s">
        <v>4</v>
      </c>
      <c r="M312" s="157" t="s">
        <v>33</v>
      </c>
      <c r="N312" s="167" t="s">
        <v>10499</v>
      </c>
      <c r="O312" s="55" t="str">
        <f t="shared" si="14"/>
        <v>L2.02.02.02.04.00</v>
      </c>
      <c r="P312" s="257" t="str">
        <f t="shared" si="12"/>
        <v>L2.02.02.02.04.00.02</v>
      </c>
      <c r="Q312" s="161" t="s">
        <v>10530</v>
      </c>
      <c r="R312" s="273" t="str">
        <f t="shared" si="13"/>
        <v>Phòng KD bán mới KTDN 03</v>
      </c>
      <c r="S312" s="269" t="s">
        <v>11045</v>
      </c>
      <c r="T312" s="265" t="s">
        <v>2290</v>
      </c>
      <c r="U312" s="265" t="s">
        <v>262</v>
      </c>
      <c r="V312" s="265" t="s">
        <v>2219</v>
      </c>
      <c r="W312" s="265" t="s">
        <v>390</v>
      </c>
      <c r="X312" s="265"/>
      <c r="Y312" s="265"/>
      <c r="Z312" s="225" t="s">
        <v>11050</v>
      </c>
      <c r="AA312" s="300" t="s">
        <v>10530</v>
      </c>
      <c r="AB312" s="267"/>
      <c r="AC312" s="267"/>
      <c r="AD312" s="267"/>
    </row>
    <row r="313" ht="15.75" customHeight="1" outlineLevel="1">
      <c r="A313" s="261" t="s">
        <v>10833</v>
      </c>
      <c r="B313" s="231" t="s">
        <v>77</v>
      </c>
      <c r="C313" s="231" t="s">
        <v>33</v>
      </c>
      <c r="D313" s="157" t="s">
        <v>89</v>
      </c>
      <c r="E313" s="297" t="s">
        <v>33</v>
      </c>
      <c r="F313" s="168" t="s">
        <v>10992</v>
      </c>
      <c r="G313" s="157" t="s">
        <v>33</v>
      </c>
      <c r="H313" s="298" t="s">
        <v>11042</v>
      </c>
      <c r="I313" s="231" t="s">
        <v>42</v>
      </c>
      <c r="J313" s="184" t="s">
        <v>11012</v>
      </c>
      <c r="K313" s="297" t="s">
        <v>27</v>
      </c>
      <c r="L313" s="157" t="s">
        <v>4</v>
      </c>
      <c r="M313" s="157" t="s">
        <v>33</v>
      </c>
      <c r="N313" s="167" t="s">
        <v>10499</v>
      </c>
      <c r="O313" s="55" t="str">
        <f t="shared" si="14"/>
        <v>L2.02.02.02.05.00</v>
      </c>
      <c r="P313" s="257" t="str">
        <f t="shared" si="12"/>
        <v>L2.02.02.02.05.00.02</v>
      </c>
      <c r="Q313" s="161" t="s">
        <v>10530</v>
      </c>
      <c r="R313" s="273" t="str">
        <f t="shared" si="13"/>
        <v>Phòng KD bán mới KTDN 04</v>
      </c>
      <c r="S313" s="269" t="s">
        <v>11045</v>
      </c>
      <c r="T313" s="265" t="s">
        <v>2227</v>
      </c>
      <c r="U313" s="265" t="s">
        <v>262</v>
      </c>
      <c r="V313" s="265" t="s">
        <v>2219</v>
      </c>
      <c r="W313" s="265" t="s">
        <v>403</v>
      </c>
      <c r="X313" s="265"/>
      <c r="Y313" s="265"/>
      <c r="Z313" s="225" t="s">
        <v>11051</v>
      </c>
      <c r="AA313" s="300" t="s">
        <v>10530</v>
      </c>
      <c r="AB313" s="267"/>
      <c r="AC313" s="267"/>
      <c r="AD313" s="267"/>
    </row>
    <row r="314" ht="15.75" customHeight="1" outlineLevel="1">
      <c r="A314" s="261" t="s">
        <v>10833</v>
      </c>
      <c r="B314" s="231" t="s">
        <v>77</v>
      </c>
      <c r="C314" s="231" t="s">
        <v>33</v>
      </c>
      <c r="D314" s="157" t="s">
        <v>89</v>
      </c>
      <c r="E314" s="297" t="s">
        <v>33</v>
      </c>
      <c r="F314" s="168" t="s">
        <v>10992</v>
      </c>
      <c r="G314" s="157" t="s">
        <v>33</v>
      </c>
      <c r="H314" s="298" t="s">
        <v>11042</v>
      </c>
      <c r="I314" s="231" t="s">
        <v>44</v>
      </c>
      <c r="J314" s="184" t="s">
        <v>11014</v>
      </c>
      <c r="K314" s="297" t="s">
        <v>27</v>
      </c>
      <c r="L314" s="157" t="s">
        <v>4</v>
      </c>
      <c r="M314" s="157" t="s">
        <v>33</v>
      </c>
      <c r="N314" s="167" t="s">
        <v>10499</v>
      </c>
      <c r="O314" s="55" t="str">
        <f t="shared" si="14"/>
        <v>L2.02.02.02.06.00</v>
      </c>
      <c r="P314" s="257" t="str">
        <f t="shared" si="12"/>
        <v>L2.02.02.02.06.00.02</v>
      </c>
      <c r="Q314" s="161" t="s">
        <v>10530</v>
      </c>
      <c r="R314" s="273" t="str">
        <f t="shared" si="13"/>
        <v>Phòng KD bán mới KTDN 05</v>
      </c>
      <c r="S314" s="269" t="s">
        <v>11045</v>
      </c>
      <c r="T314" s="265" t="s">
        <v>2236</v>
      </c>
      <c r="U314" s="265" t="s">
        <v>262</v>
      </c>
      <c r="V314" s="265" t="s">
        <v>2219</v>
      </c>
      <c r="W314" s="265" t="s">
        <v>1130</v>
      </c>
      <c r="X314" s="265"/>
      <c r="Y314" s="265"/>
      <c r="Z314" s="225" t="s">
        <v>11052</v>
      </c>
      <c r="AA314" s="300" t="s">
        <v>10530</v>
      </c>
      <c r="AB314" s="267"/>
      <c r="AC314" s="267"/>
      <c r="AD314" s="267"/>
    </row>
    <row r="315" ht="15.75" customHeight="1" outlineLevel="1">
      <c r="A315" s="261" t="s">
        <v>10833</v>
      </c>
      <c r="B315" s="231" t="s">
        <v>77</v>
      </c>
      <c r="C315" s="231" t="s">
        <v>33</v>
      </c>
      <c r="D315" s="157" t="s">
        <v>89</v>
      </c>
      <c r="E315" s="297" t="s">
        <v>33</v>
      </c>
      <c r="F315" s="168" t="s">
        <v>10992</v>
      </c>
      <c r="G315" s="157" t="s">
        <v>33</v>
      </c>
      <c r="H315" s="298" t="s">
        <v>11042</v>
      </c>
      <c r="I315" s="231" t="s">
        <v>46</v>
      </c>
      <c r="J315" s="184" t="s">
        <v>11053</v>
      </c>
      <c r="K315" s="297" t="s">
        <v>27</v>
      </c>
      <c r="L315" s="157" t="s">
        <v>4</v>
      </c>
      <c r="M315" s="157" t="s">
        <v>33</v>
      </c>
      <c r="N315" s="167" t="s">
        <v>10499</v>
      </c>
      <c r="O315" s="55" t="str">
        <f t="shared" si="14"/>
        <v>L2.02.02.02.07.00</v>
      </c>
      <c r="P315" s="257" t="str">
        <f t="shared" si="12"/>
        <v>L2.02.02.02.07.00.02</v>
      </c>
      <c r="Q315" s="161" t="s">
        <v>10530</v>
      </c>
      <c r="R315" s="273" t="str">
        <f t="shared" si="13"/>
        <v>Phòng KD bán mới KTDN 06</v>
      </c>
      <c r="S315" s="269" t="s">
        <v>11045</v>
      </c>
      <c r="T315" s="265" t="s">
        <v>2232</v>
      </c>
      <c r="U315" s="265" t="s">
        <v>262</v>
      </c>
      <c r="V315" s="265" t="s">
        <v>2219</v>
      </c>
      <c r="W315" s="265" t="s">
        <v>2231</v>
      </c>
      <c r="X315" s="265"/>
      <c r="Y315" s="265"/>
      <c r="Z315" s="225" t="s">
        <v>11054</v>
      </c>
      <c r="AA315" s="300" t="s">
        <v>10530</v>
      </c>
      <c r="AB315" s="267"/>
      <c r="AC315" s="267"/>
      <c r="AD315" s="267"/>
    </row>
    <row r="316" ht="15.75" customHeight="1" outlineLevel="1">
      <c r="A316" s="261" t="s">
        <v>10833</v>
      </c>
      <c r="B316" s="231" t="s">
        <v>77</v>
      </c>
      <c r="C316" s="231" t="s">
        <v>33</v>
      </c>
      <c r="D316" s="157" t="s">
        <v>89</v>
      </c>
      <c r="E316" s="297" t="s">
        <v>33</v>
      </c>
      <c r="F316" s="168" t="s">
        <v>10992</v>
      </c>
      <c r="G316" s="157" t="s">
        <v>33</v>
      </c>
      <c r="H316" s="298" t="s">
        <v>11042</v>
      </c>
      <c r="I316" s="231" t="s">
        <v>49</v>
      </c>
      <c r="J316" s="184" t="s">
        <v>11016</v>
      </c>
      <c r="K316" s="297" t="s">
        <v>27</v>
      </c>
      <c r="L316" s="157" t="s">
        <v>4</v>
      </c>
      <c r="M316" s="157" t="s">
        <v>33</v>
      </c>
      <c r="N316" s="167" t="s">
        <v>10499</v>
      </c>
      <c r="O316" s="55" t="str">
        <f t="shared" si="14"/>
        <v>L2.02.02.02.08.00</v>
      </c>
      <c r="P316" s="257" t="str">
        <f t="shared" si="12"/>
        <v>L2.02.02.02.08.00.02</v>
      </c>
      <c r="Q316" s="161" t="s">
        <v>10530</v>
      </c>
      <c r="R316" s="273" t="str">
        <f t="shared" si="13"/>
        <v>Phòng KD bán mới KTDN 07</v>
      </c>
      <c r="S316" s="269" t="s">
        <v>11045</v>
      </c>
      <c r="T316" s="265" t="s">
        <v>2220</v>
      </c>
      <c r="U316" s="265" t="s">
        <v>262</v>
      </c>
      <c r="V316" s="265" t="s">
        <v>2219</v>
      </c>
      <c r="W316" s="265" t="s">
        <v>1139</v>
      </c>
      <c r="X316" s="265"/>
      <c r="Y316" s="265"/>
      <c r="Z316" s="225" t="s">
        <v>11055</v>
      </c>
      <c r="AA316" s="300" t="s">
        <v>10530</v>
      </c>
      <c r="AB316" s="267"/>
      <c r="AC316" s="267"/>
      <c r="AD316" s="267"/>
    </row>
    <row r="317" ht="15.75" customHeight="1" outlineLevel="1">
      <c r="A317" s="261" t="s">
        <v>10833</v>
      </c>
      <c r="B317" s="231" t="s">
        <v>77</v>
      </c>
      <c r="C317" s="231" t="s">
        <v>33</v>
      </c>
      <c r="D317" s="157" t="s">
        <v>89</v>
      </c>
      <c r="E317" s="297" t="s">
        <v>33</v>
      </c>
      <c r="F317" s="168" t="s">
        <v>10992</v>
      </c>
      <c r="G317" s="157" t="s">
        <v>35</v>
      </c>
      <c r="H317" s="298" t="s">
        <v>11056</v>
      </c>
      <c r="I317" s="168" t="s">
        <v>27</v>
      </c>
      <c r="J317" s="258" t="s">
        <v>4</v>
      </c>
      <c r="K317" s="297" t="s">
        <v>27</v>
      </c>
      <c r="L317" s="157" t="s">
        <v>4</v>
      </c>
      <c r="M317" s="157" t="s">
        <v>33</v>
      </c>
      <c r="N317" s="167" t="s">
        <v>10499</v>
      </c>
      <c r="O317" s="55" t="str">
        <f t="shared" si="14"/>
        <v>L2.02.02.03.00.00</v>
      </c>
      <c r="P317" s="257" t="str">
        <f t="shared" si="12"/>
        <v>L2.02.02.03.00.00.02</v>
      </c>
      <c r="Q317" s="161" t="s">
        <v>10530</v>
      </c>
      <c r="R317" s="299" t="str">
        <f t="shared" si="13"/>
        <v>Trung tâm KD bán thêm - Hồ Chí Minh</v>
      </c>
      <c r="S317" s="274" t="s">
        <v>11057</v>
      </c>
      <c r="T317" s="264" t="s">
        <v>11058</v>
      </c>
      <c r="U317" s="265" t="s">
        <v>262</v>
      </c>
      <c r="V317" s="265" t="s">
        <v>263</v>
      </c>
      <c r="W317" s="265"/>
      <c r="X317" s="265"/>
      <c r="Y317" s="265"/>
      <c r="Z317" s="225" t="s">
        <v>11059</v>
      </c>
      <c r="AA317" s="300" t="s">
        <v>10530</v>
      </c>
      <c r="AB317" s="267"/>
      <c r="AC317" s="267"/>
      <c r="AD317" s="267"/>
    </row>
    <row r="318" ht="15.75" customHeight="1" outlineLevel="1">
      <c r="A318" s="261" t="s">
        <v>10833</v>
      </c>
      <c r="B318" s="231" t="s">
        <v>77</v>
      </c>
      <c r="C318" s="231" t="s">
        <v>33</v>
      </c>
      <c r="D318" s="157" t="s">
        <v>89</v>
      </c>
      <c r="E318" s="297" t="s">
        <v>33</v>
      </c>
      <c r="F318" s="168" t="s">
        <v>10992</v>
      </c>
      <c r="G318" s="157" t="s">
        <v>35</v>
      </c>
      <c r="H318" s="298" t="s">
        <v>11056</v>
      </c>
      <c r="I318" s="157" t="s">
        <v>29</v>
      </c>
      <c r="J318" s="257" t="s">
        <v>122</v>
      </c>
      <c r="K318" s="297" t="s">
        <v>27</v>
      </c>
      <c r="L318" s="157" t="s">
        <v>4</v>
      </c>
      <c r="M318" s="157" t="s">
        <v>33</v>
      </c>
      <c r="N318" s="167" t="s">
        <v>10499</v>
      </c>
      <c r="O318" s="55" t="str">
        <f t="shared" si="14"/>
        <v>L2.02.02.03.01.00</v>
      </c>
      <c r="P318" s="257" t="str">
        <f t="shared" si="12"/>
        <v>L2.02.02.03.01.00.02</v>
      </c>
      <c r="Q318" s="161" t="s">
        <v>10530</v>
      </c>
      <c r="R318" s="299" t="str">
        <f t="shared" si="13"/>
        <v>Ban giám đốc TTKD Bán thêm</v>
      </c>
      <c r="S318" s="269" t="s">
        <v>11060</v>
      </c>
      <c r="T318" s="265" t="s">
        <v>7241</v>
      </c>
      <c r="U318" s="265" t="s">
        <v>262</v>
      </c>
      <c r="V318" s="265" t="s">
        <v>263</v>
      </c>
      <c r="W318" s="265" t="s">
        <v>7230</v>
      </c>
      <c r="X318" s="265"/>
      <c r="Y318" s="265"/>
      <c r="Z318" s="225" t="s">
        <v>11061</v>
      </c>
      <c r="AA318" s="300" t="s">
        <v>10530</v>
      </c>
      <c r="AB318" s="267"/>
      <c r="AC318" s="267"/>
      <c r="AD318" s="267"/>
    </row>
    <row r="319" ht="15.75" customHeight="1" outlineLevel="1">
      <c r="A319" s="261" t="s">
        <v>10833</v>
      </c>
      <c r="B319" s="231" t="s">
        <v>77</v>
      </c>
      <c r="C319" s="231" t="s">
        <v>33</v>
      </c>
      <c r="D319" s="157" t="s">
        <v>89</v>
      </c>
      <c r="E319" s="297" t="s">
        <v>33</v>
      </c>
      <c r="F319" s="168" t="s">
        <v>10992</v>
      </c>
      <c r="G319" s="157" t="s">
        <v>35</v>
      </c>
      <c r="H319" s="298" t="s">
        <v>11056</v>
      </c>
      <c r="I319" s="157" t="s">
        <v>33</v>
      </c>
      <c r="J319" s="257" t="s">
        <v>123</v>
      </c>
      <c r="K319" s="297" t="s">
        <v>27</v>
      </c>
      <c r="L319" s="157" t="s">
        <v>4</v>
      </c>
      <c r="M319" s="157" t="s">
        <v>33</v>
      </c>
      <c r="N319" s="167" t="s">
        <v>10499</v>
      </c>
      <c r="O319" s="55" t="str">
        <f t="shared" si="14"/>
        <v>L2.02.02.03.02.00</v>
      </c>
      <c r="P319" s="257" t="str">
        <f t="shared" si="12"/>
        <v>L2.02.02.03.02.00.02</v>
      </c>
      <c r="Q319" s="161" t="s">
        <v>10530</v>
      </c>
      <c r="R319" s="299" t="str">
        <f t="shared" si="13"/>
        <v>Phòng bán thêm GP KTDN</v>
      </c>
      <c r="S319" s="269" t="s">
        <v>11060</v>
      </c>
      <c r="T319" s="342" t="s">
        <v>11062</v>
      </c>
      <c r="U319" s="265" t="s">
        <v>262</v>
      </c>
      <c r="V319" s="265" t="s">
        <v>263</v>
      </c>
      <c r="W319" s="302" t="s">
        <v>123</v>
      </c>
      <c r="X319" s="265"/>
      <c r="Y319" s="265"/>
      <c r="Z319" s="225" t="s">
        <v>11063</v>
      </c>
      <c r="AA319" s="300" t="s">
        <v>10530</v>
      </c>
      <c r="AB319" s="267"/>
      <c r="AC319" s="267"/>
      <c r="AD319" s="267"/>
    </row>
    <row r="320" ht="15.75" customHeight="1" outlineLevel="1">
      <c r="A320" s="261" t="s">
        <v>10833</v>
      </c>
      <c r="B320" s="231" t="s">
        <v>77</v>
      </c>
      <c r="C320" s="231" t="s">
        <v>33</v>
      </c>
      <c r="D320" s="157" t="s">
        <v>89</v>
      </c>
      <c r="E320" s="297" t="s">
        <v>33</v>
      </c>
      <c r="F320" s="168" t="s">
        <v>10992</v>
      </c>
      <c r="G320" s="157" t="s">
        <v>35</v>
      </c>
      <c r="H320" s="298" t="s">
        <v>11056</v>
      </c>
      <c r="I320" s="157" t="s">
        <v>33</v>
      </c>
      <c r="J320" s="257" t="s">
        <v>123</v>
      </c>
      <c r="K320" s="297" t="s">
        <v>29</v>
      </c>
      <c r="L320" s="257" t="s">
        <v>124</v>
      </c>
      <c r="M320" s="157" t="s">
        <v>33</v>
      </c>
      <c r="N320" s="167" t="s">
        <v>10499</v>
      </c>
      <c r="O320" s="55" t="str">
        <f t="shared" si="14"/>
        <v>L2.02.02.03.02.01</v>
      </c>
      <c r="P320" s="257" t="str">
        <f t="shared" si="12"/>
        <v>L2.02.02.03.02.01.02</v>
      </c>
      <c r="Q320" s="161" t="s">
        <v>10530</v>
      </c>
      <c r="R320" s="299" t="str">
        <f t="shared" si="13"/>
        <v>Phòng bán thêm GP KTDN 01</v>
      </c>
      <c r="S320" s="269" t="s">
        <v>11064</v>
      </c>
      <c r="T320" s="265" t="s">
        <v>1855</v>
      </c>
      <c r="U320" s="265" t="s">
        <v>262</v>
      </c>
      <c r="V320" s="265" t="s">
        <v>263</v>
      </c>
      <c r="W320" s="265" t="s">
        <v>123</v>
      </c>
      <c r="X320" s="265" t="s">
        <v>1854</v>
      </c>
      <c r="Y320" s="265"/>
      <c r="Z320" s="225" t="s">
        <v>11065</v>
      </c>
      <c r="AA320" s="300" t="s">
        <v>10530</v>
      </c>
      <c r="AB320" s="267"/>
      <c r="AC320" s="267"/>
      <c r="AD320" s="267"/>
    </row>
    <row r="321" ht="15.75" customHeight="1" outlineLevel="1">
      <c r="A321" s="261" t="s">
        <v>10833</v>
      </c>
      <c r="B321" s="231" t="s">
        <v>77</v>
      </c>
      <c r="C321" s="231" t="s">
        <v>33</v>
      </c>
      <c r="D321" s="157" t="s">
        <v>89</v>
      </c>
      <c r="E321" s="297" t="s">
        <v>33</v>
      </c>
      <c r="F321" s="168" t="s">
        <v>10992</v>
      </c>
      <c r="G321" s="157" t="s">
        <v>35</v>
      </c>
      <c r="H321" s="298" t="s">
        <v>11056</v>
      </c>
      <c r="I321" s="157" t="s">
        <v>33</v>
      </c>
      <c r="J321" s="257" t="s">
        <v>123</v>
      </c>
      <c r="K321" s="297" t="s">
        <v>33</v>
      </c>
      <c r="L321" s="257" t="s">
        <v>125</v>
      </c>
      <c r="M321" s="157" t="s">
        <v>33</v>
      </c>
      <c r="N321" s="167" t="s">
        <v>10499</v>
      </c>
      <c r="O321" s="55" t="str">
        <f t="shared" si="14"/>
        <v>L2.02.02.03.02.02</v>
      </c>
      <c r="P321" s="257" t="str">
        <f t="shared" si="12"/>
        <v>L2.02.02.03.02.02.02</v>
      </c>
      <c r="Q321" s="161" t="s">
        <v>10530</v>
      </c>
      <c r="R321" s="299" t="str">
        <f t="shared" si="13"/>
        <v>Phòng bán thêm GP KTDN 02</v>
      </c>
      <c r="S321" s="269" t="s">
        <v>11064</v>
      </c>
      <c r="T321" s="265" t="s">
        <v>1863</v>
      </c>
      <c r="U321" s="265" t="s">
        <v>262</v>
      </c>
      <c r="V321" s="265" t="s">
        <v>263</v>
      </c>
      <c r="W321" s="265" t="s">
        <v>123</v>
      </c>
      <c r="X321" s="265" t="s">
        <v>1862</v>
      </c>
      <c r="Y321" s="265"/>
      <c r="Z321" s="225" t="s">
        <v>11066</v>
      </c>
      <c r="AA321" s="300" t="s">
        <v>10530</v>
      </c>
      <c r="AB321" s="267"/>
      <c r="AC321" s="267"/>
      <c r="AD321" s="267"/>
    </row>
    <row r="322" ht="15.75" customHeight="1" outlineLevel="1">
      <c r="A322" s="261" t="s">
        <v>10833</v>
      </c>
      <c r="B322" s="231" t="s">
        <v>77</v>
      </c>
      <c r="C322" s="231" t="s">
        <v>33</v>
      </c>
      <c r="D322" s="157" t="s">
        <v>89</v>
      </c>
      <c r="E322" s="297" t="s">
        <v>33</v>
      </c>
      <c r="F322" s="168" t="s">
        <v>10992</v>
      </c>
      <c r="G322" s="157" t="s">
        <v>35</v>
      </c>
      <c r="H322" s="298" t="s">
        <v>11056</v>
      </c>
      <c r="I322" s="157" t="s">
        <v>35</v>
      </c>
      <c r="J322" s="257" t="s">
        <v>126</v>
      </c>
      <c r="K322" s="297" t="s">
        <v>27</v>
      </c>
      <c r="L322" s="157" t="s">
        <v>4</v>
      </c>
      <c r="M322" s="157" t="s">
        <v>33</v>
      </c>
      <c r="N322" s="167" t="s">
        <v>10499</v>
      </c>
      <c r="O322" s="55" t="str">
        <f t="shared" si="14"/>
        <v>L2.02.02.03.03.00</v>
      </c>
      <c r="P322" s="257" t="str">
        <f t="shared" si="12"/>
        <v>L2.02.02.03.03.00.02</v>
      </c>
      <c r="Q322" s="161" t="s">
        <v>10530</v>
      </c>
      <c r="R322" s="299" t="str">
        <f t="shared" si="13"/>
        <v>Phòng bán thêm GP HDDT</v>
      </c>
      <c r="S322" s="269" t="s">
        <v>11060</v>
      </c>
      <c r="T322" s="342" t="s">
        <v>11067</v>
      </c>
      <c r="U322" s="265" t="s">
        <v>262</v>
      </c>
      <c r="V322" s="265" t="s">
        <v>263</v>
      </c>
      <c r="W322" s="302" t="s">
        <v>356</v>
      </c>
      <c r="X322" s="265"/>
      <c r="Y322" s="265"/>
      <c r="Z322" s="225" t="s">
        <v>11068</v>
      </c>
      <c r="AA322" s="300" t="s">
        <v>10530</v>
      </c>
      <c r="AB322" s="267"/>
      <c r="AC322" s="267"/>
      <c r="AD322" s="267"/>
    </row>
    <row r="323" ht="15.75" customHeight="1" outlineLevel="1">
      <c r="A323" s="261" t="s">
        <v>10833</v>
      </c>
      <c r="B323" s="231" t="s">
        <v>77</v>
      </c>
      <c r="C323" s="231" t="s">
        <v>33</v>
      </c>
      <c r="D323" s="157" t="s">
        <v>89</v>
      </c>
      <c r="E323" s="297" t="s">
        <v>33</v>
      </c>
      <c r="F323" s="168" t="s">
        <v>10992</v>
      </c>
      <c r="G323" s="157" t="s">
        <v>35</v>
      </c>
      <c r="H323" s="298" t="s">
        <v>11056</v>
      </c>
      <c r="I323" s="157" t="s">
        <v>35</v>
      </c>
      <c r="J323" s="257" t="s">
        <v>126</v>
      </c>
      <c r="K323" s="297" t="s">
        <v>29</v>
      </c>
      <c r="L323" s="257" t="s">
        <v>127</v>
      </c>
      <c r="M323" s="157" t="s">
        <v>33</v>
      </c>
      <c r="N323" s="167" t="s">
        <v>10499</v>
      </c>
      <c r="O323" s="55" t="str">
        <f t="shared" si="14"/>
        <v>L2.02.02.03.03.01</v>
      </c>
      <c r="P323" s="257" t="str">
        <f t="shared" si="12"/>
        <v>L2.02.02.03.03.01.02</v>
      </c>
      <c r="Q323" s="161" t="s">
        <v>10530</v>
      </c>
      <c r="R323" s="299" t="str">
        <f t="shared" si="13"/>
        <v>Phòng bán thêm GP HDDT 01</v>
      </c>
      <c r="S323" s="269" t="s">
        <v>11069</v>
      </c>
      <c r="T323" s="265" t="s">
        <v>1787</v>
      </c>
      <c r="U323" s="265" t="s">
        <v>262</v>
      </c>
      <c r="V323" s="265" t="s">
        <v>263</v>
      </c>
      <c r="W323" s="265" t="s">
        <v>356</v>
      </c>
      <c r="X323" s="265" t="s">
        <v>1786</v>
      </c>
      <c r="Y323" s="265"/>
      <c r="Z323" s="225" t="s">
        <v>11070</v>
      </c>
      <c r="AA323" s="300" t="s">
        <v>10530</v>
      </c>
      <c r="AB323" s="267"/>
      <c r="AC323" s="267"/>
      <c r="AD323" s="267"/>
    </row>
    <row r="324" ht="15.75" customHeight="1" outlineLevel="1">
      <c r="A324" s="261" t="s">
        <v>10833</v>
      </c>
      <c r="B324" s="231" t="s">
        <v>77</v>
      </c>
      <c r="C324" s="231" t="s">
        <v>33</v>
      </c>
      <c r="D324" s="157" t="s">
        <v>89</v>
      </c>
      <c r="E324" s="297" t="s">
        <v>33</v>
      </c>
      <c r="F324" s="168" t="s">
        <v>10992</v>
      </c>
      <c r="G324" s="157" t="s">
        <v>35</v>
      </c>
      <c r="H324" s="298" t="s">
        <v>11056</v>
      </c>
      <c r="I324" s="157" t="s">
        <v>35</v>
      </c>
      <c r="J324" s="257" t="s">
        <v>126</v>
      </c>
      <c r="K324" s="297" t="s">
        <v>33</v>
      </c>
      <c r="L324" s="257" t="s">
        <v>128</v>
      </c>
      <c r="M324" s="157" t="s">
        <v>33</v>
      </c>
      <c r="N324" s="167" t="s">
        <v>10499</v>
      </c>
      <c r="O324" s="55" t="str">
        <f t="shared" si="14"/>
        <v>L2.02.02.03.03.02</v>
      </c>
      <c r="P324" s="257" t="str">
        <f t="shared" si="12"/>
        <v>L2.02.02.03.03.02.02</v>
      </c>
      <c r="Q324" s="161" t="s">
        <v>10530</v>
      </c>
      <c r="R324" s="299" t="str">
        <f t="shared" si="13"/>
        <v>Phòng bán thêm GP HDDT 02</v>
      </c>
      <c r="S324" s="269" t="s">
        <v>11069</v>
      </c>
      <c r="T324" s="265" t="s">
        <v>1781</v>
      </c>
      <c r="U324" s="265" t="s">
        <v>262</v>
      </c>
      <c r="V324" s="265" t="s">
        <v>263</v>
      </c>
      <c r="W324" s="265" t="s">
        <v>356</v>
      </c>
      <c r="X324" s="265" t="s">
        <v>1780</v>
      </c>
      <c r="Y324" s="265"/>
      <c r="Z324" s="225" t="s">
        <v>11071</v>
      </c>
      <c r="AA324" s="300" t="s">
        <v>10530</v>
      </c>
      <c r="AB324" s="267"/>
      <c r="AC324" s="267"/>
      <c r="AD324" s="267"/>
    </row>
    <row r="325" ht="15.75" customHeight="1" outlineLevel="1">
      <c r="A325" s="261" t="s">
        <v>10833</v>
      </c>
      <c r="B325" s="231" t="s">
        <v>77</v>
      </c>
      <c r="C325" s="231" t="s">
        <v>33</v>
      </c>
      <c r="D325" s="157" t="s">
        <v>89</v>
      </c>
      <c r="E325" s="297" t="s">
        <v>33</v>
      </c>
      <c r="F325" s="168" t="s">
        <v>10992</v>
      </c>
      <c r="G325" s="157" t="s">
        <v>35</v>
      </c>
      <c r="H325" s="298" t="s">
        <v>11056</v>
      </c>
      <c r="I325" s="157" t="s">
        <v>35</v>
      </c>
      <c r="J325" s="257" t="s">
        <v>126</v>
      </c>
      <c r="K325" s="168" t="s">
        <v>35</v>
      </c>
      <c r="L325" s="301" t="s">
        <v>11035</v>
      </c>
      <c r="M325" s="157" t="s">
        <v>33</v>
      </c>
      <c r="N325" s="167" t="s">
        <v>10499</v>
      </c>
      <c r="O325" s="55" t="str">
        <f t="shared" si="14"/>
        <v>L2.02.02.03.03.03</v>
      </c>
      <c r="P325" s="257" t="str">
        <f t="shared" si="12"/>
        <v>L2.02.02.03.03.03.02</v>
      </c>
      <c r="Q325" s="161" t="s">
        <v>10530</v>
      </c>
      <c r="R325" s="299" t="str">
        <f t="shared" si="13"/>
        <v>Phòng bán thêm GP HDDT 03</v>
      </c>
      <c r="S325" s="269" t="s">
        <v>11069</v>
      </c>
      <c r="T325" s="265" t="s">
        <v>1718</v>
      </c>
      <c r="U325" s="265" t="s">
        <v>262</v>
      </c>
      <c r="V325" s="265" t="s">
        <v>263</v>
      </c>
      <c r="W325" s="265" t="s">
        <v>356</v>
      </c>
      <c r="X325" s="265" t="s">
        <v>1717</v>
      </c>
      <c r="Y325" s="265"/>
      <c r="Z325" s="225" t="s">
        <v>11072</v>
      </c>
      <c r="AA325" s="300" t="s">
        <v>10530</v>
      </c>
      <c r="AB325" s="267"/>
      <c r="AC325" s="267"/>
      <c r="AD325" s="267"/>
    </row>
    <row r="326" ht="15.75" customHeight="1" outlineLevel="1">
      <c r="A326" s="261" t="s">
        <v>10833</v>
      </c>
      <c r="B326" s="231" t="s">
        <v>77</v>
      </c>
      <c r="C326" s="231" t="s">
        <v>33</v>
      </c>
      <c r="D326" s="157" t="s">
        <v>89</v>
      </c>
      <c r="E326" s="297" t="s">
        <v>33</v>
      </c>
      <c r="F326" s="168" t="s">
        <v>10992</v>
      </c>
      <c r="G326" s="157" t="s">
        <v>35</v>
      </c>
      <c r="H326" s="298" t="s">
        <v>11056</v>
      </c>
      <c r="I326" s="157" t="s">
        <v>37</v>
      </c>
      <c r="J326" s="257" t="s">
        <v>129</v>
      </c>
      <c r="K326" s="297" t="s">
        <v>27</v>
      </c>
      <c r="L326" s="157" t="s">
        <v>4</v>
      </c>
      <c r="M326" s="157" t="s">
        <v>33</v>
      </c>
      <c r="N326" s="167" t="s">
        <v>10499</v>
      </c>
      <c r="O326" s="55" t="str">
        <f t="shared" si="14"/>
        <v>L2.02.02.03.04.00</v>
      </c>
      <c r="P326" s="257" t="str">
        <f t="shared" si="12"/>
        <v>L2.02.02.03.04.00.02</v>
      </c>
      <c r="Q326" s="161" t="s">
        <v>10530</v>
      </c>
      <c r="R326" s="299" t="str">
        <f t="shared" si="13"/>
        <v>Phòng KD chuyển đổi GPKT</v>
      </c>
      <c r="S326" s="269" t="s">
        <v>11060</v>
      </c>
      <c r="T326" s="265" t="s">
        <v>1702</v>
      </c>
      <c r="U326" s="265" t="s">
        <v>262</v>
      </c>
      <c r="V326" s="265" t="s">
        <v>263</v>
      </c>
      <c r="W326" s="265" t="s">
        <v>767</v>
      </c>
      <c r="X326" s="265" t="s">
        <v>1701</v>
      </c>
      <c r="Y326" s="265"/>
      <c r="Z326" s="225" t="s">
        <v>11073</v>
      </c>
      <c r="AA326" s="300" t="s">
        <v>10530</v>
      </c>
      <c r="AB326" s="267"/>
      <c r="AC326" s="267"/>
      <c r="AD326" s="267"/>
    </row>
    <row r="327" ht="15.75" customHeight="1" outlineLevel="1">
      <c r="A327" s="228" t="s">
        <v>10833</v>
      </c>
      <c r="B327" s="270" t="s">
        <v>77</v>
      </c>
      <c r="C327" s="270" t="s">
        <v>33</v>
      </c>
      <c r="D327" s="209" t="s">
        <v>89</v>
      </c>
      <c r="E327" s="271" t="s">
        <v>33</v>
      </c>
      <c r="F327" s="182" t="s">
        <v>10992</v>
      </c>
      <c r="G327" s="209" t="s">
        <v>35</v>
      </c>
      <c r="H327" s="212" t="s">
        <v>11056</v>
      </c>
      <c r="I327" s="209" t="s">
        <v>42</v>
      </c>
      <c r="J327" s="272" t="s">
        <v>130</v>
      </c>
      <c r="K327" s="271" t="s">
        <v>27</v>
      </c>
      <c r="L327" s="209" t="s">
        <v>4</v>
      </c>
      <c r="M327" s="209" t="s">
        <v>33</v>
      </c>
      <c r="N327" s="181" t="s">
        <v>10499</v>
      </c>
      <c r="O327" s="58" t="str">
        <f t="shared" si="14"/>
        <v>L2.02.02.03.05.00</v>
      </c>
      <c r="P327" s="272" t="str">
        <f t="shared" si="12"/>
        <v>L2.02.02.03.05.00.02</v>
      </c>
      <c r="Q327" s="185" t="s">
        <v>10530</v>
      </c>
      <c r="R327" s="273" t="str">
        <f t="shared" si="13"/>
        <v>Phòng bán thêm GP Ký điện tử</v>
      </c>
      <c r="S327" s="274" t="s">
        <v>11060</v>
      </c>
      <c r="T327" s="343" t="s">
        <v>11074</v>
      </c>
      <c r="U327" s="344" t="s">
        <v>262</v>
      </c>
      <c r="V327" s="344" t="s">
        <v>263</v>
      </c>
      <c r="W327" s="344" t="s">
        <v>261</v>
      </c>
      <c r="X327" s="344"/>
      <c r="Y327" s="344"/>
      <c r="Z327" s="345" t="s">
        <v>11075</v>
      </c>
      <c r="AA327" s="304" t="s">
        <v>10530</v>
      </c>
      <c r="AB327" s="277"/>
      <c r="AC327" s="277"/>
      <c r="AD327" s="277"/>
    </row>
    <row r="328" ht="15.75" customHeight="1" outlineLevel="1">
      <c r="A328" s="228" t="s">
        <v>10833</v>
      </c>
      <c r="B328" s="270" t="s">
        <v>77</v>
      </c>
      <c r="C328" s="270" t="s">
        <v>33</v>
      </c>
      <c r="D328" s="209" t="s">
        <v>89</v>
      </c>
      <c r="E328" s="271" t="s">
        <v>33</v>
      </c>
      <c r="F328" s="182" t="s">
        <v>10992</v>
      </c>
      <c r="G328" s="209" t="s">
        <v>35</v>
      </c>
      <c r="H328" s="212" t="s">
        <v>11056</v>
      </c>
      <c r="I328" s="209" t="s">
        <v>42</v>
      </c>
      <c r="J328" s="157" t="s">
        <v>4</v>
      </c>
      <c r="K328" s="182" t="s">
        <v>29</v>
      </c>
      <c r="L328" s="303" t="s">
        <v>11039</v>
      </c>
      <c r="M328" s="209" t="s">
        <v>33</v>
      </c>
      <c r="N328" s="181" t="s">
        <v>10499</v>
      </c>
      <c r="O328" s="58" t="str">
        <f t="shared" si="14"/>
        <v>L2.02.02.03.05.01</v>
      </c>
      <c r="P328" s="272" t="str">
        <f t="shared" si="12"/>
        <v>L2.02.02.03.05.01.02</v>
      </c>
      <c r="Q328" s="185" t="s">
        <v>10530</v>
      </c>
      <c r="R328" s="273" t="str">
        <f t="shared" si="13"/>
        <v>Phòng bán thêm GP Ký điện tử 01</v>
      </c>
      <c r="S328" s="274" t="str">
        <f>P327</f>
        <v>L2.02.02.03.05.00.02</v>
      </c>
      <c r="T328" s="183" t="s">
        <v>264</v>
      </c>
      <c r="U328" s="183" t="s">
        <v>262</v>
      </c>
      <c r="V328" s="183" t="s">
        <v>263</v>
      </c>
      <c r="W328" s="183" t="s">
        <v>261</v>
      </c>
      <c r="X328" s="183"/>
      <c r="Y328" s="183"/>
      <c r="Z328" s="275" t="s">
        <v>11075</v>
      </c>
      <c r="AA328" s="304" t="s">
        <v>10530</v>
      </c>
      <c r="AB328" s="277"/>
      <c r="AC328" s="277"/>
      <c r="AD328" s="277"/>
    </row>
    <row r="329" ht="15.75" customHeight="1" outlineLevel="1">
      <c r="A329" s="228" t="s">
        <v>10833</v>
      </c>
      <c r="B329" s="270" t="s">
        <v>77</v>
      </c>
      <c r="C329" s="270" t="s">
        <v>33</v>
      </c>
      <c r="D329" s="209" t="s">
        <v>89</v>
      </c>
      <c r="E329" s="271" t="s">
        <v>33</v>
      </c>
      <c r="F329" s="182" t="s">
        <v>10992</v>
      </c>
      <c r="G329" s="209" t="s">
        <v>35</v>
      </c>
      <c r="H329" s="212" t="s">
        <v>11056</v>
      </c>
      <c r="I329" s="209" t="s">
        <v>42</v>
      </c>
      <c r="J329" s="157" t="s">
        <v>4</v>
      </c>
      <c r="K329" s="182" t="s">
        <v>33</v>
      </c>
      <c r="L329" s="303" t="s">
        <v>11076</v>
      </c>
      <c r="M329" s="209" t="s">
        <v>33</v>
      </c>
      <c r="N329" s="181" t="s">
        <v>10499</v>
      </c>
      <c r="O329" s="58" t="str">
        <f t="shared" si="14"/>
        <v>L2.02.02.03.05.02</v>
      </c>
      <c r="P329" s="272" t="str">
        <f t="shared" si="12"/>
        <v>L2.02.02.03.05.02.02</v>
      </c>
      <c r="Q329" s="185" t="s">
        <v>10530</v>
      </c>
      <c r="R329" s="273" t="str">
        <f t="shared" si="13"/>
        <v>Phòng bán thêm GP Ký điện tử 02</v>
      </c>
      <c r="S329" s="274" t="str">
        <f>P327</f>
        <v>L2.02.02.03.05.00.02</v>
      </c>
      <c r="T329" s="211" t="s">
        <v>11077</v>
      </c>
      <c r="U329" s="183" t="s">
        <v>262</v>
      </c>
      <c r="V329" s="183" t="s">
        <v>263</v>
      </c>
      <c r="W329" s="184" t="s">
        <v>11078</v>
      </c>
      <c r="X329" s="183"/>
      <c r="Y329" s="183"/>
      <c r="Z329" s="275" t="s">
        <v>11075</v>
      </c>
      <c r="AA329" s="304" t="s">
        <v>10530</v>
      </c>
      <c r="AB329" s="277"/>
      <c r="AC329" s="277"/>
      <c r="AD329" s="277"/>
    </row>
    <row r="330" ht="15.75" customHeight="1" outlineLevel="1">
      <c r="A330" s="261" t="s">
        <v>10833</v>
      </c>
      <c r="B330" s="231" t="s">
        <v>77</v>
      </c>
      <c r="C330" s="231" t="s">
        <v>33</v>
      </c>
      <c r="D330" s="157" t="s">
        <v>89</v>
      </c>
      <c r="E330" s="297" t="s">
        <v>33</v>
      </c>
      <c r="F330" s="168" t="s">
        <v>10992</v>
      </c>
      <c r="G330" s="157" t="s">
        <v>35</v>
      </c>
      <c r="H330" s="298" t="s">
        <v>11056</v>
      </c>
      <c r="I330" s="157" t="s">
        <v>44</v>
      </c>
      <c r="J330" s="257" t="s">
        <v>131</v>
      </c>
      <c r="K330" s="297" t="s">
        <v>27</v>
      </c>
      <c r="L330" s="157" t="s">
        <v>4</v>
      </c>
      <c r="M330" s="157" t="s">
        <v>33</v>
      </c>
      <c r="N330" s="167" t="s">
        <v>10499</v>
      </c>
      <c r="O330" s="55" t="str">
        <f t="shared" si="14"/>
        <v>L2.02.02.03.06.00</v>
      </c>
      <c r="P330" s="257" t="str">
        <f t="shared" si="12"/>
        <v>L2.02.02.03.06.00.02</v>
      </c>
      <c r="Q330" s="161" t="s">
        <v>10530</v>
      </c>
      <c r="R330" s="299" t="str">
        <f t="shared" si="13"/>
        <v>Phòng KD meInvoice dự án</v>
      </c>
      <c r="S330" s="269" t="s">
        <v>11060</v>
      </c>
      <c r="T330" s="265" t="s">
        <v>1694</v>
      </c>
      <c r="U330" s="265" t="s">
        <v>262</v>
      </c>
      <c r="V330" s="265" t="s">
        <v>263</v>
      </c>
      <c r="W330" s="265" t="s">
        <v>1693</v>
      </c>
      <c r="X330" s="265"/>
      <c r="Y330" s="265"/>
      <c r="Z330" s="225" t="s">
        <v>11079</v>
      </c>
      <c r="AA330" s="300" t="s">
        <v>10530</v>
      </c>
      <c r="AB330" s="267"/>
      <c r="AC330" s="267"/>
      <c r="AD330" s="267"/>
    </row>
    <row r="331" ht="15.75" customHeight="1" outlineLevel="1">
      <c r="A331" s="261" t="s">
        <v>10833</v>
      </c>
      <c r="B331" s="231" t="s">
        <v>77</v>
      </c>
      <c r="C331" s="231" t="s">
        <v>33</v>
      </c>
      <c r="D331" s="157" t="s">
        <v>89</v>
      </c>
      <c r="E331" s="297" t="s">
        <v>33</v>
      </c>
      <c r="F331" s="168" t="s">
        <v>10992</v>
      </c>
      <c r="G331" s="157" t="s">
        <v>33</v>
      </c>
      <c r="H331" s="298" t="s">
        <v>11080</v>
      </c>
      <c r="I331" s="297" t="s">
        <v>27</v>
      </c>
      <c r="J331" s="157" t="s">
        <v>4</v>
      </c>
      <c r="K331" s="297" t="s">
        <v>27</v>
      </c>
      <c r="L331" s="157" t="s">
        <v>4</v>
      </c>
      <c r="M331" s="157" t="s">
        <v>35</v>
      </c>
      <c r="N331" s="167" t="s">
        <v>10500</v>
      </c>
      <c r="O331" s="55" t="str">
        <f t="shared" si="14"/>
        <v>L2.02.02.02.00.00</v>
      </c>
      <c r="P331" s="257" t="str">
        <f t="shared" si="12"/>
        <v>L2.02.02.02.00.00.03</v>
      </c>
      <c r="Q331" s="161" t="s">
        <v>10530</v>
      </c>
      <c r="R331" s="299" t="str">
        <f t="shared" si="13"/>
        <v>Phòng KD bán mới GPKT - Đà Nẵng</v>
      </c>
      <c r="S331" s="274" t="s">
        <v>11003</v>
      </c>
      <c r="T331" s="264" t="s">
        <v>11081</v>
      </c>
      <c r="U331" s="265" t="s">
        <v>2811</v>
      </c>
      <c r="V331" s="302" t="s">
        <v>2768</v>
      </c>
      <c r="W331" s="265"/>
      <c r="X331" s="265"/>
      <c r="Y331" s="265"/>
      <c r="Z331" s="225" t="s">
        <v>11082</v>
      </c>
      <c r="AA331" s="300" t="s">
        <v>10530</v>
      </c>
      <c r="AB331" s="267"/>
      <c r="AC331" s="267"/>
      <c r="AD331" s="267"/>
    </row>
    <row r="332" ht="15.75" customHeight="1" outlineLevel="1">
      <c r="A332" s="261" t="s">
        <v>10833</v>
      </c>
      <c r="B332" s="231" t="s">
        <v>77</v>
      </c>
      <c r="C332" s="231" t="s">
        <v>33</v>
      </c>
      <c r="D332" s="157" t="s">
        <v>89</v>
      </c>
      <c r="E332" s="297" t="s">
        <v>33</v>
      </c>
      <c r="F332" s="168" t="s">
        <v>10992</v>
      </c>
      <c r="G332" s="157" t="s">
        <v>33</v>
      </c>
      <c r="H332" s="298" t="s">
        <v>11080</v>
      </c>
      <c r="I332" s="297" t="s">
        <v>29</v>
      </c>
      <c r="J332" s="167" t="s">
        <v>110</v>
      </c>
      <c r="K332" s="297" t="s">
        <v>27</v>
      </c>
      <c r="L332" s="157" t="s">
        <v>4</v>
      </c>
      <c r="M332" s="157" t="s">
        <v>35</v>
      </c>
      <c r="N332" s="167" t="s">
        <v>10500</v>
      </c>
      <c r="O332" s="55" t="str">
        <f t="shared" si="14"/>
        <v>L2.02.02.02.01.00</v>
      </c>
      <c r="P332" s="257" t="str">
        <f t="shared" si="12"/>
        <v>L2.02.02.02.01.00.03</v>
      </c>
      <c r="Q332" s="161" t="s">
        <v>10530</v>
      </c>
      <c r="R332" s="299" t="str">
        <f t="shared" si="13"/>
        <v>Phòng KD bán mới GPKT 01</v>
      </c>
      <c r="S332" s="269" t="s">
        <v>11083</v>
      </c>
      <c r="T332" s="265" t="s">
        <v>3080</v>
      </c>
      <c r="U332" s="265" t="s">
        <v>2811</v>
      </c>
      <c r="V332" s="265" t="s">
        <v>2768</v>
      </c>
      <c r="W332" s="265" t="s">
        <v>2767</v>
      </c>
      <c r="X332" s="265"/>
      <c r="Y332" s="265"/>
      <c r="Z332" s="225" t="s">
        <v>11084</v>
      </c>
      <c r="AA332" s="300" t="s">
        <v>10530</v>
      </c>
      <c r="AB332" s="267"/>
      <c r="AC332" s="267"/>
      <c r="AD332" s="267"/>
    </row>
    <row r="333" ht="15.75" customHeight="1" outlineLevel="1">
      <c r="A333" s="261" t="s">
        <v>10833</v>
      </c>
      <c r="B333" s="231" t="s">
        <v>77</v>
      </c>
      <c r="C333" s="231" t="s">
        <v>33</v>
      </c>
      <c r="D333" s="157" t="s">
        <v>89</v>
      </c>
      <c r="E333" s="297" t="s">
        <v>33</v>
      </c>
      <c r="F333" s="168" t="s">
        <v>10992</v>
      </c>
      <c r="G333" s="157" t="s">
        <v>33</v>
      </c>
      <c r="H333" s="298" t="s">
        <v>11080</v>
      </c>
      <c r="I333" s="297" t="s">
        <v>33</v>
      </c>
      <c r="J333" s="167" t="s">
        <v>111</v>
      </c>
      <c r="K333" s="297" t="s">
        <v>27</v>
      </c>
      <c r="L333" s="157" t="s">
        <v>4</v>
      </c>
      <c r="M333" s="157" t="s">
        <v>35</v>
      </c>
      <c r="N333" s="167" t="s">
        <v>10500</v>
      </c>
      <c r="O333" s="55" t="str">
        <f t="shared" si="14"/>
        <v>L2.02.02.02.02.00</v>
      </c>
      <c r="P333" s="257" t="str">
        <f t="shared" si="12"/>
        <v>L2.02.02.02.02.00.03</v>
      </c>
      <c r="Q333" s="161" t="s">
        <v>10530</v>
      </c>
      <c r="R333" s="299" t="str">
        <f t="shared" si="13"/>
        <v>Phòng KD bán mới GPKT 02</v>
      </c>
      <c r="S333" s="269" t="s">
        <v>11083</v>
      </c>
      <c r="T333" s="265" t="s">
        <v>3074</v>
      </c>
      <c r="U333" s="265" t="s">
        <v>2811</v>
      </c>
      <c r="V333" s="265" t="s">
        <v>2768</v>
      </c>
      <c r="W333" s="265" t="s">
        <v>2858</v>
      </c>
      <c r="X333" s="265"/>
      <c r="Y333" s="265"/>
      <c r="Z333" s="225" t="s">
        <v>11085</v>
      </c>
      <c r="AA333" s="300" t="s">
        <v>10530</v>
      </c>
      <c r="AB333" s="267"/>
      <c r="AC333" s="267"/>
      <c r="AD333" s="267"/>
    </row>
    <row r="334" ht="15.75" customHeight="1" outlineLevel="1">
      <c r="A334" s="261" t="s">
        <v>10833</v>
      </c>
      <c r="B334" s="231" t="s">
        <v>77</v>
      </c>
      <c r="C334" s="231" t="s">
        <v>33</v>
      </c>
      <c r="D334" s="157" t="s">
        <v>89</v>
      </c>
      <c r="E334" s="297" t="s">
        <v>33</v>
      </c>
      <c r="F334" s="168" t="s">
        <v>10992</v>
      </c>
      <c r="G334" s="157" t="s">
        <v>35</v>
      </c>
      <c r="H334" s="298" t="s">
        <v>11086</v>
      </c>
      <c r="I334" s="168" t="s">
        <v>27</v>
      </c>
      <c r="J334" s="258" t="s">
        <v>4</v>
      </c>
      <c r="K334" s="297" t="s">
        <v>27</v>
      </c>
      <c r="L334" s="157" t="s">
        <v>4</v>
      </c>
      <c r="M334" s="157" t="s">
        <v>35</v>
      </c>
      <c r="N334" s="167" t="s">
        <v>10500</v>
      </c>
      <c r="O334" s="55" t="str">
        <f t="shared" si="14"/>
        <v>L2.02.02.03.00.00</v>
      </c>
      <c r="P334" s="257" t="str">
        <f t="shared" si="12"/>
        <v>L2.02.02.03.00.00.03</v>
      </c>
      <c r="Q334" s="161" t="s">
        <v>10530</v>
      </c>
      <c r="R334" s="299" t="str">
        <f t="shared" si="13"/>
        <v>Phòng KD Bán thêm - Đà Nẵng</v>
      </c>
      <c r="S334" s="274" t="s">
        <v>11057</v>
      </c>
      <c r="T334" s="265" t="s">
        <v>8579</v>
      </c>
      <c r="U334" s="265" t="s">
        <v>2811</v>
      </c>
      <c r="V334" s="265" t="s">
        <v>326</v>
      </c>
      <c r="W334" s="265"/>
      <c r="X334" s="265"/>
      <c r="Y334" s="265"/>
      <c r="Z334" s="225" t="s">
        <v>11087</v>
      </c>
      <c r="AA334" s="300" t="s">
        <v>10530</v>
      </c>
      <c r="AB334" s="267"/>
      <c r="AC334" s="267"/>
      <c r="AD334" s="267"/>
    </row>
    <row r="335" ht="15.75" customHeight="1" outlineLevel="1">
      <c r="A335" s="261" t="s">
        <v>10833</v>
      </c>
      <c r="B335" s="231" t="s">
        <v>77</v>
      </c>
      <c r="C335" s="231" t="s">
        <v>33</v>
      </c>
      <c r="D335" s="157" t="s">
        <v>89</v>
      </c>
      <c r="E335" s="297" t="s">
        <v>33</v>
      </c>
      <c r="F335" s="168" t="s">
        <v>10992</v>
      </c>
      <c r="G335" s="157" t="s">
        <v>35</v>
      </c>
      <c r="H335" s="298" t="s">
        <v>11086</v>
      </c>
      <c r="I335" s="168" t="s">
        <v>42</v>
      </c>
      <c r="J335" s="301" t="s">
        <v>10984</v>
      </c>
      <c r="K335" s="297" t="s">
        <v>27</v>
      </c>
      <c r="L335" s="157" t="s">
        <v>4</v>
      </c>
      <c r="M335" s="157" t="s">
        <v>35</v>
      </c>
      <c r="N335" s="167" t="s">
        <v>10500</v>
      </c>
      <c r="O335" s="55" t="str">
        <f t="shared" si="14"/>
        <v>L2.02.02.03.05.00</v>
      </c>
      <c r="P335" s="257" t="str">
        <f t="shared" si="12"/>
        <v>L2.02.02.03.05.00.03</v>
      </c>
      <c r="Q335" s="161" t="s">
        <v>10530</v>
      </c>
      <c r="R335" s="299" t="str">
        <f t="shared" si="13"/>
        <v>Nhóm Quản lý</v>
      </c>
      <c r="S335" s="269" t="s">
        <v>11088</v>
      </c>
      <c r="T335" s="265"/>
      <c r="U335" s="265"/>
      <c r="V335" s="265"/>
      <c r="W335" s="265"/>
      <c r="X335" s="265"/>
      <c r="Y335" s="264" t="s">
        <v>11089</v>
      </c>
      <c r="Z335" s="225" t="s">
        <v>11090</v>
      </c>
      <c r="AA335" s="266"/>
      <c r="AB335" s="267"/>
      <c r="AC335" s="267"/>
      <c r="AD335" s="267"/>
    </row>
    <row r="336" ht="15.75" customHeight="1" outlineLevel="1">
      <c r="A336" s="261" t="s">
        <v>10833</v>
      </c>
      <c r="B336" s="231" t="s">
        <v>77</v>
      </c>
      <c r="C336" s="231" t="s">
        <v>33</v>
      </c>
      <c r="D336" s="157" t="s">
        <v>89</v>
      </c>
      <c r="E336" s="297" t="s">
        <v>33</v>
      </c>
      <c r="F336" s="168" t="s">
        <v>10992</v>
      </c>
      <c r="G336" s="157" t="s">
        <v>35</v>
      </c>
      <c r="H336" s="298" t="s">
        <v>11086</v>
      </c>
      <c r="I336" s="261" t="s">
        <v>29</v>
      </c>
      <c r="J336" s="257" t="s">
        <v>117</v>
      </c>
      <c r="K336" s="297" t="s">
        <v>27</v>
      </c>
      <c r="L336" s="157" t="s">
        <v>4</v>
      </c>
      <c r="M336" s="157" t="s">
        <v>35</v>
      </c>
      <c r="N336" s="167" t="s">
        <v>10500</v>
      </c>
      <c r="O336" s="55" t="str">
        <f t="shared" si="14"/>
        <v>L2.02.02.03.01.00</v>
      </c>
      <c r="P336" s="257" t="str">
        <f t="shared" si="12"/>
        <v>L2.02.02.03.01.00.03</v>
      </c>
      <c r="Q336" s="161" t="s">
        <v>10530</v>
      </c>
      <c r="R336" s="299" t="str">
        <f t="shared" si="13"/>
        <v>Nhóm KD Bán thêm GP KTDN</v>
      </c>
      <c r="S336" s="269" t="s">
        <v>11088</v>
      </c>
      <c r="T336" s="265" t="s">
        <v>3356</v>
      </c>
      <c r="U336" s="265" t="s">
        <v>2811</v>
      </c>
      <c r="V336" s="265" t="s">
        <v>326</v>
      </c>
      <c r="W336" s="265" t="s">
        <v>2737</v>
      </c>
      <c r="X336" s="265"/>
      <c r="Y336" s="265"/>
      <c r="Z336" s="225" t="s">
        <v>11091</v>
      </c>
      <c r="AA336" s="300" t="s">
        <v>10530</v>
      </c>
      <c r="AB336" s="267"/>
      <c r="AC336" s="267"/>
      <c r="AD336" s="267"/>
    </row>
    <row r="337" ht="15.75" customHeight="1" outlineLevel="1">
      <c r="A337" s="261" t="s">
        <v>10833</v>
      </c>
      <c r="B337" s="231" t="s">
        <v>77</v>
      </c>
      <c r="C337" s="231" t="s">
        <v>33</v>
      </c>
      <c r="D337" s="157" t="s">
        <v>89</v>
      </c>
      <c r="E337" s="297" t="s">
        <v>33</v>
      </c>
      <c r="F337" s="168" t="s">
        <v>10992</v>
      </c>
      <c r="G337" s="157" t="s">
        <v>35</v>
      </c>
      <c r="H337" s="298" t="s">
        <v>11086</v>
      </c>
      <c r="I337" s="261" t="s">
        <v>33</v>
      </c>
      <c r="J337" s="257" t="s">
        <v>118</v>
      </c>
      <c r="K337" s="297" t="s">
        <v>27</v>
      </c>
      <c r="L337" s="157" t="s">
        <v>4</v>
      </c>
      <c r="M337" s="157" t="s">
        <v>35</v>
      </c>
      <c r="N337" s="167" t="s">
        <v>10500</v>
      </c>
      <c r="O337" s="55" t="str">
        <f t="shared" si="14"/>
        <v>L2.02.02.03.02.00</v>
      </c>
      <c r="P337" s="257" t="str">
        <f t="shared" si="12"/>
        <v>L2.02.02.03.02.00.03</v>
      </c>
      <c r="Q337" s="161" t="s">
        <v>10530</v>
      </c>
      <c r="R337" s="299" t="str">
        <f t="shared" si="13"/>
        <v>Nhóm KD Bán thêm GP HDDT</v>
      </c>
      <c r="S337" s="269" t="s">
        <v>11088</v>
      </c>
      <c r="T337" s="265" t="s">
        <v>4554</v>
      </c>
      <c r="U337" s="265" t="s">
        <v>2811</v>
      </c>
      <c r="V337" s="265" t="s">
        <v>326</v>
      </c>
      <c r="W337" s="265" t="s">
        <v>324</v>
      </c>
      <c r="X337" s="265"/>
      <c r="Y337" s="265"/>
      <c r="Z337" s="225" t="s">
        <v>11092</v>
      </c>
      <c r="AA337" s="300" t="s">
        <v>10530</v>
      </c>
      <c r="AB337" s="267"/>
      <c r="AC337" s="267"/>
      <c r="AD337" s="267"/>
    </row>
    <row r="338" ht="15.75" customHeight="1" outlineLevel="1">
      <c r="A338" s="261" t="s">
        <v>10833</v>
      </c>
      <c r="B338" s="231" t="s">
        <v>77</v>
      </c>
      <c r="C338" s="231" t="s">
        <v>33</v>
      </c>
      <c r="D338" s="157" t="s">
        <v>89</v>
      </c>
      <c r="E338" s="297" t="s">
        <v>33</v>
      </c>
      <c r="F338" s="168" t="s">
        <v>10992</v>
      </c>
      <c r="G338" s="157" t="s">
        <v>35</v>
      </c>
      <c r="H338" s="298" t="s">
        <v>11086</v>
      </c>
      <c r="I338" s="261" t="s">
        <v>35</v>
      </c>
      <c r="J338" s="257" t="s">
        <v>119</v>
      </c>
      <c r="K338" s="297" t="s">
        <v>27</v>
      </c>
      <c r="L338" s="157" t="s">
        <v>4</v>
      </c>
      <c r="M338" s="157" t="s">
        <v>35</v>
      </c>
      <c r="N338" s="167" t="s">
        <v>10500</v>
      </c>
      <c r="O338" s="55" t="str">
        <f t="shared" si="14"/>
        <v>L2.02.02.03.03.00</v>
      </c>
      <c r="P338" s="257" t="str">
        <f t="shared" si="12"/>
        <v>L2.02.02.03.03.00.03</v>
      </c>
      <c r="Q338" s="161" t="s">
        <v>10530</v>
      </c>
      <c r="R338" s="299" t="str">
        <f t="shared" si="13"/>
        <v>Nhóm KD Bán thêm chuyển đổi KTDN</v>
      </c>
      <c r="S338" s="269" t="s">
        <v>11088</v>
      </c>
      <c r="T338" s="265" t="s">
        <v>8613</v>
      </c>
      <c r="U338" s="265" t="s">
        <v>2811</v>
      </c>
      <c r="V338" s="265" t="s">
        <v>326</v>
      </c>
      <c r="W338" s="265" t="s">
        <v>8612</v>
      </c>
      <c r="X338" s="265"/>
      <c r="Y338" s="265"/>
      <c r="Z338" s="225" t="s">
        <v>11093</v>
      </c>
      <c r="AA338" s="300" t="s">
        <v>10530</v>
      </c>
      <c r="AB338" s="267"/>
      <c r="AC338" s="267"/>
      <c r="AD338" s="267"/>
    </row>
    <row r="339" ht="15.75" customHeight="1" outlineLevel="1">
      <c r="A339" s="261" t="s">
        <v>10833</v>
      </c>
      <c r="B339" s="231" t="s">
        <v>77</v>
      </c>
      <c r="C339" s="231" t="s">
        <v>33</v>
      </c>
      <c r="D339" s="157" t="s">
        <v>89</v>
      </c>
      <c r="E339" s="297" t="s">
        <v>33</v>
      </c>
      <c r="F339" s="168" t="s">
        <v>10992</v>
      </c>
      <c r="G339" s="157" t="s">
        <v>35</v>
      </c>
      <c r="H339" s="298" t="s">
        <v>11086</v>
      </c>
      <c r="I339" s="261" t="s">
        <v>37</v>
      </c>
      <c r="J339" s="257" t="s">
        <v>120</v>
      </c>
      <c r="K339" s="297" t="s">
        <v>27</v>
      </c>
      <c r="L339" s="157" t="s">
        <v>4</v>
      </c>
      <c r="M339" s="157" t="s">
        <v>35</v>
      </c>
      <c r="N339" s="167" t="s">
        <v>10500</v>
      </c>
      <c r="O339" s="55" t="str">
        <f t="shared" si="14"/>
        <v>L2.02.02.03.04.00</v>
      </c>
      <c r="P339" s="257" t="str">
        <f t="shared" si="12"/>
        <v>L2.02.02.03.04.00.03</v>
      </c>
      <c r="Q339" s="161" t="s">
        <v>10530</v>
      </c>
      <c r="R339" s="299" t="str">
        <f t="shared" si="13"/>
        <v>Nhóm KD Bán thêm GP ký điện tử</v>
      </c>
      <c r="S339" s="269" t="s">
        <v>11088</v>
      </c>
      <c r="T339" s="342" t="s">
        <v>11094</v>
      </c>
      <c r="U339" s="265" t="s">
        <v>2811</v>
      </c>
      <c r="V339" s="265" t="s">
        <v>326</v>
      </c>
      <c r="W339" s="302" t="s">
        <v>11095</v>
      </c>
      <c r="X339" s="265"/>
      <c r="Y339" s="265"/>
      <c r="Z339" s="225" t="s">
        <v>11096</v>
      </c>
      <c r="AA339" s="300" t="s">
        <v>10530</v>
      </c>
      <c r="AB339" s="267"/>
      <c r="AC339" s="267"/>
      <c r="AD339" s="267"/>
    </row>
    <row r="340" ht="15.75" customHeight="1" outlineLevel="1">
      <c r="A340" s="228" t="s">
        <v>10833</v>
      </c>
      <c r="B340" s="270" t="s">
        <v>77</v>
      </c>
      <c r="C340" s="270" t="s">
        <v>33</v>
      </c>
      <c r="D340" s="209" t="s">
        <v>89</v>
      </c>
      <c r="E340" s="271" t="s">
        <v>33</v>
      </c>
      <c r="F340" s="182" t="s">
        <v>10992</v>
      </c>
      <c r="G340" s="209" t="s">
        <v>33</v>
      </c>
      <c r="H340" s="212" t="s">
        <v>11097</v>
      </c>
      <c r="I340" s="182" t="s">
        <v>27</v>
      </c>
      <c r="J340" s="346" t="s">
        <v>4</v>
      </c>
      <c r="K340" s="271" t="s">
        <v>27</v>
      </c>
      <c r="L340" s="209" t="s">
        <v>4</v>
      </c>
      <c r="M340" s="209" t="s">
        <v>37</v>
      </c>
      <c r="N340" s="212" t="s">
        <v>10900</v>
      </c>
      <c r="O340" s="58" t="str">
        <f t="shared" si="14"/>
        <v>L2.02.02.02.00.00</v>
      </c>
      <c r="P340" s="272" t="str">
        <f t="shared" si="12"/>
        <v>L2.02.02.02.00.00.04</v>
      </c>
      <c r="Q340" s="185" t="s">
        <v>10530</v>
      </c>
      <c r="R340" s="273" t="str">
        <f t="shared" si="13"/>
        <v>Phòng KD bán mới GPKT - Buôn Ma Thuột</v>
      </c>
      <c r="S340" s="274" t="s">
        <v>11003</v>
      </c>
      <c r="T340" s="183"/>
      <c r="U340" s="183"/>
      <c r="V340" s="183"/>
      <c r="W340" s="183"/>
      <c r="X340" s="183"/>
      <c r="Y340" s="183"/>
      <c r="Z340" s="275" t="s">
        <v>11098</v>
      </c>
      <c r="AA340" s="304" t="s">
        <v>10530</v>
      </c>
      <c r="AB340" s="277"/>
      <c r="AC340" s="277"/>
      <c r="AD340" s="277"/>
    </row>
    <row r="341" ht="15.75" customHeight="1" outlineLevel="1">
      <c r="A341" s="228" t="s">
        <v>10833</v>
      </c>
      <c r="B341" s="270" t="s">
        <v>77</v>
      </c>
      <c r="C341" s="270" t="s">
        <v>33</v>
      </c>
      <c r="D341" s="209" t="s">
        <v>89</v>
      </c>
      <c r="E341" s="271" t="s">
        <v>33</v>
      </c>
      <c r="F341" s="182" t="s">
        <v>10992</v>
      </c>
      <c r="G341" s="209" t="s">
        <v>33</v>
      </c>
      <c r="H341" s="212" t="s">
        <v>11097</v>
      </c>
      <c r="I341" s="182" t="s">
        <v>29</v>
      </c>
      <c r="J341" s="346" t="s">
        <v>110</v>
      </c>
      <c r="K341" s="182" t="s">
        <v>29</v>
      </c>
      <c r="L341" s="347" t="s">
        <v>4</v>
      </c>
      <c r="M341" s="209" t="s">
        <v>37</v>
      </c>
      <c r="N341" s="212" t="s">
        <v>10900</v>
      </c>
      <c r="O341" s="58" t="str">
        <f t="shared" si="14"/>
        <v>L2.02.02.02.01.01</v>
      </c>
      <c r="P341" s="272" t="str">
        <f t="shared" si="12"/>
        <v>L2.02.02.02.01.01.04</v>
      </c>
      <c r="Q341" s="185" t="s">
        <v>10530</v>
      </c>
      <c r="R341" s="273" t="str">
        <f>if(J341&lt;&gt;"-",J341,if(AND(J341="-",#REF!&lt;&gt;"-"),#REF!,if(AND(#REF!="-",H341&lt;&gt;"-"),H341,"NA")))</f>
        <v>Phòng KD bán mới GPKT 01</v>
      </c>
      <c r="S341" s="274" t="str">
        <f>P340</f>
        <v>L2.02.02.02.00.00.04</v>
      </c>
      <c r="T341" s="183" t="s">
        <v>2859</v>
      </c>
      <c r="U341" s="183" t="s">
        <v>2732</v>
      </c>
      <c r="V341" s="183" t="s">
        <v>2768</v>
      </c>
      <c r="W341" s="183" t="s">
        <v>2858</v>
      </c>
      <c r="X341" s="183"/>
      <c r="Y341" s="183"/>
      <c r="Z341" s="275" t="s">
        <v>11099</v>
      </c>
      <c r="AA341" s="304" t="s">
        <v>10530</v>
      </c>
      <c r="AB341" s="277"/>
      <c r="AC341" s="277"/>
      <c r="AD341" s="277"/>
    </row>
    <row r="342" ht="15.75" customHeight="1" outlineLevel="1">
      <c r="A342" s="261" t="s">
        <v>10833</v>
      </c>
      <c r="B342" s="231" t="s">
        <v>77</v>
      </c>
      <c r="C342" s="231" t="s">
        <v>33</v>
      </c>
      <c r="D342" s="157" t="s">
        <v>89</v>
      </c>
      <c r="E342" s="297" t="s">
        <v>33</v>
      </c>
      <c r="F342" s="168" t="s">
        <v>10992</v>
      </c>
      <c r="G342" s="157" t="s">
        <v>35</v>
      </c>
      <c r="H342" s="298" t="s">
        <v>11100</v>
      </c>
      <c r="I342" s="168" t="s">
        <v>27</v>
      </c>
      <c r="J342" s="258" t="s">
        <v>4</v>
      </c>
      <c r="K342" s="297" t="s">
        <v>27</v>
      </c>
      <c r="L342" s="157" t="s">
        <v>4</v>
      </c>
      <c r="M342" s="157" t="s">
        <v>37</v>
      </c>
      <c r="N342" s="298" t="s">
        <v>10900</v>
      </c>
      <c r="O342" s="55" t="str">
        <f t="shared" si="14"/>
        <v>L2.02.02.03.00.00</v>
      </c>
      <c r="P342" s="257" t="str">
        <f t="shared" si="12"/>
        <v>L2.02.02.03.00.00.04</v>
      </c>
      <c r="Q342" s="161" t="s">
        <v>10530</v>
      </c>
      <c r="R342" s="299" t="str">
        <f t="shared" ref="R342:R393" si="15">if(L342&lt;&gt;"-",L342,if(AND(L342="-",J342&lt;&gt;"-"),J342,if(AND(J342="-",H342&lt;&gt;"-"),H342,"NA")))</f>
        <v>Phòng KD Bán thêm - Buôn Ma Thuột</v>
      </c>
      <c r="S342" s="274" t="s">
        <v>11057</v>
      </c>
      <c r="T342" s="265" t="s">
        <v>9032</v>
      </c>
      <c r="U342" s="265" t="s">
        <v>2732</v>
      </c>
      <c r="V342" s="265" t="s">
        <v>326</v>
      </c>
      <c r="W342" s="265"/>
      <c r="X342" s="265"/>
      <c r="Y342" s="265"/>
      <c r="Z342" s="225" t="s">
        <v>11101</v>
      </c>
      <c r="AA342" s="300" t="s">
        <v>10530</v>
      </c>
      <c r="AB342" s="267"/>
      <c r="AC342" s="267"/>
      <c r="AD342" s="267"/>
    </row>
    <row r="343" ht="15.75" customHeight="1" outlineLevel="1">
      <c r="A343" s="261" t="s">
        <v>10833</v>
      </c>
      <c r="B343" s="231" t="s">
        <v>77</v>
      </c>
      <c r="C343" s="231" t="s">
        <v>33</v>
      </c>
      <c r="D343" s="157" t="s">
        <v>89</v>
      </c>
      <c r="E343" s="297" t="s">
        <v>33</v>
      </c>
      <c r="F343" s="168" t="s">
        <v>10992</v>
      </c>
      <c r="G343" s="157" t="s">
        <v>35</v>
      </c>
      <c r="H343" s="298" t="s">
        <v>11100</v>
      </c>
      <c r="I343" s="168" t="s">
        <v>42</v>
      </c>
      <c r="J343" s="301" t="s">
        <v>10984</v>
      </c>
      <c r="K343" s="297" t="s">
        <v>27</v>
      </c>
      <c r="L343" s="157" t="s">
        <v>4</v>
      </c>
      <c r="M343" s="157" t="s">
        <v>37</v>
      </c>
      <c r="N343" s="298" t="s">
        <v>10900</v>
      </c>
      <c r="O343" s="55" t="str">
        <f t="shared" si="14"/>
        <v>L2.02.02.03.05.00</v>
      </c>
      <c r="P343" s="257" t="str">
        <f t="shared" si="12"/>
        <v>L2.02.02.03.05.00.04</v>
      </c>
      <c r="Q343" s="161" t="s">
        <v>10530</v>
      </c>
      <c r="R343" s="299" t="str">
        <f t="shared" si="15"/>
        <v>Nhóm Quản lý</v>
      </c>
      <c r="S343" s="269" t="s">
        <v>11102</v>
      </c>
      <c r="T343" s="265"/>
      <c r="U343" s="265"/>
      <c r="V343" s="265"/>
      <c r="W343" s="265"/>
      <c r="X343" s="265"/>
      <c r="Y343" s="264" t="s">
        <v>11089</v>
      </c>
      <c r="Z343" s="225" t="s">
        <v>11103</v>
      </c>
      <c r="AA343" s="266"/>
      <c r="AB343" s="267"/>
      <c r="AC343" s="267"/>
      <c r="AD343" s="267"/>
    </row>
    <row r="344" ht="15.75" customHeight="1" outlineLevel="1">
      <c r="A344" s="261" t="s">
        <v>10833</v>
      </c>
      <c r="B344" s="231" t="s">
        <v>77</v>
      </c>
      <c r="C344" s="231" t="s">
        <v>33</v>
      </c>
      <c r="D344" s="157" t="s">
        <v>89</v>
      </c>
      <c r="E344" s="297" t="s">
        <v>33</v>
      </c>
      <c r="F344" s="168" t="s">
        <v>10992</v>
      </c>
      <c r="G344" s="157" t="s">
        <v>35</v>
      </c>
      <c r="H344" s="298" t="s">
        <v>11100</v>
      </c>
      <c r="I344" s="261" t="s">
        <v>29</v>
      </c>
      <c r="J344" s="257" t="s">
        <v>117</v>
      </c>
      <c r="K344" s="297" t="s">
        <v>27</v>
      </c>
      <c r="L344" s="157" t="s">
        <v>4</v>
      </c>
      <c r="M344" s="157" t="s">
        <v>37</v>
      </c>
      <c r="N344" s="298" t="s">
        <v>10900</v>
      </c>
      <c r="O344" s="55" t="str">
        <f t="shared" si="14"/>
        <v>L2.02.02.03.01.00</v>
      </c>
      <c r="P344" s="257" t="str">
        <f t="shared" si="12"/>
        <v>L2.02.02.03.01.00.04</v>
      </c>
      <c r="Q344" s="161" t="s">
        <v>10530</v>
      </c>
      <c r="R344" s="299" t="str">
        <f t="shared" si="15"/>
        <v>Nhóm KD Bán thêm GP KTDN</v>
      </c>
      <c r="S344" s="269" t="s">
        <v>11102</v>
      </c>
      <c r="T344" s="265" t="s">
        <v>2738</v>
      </c>
      <c r="U344" s="265" t="s">
        <v>2732</v>
      </c>
      <c r="V344" s="265" t="s">
        <v>326</v>
      </c>
      <c r="W344" s="265" t="s">
        <v>2737</v>
      </c>
      <c r="X344" s="265"/>
      <c r="Y344" s="265"/>
      <c r="Z344" s="225" t="s">
        <v>11104</v>
      </c>
      <c r="AA344" s="300" t="s">
        <v>10530</v>
      </c>
      <c r="AB344" s="267"/>
      <c r="AC344" s="267"/>
      <c r="AD344" s="267"/>
    </row>
    <row r="345" ht="15.75" customHeight="1" outlineLevel="1">
      <c r="A345" s="261" t="s">
        <v>10833</v>
      </c>
      <c r="B345" s="231" t="s">
        <v>77</v>
      </c>
      <c r="C345" s="231" t="s">
        <v>33</v>
      </c>
      <c r="D345" s="157" t="s">
        <v>89</v>
      </c>
      <c r="E345" s="297" t="s">
        <v>33</v>
      </c>
      <c r="F345" s="168" t="s">
        <v>10992</v>
      </c>
      <c r="G345" s="157" t="s">
        <v>35</v>
      </c>
      <c r="H345" s="298" t="s">
        <v>11100</v>
      </c>
      <c r="I345" s="261" t="s">
        <v>33</v>
      </c>
      <c r="J345" s="257" t="s">
        <v>118</v>
      </c>
      <c r="K345" s="297" t="s">
        <v>27</v>
      </c>
      <c r="L345" s="157" t="s">
        <v>4</v>
      </c>
      <c r="M345" s="157" t="s">
        <v>37</v>
      </c>
      <c r="N345" s="298" t="s">
        <v>10900</v>
      </c>
      <c r="O345" s="55" t="str">
        <f t="shared" si="14"/>
        <v>L2.02.02.03.02.00</v>
      </c>
      <c r="P345" s="257" t="str">
        <f t="shared" si="12"/>
        <v>L2.02.02.03.02.00.04</v>
      </c>
      <c r="Q345" s="161" t="s">
        <v>10530</v>
      </c>
      <c r="R345" s="299" t="str">
        <f t="shared" si="15"/>
        <v>Nhóm KD Bán thêm GP HDDT</v>
      </c>
      <c r="S345" s="269" t="s">
        <v>11102</v>
      </c>
      <c r="T345" s="265" t="s">
        <v>2733</v>
      </c>
      <c r="U345" s="265" t="s">
        <v>2732</v>
      </c>
      <c r="V345" s="265" t="s">
        <v>326</v>
      </c>
      <c r="W345" s="265" t="s">
        <v>324</v>
      </c>
      <c r="X345" s="265"/>
      <c r="Y345" s="265"/>
      <c r="Z345" s="225" t="s">
        <v>11105</v>
      </c>
      <c r="AA345" s="300" t="s">
        <v>10530</v>
      </c>
      <c r="AB345" s="267"/>
      <c r="AC345" s="267"/>
      <c r="AD345" s="267"/>
    </row>
    <row r="346" ht="15.75" customHeight="1" outlineLevel="1">
      <c r="A346" s="261" t="s">
        <v>10833</v>
      </c>
      <c r="B346" s="231" t="s">
        <v>77</v>
      </c>
      <c r="C346" s="231" t="s">
        <v>33</v>
      </c>
      <c r="D346" s="157" t="s">
        <v>89</v>
      </c>
      <c r="E346" s="297" t="s">
        <v>33</v>
      </c>
      <c r="F346" s="168" t="s">
        <v>10992</v>
      </c>
      <c r="G346" s="157" t="s">
        <v>35</v>
      </c>
      <c r="H346" s="298" t="s">
        <v>11100</v>
      </c>
      <c r="I346" s="261" t="s">
        <v>35</v>
      </c>
      <c r="J346" s="257" t="s">
        <v>119</v>
      </c>
      <c r="K346" s="297" t="s">
        <v>27</v>
      </c>
      <c r="L346" s="157" t="s">
        <v>4</v>
      </c>
      <c r="M346" s="157" t="s">
        <v>37</v>
      </c>
      <c r="N346" s="298" t="s">
        <v>10900</v>
      </c>
      <c r="O346" s="55" t="str">
        <f t="shared" si="14"/>
        <v>L2.02.02.03.03.00</v>
      </c>
      <c r="P346" s="257" t="str">
        <f t="shared" si="12"/>
        <v>L2.02.02.03.03.00.04</v>
      </c>
      <c r="Q346" s="161" t="s">
        <v>10530</v>
      </c>
      <c r="R346" s="299" t="str">
        <f t="shared" si="15"/>
        <v>Nhóm KD Bán thêm chuyển đổi KTDN</v>
      </c>
      <c r="S346" s="269" t="s">
        <v>11102</v>
      </c>
      <c r="T346" s="265" t="s">
        <v>9059</v>
      </c>
      <c r="U346" s="265" t="s">
        <v>2732</v>
      </c>
      <c r="V346" s="265" t="s">
        <v>326</v>
      </c>
      <c r="W346" s="265" t="s">
        <v>9058</v>
      </c>
      <c r="X346" s="265"/>
      <c r="Y346" s="265"/>
      <c r="Z346" s="225" t="s">
        <v>11106</v>
      </c>
      <c r="AA346" s="300" t="s">
        <v>10530</v>
      </c>
      <c r="AB346" s="267"/>
      <c r="AC346" s="267"/>
      <c r="AD346" s="267"/>
    </row>
    <row r="347" ht="15.75" customHeight="1" outlineLevel="1">
      <c r="A347" s="261" t="s">
        <v>10833</v>
      </c>
      <c r="B347" s="231" t="s">
        <v>77</v>
      </c>
      <c r="C347" s="231" t="s">
        <v>33</v>
      </c>
      <c r="D347" s="157" t="s">
        <v>89</v>
      </c>
      <c r="E347" s="297" t="s">
        <v>33</v>
      </c>
      <c r="F347" s="168" t="s">
        <v>10992</v>
      </c>
      <c r="G347" s="157" t="s">
        <v>35</v>
      </c>
      <c r="H347" s="298" t="s">
        <v>11100</v>
      </c>
      <c r="I347" s="261" t="s">
        <v>37</v>
      </c>
      <c r="J347" s="257" t="s">
        <v>120</v>
      </c>
      <c r="K347" s="297" t="s">
        <v>27</v>
      </c>
      <c r="L347" s="157" t="s">
        <v>4</v>
      </c>
      <c r="M347" s="157" t="s">
        <v>37</v>
      </c>
      <c r="N347" s="298" t="s">
        <v>10900</v>
      </c>
      <c r="O347" s="55" t="str">
        <f t="shared" si="14"/>
        <v>L2.02.02.03.04.00</v>
      </c>
      <c r="P347" s="257" t="str">
        <f t="shared" si="12"/>
        <v>L2.02.02.03.04.00.04</v>
      </c>
      <c r="Q347" s="161" t="s">
        <v>10530</v>
      </c>
      <c r="R347" s="299" t="str">
        <f t="shared" si="15"/>
        <v>Nhóm KD Bán thêm GP ký điện tử</v>
      </c>
      <c r="S347" s="269" t="s">
        <v>11102</v>
      </c>
      <c r="T347" s="265"/>
      <c r="U347" s="265"/>
      <c r="V347" s="265"/>
      <c r="W347" s="265"/>
      <c r="X347" s="265"/>
      <c r="Y347" s="264" t="s">
        <v>11089</v>
      </c>
      <c r="Z347" s="225" t="s">
        <v>11107</v>
      </c>
      <c r="AA347" s="266"/>
      <c r="AB347" s="267"/>
      <c r="AC347" s="267"/>
      <c r="AD347" s="267"/>
    </row>
    <row r="348" ht="15.75" customHeight="1" outlineLevel="1">
      <c r="A348" s="228" t="s">
        <v>10833</v>
      </c>
      <c r="B348" s="270" t="s">
        <v>77</v>
      </c>
      <c r="C348" s="270" t="s">
        <v>33</v>
      </c>
      <c r="D348" s="209" t="s">
        <v>89</v>
      </c>
      <c r="E348" s="271" t="s">
        <v>33</v>
      </c>
      <c r="F348" s="182" t="s">
        <v>10992</v>
      </c>
      <c r="G348" s="209" t="s">
        <v>33</v>
      </c>
      <c r="H348" s="212" t="s">
        <v>11108</v>
      </c>
      <c r="I348" s="182" t="s">
        <v>27</v>
      </c>
      <c r="J348" s="212" t="s">
        <v>4</v>
      </c>
      <c r="K348" s="271" t="s">
        <v>27</v>
      </c>
      <c r="L348" s="209" t="s">
        <v>4</v>
      </c>
      <c r="M348" s="209" t="s">
        <v>42</v>
      </c>
      <c r="N348" s="181" t="s">
        <v>10502</v>
      </c>
      <c r="O348" s="58" t="str">
        <f t="shared" si="14"/>
        <v>L2.02.02.02.00.00</v>
      </c>
      <c r="P348" s="272" t="str">
        <f t="shared" si="12"/>
        <v>L2.02.02.02.00.00.05</v>
      </c>
      <c r="Q348" s="185" t="s">
        <v>10530</v>
      </c>
      <c r="R348" s="273" t="str">
        <f t="shared" si="15"/>
        <v>Phòng KD bán mới GPKT - Cần Thơ</v>
      </c>
      <c r="S348" s="274" t="s">
        <v>11003</v>
      </c>
      <c r="T348" s="232"/>
      <c r="U348" s="232"/>
      <c r="V348" s="232"/>
      <c r="W348" s="232"/>
      <c r="X348" s="183"/>
      <c r="Y348" s="183"/>
      <c r="Z348" s="275" t="s">
        <v>11109</v>
      </c>
      <c r="AA348" s="304" t="s">
        <v>10530</v>
      </c>
      <c r="AB348" s="277"/>
      <c r="AC348" s="277"/>
      <c r="AD348" s="277"/>
    </row>
    <row r="349" ht="15.75" customHeight="1" outlineLevel="1">
      <c r="A349" s="261" t="s">
        <v>10833</v>
      </c>
      <c r="B349" s="231" t="s">
        <v>77</v>
      </c>
      <c r="C349" s="231" t="s">
        <v>33</v>
      </c>
      <c r="D349" s="157" t="s">
        <v>89</v>
      </c>
      <c r="E349" s="297" t="s">
        <v>33</v>
      </c>
      <c r="F349" s="168" t="s">
        <v>10992</v>
      </c>
      <c r="G349" s="157" t="s">
        <v>33</v>
      </c>
      <c r="H349" s="298" t="s">
        <v>11108</v>
      </c>
      <c r="I349" s="297" t="s">
        <v>29</v>
      </c>
      <c r="J349" s="167" t="s">
        <v>110</v>
      </c>
      <c r="K349" s="297" t="s">
        <v>27</v>
      </c>
      <c r="L349" s="157" t="s">
        <v>4</v>
      </c>
      <c r="M349" s="157" t="s">
        <v>42</v>
      </c>
      <c r="N349" s="167" t="s">
        <v>10502</v>
      </c>
      <c r="O349" s="55" t="str">
        <f t="shared" si="14"/>
        <v>L2.02.02.02.01.00</v>
      </c>
      <c r="P349" s="257" t="str">
        <f t="shared" si="12"/>
        <v>L2.02.02.02.01.00.05</v>
      </c>
      <c r="Q349" s="161" t="s">
        <v>10530</v>
      </c>
      <c r="R349" s="299" t="str">
        <f t="shared" si="15"/>
        <v>Phòng KD bán mới GPKT 01</v>
      </c>
      <c r="S349" s="274" t="s">
        <v>11110</v>
      </c>
      <c r="T349" s="2" t="s">
        <v>2769</v>
      </c>
      <c r="U349" s="2" t="s">
        <v>325</v>
      </c>
      <c r="V349" s="2" t="s">
        <v>2768</v>
      </c>
      <c r="W349" s="2" t="s">
        <v>2767</v>
      </c>
      <c r="X349" s="265"/>
      <c r="Y349" s="265"/>
      <c r="Z349" s="225" t="s">
        <v>11111</v>
      </c>
      <c r="AA349" s="300" t="s">
        <v>10530</v>
      </c>
      <c r="AB349" s="267"/>
      <c r="AC349" s="267"/>
      <c r="AD349" s="267"/>
    </row>
    <row r="350" ht="15.75" customHeight="1" outlineLevel="1">
      <c r="A350" s="261" t="s">
        <v>10833</v>
      </c>
      <c r="B350" s="231" t="s">
        <v>77</v>
      </c>
      <c r="C350" s="231" t="s">
        <v>33</v>
      </c>
      <c r="D350" s="157" t="s">
        <v>89</v>
      </c>
      <c r="E350" s="297" t="s">
        <v>33</v>
      </c>
      <c r="F350" s="168" t="s">
        <v>10992</v>
      </c>
      <c r="G350" s="157" t="s">
        <v>35</v>
      </c>
      <c r="H350" s="298" t="s">
        <v>11112</v>
      </c>
      <c r="I350" s="168" t="s">
        <v>27</v>
      </c>
      <c r="J350" s="258" t="s">
        <v>4</v>
      </c>
      <c r="K350" s="297" t="s">
        <v>27</v>
      </c>
      <c r="L350" s="157" t="s">
        <v>4</v>
      </c>
      <c r="M350" s="157" t="s">
        <v>42</v>
      </c>
      <c r="N350" s="167" t="s">
        <v>10502</v>
      </c>
      <c r="O350" s="55" t="str">
        <f t="shared" si="14"/>
        <v>L2.02.02.03.00.00</v>
      </c>
      <c r="P350" s="257" t="str">
        <f t="shared" si="12"/>
        <v>L2.02.02.03.00.00.05</v>
      </c>
      <c r="Q350" s="161" t="s">
        <v>10530</v>
      </c>
      <c r="R350" s="299" t="str">
        <f t="shared" si="15"/>
        <v>Phòng KD Bán thêm - Cần Thơ</v>
      </c>
      <c r="S350" s="274" t="s">
        <v>11057</v>
      </c>
      <c r="T350" s="2" t="s">
        <v>7434</v>
      </c>
      <c r="U350" s="2" t="s">
        <v>325</v>
      </c>
      <c r="V350" s="2" t="s">
        <v>326</v>
      </c>
      <c r="X350" s="265"/>
      <c r="Y350" s="265"/>
      <c r="Z350" s="225" t="s">
        <v>11113</v>
      </c>
      <c r="AA350" s="300" t="s">
        <v>10530</v>
      </c>
      <c r="AB350" s="267"/>
      <c r="AC350" s="267"/>
      <c r="AD350" s="267"/>
    </row>
    <row r="351" ht="15.75" customHeight="1" outlineLevel="1">
      <c r="A351" s="261" t="s">
        <v>10833</v>
      </c>
      <c r="B351" s="231" t="s">
        <v>77</v>
      </c>
      <c r="C351" s="231" t="s">
        <v>33</v>
      </c>
      <c r="D351" s="157" t="s">
        <v>89</v>
      </c>
      <c r="E351" s="297" t="s">
        <v>33</v>
      </c>
      <c r="F351" s="168" t="s">
        <v>10992</v>
      </c>
      <c r="G351" s="157" t="s">
        <v>35</v>
      </c>
      <c r="H351" s="298" t="s">
        <v>11112</v>
      </c>
      <c r="I351" s="261" t="s">
        <v>29</v>
      </c>
      <c r="J351" s="301" t="s">
        <v>10984</v>
      </c>
      <c r="K351" s="297" t="s">
        <v>27</v>
      </c>
      <c r="L351" s="157" t="s">
        <v>4</v>
      </c>
      <c r="M351" s="157" t="s">
        <v>42</v>
      </c>
      <c r="N351" s="167" t="s">
        <v>10502</v>
      </c>
      <c r="O351" s="55" t="str">
        <f t="shared" si="14"/>
        <v>L2.02.02.03.01.00</v>
      </c>
      <c r="P351" s="257" t="str">
        <f t="shared" si="12"/>
        <v>L2.02.02.03.01.00.05</v>
      </c>
      <c r="Q351" s="161" t="s">
        <v>10530</v>
      </c>
      <c r="R351" s="299" t="str">
        <f t="shared" si="15"/>
        <v>Nhóm Quản lý</v>
      </c>
      <c r="S351" s="269" t="s">
        <v>11114</v>
      </c>
      <c r="T351" s="265"/>
      <c r="U351" s="265"/>
      <c r="V351" s="265"/>
      <c r="W351" s="265"/>
      <c r="X351" s="265"/>
      <c r="Y351" s="264" t="s">
        <v>11089</v>
      </c>
      <c r="Z351" s="225" t="s">
        <v>11115</v>
      </c>
      <c r="AA351" s="266"/>
      <c r="AB351" s="267"/>
      <c r="AC351" s="267"/>
      <c r="AD351" s="267"/>
    </row>
    <row r="352" ht="15.75" customHeight="1" outlineLevel="1">
      <c r="A352" s="261" t="s">
        <v>10833</v>
      </c>
      <c r="B352" s="231" t="s">
        <v>77</v>
      </c>
      <c r="C352" s="231" t="s">
        <v>33</v>
      </c>
      <c r="D352" s="157" t="s">
        <v>89</v>
      </c>
      <c r="E352" s="297" t="s">
        <v>33</v>
      </c>
      <c r="F352" s="168" t="s">
        <v>10992</v>
      </c>
      <c r="G352" s="157" t="s">
        <v>35</v>
      </c>
      <c r="H352" s="298" t="s">
        <v>11112</v>
      </c>
      <c r="I352" s="261" t="s">
        <v>33</v>
      </c>
      <c r="J352" s="257" t="s">
        <v>117</v>
      </c>
      <c r="K352" s="297" t="s">
        <v>27</v>
      </c>
      <c r="L352" s="157" t="s">
        <v>4</v>
      </c>
      <c r="M352" s="157" t="s">
        <v>42</v>
      </c>
      <c r="N352" s="167" t="s">
        <v>10502</v>
      </c>
      <c r="O352" s="55" t="str">
        <f t="shared" si="14"/>
        <v>L2.02.02.03.02.00</v>
      </c>
      <c r="P352" s="257" t="str">
        <f t="shared" si="12"/>
        <v>L2.02.02.03.02.00.05</v>
      </c>
      <c r="Q352" s="161" t="s">
        <v>10530</v>
      </c>
      <c r="R352" s="299" t="str">
        <f t="shared" si="15"/>
        <v>Nhóm KD Bán thêm GP KTDN</v>
      </c>
      <c r="S352" s="269" t="s">
        <v>11114</v>
      </c>
      <c r="T352" s="2" t="s">
        <v>2755</v>
      </c>
      <c r="U352" s="2" t="s">
        <v>325</v>
      </c>
      <c r="V352" s="2" t="s">
        <v>326</v>
      </c>
      <c r="W352" s="2" t="s">
        <v>2737</v>
      </c>
      <c r="X352" s="265"/>
      <c r="Y352" s="265"/>
      <c r="Z352" s="225" t="s">
        <v>11116</v>
      </c>
      <c r="AA352" s="300" t="s">
        <v>10530</v>
      </c>
      <c r="AB352" s="267"/>
      <c r="AC352" s="267"/>
      <c r="AD352" s="267"/>
    </row>
    <row r="353" ht="15.75" customHeight="1" outlineLevel="1">
      <c r="A353" s="261" t="s">
        <v>10833</v>
      </c>
      <c r="B353" s="231" t="s">
        <v>77</v>
      </c>
      <c r="C353" s="231" t="s">
        <v>33</v>
      </c>
      <c r="D353" s="157" t="s">
        <v>89</v>
      </c>
      <c r="E353" s="297" t="s">
        <v>33</v>
      </c>
      <c r="F353" s="168" t="s">
        <v>10992</v>
      </c>
      <c r="G353" s="157" t="s">
        <v>35</v>
      </c>
      <c r="H353" s="298" t="s">
        <v>11112</v>
      </c>
      <c r="I353" s="261" t="s">
        <v>35</v>
      </c>
      <c r="J353" s="257" t="s">
        <v>118</v>
      </c>
      <c r="K353" s="297" t="s">
        <v>27</v>
      </c>
      <c r="L353" s="157" t="s">
        <v>4</v>
      </c>
      <c r="M353" s="157" t="s">
        <v>42</v>
      </c>
      <c r="N353" s="167" t="s">
        <v>10502</v>
      </c>
      <c r="O353" s="55" t="str">
        <f t="shared" si="14"/>
        <v>L2.02.02.03.03.00</v>
      </c>
      <c r="P353" s="257" t="str">
        <f t="shared" si="12"/>
        <v>L2.02.02.03.03.00.05</v>
      </c>
      <c r="Q353" s="161" t="s">
        <v>10530</v>
      </c>
      <c r="R353" s="299" t="str">
        <f t="shared" si="15"/>
        <v>Nhóm KD Bán thêm GP HDDT</v>
      </c>
      <c r="S353" s="269" t="s">
        <v>11114</v>
      </c>
      <c r="T353" s="2" t="s">
        <v>327</v>
      </c>
      <c r="U353" s="2" t="s">
        <v>325</v>
      </c>
      <c r="V353" s="2" t="s">
        <v>326</v>
      </c>
      <c r="W353" s="2" t="s">
        <v>324</v>
      </c>
      <c r="X353" s="265"/>
      <c r="Y353" s="265"/>
      <c r="Z353" s="225" t="s">
        <v>11117</v>
      </c>
      <c r="AA353" s="300" t="s">
        <v>10530</v>
      </c>
      <c r="AB353" s="267"/>
      <c r="AC353" s="267"/>
      <c r="AD353" s="267"/>
    </row>
    <row r="354" ht="15.75" customHeight="1" outlineLevel="1">
      <c r="A354" s="261" t="s">
        <v>10833</v>
      </c>
      <c r="B354" s="231" t="s">
        <v>77</v>
      </c>
      <c r="C354" s="231" t="s">
        <v>33</v>
      </c>
      <c r="D354" s="157" t="s">
        <v>89</v>
      </c>
      <c r="E354" s="297" t="s">
        <v>33</v>
      </c>
      <c r="F354" s="168" t="s">
        <v>10992</v>
      </c>
      <c r="G354" s="157" t="s">
        <v>35</v>
      </c>
      <c r="H354" s="298" t="s">
        <v>11112</v>
      </c>
      <c r="I354" s="261" t="s">
        <v>37</v>
      </c>
      <c r="J354" s="257" t="s">
        <v>119</v>
      </c>
      <c r="K354" s="297" t="s">
        <v>27</v>
      </c>
      <c r="L354" s="157" t="s">
        <v>4</v>
      </c>
      <c r="M354" s="157" t="s">
        <v>42</v>
      </c>
      <c r="N354" s="167" t="s">
        <v>10502</v>
      </c>
      <c r="O354" s="55" t="str">
        <f t="shared" si="14"/>
        <v>L2.02.02.03.04.00</v>
      </c>
      <c r="P354" s="257" t="str">
        <f t="shared" si="12"/>
        <v>L2.02.02.03.04.00.05</v>
      </c>
      <c r="Q354" s="161" t="s">
        <v>10530</v>
      </c>
      <c r="R354" s="299" t="str">
        <f t="shared" si="15"/>
        <v>Nhóm KD Bán thêm chuyển đổi KTDN</v>
      </c>
      <c r="S354" s="269" t="s">
        <v>11114</v>
      </c>
      <c r="T354" s="2" t="s">
        <v>3639</v>
      </c>
      <c r="U354" s="2" t="s">
        <v>325</v>
      </c>
      <c r="V354" s="2" t="s">
        <v>326</v>
      </c>
      <c r="W354" s="2" t="s">
        <v>3638</v>
      </c>
      <c r="X354" s="265"/>
      <c r="Y354" s="265"/>
      <c r="Z354" s="225" t="s">
        <v>11118</v>
      </c>
      <c r="AA354" s="300" t="s">
        <v>10530</v>
      </c>
      <c r="AB354" s="267"/>
      <c r="AC354" s="267"/>
      <c r="AD354" s="267"/>
    </row>
    <row r="355" ht="15.75" customHeight="1" outlineLevel="1">
      <c r="A355" s="261" t="s">
        <v>10833</v>
      </c>
      <c r="B355" s="231" t="s">
        <v>77</v>
      </c>
      <c r="C355" s="231" t="s">
        <v>33</v>
      </c>
      <c r="D355" s="157" t="s">
        <v>89</v>
      </c>
      <c r="E355" s="297" t="s">
        <v>33</v>
      </c>
      <c r="F355" s="168" t="s">
        <v>10992</v>
      </c>
      <c r="G355" s="157" t="s">
        <v>35</v>
      </c>
      <c r="H355" s="298" t="s">
        <v>11112</v>
      </c>
      <c r="I355" s="261" t="s">
        <v>42</v>
      </c>
      <c r="J355" s="257" t="s">
        <v>120</v>
      </c>
      <c r="K355" s="297" t="s">
        <v>27</v>
      </c>
      <c r="L355" s="157" t="s">
        <v>4</v>
      </c>
      <c r="M355" s="157" t="s">
        <v>42</v>
      </c>
      <c r="N355" s="167" t="s">
        <v>10502</v>
      </c>
      <c r="O355" s="55" t="str">
        <f t="shared" si="14"/>
        <v>L2.02.02.03.05.00</v>
      </c>
      <c r="P355" s="257" t="str">
        <f t="shared" si="12"/>
        <v>L2.02.02.03.05.00.05</v>
      </c>
      <c r="Q355" s="161" t="s">
        <v>10530</v>
      </c>
      <c r="R355" s="299" t="str">
        <f t="shared" si="15"/>
        <v>Nhóm KD Bán thêm GP ký điện tử</v>
      </c>
      <c r="S355" s="269" t="s">
        <v>11114</v>
      </c>
      <c r="T355" s="265"/>
      <c r="U355" s="265"/>
      <c r="V355" s="265"/>
      <c r="W355" s="265"/>
      <c r="X355" s="265"/>
      <c r="Y355" s="264" t="s">
        <v>11089</v>
      </c>
      <c r="Z355" s="225" t="s">
        <v>11119</v>
      </c>
      <c r="AA355" s="266"/>
      <c r="AB355" s="267"/>
      <c r="AC355" s="267"/>
      <c r="AD355" s="267"/>
    </row>
    <row r="356" ht="15.75" customHeight="1" outlineLevel="1">
      <c r="A356" s="100" t="s">
        <v>10833</v>
      </c>
      <c r="B356" s="101" t="s">
        <v>77</v>
      </c>
      <c r="C356" s="101" t="s">
        <v>33</v>
      </c>
      <c r="D356" s="102" t="s">
        <v>89</v>
      </c>
      <c r="E356" s="103" t="s">
        <v>33</v>
      </c>
      <c r="F356" s="106" t="s">
        <v>10992</v>
      </c>
      <c r="G356" s="102" t="s">
        <v>37</v>
      </c>
      <c r="H356" s="104" t="s">
        <v>132</v>
      </c>
      <c r="I356" s="106" t="s">
        <v>27</v>
      </c>
      <c r="J356" s="348" t="s">
        <v>4</v>
      </c>
      <c r="K356" s="103" t="s">
        <v>27</v>
      </c>
      <c r="L356" s="102" t="s">
        <v>4</v>
      </c>
      <c r="M356" s="106" t="s">
        <v>27</v>
      </c>
      <c r="N356" s="104"/>
      <c r="O356" s="136" t="str">
        <f t="shared" si="14"/>
        <v>L2.02.02.04.00.00</v>
      </c>
      <c r="P356" s="107" t="str">
        <f t="shared" si="12"/>
        <v>L2.02.02.04.00.00.00</v>
      </c>
      <c r="Q356" s="108" t="s">
        <v>10530</v>
      </c>
      <c r="R356" s="308" t="str">
        <f t="shared" si="15"/>
        <v>Trung tâm chuyển giao</v>
      </c>
      <c r="S356" s="309" t="s">
        <v>10996</v>
      </c>
      <c r="T356" s="310" t="s">
        <v>7135</v>
      </c>
      <c r="U356" s="310" t="s">
        <v>303</v>
      </c>
      <c r="V356" s="310" t="s">
        <v>132</v>
      </c>
      <c r="W356" s="310"/>
      <c r="X356" s="310"/>
      <c r="Y356" s="310"/>
      <c r="Z356" s="112" t="s">
        <v>11120</v>
      </c>
      <c r="AA356" s="312"/>
      <c r="AB356" s="313"/>
      <c r="AC356" s="313"/>
      <c r="AD356" s="313"/>
    </row>
    <row r="357" ht="15.75" customHeight="1" outlineLevel="1">
      <c r="A357" s="228" t="s">
        <v>10833</v>
      </c>
      <c r="B357" s="270" t="s">
        <v>77</v>
      </c>
      <c r="C357" s="270" t="s">
        <v>33</v>
      </c>
      <c r="D357" s="209" t="s">
        <v>89</v>
      </c>
      <c r="E357" s="271" t="s">
        <v>33</v>
      </c>
      <c r="F357" s="182" t="s">
        <v>10992</v>
      </c>
      <c r="G357" s="209" t="s">
        <v>37</v>
      </c>
      <c r="H357" s="181" t="s">
        <v>132</v>
      </c>
      <c r="I357" s="209" t="s">
        <v>29</v>
      </c>
      <c r="J357" s="272" t="s">
        <v>133</v>
      </c>
      <c r="K357" s="271" t="s">
        <v>27</v>
      </c>
      <c r="L357" s="209" t="s">
        <v>4</v>
      </c>
      <c r="M357" s="209" t="s">
        <v>29</v>
      </c>
      <c r="N357" s="181" t="s">
        <v>10498</v>
      </c>
      <c r="O357" s="58" t="str">
        <f t="shared" si="14"/>
        <v>L2.02.02.04.01.00</v>
      </c>
      <c r="P357" s="272" t="str">
        <f t="shared" si="12"/>
        <v>L2.02.02.04.01.00.01</v>
      </c>
      <c r="Q357" s="185" t="s">
        <v>10530</v>
      </c>
      <c r="R357" s="273" t="str">
        <f t="shared" si="15"/>
        <v>Ban giám đốc TT chuyển giao</v>
      </c>
      <c r="S357" s="274" t="s">
        <v>11121</v>
      </c>
      <c r="T357" s="184" t="s">
        <v>11656</v>
      </c>
      <c r="U357" s="184" t="s">
        <v>303</v>
      </c>
      <c r="V357" s="184" t="s">
        <v>132</v>
      </c>
      <c r="W357" s="272" t="s">
        <v>133</v>
      </c>
      <c r="X357" s="183"/>
      <c r="Y357" s="184" t="s">
        <v>11089</v>
      </c>
      <c r="Z357" s="275" t="s">
        <v>11122</v>
      </c>
      <c r="AA357" s="276"/>
      <c r="AB357" s="277"/>
      <c r="AC357" s="277"/>
      <c r="AD357" s="277"/>
    </row>
    <row r="358" ht="15.75" customHeight="1" outlineLevel="1">
      <c r="A358" s="567" t="s">
        <v>10833</v>
      </c>
      <c r="B358" s="568" t="s">
        <v>77</v>
      </c>
      <c r="C358" s="568" t="s">
        <v>33</v>
      </c>
      <c r="D358" s="569" t="s">
        <v>89</v>
      </c>
      <c r="E358" s="570" t="s">
        <v>33</v>
      </c>
      <c r="F358" s="573" t="s">
        <v>10992</v>
      </c>
      <c r="G358" s="569" t="s">
        <v>37</v>
      </c>
      <c r="H358" s="574" t="s">
        <v>132</v>
      </c>
      <c r="I358" s="569" t="s">
        <v>33</v>
      </c>
      <c r="J358" s="349" t="s">
        <v>11123</v>
      </c>
      <c r="K358" s="573" t="s">
        <v>27</v>
      </c>
      <c r="L358" s="569" t="s">
        <v>4</v>
      </c>
      <c r="M358" s="573" t="s">
        <v>27</v>
      </c>
      <c r="N358" s="574"/>
      <c r="O358" s="575" t="str">
        <f t="shared" si="14"/>
        <v>L2.02.02.04.02.00</v>
      </c>
      <c r="P358" s="575" t="str">
        <f t="shared" si="12"/>
        <v>L2.02.02.04.02.00.00</v>
      </c>
      <c r="Q358" s="576" t="s">
        <v>10530</v>
      </c>
      <c r="R358" s="350" t="str">
        <f t="shared" si="15"/>
        <v>Phòng chuyển giao GP Kế toán</v>
      </c>
      <c r="S358" s="577" t="s">
        <v>11121</v>
      </c>
      <c r="T358" s="578" t="s">
        <v>11658</v>
      </c>
      <c r="U358" s="184" t="s">
        <v>303</v>
      </c>
      <c r="V358" s="184" t="s">
        <v>132</v>
      </c>
      <c r="W358" s="184" t="s">
        <v>11123</v>
      </c>
      <c r="X358" s="368"/>
      <c r="Y358" s="578" t="s">
        <v>11124</v>
      </c>
      <c r="Z358" s="579" t="s">
        <v>11125</v>
      </c>
      <c r="AA358" s="580"/>
      <c r="AB358" s="581"/>
      <c r="AC358" s="581"/>
      <c r="AD358" s="581"/>
    </row>
    <row r="359" ht="15.75" customHeight="1" outlineLevel="1">
      <c r="A359" s="351" t="s">
        <v>10833</v>
      </c>
      <c r="B359" s="352" t="s">
        <v>77</v>
      </c>
      <c r="C359" s="352" t="s">
        <v>33</v>
      </c>
      <c r="D359" s="353" t="s">
        <v>89</v>
      </c>
      <c r="E359" s="354" t="s">
        <v>33</v>
      </c>
      <c r="F359" s="355" t="s">
        <v>10992</v>
      </c>
      <c r="G359" s="353" t="s">
        <v>37</v>
      </c>
      <c r="H359" s="356" t="s">
        <v>132</v>
      </c>
      <c r="I359" s="353" t="s">
        <v>33</v>
      </c>
      <c r="J359" s="357" t="s">
        <v>11123</v>
      </c>
      <c r="K359" s="355" t="s">
        <v>27</v>
      </c>
      <c r="L359" s="358"/>
      <c r="M359" s="353" t="s">
        <v>29</v>
      </c>
      <c r="N359" s="356" t="s">
        <v>10498</v>
      </c>
      <c r="O359" s="359" t="str">
        <f t="shared" si="14"/>
        <v>L2.02.02.04.02.00</v>
      </c>
      <c r="P359" s="358" t="str">
        <f t="shared" si="12"/>
        <v>L2.02.02.04.02.00.01</v>
      </c>
      <c r="Q359" s="360"/>
      <c r="R359" s="360" t="str">
        <f t="shared" si="15"/>
        <v/>
      </c>
      <c r="S359" s="361" t="s">
        <v>11126</v>
      </c>
      <c r="T359" s="232"/>
      <c r="U359" s="232"/>
      <c r="V359" s="232"/>
      <c r="W359" s="232"/>
      <c r="X359" s="362"/>
      <c r="Y359" s="362"/>
      <c r="Z359" s="363"/>
      <c r="AA359" s="364"/>
      <c r="AB359" s="365"/>
      <c r="AC359" s="366" t="s">
        <v>11127</v>
      </c>
      <c r="AD359" s="365"/>
    </row>
    <row r="360" ht="15.75" customHeight="1" outlineLevel="1">
      <c r="A360" s="351" t="s">
        <v>10833</v>
      </c>
      <c r="B360" s="352" t="s">
        <v>77</v>
      </c>
      <c r="C360" s="352" t="s">
        <v>33</v>
      </c>
      <c r="D360" s="353" t="s">
        <v>89</v>
      </c>
      <c r="E360" s="354" t="s">
        <v>33</v>
      </c>
      <c r="F360" s="355" t="s">
        <v>10992</v>
      </c>
      <c r="G360" s="353" t="s">
        <v>37</v>
      </c>
      <c r="H360" s="356" t="s">
        <v>132</v>
      </c>
      <c r="I360" s="353" t="s">
        <v>33</v>
      </c>
      <c r="J360" s="357" t="s">
        <v>11123</v>
      </c>
      <c r="K360" s="355" t="s">
        <v>27</v>
      </c>
      <c r="L360" s="358"/>
      <c r="M360" s="209" t="s">
        <v>42</v>
      </c>
      <c r="N360" s="181" t="s">
        <v>10502</v>
      </c>
      <c r="O360" s="359" t="str">
        <f t="shared" si="14"/>
        <v>L2.02.02.04.02.00</v>
      </c>
      <c r="P360" s="358" t="str">
        <f t="shared" si="12"/>
        <v>L2.02.02.04.02.00.05</v>
      </c>
      <c r="Q360" s="360"/>
      <c r="R360" s="360" t="str">
        <f t="shared" si="15"/>
        <v/>
      </c>
      <c r="S360" s="361" t="s">
        <v>11126</v>
      </c>
      <c r="T360" s="232"/>
      <c r="U360" s="232"/>
      <c r="V360" s="232"/>
      <c r="W360" s="232"/>
      <c r="X360" s="362"/>
      <c r="Y360" s="362"/>
      <c r="Z360" s="363"/>
      <c r="AA360" s="364"/>
      <c r="AB360" s="365"/>
      <c r="AC360" s="366" t="s">
        <v>11127</v>
      </c>
      <c r="AD360" s="365"/>
    </row>
    <row r="361" ht="15.75" customHeight="1" outlineLevel="1">
      <c r="A361" s="351" t="s">
        <v>10833</v>
      </c>
      <c r="B361" s="352" t="s">
        <v>77</v>
      </c>
      <c r="C361" s="352" t="s">
        <v>33</v>
      </c>
      <c r="D361" s="353" t="s">
        <v>89</v>
      </c>
      <c r="E361" s="354" t="s">
        <v>33</v>
      </c>
      <c r="F361" s="355" t="s">
        <v>10992</v>
      </c>
      <c r="G361" s="353" t="s">
        <v>37</v>
      </c>
      <c r="H361" s="356" t="s">
        <v>132</v>
      </c>
      <c r="I361" s="353" t="s">
        <v>33</v>
      </c>
      <c r="J361" s="357" t="s">
        <v>11123</v>
      </c>
      <c r="K361" s="355" t="s">
        <v>27</v>
      </c>
      <c r="L361" s="358"/>
      <c r="M361" s="209" t="s">
        <v>37</v>
      </c>
      <c r="N361" s="212" t="s">
        <v>10900</v>
      </c>
      <c r="O361" s="359" t="str">
        <f t="shared" si="14"/>
        <v>L2.02.02.04.02.00</v>
      </c>
      <c r="P361" s="358" t="str">
        <f t="shared" si="12"/>
        <v>L2.02.02.04.02.00.04</v>
      </c>
      <c r="Q361" s="360"/>
      <c r="R361" s="360" t="str">
        <f t="shared" si="15"/>
        <v/>
      </c>
      <c r="S361" s="361" t="s">
        <v>11126</v>
      </c>
      <c r="T361" s="232"/>
      <c r="U361" s="232"/>
      <c r="V361" s="232"/>
      <c r="W361" s="232"/>
      <c r="X361" s="362"/>
      <c r="Y361" s="362"/>
      <c r="Z361" s="363"/>
      <c r="AA361" s="364"/>
      <c r="AB361" s="365"/>
      <c r="AC361" s="366" t="s">
        <v>11127</v>
      </c>
      <c r="AD361" s="365"/>
    </row>
    <row r="362" ht="15.75" customHeight="1" outlineLevel="1">
      <c r="A362" s="351" t="s">
        <v>10833</v>
      </c>
      <c r="B362" s="352" t="s">
        <v>77</v>
      </c>
      <c r="C362" s="352" t="s">
        <v>33</v>
      </c>
      <c r="D362" s="353" t="s">
        <v>89</v>
      </c>
      <c r="E362" s="354" t="s">
        <v>33</v>
      </c>
      <c r="F362" s="355" t="s">
        <v>10992</v>
      </c>
      <c r="G362" s="353" t="s">
        <v>37</v>
      </c>
      <c r="H362" s="356" t="s">
        <v>132</v>
      </c>
      <c r="I362" s="353" t="s">
        <v>33</v>
      </c>
      <c r="J362" s="357" t="s">
        <v>11123</v>
      </c>
      <c r="K362" s="355" t="s">
        <v>27</v>
      </c>
      <c r="L362" s="358"/>
      <c r="M362" s="353" t="s">
        <v>33</v>
      </c>
      <c r="N362" s="356" t="s">
        <v>10499</v>
      </c>
      <c r="O362" s="359" t="str">
        <f t="shared" si="14"/>
        <v>L2.02.02.04.02.00</v>
      </c>
      <c r="P362" s="358" t="str">
        <f t="shared" si="12"/>
        <v>L2.02.02.04.02.00.02</v>
      </c>
      <c r="Q362" s="360"/>
      <c r="R362" s="360" t="str">
        <f t="shared" si="15"/>
        <v/>
      </c>
      <c r="S362" s="361" t="s">
        <v>11126</v>
      </c>
      <c r="T362" s="232"/>
      <c r="U362" s="232"/>
      <c r="V362" s="232"/>
      <c r="W362" s="232"/>
      <c r="X362" s="362"/>
      <c r="Y362" s="362"/>
      <c r="Z362" s="363"/>
      <c r="AA362" s="364"/>
      <c r="AB362" s="365"/>
      <c r="AC362" s="366" t="s">
        <v>11127</v>
      </c>
      <c r="AD362" s="365"/>
    </row>
    <row r="363" ht="15.75" customHeight="1" outlineLevel="1">
      <c r="A363" s="567" t="s">
        <v>10833</v>
      </c>
      <c r="B363" s="568" t="s">
        <v>77</v>
      </c>
      <c r="C363" s="568" t="s">
        <v>33</v>
      </c>
      <c r="D363" s="569" t="s">
        <v>89</v>
      </c>
      <c r="E363" s="570" t="s">
        <v>33</v>
      </c>
      <c r="F363" s="573" t="s">
        <v>10992</v>
      </c>
      <c r="G363" s="569" t="s">
        <v>37</v>
      </c>
      <c r="H363" s="574" t="s">
        <v>132</v>
      </c>
      <c r="I363" s="569" t="s">
        <v>35</v>
      </c>
      <c r="J363" s="349" t="s">
        <v>11128</v>
      </c>
      <c r="K363" s="573" t="s">
        <v>27</v>
      </c>
      <c r="L363" s="569" t="s">
        <v>4</v>
      </c>
      <c r="M363" s="573" t="s">
        <v>27</v>
      </c>
      <c r="N363" s="574"/>
      <c r="O363" s="575" t="str">
        <f t="shared" si="14"/>
        <v>L2.02.02.04.03.00</v>
      </c>
      <c r="P363" s="575" t="str">
        <f t="shared" si="12"/>
        <v>L2.02.02.04.03.00.00</v>
      </c>
      <c r="Q363" s="576" t="s">
        <v>10530</v>
      </c>
      <c r="R363" s="350" t="str">
        <f t="shared" si="15"/>
        <v>Phòng chuyển giao GP HDDT - Ký số</v>
      </c>
      <c r="S363" s="577" t="s">
        <v>11121</v>
      </c>
      <c r="T363" s="578" t="s">
        <v>11659</v>
      </c>
      <c r="U363" s="184" t="s">
        <v>303</v>
      </c>
      <c r="V363" s="184" t="s">
        <v>132</v>
      </c>
      <c r="W363" s="184" t="s">
        <v>11128</v>
      </c>
      <c r="X363" s="368"/>
      <c r="Y363" s="578" t="s">
        <v>11124</v>
      </c>
      <c r="Z363" s="579" t="s">
        <v>11129</v>
      </c>
      <c r="AA363" s="580"/>
      <c r="AB363" s="581"/>
      <c r="AC363" s="581"/>
      <c r="AD363" s="581"/>
    </row>
    <row r="364" ht="15.75" customHeight="1" outlineLevel="1">
      <c r="A364" s="351" t="s">
        <v>10833</v>
      </c>
      <c r="B364" s="352" t="s">
        <v>77</v>
      </c>
      <c r="C364" s="352" t="s">
        <v>33</v>
      </c>
      <c r="D364" s="353" t="s">
        <v>89</v>
      </c>
      <c r="E364" s="354" t="s">
        <v>33</v>
      </c>
      <c r="F364" s="355" t="s">
        <v>10992</v>
      </c>
      <c r="G364" s="353" t="s">
        <v>37</v>
      </c>
      <c r="H364" s="356" t="s">
        <v>132</v>
      </c>
      <c r="I364" s="353" t="s">
        <v>35</v>
      </c>
      <c r="J364" s="357" t="s">
        <v>11128</v>
      </c>
      <c r="K364" s="355" t="s">
        <v>27</v>
      </c>
      <c r="L364" s="357"/>
      <c r="M364" s="353" t="s">
        <v>29</v>
      </c>
      <c r="N364" s="356" t="s">
        <v>10498</v>
      </c>
      <c r="O364" s="359" t="str">
        <f t="shared" si="14"/>
        <v>L2.02.02.04.03.00</v>
      </c>
      <c r="P364" s="358" t="str">
        <f t="shared" si="12"/>
        <v>L2.02.02.04.03.00.01</v>
      </c>
      <c r="Q364" s="360"/>
      <c r="R364" s="360" t="str">
        <f t="shared" si="15"/>
        <v/>
      </c>
      <c r="S364" s="361" t="s">
        <v>11130</v>
      </c>
      <c r="T364" s="232"/>
      <c r="U364" s="232"/>
      <c r="V364" s="232"/>
      <c r="W364" s="232"/>
      <c r="X364" s="362"/>
      <c r="Y364" s="362"/>
      <c r="Z364" s="363"/>
      <c r="AA364" s="364"/>
      <c r="AB364" s="365"/>
      <c r="AC364" s="366" t="s">
        <v>11127</v>
      </c>
      <c r="AD364" s="365"/>
    </row>
    <row r="365" ht="15.75" customHeight="1" outlineLevel="1">
      <c r="A365" s="351" t="s">
        <v>10833</v>
      </c>
      <c r="B365" s="352" t="s">
        <v>77</v>
      </c>
      <c r="C365" s="352" t="s">
        <v>33</v>
      </c>
      <c r="D365" s="353" t="s">
        <v>89</v>
      </c>
      <c r="E365" s="354" t="s">
        <v>33</v>
      </c>
      <c r="F365" s="355" t="s">
        <v>10992</v>
      </c>
      <c r="G365" s="353" t="s">
        <v>37</v>
      </c>
      <c r="H365" s="356" t="s">
        <v>132</v>
      </c>
      <c r="I365" s="353" t="s">
        <v>35</v>
      </c>
      <c r="J365" s="357" t="s">
        <v>11128</v>
      </c>
      <c r="K365" s="355" t="s">
        <v>27</v>
      </c>
      <c r="L365" s="357"/>
      <c r="M365" s="209" t="s">
        <v>42</v>
      </c>
      <c r="N365" s="181" t="s">
        <v>10502</v>
      </c>
      <c r="O365" s="359" t="str">
        <f t="shared" si="14"/>
        <v>L2.02.02.04.03.00</v>
      </c>
      <c r="P365" s="358" t="str">
        <f t="shared" si="12"/>
        <v>L2.02.02.04.03.00.05</v>
      </c>
      <c r="Q365" s="360"/>
      <c r="R365" s="360" t="str">
        <f t="shared" si="15"/>
        <v/>
      </c>
      <c r="S365" s="361" t="s">
        <v>11130</v>
      </c>
      <c r="T365" s="232"/>
      <c r="U365" s="232"/>
      <c r="V365" s="232"/>
      <c r="W365" s="232"/>
      <c r="X365" s="362"/>
      <c r="Y365" s="362"/>
      <c r="Z365" s="363"/>
      <c r="AA365" s="364"/>
      <c r="AB365" s="365"/>
      <c r="AC365" s="366" t="s">
        <v>11127</v>
      </c>
      <c r="AD365" s="365"/>
    </row>
    <row r="366" ht="15.75" customHeight="1" outlineLevel="1">
      <c r="A366" s="351" t="s">
        <v>10833</v>
      </c>
      <c r="B366" s="352" t="s">
        <v>77</v>
      </c>
      <c r="C366" s="352" t="s">
        <v>33</v>
      </c>
      <c r="D366" s="353" t="s">
        <v>89</v>
      </c>
      <c r="E366" s="354" t="s">
        <v>33</v>
      </c>
      <c r="F366" s="355" t="s">
        <v>10992</v>
      </c>
      <c r="G366" s="353" t="s">
        <v>37</v>
      </c>
      <c r="H366" s="356" t="s">
        <v>132</v>
      </c>
      <c r="I366" s="353" t="s">
        <v>35</v>
      </c>
      <c r="J366" s="357" t="s">
        <v>11128</v>
      </c>
      <c r="K366" s="355" t="s">
        <v>27</v>
      </c>
      <c r="L366" s="357"/>
      <c r="M366" s="209" t="s">
        <v>37</v>
      </c>
      <c r="N366" s="212" t="s">
        <v>10900</v>
      </c>
      <c r="O366" s="359" t="str">
        <f t="shared" si="14"/>
        <v>L2.02.02.04.03.00</v>
      </c>
      <c r="P366" s="358" t="str">
        <f t="shared" si="12"/>
        <v>L2.02.02.04.03.00.04</v>
      </c>
      <c r="Q366" s="360"/>
      <c r="R366" s="360" t="str">
        <f t="shared" si="15"/>
        <v/>
      </c>
      <c r="S366" s="361" t="s">
        <v>11130</v>
      </c>
      <c r="T366" s="232"/>
      <c r="U366" s="232"/>
      <c r="V366" s="232"/>
      <c r="W366" s="232"/>
      <c r="X366" s="362"/>
      <c r="Y366" s="362"/>
      <c r="Z366" s="363"/>
      <c r="AA366" s="364"/>
      <c r="AB366" s="365"/>
      <c r="AC366" s="366" t="s">
        <v>11127</v>
      </c>
      <c r="AD366" s="365"/>
    </row>
    <row r="367" ht="15.75" customHeight="1" outlineLevel="1">
      <c r="A367" s="351" t="s">
        <v>10833</v>
      </c>
      <c r="B367" s="352" t="s">
        <v>77</v>
      </c>
      <c r="C367" s="352" t="s">
        <v>33</v>
      </c>
      <c r="D367" s="353" t="s">
        <v>89</v>
      </c>
      <c r="E367" s="354" t="s">
        <v>33</v>
      </c>
      <c r="F367" s="355" t="s">
        <v>10992</v>
      </c>
      <c r="G367" s="353" t="s">
        <v>37</v>
      </c>
      <c r="H367" s="356" t="s">
        <v>132</v>
      </c>
      <c r="I367" s="353" t="s">
        <v>35</v>
      </c>
      <c r="J367" s="357" t="s">
        <v>11128</v>
      </c>
      <c r="K367" s="355" t="s">
        <v>27</v>
      </c>
      <c r="L367" s="357"/>
      <c r="M367" s="353" t="s">
        <v>33</v>
      </c>
      <c r="N367" s="356" t="s">
        <v>10499</v>
      </c>
      <c r="O367" s="359" t="str">
        <f t="shared" si="14"/>
        <v>L2.02.02.04.03.00</v>
      </c>
      <c r="P367" s="358" t="str">
        <f t="shared" si="12"/>
        <v>L2.02.02.04.03.00.02</v>
      </c>
      <c r="Q367" s="360"/>
      <c r="R367" s="360" t="str">
        <f t="shared" si="15"/>
        <v/>
      </c>
      <c r="S367" s="361" t="s">
        <v>11130</v>
      </c>
      <c r="T367" s="232"/>
      <c r="U367" s="232"/>
      <c r="V367" s="232"/>
      <c r="W367" s="232"/>
      <c r="X367" s="362"/>
      <c r="Y367" s="362"/>
      <c r="Z367" s="363"/>
      <c r="AA367" s="364"/>
      <c r="AB367" s="365"/>
      <c r="AC367" s="366" t="s">
        <v>11127</v>
      </c>
      <c r="AD367" s="365"/>
    </row>
    <row r="368" ht="15.75" customHeight="1" outlineLevel="1">
      <c r="A368" s="100" t="s">
        <v>10833</v>
      </c>
      <c r="B368" s="101" t="s">
        <v>77</v>
      </c>
      <c r="C368" s="101" t="s">
        <v>33</v>
      </c>
      <c r="D368" s="102" t="s">
        <v>89</v>
      </c>
      <c r="E368" s="103" t="s">
        <v>33</v>
      </c>
      <c r="F368" s="106" t="s">
        <v>10992</v>
      </c>
      <c r="G368" s="102" t="s">
        <v>42</v>
      </c>
      <c r="H368" s="212" t="s">
        <v>1209</v>
      </c>
      <c r="I368" s="103" t="s">
        <v>27</v>
      </c>
      <c r="J368" s="102" t="s">
        <v>4</v>
      </c>
      <c r="K368" s="103" t="s">
        <v>27</v>
      </c>
      <c r="L368" s="102" t="s">
        <v>4</v>
      </c>
      <c r="M368" s="106" t="s">
        <v>27</v>
      </c>
      <c r="N368" s="104"/>
      <c r="O368" s="136" t="str">
        <f t="shared" si="14"/>
        <v>L2.02.02.05.00.00</v>
      </c>
      <c r="P368" s="107" t="str">
        <f t="shared" si="12"/>
        <v>L2.02.02.05.00.00.00</v>
      </c>
      <c r="Q368" s="307" t="s">
        <v>10530</v>
      </c>
      <c r="R368" s="350" t="str">
        <f t="shared" si="15"/>
        <v>Phòng kinh doanh mạng lưới</v>
      </c>
      <c r="S368" s="309" t="s">
        <v>10996</v>
      </c>
      <c r="T368" s="310"/>
      <c r="U368" s="310"/>
      <c r="V368" s="310"/>
      <c r="W368" s="310"/>
      <c r="X368" s="310"/>
      <c r="Y368" s="311" t="s">
        <v>11124</v>
      </c>
      <c r="Z368" s="112" t="s">
        <v>11131</v>
      </c>
      <c r="AA368" s="312"/>
      <c r="AB368" s="313"/>
      <c r="AC368" s="313"/>
      <c r="AD368" s="313"/>
    </row>
    <row r="369" ht="15.75" customHeight="1" outlineLevel="1">
      <c r="A369" s="314" t="s">
        <v>10833</v>
      </c>
      <c r="B369" s="315" t="s">
        <v>77</v>
      </c>
      <c r="C369" s="315" t="s">
        <v>33</v>
      </c>
      <c r="D369" s="122" t="s">
        <v>89</v>
      </c>
      <c r="E369" s="121" t="s">
        <v>33</v>
      </c>
      <c r="F369" s="369" t="s">
        <v>10992</v>
      </c>
      <c r="G369" s="122" t="s">
        <v>42</v>
      </c>
      <c r="H369" s="370" t="s">
        <v>1209</v>
      </c>
      <c r="I369" s="121" t="s">
        <v>27</v>
      </c>
      <c r="J369" s="122" t="s">
        <v>4</v>
      </c>
      <c r="K369" s="121" t="s">
        <v>27</v>
      </c>
      <c r="L369" s="122" t="s">
        <v>4</v>
      </c>
      <c r="M369" s="122" t="s">
        <v>29</v>
      </c>
      <c r="N369" s="123" t="s">
        <v>10498</v>
      </c>
      <c r="O369" s="124" t="str">
        <f t="shared" si="14"/>
        <v>L2.02.02.05.00.00</v>
      </c>
      <c r="P369" s="317" t="str">
        <f t="shared" si="12"/>
        <v>L2.02.02.05.00.00.01</v>
      </c>
      <c r="Q369" s="318"/>
      <c r="R369" s="360" t="str">
        <f t="shared" si="15"/>
        <v>Phòng kinh doanh mạng lưới</v>
      </c>
      <c r="S369" s="319" t="s">
        <v>11132</v>
      </c>
      <c r="T369" s="320" t="s">
        <v>1210</v>
      </c>
      <c r="U369" s="320" t="s">
        <v>346</v>
      </c>
      <c r="V369" s="320" t="s">
        <v>1209</v>
      </c>
      <c r="W369" s="320"/>
      <c r="X369" s="320"/>
      <c r="Y369" s="320"/>
      <c r="Z369" s="322"/>
      <c r="AA369" s="323"/>
      <c r="AB369" s="324"/>
      <c r="AC369" s="324"/>
      <c r="AD369" s="324"/>
    </row>
    <row r="370" ht="15.75" customHeight="1" outlineLevel="1">
      <c r="A370" s="314" t="s">
        <v>10833</v>
      </c>
      <c r="B370" s="315" t="s">
        <v>77</v>
      </c>
      <c r="C370" s="315" t="s">
        <v>33</v>
      </c>
      <c r="D370" s="122" t="s">
        <v>89</v>
      </c>
      <c r="E370" s="121" t="s">
        <v>33</v>
      </c>
      <c r="F370" s="369" t="s">
        <v>10992</v>
      </c>
      <c r="G370" s="122" t="s">
        <v>42</v>
      </c>
      <c r="H370" s="370" t="s">
        <v>1209</v>
      </c>
      <c r="I370" s="121" t="s">
        <v>27</v>
      </c>
      <c r="J370" s="122" t="s">
        <v>4</v>
      </c>
      <c r="K370" s="121" t="s">
        <v>27</v>
      </c>
      <c r="L370" s="122" t="s">
        <v>4</v>
      </c>
      <c r="M370" s="122" t="s">
        <v>33</v>
      </c>
      <c r="N370" s="123" t="s">
        <v>10499</v>
      </c>
      <c r="O370" s="124" t="str">
        <f t="shared" si="14"/>
        <v>L2.02.02.05.00.00</v>
      </c>
      <c r="P370" s="317" t="str">
        <f t="shared" si="12"/>
        <v>L2.02.02.05.00.00.02</v>
      </c>
      <c r="Q370" s="318"/>
      <c r="R370" s="360" t="str">
        <f t="shared" si="15"/>
        <v>Phòng kinh doanh mạng lưới</v>
      </c>
      <c r="S370" s="319" t="s">
        <v>11132</v>
      </c>
      <c r="T370" s="320" t="s">
        <v>2305</v>
      </c>
      <c r="U370" s="320" t="s">
        <v>262</v>
      </c>
      <c r="V370" s="320" t="s">
        <v>1209</v>
      </c>
      <c r="W370" s="320"/>
      <c r="X370" s="320"/>
      <c r="Y370" s="320"/>
      <c r="Z370" s="322"/>
      <c r="AA370" s="323"/>
      <c r="AB370" s="324"/>
      <c r="AC370" s="324"/>
      <c r="AD370" s="324"/>
    </row>
    <row r="371" ht="15.75" customHeight="1" outlineLevel="1">
      <c r="A371" s="314" t="s">
        <v>10833</v>
      </c>
      <c r="B371" s="315" t="s">
        <v>77</v>
      </c>
      <c r="C371" s="315" t="s">
        <v>33</v>
      </c>
      <c r="D371" s="122" t="s">
        <v>89</v>
      </c>
      <c r="E371" s="121" t="s">
        <v>33</v>
      </c>
      <c r="F371" s="369" t="s">
        <v>10992</v>
      </c>
      <c r="G371" s="122" t="s">
        <v>42</v>
      </c>
      <c r="H371" s="370" t="s">
        <v>11133</v>
      </c>
      <c r="I371" s="121" t="s">
        <v>27</v>
      </c>
      <c r="J371" s="122" t="s">
        <v>4</v>
      </c>
      <c r="K371" s="121" t="s">
        <v>27</v>
      </c>
      <c r="L371" s="122" t="s">
        <v>4</v>
      </c>
      <c r="M371" s="122" t="s">
        <v>35</v>
      </c>
      <c r="N371" s="123" t="s">
        <v>10500</v>
      </c>
      <c r="O371" s="124" t="str">
        <f t="shared" si="14"/>
        <v>L2.02.02.05.00.00</v>
      </c>
      <c r="P371" s="317" t="str">
        <f t="shared" si="12"/>
        <v>L2.02.02.05.00.00.03</v>
      </c>
      <c r="Q371" s="318"/>
      <c r="R371" s="360" t="str">
        <f t="shared" si="15"/>
        <v>Phòngkinh doanh mạng lưới</v>
      </c>
      <c r="S371" s="319" t="s">
        <v>11132</v>
      </c>
      <c r="T371" s="320" t="s">
        <v>4560</v>
      </c>
      <c r="U371" s="320" t="s">
        <v>2811</v>
      </c>
      <c r="V371" s="320" t="s">
        <v>4559</v>
      </c>
      <c r="W371" s="320"/>
      <c r="X371" s="320"/>
      <c r="Y371" s="320"/>
      <c r="Z371" s="322"/>
      <c r="AA371" s="323"/>
      <c r="AB371" s="324"/>
      <c r="AC371" s="324"/>
      <c r="AD371" s="324"/>
    </row>
    <row r="372" ht="15.75" customHeight="1" outlineLevel="1">
      <c r="A372" s="314" t="s">
        <v>10833</v>
      </c>
      <c r="B372" s="315" t="s">
        <v>77</v>
      </c>
      <c r="C372" s="315" t="s">
        <v>33</v>
      </c>
      <c r="D372" s="122" t="s">
        <v>89</v>
      </c>
      <c r="E372" s="121" t="s">
        <v>33</v>
      </c>
      <c r="F372" s="369" t="s">
        <v>10992</v>
      </c>
      <c r="G372" s="122" t="s">
        <v>42</v>
      </c>
      <c r="H372" s="370" t="s">
        <v>1209</v>
      </c>
      <c r="I372" s="121" t="s">
        <v>27</v>
      </c>
      <c r="J372" s="122" t="s">
        <v>4</v>
      </c>
      <c r="K372" s="121" t="s">
        <v>27</v>
      </c>
      <c r="L372" s="122" t="s">
        <v>4</v>
      </c>
      <c r="M372" s="122" t="s">
        <v>37</v>
      </c>
      <c r="N372" s="316" t="s">
        <v>10900</v>
      </c>
      <c r="O372" s="124" t="str">
        <f t="shared" si="14"/>
        <v>L2.02.02.05.00.00</v>
      </c>
      <c r="P372" s="317" t="str">
        <f t="shared" si="12"/>
        <v>L2.02.02.05.00.00.04</v>
      </c>
      <c r="Q372" s="318"/>
      <c r="R372" s="360" t="str">
        <f t="shared" si="15"/>
        <v>Phòng kinh doanh mạng lưới</v>
      </c>
      <c r="S372" s="319" t="s">
        <v>11132</v>
      </c>
      <c r="T372" s="320" t="s">
        <v>9085</v>
      </c>
      <c r="U372" s="320" t="s">
        <v>2732</v>
      </c>
      <c r="V372" s="320" t="s">
        <v>2791</v>
      </c>
      <c r="W372" s="320"/>
      <c r="X372" s="320"/>
      <c r="Y372" s="320"/>
      <c r="Z372" s="322"/>
      <c r="AA372" s="323"/>
      <c r="AB372" s="324"/>
      <c r="AC372" s="324"/>
      <c r="AD372" s="324"/>
    </row>
    <row r="373" ht="15.75" customHeight="1" outlineLevel="1">
      <c r="A373" s="314" t="s">
        <v>10833</v>
      </c>
      <c r="B373" s="315" t="s">
        <v>77</v>
      </c>
      <c r="C373" s="315" t="s">
        <v>33</v>
      </c>
      <c r="D373" s="122" t="s">
        <v>89</v>
      </c>
      <c r="E373" s="121" t="s">
        <v>33</v>
      </c>
      <c r="F373" s="369" t="s">
        <v>10992</v>
      </c>
      <c r="G373" s="122" t="s">
        <v>42</v>
      </c>
      <c r="H373" s="370" t="s">
        <v>1209</v>
      </c>
      <c r="I373" s="121" t="s">
        <v>27</v>
      </c>
      <c r="J373" s="122" t="s">
        <v>4</v>
      </c>
      <c r="K373" s="121" t="s">
        <v>27</v>
      </c>
      <c r="L373" s="122" t="s">
        <v>4</v>
      </c>
      <c r="M373" s="122" t="s">
        <v>42</v>
      </c>
      <c r="N373" s="123" t="s">
        <v>10502</v>
      </c>
      <c r="O373" s="124" t="str">
        <f t="shared" si="14"/>
        <v>L2.02.02.05.00.00</v>
      </c>
      <c r="P373" s="317" t="str">
        <f t="shared" si="12"/>
        <v>L2.02.02.05.00.00.05</v>
      </c>
      <c r="Q373" s="318"/>
      <c r="R373" s="360" t="str">
        <f t="shared" si="15"/>
        <v>Phòng kinh doanh mạng lưới</v>
      </c>
      <c r="S373" s="319" t="s">
        <v>11132</v>
      </c>
      <c r="T373" s="320" t="s">
        <v>2792</v>
      </c>
      <c r="U373" s="320" t="s">
        <v>325</v>
      </c>
      <c r="V373" s="320" t="s">
        <v>2791</v>
      </c>
      <c r="W373" s="320"/>
      <c r="X373" s="320"/>
      <c r="Y373" s="320"/>
      <c r="Z373" s="322"/>
      <c r="AA373" s="323"/>
      <c r="AB373" s="324"/>
      <c r="AC373" s="324"/>
      <c r="AD373" s="324"/>
    </row>
    <row r="374" ht="15.75" customHeight="1" outlineLevel="1">
      <c r="A374" s="261" t="s">
        <v>10833</v>
      </c>
      <c r="B374" s="231" t="s">
        <v>77</v>
      </c>
      <c r="C374" s="231" t="s">
        <v>33</v>
      </c>
      <c r="D374" s="157" t="s">
        <v>89</v>
      </c>
      <c r="E374" s="297" t="s">
        <v>33</v>
      </c>
      <c r="F374" s="168" t="s">
        <v>10992</v>
      </c>
      <c r="G374" s="157" t="s">
        <v>44</v>
      </c>
      <c r="H374" s="371" t="s">
        <v>11134</v>
      </c>
      <c r="I374" s="168" t="s">
        <v>27</v>
      </c>
      <c r="J374" s="262" t="s">
        <v>4</v>
      </c>
      <c r="K374" s="297" t="s">
        <v>27</v>
      </c>
      <c r="L374" s="157" t="s">
        <v>4</v>
      </c>
      <c r="M374" s="168" t="s">
        <v>27</v>
      </c>
      <c r="N374" s="167"/>
      <c r="O374" s="55" t="str">
        <f t="shared" si="14"/>
        <v>L2.02.02.06.00.00</v>
      </c>
      <c r="P374" s="257" t="str">
        <f t="shared" si="12"/>
        <v>L2.02.02.06.00.00.00</v>
      </c>
      <c r="Q374" s="161" t="s">
        <v>10530</v>
      </c>
      <c r="R374" s="372" t="str">
        <f t="shared" si="15"/>
        <v>Trung tâm KD Online </v>
      </c>
      <c r="S374" s="269" t="s">
        <v>10996</v>
      </c>
      <c r="T374" s="264" t="s">
        <v>2710</v>
      </c>
      <c r="U374" s="265" t="s">
        <v>303</v>
      </c>
      <c r="V374" s="265" t="s">
        <v>335</v>
      </c>
      <c r="W374" s="265" t="s">
        <v>140</v>
      </c>
      <c r="X374" s="265"/>
      <c r="Y374" s="265"/>
      <c r="Z374" s="225" t="s">
        <v>11135</v>
      </c>
      <c r="AA374" s="300" t="s">
        <v>10530</v>
      </c>
      <c r="AB374" s="267"/>
      <c r="AC374" s="267"/>
      <c r="AD374" s="267"/>
    </row>
    <row r="375" ht="15.75" customHeight="1" outlineLevel="1">
      <c r="A375" s="261" t="s">
        <v>10833</v>
      </c>
      <c r="B375" s="231" t="s">
        <v>77</v>
      </c>
      <c r="C375" s="231" t="s">
        <v>33</v>
      </c>
      <c r="D375" s="157" t="s">
        <v>89</v>
      </c>
      <c r="E375" s="297" t="s">
        <v>33</v>
      </c>
      <c r="F375" s="168" t="s">
        <v>10992</v>
      </c>
      <c r="G375" s="157" t="s">
        <v>44</v>
      </c>
      <c r="H375" s="371" t="s">
        <v>11136</v>
      </c>
      <c r="I375" s="157" t="s">
        <v>29</v>
      </c>
      <c r="J375" s="167" t="s">
        <v>140</v>
      </c>
      <c r="K375" s="297" t="s">
        <v>27</v>
      </c>
      <c r="L375" s="157" t="s">
        <v>4</v>
      </c>
      <c r="M375" s="355" t="s">
        <v>44</v>
      </c>
      <c r="N375" s="181" t="s">
        <v>10505</v>
      </c>
      <c r="O375" s="55" t="str">
        <f t="shared" si="14"/>
        <v>L2.02.02.06.01.00</v>
      </c>
      <c r="P375" s="257" t="str">
        <f t="shared" si="12"/>
        <v>L2.02.02.06.01.00.06</v>
      </c>
      <c r="Q375" s="161" t="s">
        <v>10530</v>
      </c>
      <c r="R375" s="299" t="str">
        <f t="shared" si="15"/>
        <v>Ban GĐ TTKD Online</v>
      </c>
      <c r="S375" s="269" t="s">
        <v>11137</v>
      </c>
      <c r="T375" s="265" t="s">
        <v>9390</v>
      </c>
      <c r="U375" s="265" t="s">
        <v>303</v>
      </c>
      <c r="V375" s="265" t="s">
        <v>335</v>
      </c>
      <c r="W375" s="265" t="s">
        <v>140</v>
      </c>
      <c r="X375" s="265"/>
      <c r="Y375" s="265"/>
      <c r="Z375" s="225" t="s">
        <v>11138</v>
      </c>
      <c r="AA375" s="300" t="s">
        <v>10530</v>
      </c>
      <c r="AB375" s="267"/>
      <c r="AC375" s="267"/>
      <c r="AD375" s="267"/>
    </row>
    <row r="376" ht="15.75" customHeight="1" outlineLevel="1">
      <c r="A376" s="100" t="s">
        <v>10833</v>
      </c>
      <c r="B376" s="101" t="s">
        <v>77</v>
      </c>
      <c r="C376" s="101" t="s">
        <v>33</v>
      </c>
      <c r="D376" s="102" t="s">
        <v>89</v>
      </c>
      <c r="E376" s="103" t="s">
        <v>33</v>
      </c>
      <c r="F376" s="106" t="s">
        <v>10992</v>
      </c>
      <c r="G376" s="102" t="s">
        <v>44</v>
      </c>
      <c r="H376" s="373" t="s">
        <v>11136</v>
      </c>
      <c r="I376" s="102" t="s">
        <v>33</v>
      </c>
      <c r="J376" s="306" t="s">
        <v>11139</v>
      </c>
      <c r="K376" s="106" t="s">
        <v>27</v>
      </c>
      <c r="L376" s="102" t="s">
        <v>4</v>
      </c>
      <c r="M376" s="106" t="s">
        <v>27</v>
      </c>
      <c r="N376" s="104"/>
      <c r="O376" s="136" t="str">
        <f t="shared" si="14"/>
        <v>L2.02.02.06.02.00</v>
      </c>
      <c r="P376" s="107" t="str">
        <f t="shared" si="12"/>
        <v>L2.02.02.06.02.00.00</v>
      </c>
      <c r="Q376" s="108" t="s">
        <v>10530</v>
      </c>
      <c r="R376" s="308" t="str">
        <f t="shared" si="15"/>
        <v>Phòng KD Sản phẩm kế toán</v>
      </c>
      <c r="S376" s="107" t="s">
        <v>11137</v>
      </c>
      <c r="T376" s="374" t="s">
        <v>11140</v>
      </c>
      <c r="U376" s="310" t="s">
        <v>303</v>
      </c>
      <c r="V376" s="310" t="s">
        <v>335</v>
      </c>
      <c r="W376" s="375" t="s">
        <v>2499</v>
      </c>
      <c r="X376" s="310"/>
      <c r="Y376" s="311"/>
      <c r="Z376" s="112" t="s">
        <v>11141</v>
      </c>
      <c r="AA376" s="300" t="s">
        <v>10530</v>
      </c>
      <c r="AB376" s="313"/>
      <c r="AC376" s="313"/>
      <c r="AD376" s="313"/>
    </row>
    <row r="377" ht="15.75" customHeight="1" outlineLevel="1">
      <c r="A377" s="261" t="s">
        <v>10833</v>
      </c>
      <c r="B377" s="231" t="s">
        <v>77</v>
      </c>
      <c r="C377" s="231" t="s">
        <v>33</v>
      </c>
      <c r="D377" s="157" t="s">
        <v>89</v>
      </c>
      <c r="E377" s="297" t="s">
        <v>33</v>
      </c>
      <c r="F377" s="168" t="s">
        <v>10992</v>
      </c>
      <c r="G377" s="157" t="s">
        <v>44</v>
      </c>
      <c r="H377" s="371" t="s">
        <v>11136</v>
      </c>
      <c r="I377" s="157" t="s">
        <v>33</v>
      </c>
      <c r="J377" s="298" t="s">
        <v>11139</v>
      </c>
      <c r="K377" s="157" t="s">
        <v>29</v>
      </c>
      <c r="L377" s="298" t="s">
        <v>11142</v>
      </c>
      <c r="M377" s="157" t="s">
        <v>44</v>
      </c>
      <c r="N377" s="167" t="s">
        <v>10505</v>
      </c>
      <c r="O377" s="55" t="str">
        <f t="shared" si="14"/>
        <v>L2.02.02.06.02.01</v>
      </c>
      <c r="P377" s="257" t="str">
        <f t="shared" si="12"/>
        <v>L2.02.02.06.02.01.06</v>
      </c>
      <c r="Q377" s="161" t="s">
        <v>10530</v>
      </c>
      <c r="R377" s="299" t="str">
        <f t="shared" si="15"/>
        <v>Nhóm KD Sản phẩm kế toán 01</v>
      </c>
      <c r="S377" s="272" t="s">
        <v>11143</v>
      </c>
      <c r="T377" s="265" t="s">
        <v>2551</v>
      </c>
      <c r="U377" s="265" t="s">
        <v>303</v>
      </c>
      <c r="V377" s="265" t="s">
        <v>335</v>
      </c>
      <c r="W377" s="265" t="s">
        <v>2499</v>
      </c>
      <c r="X377" s="265" t="s">
        <v>2550</v>
      </c>
      <c r="Y377" s="265"/>
      <c r="Z377" s="225" t="s">
        <v>11144</v>
      </c>
      <c r="AA377" s="300" t="s">
        <v>10530</v>
      </c>
      <c r="AB377" s="267"/>
      <c r="AC377" s="267"/>
      <c r="AD377" s="267"/>
    </row>
    <row r="378" ht="15.75" customHeight="1" outlineLevel="1">
      <c r="A378" s="261" t="s">
        <v>10833</v>
      </c>
      <c r="B378" s="231" t="s">
        <v>77</v>
      </c>
      <c r="C378" s="231" t="s">
        <v>33</v>
      </c>
      <c r="D378" s="157" t="s">
        <v>89</v>
      </c>
      <c r="E378" s="297" t="s">
        <v>33</v>
      </c>
      <c r="F378" s="168" t="s">
        <v>10992</v>
      </c>
      <c r="G378" s="157" t="s">
        <v>44</v>
      </c>
      <c r="H378" s="371" t="s">
        <v>11136</v>
      </c>
      <c r="I378" s="157" t="s">
        <v>33</v>
      </c>
      <c r="J378" s="298" t="s">
        <v>11139</v>
      </c>
      <c r="K378" s="168" t="s">
        <v>33</v>
      </c>
      <c r="L378" s="298" t="s">
        <v>11145</v>
      </c>
      <c r="M378" s="157" t="s">
        <v>33</v>
      </c>
      <c r="N378" s="167" t="s">
        <v>10499</v>
      </c>
      <c r="O378" s="55" t="str">
        <f t="shared" si="14"/>
        <v>L2.02.02.06.02.02</v>
      </c>
      <c r="P378" s="257" t="str">
        <f t="shared" si="12"/>
        <v>L2.02.02.06.02.02.02</v>
      </c>
      <c r="Q378" s="161" t="s">
        <v>10530</v>
      </c>
      <c r="R378" s="299" t="str">
        <f t="shared" si="15"/>
        <v>Nhóm KD Sản phẩm kế toán 02</v>
      </c>
      <c r="S378" s="272" t="s">
        <v>11143</v>
      </c>
      <c r="T378" s="265" t="s">
        <v>2500</v>
      </c>
      <c r="U378" s="265" t="s">
        <v>303</v>
      </c>
      <c r="V378" s="265" t="s">
        <v>335</v>
      </c>
      <c r="W378" s="265" t="s">
        <v>2499</v>
      </c>
      <c r="X378" s="265" t="s">
        <v>2498</v>
      </c>
      <c r="Y378" s="265"/>
      <c r="Z378" s="225" t="s">
        <v>11146</v>
      </c>
      <c r="AA378" s="300" t="s">
        <v>10530</v>
      </c>
      <c r="AB378" s="267"/>
      <c r="AC378" s="267"/>
      <c r="AD378" s="267"/>
    </row>
    <row r="379" ht="15.75" customHeight="1" outlineLevel="1">
      <c r="A379" s="261" t="s">
        <v>10833</v>
      </c>
      <c r="B379" s="231" t="s">
        <v>77</v>
      </c>
      <c r="C379" s="231" t="s">
        <v>33</v>
      </c>
      <c r="D379" s="157" t="s">
        <v>89</v>
      </c>
      <c r="E379" s="297" t="s">
        <v>33</v>
      </c>
      <c r="F379" s="168" t="s">
        <v>10992</v>
      </c>
      <c r="G379" s="157" t="s">
        <v>44</v>
      </c>
      <c r="H379" s="371" t="s">
        <v>11136</v>
      </c>
      <c r="I379" s="157" t="s">
        <v>33</v>
      </c>
      <c r="J379" s="298" t="s">
        <v>11139</v>
      </c>
      <c r="K379" s="182" t="s">
        <v>35</v>
      </c>
      <c r="L379" s="167" t="s">
        <v>143</v>
      </c>
      <c r="M379" s="157" t="s">
        <v>44</v>
      </c>
      <c r="N379" s="167" t="s">
        <v>10505</v>
      </c>
      <c r="O379" s="55" t="str">
        <f t="shared" si="14"/>
        <v>L2.02.02.06.02.03</v>
      </c>
      <c r="P379" s="272" t="str">
        <f t="shared" si="12"/>
        <v>L2.02.02.06.02.03.06</v>
      </c>
      <c r="Q379" s="161" t="s">
        <v>10530</v>
      </c>
      <c r="R379" s="299" t="str">
        <f t="shared" si="15"/>
        <v>Nhóm Marketing SP Kế toán</v>
      </c>
      <c r="S379" s="272" t="s">
        <v>11143</v>
      </c>
      <c r="T379" s="265" t="s">
        <v>3341</v>
      </c>
      <c r="U379" s="265" t="s">
        <v>303</v>
      </c>
      <c r="V379" s="265" t="s">
        <v>335</v>
      </c>
      <c r="W379" s="265" t="s">
        <v>2499</v>
      </c>
      <c r="X379" s="265" t="s">
        <v>3340</v>
      </c>
      <c r="Y379" s="265"/>
      <c r="Z379" s="225" t="s">
        <v>11147</v>
      </c>
      <c r="AA379" s="300" t="s">
        <v>10530</v>
      </c>
      <c r="AB379" s="267"/>
      <c r="AC379" s="376" t="s">
        <v>11148</v>
      </c>
      <c r="AD379" s="267"/>
    </row>
    <row r="380" ht="15.75" customHeight="1" outlineLevel="1">
      <c r="A380" s="100" t="s">
        <v>10833</v>
      </c>
      <c r="B380" s="101" t="s">
        <v>77</v>
      </c>
      <c r="C380" s="101" t="s">
        <v>33</v>
      </c>
      <c r="D380" s="102" t="s">
        <v>89</v>
      </c>
      <c r="E380" s="103" t="s">
        <v>33</v>
      </c>
      <c r="F380" s="106" t="s">
        <v>10992</v>
      </c>
      <c r="G380" s="102" t="s">
        <v>44</v>
      </c>
      <c r="H380" s="373" t="s">
        <v>11136</v>
      </c>
      <c r="I380" s="102" t="s">
        <v>35</v>
      </c>
      <c r="J380" s="306" t="s">
        <v>11149</v>
      </c>
      <c r="K380" s="106" t="s">
        <v>27</v>
      </c>
      <c r="L380" s="377" t="s">
        <v>4</v>
      </c>
      <c r="M380" s="106" t="s">
        <v>27</v>
      </c>
      <c r="N380" s="104"/>
      <c r="O380" s="136" t="str">
        <f t="shared" si="14"/>
        <v>L2.02.02.06.03.00</v>
      </c>
      <c r="P380" s="107" t="str">
        <f t="shared" si="12"/>
        <v>L2.02.02.06.03.00.00</v>
      </c>
      <c r="Q380" s="108" t="s">
        <v>10530</v>
      </c>
      <c r="R380" s="308" t="str">
        <f t="shared" si="15"/>
        <v>Phòng KD Sản phẩm hóa đơn</v>
      </c>
      <c r="S380" s="309" t="s">
        <v>11137</v>
      </c>
      <c r="T380" s="374" t="s">
        <v>11150</v>
      </c>
      <c r="U380" s="310" t="s">
        <v>303</v>
      </c>
      <c r="V380" s="310" t="s">
        <v>335</v>
      </c>
      <c r="W380" s="375" t="s">
        <v>1963</v>
      </c>
      <c r="X380" s="310"/>
      <c r="Y380" s="310"/>
      <c r="Z380" s="112" t="s">
        <v>11151</v>
      </c>
      <c r="AA380" s="300" t="s">
        <v>10530</v>
      </c>
      <c r="AB380" s="313"/>
      <c r="AC380" s="313"/>
      <c r="AD380" s="313"/>
    </row>
    <row r="381" ht="15.75" customHeight="1" outlineLevel="1">
      <c r="A381" s="261" t="s">
        <v>10833</v>
      </c>
      <c r="B381" s="231" t="s">
        <v>77</v>
      </c>
      <c r="C381" s="231" t="s">
        <v>33</v>
      </c>
      <c r="D381" s="157" t="s">
        <v>89</v>
      </c>
      <c r="E381" s="297" t="s">
        <v>33</v>
      </c>
      <c r="F381" s="168" t="s">
        <v>10992</v>
      </c>
      <c r="G381" s="157" t="s">
        <v>44</v>
      </c>
      <c r="H381" s="371" t="s">
        <v>11136</v>
      </c>
      <c r="I381" s="157" t="s">
        <v>35</v>
      </c>
      <c r="J381" s="298" t="s">
        <v>11149</v>
      </c>
      <c r="K381" s="168" t="s">
        <v>35</v>
      </c>
      <c r="L381" s="298" t="s">
        <v>10984</v>
      </c>
      <c r="M381" s="355" t="s">
        <v>44</v>
      </c>
      <c r="N381" s="181" t="s">
        <v>10505</v>
      </c>
      <c r="O381" s="55" t="str">
        <f t="shared" si="14"/>
        <v>L2.02.02.06.03.03</v>
      </c>
      <c r="P381" s="257" t="str">
        <f t="shared" si="12"/>
        <v>L2.02.02.06.03.03.06</v>
      </c>
      <c r="Q381" s="161" t="s">
        <v>10530</v>
      </c>
      <c r="R381" s="299" t="str">
        <f t="shared" si="15"/>
        <v>Nhóm Quản lý</v>
      </c>
      <c r="S381" s="257" t="s">
        <v>11152</v>
      </c>
      <c r="T381" s="265"/>
      <c r="U381" s="265"/>
      <c r="V381" s="265"/>
      <c r="W381" s="265"/>
      <c r="X381" s="265"/>
      <c r="Y381" s="265"/>
      <c r="Z381" s="225" t="s">
        <v>11153</v>
      </c>
      <c r="AA381" s="300" t="s">
        <v>10530</v>
      </c>
      <c r="AB381" s="267"/>
      <c r="AC381" s="267"/>
      <c r="AD381" s="267"/>
    </row>
    <row r="382" ht="15.75" customHeight="1" outlineLevel="1">
      <c r="A382" s="100" t="s">
        <v>10833</v>
      </c>
      <c r="B382" s="101" t="s">
        <v>77</v>
      </c>
      <c r="C382" s="101" t="s">
        <v>33</v>
      </c>
      <c r="D382" s="102" t="s">
        <v>89</v>
      </c>
      <c r="E382" s="103" t="s">
        <v>33</v>
      </c>
      <c r="F382" s="106" t="s">
        <v>10992</v>
      </c>
      <c r="G382" s="102" t="s">
        <v>44</v>
      </c>
      <c r="H382" s="373" t="s">
        <v>11136</v>
      </c>
      <c r="I382" s="102" t="s">
        <v>35</v>
      </c>
      <c r="J382" s="306" t="s">
        <v>11149</v>
      </c>
      <c r="K382" s="103" t="s">
        <v>29</v>
      </c>
      <c r="L382" s="306" t="s">
        <v>11154</v>
      </c>
      <c r="M382" s="106" t="s">
        <v>27</v>
      </c>
      <c r="N382" s="104"/>
      <c r="O382" s="136" t="str">
        <f t="shared" si="14"/>
        <v>L2.02.02.06.03.01</v>
      </c>
      <c r="P382" s="107" t="str">
        <f t="shared" si="12"/>
        <v>L2.02.02.06.03.01.00</v>
      </c>
      <c r="Q382" s="307" t="s">
        <v>10530</v>
      </c>
      <c r="R382" s="308" t="str">
        <f t="shared" si="15"/>
        <v>Nhóm KD Sản phẩm Hóa đơn</v>
      </c>
      <c r="S382" s="309" t="s">
        <v>11152</v>
      </c>
      <c r="T382" s="310" t="s">
        <v>1964</v>
      </c>
      <c r="U382" s="310" t="s">
        <v>303</v>
      </c>
      <c r="V382" s="310" t="s">
        <v>335</v>
      </c>
      <c r="W382" s="310" t="s">
        <v>1963</v>
      </c>
      <c r="X382" s="310" t="s">
        <v>1962</v>
      </c>
      <c r="Y382" s="310"/>
      <c r="Z382" s="112" t="s">
        <v>11155</v>
      </c>
      <c r="AA382" s="312"/>
      <c r="AB382" s="313"/>
      <c r="AC382" s="313"/>
      <c r="AD382" s="313"/>
    </row>
    <row r="383" ht="15.75" customHeight="1" outlineLevel="1">
      <c r="A383" s="314" t="s">
        <v>10833</v>
      </c>
      <c r="B383" s="315" t="s">
        <v>77</v>
      </c>
      <c r="C383" s="315" t="s">
        <v>33</v>
      </c>
      <c r="D383" s="122" t="s">
        <v>89</v>
      </c>
      <c r="E383" s="121" t="s">
        <v>33</v>
      </c>
      <c r="F383" s="369" t="s">
        <v>10992</v>
      </c>
      <c r="G383" s="122" t="s">
        <v>44</v>
      </c>
      <c r="H383" s="378" t="s">
        <v>11136</v>
      </c>
      <c r="I383" s="122" t="s">
        <v>35</v>
      </c>
      <c r="J383" s="316" t="s">
        <v>11149</v>
      </c>
      <c r="K383" s="121" t="s">
        <v>29</v>
      </c>
      <c r="L383" s="316" t="s">
        <v>11154</v>
      </c>
      <c r="M383" s="355" t="s">
        <v>44</v>
      </c>
      <c r="N383" s="181" t="s">
        <v>10505</v>
      </c>
      <c r="O383" s="149" t="str">
        <f t="shared" si="14"/>
        <v>L2.02.02.06.03.01</v>
      </c>
      <c r="P383" s="317" t="str">
        <f t="shared" si="12"/>
        <v>L2.02.02.06.03.01.06</v>
      </c>
      <c r="Q383" s="318"/>
      <c r="R383" s="318" t="str">
        <f t="shared" si="15"/>
        <v>Nhóm KD Sản phẩm Hóa đơn</v>
      </c>
      <c r="S383" s="319" t="s">
        <v>11156</v>
      </c>
      <c r="T383" s="320"/>
      <c r="U383" s="320"/>
      <c r="V383" s="320"/>
      <c r="W383" s="320"/>
      <c r="X383" s="320"/>
      <c r="Y383" s="320"/>
      <c r="Z383" s="322"/>
      <c r="AA383" s="323"/>
      <c r="AB383" s="324"/>
      <c r="AC383" s="324"/>
      <c r="AD383" s="324"/>
    </row>
    <row r="384" ht="15.75" customHeight="1" outlineLevel="1">
      <c r="A384" s="314" t="s">
        <v>10833</v>
      </c>
      <c r="B384" s="315" t="s">
        <v>77</v>
      </c>
      <c r="C384" s="315" t="s">
        <v>33</v>
      </c>
      <c r="D384" s="122" t="s">
        <v>89</v>
      </c>
      <c r="E384" s="121" t="s">
        <v>33</v>
      </c>
      <c r="F384" s="369" t="s">
        <v>10992</v>
      </c>
      <c r="G384" s="122" t="s">
        <v>44</v>
      </c>
      <c r="H384" s="378" t="s">
        <v>11136</v>
      </c>
      <c r="I384" s="122" t="s">
        <v>35</v>
      </c>
      <c r="J384" s="316" t="s">
        <v>11149</v>
      </c>
      <c r="K384" s="122" t="s">
        <v>29</v>
      </c>
      <c r="L384" s="316" t="s">
        <v>11154</v>
      </c>
      <c r="M384" s="122" t="s">
        <v>33</v>
      </c>
      <c r="N384" s="123" t="s">
        <v>10499</v>
      </c>
      <c r="O384" s="149" t="str">
        <f t="shared" si="14"/>
        <v>L2.02.02.06.03.01</v>
      </c>
      <c r="P384" s="317" t="str">
        <f t="shared" si="12"/>
        <v>L2.02.02.06.03.01.02</v>
      </c>
      <c r="Q384" s="318"/>
      <c r="R384" s="318" t="str">
        <f t="shared" si="15"/>
        <v>Nhóm KD Sản phẩm Hóa đơn</v>
      </c>
      <c r="S384" s="319" t="s">
        <v>11156</v>
      </c>
      <c r="T384" s="320"/>
      <c r="U384" s="320"/>
      <c r="V384" s="320"/>
      <c r="W384" s="320"/>
      <c r="X384" s="320"/>
      <c r="Y384" s="320"/>
      <c r="Z384" s="322"/>
      <c r="AA384" s="323"/>
      <c r="AB384" s="324"/>
      <c r="AC384" s="324"/>
      <c r="AD384" s="324"/>
    </row>
    <row r="385" ht="15.75" customHeight="1" outlineLevel="1">
      <c r="A385" s="100" t="s">
        <v>10833</v>
      </c>
      <c r="B385" s="101" t="s">
        <v>77</v>
      </c>
      <c r="C385" s="101" t="s">
        <v>33</v>
      </c>
      <c r="D385" s="102" t="s">
        <v>89</v>
      </c>
      <c r="E385" s="103" t="s">
        <v>33</v>
      </c>
      <c r="F385" s="106" t="s">
        <v>10992</v>
      </c>
      <c r="G385" s="102" t="s">
        <v>44</v>
      </c>
      <c r="H385" s="373" t="s">
        <v>11136</v>
      </c>
      <c r="I385" s="102" t="s">
        <v>35</v>
      </c>
      <c r="J385" s="306" t="s">
        <v>11149</v>
      </c>
      <c r="K385" s="101" t="s">
        <v>33</v>
      </c>
      <c r="L385" s="306" t="s">
        <v>11157</v>
      </c>
      <c r="M385" s="106" t="s">
        <v>27</v>
      </c>
      <c r="N385" s="104"/>
      <c r="O385" s="136" t="str">
        <f t="shared" si="14"/>
        <v>L2.02.02.06.03.02</v>
      </c>
      <c r="P385" s="107" t="str">
        <f t="shared" si="12"/>
        <v>L2.02.02.06.03.02.00</v>
      </c>
      <c r="Q385" s="307" t="s">
        <v>10530</v>
      </c>
      <c r="R385" s="308" t="str">
        <f t="shared" si="15"/>
        <v>Nhóm KD Sản phẩm ký điện tử</v>
      </c>
      <c r="S385" s="309" t="s">
        <v>11152</v>
      </c>
      <c r="T385" s="310" t="s">
        <v>2609</v>
      </c>
      <c r="U385" s="310" t="s">
        <v>303</v>
      </c>
      <c r="V385" s="310" t="s">
        <v>335</v>
      </c>
      <c r="W385" s="310" t="s">
        <v>2608</v>
      </c>
      <c r="X385" s="310" t="s">
        <v>2607</v>
      </c>
      <c r="Y385" s="310"/>
      <c r="Z385" s="112" t="s">
        <v>11158</v>
      </c>
      <c r="AA385" s="312"/>
      <c r="AB385" s="313"/>
      <c r="AC385" s="313"/>
      <c r="AD385" s="313"/>
    </row>
    <row r="386" ht="15.75" customHeight="1" outlineLevel="1">
      <c r="A386" s="314" t="s">
        <v>10833</v>
      </c>
      <c r="B386" s="315" t="s">
        <v>77</v>
      </c>
      <c r="C386" s="315" t="s">
        <v>33</v>
      </c>
      <c r="D386" s="122" t="s">
        <v>89</v>
      </c>
      <c r="E386" s="121" t="s">
        <v>33</v>
      </c>
      <c r="F386" s="369" t="s">
        <v>10992</v>
      </c>
      <c r="G386" s="122" t="s">
        <v>44</v>
      </c>
      <c r="H386" s="378" t="s">
        <v>11136</v>
      </c>
      <c r="I386" s="122" t="s">
        <v>35</v>
      </c>
      <c r="J386" s="316" t="s">
        <v>11149</v>
      </c>
      <c r="K386" s="315" t="s">
        <v>33</v>
      </c>
      <c r="L386" s="316" t="s">
        <v>11157</v>
      </c>
      <c r="M386" s="355" t="s">
        <v>44</v>
      </c>
      <c r="N386" s="181" t="s">
        <v>10505</v>
      </c>
      <c r="O386" s="149" t="str">
        <f t="shared" si="14"/>
        <v>L2.02.02.06.03.02</v>
      </c>
      <c r="P386" s="317" t="str">
        <f t="shared" si="12"/>
        <v>L2.02.02.06.03.02.06</v>
      </c>
      <c r="Q386" s="318"/>
      <c r="R386" s="318" t="str">
        <f t="shared" si="15"/>
        <v>Nhóm KD Sản phẩm ký điện tử</v>
      </c>
      <c r="S386" s="319" t="s">
        <v>11159</v>
      </c>
      <c r="T386" s="320"/>
      <c r="U386" s="320"/>
      <c r="V386" s="320"/>
      <c r="W386" s="320"/>
      <c r="X386" s="320"/>
      <c r="Y386" s="320"/>
      <c r="Z386" s="322"/>
      <c r="AA386" s="323"/>
      <c r="AB386" s="324"/>
      <c r="AC386" s="324"/>
      <c r="AD386" s="324"/>
    </row>
    <row r="387" ht="15.75" customHeight="1" outlineLevel="1">
      <c r="A387" s="314" t="s">
        <v>10833</v>
      </c>
      <c r="B387" s="315" t="s">
        <v>77</v>
      </c>
      <c r="C387" s="315" t="s">
        <v>33</v>
      </c>
      <c r="D387" s="122" t="s">
        <v>89</v>
      </c>
      <c r="E387" s="121" t="s">
        <v>33</v>
      </c>
      <c r="F387" s="369" t="s">
        <v>10992</v>
      </c>
      <c r="G387" s="122" t="s">
        <v>44</v>
      </c>
      <c r="H387" s="378" t="s">
        <v>11136</v>
      </c>
      <c r="I387" s="122" t="s">
        <v>35</v>
      </c>
      <c r="J387" s="316" t="s">
        <v>11149</v>
      </c>
      <c r="K387" s="315" t="s">
        <v>33</v>
      </c>
      <c r="L387" s="316" t="s">
        <v>11157</v>
      </c>
      <c r="M387" s="122" t="s">
        <v>33</v>
      </c>
      <c r="N387" s="123" t="s">
        <v>10499</v>
      </c>
      <c r="O387" s="149" t="str">
        <f t="shared" si="14"/>
        <v>L2.02.02.06.03.02</v>
      </c>
      <c r="P387" s="317" t="str">
        <f t="shared" si="12"/>
        <v>L2.02.02.06.03.02.02</v>
      </c>
      <c r="Q387" s="318"/>
      <c r="R387" s="318" t="str">
        <f t="shared" si="15"/>
        <v>Nhóm KD Sản phẩm ký điện tử</v>
      </c>
      <c r="S387" s="319" t="s">
        <v>11159</v>
      </c>
      <c r="T387" s="320"/>
      <c r="U387" s="320"/>
      <c r="V387" s="320"/>
      <c r="W387" s="320"/>
      <c r="X387" s="320"/>
      <c r="Y387" s="320"/>
      <c r="Z387" s="322"/>
      <c r="AA387" s="323"/>
      <c r="AB387" s="324"/>
      <c r="AC387" s="324"/>
      <c r="AD387" s="324"/>
    </row>
    <row r="388" ht="15.75" customHeight="1" outlineLevel="1">
      <c r="A388" s="261" t="s">
        <v>10833</v>
      </c>
      <c r="B388" s="231" t="s">
        <v>77</v>
      </c>
      <c r="C388" s="231" t="s">
        <v>33</v>
      </c>
      <c r="D388" s="157" t="s">
        <v>89</v>
      </c>
      <c r="E388" s="297" t="s">
        <v>33</v>
      </c>
      <c r="F388" s="168" t="s">
        <v>10992</v>
      </c>
      <c r="G388" s="157" t="s">
        <v>44</v>
      </c>
      <c r="H388" s="371" t="s">
        <v>11136</v>
      </c>
      <c r="I388" s="157" t="s">
        <v>35</v>
      </c>
      <c r="J388" s="298" t="s">
        <v>11149</v>
      </c>
      <c r="K388" s="168" t="s">
        <v>37</v>
      </c>
      <c r="L388" s="167" t="s">
        <v>146</v>
      </c>
      <c r="M388" s="157" t="s">
        <v>44</v>
      </c>
      <c r="N388" s="167" t="s">
        <v>10505</v>
      </c>
      <c r="O388" s="55" t="str">
        <f t="shared" si="14"/>
        <v>L2.02.02.06.03.04</v>
      </c>
      <c r="P388" s="257" t="str">
        <f t="shared" si="12"/>
        <v>L2.02.02.06.03.04.06</v>
      </c>
      <c r="Q388" s="161" t="s">
        <v>10530</v>
      </c>
      <c r="R388" s="299" t="str">
        <f t="shared" si="15"/>
        <v>Nhóm Marketing SP Hóa đơn, ký điện tử</v>
      </c>
      <c r="S388" s="269" t="s">
        <v>11152</v>
      </c>
      <c r="T388" s="379" t="s">
        <v>4790</v>
      </c>
      <c r="U388" s="380" t="s">
        <v>303</v>
      </c>
      <c r="V388" s="380" t="s">
        <v>335</v>
      </c>
      <c r="W388" s="381" t="s">
        <v>1963</v>
      </c>
      <c r="X388" s="381" t="s">
        <v>11160</v>
      </c>
      <c r="Y388" s="183"/>
      <c r="Z388" s="112" t="s">
        <v>11161</v>
      </c>
      <c r="AA388" s="266"/>
      <c r="AB388" s="267"/>
      <c r="AC388" s="267"/>
      <c r="AD388" s="267"/>
    </row>
    <row r="389" ht="15.75" customHeight="1" outlineLevel="1">
      <c r="A389" s="100" t="s">
        <v>10833</v>
      </c>
      <c r="B389" s="101" t="s">
        <v>77</v>
      </c>
      <c r="C389" s="101" t="s">
        <v>33</v>
      </c>
      <c r="D389" s="102" t="s">
        <v>89</v>
      </c>
      <c r="E389" s="103" t="s">
        <v>33</v>
      </c>
      <c r="F389" s="106" t="s">
        <v>10992</v>
      </c>
      <c r="G389" s="102" t="s">
        <v>44</v>
      </c>
      <c r="H389" s="373" t="s">
        <v>11136</v>
      </c>
      <c r="I389" s="102" t="s">
        <v>42</v>
      </c>
      <c r="J389" s="104" t="s">
        <v>148</v>
      </c>
      <c r="K389" s="103" t="s">
        <v>27</v>
      </c>
      <c r="L389" s="102" t="s">
        <v>4</v>
      </c>
      <c r="M389" s="106" t="s">
        <v>27</v>
      </c>
      <c r="N389" s="104"/>
      <c r="O389" s="136" t="str">
        <f t="shared" si="14"/>
        <v>L2.02.02.06.05.00</v>
      </c>
      <c r="P389" s="107" t="str">
        <f t="shared" si="12"/>
        <v>L2.02.02.06.05.00.00</v>
      </c>
      <c r="Q389" s="307" t="s">
        <v>10530</v>
      </c>
      <c r="R389" s="308" t="str">
        <f t="shared" si="15"/>
        <v>Nhóm MDR</v>
      </c>
      <c r="S389" s="107" t="s">
        <v>11137</v>
      </c>
      <c r="T389" s="310" t="s">
        <v>2532</v>
      </c>
      <c r="U389" s="310" t="s">
        <v>303</v>
      </c>
      <c r="V389" s="310" t="s">
        <v>335</v>
      </c>
      <c r="W389" s="310" t="s">
        <v>336</v>
      </c>
      <c r="X389" s="310" t="s">
        <v>148</v>
      </c>
      <c r="Y389" s="310"/>
      <c r="Z389" s="112" t="s">
        <v>11162</v>
      </c>
      <c r="AA389" s="312"/>
      <c r="AB389" s="313"/>
      <c r="AC389" s="313"/>
      <c r="AD389" s="313"/>
    </row>
    <row r="390" ht="15.75" customHeight="1" outlineLevel="1">
      <c r="A390" s="314" t="s">
        <v>10833</v>
      </c>
      <c r="B390" s="315" t="s">
        <v>77</v>
      </c>
      <c r="C390" s="315" t="s">
        <v>33</v>
      </c>
      <c r="D390" s="122" t="s">
        <v>89</v>
      </c>
      <c r="E390" s="121" t="s">
        <v>33</v>
      </c>
      <c r="F390" s="369" t="s">
        <v>10992</v>
      </c>
      <c r="G390" s="122" t="s">
        <v>44</v>
      </c>
      <c r="H390" s="378" t="s">
        <v>11136</v>
      </c>
      <c r="I390" s="122" t="s">
        <v>42</v>
      </c>
      <c r="J390" s="123" t="s">
        <v>148</v>
      </c>
      <c r="K390" s="121" t="s">
        <v>27</v>
      </c>
      <c r="L390" s="122" t="s">
        <v>4</v>
      </c>
      <c r="M390" s="122" t="s">
        <v>44</v>
      </c>
      <c r="N390" s="123" t="s">
        <v>10505</v>
      </c>
      <c r="O390" s="149" t="str">
        <f t="shared" si="14"/>
        <v>L2.02.02.06.05.00</v>
      </c>
      <c r="P390" s="317" t="str">
        <f t="shared" si="12"/>
        <v>L2.02.02.06.05.00.06</v>
      </c>
      <c r="Q390" s="318"/>
      <c r="R390" s="318" t="str">
        <f t="shared" si="15"/>
        <v>Nhóm MDR</v>
      </c>
      <c r="S390" s="317" t="s">
        <v>11163</v>
      </c>
      <c r="T390" s="320"/>
      <c r="U390" s="320"/>
      <c r="V390" s="320"/>
      <c r="W390" s="320"/>
      <c r="X390" s="320"/>
      <c r="Y390" s="320"/>
      <c r="Z390" s="322"/>
      <c r="AA390" s="323"/>
      <c r="AB390" s="324"/>
      <c r="AC390" s="324"/>
      <c r="AD390" s="324"/>
    </row>
    <row r="391" ht="15.75" customHeight="1" outlineLevel="1">
      <c r="A391" s="314" t="s">
        <v>10833</v>
      </c>
      <c r="B391" s="315" t="s">
        <v>77</v>
      </c>
      <c r="C391" s="315" t="s">
        <v>33</v>
      </c>
      <c r="D391" s="122" t="s">
        <v>89</v>
      </c>
      <c r="E391" s="121" t="s">
        <v>33</v>
      </c>
      <c r="F391" s="369" t="s">
        <v>10992</v>
      </c>
      <c r="G391" s="122" t="s">
        <v>44</v>
      </c>
      <c r="H391" s="378" t="s">
        <v>11136</v>
      </c>
      <c r="I391" s="122" t="s">
        <v>42</v>
      </c>
      <c r="J391" s="123" t="s">
        <v>148</v>
      </c>
      <c r="K391" s="121" t="s">
        <v>27</v>
      </c>
      <c r="L391" s="122" t="s">
        <v>4</v>
      </c>
      <c r="M391" s="122" t="s">
        <v>33</v>
      </c>
      <c r="N391" s="123" t="s">
        <v>10499</v>
      </c>
      <c r="O391" s="149" t="str">
        <f t="shared" si="14"/>
        <v>L2.02.02.06.05.00</v>
      </c>
      <c r="P391" s="317" t="str">
        <f t="shared" si="12"/>
        <v>L2.02.02.06.05.00.02</v>
      </c>
      <c r="Q391" s="318"/>
      <c r="R391" s="318" t="str">
        <f t="shared" si="15"/>
        <v>Nhóm MDR</v>
      </c>
      <c r="S391" s="317" t="s">
        <v>11163</v>
      </c>
      <c r="T391" s="320"/>
      <c r="U391" s="320"/>
      <c r="V391" s="320"/>
      <c r="W391" s="320"/>
      <c r="X391" s="320"/>
      <c r="Y391" s="320"/>
      <c r="Z391" s="322"/>
      <c r="AA391" s="323"/>
      <c r="AB391" s="324"/>
      <c r="AC391" s="324"/>
      <c r="AD391" s="324"/>
    </row>
    <row r="392" ht="15.75" customHeight="1" outlineLevel="1">
      <c r="A392" s="261" t="s">
        <v>10833</v>
      </c>
      <c r="B392" s="231" t="s">
        <v>77</v>
      </c>
      <c r="C392" s="231" t="s">
        <v>33</v>
      </c>
      <c r="D392" s="157" t="s">
        <v>89</v>
      </c>
      <c r="E392" s="297" t="s">
        <v>33</v>
      </c>
      <c r="F392" s="168" t="s">
        <v>10992</v>
      </c>
      <c r="G392" s="157" t="s">
        <v>44</v>
      </c>
      <c r="H392" s="371" t="s">
        <v>11136</v>
      </c>
      <c r="I392" s="157" t="s">
        <v>37</v>
      </c>
      <c r="J392" s="167" t="s">
        <v>147</v>
      </c>
      <c r="K392" s="297" t="s">
        <v>27</v>
      </c>
      <c r="L392" s="157" t="s">
        <v>4</v>
      </c>
      <c r="M392" s="157" t="s">
        <v>44</v>
      </c>
      <c r="N392" s="167" t="s">
        <v>10505</v>
      </c>
      <c r="O392" s="55" t="str">
        <f t="shared" si="14"/>
        <v>L2.02.02.06.04.00</v>
      </c>
      <c r="P392" s="257" t="str">
        <f t="shared" si="12"/>
        <v>L2.02.02.06.04.00.06</v>
      </c>
      <c r="Q392" s="161" t="s">
        <v>10530</v>
      </c>
      <c r="R392" s="299" t="str">
        <f t="shared" si="15"/>
        <v>Nhóm KD Automation sales</v>
      </c>
      <c r="S392" s="257" t="s">
        <v>11137</v>
      </c>
      <c r="T392" s="264" t="s">
        <v>11164</v>
      </c>
      <c r="U392" s="265" t="s">
        <v>303</v>
      </c>
      <c r="V392" s="265" t="s">
        <v>335</v>
      </c>
      <c r="W392" s="167" t="s">
        <v>147</v>
      </c>
      <c r="X392" s="265"/>
      <c r="Y392" s="265"/>
      <c r="Z392" s="225" t="s">
        <v>11165</v>
      </c>
      <c r="AA392" s="266"/>
      <c r="AB392" s="267"/>
      <c r="AC392" s="267"/>
      <c r="AD392" s="267"/>
    </row>
    <row r="393" ht="15.75" customHeight="1">
      <c r="A393" s="268" t="s">
        <v>11166</v>
      </c>
      <c r="B393" s="66"/>
      <c r="C393" s="66"/>
      <c r="D393" s="66"/>
      <c r="E393" s="67"/>
      <c r="F393" s="66"/>
      <c r="G393" s="66"/>
      <c r="H393" s="68"/>
      <c r="I393" s="66"/>
      <c r="J393" s="382"/>
      <c r="K393" s="383"/>
      <c r="L393" s="384"/>
      <c r="M393" s="383"/>
      <c r="N393" s="384"/>
      <c r="O393" s="55" t="str">
        <f t="shared" si="14"/>
        <v>Khối doanh nghiệp vừa.....</v>
      </c>
      <c r="P393" s="69"/>
      <c r="Q393" s="169"/>
      <c r="R393" s="169" t="str">
        <f t="shared" si="15"/>
        <v/>
      </c>
      <c r="S393" s="96"/>
      <c r="T393" s="96"/>
      <c r="U393" s="96"/>
      <c r="V393" s="96"/>
      <c r="W393" s="96"/>
      <c r="X393" s="96"/>
      <c r="Y393" s="96"/>
      <c r="Z393" s="152"/>
      <c r="AA393" s="99"/>
      <c r="AB393" s="91"/>
      <c r="AC393" s="91"/>
      <c r="AD393" s="91"/>
    </row>
    <row r="394" ht="15.75" customHeight="1" outlineLevel="1">
      <c r="A394" s="261" t="s">
        <v>10833</v>
      </c>
      <c r="B394" s="231" t="s">
        <v>77</v>
      </c>
      <c r="C394" s="231" t="s">
        <v>33</v>
      </c>
      <c r="D394" s="157" t="s">
        <v>89</v>
      </c>
      <c r="E394" s="297" t="s">
        <v>35</v>
      </c>
      <c r="F394" s="168" t="s">
        <v>11167</v>
      </c>
      <c r="G394" s="168" t="s">
        <v>27</v>
      </c>
      <c r="H394" s="262" t="s">
        <v>4</v>
      </c>
      <c r="I394" s="297" t="s">
        <v>27</v>
      </c>
      <c r="J394" s="157" t="s">
        <v>4</v>
      </c>
      <c r="K394" s="297" t="s">
        <v>27</v>
      </c>
      <c r="L394" s="157" t="s">
        <v>4</v>
      </c>
      <c r="M394" s="168" t="s">
        <v>27</v>
      </c>
      <c r="N394" s="262" t="s">
        <v>4</v>
      </c>
      <c r="O394" s="55" t="str">
        <f t="shared" si="14"/>
        <v>L2.02.03.00.00.00</v>
      </c>
      <c r="P394" s="257" t="str">
        <f t="shared" ref="P394:P533" si="16">A394&amp;"."&amp;C394&amp;"."&amp;E394&amp;"."&amp;G394&amp;"."&amp;I394&amp;"."&amp;K394&amp;"."&amp;M394</f>
        <v>L2.02.03.00.00.00.00</v>
      </c>
      <c r="Q394" s="161" t="s">
        <v>10530</v>
      </c>
      <c r="R394" s="263" t="s">
        <v>11168</v>
      </c>
      <c r="S394" s="269" t="s">
        <v>10916</v>
      </c>
      <c r="T394" s="265"/>
      <c r="U394" s="265"/>
      <c r="V394" s="265"/>
      <c r="W394" s="265"/>
      <c r="X394" s="265"/>
      <c r="Y394" s="264" t="s">
        <v>11089</v>
      </c>
      <c r="Z394" s="225" t="s">
        <v>11169</v>
      </c>
      <c r="AA394" s="266"/>
      <c r="AB394" s="267"/>
      <c r="AC394" s="267"/>
      <c r="AD394" s="267"/>
    </row>
    <row r="395" ht="15.75" customHeight="1" outlineLevel="1">
      <c r="A395" s="228" t="s">
        <v>10833</v>
      </c>
      <c r="B395" s="270" t="s">
        <v>77</v>
      </c>
      <c r="C395" s="270" t="s">
        <v>33</v>
      </c>
      <c r="D395" s="209" t="s">
        <v>89</v>
      </c>
      <c r="E395" s="271" t="s">
        <v>35</v>
      </c>
      <c r="F395" s="182" t="s">
        <v>11167</v>
      </c>
      <c r="G395" s="209" t="s">
        <v>29</v>
      </c>
      <c r="H395" s="181" t="s">
        <v>150</v>
      </c>
      <c r="I395" s="271" t="s">
        <v>27</v>
      </c>
      <c r="J395" s="209" t="s">
        <v>4</v>
      </c>
      <c r="K395" s="271" t="s">
        <v>27</v>
      </c>
      <c r="L395" s="209" t="s">
        <v>4</v>
      </c>
      <c r="M395" s="182" t="s">
        <v>27</v>
      </c>
      <c r="N395" s="212" t="s">
        <v>4</v>
      </c>
      <c r="O395" s="58" t="str">
        <f t="shared" si="14"/>
        <v>L2.02.03.01.00.00</v>
      </c>
      <c r="P395" s="272" t="str">
        <f t="shared" si="16"/>
        <v>L2.02.03.01.00.00.00</v>
      </c>
      <c r="Q395" s="185" t="s">
        <v>10530</v>
      </c>
      <c r="R395" s="273" t="str">
        <f t="shared" ref="R395:R534" si="17">if(L395&lt;&gt;"-",L395,if(AND(L395="-",J395&lt;&gt;"-"),J395,if(AND(J395="-",H395&lt;&gt;"-"),H395,"NA")))</f>
        <v>Ban Giám đốc khối DN Vừa</v>
      </c>
      <c r="S395" s="274" t="s">
        <v>11170</v>
      </c>
      <c r="T395" s="183"/>
      <c r="U395" s="183"/>
      <c r="V395" s="183"/>
      <c r="W395" s="183"/>
      <c r="X395" s="183"/>
      <c r="Y395" s="184" t="s">
        <v>11089</v>
      </c>
      <c r="Z395" s="275" t="s">
        <v>11171</v>
      </c>
      <c r="AA395" s="276"/>
      <c r="AB395" s="277"/>
      <c r="AC395" s="277"/>
      <c r="AD395" s="277"/>
    </row>
    <row r="396" ht="15.75" customHeight="1" outlineLevel="1">
      <c r="A396" s="261" t="s">
        <v>10833</v>
      </c>
      <c r="B396" s="231" t="s">
        <v>77</v>
      </c>
      <c r="C396" s="231" t="s">
        <v>33</v>
      </c>
      <c r="D396" s="157" t="s">
        <v>89</v>
      </c>
      <c r="E396" s="297" t="s">
        <v>35</v>
      </c>
      <c r="F396" s="168" t="s">
        <v>11167</v>
      </c>
      <c r="G396" s="157" t="s">
        <v>33</v>
      </c>
      <c r="H396" s="212" t="s">
        <v>11172</v>
      </c>
      <c r="I396" s="168" t="s">
        <v>27</v>
      </c>
      <c r="J396" s="258" t="s">
        <v>4</v>
      </c>
      <c r="K396" s="297" t="s">
        <v>27</v>
      </c>
      <c r="L396" s="157" t="s">
        <v>4</v>
      </c>
      <c r="M396" s="157" t="s">
        <v>29</v>
      </c>
      <c r="N396" s="167" t="s">
        <v>10498</v>
      </c>
      <c r="O396" s="55" t="str">
        <f t="shared" si="14"/>
        <v>L2.02.03.02.00.00</v>
      </c>
      <c r="P396" s="257" t="str">
        <f t="shared" si="16"/>
        <v>L2.02.03.02.00.00.01</v>
      </c>
      <c r="Q396" s="161" t="s">
        <v>10530</v>
      </c>
      <c r="R396" s="273" t="str">
        <f t="shared" si="17"/>
        <v>Trung tâm KD giải pháp DN Vừa - Hà Nội</v>
      </c>
      <c r="S396" s="269" t="s">
        <v>11170</v>
      </c>
      <c r="T396" s="264" t="s">
        <v>11173</v>
      </c>
      <c r="U396" s="265" t="s">
        <v>346</v>
      </c>
      <c r="V396" s="265" t="s">
        <v>275</v>
      </c>
      <c r="W396" s="265"/>
      <c r="X396" s="265"/>
      <c r="Y396" s="265"/>
      <c r="Z396" s="225" t="s">
        <v>11174</v>
      </c>
      <c r="AA396" s="300" t="s">
        <v>10530</v>
      </c>
      <c r="AB396" s="267"/>
      <c r="AC396" s="267"/>
      <c r="AD396" s="267"/>
    </row>
    <row r="397" ht="15.75" customHeight="1" outlineLevel="1">
      <c r="A397" s="261" t="s">
        <v>10833</v>
      </c>
      <c r="B397" s="231" t="s">
        <v>77</v>
      </c>
      <c r="C397" s="231" t="s">
        <v>33</v>
      </c>
      <c r="D397" s="157" t="s">
        <v>89</v>
      </c>
      <c r="E397" s="297" t="s">
        <v>35</v>
      </c>
      <c r="F397" s="168" t="s">
        <v>11167</v>
      </c>
      <c r="G397" s="157" t="s">
        <v>33</v>
      </c>
      <c r="H397" s="212" t="s">
        <v>11172</v>
      </c>
      <c r="I397" s="157" t="s">
        <v>29</v>
      </c>
      <c r="J397" s="257" t="s">
        <v>155</v>
      </c>
      <c r="K397" s="297" t="s">
        <v>27</v>
      </c>
      <c r="L397" s="157" t="s">
        <v>4</v>
      </c>
      <c r="M397" s="157" t="s">
        <v>29</v>
      </c>
      <c r="N397" s="167" t="s">
        <v>10498</v>
      </c>
      <c r="O397" s="55" t="str">
        <f t="shared" si="14"/>
        <v>L2.02.03.02.01.00</v>
      </c>
      <c r="P397" s="257" t="str">
        <f t="shared" si="16"/>
        <v>L2.02.03.02.01.00.01</v>
      </c>
      <c r="Q397" s="161" t="s">
        <v>10530</v>
      </c>
      <c r="R397" s="299" t="str">
        <f t="shared" si="17"/>
        <v>Ban Giám đốc</v>
      </c>
      <c r="S397" s="269" t="s">
        <v>11175</v>
      </c>
      <c r="T397" s="265" t="s">
        <v>7285</v>
      </c>
      <c r="U397" s="265" t="s">
        <v>346</v>
      </c>
      <c r="V397" s="265" t="s">
        <v>275</v>
      </c>
      <c r="W397" s="265" t="s">
        <v>155</v>
      </c>
      <c r="X397" s="265"/>
      <c r="Y397" s="265"/>
      <c r="Z397" s="225" t="s">
        <v>11176</v>
      </c>
      <c r="AA397" s="300" t="s">
        <v>10530</v>
      </c>
      <c r="AB397" s="267"/>
      <c r="AC397" s="267"/>
      <c r="AD397" s="267"/>
    </row>
    <row r="398" ht="15.75" customHeight="1" outlineLevel="1">
      <c r="A398" s="228" t="s">
        <v>10833</v>
      </c>
      <c r="B398" s="270" t="s">
        <v>77</v>
      </c>
      <c r="C398" s="270" t="s">
        <v>33</v>
      </c>
      <c r="D398" s="209" t="s">
        <v>89</v>
      </c>
      <c r="E398" s="271" t="s">
        <v>35</v>
      </c>
      <c r="F398" s="182" t="s">
        <v>11167</v>
      </c>
      <c r="G398" s="209" t="s">
        <v>33</v>
      </c>
      <c r="H398" s="212" t="s">
        <v>11172</v>
      </c>
      <c r="I398" s="228">
        <v>98.0</v>
      </c>
      <c r="J398" s="303" t="s">
        <v>156</v>
      </c>
      <c r="K398" s="271" t="s">
        <v>27</v>
      </c>
      <c r="L398" s="209" t="s">
        <v>4</v>
      </c>
      <c r="M398" s="209" t="s">
        <v>29</v>
      </c>
      <c r="N398" s="181" t="s">
        <v>10498</v>
      </c>
      <c r="O398" s="58"/>
      <c r="P398" s="272" t="str">
        <f t="shared" si="16"/>
        <v>L2.02.03.02.98.00.01</v>
      </c>
      <c r="Q398" s="185" t="s">
        <v>10530</v>
      </c>
      <c r="R398" s="299" t="str">
        <f t="shared" si="17"/>
        <v>Phòng KD Bán mới</v>
      </c>
      <c r="S398" s="274" t="str">
        <f>P396</f>
        <v>L2.02.03.02.00.00.01</v>
      </c>
      <c r="T398" s="184"/>
      <c r="U398" s="183"/>
      <c r="V398" s="183"/>
      <c r="W398" s="183"/>
      <c r="X398" s="183"/>
      <c r="Y398" s="184"/>
      <c r="Z398" s="275"/>
      <c r="AA398" s="276"/>
      <c r="AB398" s="277"/>
      <c r="AC398" s="277"/>
      <c r="AD398" s="277"/>
    </row>
    <row r="399" ht="15.75" customHeight="1" outlineLevel="1">
      <c r="A399" s="261" t="s">
        <v>10833</v>
      </c>
      <c r="B399" s="231" t="s">
        <v>77</v>
      </c>
      <c r="C399" s="231" t="s">
        <v>33</v>
      </c>
      <c r="D399" s="157" t="s">
        <v>89</v>
      </c>
      <c r="E399" s="297" t="s">
        <v>35</v>
      </c>
      <c r="F399" s="168" t="s">
        <v>11167</v>
      </c>
      <c r="G399" s="157" t="s">
        <v>33</v>
      </c>
      <c r="H399" s="212" t="s">
        <v>11172</v>
      </c>
      <c r="I399" s="157" t="s">
        <v>33</v>
      </c>
      <c r="J399" s="301" t="s">
        <v>157</v>
      </c>
      <c r="K399" s="168" t="s">
        <v>27</v>
      </c>
      <c r="L399" s="157" t="s">
        <v>4</v>
      </c>
      <c r="M399" s="157" t="s">
        <v>29</v>
      </c>
      <c r="N399" s="167" t="s">
        <v>10498</v>
      </c>
      <c r="O399" s="159" t="str">
        <f t="shared" ref="O399:O714" si="18">A399&amp;"."&amp;C399&amp;"."&amp;E399&amp;"."&amp;G399&amp;"."&amp;I399&amp;"."&amp;K399</f>
        <v>L2.02.03.02.02.00</v>
      </c>
      <c r="P399" s="257" t="str">
        <f t="shared" si="16"/>
        <v>L2.02.03.02.02.00.01</v>
      </c>
      <c r="Q399" s="160" t="s">
        <v>10530</v>
      </c>
      <c r="R399" s="299" t="str">
        <f t="shared" si="17"/>
        <v>Phòng KD Bán mới 01</v>
      </c>
      <c r="S399" s="269" t="str">
        <f>P398</f>
        <v>L2.02.03.02.98.00.01</v>
      </c>
      <c r="T399" s="264" t="s">
        <v>11674</v>
      </c>
      <c r="U399" s="265" t="s">
        <v>346</v>
      </c>
      <c r="V399" s="265" t="s">
        <v>275</v>
      </c>
      <c r="W399" s="265" t="str">
        <f>J399</f>
        <v>Phòng KD Bán mới 01</v>
      </c>
      <c r="X399" s="265"/>
      <c r="Y399" s="264"/>
      <c r="Z399" s="275" t="s">
        <v>11177</v>
      </c>
      <c r="AA399" s="266"/>
      <c r="AB399" s="267"/>
      <c r="AC399" s="267"/>
      <c r="AD399" s="267"/>
    </row>
    <row r="400" ht="15.75" customHeight="1" outlineLevel="1">
      <c r="A400" s="261" t="s">
        <v>10833</v>
      </c>
      <c r="B400" s="231" t="s">
        <v>77</v>
      </c>
      <c r="C400" s="231" t="s">
        <v>33</v>
      </c>
      <c r="D400" s="157" t="s">
        <v>89</v>
      </c>
      <c r="E400" s="297" t="s">
        <v>35</v>
      </c>
      <c r="F400" s="168" t="s">
        <v>11167</v>
      </c>
      <c r="G400" s="157" t="s">
        <v>33</v>
      </c>
      <c r="H400" s="212" t="s">
        <v>11172</v>
      </c>
      <c r="I400" s="157" t="s">
        <v>33</v>
      </c>
      <c r="J400" s="301" t="s">
        <v>157</v>
      </c>
      <c r="K400" s="168" t="s">
        <v>29</v>
      </c>
      <c r="L400" s="301" t="s">
        <v>11178</v>
      </c>
      <c r="M400" s="157" t="s">
        <v>29</v>
      </c>
      <c r="N400" s="167" t="s">
        <v>10498</v>
      </c>
      <c r="O400" s="159" t="str">
        <f t="shared" si="18"/>
        <v>L2.02.03.02.02.01</v>
      </c>
      <c r="P400" s="257" t="str">
        <f t="shared" si="16"/>
        <v>L2.02.03.02.02.01.01</v>
      </c>
      <c r="Q400" s="160" t="s">
        <v>10530</v>
      </c>
      <c r="R400" s="299" t="str">
        <f t="shared" si="17"/>
        <v>Nhóm Quản lý 01</v>
      </c>
      <c r="S400" s="269" t="s">
        <v>11179</v>
      </c>
      <c r="T400" s="265"/>
      <c r="U400" s="265"/>
      <c r="V400" s="265"/>
      <c r="W400" s="265"/>
      <c r="X400" s="265"/>
      <c r="Y400" s="264"/>
      <c r="Z400" s="275" t="s">
        <v>11180</v>
      </c>
      <c r="AA400" s="266"/>
      <c r="AB400" s="267"/>
      <c r="AC400" s="267"/>
      <c r="AD400" s="267"/>
    </row>
    <row r="401" ht="15.75" customHeight="1" outlineLevel="1">
      <c r="A401" s="261" t="s">
        <v>10833</v>
      </c>
      <c r="B401" s="231" t="s">
        <v>77</v>
      </c>
      <c r="C401" s="231" t="s">
        <v>33</v>
      </c>
      <c r="D401" s="157" t="s">
        <v>89</v>
      </c>
      <c r="E401" s="297" t="s">
        <v>35</v>
      </c>
      <c r="F401" s="168" t="s">
        <v>11167</v>
      </c>
      <c r="G401" s="157" t="s">
        <v>33</v>
      </c>
      <c r="H401" s="212" t="s">
        <v>11172</v>
      </c>
      <c r="I401" s="157" t="s">
        <v>33</v>
      </c>
      <c r="J401" s="301" t="s">
        <v>157</v>
      </c>
      <c r="K401" s="261" t="s">
        <v>33</v>
      </c>
      <c r="L401" s="301" t="s">
        <v>11181</v>
      </c>
      <c r="M401" s="157" t="s">
        <v>29</v>
      </c>
      <c r="N401" s="167" t="s">
        <v>10498</v>
      </c>
      <c r="O401" s="159" t="str">
        <f t="shared" si="18"/>
        <v>L2.02.03.02.02.02</v>
      </c>
      <c r="P401" s="257" t="str">
        <f t="shared" si="16"/>
        <v>L2.02.03.02.02.02.01</v>
      </c>
      <c r="Q401" s="160" t="s">
        <v>10530</v>
      </c>
      <c r="R401" s="299" t="str">
        <f t="shared" si="17"/>
        <v>Nhóm KD MISA AMIS Kế toán 01</v>
      </c>
      <c r="S401" s="269" t="s">
        <v>11179</v>
      </c>
      <c r="T401" s="265"/>
      <c r="U401" s="265"/>
      <c r="V401" s="265"/>
      <c r="W401" s="265"/>
      <c r="X401" s="265"/>
      <c r="Y401" s="264"/>
      <c r="Z401" s="275" t="s">
        <v>11182</v>
      </c>
      <c r="AA401" s="266"/>
      <c r="AB401" s="267"/>
      <c r="AC401" s="267"/>
      <c r="AD401" s="267"/>
    </row>
    <row r="402" ht="15.75" customHeight="1" outlineLevel="1">
      <c r="A402" s="261" t="s">
        <v>10833</v>
      </c>
      <c r="B402" s="231" t="s">
        <v>77</v>
      </c>
      <c r="C402" s="231" t="s">
        <v>33</v>
      </c>
      <c r="D402" s="157" t="s">
        <v>89</v>
      </c>
      <c r="E402" s="297" t="s">
        <v>35</v>
      </c>
      <c r="F402" s="168" t="s">
        <v>11167</v>
      </c>
      <c r="G402" s="157" t="s">
        <v>33</v>
      </c>
      <c r="H402" s="212" t="s">
        <v>11172</v>
      </c>
      <c r="I402" s="157" t="s">
        <v>33</v>
      </c>
      <c r="J402" s="301" t="s">
        <v>157</v>
      </c>
      <c r="K402" s="261" t="s">
        <v>35</v>
      </c>
      <c r="L402" s="301" t="s">
        <v>11183</v>
      </c>
      <c r="M402" s="157" t="s">
        <v>29</v>
      </c>
      <c r="N402" s="167" t="s">
        <v>10498</v>
      </c>
      <c r="O402" s="159" t="str">
        <f t="shared" si="18"/>
        <v>L2.02.03.02.02.03</v>
      </c>
      <c r="P402" s="257" t="str">
        <f t="shared" si="16"/>
        <v>L2.02.03.02.02.03.01</v>
      </c>
      <c r="Q402" s="160" t="s">
        <v>10530</v>
      </c>
      <c r="R402" s="299" t="str">
        <f t="shared" si="17"/>
        <v>Nhóm KD MISA AMIS Điều hành 01</v>
      </c>
      <c r="S402" s="269" t="s">
        <v>11179</v>
      </c>
      <c r="T402" s="265"/>
      <c r="U402" s="265"/>
      <c r="V402" s="265"/>
      <c r="W402" s="265"/>
      <c r="X402" s="265"/>
      <c r="Y402" s="264"/>
      <c r="Z402" s="275" t="s">
        <v>11184</v>
      </c>
      <c r="AA402" s="266"/>
      <c r="AB402" s="267"/>
      <c r="AC402" s="267"/>
      <c r="AD402" s="267"/>
    </row>
    <row r="403" ht="15.75" customHeight="1" outlineLevel="1">
      <c r="A403" s="385" t="s">
        <v>10833</v>
      </c>
      <c r="B403" s="386" t="s">
        <v>77</v>
      </c>
      <c r="C403" s="386" t="s">
        <v>33</v>
      </c>
      <c r="D403" s="387" t="s">
        <v>89</v>
      </c>
      <c r="E403" s="388" t="s">
        <v>35</v>
      </c>
      <c r="F403" s="389" t="s">
        <v>11167</v>
      </c>
      <c r="G403" s="387" t="s">
        <v>33</v>
      </c>
      <c r="H403" s="390" t="s">
        <v>11172</v>
      </c>
      <c r="I403" s="387" t="s">
        <v>33</v>
      </c>
      <c r="J403" s="391" t="s">
        <v>157</v>
      </c>
      <c r="K403" s="261" t="s">
        <v>37</v>
      </c>
      <c r="L403" s="392" t="s">
        <v>11185</v>
      </c>
      <c r="M403" s="387" t="s">
        <v>29</v>
      </c>
      <c r="N403" s="391" t="s">
        <v>10498</v>
      </c>
      <c r="O403" s="391" t="str">
        <f t="shared" si="18"/>
        <v>L2.02.03.02.02.04</v>
      </c>
      <c r="P403" s="391" t="str">
        <f t="shared" si="16"/>
        <v>L2.02.03.02.02.04.01</v>
      </c>
      <c r="Q403" s="393" t="s">
        <v>10530</v>
      </c>
      <c r="R403" s="394" t="str">
        <f t="shared" si="17"/>
        <v>Nhóm KD MISA AMIS Nhân sự 01</v>
      </c>
      <c r="S403" s="395" t="s">
        <v>11179</v>
      </c>
      <c r="T403" s="396"/>
      <c r="U403" s="396"/>
      <c r="V403" s="396"/>
      <c r="W403" s="396"/>
      <c r="X403" s="396"/>
      <c r="Y403" s="397"/>
      <c r="Z403" s="275" t="s">
        <v>11186</v>
      </c>
      <c r="AA403" s="398"/>
      <c r="AB403" s="399"/>
      <c r="AC403" s="399"/>
      <c r="AD403" s="399"/>
    </row>
    <row r="404" ht="15.75" customHeight="1" outlineLevel="1">
      <c r="A404" s="385" t="s">
        <v>10833</v>
      </c>
      <c r="B404" s="386" t="s">
        <v>77</v>
      </c>
      <c r="C404" s="386" t="s">
        <v>33</v>
      </c>
      <c r="D404" s="387" t="s">
        <v>89</v>
      </c>
      <c r="E404" s="388" t="s">
        <v>35</v>
      </c>
      <c r="F404" s="389" t="s">
        <v>11167</v>
      </c>
      <c r="G404" s="387" t="s">
        <v>33</v>
      </c>
      <c r="H404" s="390" t="s">
        <v>11172</v>
      </c>
      <c r="I404" s="387" t="s">
        <v>33</v>
      </c>
      <c r="J404" s="391" t="s">
        <v>157</v>
      </c>
      <c r="K404" s="261" t="s">
        <v>42</v>
      </c>
      <c r="L404" s="392" t="s">
        <v>11187</v>
      </c>
      <c r="M404" s="387" t="s">
        <v>29</v>
      </c>
      <c r="N404" s="391" t="s">
        <v>10498</v>
      </c>
      <c r="O404" s="391" t="str">
        <f t="shared" si="18"/>
        <v>L2.02.03.02.02.05</v>
      </c>
      <c r="P404" s="391" t="str">
        <f t="shared" si="16"/>
        <v>L2.02.03.02.02.05.01</v>
      </c>
      <c r="Q404" s="393" t="s">
        <v>10530</v>
      </c>
      <c r="R404" s="394" t="str">
        <f t="shared" si="17"/>
        <v>Nhóm KD MISA AMIS Bán hàng 01</v>
      </c>
      <c r="S404" s="395" t="s">
        <v>11179</v>
      </c>
      <c r="T404" s="396"/>
      <c r="U404" s="396"/>
      <c r="V404" s="396"/>
      <c r="W404" s="396"/>
      <c r="X404" s="396"/>
      <c r="Y404" s="397"/>
      <c r="Z404" s="275" t="s">
        <v>11188</v>
      </c>
      <c r="AA404" s="398"/>
      <c r="AB404" s="399"/>
      <c r="AC404" s="399"/>
      <c r="AD404" s="399"/>
    </row>
    <row r="405" ht="15.75" customHeight="1" outlineLevel="1">
      <c r="A405" s="228" t="s">
        <v>10833</v>
      </c>
      <c r="B405" s="270" t="s">
        <v>77</v>
      </c>
      <c r="C405" s="270" t="s">
        <v>33</v>
      </c>
      <c r="D405" s="209" t="s">
        <v>89</v>
      </c>
      <c r="E405" s="271" t="s">
        <v>35</v>
      </c>
      <c r="F405" s="182" t="s">
        <v>11167</v>
      </c>
      <c r="G405" s="209" t="s">
        <v>33</v>
      </c>
      <c r="H405" s="212" t="s">
        <v>11172</v>
      </c>
      <c r="I405" s="182" t="s">
        <v>46</v>
      </c>
      <c r="J405" s="303" t="s">
        <v>158</v>
      </c>
      <c r="K405" s="182" t="s">
        <v>27</v>
      </c>
      <c r="L405" s="209" t="s">
        <v>4</v>
      </c>
      <c r="M405" s="209" t="s">
        <v>29</v>
      </c>
      <c r="N405" s="181" t="s">
        <v>10498</v>
      </c>
      <c r="O405" s="58" t="str">
        <f t="shared" si="18"/>
        <v>L2.02.03.02.07.00</v>
      </c>
      <c r="P405" s="272" t="str">
        <f t="shared" si="16"/>
        <v>L2.02.03.02.07.00.01</v>
      </c>
      <c r="Q405" s="185" t="s">
        <v>10530</v>
      </c>
      <c r="R405" s="273" t="str">
        <f t="shared" si="17"/>
        <v>Phòng KD Bán mới 02</v>
      </c>
      <c r="S405" s="274" t="str">
        <f>P398</f>
        <v>L2.02.03.02.98.00.01</v>
      </c>
      <c r="T405" s="264" t="s">
        <v>11681</v>
      </c>
      <c r="U405" s="265" t="s">
        <v>346</v>
      </c>
      <c r="V405" s="265" t="s">
        <v>275</v>
      </c>
      <c r="W405" s="265" t="str">
        <f>J405</f>
        <v>Phòng KD Bán mới 02</v>
      </c>
      <c r="X405" s="183"/>
      <c r="Y405" s="184"/>
      <c r="Z405" s="275" t="s">
        <v>11189</v>
      </c>
      <c r="AA405" s="276"/>
      <c r="AB405" s="277"/>
      <c r="AC405" s="277"/>
      <c r="AD405" s="277"/>
    </row>
    <row r="406" ht="15.75" customHeight="1" outlineLevel="1">
      <c r="A406" s="228" t="s">
        <v>10833</v>
      </c>
      <c r="B406" s="270" t="s">
        <v>77</v>
      </c>
      <c r="C406" s="270" t="s">
        <v>33</v>
      </c>
      <c r="D406" s="209" t="s">
        <v>89</v>
      </c>
      <c r="E406" s="271" t="s">
        <v>35</v>
      </c>
      <c r="F406" s="182" t="s">
        <v>11167</v>
      </c>
      <c r="G406" s="209" t="s">
        <v>33</v>
      </c>
      <c r="H406" s="212" t="s">
        <v>11172</v>
      </c>
      <c r="I406" s="182" t="s">
        <v>46</v>
      </c>
      <c r="J406" s="303" t="s">
        <v>158</v>
      </c>
      <c r="K406" s="182" t="s">
        <v>29</v>
      </c>
      <c r="L406" s="303" t="s">
        <v>11190</v>
      </c>
      <c r="M406" s="209" t="s">
        <v>29</v>
      </c>
      <c r="N406" s="181" t="s">
        <v>10498</v>
      </c>
      <c r="O406" s="58" t="str">
        <f t="shared" si="18"/>
        <v>L2.02.03.02.07.01</v>
      </c>
      <c r="P406" s="272" t="str">
        <f t="shared" si="16"/>
        <v>L2.02.03.02.07.01.01</v>
      </c>
      <c r="Q406" s="185" t="s">
        <v>10530</v>
      </c>
      <c r="R406" s="273" t="str">
        <f t="shared" si="17"/>
        <v>Nhóm Quản lý 02</v>
      </c>
      <c r="S406" s="274" t="str">
        <f>P405</f>
        <v>L2.02.03.02.07.00.01</v>
      </c>
      <c r="T406" s="183"/>
      <c r="U406" s="183"/>
      <c r="V406" s="183"/>
      <c r="W406" s="183"/>
      <c r="X406" s="183"/>
      <c r="Y406" s="184"/>
      <c r="Z406" s="275" t="s">
        <v>11191</v>
      </c>
      <c r="AA406" s="276"/>
      <c r="AB406" s="277"/>
      <c r="AC406" s="277"/>
      <c r="AD406" s="277"/>
    </row>
    <row r="407" ht="15.75" customHeight="1" outlineLevel="1">
      <c r="A407" s="228" t="s">
        <v>10833</v>
      </c>
      <c r="B407" s="270" t="s">
        <v>77</v>
      </c>
      <c r="C407" s="270" t="s">
        <v>33</v>
      </c>
      <c r="D407" s="209" t="s">
        <v>89</v>
      </c>
      <c r="E407" s="271" t="s">
        <v>35</v>
      </c>
      <c r="F407" s="182" t="s">
        <v>11167</v>
      </c>
      <c r="G407" s="209" t="s">
        <v>33</v>
      </c>
      <c r="H407" s="212" t="s">
        <v>11172</v>
      </c>
      <c r="I407" s="182" t="s">
        <v>46</v>
      </c>
      <c r="J407" s="303" t="s">
        <v>158</v>
      </c>
      <c r="K407" s="228" t="s">
        <v>33</v>
      </c>
      <c r="L407" s="303" t="s">
        <v>11192</v>
      </c>
      <c r="M407" s="209" t="s">
        <v>29</v>
      </c>
      <c r="N407" s="181" t="s">
        <v>10498</v>
      </c>
      <c r="O407" s="58" t="str">
        <f t="shared" si="18"/>
        <v>L2.02.03.02.07.02</v>
      </c>
      <c r="P407" s="272" t="str">
        <f t="shared" si="16"/>
        <v>L2.02.03.02.07.02.01</v>
      </c>
      <c r="Q407" s="185" t="s">
        <v>10530</v>
      </c>
      <c r="R407" s="273" t="str">
        <f t="shared" si="17"/>
        <v>Nhóm KD MISA AMIS Kế toán 02</v>
      </c>
      <c r="S407" s="274" t="str">
        <f>P405</f>
        <v>L2.02.03.02.07.00.01</v>
      </c>
      <c r="T407" s="183"/>
      <c r="U407" s="183"/>
      <c r="V407" s="183"/>
      <c r="W407" s="183"/>
      <c r="X407" s="183"/>
      <c r="Y407" s="184"/>
      <c r="Z407" s="275" t="s">
        <v>11193</v>
      </c>
      <c r="AA407" s="276"/>
      <c r="AB407" s="277"/>
      <c r="AC407" s="277"/>
      <c r="AD407" s="277"/>
    </row>
    <row r="408" ht="15.75" customHeight="1" outlineLevel="1">
      <c r="A408" s="228" t="s">
        <v>10833</v>
      </c>
      <c r="B408" s="270" t="s">
        <v>77</v>
      </c>
      <c r="C408" s="270" t="s">
        <v>33</v>
      </c>
      <c r="D408" s="209" t="s">
        <v>89</v>
      </c>
      <c r="E408" s="271" t="s">
        <v>35</v>
      </c>
      <c r="F408" s="182" t="s">
        <v>11167</v>
      </c>
      <c r="G408" s="209" t="s">
        <v>33</v>
      </c>
      <c r="H408" s="212" t="s">
        <v>11172</v>
      </c>
      <c r="I408" s="182" t="s">
        <v>46</v>
      </c>
      <c r="J408" s="303" t="s">
        <v>158</v>
      </c>
      <c r="K408" s="228" t="s">
        <v>35</v>
      </c>
      <c r="L408" s="303" t="s">
        <v>11194</v>
      </c>
      <c r="M408" s="209" t="s">
        <v>29</v>
      </c>
      <c r="N408" s="181" t="s">
        <v>10498</v>
      </c>
      <c r="O408" s="58" t="str">
        <f t="shared" si="18"/>
        <v>L2.02.03.02.07.03</v>
      </c>
      <c r="P408" s="272" t="str">
        <f t="shared" si="16"/>
        <v>L2.02.03.02.07.03.01</v>
      </c>
      <c r="Q408" s="185" t="s">
        <v>10530</v>
      </c>
      <c r="R408" s="273" t="str">
        <f t="shared" si="17"/>
        <v>Nhóm KD MISA AMIS Điều hành 02</v>
      </c>
      <c r="S408" s="274" t="str">
        <f>P405</f>
        <v>L2.02.03.02.07.00.01</v>
      </c>
      <c r="T408" s="183"/>
      <c r="U408" s="183"/>
      <c r="V408" s="183"/>
      <c r="W408" s="183"/>
      <c r="X408" s="183"/>
      <c r="Y408" s="184"/>
      <c r="Z408" s="275" t="s">
        <v>11195</v>
      </c>
      <c r="AA408" s="276"/>
      <c r="AB408" s="277"/>
      <c r="AC408" s="277"/>
      <c r="AD408" s="277"/>
    </row>
    <row r="409" ht="15.75" customHeight="1" outlineLevel="1">
      <c r="A409" s="400" t="s">
        <v>10833</v>
      </c>
      <c r="B409" s="401" t="s">
        <v>77</v>
      </c>
      <c r="C409" s="401" t="s">
        <v>33</v>
      </c>
      <c r="D409" s="402" t="s">
        <v>89</v>
      </c>
      <c r="E409" s="403" t="s">
        <v>35</v>
      </c>
      <c r="F409" s="404" t="s">
        <v>11167</v>
      </c>
      <c r="G409" s="402" t="s">
        <v>33</v>
      </c>
      <c r="H409" s="390" t="s">
        <v>11172</v>
      </c>
      <c r="I409" s="182" t="s">
        <v>46</v>
      </c>
      <c r="J409" s="303" t="s">
        <v>158</v>
      </c>
      <c r="K409" s="228" t="s">
        <v>37</v>
      </c>
      <c r="L409" s="390" t="s">
        <v>11196</v>
      </c>
      <c r="M409" s="402" t="s">
        <v>29</v>
      </c>
      <c r="N409" s="405" t="s">
        <v>10498</v>
      </c>
      <c r="O409" s="405" t="str">
        <f t="shared" si="18"/>
        <v>L2.02.03.02.07.04</v>
      </c>
      <c r="P409" s="405" t="str">
        <f t="shared" si="16"/>
        <v>L2.02.03.02.07.04.01</v>
      </c>
      <c r="Q409" s="406" t="s">
        <v>10530</v>
      </c>
      <c r="R409" s="407" t="str">
        <f t="shared" si="17"/>
        <v>Nhóm KD MISA AMIS Nhân sự 02</v>
      </c>
      <c r="S409" s="408" t="str">
        <f>P405</f>
        <v>L2.02.03.02.07.00.01</v>
      </c>
      <c r="T409" s="409"/>
      <c r="U409" s="409"/>
      <c r="V409" s="409"/>
      <c r="W409" s="409"/>
      <c r="X409" s="409"/>
      <c r="Y409" s="410"/>
      <c r="Z409" s="411" t="s">
        <v>11197</v>
      </c>
      <c r="AA409" s="412"/>
      <c r="AB409" s="413"/>
      <c r="AC409" s="413"/>
      <c r="AD409" s="413"/>
    </row>
    <row r="410" ht="15.75" customHeight="1" outlineLevel="1">
      <c r="A410" s="400" t="s">
        <v>10833</v>
      </c>
      <c r="B410" s="401" t="s">
        <v>77</v>
      </c>
      <c r="C410" s="401" t="s">
        <v>33</v>
      </c>
      <c r="D410" s="402" t="s">
        <v>89</v>
      </c>
      <c r="E410" s="403" t="s">
        <v>35</v>
      </c>
      <c r="F410" s="404" t="s">
        <v>11167</v>
      </c>
      <c r="G410" s="402" t="s">
        <v>33</v>
      </c>
      <c r="H410" s="390" t="s">
        <v>11172</v>
      </c>
      <c r="I410" s="182" t="s">
        <v>46</v>
      </c>
      <c r="J410" s="303" t="s">
        <v>158</v>
      </c>
      <c r="K410" s="228" t="s">
        <v>42</v>
      </c>
      <c r="L410" s="390" t="s">
        <v>11198</v>
      </c>
      <c r="M410" s="402" t="s">
        <v>29</v>
      </c>
      <c r="N410" s="405" t="s">
        <v>10498</v>
      </c>
      <c r="O410" s="405" t="str">
        <f t="shared" si="18"/>
        <v>L2.02.03.02.07.05</v>
      </c>
      <c r="P410" s="405" t="str">
        <f t="shared" si="16"/>
        <v>L2.02.03.02.07.05.01</v>
      </c>
      <c r="Q410" s="406" t="s">
        <v>10530</v>
      </c>
      <c r="R410" s="407" t="str">
        <f t="shared" si="17"/>
        <v>Nhóm KD MISA AMIS Bán hàng 02</v>
      </c>
      <c r="S410" s="408" t="str">
        <f>P405</f>
        <v>L2.02.03.02.07.00.01</v>
      </c>
      <c r="T410" s="409"/>
      <c r="U410" s="409"/>
      <c r="V410" s="409"/>
      <c r="W410" s="409"/>
      <c r="X410" s="409"/>
      <c r="Y410" s="410"/>
      <c r="Z410" s="411" t="s">
        <v>11199</v>
      </c>
      <c r="AA410" s="412"/>
      <c r="AB410" s="413"/>
      <c r="AC410" s="413"/>
      <c r="AD410" s="413"/>
    </row>
    <row r="411" ht="15.75" customHeight="1" outlineLevel="1">
      <c r="A411" s="228" t="s">
        <v>10833</v>
      </c>
      <c r="B411" s="270" t="s">
        <v>77</v>
      </c>
      <c r="C411" s="270" t="s">
        <v>33</v>
      </c>
      <c r="D411" s="209" t="s">
        <v>89</v>
      </c>
      <c r="E411" s="271" t="s">
        <v>35</v>
      </c>
      <c r="F411" s="182" t="s">
        <v>11167</v>
      </c>
      <c r="G411" s="209" t="s">
        <v>33</v>
      </c>
      <c r="H411" s="212" t="s">
        <v>11172</v>
      </c>
      <c r="I411" s="182" t="s">
        <v>49</v>
      </c>
      <c r="J411" s="303" t="s">
        <v>11200</v>
      </c>
      <c r="K411" s="182" t="s">
        <v>27</v>
      </c>
      <c r="L411" s="209" t="s">
        <v>4</v>
      </c>
      <c r="M411" s="209" t="s">
        <v>29</v>
      </c>
      <c r="N411" s="181" t="s">
        <v>10498</v>
      </c>
      <c r="O411" s="58" t="str">
        <f t="shared" si="18"/>
        <v>L2.02.03.02.08.00</v>
      </c>
      <c r="P411" s="272" t="str">
        <f t="shared" si="16"/>
        <v>L2.02.03.02.08.00.01</v>
      </c>
      <c r="Q411" s="185" t="s">
        <v>10530</v>
      </c>
      <c r="R411" s="273" t="str">
        <f t="shared" si="17"/>
        <v>Phòng KD Bán mới 03</v>
      </c>
      <c r="S411" s="274" t="str">
        <f>P398</f>
        <v>L2.02.03.02.98.00.01</v>
      </c>
      <c r="T411" s="264" t="s">
        <v>11688</v>
      </c>
      <c r="U411" s="265" t="s">
        <v>346</v>
      </c>
      <c r="V411" s="265" t="s">
        <v>275</v>
      </c>
      <c r="W411" s="265" t="str">
        <f>J411</f>
        <v>Phòng KD Bán mới 03</v>
      </c>
      <c r="X411" s="183"/>
      <c r="Y411" s="184"/>
      <c r="Z411" s="275" t="s">
        <v>11201</v>
      </c>
      <c r="AA411" s="276"/>
      <c r="AB411" s="277"/>
      <c r="AC411" s="277"/>
      <c r="AD411" s="277"/>
    </row>
    <row r="412" ht="15.75" customHeight="1" outlineLevel="1">
      <c r="A412" s="228" t="s">
        <v>10833</v>
      </c>
      <c r="B412" s="270" t="s">
        <v>77</v>
      </c>
      <c r="C412" s="270" t="s">
        <v>33</v>
      </c>
      <c r="D412" s="209" t="s">
        <v>89</v>
      </c>
      <c r="E412" s="271" t="s">
        <v>35</v>
      </c>
      <c r="F412" s="182" t="s">
        <v>11167</v>
      </c>
      <c r="G412" s="209" t="s">
        <v>33</v>
      </c>
      <c r="H412" s="212" t="s">
        <v>11172</v>
      </c>
      <c r="I412" s="182" t="s">
        <v>49</v>
      </c>
      <c r="J412" s="303" t="s">
        <v>11200</v>
      </c>
      <c r="K412" s="182" t="s">
        <v>29</v>
      </c>
      <c r="L412" s="303" t="s">
        <v>11202</v>
      </c>
      <c r="M412" s="209" t="s">
        <v>29</v>
      </c>
      <c r="N412" s="181" t="s">
        <v>10498</v>
      </c>
      <c r="O412" s="58" t="str">
        <f t="shared" si="18"/>
        <v>L2.02.03.02.08.01</v>
      </c>
      <c r="P412" s="272" t="str">
        <f t="shared" si="16"/>
        <v>L2.02.03.02.08.01.01</v>
      </c>
      <c r="Q412" s="185" t="s">
        <v>10530</v>
      </c>
      <c r="R412" s="273" t="str">
        <f t="shared" si="17"/>
        <v>Nhóm Quản lý 03</v>
      </c>
      <c r="S412" s="274" t="str">
        <f>P411</f>
        <v>L2.02.03.02.08.00.01</v>
      </c>
      <c r="T412" s="183"/>
      <c r="U412" s="183"/>
      <c r="V412" s="183"/>
      <c r="W412" s="183"/>
      <c r="X412" s="183"/>
      <c r="Y412" s="184"/>
      <c r="Z412" s="275" t="s">
        <v>11203</v>
      </c>
      <c r="AA412" s="276"/>
      <c r="AB412" s="277"/>
      <c r="AC412" s="277"/>
      <c r="AD412" s="277"/>
    </row>
    <row r="413" ht="15.75" customHeight="1" outlineLevel="1">
      <c r="A413" s="228" t="s">
        <v>10833</v>
      </c>
      <c r="B413" s="270" t="s">
        <v>77</v>
      </c>
      <c r="C413" s="270" t="s">
        <v>33</v>
      </c>
      <c r="D413" s="209" t="s">
        <v>89</v>
      </c>
      <c r="E413" s="271" t="s">
        <v>35</v>
      </c>
      <c r="F413" s="182" t="s">
        <v>11167</v>
      </c>
      <c r="G413" s="209" t="s">
        <v>33</v>
      </c>
      <c r="H413" s="212" t="s">
        <v>11172</v>
      </c>
      <c r="I413" s="182" t="s">
        <v>49</v>
      </c>
      <c r="J413" s="303" t="s">
        <v>11200</v>
      </c>
      <c r="K413" s="228" t="s">
        <v>33</v>
      </c>
      <c r="L413" s="303" t="s">
        <v>11204</v>
      </c>
      <c r="M413" s="209" t="s">
        <v>29</v>
      </c>
      <c r="N413" s="181" t="s">
        <v>10498</v>
      </c>
      <c r="O413" s="58" t="str">
        <f t="shared" si="18"/>
        <v>L2.02.03.02.08.02</v>
      </c>
      <c r="P413" s="272" t="str">
        <f t="shared" si="16"/>
        <v>L2.02.03.02.08.02.01</v>
      </c>
      <c r="Q413" s="185" t="s">
        <v>10530</v>
      </c>
      <c r="R413" s="273" t="str">
        <f t="shared" si="17"/>
        <v>Nhóm KD MISA AMIS Kế toán 03</v>
      </c>
      <c r="S413" s="274" t="str">
        <f>P411</f>
        <v>L2.02.03.02.08.00.01</v>
      </c>
      <c r="T413" s="183"/>
      <c r="U413" s="183"/>
      <c r="V413" s="183"/>
      <c r="W413" s="183"/>
      <c r="X413" s="183"/>
      <c r="Y413" s="184"/>
      <c r="Z413" s="275" t="s">
        <v>11205</v>
      </c>
      <c r="AA413" s="276"/>
      <c r="AB413" s="277"/>
      <c r="AC413" s="277"/>
      <c r="AD413" s="277"/>
    </row>
    <row r="414" ht="15.75" customHeight="1" outlineLevel="1">
      <c r="A414" s="228" t="s">
        <v>10833</v>
      </c>
      <c r="B414" s="270" t="s">
        <v>77</v>
      </c>
      <c r="C414" s="270" t="s">
        <v>33</v>
      </c>
      <c r="D414" s="209" t="s">
        <v>89</v>
      </c>
      <c r="E414" s="271" t="s">
        <v>35</v>
      </c>
      <c r="F414" s="182" t="s">
        <v>11167</v>
      </c>
      <c r="G414" s="209" t="s">
        <v>33</v>
      </c>
      <c r="H414" s="212" t="s">
        <v>11172</v>
      </c>
      <c r="I414" s="182" t="s">
        <v>49</v>
      </c>
      <c r="J414" s="303" t="s">
        <v>11200</v>
      </c>
      <c r="K414" s="228" t="s">
        <v>35</v>
      </c>
      <c r="L414" s="303" t="s">
        <v>11206</v>
      </c>
      <c r="M414" s="209" t="s">
        <v>29</v>
      </c>
      <c r="N414" s="181" t="s">
        <v>10498</v>
      </c>
      <c r="O414" s="58" t="str">
        <f t="shared" si="18"/>
        <v>L2.02.03.02.08.03</v>
      </c>
      <c r="P414" s="272" t="str">
        <f t="shared" si="16"/>
        <v>L2.02.03.02.08.03.01</v>
      </c>
      <c r="Q414" s="185" t="s">
        <v>10530</v>
      </c>
      <c r="R414" s="273" t="str">
        <f t="shared" si="17"/>
        <v>Nhóm KD MISA AMIS Điều hành 03</v>
      </c>
      <c r="S414" s="274" t="str">
        <f>P411</f>
        <v>L2.02.03.02.08.00.01</v>
      </c>
      <c r="T414" s="183"/>
      <c r="U414" s="183"/>
      <c r="V414" s="183"/>
      <c r="W414" s="183"/>
      <c r="X414" s="183"/>
      <c r="Y414" s="184"/>
      <c r="Z414" s="275" t="s">
        <v>11207</v>
      </c>
      <c r="AA414" s="276"/>
      <c r="AB414" s="277"/>
      <c r="AC414" s="277"/>
      <c r="AD414" s="277"/>
    </row>
    <row r="415" ht="15.75" customHeight="1" outlineLevel="1">
      <c r="A415" s="400" t="s">
        <v>10833</v>
      </c>
      <c r="B415" s="401" t="s">
        <v>77</v>
      </c>
      <c r="C415" s="401" t="s">
        <v>33</v>
      </c>
      <c r="D415" s="402" t="s">
        <v>89</v>
      </c>
      <c r="E415" s="403" t="s">
        <v>35</v>
      </c>
      <c r="F415" s="404" t="s">
        <v>11167</v>
      </c>
      <c r="G415" s="402" t="s">
        <v>33</v>
      </c>
      <c r="H415" s="390" t="s">
        <v>11172</v>
      </c>
      <c r="I415" s="182" t="s">
        <v>49</v>
      </c>
      <c r="J415" s="303" t="s">
        <v>11200</v>
      </c>
      <c r="K415" s="228" t="s">
        <v>37</v>
      </c>
      <c r="L415" s="390" t="s">
        <v>11208</v>
      </c>
      <c r="M415" s="402" t="s">
        <v>29</v>
      </c>
      <c r="N415" s="405" t="s">
        <v>10498</v>
      </c>
      <c r="O415" s="405" t="str">
        <f t="shared" si="18"/>
        <v>L2.02.03.02.08.04</v>
      </c>
      <c r="P415" s="405" t="str">
        <f t="shared" si="16"/>
        <v>L2.02.03.02.08.04.01</v>
      </c>
      <c r="Q415" s="406" t="s">
        <v>10530</v>
      </c>
      <c r="R415" s="407" t="str">
        <f t="shared" si="17"/>
        <v>Nhóm KD MISA AMIS Nhân sự 03</v>
      </c>
      <c r="S415" s="408" t="str">
        <f>P411</f>
        <v>L2.02.03.02.08.00.01</v>
      </c>
      <c r="T415" s="409"/>
      <c r="U415" s="409"/>
      <c r="V415" s="409"/>
      <c r="W415" s="409"/>
      <c r="X415" s="409"/>
      <c r="Y415" s="410"/>
      <c r="Z415" s="411" t="s">
        <v>11209</v>
      </c>
      <c r="AA415" s="412"/>
      <c r="AB415" s="413"/>
      <c r="AC415" s="413"/>
      <c r="AD415" s="413"/>
    </row>
    <row r="416" ht="15.75" customHeight="1" outlineLevel="1">
      <c r="A416" s="400" t="s">
        <v>10833</v>
      </c>
      <c r="B416" s="401" t="s">
        <v>77</v>
      </c>
      <c r="C416" s="401" t="s">
        <v>33</v>
      </c>
      <c r="D416" s="402" t="s">
        <v>89</v>
      </c>
      <c r="E416" s="403" t="s">
        <v>35</v>
      </c>
      <c r="F416" s="404" t="s">
        <v>11167</v>
      </c>
      <c r="G416" s="402" t="s">
        <v>33</v>
      </c>
      <c r="H416" s="390" t="s">
        <v>11172</v>
      </c>
      <c r="I416" s="182" t="s">
        <v>49</v>
      </c>
      <c r="J416" s="303" t="s">
        <v>11200</v>
      </c>
      <c r="K416" s="228" t="s">
        <v>42</v>
      </c>
      <c r="L416" s="390" t="s">
        <v>11210</v>
      </c>
      <c r="M416" s="402" t="s">
        <v>29</v>
      </c>
      <c r="N416" s="405" t="s">
        <v>10498</v>
      </c>
      <c r="O416" s="405" t="str">
        <f t="shared" si="18"/>
        <v>L2.02.03.02.08.05</v>
      </c>
      <c r="P416" s="405" t="str">
        <f t="shared" si="16"/>
        <v>L2.02.03.02.08.05.01</v>
      </c>
      <c r="Q416" s="406" t="s">
        <v>10530</v>
      </c>
      <c r="R416" s="407" t="str">
        <f t="shared" si="17"/>
        <v>Nhóm KD MISA AMIS Bán hàng 03</v>
      </c>
      <c r="S416" s="408" t="str">
        <f>P411</f>
        <v>L2.02.03.02.08.00.01</v>
      </c>
      <c r="T416" s="409"/>
      <c r="U416" s="409"/>
      <c r="V416" s="409"/>
      <c r="W416" s="409"/>
      <c r="X416" s="409"/>
      <c r="Y416" s="410"/>
      <c r="Z416" s="411" t="s">
        <v>11211</v>
      </c>
      <c r="AA416" s="412"/>
      <c r="AB416" s="413"/>
      <c r="AC416" s="413"/>
      <c r="AD416" s="413"/>
    </row>
    <row r="417" ht="15.75" customHeight="1" outlineLevel="1">
      <c r="A417" s="228" t="s">
        <v>10833</v>
      </c>
      <c r="B417" s="270" t="s">
        <v>77</v>
      </c>
      <c r="C417" s="270" t="s">
        <v>33</v>
      </c>
      <c r="D417" s="209" t="s">
        <v>89</v>
      </c>
      <c r="E417" s="271" t="s">
        <v>35</v>
      </c>
      <c r="F417" s="182" t="s">
        <v>11167</v>
      </c>
      <c r="G417" s="209" t="s">
        <v>33</v>
      </c>
      <c r="H417" s="212" t="s">
        <v>11172</v>
      </c>
      <c r="I417" s="182" t="s">
        <v>51</v>
      </c>
      <c r="J417" s="303" t="s">
        <v>11212</v>
      </c>
      <c r="K417" s="182" t="s">
        <v>27</v>
      </c>
      <c r="L417" s="209" t="s">
        <v>4</v>
      </c>
      <c r="M417" s="209" t="s">
        <v>29</v>
      </c>
      <c r="N417" s="181" t="s">
        <v>10498</v>
      </c>
      <c r="O417" s="58" t="str">
        <f t="shared" si="18"/>
        <v>L2.02.03.02.09.00</v>
      </c>
      <c r="P417" s="272" t="str">
        <f t="shared" si="16"/>
        <v>L2.02.03.02.09.00.01</v>
      </c>
      <c r="Q417" s="185" t="s">
        <v>10530</v>
      </c>
      <c r="R417" s="273" t="str">
        <f t="shared" si="17"/>
        <v>Phòng KD Bán mới 04</v>
      </c>
      <c r="S417" s="274" t="str">
        <f>P398</f>
        <v>L2.02.03.02.98.00.01</v>
      </c>
      <c r="T417" s="264" t="s">
        <v>11694</v>
      </c>
      <c r="U417" s="265" t="s">
        <v>346</v>
      </c>
      <c r="V417" s="265" t="s">
        <v>275</v>
      </c>
      <c r="W417" s="265" t="str">
        <f>J417</f>
        <v>Phòng KD Bán mới 04</v>
      </c>
      <c r="X417" s="183"/>
      <c r="Y417" s="184"/>
      <c r="Z417" s="275" t="s">
        <v>11213</v>
      </c>
      <c r="AA417" s="276"/>
      <c r="AB417" s="277"/>
      <c r="AC417" s="277"/>
      <c r="AD417" s="277"/>
    </row>
    <row r="418" ht="15.75" customHeight="1" outlineLevel="1">
      <c r="A418" s="228" t="s">
        <v>10833</v>
      </c>
      <c r="B418" s="270" t="s">
        <v>77</v>
      </c>
      <c r="C418" s="270" t="s">
        <v>33</v>
      </c>
      <c r="D418" s="209" t="s">
        <v>89</v>
      </c>
      <c r="E418" s="271" t="s">
        <v>35</v>
      </c>
      <c r="F418" s="182" t="s">
        <v>11167</v>
      </c>
      <c r="G418" s="209" t="s">
        <v>33</v>
      </c>
      <c r="H418" s="212" t="s">
        <v>11172</v>
      </c>
      <c r="I418" s="182" t="s">
        <v>51</v>
      </c>
      <c r="J418" s="303" t="s">
        <v>11212</v>
      </c>
      <c r="K418" s="182" t="s">
        <v>29</v>
      </c>
      <c r="L418" s="303" t="s">
        <v>11214</v>
      </c>
      <c r="M418" s="209" t="s">
        <v>29</v>
      </c>
      <c r="N418" s="181" t="s">
        <v>10498</v>
      </c>
      <c r="O418" s="58" t="str">
        <f t="shared" si="18"/>
        <v>L2.02.03.02.09.01</v>
      </c>
      <c r="P418" s="272" t="str">
        <f t="shared" si="16"/>
        <v>L2.02.03.02.09.01.01</v>
      </c>
      <c r="Q418" s="185" t="s">
        <v>10530</v>
      </c>
      <c r="R418" s="273" t="str">
        <f t="shared" si="17"/>
        <v>Nhóm Quản lý 04</v>
      </c>
      <c r="S418" s="274" t="str">
        <f>P417</f>
        <v>L2.02.03.02.09.00.01</v>
      </c>
      <c r="T418" s="183"/>
      <c r="U418" s="183"/>
      <c r="V418" s="183"/>
      <c r="W418" s="183"/>
      <c r="X418" s="183"/>
      <c r="Y418" s="184"/>
      <c r="Z418" s="275" t="s">
        <v>11215</v>
      </c>
      <c r="AA418" s="276"/>
      <c r="AB418" s="277"/>
      <c r="AC418" s="277"/>
      <c r="AD418" s="277"/>
    </row>
    <row r="419" ht="15.75" customHeight="1" outlineLevel="1">
      <c r="A419" s="228" t="s">
        <v>10833</v>
      </c>
      <c r="B419" s="270" t="s">
        <v>77</v>
      </c>
      <c r="C419" s="270" t="s">
        <v>33</v>
      </c>
      <c r="D419" s="209" t="s">
        <v>89</v>
      </c>
      <c r="E419" s="271" t="s">
        <v>35</v>
      </c>
      <c r="F419" s="182" t="s">
        <v>11167</v>
      </c>
      <c r="G419" s="209" t="s">
        <v>33</v>
      </c>
      <c r="H419" s="212" t="s">
        <v>11172</v>
      </c>
      <c r="I419" s="182" t="s">
        <v>51</v>
      </c>
      <c r="J419" s="303" t="s">
        <v>11212</v>
      </c>
      <c r="K419" s="228" t="s">
        <v>33</v>
      </c>
      <c r="L419" s="303" t="s">
        <v>11216</v>
      </c>
      <c r="M419" s="209" t="s">
        <v>29</v>
      </c>
      <c r="N419" s="181" t="s">
        <v>10498</v>
      </c>
      <c r="O419" s="58" t="str">
        <f t="shared" si="18"/>
        <v>L2.02.03.02.09.02</v>
      </c>
      <c r="P419" s="272" t="str">
        <f t="shared" si="16"/>
        <v>L2.02.03.02.09.02.01</v>
      </c>
      <c r="Q419" s="185" t="s">
        <v>10530</v>
      </c>
      <c r="R419" s="273" t="str">
        <f t="shared" si="17"/>
        <v>Nhóm KD MISA AMIS Kế toán 04</v>
      </c>
      <c r="S419" s="274" t="str">
        <f>P417</f>
        <v>L2.02.03.02.09.00.01</v>
      </c>
      <c r="T419" s="183"/>
      <c r="U419" s="183"/>
      <c r="V419" s="183"/>
      <c r="W419" s="183"/>
      <c r="X419" s="183"/>
      <c r="Y419" s="184"/>
      <c r="Z419" s="275" t="s">
        <v>11217</v>
      </c>
      <c r="AA419" s="276"/>
      <c r="AB419" s="277"/>
      <c r="AC419" s="277"/>
      <c r="AD419" s="277"/>
    </row>
    <row r="420" ht="15.75" customHeight="1" outlineLevel="1">
      <c r="A420" s="228" t="s">
        <v>10833</v>
      </c>
      <c r="B420" s="270" t="s">
        <v>77</v>
      </c>
      <c r="C420" s="270" t="s">
        <v>33</v>
      </c>
      <c r="D420" s="209" t="s">
        <v>89</v>
      </c>
      <c r="E420" s="271" t="s">
        <v>35</v>
      </c>
      <c r="F420" s="182" t="s">
        <v>11167</v>
      </c>
      <c r="G420" s="209" t="s">
        <v>33</v>
      </c>
      <c r="H420" s="212" t="s">
        <v>11172</v>
      </c>
      <c r="I420" s="182" t="s">
        <v>51</v>
      </c>
      <c r="J420" s="303" t="s">
        <v>11212</v>
      </c>
      <c r="K420" s="228" t="s">
        <v>35</v>
      </c>
      <c r="L420" s="303" t="s">
        <v>11218</v>
      </c>
      <c r="M420" s="209" t="s">
        <v>29</v>
      </c>
      <c r="N420" s="181" t="s">
        <v>10498</v>
      </c>
      <c r="O420" s="58" t="str">
        <f t="shared" si="18"/>
        <v>L2.02.03.02.09.03</v>
      </c>
      <c r="P420" s="272" t="str">
        <f t="shared" si="16"/>
        <v>L2.02.03.02.09.03.01</v>
      </c>
      <c r="Q420" s="185" t="s">
        <v>10530</v>
      </c>
      <c r="R420" s="273" t="str">
        <f t="shared" si="17"/>
        <v>Nhóm KD MISA AMIS Điều hành 04</v>
      </c>
      <c r="S420" s="274" t="str">
        <f>P417</f>
        <v>L2.02.03.02.09.00.01</v>
      </c>
      <c r="T420" s="183"/>
      <c r="U420" s="183"/>
      <c r="V420" s="183"/>
      <c r="W420" s="183"/>
      <c r="X420" s="183"/>
      <c r="Y420" s="184"/>
      <c r="Z420" s="275" t="s">
        <v>11219</v>
      </c>
      <c r="AA420" s="276"/>
      <c r="AB420" s="277"/>
      <c r="AC420" s="277"/>
      <c r="AD420" s="277"/>
    </row>
    <row r="421" ht="15.75" customHeight="1" outlineLevel="1">
      <c r="A421" s="400" t="s">
        <v>10833</v>
      </c>
      <c r="B421" s="401" t="s">
        <v>77</v>
      </c>
      <c r="C421" s="401" t="s">
        <v>33</v>
      </c>
      <c r="D421" s="402" t="s">
        <v>89</v>
      </c>
      <c r="E421" s="403" t="s">
        <v>35</v>
      </c>
      <c r="F421" s="404" t="s">
        <v>11167</v>
      </c>
      <c r="G421" s="402" t="s">
        <v>33</v>
      </c>
      <c r="H421" s="390" t="s">
        <v>11172</v>
      </c>
      <c r="I421" s="182" t="s">
        <v>51</v>
      </c>
      <c r="J421" s="303" t="s">
        <v>11212</v>
      </c>
      <c r="K421" s="228" t="s">
        <v>37</v>
      </c>
      <c r="L421" s="390" t="s">
        <v>11220</v>
      </c>
      <c r="M421" s="402" t="s">
        <v>29</v>
      </c>
      <c r="N421" s="405" t="s">
        <v>10498</v>
      </c>
      <c r="O421" s="405" t="str">
        <f t="shared" si="18"/>
        <v>L2.02.03.02.09.04</v>
      </c>
      <c r="P421" s="405" t="str">
        <f t="shared" si="16"/>
        <v>L2.02.03.02.09.04.01</v>
      </c>
      <c r="Q421" s="406" t="s">
        <v>10530</v>
      </c>
      <c r="R421" s="407" t="str">
        <f t="shared" si="17"/>
        <v>Nhóm KD MISA AMIS Nhân sự 04</v>
      </c>
      <c r="S421" s="408" t="str">
        <f>P417</f>
        <v>L2.02.03.02.09.00.01</v>
      </c>
      <c r="T421" s="409"/>
      <c r="U421" s="409"/>
      <c r="V421" s="409"/>
      <c r="W421" s="409"/>
      <c r="X421" s="409"/>
      <c r="Y421" s="410"/>
      <c r="Z421" s="411" t="s">
        <v>11221</v>
      </c>
      <c r="AA421" s="412"/>
      <c r="AB421" s="413"/>
      <c r="AC421" s="413"/>
      <c r="AD421" s="413"/>
    </row>
    <row r="422" ht="15.75" customHeight="1" outlineLevel="1">
      <c r="A422" s="400" t="s">
        <v>10833</v>
      </c>
      <c r="B422" s="401" t="s">
        <v>77</v>
      </c>
      <c r="C422" s="401" t="s">
        <v>33</v>
      </c>
      <c r="D422" s="402" t="s">
        <v>89</v>
      </c>
      <c r="E422" s="403" t="s">
        <v>35</v>
      </c>
      <c r="F422" s="404" t="s">
        <v>11167</v>
      </c>
      <c r="G422" s="402" t="s">
        <v>33</v>
      </c>
      <c r="H422" s="390" t="s">
        <v>11172</v>
      </c>
      <c r="I422" s="182" t="s">
        <v>51</v>
      </c>
      <c r="J422" s="303" t="s">
        <v>11212</v>
      </c>
      <c r="K422" s="228" t="s">
        <v>42</v>
      </c>
      <c r="L422" s="390" t="s">
        <v>11222</v>
      </c>
      <c r="M422" s="402" t="s">
        <v>29</v>
      </c>
      <c r="N422" s="405" t="s">
        <v>10498</v>
      </c>
      <c r="O422" s="405" t="str">
        <f t="shared" si="18"/>
        <v>L2.02.03.02.09.05</v>
      </c>
      <c r="P422" s="405" t="str">
        <f t="shared" si="16"/>
        <v>L2.02.03.02.09.05.01</v>
      </c>
      <c r="Q422" s="406" t="s">
        <v>10530</v>
      </c>
      <c r="R422" s="407" t="str">
        <f t="shared" si="17"/>
        <v>Nhóm KD MISA AMIS Bán hàng 04</v>
      </c>
      <c r="S422" s="408" t="str">
        <f>P417</f>
        <v>L2.02.03.02.09.00.01</v>
      </c>
      <c r="T422" s="409"/>
      <c r="U422" s="409"/>
      <c r="V422" s="409"/>
      <c r="W422" s="409"/>
      <c r="X422" s="409"/>
      <c r="Y422" s="410"/>
      <c r="Z422" s="411" t="s">
        <v>11223</v>
      </c>
      <c r="AA422" s="412"/>
      <c r="AB422" s="413"/>
      <c r="AC422" s="413"/>
      <c r="AD422" s="413"/>
    </row>
    <row r="423" ht="15.75" customHeight="1" outlineLevel="1">
      <c r="A423" s="228" t="s">
        <v>10833</v>
      </c>
      <c r="B423" s="270" t="s">
        <v>77</v>
      </c>
      <c r="C423" s="270" t="s">
        <v>33</v>
      </c>
      <c r="D423" s="209" t="s">
        <v>89</v>
      </c>
      <c r="E423" s="271" t="s">
        <v>35</v>
      </c>
      <c r="F423" s="182" t="s">
        <v>11167</v>
      </c>
      <c r="G423" s="209" t="s">
        <v>33</v>
      </c>
      <c r="H423" s="212" t="s">
        <v>11172</v>
      </c>
      <c r="I423" s="182" t="s">
        <v>55</v>
      </c>
      <c r="J423" s="303" t="s">
        <v>11224</v>
      </c>
      <c r="K423" s="182" t="s">
        <v>27</v>
      </c>
      <c r="L423" s="209" t="s">
        <v>4</v>
      </c>
      <c r="M423" s="209" t="s">
        <v>29</v>
      </c>
      <c r="N423" s="181" t="s">
        <v>10498</v>
      </c>
      <c r="O423" s="58" t="str">
        <f t="shared" si="18"/>
        <v>L2.02.03.02.10.00</v>
      </c>
      <c r="P423" s="272" t="str">
        <f t="shared" si="16"/>
        <v>L2.02.03.02.10.00.01</v>
      </c>
      <c r="Q423" s="185" t="s">
        <v>10530</v>
      </c>
      <c r="R423" s="273" t="str">
        <f t="shared" si="17"/>
        <v>Phòng KD Bán mới 05</v>
      </c>
      <c r="S423" s="274" t="str">
        <f>P398</f>
        <v>L2.02.03.02.98.00.01</v>
      </c>
      <c r="T423" s="264" t="s">
        <v>11700</v>
      </c>
      <c r="U423" s="265" t="s">
        <v>346</v>
      </c>
      <c r="V423" s="265" t="s">
        <v>275</v>
      </c>
      <c r="W423" s="265" t="str">
        <f>J423</f>
        <v>Phòng KD Bán mới 05</v>
      </c>
      <c r="X423" s="183"/>
      <c r="Y423" s="184"/>
      <c r="Z423" s="275" t="s">
        <v>11225</v>
      </c>
      <c r="AA423" s="276"/>
      <c r="AB423" s="277"/>
      <c r="AC423" s="277"/>
      <c r="AD423" s="277"/>
    </row>
    <row r="424" ht="15.75" customHeight="1" outlineLevel="1">
      <c r="A424" s="228" t="s">
        <v>10833</v>
      </c>
      <c r="B424" s="270" t="s">
        <v>77</v>
      </c>
      <c r="C424" s="270" t="s">
        <v>33</v>
      </c>
      <c r="D424" s="209" t="s">
        <v>89</v>
      </c>
      <c r="E424" s="271" t="s">
        <v>35</v>
      </c>
      <c r="F424" s="182" t="s">
        <v>11167</v>
      </c>
      <c r="G424" s="209" t="s">
        <v>33</v>
      </c>
      <c r="H424" s="212" t="s">
        <v>11172</v>
      </c>
      <c r="I424" s="182" t="s">
        <v>55</v>
      </c>
      <c r="J424" s="303" t="s">
        <v>11224</v>
      </c>
      <c r="K424" s="182" t="s">
        <v>29</v>
      </c>
      <c r="L424" s="303" t="s">
        <v>11226</v>
      </c>
      <c r="M424" s="209" t="s">
        <v>29</v>
      </c>
      <c r="N424" s="181" t="s">
        <v>10498</v>
      </c>
      <c r="O424" s="58" t="str">
        <f t="shared" si="18"/>
        <v>L2.02.03.02.10.01</v>
      </c>
      <c r="P424" s="272" t="str">
        <f t="shared" si="16"/>
        <v>L2.02.03.02.10.01.01</v>
      </c>
      <c r="Q424" s="185" t="s">
        <v>10530</v>
      </c>
      <c r="R424" s="273" t="str">
        <f t="shared" si="17"/>
        <v>Nhóm Quản lý 05</v>
      </c>
      <c r="S424" s="274" t="str">
        <f>P423</f>
        <v>L2.02.03.02.10.00.01</v>
      </c>
      <c r="T424" s="183"/>
      <c r="U424" s="183"/>
      <c r="V424" s="183"/>
      <c r="W424" s="183"/>
      <c r="X424" s="183"/>
      <c r="Y424" s="184"/>
      <c r="Z424" s="275" t="s">
        <v>11227</v>
      </c>
      <c r="AA424" s="276"/>
      <c r="AB424" s="277"/>
      <c r="AC424" s="277"/>
      <c r="AD424" s="277"/>
    </row>
    <row r="425" ht="15.75" customHeight="1" outlineLevel="1">
      <c r="A425" s="228" t="s">
        <v>10833</v>
      </c>
      <c r="B425" s="270" t="s">
        <v>77</v>
      </c>
      <c r="C425" s="270" t="s">
        <v>33</v>
      </c>
      <c r="D425" s="209" t="s">
        <v>89</v>
      </c>
      <c r="E425" s="271" t="s">
        <v>35</v>
      </c>
      <c r="F425" s="182" t="s">
        <v>11167</v>
      </c>
      <c r="G425" s="209" t="s">
        <v>33</v>
      </c>
      <c r="H425" s="212" t="s">
        <v>11172</v>
      </c>
      <c r="I425" s="182" t="s">
        <v>55</v>
      </c>
      <c r="J425" s="303" t="s">
        <v>11224</v>
      </c>
      <c r="K425" s="228" t="s">
        <v>33</v>
      </c>
      <c r="L425" s="303" t="s">
        <v>11228</v>
      </c>
      <c r="M425" s="209" t="s">
        <v>29</v>
      </c>
      <c r="N425" s="181" t="s">
        <v>10498</v>
      </c>
      <c r="O425" s="58" t="str">
        <f t="shared" si="18"/>
        <v>L2.02.03.02.10.02</v>
      </c>
      <c r="P425" s="272" t="str">
        <f t="shared" si="16"/>
        <v>L2.02.03.02.10.02.01</v>
      </c>
      <c r="Q425" s="185" t="s">
        <v>10530</v>
      </c>
      <c r="R425" s="273" t="str">
        <f t="shared" si="17"/>
        <v>Nhóm KD MISA AMIS Kế toán 05</v>
      </c>
      <c r="S425" s="274" t="str">
        <f>P423</f>
        <v>L2.02.03.02.10.00.01</v>
      </c>
      <c r="T425" s="183"/>
      <c r="U425" s="183"/>
      <c r="V425" s="183"/>
      <c r="W425" s="183"/>
      <c r="X425" s="183"/>
      <c r="Y425" s="184"/>
      <c r="Z425" s="275" t="s">
        <v>11229</v>
      </c>
      <c r="AA425" s="276"/>
      <c r="AB425" s="277"/>
      <c r="AC425" s="277"/>
      <c r="AD425" s="277"/>
    </row>
    <row r="426" ht="15.75" customHeight="1" outlineLevel="1">
      <c r="A426" s="228" t="s">
        <v>10833</v>
      </c>
      <c r="B426" s="270" t="s">
        <v>77</v>
      </c>
      <c r="C426" s="270" t="s">
        <v>33</v>
      </c>
      <c r="D426" s="209" t="s">
        <v>89</v>
      </c>
      <c r="E426" s="271" t="s">
        <v>35</v>
      </c>
      <c r="F426" s="182" t="s">
        <v>11167</v>
      </c>
      <c r="G426" s="209" t="s">
        <v>33</v>
      </c>
      <c r="H426" s="212" t="s">
        <v>11172</v>
      </c>
      <c r="I426" s="182" t="s">
        <v>55</v>
      </c>
      <c r="J426" s="303" t="s">
        <v>11224</v>
      </c>
      <c r="K426" s="228" t="s">
        <v>35</v>
      </c>
      <c r="L426" s="303" t="s">
        <v>11230</v>
      </c>
      <c r="M426" s="209" t="s">
        <v>29</v>
      </c>
      <c r="N426" s="181" t="s">
        <v>10498</v>
      </c>
      <c r="O426" s="58" t="str">
        <f t="shared" si="18"/>
        <v>L2.02.03.02.10.03</v>
      </c>
      <c r="P426" s="272" t="str">
        <f t="shared" si="16"/>
        <v>L2.02.03.02.10.03.01</v>
      </c>
      <c r="Q426" s="185" t="s">
        <v>10530</v>
      </c>
      <c r="R426" s="273" t="str">
        <f t="shared" si="17"/>
        <v>Nhóm KD MISA AMIS Điều hành 05</v>
      </c>
      <c r="S426" s="274" t="str">
        <f>P423</f>
        <v>L2.02.03.02.10.00.01</v>
      </c>
      <c r="T426" s="274"/>
      <c r="U426" s="183"/>
      <c r="V426" s="183"/>
      <c r="W426" s="183"/>
      <c r="X426" s="183"/>
      <c r="Y426" s="184"/>
      <c r="Z426" s="275" t="s">
        <v>11231</v>
      </c>
      <c r="AA426" s="276"/>
      <c r="AB426" s="277"/>
      <c r="AC426" s="277"/>
      <c r="AD426" s="277"/>
    </row>
    <row r="427" ht="15.75" customHeight="1" outlineLevel="1">
      <c r="A427" s="400" t="s">
        <v>10833</v>
      </c>
      <c r="B427" s="401" t="s">
        <v>77</v>
      </c>
      <c r="C427" s="401" t="s">
        <v>33</v>
      </c>
      <c r="D427" s="402" t="s">
        <v>89</v>
      </c>
      <c r="E427" s="403" t="s">
        <v>35</v>
      </c>
      <c r="F427" s="404" t="s">
        <v>11167</v>
      </c>
      <c r="G427" s="402" t="s">
        <v>33</v>
      </c>
      <c r="H427" s="390" t="s">
        <v>11172</v>
      </c>
      <c r="I427" s="182" t="s">
        <v>55</v>
      </c>
      <c r="J427" s="303" t="s">
        <v>11224</v>
      </c>
      <c r="K427" s="228" t="s">
        <v>37</v>
      </c>
      <c r="L427" s="390" t="s">
        <v>11232</v>
      </c>
      <c r="M427" s="402" t="s">
        <v>29</v>
      </c>
      <c r="N427" s="405" t="s">
        <v>10498</v>
      </c>
      <c r="O427" s="405" t="str">
        <f t="shared" si="18"/>
        <v>L2.02.03.02.10.04</v>
      </c>
      <c r="P427" s="405" t="str">
        <f t="shared" si="16"/>
        <v>L2.02.03.02.10.04.01</v>
      </c>
      <c r="Q427" s="406" t="s">
        <v>10530</v>
      </c>
      <c r="R427" s="407" t="str">
        <f t="shared" si="17"/>
        <v>Nhóm KD MISA AMIS Nhân sự 05</v>
      </c>
      <c r="S427" s="408" t="str">
        <f>P423</f>
        <v>L2.02.03.02.10.00.01</v>
      </c>
      <c r="T427" s="409"/>
      <c r="U427" s="409"/>
      <c r="V427" s="409"/>
      <c r="W427" s="409"/>
      <c r="X427" s="409"/>
      <c r="Y427" s="410"/>
      <c r="Z427" s="411" t="s">
        <v>11233</v>
      </c>
      <c r="AA427" s="412"/>
      <c r="AB427" s="413"/>
      <c r="AC427" s="413"/>
      <c r="AD427" s="413"/>
    </row>
    <row r="428" ht="15.75" customHeight="1" outlineLevel="1">
      <c r="A428" s="400" t="s">
        <v>10833</v>
      </c>
      <c r="B428" s="401" t="s">
        <v>77</v>
      </c>
      <c r="C428" s="401" t="s">
        <v>33</v>
      </c>
      <c r="D428" s="402" t="s">
        <v>89</v>
      </c>
      <c r="E428" s="403" t="s">
        <v>35</v>
      </c>
      <c r="F428" s="404" t="s">
        <v>11167</v>
      </c>
      <c r="G428" s="402" t="s">
        <v>33</v>
      </c>
      <c r="H428" s="390" t="s">
        <v>11172</v>
      </c>
      <c r="I428" s="182" t="s">
        <v>55</v>
      </c>
      <c r="J428" s="303" t="s">
        <v>11224</v>
      </c>
      <c r="K428" s="228" t="s">
        <v>42</v>
      </c>
      <c r="L428" s="390" t="s">
        <v>11234</v>
      </c>
      <c r="M428" s="402" t="s">
        <v>29</v>
      </c>
      <c r="N428" s="405" t="s">
        <v>10498</v>
      </c>
      <c r="O428" s="405" t="str">
        <f t="shared" si="18"/>
        <v>L2.02.03.02.10.05</v>
      </c>
      <c r="P428" s="405" t="str">
        <f t="shared" si="16"/>
        <v>L2.02.03.02.10.05.01</v>
      </c>
      <c r="Q428" s="406" t="s">
        <v>10530</v>
      </c>
      <c r="R428" s="407" t="str">
        <f t="shared" si="17"/>
        <v>Nhóm KD MISA AMIS Bán hàng 05</v>
      </c>
      <c r="S428" s="408" t="str">
        <f>P423</f>
        <v>L2.02.03.02.10.00.01</v>
      </c>
      <c r="T428" s="409"/>
      <c r="U428" s="409"/>
      <c r="V428" s="409"/>
      <c r="W428" s="409"/>
      <c r="X428" s="409"/>
      <c r="Y428" s="410"/>
      <c r="Z428" s="411" t="s">
        <v>11235</v>
      </c>
      <c r="AA428" s="412"/>
      <c r="AB428" s="413"/>
      <c r="AC428" s="413"/>
      <c r="AD428" s="413"/>
    </row>
    <row r="429" ht="15.75" customHeight="1" outlineLevel="1">
      <c r="A429" s="228" t="s">
        <v>10833</v>
      </c>
      <c r="B429" s="270" t="s">
        <v>77</v>
      </c>
      <c r="C429" s="270" t="s">
        <v>33</v>
      </c>
      <c r="D429" s="209" t="s">
        <v>89</v>
      </c>
      <c r="E429" s="271" t="s">
        <v>35</v>
      </c>
      <c r="F429" s="182" t="s">
        <v>11167</v>
      </c>
      <c r="G429" s="209" t="s">
        <v>33</v>
      </c>
      <c r="H429" s="212" t="s">
        <v>11172</v>
      </c>
      <c r="I429" s="182" t="s">
        <v>61</v>
      </c>
      <c r="J429" s="303" t="s">
        <v>11236</v>
      </c>
      <c r="K429" s="182" t="s">
        <v>27</v>
      </c>
      <c r="L429" s="209" t="s">
        <v>4</v>
      </c>
      <c r="M429" s="209" t="s">
        <v>29</v>
      </c>
      <c r="N429" s="181" t="s">
        <v>10498</v>
      </c>
      <c r="O429" s="58" t="str">
        <f t="shared" si="18"/>
        <v>L2.02.03.02.11.00</v>
      </c>
      <c r="P429" s="272" t="str">
        <f t="shared" si="16"/>
        <v>L2.02.03.02.11.00.01</v>
      </c>
      <c r="Q429" s="185" t="s">
        <v>10530</v>
      </c>
      <c r="R429" s="273" t="str">
        <f t="shared" si="17"/>
        <v>Phòng KD Bán mới 06</v>
      </c>
      <c r="S429" s="274" t="str">
        <f>P398</f>
        <v>L2.02.03.02.98.00.01</v>
      </c>
      <c r="T429" s="264" t="s">
        <v>11706</v>
      </c>
      <c r="U429" s="265" t="s">
        <v>346</v>
      </c>
      <c r="V429" s="265" t="s">
        <v>275</v>
      </c>
      <c r="W429" s="265" t="str">
        <f>J429</f>
        <v>Phòng KD Bán mới 06</v>
      </c>
      <c r="X429" s="183"/>
      <c r="Y429" s="184"/>
      <c r="Z429" s="275" t="s">
        <v>11237</v>
      </c>
      <c r="AA429" s="276"/>
      <c r="AB429" s="277"/>
      <c r="AC429" s="277"/>
      <c r="AD429" s="277"/>
    </row>
    <row r="430" ht="15.75" customHeight="1" outlineLevel="1">
      <c r="A430" s="228" t="s">
        <v>10833</v>
      </c>
      <c r="B430" s="270" t="s">
        <v>77</v>
      </c>
      <c r="C430" s="270" t="s">
        <v>33</v>
      </c>
      <c r="D430" s="209" t="s">
        <v>89</v>
      </c>
      <c r="E430" s="271" t="s">
        <v>35</v>
      </c>
      <c r="F430" s="182" t="s">
        <v>11167</v>
      </c>
      <c r="G430" s="209" t="s">
        <v>33</v>
      </c>
      <c r="H430" s="212" t="s">
        <v>11172</v>
      </c>
      <c r="I430" s="182" t="s">
        <v>61</v>
      </c>
      <c r="J430" s="303" t="s">
        <v>11236</v>
      </c>
      <c r="K430" s="182" t="s">
        <v>29</v>
      </c>
      <c r="L430" s="303" t="s">
        <v>11238</v>
      </c>
      <c r="M430" s="209" t="s">
        <v>29</v>
      </c>
      <c r="N430" s="181" t="s">
        <v>10498</v>
      </c>
      <c r="O430" s="58" t="str">
        <f t="shared" si="18"/>
        <v>L2.02.03.02.11.01</v>
      </c>
      <c r="P430" s="272" t="str">
        <f t="shared" si="16"/>
        <v>L2.02.03.02.11.01.01</v>
      </c>
      <c r="Q430" s="185" t="s">
        <v>10530</v>
      </c>
      <c r="R430" s="273" t="str">
        <f t="shared" si="17"/>
        <v>Nhóm Quản lý 06</v>
      </c>
      <c r="S430" s="274" t="str">
        <f>P429</f>
        <v>L2.02.03.02.11.00.01</v>
      </c>
      <c r="T430" s="183"/>
      <c r="U430" s="183"/>
      <c r="V430" s="183"/>
      <c r="W430" s="183"/>
      <c r="X430" s="183"/>
      <c r="Y430" s="184"/>
      <c r="Z430" s="275" t="s">
        <v>11239</v>
      </c>
      <c r="AA430" s="276"/>
      <c r="AB430" s="277"/>
      <c r="AC430" s="277"/>
      <c r="AD430" s="277"/>
    </row>
    <row r="431" ht="15.75" customHeight="1" outlineLevel="1">
      <c r="A431" s="228" t="s">
        <v>10833</v>
      </c>
      <c r="B431" s="270" t="s">
        <v>77</v>
      </c>
      <c r="C431" s="270" t="s">
        <v>33</v>
      </c>
      <c r="D431" s="209" t="s">
        <v>89</v>
      </c>
      <c r="E431" s="271" t="s">
        <v>35</v>
      </c>
      <c r="F431" s="182" t="s">
        <v>11167</v>
      </c>
      <c r="G431" s="209" t="s">
        <v>33</v>
      </c>
      <c r="H431" s="212" t="s">
        <v>11172</v>
      </c>
      <c r="I431" s="182" t="s">
        <v>61</v>
      </c>
      <c r="J431" s="303" t="s">
        <v>11236</v>
      </c>
      <c r="K431" s="228" t="s">
        <v>33</v>
      </c>
      <c r="L431" s="303" t="s">
        <v>11240</v>
      </c>
      <c r="M431" s="209" t="s">
        <v>29</v>
      </c>
      <c r="N431" s="181" t="s">
        <v>10498</v>
      </c>
      <c r="O431" s="58" t="str">
        <f t="shared" si="18"/>
        <v>L2.02.03.02.11.02</v>
      </c>
      <c r="P431" s="272" t="str">
        <f t="shared" si="16"/>
        <v>L2.02.03.02.11.02.01</v>
      </c>
      <c r="Q431" s="185" t="s">
        <v>10530</v>
      </c>
      <c r="R431" s="273" t="str">
        <f t="shared" si="17"/>
        <v>Nhóm KD MISA AMIS Kế toán 06</v>
      </c>
      <c r="S431" s="274" t="str">
        <f>P429</f>
        <v>L2.02.03.02.11.00.01</v>
      </c>
      <c r="T431" s="183"/>
      <c r="U431" s="183"/>
      <c r="V431" s="183"/>
      <c r="W431" s="183"/>
      <c r="X431" s="183"/>
      <c r="Y431" s="184"/>
      <c r="Z431" s="275" t="s">
        <v>11241</v>
      </c>
      <c r="AA431" s="276"/>
      <c r="AB431" s="277"/>
      <c r="AC431" s="277"/>
      <c r="AD431" s="277"/>
    </row>
    <row r="432" ht="15.75" customHeight="1" outlineLevel="1">
      <c r="A432" s="228" t="s">
        <v>10833</v>
      </c>
      <c r="B432" s="270" t="s">
        <v>77</v>
      </c>
      <c r="C432" s="270" t="s">
        <v>33</v>
      </c>
      <c r="D432" s="209" t="s">
        <v>89</v>
      </c>
      <c r="E432" s="271" t="s">
        <v>35</v>
      </c>
      <c r="F432" s="182" t="s">
        <v>11167</v>
      </c>
      <c r="G432" s="209" t="s">
        <v>33</v>
      </c>
      <c r="H432" s="212" t="s">
        <v>11172</v>
      </c>
      <c r="I432" s="182" t="s">
        <v>61</v>
      </c>
      <c r="J432" s="303" t="s">
        <v>11236</v>
      </c>
      <c r="K432" s="228" t="s">
        <v>35</v>
      </c>
      <c r="L432" s="303" t="s">
        <v>11242</v>
      </c>
      <c r="M432" s="209" t="s">
        <v>29</v>
      </c>
      <c r="N432" s="181" t="s">
        <v>10498</v>
      </c>
      <c r="O432" s="58" t="str">
        <f t="shared" si="18"/>
        <v>L2.02.03.02.11.03</v>
      </c>
      <c r="P432" s="272" t="str">
        <f t="shared" si="16"/>
        <v>L2.02.03.02.11.03.01</v>
      </c>
      <c r="Q432" s="185" t="s">
        <v>10530</v>
      </c>
      <c r="R432" s="273" t="str">
        <f t="shared" si="17"/>
        <v>Nhóm KD MISA AMIS Điều hành 06</v>
      </c>
      <c r="S432" s="274" t="str">
        <f>P429</f>
        <v>L2.02.03.02.11.00.01</v>
      </c>
      <c r="T432" s="183"/>
      <c r="U432" s="183"/>
      <c r="V432" s="183"/>
      <c r="W432" s="183"/>
      <c r="X432" s="183"/>
      <c r="Y432" s="184"/>
      <c r="Z432" s="275" t="s">
        <v>11243</v>
      </c>
      <c r="AA432" s="276"/>
      <c r="AB432" s="277"/>
      <c r="AC432" s="277"/>
      <c r="AD432" s="277"/>
    </row>
    <row r="433" ht="15.75" customHeight="1" outlineLevel="1">
      <c r="A433" s="400" t="s">
        <v>10833</v>
      </c>
      <c r="B433" s="401" t="s">
        <v>77</v>
      </c>
      <c r="C433" s="401" t="s">
        <v>33</v>
      </c>
      <c r="D433" s="402" t="s">
        <v>89</v>
      </c>
      <c r="E433" s="403" t="s">
        <v>35</v>
      </c>
      <c r="F433" s="404" t="s">
        <v>11167</v>
      </c>
      <c r="G433" s="402" t="s">
        <v>33</v>
      </c>
      <c r="H433" s="390" t="s">
        <v>11172</v>
      </c>
      <c r="I433" s="182" t="s">
        <v>61</v>
      </c>
      <c r="J433" s="303" t="s">
        <v>11236</v>
      </c>
      <c r="K433" s="228" t="s">
        <v>37</v>
      </c>
      <c r="L433" s="390" t="s">
        <v>11244</v>
      </c>
      <c r="M433" s="402" t="s">
        <v>29</v>
      </c>
      <c r="N433" s="405" t="s">
        <v>10498</v>
      </c>
      <c r="O433" s="405" t="str">
        <f t="shared" si="18"/>
        <v>L2.02.03.02.11.04</v>
      </c>
      <c r="P433" s="405" t="str">
        <f t="shared" si="16"/>
        <v>L2.02.03.02.11.04.01</v>
      </c>
      <c r="Q433" s="406" t="s">
        <v>10530</v>
      </c>
      <c r="R433" s="407" t="str">
        <f t="shared" si="17"/>
        <v>Nhóm KD MISA AMIS Nhân sự 06</v>
      </c>
      <c r="S433" s="408" t="str">
        <f>P429</f>
        <v>L2.02.03.02.11.00.01</v>
      </c>
      <c r="T433" s="409"/>
      <c r="U433" s="409"/>
      <c r="V433" s="409"/>
      <c r="W433" s="409"/>
      <c r="X433" s="409"/>
      <c r="Y433" s="410"/>
      <c r="Z433" s="411" t="s">
        <v>11245</v>
      </c>
      <c r="AA433" s="412"/>
      <c r="AB433" s="413"/>
      <c r="AC433" s="413"/>
      <c r="AD433" s="413"/>
    </row>
    <row r="434" ht="15.75" customHeight="1" outlineLevel="1">
      <c r="A434" s="400" t="s">
        <v>10833</v>
      </c>
      <c r="B434" s="401" t="s">
        <v>77</v>
      </c>
      <c r="C434" s="401" t="s">
        <v>33</v>
      </c>
      <c r="D434" s="402" t="s">
        <v>89</v>
      </c>
      <c r="E434" s="403" t="s">
        <v>35</v>
      </c>
      <c r="F434" s="404" t="s">
        <v>11167</v>
      </c>
      <c r="G434" s="402" t="s">
        <v>33</v>
      </c>
      <c r="H434" s="390" t="s">
        <v>11172</v>
      </c>
      <c r="I434" s="182" t="s">
        <v>61</v>
      </c>
      <c r="J434" s="303" t="s">
        <v>11236</v>
      </c>
      <c r="K434" s="228" t="s">
        <v>42</v>
      </c>
      <c r="L434" s="390" t="s">
        <v>11246</v>
      </c>
      <c r="M434" s="402" t="s">
        <v>29</v>
      </c>
      <c r="N434" s="405" t="s">
        <v>10498</v>
      </c>
      <c r="O434" s="405" t="str">
        <f t="shared" si="18"/>
        <v>L2.02.03.02.11.05</v>
      </c>
      <c r="P434" s="405" t="str">
        <f t="shared" si="16"/>
        <v>L2.02.03.02.11.05.01</v>
      </c>
      <c r="Q434" s="406" t="s">
        <v>10530</v>
      </c>
      <c r="R434" s="407" t="str">
        <f t="shared" si="17"/>
        <v>Nhóm KD MISA AMIS Bán hàng 06</v>
      </c>
      <c r="S434" s="408" t="str">
        <f>P429</f>
        <v>L2.02.03.02.11.00.01</v>
      </c>
      <c r="T434" s="409"/>
      <c r="U434" s="409"/>
      <c r="V434" s="409"/>
      <c r="W434" s="409"/>
      <c r="X434" s="409"/>
      <c r="Y434" s="410"/>
      <c r="Z434" s="411" t="s">
        <v>11247</v>
      </c>
      <c r="AA434" s="412"/>
      <c r="AB434" s="413"/>
      <c r="AC434" s="413"/>
      <c r="AD434" s="413"/>
    </row>
    <row r="435" ht="15.75" customHeight="1" outlineLevel="1">
      <c r="A435" s="228" t="s">
        <v>10833</v>
      </c>
      <c r="B435" s="270" t="s">
        <v>77</v>
      </c>
      <c r="C435" s="270" t="s">
        <v>33</v>
      </c>
      <c r="D435" s="209" t="s">
        <v>89</v>
      </c>
      <c r="E435" s="271" t="s">
        <v>35</v>
      </c>
      <c r="F435" s="182" t="s">
        <v>11167</v>
      </c>
      <c r="G435" s="209" t="s">
        <v>33</v>
      </c>
      <c r="H435" s="212" t="s">
        <v>11172</v>
      </c>
      <c r="I435" s="228">
        <v>99.0</v>
      </c>
      <c r="J435" s="184" t="s">
        <v>326</v>
      </c>
      <c r="K435" s="182" t="s">
        <v>27</v>
      </c>
      <c r="L435" s="305" t="s">
        <v>4</v>
      </c>
      <c r="M435" s="402" t="s">
        <v>29</v>
      </c>
      <c r="N435" s="405" t="s">
        <v>10498</v>
      </c>
      <c r="O435" s="405" t="str">
        <f t="shared" si="18"/>
        <v>L2.02.03.02.99.00</v>
      </c>
      <c r="P435" s="405" t="str">
        <f t="shared" si="16"/>
        <v>L2.02.03.02.99.00.01</v>
      </c>
      <c r="Q435" s="406" t="s">
        <v>10530</v>
      </c>
      <c r="R435" s="407" t="str">
        <f t="shared" si="17"/>
        <v>Phòng KD bán thêm</v>
      </c>
      <c r="S435" s="405" t="str">
        <f>P396</f>
        <v>L2.02.03.02.00.00.01</v>
      </c>
      <c r="T435" s="593"/>
      <c r="U435" s="593"/>
      <c r="V435" s="593"/>
      <c r="W435" s="593"/>
      <c r="X435" s="593"/>
      <c r="Y435" s="594"/>
      <c r="Z435" s="275"/>
      <c r="AA435" s="304"/>
      <c r="AB435" s="277"/>
      <c r="AC435" s="277"/>
      <c r="AD435" s="277"/>
    </row>
    <row r="436" ht="15.75" customHeight="1" outlineLevel="1">
      <c r="A436" s="261" t="s">
        <v>10833</v>
      </c>
      <c r="B436" s="231" t="s">
        <v>77</v>
      </c>
      <c r="C436" s="231" t="s">
        <v>33</v>
      </c>
      <c r="D436" s="157" t="s">
        <v>89</v>
      </c>
      <c r="E436" s="297" t="s">
        <v>35</v>
      </c>
      <c r="F436" s="168" t="s">
        <v>11167</v>
      </c>
      <c r="G436" s="157" t="s">
        <v>33</v>
      </c>
      <c r="H436" s="212" t="s">
        <v>11172</v>
      </c>
      <c r="I436" s="157" t="s">
        <v>35</v>
      </c>
      <c r="J436" s="265" t="s">
        <v>1067</v>
      </c>
      <c r="K436" s="297" t="s">
        <v>27</v>
      </c>
      <c r="L436" s="305" t="s">
        <v>4</v>
      </c>
      <c r="M436" s="157" t="s">
        <v>29</v>
      </c>
      <c r="N436" s="167" t="s">
        <v>10498</v>
      </c>
      <c r="O436" s="55" t="str">
        <f t="shared" si="18"/>
        <v>L2.02.03.02.03.00</v>
      </c>
      <c r="P436" s="257" t="str">
        <f t="shared" si="16"/>
        <v>L2.02.03.02.03.00.01</v>
      </c>
      <c r="Q436" s="161" t="s">
        <v>10530</v>
      </c>
      <c r="R436" s="299" t="str">
        <f t="shared" si="17"/>
        <v>Phòng KD bán thêm 01</v>
      </c>
      <c r="S436" s="269" t="str">
        <f>P435</f>
        <v>L2.02.03.02.99.00.01</v>
      </c>
      <c r="T436" s="265" t="s">
        <v>3975</v>
      </c>
      <c r="U436" s="265" t="s">
        <v>346</v>
      </c>
      <c r="V436" s="265" t="s">
        <v>275</v>
      </c>
      <c r="W436" s="265" t="s">
        <v>1067</v>
      </c>
      <c r="X436" s="265"/>
      <c r="Y436" s="265"/>
      <c r="Z436" s="225" t="s">
        <v>11248</v>
      </c>
      <c r="AA436" s="300" t="s">
        <v>10530</v>
      </c>
      <c r="AB436" s="267"/>
      <c r="AC436" s="267"/>
      <c r="AD436" s="267"/>
    </row>
    <row r="437" ht="15.75" customHeight="1" outlineLevel="1">
      <c r="A437" s="261" t="s">
        <v>10833</v>
      </c>
      <c r="B437" s="231" t="s">
        <v>77</v>
      </c>
      <c r="C437" s="231" t="s">
        <v>33</v>
      </c>
      <c r="D437" s="157" t="s">
        <v>89</v>
      </c>
      <c r="E437" s="297" t="s">
        <v>35</v>
      </c>
      <c r="F437" s="168" t="s">
        <v>11167</v>
      </c>
      <c r="G437" s="157" t="s">
        <v>33</v>
      </c>
      <c r="H437" s="212" t="s">
        <v>11172</v>
      </c>
      <c r="I437" s="157" t="s">
        <v>35</v>
      </c>
      <c r="J437" s="265" t="s">
        <v>1067</v>
      </c>
      <c r="K437" s="168" t="s">
        <v>44</v>
      </c>
      <c r="L437" s="264" t="s">
        <v>11178</v>
      </c>
      <c r="M437" s="157" t="s">
        <v>29</v>
      </c>
      <c r="N437" s="167" t="s">
        <v>10498</v>
      </c>
      <c r="O437" s="55" t="str">
        <f t="shared" si="18"/>
        <v>L2.02.03.02.03.06</v>
      </c>
      <c r="P437" s="257" t="str">
        <f t="shared" si="16"/>
        <v>L2.02.03.02.03.06.01</v>
      </c>
      <c r="Q437" s="161" t="s">
        <v>10530</v>
      </c>
      <c r="R437" s="299" t="str">
        <f t="shared" si="17"/>
        <v>Nhóm Quản lý 01</v>
      </c>
      <c r="S437" s="269" t="s">
        <v>11249</v>
      </c>
      <c r="T437" s="265"/>
      <c r="U437" s="265"/>
      <c r="V437" s="265"/>
      <c r="W437" s="265"/>
      <c r="X437" s="265"/>
      <c r="Y437" s="264" t="s">
        <v>11089</v>
      </c>
      <c r="Z437" s="225" t="s">
        <v>11250</v>
      </c>
      <c r="AA437" s="300" t="s">
        <v>10530</v>
      </c>
      <c r="AB437" s="267"/>
      <c r="AC437" s="267"/>
      <c r="AD437" s="267"/>
    </row>
    <row r="438" ht="15.75" customHeight="1" outlineLevel="1">
      <c r="A438" s="261" t="s">
        <v>10833</v>
      </c>
      <c r="B438" s="231" t="s">
        <v>77</v>
      </c>
      <c r="C438" s="231" t="s">
        <v>33</v>
      </c>
      <c r="D438" s="157" t="s">
        <v>89</v>
      </c>
      <c r="E438" s="297" t="s">
        <v>35</v>
      </c>
      <c r="F438" s="168" t="s">
        <v>11167</v>
      </c>
      <c r="G438" s="157" t="s">
        <v>33</v>
      </c>
      <c r="H438" s="212" t="s">
        <v>11172</v>
      </c>
      <c r="I438" s="157" t="s">
        <v>35</v>
      </c>
      <c r="J438" s="265" t="s">
        <v>1067</v>
      </c>
      <c r="K438" s="414" t="s">
        <v>29</v>
      </c>
      <c r="L438" s="184" t="s">
        <v>11251</v>
      </c>
      <c r="M438" s="157" t="s">
        <v>29</v>
      </c>
      <c r="N438" s="167" t="s">
        <v>10498</v>
      </c>
      <c r="O438" s="55" t="str">
        <f t="shared" si="18"/>
        <v>L2.02.03.02.03.01</v>
      </c>
      <c r="P438" s="257" t="str">
        <f t="shared" si="16"/>
        <v>L2.02.03.02.03.01.01</v>
      </c>
      <c r="Q438" s="161" t="s">
        <v>10530</v>
      </c>
      <c r="R438" s="273" t="str">
        <f t="shared" si="17"/>
        <v>Nhóm Quản lý khách hàng 01</v>
      </c>
      <c r="S438" s="269" t="s">
        <v>11249</v>
      </c>
      <c r="T438" s="265" t="s">
        <v>1089</v>
      </c>
      <c r="U438" s="265" t="s">
        <v>346</v>
      </c>
      <c r="V438" s="265" t="s">
        <v>275</v>
      </c>
      <c r="W438" s="265" t="s">
        <v>1067</v>
      </c>
      <c r="X438" s="265" t="s">
        <v>1088</v>
      </c>
      <c r="Y438" s="265"/>
      <c r="Z438" s="225" t="s">
        <v>11252</v>
      </c>
      <c r="AA438" s="300" t="s">
        <v>10530</v>
      </c>
      <c r="AB438" s="267"/>
      <c r="AC438" s="267"/>
      <c r="AD438" s="267"/>
    </row>
    <row r="439" ht="15.75" customHeight="1" outlineLevel="1">
      <c r="A439" s="261" t="s">
        <v>10833</v>
      </c>
      <c r="B439" s="231" t="s">
        <v>77</v>
      </c>
      <c r="C439" s="231" t="s">
        <v>33</v>
      </c>
      <c r="D439" s="157" t="s">
        <v>89</v>
      </c>
      <c r="E439" s="297" t="s">
        <v>35</v>
      </c>
      <c r="F439" s="168" t="s">
        <v>11167</v>
      </c>
      <c r="G439" s="157" t="s">
        <v>33</v>
      </c>
      <c r="H439" s="212" t="s">
        <v>11172</v>
      </c>
      <c r="I439" s="157" t="s">
        <v>35</v>
      </c>
      <c r="J439" s="265" t="s">
        <v>1067</v>
      </c>
      <c r="K439" s="414" t="s">
        <v>33</v>
      </c>
      <c r="L439" s="184" t="s">
        <v>11253</v>
      </c>
      <c r="M439" s="157" t="s">
        <v>29</v>
      </c>
      <c r="N439" s="167" t="s">
        <v>10498</v>
      </c>
      <c r="O439" s="55" t="str">
        <f t="shared" si="18"/>
        <v>L2.02.03.02.03.02</v>
      </c>
      <c r="P439" s="257" t="str">
        <f t="shared" si="16"/>
        <v>L2.02.03.02.03.02.01</v>
      </c>
      <c r="Q439" s="161" t="s">
        <v>10530</v>
      </c>
      <c r="R439" s="273" t="str">
        <f t="shared" si="17"/>
        <v>Nhóm Bán thêm AMIS Kế toán 01</v>
      </c>
      <c r="S439" s="269" t="s">
        <v>11249</v>
      </c>
      <c r="T439" s="265" t="s">
        <v>4006</v>
      </c>
      <c r="U439" s="265" t="s">
        <v>346</v>
      </c>
      <c r="V439" s="265" t="s">
        <v>275</v>
      </c>
      <c r="W439" s="265" t="s">
        <v>1067</v>
      </c>
      <c r="X439" s="265" t="s">
        <v>4005</v>
      </c>
      <c r="Y439" s="265"/>
      <c r="Z439" s="225" t="s">
        <v>11254</v>
      </c>
      <c r="AA439" s="300" t="s">
        <v>10530</v>
      </c>
      <c r="AB439" s="267"/>
      <c r="AC439" s="267"/>
      <c r="AD439" s="267"/>
    </row>
    <row r="440" ht="15.75" customHeight="1" outlineLevel="1">
      <c r="A440" s="261" t="s">
        <v>10833</v>
      </c>
      <c r="B440" s="231" t="s">
        <v>77</v>
      </c>
      <c r="C440" s="231" t="s">
        <v>33</v>
      </c>
      <c r="D440" s="157" t="s">
        <v>89</v>
      </c>
      <c r="E440" s="297" t="s">
        <v>35</v>
      </c>
      <c r="F440" s="168" t="s">
        <v>11167</v>
      </c>
      <c r="G440" s="157" t="s">
        <v>33</v>
      </c>
      <c r="H440" s="212" t="s">
        <v>11172</v>
      </c>
      <c r="I440" s="157" t="s">
        <v>35</v>
      </c>
      <c r="J440" s="265" t="s">
        <v>1067</v>
      </c>
      <c r="K440" s="414" t="s">
        <v>35</v>
      </c>
      <c r="L440" s="184" t="s">
        <v>11255</v>
      </c>
      <c r="M440" s="157" t="s">
        <v>29</v>
      </c>
      <c r="N440" s="167" t="s">
        <v>10498</v>
      </c>
      <c r="O440" s="55" t="str">
        <f t="shared" si="18"/>
        <v>L2.02.03.02.03.03</v>
      </c>
      <c r="P440" s="257" t="str">
        <f t="shared" si="16"/>
        <v>L2.02.03.02.03.03.01</v>
      </c>
      <c r="Q440" s="161" t="s">
        <v>10530</v>
      </c>
      <c r="R440" s="273" t="str">
        <f t="shared" si="17"/>
        <v>Nhóm Bán thêm AMIS Bán hàng 01</v>
      </c>
      <c r="S440" s="269" t="s">
        <v>11249</v>
      </c>
      <c r="T440" s="265" t="s">
        <v>1068</v>
      </c>
      <c r="U440" s="265" t="s">
        <v>346</v>
      </c>
      <c r="V440" s="265" t="s">
        <v>275</v>
      </c>
      <c r="W440" s="265" t="s">
        <v>1067</v>
      </c>
      <c r="X440" s="265" t="s">
        <v>1066</v>
      </c>
      <c r="Y440" s="265"/>
      <c r="Z440" s="225" t="s">
        <v>11256</v>
      </c>
      <c r="AA440" s="300" t="s">
        <v>10530</v>
      </c>
      <c r="AB440" s="267"/>
      <c r="AC440" s="267"/>
      <c r="AD440" s="267"/>
    </row>
    <row r="441" ht="15.75" customHeight="1" outlineLevel="1">
      <c r="A441" s="261" t="s">
        <v>10833</v>
      </c>
      <c r="B441" s="231" t="s">
        <v>77</v>
      </c>
      <c r="C441" s="231" t="s">
        <v>33</v>
      </c>
      <c r="D441" s="157" t="s">
        <v>89</v>
      </c>
      <c r="E441" s="297" t="s">
        <v>35</v>
      </c>
      <c r="F441" s="168" t="s">
        <v>11167</v>
      </c>
      <c r="G441" s="157" t="s">
        <v>33</v>
      </c>
      <c r="H441" s="212" t="s">
        <v>11172</v>
      </c>
      <c r="I441" s="157" t="s">
        <v>35</v>
      </c>
      <c r="J441" s="265" t="s">
        <v>1067</v>
      </c>
      <c r="K441" s="414" t="s">
        <v>37</v>
      </c>
      <c r="L441" s="184" t="s">
        <v>11257</v>
      </c>
      <c r="M441" s="157" t="s">
        <v>29</v>
      </c>
      <c r="N441" s="167" t="s">
        <v>10498</v>
      </c>
      <c r="O441" s="55" t="str">
        <f t="shared" si="18"/>
        <v>L2.02.03.02.03.04</v>
      </c>
      <c r="P441" s="257" t="str">
        <f t="shared" si="16"/>
        <v>L2.02.03.02.03.04.01</v>
      </c>
      <c r="Q441" s="161" t="s">
        <v>10530</v>
      </c>
      <c r="R441" s="273" t="str">
        <f t="shared" si="17"/>
        <v>Nhóm Bán thêm AMIS Nhân sự 01</v>
      </c>
      <c r="S441" s="269" t="s">
        <v>11249</v>
      </c>
      <c r="T441" s="265" t="s">
        <v>1096</v>
      </c>
      <c r="U441" s="265" t="s">
        <v>346</v>
      </c>
      <c r="V441" s="265" t="s">
        <v>275</v>
      </c>
      <c r="W441" s="265" t="s">
        <v>1067</v>
      </c>
      <c r="X441" s="265" t="s">
        <v>1095</v>
      </c>
      <c r="Y441" s="265"/>
      <c r="Z441" s="225" t="s">
        <v>11258</v>
      </c>
      <c r="AA441" s="300" t="s">
        <v>10530</v>
      </c>
      <c r="AB441" s="267"/>
      <c r="AC441" s="267"/>
      <c r="AD441" s="267"/>
    </row>
    <row r="442" ht="15.75" customHeight="1" outlineLevel="1">
      <c r="A442" s="261" t="s">
        <v>10833</v>
      </c>
      <c r="B442" s="231" t="s">
        <v>77</v>
      </c>
      <c r="C442" s="231" t="s">
        <v>33</v>
      </c>
      <c r="D442" s="157" t="s">
        <v>89</v>
      </c>
      <c r="E442" s="297" t="s">
        <v>35</v>
      </c>
      <c r="F442" s="168" t="s">
        <v>11167</v>
      </c>
      <c r="G442" s="157" t="s">
        <v>33</v>
      </c>
      <c r="H442" s="212" t="s">
        <v>11172</v>
      </c>
      <c r="I442" s="157" t="s">
        <v>35</v>
      </c>
      <c r="J442" s="265" t="s">
        <v>1067</v>
      </c>
      <c r="K442" s="414" t="s">
        <v>42</v>
      </c>
      <c r="L442" s="184" t="s">
        <v>11259</v>
      </c>
      <c r="M442" s="157" t="s">
        <v>29</v>
      </c>
      <c r="N442" s="167" t="s">
        <v>10498</v>
      </c>
      <c r="O442" s="55" t="str">
        <f t="shared" si="18"/>
        <v>L2.02.03.02.03.05</v>
      </c>
      <c r="P442" s="257" t="str">
        <f t="shared" si="16"/>
        <v>L2.02.03.02.03.05.01</v>
      </c>
      <c r="Q442" s="161" t="s">
        <v>10530</v>
      </c>
      <c r="R442" s="273" t="str">
        <f t="shared" si="17"/>
        <v>Nhóm Bán thêm AMIS Điều hành 01</v>
      </c>
      <c r="S442" s="269" t="s">
        <v>11249</v>
      </c>
      <c r="T442" s="265" t="s">
        <v>1113</v>
      </c>
      <c r="U442" s="265" t="s">
        <v>346</v>
      </c>
      <c r="V442" s="265" t="s">
        <v>275</v>
      </c>
      <c r="W442" s="265" t="s">
        <v>1067</v>
      </c>
      <c r="X442" s="265" t="s">
        <v>1112</v>
      </c>
      <c r="Y442" s="265"/>
      <c r="Z442" s="225" t="s">
        <v>11260</v>
      </c>
      <c r="AA442" s="300" t="s">
        <v>10530</v>
      </c>
      <c r="AB442" s="267"/>
      <c r="AC442" s="267"/>
      <c r="AD442" s="267"/>
    </row>
    <row r="443" ht="15.75" customHeight="1" outlineLevel="1">
      <c r="A443" s="261" t="s">
        <v>10833</v>
      </c>
      <c r="B443" s="231" t="s">
        <v>77</v>
      </c>
      <c r="C443" s="231" t="s">
        <v>33</v>
      </c>
      <c r="D443" s="157" t="s">
        <v>89</v>
      </c>
      <c r="E443" s="297" t="s">
        <v>35</v>
      </c>
      <c r="F443" s="168" t="s">
        <v>11167</v>
      </c>
      <c r="G443" s="157" t="s">
        <v>33</v>
      </c>
      <c r="H443" s="212" t="s">
        <v>11172</v>
      </c>
      <c r="I443" s="231" t="s">
        <v>37</v>
      </c>
      <c r="J443" s="265" t="s">
        <v>927</v>
      </c>
      <c r="K443" s="168" t="s">
        <v>27</v>
      </c>
      <c r="L443" s="305" t="s">
        <v>4</v>
      </c>
      <c r="M443" s="168" t="s">
        <v>29</v>
      </c>
      <c r="N443" s="167" t="s">
        <v>10498</v>
      </c>
      <c r="O443" s="55" t="str">
        <f t="shared" si="18"/>
        <v>L2.02.03.02.04.00</v>
      </c>
      <c r="P443" s="257" t="str">
        <f t="shared" si="16"/>
        <v>L2.02.03.02.04.00.01</v>
      </c>
      <c r="Q443" s="161" t="s">
        <v>10530</v>
      </c>
      <c r="R443" s="299" t="str">
        <f t="shared" si="17"/>
        <v>Phòng KD bán thêm 02</v>
      </c>
      <c r="S443" s="269" t="str">
        <f>P435</f>
        <v>L2.02.03.02.99.00.01</v>
      </c>
      <c r="T443" s="265" t="s">
        <v>4113</v>
      </c>
      <c r="U443" s="265" t="s">
        <v>346</v>
      </c>
      <c r="V443" s="265" t="s">
        <v>275</v>
      </c>
      <c r="W443" s="265" t="s">
        <v>927</v>
      </c>
      <c r="X443" s="265"/>
      <c r="Y443" s="265"/>
      <c r="Z443" s="225" t="s">
        <v>11261</v>
      </c>
      <c r="AA443" s="300" t="s">
        <v>10530</v>
      </c>
      <c r="AB443" s="267"/>
      <c r="AC443" s="267"/>
      <c r="AD443" s="267"/>
    </row>
    <row r="444" ht="15.75" customHeight="1" outlineLevel="1">
      <c r="A444" s="261" t="s">
        <v>10833</v>
      </c>
      <c r="B444" s="231" t="s">
        <v>77</v>
      </c>
      <c r="C444" s="231" t="s">
        <v>33</v>
      </c>
      <c r="D444" s="157" t="s">
        <v>89</v>
      </c>
      <c r="E444" s="297" t="s">
        <v>35</v>
      </c>
      <c r="F444" s="168" t="s">
        <v>11167</v>
      </c>
      <c r="G444" s="157" t="s">
        <v>33</v>
      </c>
      <c r="H444" s="212" t="s">
        <v>11172</v>
      </c>
      <c r="I444" s="231" t="s">
        <v>37</v>
      </c>
      <c r="J444" s="265" t="s">
        <v>927</v>
      </c>
      <c r="K444" s="414" t="s">
        <v>29</v>
      </c>
      <c r="L444" s="264" t="s">
        <v>11190</v>
      </c>
      <c r="M444" s="157" t="s">
        <v>29</v>
      </c>
      <c r="N444" s="167" t="s">
        <v>10498</v>
      </c>
      <c r="O444" s="55" t="str">
        <f t="shared" si="18"/>
        <v>L2.02.03.02.04.01</v>
      </c>
      <c r="P444" s="257" t="str">
        <f t="shared" si="16"/>
        <v>L2.02.03.02.04.01.01</v>
      </c>
      <c r="Q444" s="161" t="s">
        <v>10530</v>
      </c>
      <c r="R444" s="299" t="str">
        <f t="shared" si="17"/>
        <v>Nhóm Quản lý 02</v>
      </c>
      <c r="S444" s="269" t="s">
        <v>11262</v>
      </c>
      <c r="T444" s="265"/>
      <c r="U444" s="265"/>
      <c r="V444" s="265"/>
      <c r="W444" s="265"/>
      <c r="X444" s="265"/>
      <c r="Y444" s="264" t="s">
        <v>11089</v>
      </c>
      <c r="Z444" s="225" t="s">
        <v>11263</v>
      </c>
      <c r="AA444" s="300" t="s">
        <v>10530</v>
      </c>
      <c r="AB444" s="267"/>
      <c r="AC444" s="267"/>
      <c r="AD444" s="267"/>
    </row>
    <row r="445" ht="15.75" customHeight="1" outlineLevel="1">
      <c r="A445" s="261" t="s">
        <v>10833</v>
      </c>
      <c r="B445" s="231" t="s">
        <v>77</v>
      </c>
      <c r="C445" s="231" t="s">
        <v>33</v>
      </c>
      <c r="D445" s="157" t="s">
        <v>89</v>
      </c>
      <c r="E445" s="297" t="s">
        <v>35</v>
      </c>
      <c r="F445" s="168" t="s">
        <v>11167</v>
      </c>
      <c r="G445" s="157" t="s">
        <v>33</v>
      </c>
      <c r="H445" s="212" t="s">
        <v>11172</v>
      </c>
      <c r="I445" s="231" t="s">
        <v>37</v>
      </c>
      <c r="J445" s="265" t="s">
        <v>927</v>
      </c>
      <c r="K445" s="414" t="s">
        <v>33</v>
      </c>
      <c r="L445" s="184" t="s">
        <v>11264</v>
      </c>
      <c r="M445" s="157" t="s">
        <v>29</v>
      </c>
      <c r="N445" s="167" t="s">
        <v>10498</v>
      </c>
      <c r="O445" s="55" t="str">
        <f t="shared" si="18"/>
        <v>L2.02.03.02.04.02</v>
      </c>
      <c r="P445" s="257" t="str">
        <f t="shared" si="16"/>
        <v>L2.02.03.02.04.02.01</v>
      </c>
      <c r="Q445" s="161" t="s">
        <v>10530</v>
      </c>
      <c r="R445" s="273" t="str">
        <f t="shared" si="17"/>
        <v>Nhóm Quản lý khách hàng 02</v>
      </c>
      <c r="S445" s="269" t="s">
        <v>11262</v>
      </c>
      <c r="T445" s="265" t="s">
        <v>928</v>
      </c>
      <c r="U445" s="265" t="s">
        <v>346</v>
      </c>
      <c r="V445" s="265" t="s">
        <v>275</v>
      </c>
      <c r="W445" s="265" t="s">
        <v>927</v>
      </c>
      <c r="X445" s="265" t="s">
        <v>926</v>
      </c>
      <c r="Y445" s="265"/>
      <c r="Z445" s="225" t="s">
        <v>11265</v>
      </c>
      <c r="AA445" s="300" t="s">
        <v>10530</v>
      </c>
      <c r="AB445" s="267"/>
      <c r="AC445" s="267"/>
      <c r="AD445" s="267"/>
    </row>
    <row r="446" ht="15.75" customHeight="1" outlineLevel="1">
      <c r="A446" s="261" t="s">
        <v>10833</v>
      </c>
      <c r="B446" s="231" t="s">
        <v>77</v>
      </c>
      <c r="C446" s="231" t="s">
        <v>33</v>
      </c>
      <c r="D446" s="157" t="s">
        <v>89</v>
      </c>
      <c r="E446" s="297" t="s">
        <v>35</v>
      </c>
      <c r="F446" s="168" t="s">
        <v>11167</v>
      </c>
      <c r="G446" s="157" t="s">
        <v>33</v>
      </c>
      <c r="H446" s="212" t="s">
        <v>11172</v>
      </c>
      <c r="I446" s="231" t="s">
        <v>37</v>
      </c>
      <c r="J446" s="265" t="s">
        <v>927</v>
      </c>
      <c r="K446" s="414" t="s">
        <v>35</v>
      </c>
      <c r="L446" s="184" t="s">
        <v>11266</v>
      </c>
      <c r="M446" s="157" t="s">
        <v>29</v>
      </c>
      <c r="N446" s="167" t="s">
        <v>10498</v>
      </c>
      <c r="O446" s="55" t="str">
        <f t="shared" si="18"/>
        <v>L2.02.03.02.04.03</v>
      </c>
      <c r="P446" s="257" t="str">
        <f t="shared" si="16"/>
        <v>L2.02.03.02.04.03.01</v>
      </c>
      <c r="Q446" s="161" t="s">
        <v>10530</v>
      </c>
      <c r="R446" s="273" t="str">
        <f t="shared" si="17"/>
        <v>Nhóm Bán thêm AMIS Kế toán 02</v>
      </c>
      <c r="S446" s="269" t="s">
        <v>11262</v>
      </c>
      <c r="T446" s="265" t="s">
        <v>3611</v>
      </c>
      <c r="U446" s="265" t="s">
        <v>346</v>
      </c>
      <c r="V446" s="265" t="s">
        <v>275</v>
      </c>
      <c r="W446" s="265" t="s">
        <v>927</v>
      </c>
      <c r="X446" s="265" t="s">
        <v>3610</v>
      </c>
      <c r="Y446" s="265"/>
      <c r="Z446" s="225" t="s">
        <v>11267</v>
      </c>
      <c r="AA446" s="300" t="s">
        <v>10530</v>
      </c>
      <c r="AB446" s="267"/>
      <c r="AC446" s="267"/>
      <c r="AD446" s="267"/>
    </row>
    <row r="447" ht="15.75" customHeight="1" outlineLevel="1">
      <c r="A447" s="261" t="s">
        <v>10833</v>
      </c>
      <c r="B447" s="231" t="s">
        <v>77</v>
      </c>
      <c r="C447" s="231" t="s">
        <v>33</v>
      </c>
      <c r="D447" s="157" t="s">
        <v>89</v>
      </c>
      <c r="E447" s="297" t="s">
        <v>35</v>
      </c>
      <c r="F447" s="168" t="s">
        <v>11167</v>
      </c>
      <c r="G447" s="157" t="s">
        <v>33</v>
      </c>
      <c r="H447" s="212" t="s">
        <v>11172</v>
      </c>
      <c r="I447" s="231" t="s">
        <v>37</v>
      </c>
      <c r="J447" s="265" t="s">
        <v>927</v>
      </c>
      <c r="K447" s="414" t="s">
        <v>37</v>
      </c>
      <c r="L447" s="184" t="s">
        <v>11268</v>
      </c>
      <c r="M447" s="157" t="s">
        <v>29</v>
      </c>
      <c r="N447" s="167" t="s">
        <v>10498</v>
      </c>
      <c r="O447" s="55" t="str">
        <f t="shared" si="18"/>
        <v>L2.02.03.02.04.04</v>
      </c>
      <c r="P447" s="257" t="str">
        <f t="shared" si="16"/>
        <v>L2.02.03.02.04.04.01</v>
      </c>
      <c r="Q447" s="161" t="s">
        <v>10530</v>
      </c>
      <c r="R447" s="273" t="str">
        <f t="shared" si="17"/>
        <v>Nhóm Bán thêm AMIS Bán hàng 02</v>
      </c>
      <c r="S447" s="269" t="s">
        <v>11262</v>
      </c>
      <c r="T447" s="265" t="s">
        <v>996</v>
      </c>
      <c r="U447" s="265" t="s">
        <v>346</v>
      </c>
      <c r="V447" s="265" t="s">
        <v>275</v>
      </c>
      <c r="W447" s="265" t="s">
        <v>927</v>
      </c>
      <c r="X447" s="265" t="s">
        <v>995</v>
      </c>
      <c r="Y447" s="265"/>
      <c r="Z447" s="225" t="s">
        <v>11269</v>
      </c>
      <c r="AA447" s="300" t="s">
        <v>10530</v>
      </c>
      <c r="AB447" s="267"/>
      <c r="AC447" s="267"/>
      <c r="AD447" s="267"/>
    </row>
    <row r="448" ht="15.75" customHeight="1" outlineLevel="1">
      <c r="A448" s="261" t="s">
        <v>10833</v>
      </c>
      <c r="B448" s="231" t="s">
        <v>77</v>
      </c>
      <c r="C448" s="231" t="s">
        <v>33</v>
      </c>
      <c r="D448" s="157" t="s">
        <v>89</v>
      </c>
      <c r="E448" s="297" t="s">
        <v>35</v>
      </c>
      <c r="F448" s="168" t="s">
        <v>11167</v>
      </c>
      <c r="G448" s="157" t="s">
        <v>33</v>
      </c>
      <c r="H448" s="212" t="s">
        <v>11172</v>
      </c>
      <c r="I448" s="231" t="s">
        <v>37</v>
      </c>
      <c r="J448" s="265" t="s">
        <v>927</v>
      </c>
      <c r="K448" s="414" t="s">
        <v>42</v>
      </c>
      <c r="L448" s="184" t="s">
        <v>11270</v>
      </c>
      <c r="M448" s="157" t="s">
        <v>29</v>
      </c>
      <c r="N448" s="167" t="s">
        <v>10498</v>
      </c>
      <c r="O448" s="55" t="str">
        <f t="shared" si="18"/>
        <v>L2.02.03.02.04.05</v>
      </c>
      <c r="P448" s="257" t="str">
        <f t="shared" si="16"/>
        <v>L2.02.03.02.04.05.01</v>
      </c>
      <c r="Q448" s="161" t="s">
        <v>10530</v>
      </c>
      <c r="R448" s="273" t="str">
        <f t="shared" si="17"/>
        <v>Nhóm Bán thêm AMIS Nhân sự 02</v>
      </c>
      <c r="S448" s="269" t="s">
        <v>11262</v>
      </c>
      <c r="T448" s="265" t="s">
        <v>944</v>
      </c>
      <c r="U448" s="265" t="s">
        <v>346</v>
      </c>
      <c r="V448" s="265" t="s">
        <v>275</v>
      </c>
      <c r="W448" s="265" t="s">
        <v>927</v>
      </c>
      <c r="X448" s="265" t="s">
        <v>943</v>
      </c>
      <c r="Y448" s="265"/>
      <c r="Z448" s="225" t="s">
        <v>11271</v>
      </c>
      <c r="AA448" s="300" t="s">
        <v>10530</v>
      </c>
      <c r="AB448" s="267"/>
      <c r="AC448" s="267"/>
      <c r="AD448" s="267"/>
    </row>
    <row r="449" ht="15.75" customHeight="1" outlineLevel="1">
      <c r="A449" s="261" t="s">
        <v>10833</v>
      </c>
      <c r="B449" s="231" t="s">
        <v>77</v>
      </c>
      <c r="C449" s="231" t="s">
        <v>33</v>
      </c>
      <c r="D449" s="157" t="s">
        <v>89</v>
      </c>
      <c r="E449" s="297" t="s">
        <v>35</v>
      </c>
      <c r="F449" s="168" t="s">
        <v>11167</v>
      </c>
      <c r="G449" s="157" t="s">
        <v>33</v>
      </c>
      <c r="H449" s="212" t="s">
        <v>11172</v>
      </c>
      <c r="I449" s="231" t="s">
        <v>37</v>
      </c>
      <c r="J449" s="265" t="s">
        <v>927</v>
      </c>
      <c r="K449" s="414" t="s">
        <v>44</v>
      </c>
      <c r="L449" s="184" t="s">
        <v>11272</v>
      </c>
      <c r="M449" s="157" t="s">
        <v>29</v>
      </c>
      <c r="N449" s="167" t="s">
        <v>10498</v>
      </c>
      <c r="O449" s="55" t="str">
        <f t="shared" si="18"/>
        <v>L2.02.03.02.04.06</v>
      </c>
      <c r="P449" s="257" t="str">
        <f t="shared" si="16"/>
        <v>L2.02.03.02.04.06.01</v>
      </c>
      <c r="Q449" s="161" t="s">
        <v>10530</v>
      </c>
      <c r="R449" s="273" t="str">
        <f t="shared" si="17"/>
        <v>Nhóm Bán thêm AMIS Điều hành 02</v>
      </c>
      <c r="S449" s="269" t="s">
        <v>11262</v>
      </c>
      <c r="T449" s="265" t="s">
        <v>4014</v>
      </c>
      <c r="U449" s="265" t="s">
        <v>346</v>
      </c>
      <c r="V449" s="265" t="s">
        <v>275</v>
      </c>
      <c r="W449" s="265" t="s">
        <v>927</v>
      </c>
      <c r="X449" s="265" t="s">
        <v>4013</v>
      </c>
      <c r="Y449" s="265"/>
      <c r="Z449" s="225" t="s">
        <v>11273</v>
      </c>
      <c r="AA449" s="300" t="s">
        <v>10530</v>
      </c>
      <c r="AB449" s="267"/>
      <c r="AC449" s="267"/>
      <c r="AD449" s="267"/>
    </row>
    <row r="450" ht="15.75" customHeight="1" outlineLevel="1">
      <c r="A450" s="261" t="s">
        <v>10833</v>
      </c>
      <c r="B450" s="231" t="s">
        <v>77</v>
      </c>
      <c r="C450" s="231" t="s">
        <v>33</v>
      </c>
      <c r="D450" s="157" t="s">
        <v>89</v>
      </c>
      <c r="E450" s="297" t="s">
        <v>35</v>
      </c>
      <c r="F450" s="168" t="s">
        <v>11167</v>
      </c>
      <c r="G450" s="157" t="s">
        <v>33</v>
      </c>
      <c r="H450" s="212" t="s">
        <v>11172</v>
      </c>
      <c r="I450" s="231" t="s">
        <v>42</v>
      </c>
      <c r="J450" s="265" t="s">
        <v>1012</v>
      </c>
      <c r="K450" s="297" t="s">
        <v>27</v>
      </c>
      <c r="L450" s="258" t="s">
        <v>4</v>
      </c>
      <c r="M450" s="157" t="s">
        <v>29</v>
      </c>
      <c r="N450" s="167" t="s">
        <v>10498</v>
      </c>
      <c r="O450" s="55" t="str">
        <f t="shared" si="18"/>
        <v>L2.02.03.02.05.00</v>
      </c>
      <c r="P450" s="257" t="str">
        <f t="shared" si="16"/>
        <v>L2.02.03.02.05.00.01</v>
      </c>
      <c r="Q450" s="161" t="s">
        <v>10530</v>
      </c>
      <c r="R450" s="299" t="str">
        <f t="shared" si="17"/>
        <v>Phòng KD bán thêm 03</v>
      </c>
      <c r="S450" s="269" t="str">
        <f>P435</f>
        <v>L2.02.03.02.99.00.01</v>
      </c>
      <c r="T450" s="265" t="s">
        <v>1013</v>
      </c>
      <c r="U450" s="265" t="s">
        <v>346</v>
      </c>
      <c r="V450" s="265" t="s">
        <v>275</v>
      </c>
      <c r="W450" s="265" t="s">
        <v>1012</v>
      </c>
      <c r="X450" s="265"/>
      <c r="Y450" s="265"/>
      <c r="Z450" s="225" t="s">
        <v>11274</v>
      </c>
      <c r="AA450" s="300" t="s">
        <v>10530</v>
      </c>
      <c r="AB450" s="267"/>
      <c r="AC450" s="267"/>
      <c r="AD450" s="267"/>
    </row>
    <row r="451" ht="16.5" customHeight="1" outlineLevel="1">
      <c r="A451" s="261" t="s">
        <v>10833</v>
      </c>
      <c r="B451" s="231" t="s">
        <v>77</v>
      </c>
      <c r="C451" s="231" t="s">
        <v>33</v>
      </c>
      <c r="D451" s="157" t="s">
        <v>89</v>
      </c>
      <c r="E451" s="297" t="s">
        <v>35</v>
      </c>
      <c r="F451" s="168" t="s">
        <v>11167</v>
      </c>
      <c r="G451" s="157" t="s">
        <v>33</v>
      </c>
      <c r="H451" s="212" t="s">
        <v>11172</v>
      </c>
      <c r="I451" s="231" t="s">
        <v>42</v>
      </c>
      <c r="J451" s="265" t="s">
        <v>1012</v>
      </c>
      <c r="K451" s="168" t="s">
        <v>44</v>
      </c>
      <c r="L451" s="264" t="s">
        <v>11202</v>
      </c>
      <c r="M451" s="157" t="s">
        <v>29</v>
      </c>
      <c r="N451" s="167" t="s">
        <v>10498</v>
      </c>
      <c r="O451" s="55" t="str">
        <f t="shared" si="18"/>
        <v>L2.02.03.02.05.06</v>
      </c>
      <c r="P451" s="257" t="str">
        <f t="shared" si="16"/>
        <v>L2.02.03.02.05.06.01</v>
      </c>
      <c r="Q451" s="161" t="s">
        <v>10530</v>
      </c>
      <c r="R451" s="299" t="str">
        <f t="shared" si="17"/>
        <v>Nhóm Quản lý 03</v>
      </c>
      <c r="S451" s="269" t="s">
        <v>11275</v>
      </c>
      <c r="T451" s="265"/>
      <c r="U451" s="265"/>
      <c r="V451" s="265"/>
      <c r="W451" s="265"/>
      <c r="X451" s="265"/>
      <c r="Y451" s="264" t="s">
        <v>11089</v>
      </c>
      <c r="Z451" s="225" t="s">
        <v>11276</v>
      </c>
      <c r="AA451" s="300" t="s">
        <v>10530</v>
      </c>
      <c r="AB451" s="267"/>
      <c r="AC451" s="267"/>
      <c r="AD451" s="267"/>
    </row>
    <row r="452" ht="16.5" customHeight="1" outlineLevel="1">
      <c r="A452" s="261" t="s">
        <v>10833</v>
      </c>
      <c r="B452" s="231" t="s">
        <v>77</v>
      </c>
      <c r="C452" s="231" t="s">
        <v>33</v>
      </c>
      <c r="D452" s="157" t="s">
        <v>89</v>
      </c>
      <c r="E452" s="297" t="s">
        <v>35</v>
      </c>
      <c r="F452" s="168" t="s">
        <v>11167</v>
      </c>
      <c r="G452" s="157" t="s">
        <v>33</v>
      </c>
      <c r="H452" s="212" t="s">
        <v>11172</v>
      </c>
      <c r="I452" s="231" t="s">
        <v>42</v>
      </c>
      <c r="J452" s="265" t="s">
        <v>1012</v>
      </c>
      <c r="K452" s="414" t="s">
        <v>29</v>
      </c>
      <c r="L452" s="184" t="s">
        <v>11277</v>
      </c>
      <c r="M452" s="157" t="s">
        <v>29</v>
      </c>
      <c r="N452" s="167" t="s">
        <v>10498</v>
      </c>
      <c r="O452" s="55" t="str">
        <f t="shared" si="18"/>
        <v>L2.02.03.02.05.01</v>
      </c>
      <c r="P452" s="257" t="str">
        <f t="shared" si="16"/>
        <v>L2.02.03.02.05.01.01</v>
      </c>
      <c r="Q452" s="161" t="s">
        <v>10530</v>
      </c>
      <c r="R452" s="299" t="str">
        <f t="shared" si="17"/>
        <v>Nhóm Quản lý khách hàng 03</v>
      </c>
      <c r="S452" s="269" t="s">
        <v>11275</v>
      </c>
      <c r="T452" s="265" t="s">
        <v>3821</v>
      </c>
      <c r="U452" s="265" t="s">
        <v>346</v>
      </c>
      <c r="V452" s="265" t="s">
        <v>275</v>
      </c>
      <c r="W452" s="265" t="s">
        <v>1012</v>
      </c>
      <c r="X452" s="265" t="s">
        <v>3820</v>
      </c>
      <c r="Y452" s="265"/>
      <c r="Z452" s="225" t="s">
        <v>11278</v>
      </c>
      <c r="AA452" s="300" t="s">
        <v>10530</v>
      </c>
      <c r="AB452" s="267"/>
      <c r="AC452" s="267"/>
      <c r="AD452" s="267"/>
    </row>
    <row r="453" ht="15.75" customHeight="1" outlineLevel="1">
      <c r="A453" s="261" t="s">
        <v>10833</v>
      </c>
      <c r="B453" s="231" t="s">
        <v>77</v>
      </c>
      <c r="C453" s="231" t="s">
        <v>33</v>
      </c>
      <c r="D453" s="157" t="s">
        <v>89</v>
      </c>
      <c r="E453" s="297" t="s">
        <v>35</v>
      </c>
      <c r="F453" s="168" t="s">
        <v>11167</v>
      </c>
      <c r="G453" s="157" t="s">
        <v>33</v>
      </c>
      <c r="H453" s="212" t="s">
        <v>11172</v>
      </c>
      <c r="I453" s="231" t="s">
        <v>42</v>
      </c>
      <c r="J453" s="265" t="s">
        <v>1012</v>
      </c>
      <c r="K453" s="414" t="s">
        <v>33</v>
      </c>
      <c r="L453" s="184" t="s">
        <v>11279</v>
      </c>
      <c r="M453" s="157" t="s">
        <v>29</v>
      </c>
      <c r="N453" s="167" t="s">
        <v>10498</v>
      </c>
      <c r="O453" s="55" t="str">
        <f t="shared" si="18"/>
        <v>L2.02.03.02.05.02</v>
      </c>
      <c r="P453" s="257" t="str">
        <f t="shared" si="16"/>
        <v>L2.02.03.02.05.02.01</v>
      </c>
      <c r="Q453" s="161" t="s">
        <v>10530</v>
      </c>
      <c r="R453" s="273" t="str">
        <f t="shared" si="17"/>
        <v>Nhóm Bán thêm AMIS Kế toán 03</v>
      </c>
      <c r="S453" s="269" t="s">
        <v>11275</v>
      </c>
      <c r="T453" s="265" t="s">
        <v>4212</v>
      </c>
      <c r="U453" s="265" t="s">
        <v>346</v>
      </c>
      <c r="V453" s="265" t="s">
        <v>275</v>
      </c>
      <c r="W453" s="265" t="s">
        <v>1012</v>
      </c>
      <c r="X453" s="265" t="s">
        <v>4211</v>
      </c>
      <c r="Y453" s="265"/>
      <c r="Z453" s="225" t="s">
        <v>11280</v>
      </c>
      <c r="AA453" s="300" t="s">
        <v>10530</v>
      </c>
      <c r="AB453" s="267"/>
      <c r="AC453" s="267"/>
      <c r="AD453" s="267"/>
    </row>
    <row r="454" ht="15.75" customHeight="1" outlineLevel="1">
      <c r="A454" s="261" t="s">
        <v>10833</v>
      </c>
      <c r="B454" s="231" t="s">
        <v>77</v>
      </c>
      <c r="C454" s="231" t="s">
        <v>33</v>
      </c>
      <c r="D454" s="157" t="s">
        <v>89</v>
      </c>
      <c r="E454" s="297" t="s">
        <v>35</v>
      </c>
      <c r="F454" s="168" t="s">
        <v>11167</v>
      </c>
      <c r="G454" s="157" t="s">
        <v>33</v>
      </c>
      <c r="H454" s="212" t="s">
        <v>11172</v>
      </c>
      <c r="I454" s="231" t="s">
        <v>42</v>
      </c>
      <c r="J454" s="265" t="s">
        <v>1012</v>
      </c>
      <c r="K454" s="414" t="s">
        <v>35</v>
      </c>
      <c r="L454" s="184" t="s">
        <v>11281</v>
      </c>
      <c r="M454" s="157" t="s">
        <v>29</v>
      </c>
      <c r="N454" s="167" t="s">
        <v>10498</v>
      </c>
      <c r="O454" s="55" t="str">
        <f t="shared" si="18"/>
        <v>L2.02.03.02.05.03</v>
      </c>
      <c r="P454" s="257" t="str">
        <f t="shared" si="16"/>
        <v>L2.02.03.02.05.03.01</v>
      </c>
      <c r="Q454" s="161" t="s">
        <v>10530</v>
      </c>
      <c r="R454" s="273" t="str">
        <f t="shared" si="17"/>
        <v>Nhóm Bán thêm AMIS Bán hàng 03</v>
      </c>
      <c r="S454" s="269" t="s">
        <v>11275</v>
      </c>
      <c r="T454" s="265" t="s">
        <v>3957</v>
      </c>
      <c r="U454" s="265" t="s">
        <v>346</v>
      </c>
      <c r="V454" s="265" t="s">
        <v>275</v>
      </c>
      <c r="W454" s="265" t="s">
        <v>1012</v>
      </c>
      <c r="X454" s="265" t="s">
        <v>3956</v>
      </c>
      <c r="Y454" s="265"/>
      <c r="Z454" s="225" t="s">
        <v>11282</v>
      </c>
      <c r="AA454" s="300" t="s">
        <v>10530</v>
      </c>
      <c r="AB454" s="267"/>
      <c r="AC454" s="267"/>
      <c r="AD454" s="267"/>
    </row>
    <row r="455" ht="15.75" customHeight="1" outlineLevel="1">
      <c r="A455" s="261" t="s">
        <v>10833</v>
      </c>
      <c r="B455" s="231" t="s">
        <v>77</v>
      </c>
      <c r="C455" s="231" t="s">
        <v>33</v>
      </c>
      <c r="D455" s="157" t="s">
        <v>89</v>
      </c>
      <c r="E455" s="297" t="s">
        <v>35</v>
      </c>
      <c r="F455" s="168" t="s">
        <v>11167</v>
      </c>
      <c r="G455" s="157" t="s">
        <v>33</v>
      </c>
      <c r="H455" s="212" t="s">
        <v>11172</v>
      </c>
      <c r="I455" s="231" t="s">
        <v>42</v>
      </c>
      <c r="J455" s="265" t="s">
        <v>1012</v>
      </c>
      <c r="K455" s="414" t="s">
        <v>37</v>
      </c>
      <c r="L455" s="184" t="s">
        <v>11283</v>
      </c>
      <c r="M455" s="157" t="s">
        <v>29</v>
      </c>
      <c r="N455" s="167" t="s">
        <v>10498</v>
      </c>
      <c r="O455" s="55" t="str">
        <f t="shared" si="18"/>
        <v>L2.02.03.02.05.04</v>
      </c>
      <c r="P455" s="257" t="str">
        <f t="shared" si="16"/>
        <v>L2.02.03.02.05.04.01</v>
      </c>
      <c r="Q455" s="161" t="s">
        <v>10530</v>
      </c>
      <c r="R455" s="273" t="str">
        <f t="shared" si="17"/>
        <v>Nhóm Bán thêm AMIS Nhân sự 03</v>
      </c>
      <c r="S455" s="269" t="s">
        <v>11275</v>
      </c>
      <c r="T455" s="265" t="s">
        <v>3232</v>
      </c>
      <c r="U455" s="265" t="s">
        <v>346</v>
      </c>
      <c r="V455" s="265" t="s">
        <v>275</v>
      </c>
      <c r="W455" s="265" t="s">
        <v>1012</v>
      </c>
      <c r="X455" s="265" t="s">
        <v>3231</v>
      </c>
      <c r="Y455" s="265"/>
      <c r="Z455" s="225" t="s">
        <v>11284</v>
      </c>
      <c r="AA455" s="300" t="s">
        <v>10530</v>
      </c>
      <c r="AB455" s="267"/>
      <c r="AC455" s="267"/>
      <c r="AD455" s="267"/>
    </row>
    <row r="456" ht="15.75" customHeight="1" outlineLevel="1">
      <c r="A456" s="261" t="s">
        <v>10833</v>
      </c>
      <c r="B456" s="231" t="s">
        <v>77</v>
      </c>
      <c r="C456" s="231" t="s">
        <v>33</v>
      </c>
      <c r="D456" s="157" t="s">
        <v>89</v>
      </c>
      <c r="E456" s="297" t="s">
        <v>35</v>
      </c>
      <c r="F456" s="168" t="s">
        <v>11167</v>
      </c>
      <c r="G456" s="157" t="s">
        <v>33</v>
      </c>
      <c r="H456" s="212" t="s">
        <v>11172</v>
      </c>
      <c r="I456" s="231" t="s">
        <v>42</v>
      </c>
      <c r="J456" s="265" t="s">
        <v>1012</v>
      </c>
      <c r="K456" s="414" t="s">
        <v>42</v>
      </c>
      <c r="L456" s="184" t="s">
        <v>11285</v>
      </c>
      <c r="M456" s="157" t="s">
        <v>29</v>
      </c>
      <c r="N456" s="167" t="s">
        <v>10498</v>
      </c>
      <c r="O456" s="55" t="str">
        <f t="shared" si="18"/>
        <v>L2.02.03.02.05.05</v>
      </c>
      <c r="P456" s="257" t="str">
        <f t="shared" si="16"/>
        <v>L2.02.03.02.05.05.01</v>
      </c>
      <c r="Q456" s="161" t="s">
        <v>10530</v>
      </c>
      <c r="R456" s="273" t="str">
        <f t="shared" si="17"/>
        <v>Nhóm Bán thêm AMIS Điều hành 03</v>
      </c>
      <c r="S456" s="269" t="s">
        <v>11275</v>
      </c>
      <c r="T456" s="265" t="s">
        <v>3937</v>
      </c>
      <c r="U456" s="265" t="s">
        <v>346</v>
      </c>
      <c r="V456" s="265" t="s">
        <v>275</v>
      </c>
      <c r="W456" s="265" t="s">
        <v>1012</v>
      </c>
      <c r="X456" s="265" t="s">
        <v>3936</v>
      </c>
      <c r="Y456" s="265"/>
      <c r="Z456" s="225" t="s">
        <v>11286</v>
      </c>
      <c r="AA456" s="300" t="s">
        <v>10530</v>
      </c>
      <c r="AB456" s="267"/>
      <c r="AC456" s="267"/>
      <c r="AD456" s="267"/>
    </row>
    <row r="457" ht="15.75" customHeight="1" outlineLevel="1">
      <c r="A457" s="261" t="s">
        <v>10833</v>
      </c>
      <c r="B457" s="231" t="s">
        <v>77</v>
      </c>
      <c r="C457" s="231" t="s">
        <v>33</v>
      </c>
      <c r="D457" s="157" t="s">
        <v>89</v>
      </c>
      <c r="E457" s="297" t="s">
        <v>35</v>
      </c>
      <c r="F457" s="168" t="s">
        <v>11167</v>
      </c>
      <c r="G457" s="157" t="s">
        <v>33</v>
      </c>
      <c r="H457" s="212" t="s">
        <v>11172</v>
      </c>
      <c r="I457" s="168" t="s">
        <v>44</v>
      </c>
      <c r="J457" s="257" t="s">
        <v>101</v>
      </c>
      <c r="K457" s="297" t="s">
        <v>27</v>
      </c>
      <c r="L457" s="157" t="s">
        <v>4</v>
      </c>
      <c r="M457" s="157" t="s">
        <v>29</v>
      </c>
      <c r="N457" s="167" t="s">
        <v>10498</v>
      </c>
      <c r="O457" s="55" t="str">
        <f t="shared" si="18"/>
        <v>L2.02.03.02.06.00</v>
      </c>
      <c r="P457" s="257" t="str">
        <f t="shared" si="16"/>
        <v>L2.02.03.02.06.00.01</v>
      </c>
      <c r="Q457" s="161" t="s">
        <v>10530</v>
      </c>
      <c r="R457" s="299" t="str">
        <f t="shared" si="17"/>
        <v>Phòng chuyển giao</v>
      </c>
      <c r="S457" s="269" t="s">
        <v>11175</v>
      </c>
      <c r="T457" s="265" t="s">
        <v>507</v>
      </c>
      <c r="U457" s="265" t="s">
        <v>346</v>
      </c>
      <c r="V457" s="265" t="s">
        <v>275</v>
      </c>
      <c r="W457" s="265" t="s">
        <v>101</v>
      </c>
      <c r="X457" s="265"/>
      <c r="Y457" s="265"/>
      <c r="Z457" s="225" t="s">
        <v>11287</v>
      </c>
      <c r="AA457" s="300" t="s">
        <v>10530</v>
      </c>
      <c r="AB457" s="267"/>
      <c r="AC457" s="267"/>
      <c r="AD457" s="267"/>
    </row>
    <row r="458" ht="15.75" customHeight="1" outlineLevel="1">
      <c r="A458" s="261" t="s">
        <v>10833</v>
      </c>
      <c r="B458" s="231" t="s">
        <v>77</v>
      </c>
      <c r="C458" s="231" t="s">
        <v>33</v>
      </c>
      <c r="D458" s="157" t="s">
        <v>89</v>
      </c>
      <c r="E458" s="297" t="s">
        <v>35</v>
      </c>
      <c r="F458" s="168" t="s">
        <v>11167</v>
      </c>
      <c r="G458" s="157" t="s">
        <v>33</v>
      </c>
      <c r="H458" s="212" t="s">
        <v>11288</v>
      </c>
      <c r="I458" s="168" t="s">
        <v>27</v>
      </c>
      <c r="J458" s="258" t="s">
        <v>4</v>
      </c>
      <c r="K458" s="297" t="s">
        <v>27</v>
      </c>
      <c r="L458" s="157" t="s">
        <v>4</v>
      </c>
      <c r="M458" s="157" t="s">
        <v>33</v>
      </c>
      <c r="N458" s="167" t="s">
        <v>10499</v>
      </c>
      <c r="O458" s="55" t="str">
        <f t="shared" si="18"/>
        <v>L2.02.03.02.00.00</v>
      </c>
      <c r="P458" s="257" t="str">
        <f t="shared" si="16"/>
        <v>L2.02.03.02.00.00.02</v>
      </c>
      <c r="Q458" s="161" t="s">
        <v>10530</v>
      </c>
      <c r="R458" s="273" t="str">
        <f t="shared" si="17"/>
        <v>Trung tâm KD giải pháp DN Vừa - Hồ Chí Minh</v>
      </c>
      <c r="S458" s="269" t="s">
        <v>11170</v>
      </c>
      <c r="T458" s="342" t="s">
        <v>11289</v>
      </c>
      <c r="U458" s="265" t="s">
        <v>262</v>
      </c>
      <c r="V458" s="265" t="s">
        <v>275</v>
      </c>
      <c r="W458" s="265"/>
      <c r="X458" s="265"/>
      <c r="Y458" s="265"/>
      <c r="Z458" s="225" t="s">
        <v>11290</v>
      </c>
      <c r="AA458" s="266"/>
      <c r="AB458" s="267"/>
      <c r="AC458" s="376" t="s">
        <v>11291</v>
      </c>
      <c r="AD458" s="267"/>
    </row>
    <row r="459" ht="15.75" customHeight="1" outlineLevel="1">
      <c r="A459" s="261" t="s">
        <v>10833</v>
      </c>
      <c r="B459" s="231" t="s">
        <v>77</v>
      </c>
      <c r="C459" s="231" t="s">
        <v>33</v>
      </c>
      <c r="D459" s="157" t="s">
        <v>89</v>
      </c>
      <c r="E459" s="297" t="s">
        <v>35</v>
      </c>
      <c r="F459" s="168" t="s">
        <v>11167</v>
      </c>
      <c r="G459" s="157" t="s">
        <v>33</v>
      </c>
      <c r="H459" s="212" t="s">
        <v>11288</v>
      </c>
      <c r="I459" s="157" t="s">
        <v>29</v>
      </c>
      <c r="J459" s="257" t="s">
        <v>155</v>
      </c>
      <c r="K459" s="297" t="s">
        <v>27</v>
      </c>
      <c r="L459" s="157" t="s">
        <v>4</v>
      </c>
      <c r="M459" s="157" t="s">
        <v>33</v>
      </c>
      <c r="N459" s="167" t="s">
        <v>10499</v>
      </c>
      <c r="O459" s="55" t="str">
        <f t="shared" si="18"/>
        <v>L2.02.03.02.01.00</v>
      </c>
      <c r="P459" s="257" t="str">
        <f t="shared" si="16"/>
        <v>L2.02.03.02.01.00.02</v>
      </c>
      <c r="Q459" s="161" t="s">
        <v>10530</v>
      </c>
      <c r="R459" s="299" t="str">
        <f t="shared" si="17"/>
        <v>Ban Giám đốc</v>
      </c>
      <c r="S459" s="269" t="s">
        <v>11292</v>
      </c>
      <c r="T459" s="8" t="s">
        <v>7231</v>
      </c>
      <c r="U459" s="8" t="s">
        <v>262</v>
      </c>
      <c r="V459" s="8" t="s">
        <v>275</v>
      </c>
      <c r="W459" s="8" t="s">
        <v>7230</v>
      </c>
      <c r="X459" s="265"/>
      <c r="Y459" s="265"/>
      <c r="Z459" s="225" t="s">
        <v>11293</v>
      </c>
      <c r="AA459" s="300" t="s">
        <v>10530</v>
      </c>
      <c r="AB459" s="267"/>
      <c r="AC459" s="267"/>
      <c r="AD459" s="267"/>
    </row>
    <row r="460" ht="15.75" customHeight="1" outlineLevel="1">
      <c r="A460" s="228" t="s">
        <v>10833</v>
      </c>
      <c r="B460" s="270" t="s">
        <v>77</v>
      </c>
      <c r="C460" s="270" t="s">
        <v>33</v>
      </c>
      <c r="D460" s="209" t="s">
        <v>89</v>
      </c>
      <c r="E460" s="271" t="s">
        <v>35</v>
      </c>
      <c r="F460" s="182" t="s">
        <v>11167</v>
      </c>
      <c r="G460" s="209" t="s">
        <v>33</v>
      </c>
      <c r="H460" s="212" t="s">
        <v>11288</v>
      </c>
      <c r="I460" s="182" t="s">
        <v>11715</v>
      </c>
      <c r="J460" s="303" t="s">
        <v>11716</v>
      </c>
      <c r="K460" s="182" t="s">
        <v>27</v>
      </c>
      <c r="L460" s="209" t="s">
        <v>4</v>
      </c>
      <c r="M460" s="209" t="s">
        <v>33</v>
      </c>
      <c r="N460" s="181" t="s">
        <v>10499</v>
      </c>
      <c r="O460" s="58" t="str">
        <f t="shared" si="18"/>
        <v>L2.02.03.02.98.00</v>
      </c>
      <c r="P460" s="272" t="str">
        <f t="shared" si="16"/>
        <v>L2.02.03.02.98.00.02</v>
      </c>
      <c r="Q460" s="185" t="s">
        <v>10530</v>
      </c>
      <c r="R460" s="299" t="str">
        <f t="shared" si="17"/>
        <v>Phòng KD Bán mới </v>
      </c>
      <c r="S460" s="274" t="str">
        <f>P460</f>
        <v>L2.02.03.02.98.00.02</v>
      </c>
      <c r="T460" s="566"/>
      <c r="U460" s="277"/>
      <c r="V460" s="277"/>
      <c r="W460" s="277"/>
      <c r="X460" s="183"/>
      <c r="Y460" s="184"/>
      <c r="Z460" s="275"/>
      <c r="AA460" s="276"/>
      <c r="AB460" s="277"/>
      <c r="AC460" s="277"/>
      <c r="AD460" s="277"/>
    </row>
    <row r="461" ht="15.75" customHeight="1" outlineLevel="1">
      <c r="A461" s="261" t="s">
        <v>10833</v>
      </c>
      <c r="B461" s="231" t="s">
        <v>77</v>
      </c>
      <c r="C461" s="231" t="s">
        <v>33</v>
      </c>
      <c r="D461" s="157" t="s">
        <v>89</v>
      </c>
      <c r="E461" s="297" t="s">
        <v>35</v>
      </c>
      <c r="F461" s="168" t="s">
        <v>11167</v>
      </c>
      <c r="G461" s="157" t="s">
        <v>33</v>
      </c>
      <c r="H461" s="212" t="s">
        <v>11288</v>
      </c>
      <c r="I461" s="157" t="s">
        <v>33</v>
      </c>
      <c r="J461" s="301" t="s">
        <v>157</v>
      </c>
      <c r="K461" s="168" t="s">
        <v>27</v>
      </c>
      <c r="L461" s="157" t="s">
        <v>4</v>
      </c>
      <c r="M461" s="157" t="s">
        <v>33</v>
      </c>
      <c r="N461" s="167" t="s">
        <v>10499</v>
      </c>
      <c r="O461" s="159" t="str">
        <f t="shared" si="18"/>
        <v>L2.02.03.02.02.00</v>
      </c>
      <c r="P461" s="257" t="str">
        <f t="shared" si="16"/>
        <v>L2.02.03.02.02.00.02</v>
      </c>
      <c r="Q461" s="160" t="s">
        <v>10530</v>
      </c>
      <c r="R461" s="299" t="str">
        <f t="shared" si="17"/>
        <v>Phòng KD Bán mới 01</v>
      </c>
      <c r="S461" s="269" t="str">
        <f>P460</f>
        <v>L2.02.03.02.98.00.02</v>
      </c>
      <c r="T461" s="184" t="s">
        <v>11717</v>
      </c>
      <c r="U461" s="265" t="s">
        <v>262</v>
      </c>
      <c r="V461" s="265" t="s">
        <v>275</v>
      </c>
      <c r="W461" s="265" t="str">
        <f>J461</f>
        <v>Phòng KD Bán mới 01</v>
      </c>
      <c r="X461" s="265"/>
      <c r="Y461" s="264" t="s">
        <v>11089</v>
      </c>
      <c r="Z461" s="275" t="s">
        <v>11294</v>
      </c>
      <c r="AA461" s="266"/>
      <c r="AB461" s="267"/>
      <c r="AC461" s="267"/>
      <c r="AD461" s="267"/>
    </row>
    <row r="462" ht="15.75" customHeight="1" outlineLevel="1">
      <c r="A462" s="261" t="s">
        <v>10833</v>
      </c>
      <c r="B462" s="231" t="s">
        <v>77</v>
      </c>
      <c r="C462" s="231" t="s">
        <v>33</v>
      </c>
      <c r="D462" s="157" t="s">
        <v>89</v>
      </c>
      <c r="E462" s="297" t="s">
        <v>35</v>
      </c>
      <c r="F462" s="168" t="s">
        <v>11167</v>
      </c>
      <c r="G462" s="157" t="s">
        <v>33</v>
      </c>
      <c r="H462" s="212" t="s">
        <v>11288</v>
      </c>
      <c r="I462" s="157" t="s">
        <v>33</v>
      </c>
      <c r="J462" s="301" t="s">
        <v>157</v>
      </c>
      <c r="K462" s="168" t="s">
        <v>29</v>
      </c>
      <c r="L462" s="212" t="s">
        <v>11178</v>
      </c>
      <c r="M462" s="157" t="s">
        <v>33</v>
      </c>
      <c r="N462" s="167" t="s">
        <v>10499</v>
      </c>
      <c r="O462" s="159" t="str">
        <f t="shared" si="18"/>
        <v>L2.02.03.02.02.01</v>
      </c>
      <c r="P462" s="257" t="str">
        <f t="shared" si="16"/>
        <v>L2.02.03.02.02.01.02</v>
      </c>
      <c r="Q462" s="160" t="s">
        <v>10530</v>
      </c>
      <c r="R462" s="299" t="str">
        <f t="shared" si="17"/>
        <v>Nhóm Quản lý 01</v>
      </c>
      <c r="S462" s="269" t="s">
        <v>11295</v>
      </c>
      <c r="T462" s="265"/>
      <c r="U462" s="265"/>
      <c r="V462" s="265"/>
      <c r="W462" s="265"/>
      <c r="X462" s="265"/>
      <c r="Y462" s="264" t="s">
        <v>11089</v>
      </c>
      <c r="Z462" s="275" t="s">
        <v>11296</v>
      </c>
      <c r="AA462" s="266"/>
      <c r="AB462" s="267"/>
      <c r="AC462" s="267"/>
      <c r="AD462" s="267"/>
    </row>
    <row r="463" ht="15.75" customHeight="1" outlineLevel="1">
      <c r="A463" s="261" t="s">
        <v>10833</v>
      </c>
      <c r="B463" s="231" t="s">
        <v>77</v>
      </c>
      <c r="C463" s="231" t="s">
        <v>33</v>
      </c>
      <c r="D463" s="157" t="s">
        <v>89</v>
      </c>
      <c r="E463" s="297" t="s">
        <v>35</v>
      </c>
      <c r="F463" s="168" t="s">
        <v>11167</v>
      </c>
      <c r="G463" s="157" t="s">
        <v>33</v>
      </c>
      <c r="H463" s="212" t="s">
        <v>11288</v>
      </c>
      <c r="I463" s="157" t="s">
        <v>33</v>
      </c>
      <c r="J463" s="301" t="s">
        <v>157</v>
      </c>
      <c r="K463" s="261" t="s">
        <v>33</v>
      </c>
      <c r="L463" s="301" t="s">
        <v>11181</v>
      </c>
      <c r="M463" s="157" t="s">
        <v>33</v>
      </c>
      <c r="N463" s="167" t="s">
        <v>10499</v>
      </c>
      <c r="O463" s="159" t="str">
        <f t="shared" si="18"/>
        <v>L2.02.03.02.02.02</v>
      </c>
      <c r="P463" s="257" t="str">
        <f t="shared" si="16"/>
        <v>L2.02.03.02.02.02.02</v>
      </c>
      <c r="Q463" s="160" t="s">
        <v>10530</v>
      </c>
      <c r="R463" s="299" t="str">
        <f t="shared" si="17"/>
        <v>Nhóm KD MISA AMIS Kế toán 01</v>
      </c>
      <c r="S463" s="269" t="s">
        <v>11295</v>
      </c>
      <c r="T463" s="265"/>
      <c r="U463" s="265"/>
      <c r="V463" s="265"/>
      <c r="W463" s="265"/>
      <c r="X463" s="265"/>
      <c r="Y463" s="264" t="s">
        <v>11089</v>
      </c>
      <c r="Z463" s="275" t="s">
        <v>11297</v>
      </c>
      <c r="AA463" s="266"/>
      <c r="AB463" s="267"/>
      <c r="AC463" s="267"/>
      <c r="AD463" s="267"/>
    </row>
    <row r="464" ht="15.75" customHeight="1" outlineLevel="1">
      <c r="A464" s="261" t="s">
        <v>10833</v>
      </c>
      <c r="B464" s="231" t="s">
        <v>77</v>
      </c>
      <c r="C464" s="231" t="s">
        <v>33</v>
      </c>
      <c r="D464" s="157" t="s">
        <v>89</v>
      </c>
      <c r="E464" s="297" t="s">
        <v>35</v>
      </c>
      <c r="F464" s="168" t="s">
        <v>11167</v>
      </c>
      <c r="G464" s="157" t="s">
        <v>33</v>
      </c>
      <c r="H464" s="212" t="s">
        <v>11288</v>
      </c>
      <c r="I464" s="157" t="s">
        <v>33</v>
      </c>
      <c r="J464" s="301" t="s">
        <v>157</v>
      </c>
      <c r="K464" s="261" t="s">
        <v>35</v>
      </c>
      <c r="L464" s="301" t="s">
        <v>11183</v>
      </c>
      <c r="M464" s="157" t="s">
        <v>33</v>
      </c>
      <c r="N464" s="167" t="s">
        <v>10499</v>
      </c>
      <c r="O464" s="159" t="str">
        <f t="shared" si="18"/>
        <v>L2.02.03.02.02.03</v>
      </c>
      <c r="P464" s="257" t="str">
        <f t="shared" si="16"/>
        <v>L2.02.03.02.02.03.02</v>
      </c>
      <c r="Q464" s="160" t="s">
        <v>10530</v>
      </c>
      <c r="R464" s="299" t="str">
        <f t="shared" si="17"/>
        <v>Nhóm KD MISA AMIS Điều hành 01</v>
      </c>
      <c r="S464" s="269" t="s">
        <v>11295</v>
      </c>
      <c r="T464" s="265"/>
      <c r="U464" s="265"/>
      <c r="V464" s="265"/>
      <c r="W464" s="265"/>
      <c r="X464" s="265"/>
      <c r="Y464" s="264" t="s">
        <v>11089</v>
      </c>
      <c r="Z464" s="275" t="s">
        <v>11298</v>
      </c>
      <c r="AA464" s="266"/>
      <c r="AB464" s="267"/>
      <c r="AC464" s="267"/>
      <c r="AD464" s="267"/>
    </row>
    <row r="465" ht="15.75" customHeight="1" outlineLevel="1">
      <c r="A465" s="261" t="s">
        <v>10833</v>
      </c>
      <c r="B465" s="231" t="s">
        <v>77</v>
      </c>
      <c r="C465" s="231" t="s">
        <v>33</v>
      </c>
      <c r="D465" s="157" t="s">
        <v>89</v>
      </c>
      <c r="E465" s="297" t="s">
        <v>35</v>
      </c>
      <c r="F465" s="168" t="s">
        <v>11167</v>
      </c>
      <c r="G465" s="157" t="s">
        <v>33</v>
      </c>
      <c r="H465" s="212" t="s">
        <v>11288</v>
      </c>
      <c r="I465" s="157" t="s">
        <v>33</v>
      </c>
      <c r="J465" s="301" t="s">
        <v>157</v>
      </c>
      <c r="K465" s="261" t="s">
        <v>37</v>
      </c>
      <c r="L465" s="392" t="s">
        <v>11185</v>
      </c>
      <c r="M465" s="157" t="s">
        <v>33</v>
      </c>
      <c r="N465" s="167" t="s">
        <v>10499</v>
      </c>
      <c r="O465" s="159" t="str">
        <f t="shared" si="18"/>
        <v>L2.02.03.02.02.04</v>
      </c>
      <c r="P465" s="257" t="str">
        <f t="shared" si="16"/>
        <v>L2.02.03.02.02.04.02</v>
      </c>
      <c r="Q465" s="160" t="s">
        <v>10530</v>
      </c>
      <c r="R465" s="299" t="str">
        <f t="shared" si="17"/>
        <v>Nhóm KD MISA AMIS Nhân sự 01</v>
      </c>
      <c r="S465" s="269" t="s">
        <v>11295</v>
      </c>
      <c r="T465" s="265"/>
      <c r="U465" s="265"/>
      <c r="V465" s="265"/>
      <c r="W465" s="265"/>
      <c r="X465" s="265"/>
      <c r="Y465" s="264" t="s">
        <v>11089</v>
      </c>
      <c r="Z465" s="275" t="s">
        <v>11299</v>
      </c>
      <c r="AA465" s="266"/>
      <c r="AB465" s="267"/>
      <c r="AC465" s="267"/>
      <c r="AD465" s="267"/>
    </row>
    <row r="466" ht="15.75" customHeight="1" outlineLevel="1">
      <c r="A466" s="261" t="s">
        <v>10833</v>
      </c>
      <c r="B466" s="231" t="s">
        <v>77</v>
      </c>
      <c r="C466" s="231" t="s">
        <v>33</v>
      </c>
      <c r="D466" s="157" t="s">
        <v>89</v>
      </c>
      <c r="E466" s="297" t="s">
        <v>35</v>
      </c>
      <c r="F466" s="168" t="s">
        <v>11167</v>
      </c>
      <c r="G466" s="157" t="s">
        <v>33</v>
      </c>
      <c r="H466" s="212" t="s">
        <v>11288</v>
      </c>
      <c r="I466" s="157" t="s">
        <v>33</v>
      </c>
      <c r="J466" s="301" t="s">
        <v>157</v>
      </c>
      <c r="K466" s="261" t="s">
        <v>42</v>
      </c>
      <c r="L466" s="392" t="s">
        <v>11187</v>
      </c>
      <c r="M466" s="157" t="s">
        <v>33</v>
      </c>
      <c r="N466" s="167" t="s">
        <v>10499</v>
      </c>
      <c r="O466" s="159" t="str">
        <f t="shared" si="18"/>
        <v>L2.02.03.02.02.05</v>
      </c>
      <c r="P466" s="257" t="str">
        <f t="shared" si="16"/>
        <v>L2.02.03.02.02.05.02</v>
      </c>
      <c r="Q466" s="160" t="s">
        <v>10530</v>
      </c>
      <c r="R466" s="299" t="str">
        <f t="shared" si="17"/>
        <v>Nhóm KD MISA AMIS Bán hàng 01</v>
      </c>
      <c r="S466" s="269" t="s">
        <v>11295</v>
      </c>
      <c r="T466" s="265"/>
      <c r="U466" s="265"/>
      <c r="V466" s="265"/>
      <c r="W466" s="265"/>
      <c r="X466" s="265"/>
      <c r="Y466" s="264" t="s">
        <v>11089</v>
      </c>
      <c r="Z466" s="275" t="s">
        <v>11300</v>
      </c>
      <c r="AA466" s="266"/>
      <c r="AB466" s="267"/>
      <c r="AC466" s="267"/>
      <c r="AD466" s="267"/>
    </row>
    <row r="467" ht="15.75" customHeight="1" outlineLevel="1">
      <c r="A467" s="228" t="s">
        <v>10833</v>
      </c>
      <c r="B467" s="270" t="s">
        <v>77</v>
      </c>
      <c r="C467" s="270" t="s">
        <v>33</v>
      </c>
      <c r="D467" s="209" t="s">
        <v>89</v>
      </c>
      <c r="E467" s="271" t="s">
        <v>35</v>
      </c>
      <c r="F467" s="182" t="s">
        <v>11167</v>
      </c>
      <c r="G467" s="209" t="s">
        <v>33</v>
      </c>
      <c r="H467" s="212" t="s">
        <v>11288</v>
      </c>
      <c r="I467" s="182" t="s">
        <v>35</v>
      </c>
      <c r="J467" s="303" t="s">
        <v>158</v>
      </c>
      <c r="K467" s="182" t="s">
        <v>27</v>
      </c>
      <c r="L467" s="209" t="s">
        <v>4</v>
      </c>
      <c r="M467" s="209" t="s">
        <v>33</v>
      </c>
      <c r="N467" s="181" t="s">
        <v>10499</v>
      </c>
      <c r="O467" s="58" t="str">
        <f t="shared" si="18"/>
        <v>L2.02.03.02.03.00</v>
      </c>
      <c r="P467" s="272" t="str">
        <f t="shared" si="16"/>
        <v>L2.02.03.02.03.00.02</v>
      </c>
      <c r="Q467" s="185" t="s">
        <v>10530</v>
      </c>
      <c r="R467" s="273" t="str">
        <f t="shared" si="17"/>
        <v>Phòng KD Bán mới 02</v>
      </c>
      <c r="S467" s="274" t="str">
        <f>P460</f>
        <v>L2.02.03.02.98.00.02</v>
      </c>
      <c r="T467" s="184" t="s">
        <v>11725</v>
      </c>
      <c r="U467" s="265" t="s">
        <v>262</v>
      </c>
      <c r="V467" s="265" t="s">
        <v>275</v>
      </c>
      <c r="W467" s="265" t="str">
        <f>J467</f>
        <v>Phòng KD Bán mới 02</v>
      </c>
      <c r="X467" s="183"/>
      <c r="Y467" s="184" t="s">
        <v>11089</v>
      </c>
      <c r="Z467" s="275" t="s">
        <v>11301</v>
      </c>
      <c r="AA467" s="276"/>
      <c r="AB467" s="277"/>
      <c r="AC467" s="277"/>
      <c r="AD467" s="277"/>
    </row>
    <row r="468" ht="15.75" customHeight="1" outlineLevel="1">
      <c r="A468" s="228" t="s">
        <v>10833</v>
      </c>
      <c r="B468" s="270" t="s">
        <v>77</v>
      </c>
      <c r="C468" s="270" t="s">
        <v>33</v>
      </c>
      <c r="D468" s="209" t="s">
        <v>89</v>
      </c>
      <c r="E468" s="271" t="s">
        <v>35</v>
      </c>
      <c r="F468" s="182" t="s">
        <v>11167</v>
      </c>
      <c r="G468" s="209" t="s">
        <v>33</v>
      </c>
      <c r="H468" s="212" t="s">
        <v>11288</v>
      </c>
      <c r="I468" s="182" t="s">
        <v>35</v>
      </c>
      <c r="J468" s="303" t="s">
        <v>158</v>
      </c>
      <c r="K468" s="182" t="s">
        <v>29</v>
      </c>
      <c r="L468" s="212" t="s">
        <v>11190</v>
      </c>
      <c r="M468" s="209" t="s">
        <v>33</v>
      </c>
      <c r="N468" s="181" t="s">
        <v>10499</v>
      </c>
      <c r="O468" s="58" t="str">
        <f t="shared" si="18"/>
        <v>L2.02.03.02.03.01</v>
      </c>
      <c r="P468" s="272" t="str">
        <f t="shared" si="16"/>
        <v>L2.02.03.02.03.01.02</v>
      </c>
      <c r="Q468" s="185" t="s">
        <v>10530</v>
      </c>
      <c r="R468" s="273" t="str">
        <f t="shared" si="17"/>
        <v>Nhóm Quản lý 02</v>
      </c>
      <c r="S468" s="274" t="str">
        <f>P467</f>
        <v>L2.02.03.02.03.00.02</v>
      </c>
      <c r="T468" s="183"/>
      <c r="U468" s="183"/>
      <c r="V468" s="183"/>
      <c r="W468" s="183"/>
      <c r="X468" s="183"/>
      <c r="Y468" s="184" t="s">
        <v>11089</v>
      </c>
      <c r="Z468" s="275" t="s">
        <v>11302</v>
      </c>
      <c r="AA468" s="276"/>
      <c r="AB468" s="277"/>
      <c r="AC468" s="277"/>
      <c r="AD468" s="277"/>
    </row>
    <row r="469" ht="15.75" customHeight="1" outlineLevel="1">
      <c r="A469" s="228" t="s">
        <v>10833</v>
      </c>
      <c r="B469" s="270" t="s">
        <v>77</v>
      </c>
      <c r="C469" s="270" t="s">
        <v>33</v>
      </c>
      <c r="D469" s="209" t="s">
        <v>89</v>
      </c>
      <c r="E469" s="271" t="s">
        <v>35</v>
      </c>
      <c r="F469" s="182" t="s">
        <v>11167</v>
      </c>
      <c r="G469" s="209" t="s">
        <v>33</v>
      </c>
      <c r="H469" s="212" t="s">
        <v>11288</v>
      </c>
      <c r="I469" s="182" t="s">
        <v>35</v>
      </c>
      <c r="J469" s="303" t="s">
        <v>158</v>
      </c>
      <c r="K469" s="228" t="s">
        <v>33</v>
      </c>
      <c r="L469" s="303" t="s">
        <v>11192</v>
      </c>
      <c r="M469" s="209" t="s">
        <v>33</v>
      </c>
      <c r="N469" s="181" t="s">
        <v>10499</v>
      </c>
      <c r="O469" s="58" t="str">
        <f t="shared" si="18"/>
        <v>L2.02.03.02.03.02</v>
      </c>
      <c r="P469" s="272" t="str">
        <f t="shared" si="16"/>
        <v>L2.02.03.02.03.02.02</v>
      </c>
      <c r="Q469" s="185" t="s">
        <v>10530</v>
      </c>
      <c r="R469" s="273" t="str">
        <f t="shared" si="17"/>
        <v>Nhóm KD MISA AMIS Kế toán 02</v>
      </c>
      <c r="S469" s="274" t="str">
        <f>P467</f>
        <v>L2.02.03.02.03.00.02</v>
      </c>
      <c r="T469" s="183"/>
      <c r="U469" s="183"/>
      <c r="V469" s="183"/>
      <c r="W469" s="183"/>
      <c r="X469" s="183"/>
      <c r="Y469" s="184" t="s">
        <v>11089</v>
      </c>
      <c r="Z469" s="275" t="s">
        <v>11303</v>
      </c>
      <c r="AA469" s="276"/>
      <c r="AB469" s="277"/>
      <c r="AC469" s="277"/>
      <c r="AD469" s="277"/>
    </row>
    <row r="470" ht="15.75" customHeight="1" outlineLevel="1">
      <c r="A470" s="228" t="s">
        <v>10833</v>
      </c>
      <c r="B470" s="270" t="s">
        <v>77</v>
      </c>
      <c r="C470" s="270" t="s">
        <v>33</v>
      </c>
      <c r="D470" s="209" t="s">
        <v>89</v>
      </c>
      <c r="E470" s="271" t="s">
        <v>35</v>
      </c>
      <c r="F470" s="182" t="s">
        <v>11167</v>
      </c>
      <c r="G470" s="209" t="s">
        <v>33</v>
      </c>
      <c r="H470" s="212" t="s">
        <v>11288</v>
      </c>
      <c r="I470" s="182" t="s">
        <v>35</v>
      </c>
      <c r="J470" s="303" t="s">
        <v>158</v>
      </c>
      <c r="K470" s="228" t="s">
        <v>35</v>
      </c>
      <c r="L470" s="303" t="s">
        <v>11194</v>
      </c>
      <c r="M470" s="209" t="s">
        <v>33</v>
      </c>
      <c r="N470" s="181" t="s">
        <v>10499</v>
      </c>
      <c r="O470" s="58" t="str">
        <f t="shared" si="18"/>
        <v>L2.02.03.02.03.03</v>
      </c>
      <c r="P470" s="272" t="str">
        <f t="shared" si="16"/>
        <v>L2.02.03.02.03.03.02</v>
      </c>
      <c r="Q470" s="185" t="s">
        <v>10530</v>
      </c>
      <c r="R470" s="273" t="str">
        <f t="shared" si="17"/>
        <v>Nhóm KD MISA AMIS Điều hành 02</v>
      </c>
      <c r="S470" s="274" t="str">
        <f>P467</f>
        <v>L2.02.03.02.03.00.02</v>
      </c>
      <c r="T470" s="183"/>
      <c r="U470" s="183"/>
      <c r="V470" s="183"/>
      <c r="W470" s="183"/>
      <c r="X470" s="183"/>
      <c r="Y470" s="184" t="s">
        <v>11089</v>
      </c>
      <c r="Z470" s="275" t="s">
        <v>11304</v>
      </c>
      <c r="AA470" s="276"/>
      <c r="AB470" s="277"/>
      <c r="AC470" s="277"/>
      <c r="AD470" s="277"/>
    </row>
    <row r="471" ht="15.75" customHeight="1" outlineLevel="1">
      <c r="A471" s="228" t="s">
        <v>10833</v>
      </c>
      <c r="B471" s="270" t="s">
        <v>77</v>
      </c>
      <c r="C471" s="270" t="s">
        <v>33</v>
      </c>
      <c r="D471" s="209" t="s">
        <v>89</v>
      </c>
      <c r="E471" s="271" t="s">
        <v>35</v>
      </c>
      <c r="F471" s="182" t="s">
        <v>11167</v>
      </c>
      <c r="G471" s="209" t="s">
        <v>33</v>
      </c>
      <c r="H471" s="212" t="s">
        <v>11288</v>
      </c>
      <c r="I471" s="182" t="s">
        <v>35</v>
      </c>
      <c r="J471" s="303" t="s">
        <v>158</v>
      </c>
      <c r="K471" s="228" t="s">
        <v>37</v>
      </c>
      <c r="L471" s="390" t="s">
        <v>11196</v>
      </c>
      <c r="M471" s="209" t="s">
        <v>33</v>
      </c>
      <c r="N471" s="181" t="s">
        <v>10499</v>
      </c>
      <c r="O471" s="58" t="str">
        <f t="shared" si="18"/>
        <v>L2.02.03.02.03.04</v>
      </c>
      <c r="P471" s="272" t="str">
        <f t="shared" si="16"/>
        <v>L2.02.03.02.03.04.02</v>
      </c>
      <c r="Q471" s="185" t="s">
        <v>10530</v>
      </c>
      <c r="R471" s="273" t="str">
        <f t="shared" si="17"/>
        <v>Nhóm KD MISA AMIS Nhân sự 02</v>
      </c>
      <c r="S471" s="274" t="str">
        <f>P467</f>
        <v>L2.02.03.02.03.00.02</v>
      </c>
      <c r="T471" s="183"/>
      <c r="U471" s="183"/>
      <c r="V471" s="183"/>
      <c r="W471" s="183"/>
      <c r="X471" s="183"/>
      <c r="Y471" s="184" t="s">
        <v>11089</v>
      </c>
      <c r="Z471" s="275" t="s">
        <v>11305</v>
      </c>
      <c r="AA471" s="276"/>
      <c r="AB471" s="277"/>
      <c r="AC471" s="277"/>
      <c r="AD471" s="277"/>
    </row>
    <row r="472" ht="15.75" customHeight="1" outlineLevel="1">
      <c r="A472" s="228" t="s">
        <v>10833</v>
      </c>
      <c r="B472" s="270" t="s">
        <v>77</v>
      </c>
      <c r="C472" s="270" t="s">
        <v>33</v>
      </c>
      <c r="D472" s="209" t="s">
        <v>89</v>
      </c>
      <c r="E472" s="271" t="s">
        <v>35</v>
      </c>
      <c r="F472" s="182" t="s">
        <v>11167</v>
      </c>
      <c r="G472" s="209" t="s">
        <v>33</v>
      </c>
      <c r="H472" s="212" t="s">
        <v>11288</v>
      </c>
      <c r="I472" s="182" t="s">
        <v>35</v>
      </c>
      <c r="J472" s="303" t="s">
        <v>158</v>
      </c>
      <c r="K472" s="228" t="s">
        <v>42</v>
      </c>
      <c r="L472" s="390" t="s">
        <v>11198</v>
      </c>
      <c r="M472" s="209" t="s">
        <v>33</v>
      </c>
      <c r="N472" s="181" t="s">
        <v>10499</v>
      </c>
      <c r="O472" s="58" t="str">
        <f t="shared" si="18"/>
        <v>L2.02.03.02.03.05</v>
      </c>
      <c r="P472" s="272" t="str">
        <f t="shared" si="16"/>
        <v>L2.02.03.02.03.05.02</v>
      </c>
      <c r="Q472" s="185" t="s">
        <v>10530</v>
      </c>
      <c r="R472" s="273" t="str">
        <f t="shared" si="17"/>
        <v>Nhóm KD MISA AMIS Bán hàng 02</v>
      </c>
      <c r="S472" s="274" t="str">
        <f>P467</f>
        <v>L2.02.03.02.03.00.02</v>
      </c>
      <c r="T472" s="183"/>
      <c r="U472" s="183"/>
      <c r="V472" s="183"/>
      <c r="W472" s="183"/>
      <c r="X472" s="183"/>
      <c r="Y472" s="184" t="s">
        <v>11089</v>
      </c>
      <c r="Z472" s="275" t="s">
        <v>11306</v>
      </c>
      <c r="AA472" s="276"/>
      <c r="AB472" s="277"/>
      <c r="AC472" s="277"/>
      <c r="AD472" s="277"/>
    </row>
    <row r="473" ht="15.75" customHeight="1" outlineLevel="1">
      <c r="A473" s="228" t="s">
        <v>10833</v>
      </c>
      <c r="B473" s="270" t="s">
        <v>77</v>
      </c>
      <c r="C473" s="270" t="s">
        <v>33</v>
      </c>
      <c r="D473" s="209" t="s">
        <v>89</v>
      </c>
      <c r="E473" s="271" t="s">
        <v>35</v>
      </c>
      <c r="F473" s="182" t="s">
        <v>11167</v>
      </c>
      <c r="G473" s="209" t="s">
        <v>33</v>
      </c>
      <c r="H473" s="212" t="s">
        <v>11288</v>
      </c>
      <c r="I473" s="182" t="s">
        <v>49</v>
      </c>
      <c r="J473" s="303" t="s">
        <v>11200</v>
      </c>
      <c r="K473" s="182" t="s">
        <v>27</v>
      </c>
      <c r="L473" s="209" t="s">
        <v>4</v>
      </c>
      <c r="M473" s="209" t="s">
        <v>33</v>
      </c>
      <c r="N473" s="181" t="s">
        <v>10499</v>
      </c>
      <c r="O473" s="58" t="str">
        <f t="shared" si="18"/>
        <v>L2.02.03.02.08.00</v>
      </c>
      <c r="P473" s="272" t="str">
        <f t="shared" si="16"/>
        <v>L2.02.03.02.08.00.02</v>
      </c>
      <c r="Q473" s="185" t="s">
        <v>10530</v>
      </c>
      <c r="R473" s="273" t="str">
        <f t="shared" si="17"/>
        <v>Phòng KD Bán mới 03</v>
      </c>
      <c r="S473" s="274" t="str">
        <f>P460</f>
        <v>L2.02.03.02.98.00.02</v>
      </c>
      <c r="T473" s="184" t="s">
        <v>11731</v>
      </c>
      <c r="U473" s="265" t="s">
        <v>262</v>
      </c>
      <c r="V473" s="265" t="s">
        <v>275</v>
      </c>
      <c r="W473" s="265" t="str">
        <f>J473</f>
        <v>Phòng KD Bán mới 03</v>
      </c>
      <c r="X473" s="183"/>
      <c r="Y473" s="184" t="s">
        <v>11089</v>
      </c>
      <c r="Z473" s="275" t="s">
        <v>11307</v>
      </c>
      <c r="AA473" s="276"/>
      <c r="AB473" s="277"/>
      <c r="AC473" s="277"/>
      <c r="AD473" s="277"/>
    </row>
    <row r="474" ht="15.75" customHeight="1" outlineLevel="1">
      <c r="A474" s="228" t="s">
        <v>10833</v>
      </c>
      <c r="B474" s="270" t="s">
        <v>77</v>
      </c>
      <c r="C474" s="270" t="s">
        <v>33</v>
      </c>
      <c r="D474" s="209" t="s">
        <v>89</v>
      </c>
      <c r="E474" s="271" t="s">
        <v>35</v>
      </c>
      <c r="F474" s="182" t="s">
        <v>11167</v>
      </c>
      <c r="G474" s="209" t="s">
        <v>33</v>
      </c>
      <c r="H474" s="212" t="s">
        <v>11288</v>
      </c>
      <c r="I474" s="182" t="s">
        <v>49</v>
      </c>
      <c r="J474" s="303" t="s">
        <v>11200</v>
      </c>
      <c r="K474" s="182" t="s">
        <v>29</v>
      </c>
      <c r="L474" s="212" t="s">
        <v>11202</v>
      </c>
      <c r="M474" s="209" t="s">
        <v>33</v>
      </c>
      <c r="N474" s="181" t="s">
        <v>10499</v>
      </c>
      <c r="O474" s="58" t="str">
        <f t="shared" si="18"/>
        <v>L2.02.03.02.08.01</v>
      </c>
      <c r="P474" s="272" t="str">
        <f t="shared" si="16"/>
        <v>L2.02.03.02.08.01.02</v>
      </c>
      <c r="Q474" s="185" t="s">
        <v>10530</v>
      </c>
      <c r="R474" s="273" t="str">
        <f t="shared" si="17"/>
        <v>Nhóm Quản lý 03</v>
      </c>
      <c r="S474" s="274" t="str">
        <f>P473</f>
        <v>L2.02.03.02.08.00.02</v>
      </c>
      <c r="T474" s="183"/>
      <c r="U474" s="183"/>
      <c r="V474" s="183"/>
      <c r="W474" s="183"/>
      <c r="X474" s="183"/>
      <c r="Y474" s="184" t="s">
        <v>11089</v>
      </c>
      <c r="Z474" s="275" t="s">
        <v>11308</v>
      </c>
      <c r="AA474" s="276"/>
      <c r="AB474" s="277"/>
      <c r="AC474" s="277"/>
      <c r="AD474" s="277"/>
    </row>
    <row r="475" ht="15.75" customHeight="1" outlineLevel="1">
      <c r="A475" s="228" t="s">
        <v>10833</v>
      </c>
      <c r="B475" s="270" t="s">
        <v>77</v>
      </c>
      <c r="C475" s="270" t="s">
        <v>33</v>
      </c>
      <c r="D475" s="209" t="s">
        <v>89</v>
      </c>
      <c r="E475" s="271" t="s">
        <v>35</v>
      </c>
      <c r="F475" s="182" t="s">
        <v>11167</v>
      </c>
      <c r="G475" s="209" t="s">
        <v>33</v>
      </c>
      <c r="H475" s="212" t="s">
        <v>11288</v>
      </c>
      <c r="I475" s="182" t="s">
        <v>49</v>
      </c>
      <c r="J475" s="303" t="s">
        <v>11200</v>
      </c>
      <c r="K475" s="228" t="s">
        <v>33</v>
      </c>
      <c r="L475" s="303" t="s">
        <v>11204</v>
      </c>
      <c r="M475" s="209" t="s">
        <v>33</v>
      </c>
      <c r="N475" s="181" t="s">
        <v>10499</v>
      </c>
      <c r="O475" s="58" t="str">
        <f t="shared" si="18"/>
        <v>L2.02.03.02.08.02</v>
      </c>
      <c r="P475" s="272" t="str">
        <f t="shared" si="16"/>
        <v>L2.02.03.02.08.02.02</v>
      </c>
      <c r="Q475" s="185" t="s">
        <v>10530</v>
      </c>
      <c r="R475" s="273" t="str">
        <f t="shared" si="17"/>
        <v>Nhóm KD MISA AMIS Kế toán 03</v>
      </c>
      <c r="S475" s="274" t="str">
        <f>P473</f>
        <v>L2.02.03.02.08.00.02</v>
      </c>
      <c r="T475" s="183"/>
      <c r="U475" s="183"/>
      <c r="V475" s="183"/>
      <c r="W475" s="183"/>
      <c r="X475" s="183"/>
      <c r="Y475" s="184" t="s">
        <v>11089</v>
      </c>
      <c r="Z475" s="275" t="s">
        <v>11309</v>
      </c>
      <c r="AA475" s="276"/>
      <c r="AB475" s="277"/>
      <c r="AC475" s="277"/>
      <c r="AD475" s="277"/>
    </row>
    <row r="476" ht="15.75" customHeight="1" outlineLevel="1">
      <c r="A476" s="228" t="s">
        <v>10833</v>
      </c>
      <c r="B476" s="270" t="s">
        <v>77</v>
      </c>
      <c r="C476" s="270" t="s">
        <v>33</v>
      </c>
      <c r="D476" s="209" t="s">
        <v>89</v>
      </c>
      <c r="E476" s="271" t="s">
        <v>35</v>
      </c>
      <c r="F476" s="182" t="s">
        <v>11167</v>
      </c>
      <c r="G476" s="209" t="s">
        <v>33</v>
      </c>
      <c r="H476" s="212" t="s">
        <v>11288</v>
      </c>
      <c r="I476" s="182" t="s">
        <v>49</v>
      </c>
      <c r="J476" s="303" t="s">
        <v>11200</v>
      </c>
      <c r="K476" s="228" t="s">
        <v>35</v>
      </c>
      <c r="L476" s="303" t="s">
        <v>11206</v>
      </c>
      <c r="M476" s="209" t="s">
        <v>33</v>
      </c>
      <c r="N476" s="181" t="s">
        <v>10499</v>
      </c>
      <c r="O476" s="58" t="str">
        <f t="shared" si="18"/>
        <v>L2.02.03.02.08.03</v>
      </c>
      <c r="P476" s="272" t="str">
        <f t="shared" si="16"/>
        <v>L2.02.03.02.08.03.02</v>
      </c>
      <c r="Q476" s="185" t="s">
        <v>10530</v>
      </c>
      <c r="R476" s="273" t="str">
        <f t="shared" si="17"/>
        <v>Nhóm KD MISA AMIS Điều hành 03</v>
      </c>
      <c r="S476" s="274" t="str">
        <f>P473</f>
        <v>L2.02.03.02.08.00.02</v>
      </c>
      <c r="T476" s="183"/>
      <c r="U476" s="183"/>
      <c r="V476" s="183"/>
      <c r="W476" s="183"/>
      <c r="X476" s="183"/>
      <c r="Y476" s="184" t="s">
        <v>11089</v>
      </c>
      <c r="Z476" s="275" t="s">
        <v>11310</v>
      </c>
      <c r="AA476" s="276"/>
      <c r="AB476" s="277"/>
      <c r="AC476" s="277"/>
      <c r="AD476" s="277"/>
    </row>
    <row r="477" ht="15.75" customHeight="1" outlineLevel="1">
      <c r="A477" s="228" t="s">
        <v>10833</v>
      </c>
      <c r="B477" s="270" t="s">
        <v>77</v>
      </c>
      <c r="C477" s="270" t="s">
        <v>33</v>
      </c>
      <c r="D477" s="209" t="s">
        <v>89</v>
      </c>
      <c r="E477" s="271" t="s">
        <v>35</v>
      </c>
      <c r="F477" s="182" t="s">
        <v>11167</v>
      </c>
      <c r="G477" s="209" t="s">
        <v>33</v>
      </c>
      <c r="H477" s="212" t="s">
        <v>11288</v>
      </c>
      <c r="I477" s="182" t="s">
        <v>49</v>
      </c>
      <c r="J477" s="303" t="s">
        <v>11200</v>
      </c>
      <c r="K477" s="228" t="s">
        <v>37</v>
      </c>
      <c r="L477" s="390" t="s">
        <v>11208</v>
      </c>
      <c r="M477" s="209" t="s">
        <v>33</v>
      </c>
      <c r="N477" s="181" t="s">
        <v>10499</v>
      </c>
      <c r="O477" s="58" t="str">
        <f t="shared" si="18"/>
        <v>L2.02.03.02.08.04</v>
      </c>
      <c r="P477" s="272" t="str">
        <f t="shared" si="16"/>
        <v>L2.02.03.02.08.04.02</v>
      </c>
      <c r="Q477" s="185" t="s">
        <v>10530</v>
      </c>
      <c r="R477" s="273" t="str">
        <f t="shared" si="17"/>
        <v>Nhóm KD MISA AMIS Nhân sự 03</v>
      </c>
      <c r="S477" s="274" t="str">
        <f>P473</f>
        <v>L2.02.03.02.08.00.02</v>
      </c>
      <c r="T477" s="183"/>
      <c r="U477" s="183"/>
      <c r="V477" s="183"/>
      <c r="W477" s="183"/>
      <c r="X477" s="183"/>
      <c r="Y477" s="184" t="s">
        <v>11089</v>
      </c>
      <c r="Z477" s="275" t="s">
        <v>11311</v>
      </c>
      <c r="AA477" s="276"/>
      <c r="AB477" s="277"/>
      <c r="AC477" s="277"/>
      <c r="AD477" s="277"/>
    </row>
    <row r="478" ht="15.75" customHeight="1" outlineLevel="1">
      <c r="A478" s="228" t="s">
        <v>10833</v>
      </c>
      <c r="B478" s="270" t="s">
        <v>77</v>
      </c>
      <c r="C478" s="270" t="s">
        <v>33</v>
      </c>
      <c r="D478" s="209" t="s">
        <v>89</v>
      </c>
      <c r="E478" s="271" t="s">
        <v>35</v>
      </c>
      <c r="F478" s="182" t="s">
        <v>11167</v>
      </c>
      <c r="G478" s="209" t="s">
        <v>33</v>
      </c>
      <c r="H478" s="212" t="s">
        <v>11288</v>
      </c>
      <c r="I478" s="182" t="s">
        <v>49</v>
      </c>
      <c r="J478" s="303" t="s">
        <v>11200</v>
      </c>
      <c r="K478" s="228" t="s">
        <v>42</v>
      </c>
      <c r="L478" s="390" t="s">
        <v>11210</v>
      </c>
      <c r="M478" s="209" t="s">
        <v>33</v>
      </c>
      <c r="N478" s="181" t="s">
        <v>10499</v>
      </c>
      <c r="O478" s="58" t="str">
        <f t="shared" si="18"/>
        <v>L2.02.03.02.08.05</v>
      </c>
      <c r="P478" s="272" t="str">
        <f t="shared" si="16"/>
        <v>L2.02.03.02.08.05.02</v>
      </c>
      <c r="Q478" s="185" t="s">
        <v>10530</v>
      </c>
      <c r="R478" s="273" t="str">
        <f t="shared" si="17"/>
        <v>Nhóm KD MISA AMIS Bán hàng 03</v>
      </c>
      <c r="S478" s="274" t="str">
        <f>P473</f>
        <v>L2.02.03.02.08.00.02</v>
      </c>
      <c r="T478" s="183"/>
      <c r="U478" s="183"/>
      <c r="V478" s="183"/>
      <c r="W478" s="183"/>
      <c r="X478" s="183"/>
      <c r="Y478" s="184" t="s">
        <v>11089</v>
      </c>
      <c r="Z478" s="275" t="s">
        <v>11312</v>
      </c>
      <c r="AA478" s="276"/>
      <c r="AB478" s="277"/>
      <c r="AC478" s="277"/>
      <c r="AD478" s="277"/>
    </row>
    <row r="479" ht="15.75" customHeight="1" outlineLevel="1">
      <c r="A479" s="228" t="s">
        <v>10833</v>
      </c>
      <c r="B479" s="270" t="s">
        <v>77</v>
      </c>
      <c r="C479" s="270" t="s">
        <v>33</v>
      </c>
      <c r="D479" s="209" t="s">
        <v>89</v>
      </c>
      <c r="E479" s="271" t="s">
        <v>35</v>
      </c>
      <c r="F479" s="182" t="s">
        <v>11167</v>
      </c>
      <c r="G479" s="209" t="s">
        <v>33</v>
      </c>
      <c r="H479" s="212" t="s">
        <v>11288</v>
      </c>
      <c r="I479" s="182" t="s">
        <v>51</v>
      </c>
      <c r="J479" s="303" t="s">
        <v>11212</v>
      </c>
      <c r="K479" s="182" t="s">
        <v>27</v>
      </c>
      <c r="L479" s="209" t="s">
        <v>4</v>
      </c>
      <c r="M479" s="209" t="s">
        <v>33</v>
      </c>
      <c r="N479" s="181" t="s">
        <v>10499</v>
      </c>
      <c r="O479" s="58" t="str">
        <f t="shared" si="18"/>
        <v>L2.02.03.02.09.00</v>
      </c>
      <c r="P479" s="272" t="str">
        <f t="shared" si="16"/>
        <v>L2.02.03.02.09.00.02</v>
      </c>
      <c r="Q479" s="185" t="s">
        <v>10530</v>
      </c>
      <c r="R479" s="273" t="str">
        <f t="shared" si="17"/>
        <v>Phòng KD Bán mới 04</v>
      </c>
      <c r="S479" s="274" t="str">
        <f>P460</f>
        <v>L2.02.03.02.98.00.02</v>
      </c>
      <c r="T479" s="184" t="s">
        <v>11737</v>
      </c>
      <c r="U479" s="265" t="s">
        <v>262</v>
      </c>
      <c r="V479" s="265" t="s">
        <v>275</v>
      </c>
      <c r="W479" s="265" t="str">
        <f>J479</f>
        <v>Phòng KD Bán mới 04</v>
      </c>
      <c r="X479" s="183"/>
      <c r="Y479" s="184" t="s">
        <v>11089</v>
      </c>
      <c r="Z479" s="275" t="s">
        <v>11313</v>
      </c>
      <c r="AA479" s="276"/>
      <c r="AB479" s="277"/>
      <c r="AC479" s="277"/>
      <c r="AD479" s="277"/>
    </row>
    <row r="480" ht="15.75" customHeight="1" outlineLevel="1">
      <c r="A480" s="228" t="s">
        <v>10833</v>
      </c>
      <c r="B480" s="270" t="s">
        <v>77</v>
      </c>
      <c r="C480" s="270" t="s">
        <v>33</v>
      </c>
      <c r="D480" s="209" t="s">
        <v>89</v>
      </c>
      <c r="E480" s="271" t="s">
        <v>35</v>
      </c>
      <c r="F480" s="182" t="s">
        <v>11167</v>
      </c>
      <c r="G480" s="209" t="s">
        <v>33</v>
      </c>
      <c r="H480" s="212" t="s">
        <v>11288</v>
      </c>
      <c r="I480" s="182" t="s">
        <v>51</v>
      </c>
      <c r="J480" s="303" t="s">
        <v>11212</v>
      </c>
      <c r="K480" s="182" t="s">
        <v>29</v>
      </c>
      <c r="L480" s="212" t="s">
        <v>11214</v>
      </c>
      <c r="M480" s="209" t="s">
        <v>33</v>
      </c>
      <c r="N480" s="181" t="s">
        <v>10499</v>
      </c>
      <c r="O480" s="58" t="str">
        <f t="shared" si="18"/>
        <v>L2.02.03.02.09.01</v>
      </c>
      <c r="P480" s="272" t="str">
        <f t="shared" si="16"/>
        <v>L2.02.03.02.09.01.02</v>
      </c>
      <c r="Q480" s="185" t="s">
        <v>10530</v>
      </c>
      <c r="R480" s="273" t="str">
        <f t="shared" si="17"/>
        <v>Nhóm Quản lý 04</v>
      </c>
      <c r="S480" s="274" t="str">
        <f>P479</f>
        <v>L2.02.03.02.09.00.02</v>
      </c>
      <c r="T480" s="183"/>
      <c r="U480" s="183"/>
      <c r="V480" s="183"/>
      <c r="W480" s="183"/>
      <c r="X480" s="183"/>
      <c r="Y480" s="184" t="s">
        <v>11089</v>
      </c>
      <c r="Z480" s="275" t="s">
        <v>11314</v>
      </c>
      <c r="AA480" s="276"/>
      <c r="AB480" s="277"/>
      <c r="AC480" s="277"/>
      <c r="AD480" s="277"/>
    </row>
    <row r="481" ht="15.75" customHeight="1" outlineLevel="1">
      <c r="A481" s="228" t="s">
        <v>10833</v>
      </c>
      <c r="B481" s="270" t="s">
        <v>77</v>
      </c>
      <c r="C481" s="270" t="s">
        <v>33</v>
      </c>
      <c r="D481" s="209" t="s">
        <v>89</v>
      </c>
      <c r="E481" s="271" t="s">
        <v>35</v>
      </c>
      <c r="F481" s="182" t="s">
        <v>11167</v>
      </c>
      <c r="G481" s="209" t="s">
        <v>33</v>
      </c>
      <c r="H481" s="212" t="s">
        <v>11288</v>
      </c>
      <c r="I481" s="182" t="s">
        <v>51</v>
      </c>
      <c r="J481" s="303" t="s">
        <v>11212</v>
      </c>
      <c r="K481" s="228" t="s">
        <v>33</v>
      </c>
      <c r="L481" s="303" t="s">
        <v>11216</v>
      </c>
      <c r="M481" s="209" t="s">
        <v>33</v>
      </c>
      <c r="N481" s="181" t="s">
        <v>10499</v>
      </c>
      <c r="O481" s="58" t="str">
        <f t="shared" si="18"/>
        <v>L2.02.03.02.09.02</v>
      </c>
      <c r="P481" s="272" t="str">
        <f t="shared" si="16"/>
        <v>L2.02.03.02.09.02.02</v>
      </c>
      <c r="Q481" s="185" t="s">
        <v>10530</v>
      </c>
      <c r="R481" s="273" t="str">
        <f t="shared" si="17"/>
        <v>Nhóm KD MISA AMIS Kế toán 04</v>
      </c>
      <c r="S481" s="274" t="str">
        <f>P479</f>
        <v>L2.02.03.02.09.00.02</v>
      </c>
      <c r="T481" s="183"/>
      <c r="U481" s="183"/>
      <c r="V481" s="183"/>
      <c r="W481" s="183"/>
      <c r="X481" s="183"/>
      <c r="Y481" s="184" t="s">
        <v>11089</v>
      </c>
      <c r="Z481" s="275" t="s">
        <v>11315</v>
      </c>
      <c r="AA481" s="276"/>
      <c r="AB481" s="277"/>
      <c r="AC481" s="277"/>
      <c r="AD481" s="277"/>
    </row>
    <row r="482" ht="15.75" customHeight="1" outlineLevel="1">
      <c r="A482" s="228" t="s">
        <v>10833</v>
      </c>
      <c r="B482" s="270" t="s">
        <v>77</v>
      </c>
      <c r="C482" s="270" t="s">
        <v>33</v>
      </c>
      <c r="D482" s="209" t="s">
        <v>89</v>
      </c>
      <c r="E482" s="271" t="s">
        <v>35</v>
      </c>
      <c r="F482" s="182" t="s">
        <v>11167</v>
      </c>
      <c r="G482" s="209" t="s">
        <v>33</v>
      </c>
      <c r="H482" s="212" t="s">
        <v>11288</v>
      </c>
      <c r="I482" s="182" t="s">
        <v>51</v>
      </c>
      <c r="J482" s="303" t="s">
        <v>11212</v>
      </c>
      <c r="K482" s="228" t="s">
        <v>35</v>
      </c>
      <c r="L482" s="303" t="s">
        <v>11218</v>
      </c>
      <c r="M482" s="209" t="s">
        <v>33</v>
      </c>
      <c r="N482" s="181" t="s">
        <v>10499</v>
      </c>
      <c r="O482" s="58" t="str">
        <f t="shared" si="18"/>
        <v>L2.02.03.02.09.03</v>
      </c>
      <c r="P482" s="272" t="str">
        <f t="shared" si="16"/>
        <v>L2.02.03.02.09.03.02</v>
      </c>
      <c r="Q482" s="185" t="s">
        <v>10530</v>
      </c>
      <c r="R482" s="273" t="str">
        <f t="shared" si="17"/>
        <v>Nhóm KD MISA AMIS Điều hành 04</v>
      </c>
      <c r="S482" s="274" t="str">
        <f>P479</f>
        <v>L2.02.03.02.09.00.02</v>
      </c>
      <c r="T482" s="183"/>
      <c r="U482" s="183"/>
      <c r="V482" s="183"/>
      <c r="W482" s="183"/>
      <c r="X482" s="183"/>
      <c r="Y482" s="184" t="s">
        <v>11089</v>
      </c>
      <c r="Z482" s="275" t="s">
        <v>11316</v>
      </c>
      <c r="AA482" s="276"/>
      <c r="AB482" s="277"/>
      <c r="AC482" s="277"/>
      <c r="AD482" s="277"/>
    </row>
    <row r="483" ht="15.75" customHeight="1" outlineLevel="1">
      <c r="A483" s="228" t="s">
        <v>10833</v>
      </c>
      <c r="B483" s="270" t="s">
        <v>77</v>
      </c>
      <c r="C483" s="270" t="s">
        <v>33</v>
      </c>
      <c r="D483" s="209" t="s">
        <v>89</v>
      </c>
      <c r="E483" s="271" t="s">
        <v>35</v>
      </c>
      <c r="F483" s="182" t="s">
        <v>11167</v>
      </c>
      <c r="G483" s="209" t="s">
        <v>33</v>
      </c>
      <c r="H483" s="212" t="s">
        <v>11288</v>
      </c>
      <c r="I483" s="182" t="s">
        <v>51</v>
      </c>
      <c r="J483" s="303" t="s">
        <v>11212</v>
      </c>
      <c r="K483" s="228" t="s">
        <v>37</v>
      </c>
      <c r="L483" s="390" t="s">
        <v>11220</v>
      </c>
      <c r="M483" s="209" t="s">
        <v>33</v>
      </c>
      <c r="N483" s="181" t="s">
        <v>10499</v>
      </c>
      <c r="O483" s="58" t="str">
        <f t="shared" si="18"/>
        <v>L2.02.03.02.09.04</v>
      </c>
      <c r="P483" s="272" t="str">
        <f t="shared" si="16"/>
        <v>L2.02.03.02.09.04.02</v>
      </c>
      <c r="Q483" s="185" t="s">
        <v>10530</v>
      </c>
      <c r="R483" s="273" t="str">
        <f t="shared" si="17"/>
        <v>Nhóm KD MISA AMIS Nhân sự 04</v>
      </c>
      <c r="S483" s="274" t="str">
        <f>P479</f>
        <v>L2.02.03.02.09.00.02</v>
      </c>
      <c r="T483" s="183"/>
      <c r="U483" s="183"/>
      <c r="V483" s="183"/>
      <c r="W483" s="183"/>
      <c r="X483" s="183"/>
      <c r="Y483" s="184" t="s">
        <v>11089</v>
      </c>
      <c r="Z483" s="275" t="s">
        <v>11317</v>
      </c>
      <c r="AA483" s="276"/>
      <c r="AB483" s="277"/>
      <c r="AC483" s="277"/>
      <c r="AD483" s="277"/>
    </row>
    <row r="484" ht="15.75" customHeight="1" outlineLevel="1">
      <c r="A484" s="228" t="s">
        <v>10833</v>
      </c>
      <c r="B484" s="270" t="s">
        <v>77</v>
      </c>
      <c r="C484" s="270" t="s">
        <v>33</v>
      </c>
      <c r="D484" s="209" t="s">
        <v>89</v>
      </c>
      <c r="E484" s="271" t="s">
        <v>35</v>
      </c>
      <c r="F484" s="182" t="s">
        <v>11167</v>
      </c>
      <c r="G484" s="209" t="s">
        <v>33</v>
      </c>
      <c r="H484" s="212" t="s">
        <v>11288</v>
      </c>
      <c r="I484" s="182" t="s">
        <v>51</v>
      </c>
      <c r="J484" s="303" t="s">
        <v>11212</v>
      </c>
      <c r="K484" s="228" t="s">
        <v>42</v>
      </c>
      <c r="L484" s="390" t="s">
        <v>11222</v>
      </c>
      <c r="M484" s="209" t="s">
        <v>33</v>
      </c>
      <c r="N484" s="181" t="s">
        <v>10499</v>
      </c>
      <c r="O484" s="58" t="str">
        <f t="shared" si="18"/>
        <v>L2.02.03.02.09.05</v>
      </c>
      <c r="P484" s="272" t="str">
        <f t="shared" si="16"/>
        <v>L2.02.03.02.09.05.02</v>
      </c>
      <c r="Q484" s="185" t="s">
        <v>10530</v>
      </c>
      <c r="R484" s="273" t="str">
        <f t="shared" si="17"/>
        <v>Nhóm KD MISA AMIS Bán hàng 04</v>
      </c>
      <c r="S484" s="274" t="str">
        <f>P479</f>
        <v>L2.02.03.02.09.00.02</v>
      </c>
      <c r="T484" s="183"/>
      <c r="U484" s="183"/>
      <c r="V484" s="183"/>
      <c r="W484" s="183"/>
      <c r="X484" s="183"/>
      <c r="Y484" s="184" t="s">
        <v>11089</v>
      </c>
      <c r="Z484" s="275" t="s">
        <v>11318</v>
      </c>
      <c r="AA484" s="276"/>
      <c r="AB484" s="277"/>
      <c r="AC484" s="277"/>
      <c r="AD484" s="277"/>
    </row>
    <row r="485" ht="15.75" customHeight="1" outlineLevel="1">
      <c r="A485" s="228" t="s">
        <v>10833</v>
      </c>
      <c r="B485" s="270" t="s">
        <v>77</v>
      </c>
      <c r="C485" s="270" t="s">
        <v>33</v>
      </c>
      <c r="D485" s="209" t="s">
        <v>89</v>
      </c>
      <c r="E485" s="271" t="s">
        <v>35</v>
      </c>
      <c r="F485" s="182" t="s">
        <v>11167</v>
      </c>
      <c r="G485" s="209" t="s">
        <v>33</v>
      </c>
      <c r="H485" s="212" t="s">
        <v>11288</v>
      </c>
      <c r="I485" s="182" t="s">
        <v>55</v>
      </c>
      <c r="J485" s="303" t="s">
        <v>11224</v>
      </c>
      <c r="K485" s="182" t="s">
        <v>27</v>
      </c>
      <c r="L485" s="209" t="s">
        <v>4</v>
      </c>
      <c r="M485" s="209" t="s">
        <v>33</v>
      </c>
      <c r="N485" s="181" t="s">
        <v>10499</v>
      </c>
      <c r="O485" s="58" t="str">
        <f t="shared" si="18"/>
        <v>L2.02.03.02.10.00</v>
      </c>
      <c r="P485" s="272" t="str">
        <f t="shared" si="16"/>
        <v>L2.02.03.02.10.00.02</v>
      </c>
      <c r="Q485" s="185" t="s">
        <v>10530</v>
      </c>
      <c r="R485" s="273" t="str">
        <f t="shared" si="17"/>
        <v>Phòng KD Bán mới 05</v>
      </c>
      <c r="S485" s="274" t="str">
        <f>P460</f>
        <v>L2.02.03.02.98.00.02</v>
      </c>
      <c r="T485" s="184" t="s">
        <v>11743</v>
      </c>
      <c r="U485" s="265" t="s">
        <v>262</v>
      </c>
      <c r="V485" s="265" t="s">
        <v>275</v>
      </c>
      <c r="W485" s="265" t="str">
        <f>J485</f>
        <v>Phòng KD Bán mới 05</v>
      </c>
      <c r="X485" s="183"/>
      <c r="Y485" s="184" t="s">
        <v>11089</v>
      </c>
      <c r="Z485" s="275" t="s">
        <v>11319</v>
      </c>
      <c r="AA485" s="276"/>
      <c r="AB485" s="277"/>
      <c r="AC485" s="277"/>
      <c r="AD485" s="277"/>
    </row>
    <row r="486" ht="15.75" customHeight="1" outlineLevel="1">
      <c r="A486" s="228" t="s">
        <v>10833</v>
      </c>
      <c r="B486" s="270" t="s">
        <v>77</v>
      </c>
      <c r="C486" s="270" t="s">
        <v>33</v>
      </c>
      <c r="D486" s="209" t="s">
        <v>89</v>
      </c>
      <c r="E486" s="271" t="s">
        <v>35</v>
      </c>
      <c r="F486" s="182" t="s">
        <v>11167</v>
      </c>
      <c r="G486" s="209" t="s">
        <v>33</v>
      </c>
      <c r="H486" s="212" t="s">
        <v>11288</v>
      </c>
      <c r="I486" s="182" t="s">
        <v>55</v>
      </c>
      <c r="J486" s="303" t="s">
        <v>11224</v>
      </c>
      <c r="K486" s="182" t="s">
        <v>29</v>
      </c>
      <c r="L486" s="212" t="s">
        <v>11226</v>
      </c>
      <c r="M486" s="209" t="s">
        <v>33</v>
      </c>
      <c r="N486" s="181" t="s">
        <v>10499</v>
      </c>
      <c r="O486" s="58" t="str">
        <f t="shared" si="18"/>
        <v>L2.02.03.02.10.01</v>
      </c>
      <c r="P486" s="272" t="str">
        <f t="shared" si="16"/>
        <v>L2.02.03.02.10.01.02</v>
      </c>
      <c r="Q486" s="185" t="s">
        <v>10530</v>
      </c>
      <c r="R486" s="273" t="str">
        <f t="shared" si="17"/>
        <v>Nhóm Quản lý 05</v>
      </c>
      <c r="S486" s="274" t="str">
        <f>P485</f>
        <v>L2.02.03.02.10.00.02</v>
      </c>
      <c r="T486" s="183"/>
      <c r="U486" s="183"/>
      <c r="V486" s="183"/>
      <c r="W486" s="183"/>
      <c r="X486" s="183"/>
      <c r="Y486" s="184" t="s">
        <v>11089</v>
      </c>
      <c r="Z486" s="275" t="s">
        <v>11320</v>
      </c>
      <c r="AA486" s="276"/>
      <c r="AB486" s="277"/>
      <c r="AC486" s="277"/>
      <c r="AD486" s="277"/>
    </row>
    <row r="487" ht="15.75" customHeight="1" outlineLevel="1">
      <c r="A487" s="228" t="s">
        <v>10833</v>
      </c>
      <c r="B487" s="270" t="s">
        <v>77</v>
      </c>
      <c r="C487" s="270" t="s">
        <v>33</v>
      </c>
      <c r="D487" s="209" t="s">
        <v>89</v>
      </c>
      <c r="E487" s="271" t="s">
        <v>35</v>
      </c>
      <c r="F487" s="182" t="s">
        <v>11167</v>
      </c>
      <c r="G487" s="209" t="s">
        <v>33</v>
      </c>
      <c r="H487" s="212" t="s">
        <v>11288</v>
      </c>
      <c r="I487" s="182" t="s">
        <v>55</v>
      </c>
      <c r="J487" s="303" t="s">
        <v>11224</v>
      </c>
      <c r="K487" s="228" t="s">
        <v>33</v>
      </c>
      <c r="L487" s="303" t="s">
        <v>11228</v>
      </c>
      <c r="M487" s="209" t="s">
        <v>33</v>
      </c>
      <c r="N487" s="181" t="s">
        <v>10499</v>
      </c>
      <c r="O487" s="58" t="str">
        <f t="shared" si="18"/>
        <v>L2.02.03.02.10.02</v>
      </c>
      <c r="P487" s="272" t="str">
        <f t="shared" si="16"/>
        <v>L2.02.03.02.10.02.02</v>
      </c>
      <c r="Q487" s="185" t="s">
        <v>10530</v>
      </c>
      <c r="R487" s="273" t="str">
        <f t="shared" si="17"/>
        <v>Nhóm KD MISA AMIS Kế toán 05</v>
      </c>
      <c r="S487" s="274" t="str">
        <f>P485</f>
        <v>L2.02.03.02.10.00.02</v>
      </c>
      <c r="T487" s="183"/>
      <c r="U487" s="183"/>
      <c r="V487" s="183"/>
      <c r="W487" s="183"/>
      <c r="X487" s="183"/>
      <c r="Y487" s="184" t="s">
        <v>11089</v>
      </c>
      <c r="Z487" s="275" t="s">
        <v>11321</v>
      </c>
      <c r="AA487" s="276"/>
      <c r="AB487" s="277"/>
      <c r="AC487" s="277"/>
      <c r="AD487" s="277"/>
    </row>
    <row r="488" ht="15.75" customHeight="1" outlineLevel="1">
      <c r="A488" s="228" t="s">
        <v>10833</v>
      </c>
      <c r="B488" s="270" t="s">
        <v>77</v>
      </c>
      <c r="C488" s="270" t="s">
        <v>33</v>
      </c>
      <c r="D488" s="209" t="s">
        <v>89</v>
      </c>
      <c r="E488" s="271" t="s">
        <v>35</v>
      </c>
      <c r="F488" s="182" t="s">
        <v>11167</v>
      </c>
      <c r="G488" s="209" t="s">
        <v>33</v>
      </c>
      <c r="H488" s="212" t="s">
        <v>11288</v>
      </c>
      <c r="I488" s="182" t="s">
        <v>55</v>
      </c>
      <c r="J488" s="303" t="s">
        <v>11224</v>
      </c>
      <c r="K488" s="228" t="s">
        <v>35</v>
      </c>
      <c r="L488" s="303" t="s">
        <v>11230</v>
      </c>
      <c r="M488" s="209" t="s">
        <v>33</v>
      </c>
      <c r="N488" s="181" t="s">
        <v>10499</v>
      </c>
      <c r="O488" s="58" t="str">
        <f t="shared" si="18"/>
        <v>L2.02.03.02.10.03</v>
      </c>
      <c r="P488" s="272" t="str">
        <f t="shared" si="16"/>
        <v>L2.02.03.02.10.03.02</v>
      </c>
      <c r="Q488" s="185" t="s">
        <v>10530</v>
      </c>
      <c r="R488" s="273" t="str">
        <f t="shared" si="17"/>
        <v>Nhóm KD MISA AMIS Điều hành 05</v>
      </c>
      <c r="S488" s="274" t="str">
        <f>P485</f>
        <v>L2.02.03.02.10.00.02</v>
      </c>
      <c r="T488" s="183"/>
      <c r="U488" s="183"/>
      <c r="V488" s="183"/>
      <c r="W488" s="183"/>
      <c r="X488" s="183"/>
      <c r="Y488" s="184" t="s">
        <v>11089</v>
      </c>
      <c r="Z488" s="275" t="s">
        <v>11322</v>
      </c>
      <c r="AA488" s="276"/>
      <c r="AB488" s="277"/>
      <c r="AC488" s="277"/>
      <c r="AD488" s="277"/>
    </row>
    <row r="489" ht="15.75" customHeight="1" outlineLevel="1">
      <c r="A489" s="228" t="s">
        <v>10833</v>
      </c>
      <c r="B489" s="270" t="s">
        <v>77</v>
      </c>
      <c r="C489" s="270" t="s">
        <v>33</v>
      </c>
      <c r="D489" s="209" t="s">
        <v>89</v>
      </c>
      <c r="E489" s="271" t="s">
        <v>35</v>
      </c>
      <c r="F489" s="182" t="s">
        <v>11167</v>
      </c>
      <c r="G489" s="209" t="s">
        <v>33</v>
      </c>
      <c r="H489" s="212" t="s">
        <v>11288</v>
      </c>
      <c r="I489" s="182" t="s">
        <v>55</v>
      </c>
      <c r="J489" s="303" t="s">
        <v>11224</v>
      </c>
      <c r="K489" s="228" t="s">
        <v>37</v>
      </c>
      <c r="L489" s="390" t="s">
        <v>11232</v>
      </c>
      <c r="M489" s="209" t="s">
        <v>33</v>
      </c>
      <c r="N489" s="181" t="s">
        <v>10499</v>
      </c>
      <c r="O489" s="58" t="str">
        <f t="shared" si="18"/>
        <v>L2.02.03.02.10.04</v>
      </c>
      <c r="P489" s="272" t="str">
        <f t="shared" si="16"/>
        <v>L2.02.03.02.10.04.02</v>
      </c>
      <c r="Q489" s="185" t="s">
        <v>10530</v>
      </c>
      <c r="R489" s="273" t="str">
        <f t="shared" si="17"/>
        <v>Nhóm KD MISA AMIS Nhân sự 05</v>
      </c>
      <c r="S489" s="274" t="str">
        <f>P485</f>
        <v>L2.02.03.02.10.00.02</v>
      </c>
      <c r="T489" s="183"/>
      <c r="U489" s="183"/>
      <c r="V489" s="183"/>
      <c r="W489" s="183"/>
      <c r="X489" s="183"/>
      <c r="Y489" s="184" t="s">
        <v>11089</v>
      </c>
      <c r="Z489" s="275" t="s">
        <v>11323</v>
      </c>
      <c r="AA489" s="276"/>
      <c r="AB489" s="277"/>
      <c r="AC489" s="277"/>
      <c r="AD489" s="277"/>
    </row>
    <row r="490" ht="15.75" customHeight="1" outlineLevel="1">
      <c r="A490" s="228" t="s">
        <v>10833</v>
      </c>
      <c r="B490" s="270" t="s">
        <v>77</v>
      </c>
      <c r="C490" s="270" t="s">
        <v>33</v>
      </c>
      <c r="D490" s="209" t="s">
        <v>89</v>
      </c>
      <c r="E490" s="271" t="s">
        <v>35</v>
      </c>
      <c r="F490" s="182" t="s">
        <v>11167</v>
      </c>
      <c r="G490" s="209" t="s">
        <v>33</v>
      </c>
      <c r="H490" s="212" t="s">
        <v>11288</v>
      </c>
      <c r="I490" s="182" t="s">
        <v>55</v>
      </c>
      <c r="J490" s="303" t="s">
        <v>11224</v>
      </c>
      <c r="K490" s="228" t="s">
        <v>42</v>
      </c>
      <c r="L490" s="390" t="s">
        <v>11234</v>
      </c>
      <c r="M490" s="209" t="s">
        <v>33</v>
      </c>
      <c r="N490" s="181" t="s">
        <v>10499</v>
      </c>
      <c r="O490" s="58" t="str">
        <f t="shared" si="18"/>
        <v>L2.02.03.02.10.05</v>
      </c>
      <c r="P490" s="272" t="str">
        <f t="shared" si="16"/>
        <v>L2.02.03.02.10.05.02</v>
      </c>
      <c r="Q490" s="185" t="s">
        <v>10530</v>
      </c>
      <c r="R490" s="273" t="str">
        <f t="shared" si="17"/>
        <v>Nhóm KD MISA AMIS Bán hàng 05</v>
      </c>
      <c r="S490" s="274" t="str">
        <f>P485</f>
        <v>L2.02.03.02.10.00.02</v>
      </c>
      <c r="T490" s="183"/>
      <c r="U490" s="183"/>
      <c r="V490" s="183"/>
      <c r="W490" s="183"/>
      <c r="X490" s="183"/>
      <c r="Y490" s="184" t="s">
        <v>11089</v>
      </c>
      <c r="Z490" s="275" t="s">
        <v>11324</v>
      </c>
      <c r="AA490" s="276"/>
      <c r="AB490" s="277"/>
      <c r="AC490" s="277"/>
      <c r="AD490" s="277"/>
    </row>
    <row r="491" ht="15.75" customHeight="1" outlineLevel="1">
      <c r="A491" s="228" t="s">
        <v>10833</v>
      </c>
      <c r="B491" s="270" t="s">
        <v>77</v>
      </c>
      <c r="C491" s="270" t="s">
        <v>33</v>
      </c>
      <c r="D491" s="209" t="s">
        <v>89</v>
      </c>
      <c r="E491" s="271" t="s">
        <v>35</v>
      </c>
      <c r="F491" s="182" t="s">
        <v>11167</v>
      </c>
      <c r="G491" s="209" t="s">
        <v>33</v>
      </c>
      <c r="H491" s="212" t="s">
        <v>11288</v>
      </c>
      <c r="I491" s="182" t="s">
        <v>61</v>
      </c>
      <c r="J491" s="303" t="s">
        <v>11236</v>
      </c>
      <c r="K491" s="182" t="s">
        <v>27</v>
      </c>
      <c r="L491" s="209" t="s">
        <v>4</v>
      </c>
      <c r="M491" s="209" t="s">
        <v>33</v>
      </c>
      <c r="N491" s="181" t="s">
        <v>10499</v>
      </c>
      <c r="O491" s="58" t="str">
        <f t="shared" si="18"/>
        <v>L2.02.03.02.11.00</v>
      </c>
      <c r="P491" s="272" t="str">
        <f t="shared" si="16"/>
        <v>L2.02.03.02.11.00.02</v>
      </c>
      <c r="Q491" s="185" t="s">
        <v>10530</v>
      </c>
      <c r="R491" s="273" t="str">
        <f t="shared" si="17"/>
        <v>Phòng KD Bán mới 06</v>
      </c>
      <c r="S491" s="274" t="str">
        <f>P460</f>
        <v>L2.02.03.02.98.00.02</v>
      </c>
      <c r="T491" s="184" t="s">
        <v>11749</v>
      </c>
      <c r="U491" s="265" t="s">
        <v>262</v>
      </c>
      <c r="V491" s="265" t="s">
        <v>275</v>
      </c>
      <c r="W491" s="265" t="str">
        <f>J491</f>
        <v>Phòng KD Bán mới 06</v>
      </c>
      <c r="X491" s="183"/>
      <c r="Y491" s="184" t="s">
        <v>11089</v>
      </c>
      <c r="Z491" s="275" t="s">
        <v>11325</v>
      </c>
      <c r="AA491" s="276"/>
      <c r="AB491" s="277"/>
      <c r="AC491" s="277"/>
      <c r="AD491" s="277"/>
    </row>
    <row r="492" ht="15.75" customHeight="1" outlineLevel="1">
      <c r="A492" s="228" t="s">
        <v>10833</v>
      </c>
      <c r="B492" s="270" t="s">
        <v>77</v>
      </c>
      <c r="C492" s="270" t="s">
        <v>33</v>
      </c>
      <c r="D492" s="209" t="s">
        <v>89</v>
      </c>
      <c r="E492" s="271" t="s">
        <v>35</v>
      </c>
      <c r="F492" s="182" t="s">
        <v>11167</v>
      </c>
      <c r="G492" s="209" t="s">
        <v>33</v>
      </c>
      <c r="H492" s="212" t="s">
        <v>11288</v>
      </c>
      <c r="I492" s="182" t="s">
        <v>61</v>
      </c>
      <c r="J492" s="303" t="s">
        <v>11236</v>
      </c>
      <c r="K492" s="182" t="s">
        <v>29</v>
      </c>
      <c r="L492" s="212" t="s">
        <v>11238</v>
      </c>
      <c r="M492" s="209" t="s">
        <v>33</v>
      </c>
      <c r="N492" s="181" t="s">
        <v>10499</v>
      </c>
      <c r="O492" s="58" t="str">
        <f t="shared" si="18"/>
        <v>L2.02.03.02.11.01</v>
      </c>
      <c r="P492" s="272" t="str">
        <f t="shared" si="16"/>
        <v>L2.02.03.02.11.01.02</v>
      </c>
      <c r="Q492" s="185" t="s">
        <v>10530</v>
      </c>
      <c r="R492" s="273" t="str">
        <f t="shared" si="17"/>
        <v>Nhóm Quản lý 06</v>
      </c>
      <c r="S492" s="274" t="str">
        <f>P491</f>
        <v>L2.02.03.02.11.00.02</v>
      </c>
      <c r="T492" s="183"/>
      <c r="U492" s="183"/>
      <c r="V492" s="183"/>
      <c r="W492" s="183"/>
      <c r="X492" s="183"/>
      <c r="Y492" s="184" t="s">
        <v>11089</v>
      </c>
      <c r="Z492" s="275" t="s">
        <v>11326</v>
      </c>
      <c r="AA492" s="276"/>
      <c r="AB492" s="277"/>
      <c r="AC492" s="277"/>
      <c r="AD492" s="277"/>
    </row>
    <row r="493" ht="15.75" customHeight="1" outlineLevel="1">
      <c r="A493" s="228" t="s">
        <v>10833</v>
      </c>
      <c r="B493" s="270" t="s">
        <v>77</v>
      </c>
      <c r="C493" s="270" t="s">
        <v>33</v>
      </c>
      <c r="D493" s="209" t="s">
        <v>89</v>
      </c>
      <c r="E493" s="271" t="s">
        <v>35</v>
      </c>
      <c r="F493" s="182" t="s">
        <v>11167</v>
      </c>
      <c r="G493" s="209" t="s">
        <v>33</v>
      </c>
      <c r="H493" s="212" t="s">
        <v>11288</v>
      </c>
      <c r="I493" s="182" t="s">
        <v>61</v>
      </c>
      <c r="J493" s="303" t="s">
        <v>11236</v>
      </c>
      <c r="K493" s="228" t="s">
        <v>33</v>
      </c>
      <c r="L493" s="303" t="s">
        <v>11228</v>
      </c>
      <c r="M493" s="209" t="s">
        <v>33</v>
      </c>
      <c r="N493" s="181" t="s">
        <v>10499</v>
      </c>
      <c r="O493" s="58" t="str">
        <f t="shared" si="18"/>
        <v>L2.02.03.02.11.02</v>
      </c>
      <c r="P493" s="272" t="str">
        <f t="shared" si="16"/>
        <v>L2.02.03.02.11.02.02</v>
      </c>
      <c r="Q493" s="185" t="s">
        <v>10530</v>
      </c>
      <c r="R493" s="273" t="str">
        <f t="shared" si="17"/>
        <v>Nhóm KD MISA AMIS Kế toán 05</v>
      </c>
      <c r="S493" s="274" t="str">
        <f>P491</f>
        <v>L2.02.03.02.11.00.02</v>
      </c>
      <c r="T493" s="183"/>
      <c r="U493" s="183"/>
      <c r="V493" s="183"/>
      <c r="W493" s="183"/>
      <c r="X493" s="183"/>
      <c r="Y493" s="184" t="s">
        <v>11089</v>
      </c>
      <c r="Z493" s="275" t="s">
        <v>11327</v>
      </c>
      <c r="AA493" s="276"/>
      <c r="AB493" s="277"/>
      <c r="AC493" s="277"/>
      <c r="AD493" s="277"/>
    </row>
    <row r="494" ht="15.75" customHeight="1" outlineLevel="1">
      <c r="A494" s="228" t="s">
        <v>10833</v>
      </c>
      <c r="B494" s="270" t="s">
        <v>77</v>
      </c>
      <c r="C494" s="270" t="s">
        <v>33</v>
      </c>
      <c r="D494" s="209" t="s">
        <v>89</v>
      </c>
      <c r="E494" s="271" t="s">
        <v>35</v>
      </c>
      <c r="F494" s="182" t="s">
        <v>11167</v>
      </c>
      <c r="G494" s="209" t="s">
        <v>33</v>
      </c>
      <c r="H494" s="212" t="s">
        <v>11288</v>
      </c>
      <c r="I494" s="182" t="s">
        <v>61</v>
      </c>
      <c r="J494" s="303" t="s">
        <v>11236</v>
      </c>
      <c r="K494" s="228" t="s">
        <v>35</v>
      </c>
      <c r="L494" s="303" t="s">
        <v>11230</v>
      </c>
      <c r="M494" s="209" t="s">
        <v>33</v>
      </c>
      <c r="N494" s="181" t="s">
        <v>10499</v>
      </c>
      <c r="O494" s="58" t="str">
        <f t="shared" si="18"/>
        <v>L2.02.03.02.11.03</v>
      </c>
      <c r="P494" s="272" t="str">
        <f t="shared" si="16"/>
        <v>L2.02.03.02.11.03.02</v>
      </c>
      <c r="Q494" s="185" t="s">
        <v>10530</v>
      </c>
      <c r="R494" s="273" t="str">
        <f t="shared" si="17"/>
        <v>Nhóm KD MISA AMIS Điều hành 05</v>
      </c>
      <c r="S494" s="274" t="str">
        <f>P491</f>
        <v>L2.02.03.02.11.00.02</v>
      </c>
      <c r="T494" s="183"/>
      <c r="U494" s="183"/>
      <c r="V494" s="183"/>
      <c r="W494" s="183"/>
      <c r="X494" s="183"/>
      <c r="Y494" s="184" t="s">
        <v>11089</v>
      </c>
      <c r="Z494" s="275" t="s">
        <v>11328</v>
      </c>
      <c r="AA494" s="276"/>
      <c r="AB494" s="277"/>
      <c r="AC494" s="277"/>
      <c r="AD494" s="277"/>
    </row>
    <row r="495" ht="15.75" customHeight="1" outlineLevel="1">
      <c r="A495" s="228" t="s">
        <v>10833</v>
      </c>
      <c r="B495" s="270" t="s">
        <v>77</v>
      </c>
      <c r="C495" s="270" t="s">
        <v>33</v>
      </c>
      <c r="D495" s="209" t="s">
        <v>89</v>
      </c>
      <c r="E495" s="271" t="s">
        <v>35</v>
      </c>
      <c r="F495" s="182" t="s">
        <v>11167</v>
      </c>
      <c r="G495" s="209" t="s">
        <v>33</v>
      </c>
      <c r="H495" s="212" t="s">
        <v>11288</v>
      </c>
      <c r="I495" s="182" t="s">
        <v>61</v>
      </c>
      <c r="J495" s="303" t="s">
        <v>11236</v>
      </c>
      <c r="K495" s="228" t="s">
        <v>37</v>
      </c>
      <c r="L495" s="390" t="s">
        <v>11232</v>
      </c>
      <c r="M495" s="209" t="s">
        <v>33</v>
      </c>
      <c r="N495" s="181" t="s">
        <v>10499</v>
      </c>
      <c r="O495" s="58" t="str">
        <f t="shared" si="18"/>
        <v>L2.02.03.02.11.04</v>
      </c>
      <c r="P495" s="272" t="str">
        <f t="shared" si="16"/>
        <v>L2.02.03.02.11.04.02</v>
      </c>
      <c r="Q495" s="185" t="s">
        <v>10530</v>
      </c>
      <c r="R495" s="273" t="str">
        <f t="shared" si="17"/>
        <v>Nhóm KD MISA AMIS Nhân sự 05</v>
      </c>
      <c r="S495" s="274" t="str">
        <f>P491</f>
        <v>L2.02.03.02.11.00.02</v>
      </c>
      <c r="T495" s="183"/>
      <c r="U495" s="183"/>
      <c r="V495" s="183"/>
      <c r="W495" s="183"/>
      <c r="X495" s="183"/>
      <c r="Y495" s="184" t="s">
        <v>11089</v>
      </c>
      <c r="Z495" s="275" t="s">
        <v>11329</v>
      </c>
      <c r="AA495" s="276"/>
      <c r="AB495" s="277"/>
      <c r="AC495" s="277"/>
      <c r="AD495" s="277"/>
    </row>
    <row r="496" ht="15.75" customHeight="1" outlineLevel="1">
      <c r="A496" s="228" t="s">
        <v>10833</v>
      </c>
      <c r="B496" s="270" t="s">
        <v>77</v>
      </c>
      <c r="C496" s="270" t="s">
        <v>33</v>
      </c>
      <c r="D496" s="209" t="s">
        <v>89</v>
      </c>
      <c r="E496" s="271" t="s">
        <v>35</v>
      </c>
      <c r="F496" s="182" t="s">
        <v>11167</v>
      </c>
      <c r="G496" s="209" t="s">
        <v>33</v>
      </c>
      <c r="H496" s="212" t="s">
        <v>11288</v>
      </c>
      <c r="I496" s="182" t="s">
        <v>61</v>
      </c>
      <c r="J496" s="303" t="s">
        <v>11236</v>
      </c>
      <c r="K496" s="228" t="s">
        <v>42</v>
      </c>
      <c r="L496" s="390" t="s">
        <v>11234</v>
      </c>
      <c r="M496" s="209" t="s">
        <v>33</v>
      </c>
      <c r="N496" s="181" t="s">
        <v>10499</v>
      </c>
      <c r="O496" s="58" t="str">
        <f t="shared" si="18"/>
        <v>L2.02.03.02.11.05</v>
      </c>
      <c r="P496" s="272" t="str">
        <f t="shared" si="16"/>
        <v>L2.02.03.02.11.05.02</v>
      </c>
      <c r="Q496" s="185" t="s">
        <v>10530</v>
      </c>
      <c r="R496" s="273" t="str">
        <f t="shared" si="17"/>
        <v>Nhóm KD MISA AMIS Bán hàng 05</v>
      </c>
      <c r="S496" s="274" t="str">
        <f>P491</f>
        <v>L2.02.03.02.11.00.02</v>
      </c>
      <c r="T496" s="183"/>
      <c r="U496" s="183"/>
      <c r="V496" s="183"/>
      <c r="W496" s="183"/>
      <c r="X496" s="183"/>
      <c r="Y496" s="184" t="s">
        <v>11089</v>
      </c>
      <c r="Z496" s="275" t="s">
        <v>11330</v>
      </c>
      <c r="AA496" s="276"/>
      <c r="AB496" s="277"/>
      <c r="AC496" s="277"/>
      <c r="AD496" s="277"/>
    </row>
    <row r="497" ht="15.75" customHeight="1" outlineLevel="1">
      <c r="A497" s="261" t="s">
        <v>10833</v>
      </c>
      <c r="B497" s="231" t="s">
        <v>77</v>
      </c>
      <c r="C497" s="231" t="s">
        <v>33</v>
      </c>
      <c r="D497" s="157" t="s">
        <v>89</v>
      </c>
      <c r="E497" s="297" t="s">
        <v>35</v>
      </c>
      <c r="F497" s="168" t="s">
        <v>11167</v>
      </c>
      <c r="G497" s="157" t="s">
        <v>33</v>
      </c>
      <c r="H497" s="212" t="s">
        <v>11288</v>
      </c>
      <c r="I497" s="261">
        <v>99.0</v>
      </c>
      <c r="J497" s="264" t="s">
        <v>326</v>
      </c>
      <c r="K497" s="297" t="s">
        <v>27</v>
      </c>
      <c r="L497" s="305" t="s">
        <v>4</v>
      </c>
      <c r="M497" s="157" t="s">
        <v>33</v>
      </c>
      <c r="N497" s="167" t="s">
        <v>10499</v>
      </c>
      <c r="O497" s="55" t="str">
        <f t="shared" si="18"/>
        <v>L2.02.03.02.99.00</v>
      </c>
      <c r="P497" s="257" t="str">
        <f t="shared" si="16"/>
        <v>L2.02.03.02.99.00.02</v>
      </c>
      <c r="Q497" s="161" t="s">
        <v>10530</v>
      </c>
      <c r="R497" s="299" t="str">
        <f t="shared" si="17"/>
        <v>Phòng KD bán thêm</v>
      </c>
      <c r="S497" s="269" t="str">
        <f>P458</f>
        <v>L2.02.03.02.00.00.02</v>
      </c>
      <c r="T497" s="265"/>
      <c r="U497" s="265"/>
      <c r="V497" s="265"/>
      <c r="W497" s="265"/>
      <c r="X497" s="265"/>
      <c r="Y497" s="265"/>
      <c r="Z497" s="225"/>
      <c r="AA497" s="300"/>
      <c r="AB497" s="267"/>
      <c r="AC497" s="267"/>
      <c r="AD497" s="267"/>
    </row>
    <row r="498" ht="15.75" customHeight="1" outlineLevel="1">
      <c r="A498" s="261" t="s">
        <v>10833</v>
      </c>
      <c r="B498" s="231" t="s">
        <v>77</v>
      </c>
      <c r="C498" s="231" t="s">
        <v>33</v>
      </c>
      <c r="D498" s="157" t="s">
        <v>89</v>
      </c>
      <c r="E498" s="297" t="s">
        <v>35</v>
      </c>
      <c r="F498" s="168" t="s">
        <v>11167</v>
      </c>
      <c r="G498" s="157" t="s">
        <v>33</v>
      </c>
      <c r="H498" s="212" t="s">
        <v>11288</v>
      </c>
      <c r="I498" s="168" t="s">
        <v>37</v>
      </c>
      <c r="J498" s="264" t="s">
        <v>1067</v>
      </c>
      <c r="K498" s="297" t="s">
        <v>27</v>
      </c>
      <c r="L498" s="305" t="s">
        <v>4</v>
      </c>
      <c r="M498" s="157" t="s">
        <v>33</v>
      </c>
      <c r="N498" s="167" t="s">
        <v>10499</v>
      </c>
      <c r="O498" s="55" t="str">
        <f t="shared" si="18"/>
        <v>L2.02.03.02.04.00</v>
      </c>
      <c r="P498" s="257" t="str">
        <f t="shared" si="16"/>
        <v>L2.02.03.02.04.00.02</v>
      </c>
      <c r="Q498" s="161" t="s">
        <v>10530</v>
      </c>
      <c r="R498" s="299" t="str">
        <f t="shared" si="17"/>
        <v>Phòng KD bán thêm 01</v>
      </c>
      <c r="S498" s="269" t="str">
        <f>P497</f>
        <v>L2.02.03.02.99.00.02</v>
      </c>
      <c r="T498" s="265" t="s">
        <v>7466</v>
      </c>
      <c r="U498" s="265" t="s">
        <v>262</v>
      </c>
      <c r="V498" s="265" t="s">
        <v>275</v>
      </c>
      <c r="W498" s="265" t="s">
        <v>2029</v>
      </c>
      <c r="X498" s="265" t="s">
        <v>11331</v>
      </c>
      <c r="Y498" s="265"/>
      <c r="Z498" s="225" t="s">
        <v>11332</v>
      </c>
      <c r="AA498" s="300" t="s">
        <v>10530</v>
      </c>
      <c r="AB498" s="267"/>
      <c r="AC498" s="267"/>
      <c r="AD498" s="267"/>
    </row>
    <row r="499" ht="15.75" customHeight="1" outlineLevel="1">
      <c r="A499" s="261" t="s">
        <v>10833</v>
      </c>
      <c r="B499" s="231" t="s">
        <v>77</v>
      </c>
      <c r="C499" s="231" t="s">
        <v>33</v>
      </c>
      <c r="D499" s="157" t="s">
        <v>89</v>
      </c>
      <c r="E499" s="297" t="s">
        <v>35</v>
      </c>
      <c r="F499" s="168" t="s">
        <v>11167</v>
      </c>
      <c r="G499" s="157" t="s">
        <v>33</v>
      </c>
      <c r="H499" s="212" t="s">
        <v>11288</v>
      </c>
      <c r="I499" s="168" t="s">
        <v>37</v>
      </c>
      <c r="J499" s="264" t="s">
        <v>1067</v>
      </c>
      <c r="K499" s="168" t="s">
        <v>29</v>
      </c>
      <c r="L499" s="184" t="s">
        <v>11178</v>
      </c>
      <c r="M499" s="157" t="s">
        <v>33</v>
      </c>
      <c r="N499" s="167" t="s">
        <v>10499</v>
      </c>
      <c r="O499" s="55" t="str">
        <f t="shared" si="18"/>
        <v>L2.02.03.02.04.01</v>
      </c>
      <c r="P499" s="257" t="str">
        <f t="shared" si="16"/>
        <v>L2.02.03.02.04.01.02</v>
      </c>
      <c r="Q499" s="161" t="s">
        <v>10530</v>
      </c>
      <c r="R499" s="273" t="str">
        <f t="shared" si="17"/>
        <v>Nhóm Quản lý 01</v>
      </c>
      <c r="S499" s="269" t="s">
        <v>11333</v>
      </c>
      <c r="T499" s="265"/>
      <c r="U499" s="265"/>
      <c r="V499" s="265"/>
      <c r="W499" s="265"/>
      <c r="X499" s="265"/>
      <c r="Y499" s="264" t="s">
        <v>11089</v>
      </c>
      <c r="Z499" s="225" t="s">
        <v>11334</v>
      </c>
      <c r="AA499" s="300" t="s">
        <v>10530</v>
      </c>
      <c r="AB499" s="267"/>
      <c r="AC499" s="267"/>
      <c r="AD499" s="267"/>
    </row>
    <row r="500" ht="15.75" customHeight="1" outlineLevel="1">
      <c r="A500" s="261" t="s">
        <v>10833</v>
      </c>
      <c r="B500" s="231" t="s">
        <v>77</v>
      </c>
      <c r="C500" s="231" t="s">
        <v>33</v>
      </c>
      <c r="D500" s="157" t="s">
        <v>89</v>
      </c>
      <c r="E500" s="297" t="s">
        <v>35</v>
      </c>
      <c r="F500" s="168" t="s">
        <v>11167</v>
      </c>
      <c r="G500" s="157" t="s">
        <v>33</v>
      </c>
      <c r="H500" s="212" t="s">
        <v>11288</v>
      </c>
      <c r="I500" s="168" t="s">
        <v>37</v>
      </c>
      <c r="J500" s="264" t="s">
        <v>1067</v>
      </c>
      <c r="K500" s="261" t="s">
        <v>33</v>
      </c>
      <c r="L500" s="184" t="s">
        <v>11251</v>
      </c>
      <c r="M500" s="157" t="s">
        <v>33</v>
      </c>
      <c r="N500" s="167" t="s">
        <v>10499</v>
      </c>
      <c r="O500" s="55" t="str">
        <f t="shared" si="18"/>
        <v>L2.02.03.02.04.02</v>
      </c>
      <c r="P500" s="257" t="str">
        <f t="shared" si="16"/>
        <v>L2.02.03.02.04.02.02</v>
      </c>
      <c r="Q500" s="161" t="s">
        <v>10530</v>
      </c>
      <c r="R500" s="299" t="str">
        <f t="shared" si="17"/>
        <v>Nhóm Quản lý khách hàng 01</v>
      </c>
      <c r="S500" s="269" t="s">
        <v>11333</v>
      </c>
      <c r="T500" s="265" t="s">
        <v>2070</v>
      </c>
      <c r="U500" s="265" t="s">
        <v>262</v>
      </c>
      <c r="V500" s="265" t="s">
        <v>275</v>
      </c>
      <c r="W500" s="265" t="s">
        <v>2029</v>
      </c>
      <c r="X500" s="265" t="s">
        <v>1985</v>
      </c>
      <c r="Y500" s="265"/>
      <c r="Z500" s="225" t="s">
        <v>11335</v>
      </c>
      <c r="AA500" s="300" t="s">
        <v>10530</v>
      </c>
      <c r="AB500" s="267"/>
      <c r="AC500" s="267"/>
      <c r="AD500" s="267"/>
    </row>
    <row r="501" ht="15.75" customHeight="1" outlineLevel="1">
      <c r="A501" s="261" t="s">
        <v>10833</v>
      </c>
      <c r="B501" s="231" t="s">
        <v>77</v>
      </c>
      <c r="C501" s="231" t="s">
        <v>33</v>
      </c>
      <c r="D501" s="157" t="s">
        <v>89</v>
      </c>
      <c r="E501" s="297" t="s">
        <v>35</v>
      </c>
      <c r="F501" s="168" t="s">
        <v>11167</v>
      </c>
      <c r="G501" s="157" t="s">
        <v>33</v>
      </c>
      <c r="H501" s="212" t="s">
        <v>11288</v>
      </c>
      <c r="I501" s="168" t="s">
        <v>37</v>
      </c>
      <c r="J501" s="264" t="s">
        <v>1067</v>
      </c>
      <c r="K501" s="261" t="s">
        <v>35</v>
      </c>
      <c r="L501" s="184" t="s">
        <v>11253</v>
      </c>
      <c r="M501" s="157" t="s">
        <v>33</v>
      </c>
      <c r="N501" s="167" t="s">
        <v>10499</v>
      </c>
      <c r="O501" s="55" t="str">
        <f t="shared" si="18"/>
        <v>L2.02.03.02.04.03</v>
      </c>
      <c r="P501" s="257" t="str">
        <f t="shared" si="16"/>
        <v>L2.02.03.02.04.03.02</v>
      </c>
      <c r="Q501" s="161" t="s">
        <v>10530</v>
      </c>
      <c r="R501" s="299" t="str">
        <f t="shared" si="17"/>
        <v>Nhóm Bán thêm AMIS Kế toán 01</v>
      </c>
      <c r="S501" s="269" t="s">
        <v>11333</v>
      </c>
      <c r="T501" s="265" t="s">
        <v>8883</v>
      </c>
      <c r="U501" s="265" t="s">
        <v>262</v>
      </c>
      <c r="V501" s="265" t="s">
        <v>275</v>
      </c>
      <c r="W501" s="265" t="s">
        <v>2029</v>
      </c>
      <c r="X501" s="265" t="s">
        <v>2034</v>
      </c>
      <c r="Y501" s="265"/>
      <c r="Z501" s="225" t="s">
        <v>11336</v>
      </c>
      <c r="AA501" s="300" t="s">
        <v>10530</v>
      </c>
      <c r="AB501" s="267"/>
      <c r="AC501" s="267"/>
      <c r="AD501" s="267"/>
    </row>
    <row r="502" ht="15.75" customHeight="1" outlineLevel="1">
      <c r="A502" s="261" t="s">
        <v>10833</v>
      </c>
      <c r="B502" s="231" t="s">
        <v>77</v>
      </c>
      <c r="C502" s="231" t="s">
        <v>33</v>
      </c>
      <c r="D502" s="157" t="s">
        <v>89</v>
      </c>
      <c r="E502" s="297" t="s">
        <v>35</v>
      </c>
      <c r="F502" s="168" t="s">
        <v>11167</v>
      </c>
      <c r="G502" s="157" t="s">
        <v>33</v>
      </c>
      <c r="H502" s="212" t="s">
        <v>11288</v>
      </c>
      <c r="I502" s="168" t="s">
        <v>37</v>
      </c>
      <c r="J502" s="264" t="s">
        <v>1067</v>
      </c>
      <c r="K502" s="261" t="s">
        <v>37</v>
      </c>
      <c r="L502" s="184" t="s">
        <v>11255</v>
      </c>
      <c r="M502" s="157" t="s">
        <v>33</v>
      </c>
      <c r="N502" s="167" t="s">
        <v>10499</v>
      </c>
      <c r="O502" s="55" t="str">
        <f t="shared" si="18"/>
        <v>L2.02.03.02.04.04</v>
      </c>
      <c r="P502" s="257" t="str">
        <f t="shared" si="16"/>
        <v>L2.02.03.02.04.04.02</v>
      </c>
      <c r="Q502" s="161" t="s">
        <v>10530</v>
      </c>
      <c r="R502" s="299" t="str">
        <f t="shared" si="17"/>
        <v>Nhóm Bán thêm AMIS Bán hàng 01</v>
      </c>
      <c r="S502" s="269" t="s">
        <v>11333</v>
      </c>
      <c r="T502" s="265" t="s">
        <v>2131</v>
      </c>
      <c r="U502" s="265" t="s">
        <v>262</v>
      </c>
      <c r="V502" s="265" t="s">
        <v>275</v>
      </c>
      <c r="W502" s="265" t="s">
        <v>2029</v>
      </c>
      <c r="X502" s="265" t="s">
        <v>2051</v>
      </c>
      <c r="Y502" s="265"/>
      <c r="Z502" s="225" t="s">
        <v>11337</v>
      </c>
      <c r="AA502" s="300" t="s">
        <v>10530</v>
      </c>
      <c r="AB502" s="267"/>
      <c r="AC502" s="267"/>
      <c r="AD502" s="267"/>
    </row>
    <row r="503" ht="15.75" customHeight="1" outlineLevel="1">
      <c r="A503" s="261" t="s">
        <v>10833</v>
      </c>
      <c r="B503" s="231" t="s">
        <v>77</v>
      </c>
      <c r="C503" s="231" t="s">
        <v>33</v>
      </c>
      <c r="D503" s="157" t="s">
        <v>89</v>
      </c>
      <c r="E503" s="297" t="s">
        <v>35</v>
      </c>
      <c r="F503" s="168" t="s">
        <v>11167</v>
      </c>
      <c r="G503" s="157" t="s">
        <v>33</v>
      </c>
      <c r="H503" s="212" t="s">
        <v>11288</v>
      </c>
      <c r="I503" s="168" t="s">
        <v>37</v>
      </c>
      <c r="J503" s="264" t="s">
        <v>1067</v>
      </c>
      <c r="K503" s="261" t="s">
        <v>42</v>
      </c>
      <c r="L503" s="184" t="s">
        <v>11257</v>
      </c>
      <c r="M503" s="157" t="s">
        <v>33</v>
      </c>
      <c r="N503" s="167" t="s">
        <v>10499</v>
      </c>
      <c r="O503" s="55" t="str">
        <f t="shared" si="18"/>
        <v>L2.02.03.02.04.05</v>
      </c>
      <c r="P503" s="257" t="str">
        <f t="shared" si="16"/>
        <v>L2.02.03.02.04.05.02</v>
      </c>
      <c r="Q503" s="161" t="s">
        <v>10530</v>
      </c>
      <c r="R503" s="299" t="str">
        <f t="shared" si="17"/>
        <v>Nhóm Bán thêm AMIS Nhân sự 01</v>
      </c>
      <c r="S503" s="269" t="s">
        <v>11333</v>
      </c>
      <c r="T503" s="265" t="s">
        <v>2030</v>
      </c>
      <c r="U503" s="265" t="s">
        <v>262</v>
      </c>
      <c r="V503" s="265" t="s">
        <v>275</v>
      </c>
      <c r="W503" s="265" t="s">
        <v>2029</v>
      </c>
      <c r="X503" s="265" t="s">
        <v>2021</v>
      </c>
      <c r="Y503" s="265"/>
      <c r="Z503" s="225" t="s">
        <v>11338</v>
      </c>
      <c r="AA503" s="300" t="s">
        <v>10530</v>
      </c>
      <c r="AB503" s="267"/>
      <c r="AC503" s="267"/>
      <c r="AD503" s="267"/>
    </row>
    <row r="504" ht="15.75" customHeight="1" outlineLevel="1">
      <c r="A504" s="261" t="s">
        <v>10833</v>
      </c>
      <c r="B504" s="231" t="s">
        <v>77</v>
      </c>
      <c r="C504" s="231" t="s">
        <v>33</v>
      </c>
      <c r="D504" s="157" t="s">
        <v>89</v>
      </c>
      <c r="E504" s="297" t="s">
        <v>35</v>
      </c>
      <c r="F504" s="168" t="s">
        <v>11167</v>
      </c>
      <c r="G504" s="157" t="s">
        <v>33</v>
      </c>
      <c r="H504" s="212" t="s">
        <v>11288</v>
      </c>
      <c r="I504" s="168" t="s">
        <v>37</v>
      </c>
      <c r="J504" s="264" t="s">
        <v>1067</v>
      </c>
      <c r="K504" s="261" t="s">
        <v>44</v>
      </c>
      <c r="L504" s="184" t="s">
        <v>11259</v>
      </c>
      <c r="M504" s="157" t="s">
        <v>33</v>
      </c>
      <c r="N504" s="167" t="s">
        <v>10499</v>
      </c>
      <c r="O504" s="55" t="str">
        <f t="shared" si="18"/>
        <v>L2.02.03.02.04.06</v>
      </c>
      <c r="P504" s="257" t="str">
        <f t="shared" si="16"/>
        <v>L2.02.03.02.04.06.02</v>
      </c>
      <c r="Q504" s="161" t="s">
        <v>10530</v>
      </c>
      <c r="R504" s="299" t="str">
        <f t="shared" si="17"/>
        <v>Nhóm Bán thêm AMIS Điều hành 01</v>
      </c>
      <c r="S504" s="269" t="s">
        <v>11333</v>
      </c>
      <c r="T504" s="265" t="s">
        <v>8873</v>
      </c>
      <c r="U504" s="265" t="s">
        <v>262</v>
      </c>
      <c r="V504" s="265" t="s">
        <v>275</v>
      </c>
      <c r="W504" s="265" t="s">
        <v>2029</v>
      </c>
      <c r="X504" s="265" t="s">
        <v>2060</v>
      </c>
      <c r="Y504" s="265"/>
      <c r="Z504" s="225" t="s">
        <v>11339</v>
      </c>
      <c r="AA504" s="300" t="s">
        <v>10530</v>
      </c>
      <c r="AB504" s="267"/>
      <c r="AC504" s="267"/>
      <c r="AD504" s="267"/>
    </row>
    <row r="505" ht="15.75" customHeight="1" outlineLevel="1">
      <c r="A505" s="261" t="s">
        <v>10833</v>
      </c>
      <c r="B505" s="231" t="s">
        <v>77</v>
      </c>
      <c r="C505" s="231" t="s">
        <v>33</v>
      </c>
      <c r="D505" s="157" t="s">
        <v>89</v>
      </c>
      <c r="E505" s="297" t="s">
        <v>35</v>
      </c>
      <c r="F505" s="168" t="s">
        <v>11167</v>
      </c>
      <c r="G505" s="157" t="s">
        <v>33</v>
      </c>
      <c r="H505" s="212" t="s">
        <v>11288</v>
      </c>
      <c r="I505" s="168" t="s">
        <v>42</v>
      </c>
      <c r="J505" s="264" t="s">
        <v>927</v>
      </c>
      <c r="K505" s="297" t="s">
        <v>27</v>
      </c>
      <c r="L505" s="305" t="s">
        <v>4</v>
      </c>
      <c r="M505" s="157" t="s">
        <v>33</v>
      </c>
      <c r="N505" s="167" t="s">
        <v>10499</v>
      </c>
      <c r="O505" s="55" t="str">
        <f t="shared" si="18"/>
        <v>L2.02.03.02.05.00</v>
      </c>
      <c r="P505" s="257" t="str">
        <f t="shared" si="16"/>
        <v>L2.02.03.02.05.00.02</v>
      </c>
      <c r="Q505" s="161" t="s">
        <v>10530</v>
      </c>
      <c r="R505" s="299" t="str">
        <f t="shared" si="17"/>
        <v>Phòng KD bán thêm 02</v>
      </c>
      <c r="S505" s="269" t="str">
        <f>P497</f>
        <v>L2.02.03.02.99.00.02</v>
      </c>
      <c r="T505" s="265" t="s">
        <v>8912</v>
      </c>
      <c r="U505" s="265" t="s">
        <v>262</v>
      </c>
      <c r="V505" s="265" t="s">
        <v>275</v>
      </c>
      <c r="W505" s="265" t="s">
        <v>1986</v>
      </c>
      <c r="X505" s="265" t="s">
        <v>11331</v>
      </c>
      <c r="Y505" s="265"/>
      <c r="Z505" s="225" t="s">
        <v>11340</v>
      </c>
      <c r="AA505" s="300" t="s">
        <v>10530</v>
      </c>
      <c r="AB505" s="267"/>
      <c r="AC505" s="267"/>
      <c r="AD505" s="267"/>
    </row>
    <row r="506" ht="15.75" customHeight="1" outlineLevel="1">
      <c r="A506" s="261" t="s">
        <v>10833</v>
      </c>
      <c r="B506" s="231" t="s">
        <v>77</v>
      </c>
      <c r="C506" s="231" t="s">
        <v>33</v>
      </c>
      <c r="D506" s="157" t="s">
        <v>89</v>
      </c>
      <c r="E506" s="297" t="s">
        <v>35</v>
      </c>
      <c r="F506" s="168" t="s">
        <v>11167</v>
      </c>
      <c r="G506" s="157" t="s">
        <v>33</v>
      </c>
      <c r="H506" s="212" t="s">
        <v>11288</v>
      </c>
      <c r="I506" s="168" t="s">
        <v>42</v>
      </c>
      <c r="J506" s="264" t="s">
        <v>927</v>
      </c>
      <c r="K506" s="168" t="s">
        <v>29</v>
      </c>
      <c r="L506" s="184" t="s">
        <v>11190</v>
      </c>
      <c r="M506" s="157" t="s">
        <v>33</v>
      </c>
      <c r="N506" s="167" t="s">
        <v>10499</v>
      </c>
      <c r="O506" s="55" t="str">
        <f t="shared" si="18"/>
        <v>L2.02.03.02.05.01</v>
      </c>
      <c r="P506" s="257" t="str">
        <f t="shared" si="16"/>
        <v>L2.02.03.02.05.01.02</v>
      </c>
      <c r="Q506" s="161" t="s">
        <v>10530</v>
      </c>
      <c r="R506" s="299" t="str">
        <f t="shared" si="17"/>
        <v>Nhóm Quản lý 02</v>
      </c>
      <c r="S506" s="257" t="s">
        <v>11341</v>
      </c>
      <c r="T506" s="265"/>
      <c r="U506" s="265"/>
      <c r="V506" s="265"/>
      <c r="W506" s="265"/>
      <c r="X506" s="265"/>
      <c r="Y506" s="264" t="s">
        <v>11089</v>
      </c>
      <c r="Z506" s="225" t="s">
        <v>11342</v>
      </c>
      <c r="AA506" s="300" t="s">
        <v>10530</v>
      </c>
      <c r="AB506" s="267"/>
      <c r="AC506" s="267"/>
      <c r="AD506" s="267"/>
    </row>
    <row r="507" ht="15.75" customHeight="1" outlineLevel="1">
      <c r="A507" s="261" t="s">
        <v>10833</v>
      </c>
      <c r="B507" s="231" t="s">
        <v>77</v>
      </c>
      <c r="C507" s="231" t="s">
        <v>33</v>
      </c>
      <c r="D507" s="157" t="s">
        <v>89</v>
      </c>
      <c r="E507" s="297" t="s">
        <v>35</v>
      </c>
      <c r="F507" s="168" t="s">
        <v>11167</v>
      </c>
      <c r="G507" s="157" t="s">
        <v>33</v>
      </c>
      <c r="H507" s="212" t="s">
        <v>11288</v>
      </c>
      <c r="I507" s="168" t="s">
        <v>42</v>
      </c>
      <c r="J507" s="264" t="s">
        <v>927</v>
      </c>
      <c r="K507" s="261" t="s">
        <v>33</v>
      </c>
      <c r="L507" s="184" t="s">
        <v>11264</v>
      </c>
      <c r="M507" s="157" t="s">
        <v>33</v>
      </c>
      <c r="N507" s="167" t="s">
        <v>10499</v>
      </c>
      <c r="O507" s="55" t="str">
        <f t="shared" si="18"/>
        <v>L2.02.03.02.05.02</v>
      </c>
      <c r="P507" s="257" t="str">
        <f t="shared" si="16"/>
        <v>L2.02.03.02.05.02.02</v>
      </c>
      <c r="Q507" s="161" t="s">
        <v>10530</v>
      </c>
      <c r="R507" s="299" t="str">
        <f t="shared" si="17"/>
        <v>Nhóm Quản lý khách hàng 02</v>
      </c>
      <c r="S507" s="257" t="s">
        <v>11341</v>
      </c>
      <c r="T507" s="265" t="s">
        <v>1987</v>
      </c>
      <c r="U507" s="265" t="s">
        <v>262</v>
      </c>
      <c r="V507" s="265" t="s">
        <v>275</v>
      </c>
      <c r="W507" s="265" t="s">
        <v>1986</v>
      </c>
      <c r="X507" s="265" t="s">
        <v>1985</v>
      </c>
      <c r="Y507" s="265"/>
      <c r="Z507" s="225" t="s">
        <v>11343</v>
      </c>
      <c r="AA507" s="300" t="s">
        <v>10530</v>
      </c>
      <c r="AB507" s="267"/>
      <c r="AC507" s="267"/>
      <c r="AD507" s="267"/>
    </row>
    <row r="508" ht="15.75" customHeight="1" outlineLevel="1">
      <c r="A508" s="261" t="s">
        <v>10833</v>
      </c>
      <c r="B508" s="231" t="s">
        <v>77</v>
      </c>
      <c r="C508" s="231" t="s">
        <v>33</v>
      </c>
      <c r="D508" s="157" t="s">
        <v>89</v>
      </c>
      <c r="E508" s="297" t="s">
        <v>35</v>
      </c>
      <c r="F508" s="168" t="s">
        <v>11167</v>
      </c>
      <c r="G508" s="157" t="s">
        <v>33</v>
      </c>
      <c r="H508" s="212" t="s">
        <v>11288</v>
      </c>
      <c r="I508" s="168" t="s">
        <v>42</v>
      </c>
      <c r="J508" s="264" t="s">
        <v>927</v>
      </c>
      <c r="K508" s="261" t="s">
        <v>35</v>
      </c>
      <c r="L508" s="184" t="s">
        <v>11266</v>
      </c>
      <c r="M508" s="157" t="s">
        <v>33</v>
      </c>
      <c r="N508" s="167" t="s">
        <v>10499</v>
      </c>
      <c r="O508" s="55" t="str">
        <f t="shared" si="18"/>
        <v>L2.02.03.02.05.03</v>
      </c>
      <c r="P508" s="257" t="str">
        <f t="shared" si="16"/>
        <v>L2.02.03.02.05.03.02</v>
      </c>
      <c r="Q508" s="161" t="s">
        <v>10530</v>
      </c>
      <c r="R508" s="299" t="str">
        <f t="shared" si="17"/>
        <v>Nhóm Bán thêm AMIS Kế toán 02</v>
      </c>
      <c r="S508" s="257" t="s">
        <v>11341</v>
      </c>
      <c r="T508" s="265" t="s">
        <v>2035</v>
      </c>
      <c r="U508" s="265" t="s">
        <v>262</v>
      </c>
      <c r="V508" s="265" t="s">
        <v>275</v>
      </c>
      <c r="W508" s="265" t="s">
        <v>1986</v>
      </c>
      <c r="X508" s="265" t="s">
        <v>2034</v>
      </c>
      <c r="Y508" s="265"/>
      <c r="Z508" s="225" t="s">
        <v>11344</v>
      </c>
      <c r="AA508" s="300" t="s">
        <v>10530</v>
      </c>
      <c r="AB508" s="267"/>
      <c r="AC508" s="267"/>
      <c r="AD508" s="267"/>
    </row>
    <row r="509" ht="15.75" customHeight="1" outlineLevel="1">
      <c r="A509" s="261" t="s">
        <v>10833</v>
      </c>
      <c r="B509" s="231" t="s">
        <v>77</v>
      </c>
      <c r="C509" s="231" t="s">
        <v>33</v>
      </c>
      <c r="D509" s="157" t="s">
        <v>89</v>
      </c>
      <c r="E509" s="297" t="s">
        <v>35</v>
      </c>
      <c r="F509" s="168" t="s">
        <v>11167</v>
      </c>
      <c r="G509" s="157" t="s">
        <v>33</v>
      </c>
      <c r="H509" s="212" t="s">
        <v>11288</v>
      </c>
      <c r="I509" s="168" t="s">
        <v>42</v>
      </c>
      <c r="J509" s="264" t="s">
        <v>927</v>
      </c>
      <c r="K509" s="261" t="s">
        <v>37</v>
      </c>
      <c r="L509" s="184" t="s">
        <v>11268</v>
      </c>
      <c r="M509" s="157" t="s">
        <v>33</v>
      </c>
      <c r="N509" s="167" t="s">
        <v>10499</v>
      </c>
      <c r="O509" s="55" t="str">
        <f t="shared" si="18"/>
        <v>L2.02.03.02.05.04</v>
      </c>
      <c r="P509" s="257" t="str">
        <f t="shared" si="16"/>
        <v>L2.02.03.02.05.04.02</v>
      </c>
      <c r="Q509" s="161" t="s">
        <v>10530</v>
      </c>
      <c r="R509" s="299" t="str">
        <f t="shared" si="17"/>
        <v>Nhóm Bán thêm AMIS Bán hàng 02</v>
      </c>
      <c r="S509" s="257" t="s">
        <v>11341</v>
      </c>
      <c r="T509" s="265" t="s">
        <v>2052</v>
      </c>
      <c r="U509" s="265" t="s">
        <v>262</v>
      </c>
      <c r="V509" s="265" t="s">
        <v>275</v>
      </c>
      <c r="W509" s="265" t="s">
        <v>1986</v>
      </c>
      <c r="X509" s="265" t="s">
        <v>2051</v>
      </c>
      <c r="Y509" s="265"/>
      <c r="Z509" s="225" t="s">
        <v>11345</v>
      </c>
      <c r="AA509" s="300" t="s">
        <v>10530</v>
      </c>
      <c r="AB509" s="267"/>
      <c r="AC509" s="267"/>
      <c r="AD509" s="267"/>
    </row>
    <row r="510" ht="15.75" customHeight="1" outlineLevel="1">
      <c r="A510" s="261" t="s">
        <v>10833</v>
      </c>
      <c r="B510" s="231" t="s">
        <v>77</v>
      </c>
      <c r="C510" s="231" t="s">
        <v>33</v>
      </c>
      <c r="D510" s="157" t="s">
        <v>89</v>
      </c>
      <c r="E510" s="297" t="s">
        <v>35</v>
      </c>
      <c r="F510" s="168" t="s">
        <v>11167</v>
      </c>
      <c r="G510" s="157" t="s">
        <v>33</v>
      </c>
      <c r="H510" s="212" t="s">
        <v>11288</v>
      </c>
      <c r="I510" s="168" t="s">
        <v>42</v>
      </c>
      <c r="J510" s="264" t="s">
        <v>927</v>
      </c>
      <c r="K510" s="261" t="s">
        <v>42</v>
      </c>
      <c r="L510" s="184" t="s">
        <v>11270</v>
      </c>
      <c r="M510" s="157" t="s">
        <v>33</v>
      </c>
      <c r="N510" s="167" t="s">
        <v>10499</v>
      </c>
      <c r="O510" s="55" t="str">
        <f t="shared" si="18"/>
        <v>L2.02.03.02.05.05</v>
      </c>
      <c r="P510" s="257" t="str">
        <f t="shared" si="16"/>
        <v>L2.02.03.02.05.05.02</v>
      </c>
      <c r="Q510" s="161" t="s">
        <v>10530</v>
      </c>
      <c r="R510" s="299" t="str">
        <f t="shared" si="17"/>
        <v>Nhóm Bán thêm AMIS Nhân sự 02</v>
      </c>
      <c r="S510" s="257" t="s">
        <v>11341</v>
      </c>
      <c r="T510" s="265" t="s">
        <v>2022</v>
      </c>
      <c r="U510" s="265" t="s">
        <v>262</v>
      </c>
      <c r="V510" s="265" t="s">
        <v>275</v>
      </c>
      <c r="W510" s="265" t="s">
        <v>1986</v>
      </c>
      <c r="X510" s="265" t="s">
        <v>2021</v>
      </c>
      <c r="Y510" s="265"/>
      <c r="Z510" s="225" t="s">
        <v>11346</v>
      </c>
      <c r="AA510" s="300" t="s">
        <v>10530</v>
      </c>
      <c r="AB510" s="267"/>
      <c r="AC510" s="267"/>
      <c r="AD510" s="267"/>
    </row>
    <row r="511" ht="15.75" customHeight="1" outlineLevel="1">
      <c r="A511" s="261" t="s">
        <v>10833</v>
      </c>
      <c r="B511" s="231" t="s">
        <v>77</v>
      </c>
      <c r="C511" s="231" t="s">
        <v>33</v>
      </c>
      <c r="D511" s="157" t="s">
        <v>89</v>
      </c>
      <c r="E511" s="297" t="s">
        <v>35</v>
      </c>
      <c r="F511" s="168" t="s">
        <v>11167</v>
      </c>
      <c r="G511" s="157" t="s">
        <v>33</v>
      </c>
      <c r="H511" s="212" t="s">
        <v>11288</v>
      </c>
      <c r="I511" s="168" t="s">
        <v>42</v>
      </c>
      <c r="J511" s="264" t="s">
        <v>927</v>
      </c>
      <c r="K511" s="261" t="s">
        <v>44</v>
      </c>
      <c r="L511" s="184" t="s">
        <v>11272</v>
      </c>
      <c r="M511" s="157" t="s">
        <v>33</v>
      </c>
      <c r="N511" s="167" t="s">
        <v>10499</v>
      </c>
      <c r="O511" s="55" t="str">
        <f t="shared" si="18"/>
        <v>L2.02.03.02.05.06</v>
      </c>
      <c r="P511" s="257" t="str">
        <f t="shared" si="16"/>
        <v>L2.02.03.02.05.06.02</v>
      </c>
      <c r="Q511" s="161" t="s">
        <v>10530</v>
      </c>
      <c r="R511" s="299" t="str">
        <f t="shared" si="17"/>
        <v>Nhóm Bán thêm AMIS Điều hành 02</v>
      </c>
      <c r="S511" s="257" t="s">
        <v>11341</v>
      </c>
      <c r="T511" s="265" t="s">
        <v>2061</v>
      </c>
      <c r="U511" s="265" t="s">
        <v>262</v>
      </c>
      <c r="V511" s="265" t="s">
        <v>275</v>
      </c>
      <c r="W511" s="265" t="s">
        <v>1986</v>
      </c>
      <c r="X511" s="265" t="s">
        <v>2060</v>
      </c>
      <c r="Y511" s="265"/>
      <c r="Z511" s="225" t="s">
        <v>11347</v>
      </c>
      <c r="AA511" s="300" t="s">
        <v>10530</v>
      </c>
      <c r="AB511" s="267"/>
      <c r="AC511" s="267"/>
      <c r="AD511" s="267"/>
    </row>
    <row r="512" ht="15.75" customHeight="1" outlineLevel="1">
      <c r="A512" s="228" t="s">
        <v>10833</v>
      </c>
      <c r="B512" s="270" t="s">
        <v>77</v>
      </c>
      <c r="C512" s="270" t="s">
        <v>33</v>
      </c>
      <c r="D512" s="209" t="s">
        <v>89</v>
      </c>
      <c r="E512" s="271" t="s">
        <v>35</v>
      </c>
      <c r="F512" s="182" t="s">
        <v>11167</v>
      </c>
      <c r="G512" s="209" t="s">
        <v>33</v>
      </c>
      <c r="H512" s="212" t="s">
        <v>11288</v>
      </c>
      <c r="I512" s="182" t="s">
        <v>46</v>
      </c>
      <c r="J512" s="184" t="s">
        <v>1012</v>
      </c>
      <c r="K512" s="271" t="s">
        <v>27</v>
      </c>
      <c r="L512" s="415" t="s">
        <v>4</v>
      </c>
      <c r="M512" s="209" t="s">
        <v>33</v>
      </c>
      <c r="N512" s="181" t="s">
        <v>10499</v>
      </c>
      <c r="O512" s="58" t="str">
        <f t="shared" si="18"/>
        <v>L2.02.03.02.07.00</v>
      </c>
      <c r="P512" s="272" t="str">
        <f t="shared" si="16"/>
        <v>L2.02.03.02.07.00.02</v>
      </c>
      <c r="Q512" s="185" t="s">
        <v>10530</v>
      </c>
      <c r="R512" s="273" t="str">
        <f t="shared" si="17"/>
        <v>Phòng KD bán thêm 03</v>
      </c>
      <c r="S512" s="274" t="str">
        <f>P497</f>
        <v>L2.02.03.02.99.00.02</v>
      </c>
      <c r="T512" s="211" t="s">
        <v>11348</v>
      </c>
      <c r="U512" s="183" t="s">
        <v>262</v>
      </c>
      <c r="V512" s="183" t="s">
        <v>275</v>
      </c>
      <c r="W512" s="184" t="s">
        <v>11349</v>
      </c>
      <c r="X512" s="183" t="s">
        <v>11331</v>
      </c>
      <c r="Y512" s="183"/>
      <c r="Z512" s="275" t="s">
        <v>11350</v>
      </c>
      <c r="AA512" s="304" t="s">
        <v>10530</v>
      </c>
      <c r="AB512" s="277"/>
      <c r="AC512" s="277"/>
      <c r="AD512" s="277"/>
    </row>
    <row r="513" ht="15.75" customHeight="1" outlineLevel="1">
      <c r="A513" s="228" t="s">
        <v>10833</v>
      </c>
      <c r="B513" s="270" t="s">
        <v>77</v>
      </c>
      <c r="C513" s="270" t="s">
        <v>33</v>
      </c>
      <c r="D513" s="209" t="s">
        <v>89</v>
      </c>
      <c r="E513" s="271" t="s">
        <v>35</v>
      </c>
      <c r="F513" s="182" t="s">
        <v>11167</v>
      </c>
      <c r="G513" s="209" t="s">
        <v>33</v>
      </c>
      <c r="H513" s="212" t="s">
        <v>11288</v>
      </c>
      <c r="I513" s="182" t="s">
        <v>46</v>
      </c>
      <c r="J513" s="184" t="s">
        <v>1012</v>
      </c>
      <c r="K513" s="182" t="s">
        <v>29</v>
      </c>
      <c r="L513" s="184" t="s">
        <v>11202</v>
      </c>
      <c r="M513" s="209" t="s">
        <v>33</v>
      </c>
      <c r="N513" s="181" t="s">
        <v>10499</v>
      </c>
      <c r="O513" s="58" t="str">
        <f t="shared" si="18"/>
        <v>L2.02.03.02.07.01</v>
      </c>
      <c r="P513" s="272" t="str">
        <f t="shared" si="16"/>
        <v>L2.02.03.02.07.01.02</v>
      </c>
      <c r="Q513" s="185" t="s">
        <v>10530</v>
      </c>
      <c r="R513" s="273" t="str">
        <f t="shared" si="17"/>
        <v>Nhóm Quản lý 03</v>
      </c>
      <c r="S513" s="272" t="str">
        <f>P512</f>
        <v>L2.02.03.02.07.00.02</v>
      </c>
      <c r="T513" s="183"/>
      <c r="U513" s="183"/>
      <c r="V513" s="183"/>
      <c r="W513" s="183"/>
      <c r="X513" s="183"/>
      <c r="Y513" s="184" t="s">
        <v>11089</v>
      </c>
      <c r="Z513" s="275" t="s">
        <v>11351</v>
      </c>
      <c r="AA513" s="304" t="s">
        <v>10530</v>
      </c>
      <c r="AB513" s="277"/>
      <c r="AC513" s="277"/>
      <c r="AD513" s="277"/>
    </row>
    <row r="514" ht="15.75" customHeight="1" outlineLevel="1">
      <c r="A514" s="228" t="s">
        <v>10833</v>
      </c>
      <c r="B514" s="270" t="s">
        <v>77</v>
      </c>
      <c r="C514" s="270" t="s">
        <v>33</v>
      </c>
      <c r="D514" s="209" t="s">
        <v>89</v>
      </c>
      <c r="E514" s="271" t="s">
        <v>35</v>
      </c>
      <c r="F514" s="182" t="s">
        <v>11167</v>
      </c>
      <c r="G514" s="209" t="s">
        <v>33</v>
      </c>
      <c r="H514" s="212" t="s">
        <v>11288</v>
      </c>
      <c r="I514" s="182" t="s">
        <v>46</v>
      </c>
      <c r="J514" s="184" t="s">
        <v>1012</v>
      </c>
      <c r="K514" s="228" t="s">
        <v>33</v>
      </c>
      <c r="L514" s="184" t="s">
        <v>11277</v>
      </c>
      <c r="M514" s="209" t="s">
        <v>33</v>
      </c>
      <c r="N514" s="181" t="s">
        <v>10499</v>
      </c>
      <c r="O514" s="58" t="str">
        <f t="shared" si="18"/>
        <v>L2.02.03.02.07.02</v>
      </c>
      <c r="P514" s="272" t="str">
        <f t="shared" si="16"/>
        <v>L2.02.03.02.07.02.02</v>
      </c>
      <c r="Q514" s="185" t="s">
        <v>10530</v>
      </c>
      <c r="R514" s="273" t="str">
        <f t="shared" si="17"/>
        <v>Nhóm Quản lý khách hàng 03</v>
      </c>
      <c r="S514" s="272" t="str">
        <f>P512</f>
        <v>L2.02.03.02.07.00.02</v>
      </c>
      <c r="T514" s="188" t="s">
        <v>11352</v>
      </c>
      <c r="U514" s="183" t="s">
        <v>262</v>
      </c>
      <c r="V514" s="183" t="s">
        <v>275</v>
      </c>
      <c r="W514" s="184" t="s">
        <v>11349</v>
      </c>
      <c r="X514" s="183" t="s">
        <v>1985</v>
      </c>
      <c r="Y514" s="183"/>
      <c r="Z514" s="275" t="s">
        <v>11353</v>
      </c>
      <c r="AA514" s="304" t="s">
        <v>10530</v>
      </c>
      <c r="AB514" s="277"/>
      <c r="AC514" s="277"/>
      <c r="AD514" s="277"/>
    </row>
    <row r="515" ht="15.75" customHeight="1" outlineLevel="1">
      <c r="A515" s="228" t="s">
        <v>10833</v>
      </c>
      <c r="B515" s="270" t="s">
        <v>77</v>
      </c>
      <c r="C515" s="270" t="s">
        <v>33</v>
      </c>
      <c r="D515" s="209" t="s">
        <v>89</v>
      </c>
      <c r="E515" s="271" t="s">
        <v>35</v>
      </c>
      <c r="F515" s="182" t="s">
        <v>11167</v>
      </c>
      <c r="G515" s="209" t="s">
        <v>33</v>
      </c>
      <c r="H515" s="212" t="s">
        <v>11288</v>
      </c>
      <c r="I515" s="182" t="s">
        <v>46</v>
      </c>
      <c r="J515" s="184" t="s">
        <v>1012</v>
      </c>
      <c r="K515" s="228" t="s">
        <v>35</v>
      </c>
      <c r="L515" s="184" t="s">
        <v>11279</v>
      </c>
      <c r="M515" s="209" t="s">
        <v>33</v>
      </c>
      <c r="N515" s="181" t="s">
        <v>10499</v>
      </c>
      <c r="O515" s="58" t="str">
        <f t="shared" si="18"/>
        <v>L2.02.03.02.07.03</v>
      </c>
      <c r="P515" s="272" t="str">
        <f t="shared" si="16"/>
        <v>L2.02.03.02.07.03.02</v>
      </c>
      <c r="Q515" s="185" t="s">
        <v>10530</v>
      </c>
      <c r="R515" s="273" t="str">
        <f t="shared" si="17"/>
        <v>Nhóm Bán thêm AMIS Kế toán 03</v>
      </c>
      <c r="S515" s="272" t="str">
        <f>P512</f>
        <v>L2.02.03.02.07.00.02</v>
      </c>
      <c r="T515" s="416" t="s">
        <v>11354</v>
      </c>
      <c r="U515" s="183" t="s">
        <v>262</v>
      </c>
      <c r="V515" s="183" t="s">
        <v>275</v>
      </c>
      <c r="W515" s="184" t="s">
        <v>11349</v>
      </c>
      <c r="X515" s="183" t="s">
        <v>2034</v>
      </c>
      <c r="Y515" s="183"/>
      <c r="Z515" s="275" t="s">
        <v>11355</v>
      </c>
      <c r="AA515" s="304" t="s">
        <v>10530</v>
      </c>
      <c r="AB515" s="277"/>
      <c r="AC515" s="277"/>
      <c r="AD515" s="277"/>
    </row>
    <row r="516" ht="15.75" customHeight="1" outlineLevel="1">
      <c r="A516" s="228" t="s">
        <v>10833</v>
      </c>
      <c r="B516" s="270" t="s">
        <v>77</v>
      </c>
      <c r="C516" s="270" t="s">
        <v>33</v>
      </c>
      <c r="D516" s="209" t="s">
        <v>89</v>
      </c>
      <c r="E516" s="271" t="s">
        <v>35</v>
      </c>
      <c r="F516" s="182" t="s">
        <v>11167</v>
      </c>
      <c r="G516" s="209" t="s">
        <v>33</v>
      </c>
      <c r="H516" s="212" t="s">
        <v>11288</v>
      </c>
      <c r="I516" s="182" t="s">
        <v>46</v>
      </c>
      <c r="J516" s="184" t="s">
        <v>1012</v>
      </c>
      <c r="K516" s="228" t="s">
        <v>37</v>
      </c>
      <c r="L516" s="184" t="s">
        <v>11281</v>
      </c>
      <c r="M516" s="209" t="s">
        <v>33</v>
      </c>
      <c r="N516" s="181" t="s">
        <v>10499</v>
      </c>
      <c r="O516" s="58" t="str">
        <f t="shared" si="18"/>
        <v>L2.02.03.02.07.04</v>
      </c>
      <c r="P516" s="272" t="str">
        <f t="shared" si="16"/>
        <v>L2.02.03.02.07.04.02</v>
      </c>
      <c r="Q516" s="185" t="s">
        <v>10530</v>
      </c>
      <c r="R516" s="273" t="str">
        <f t="shared" si="17"/>
        <v>Nhóm Bán thêm AMIS Bán hàng 03</v>
      </c>
      <c r="S516" s="272" t="str">
        <f>P512</f>
        <v>L2.02.03.02.07.00.02</v>
      </c>
      <c r="T516" s="416" t="s">
        <v>11356</v>
      </c>
      <c r="U516" s="183" t="s">
        <v>262</v>
      </c>
      <c r="V516" s="183" t="s">
        <v>275</v>
      </c>
      <c r="W516" s="184" t="s">
        <v>11349</v>
      </c>
      <c r="X516" s="183" t="s">
        <v>2051</v>
      </c>
      <c r="Y516" s="183"/>
      <c r="Z516" s="275" t="s">
        <v>11357</v>
      </c>
      <c r="AA516" s="304" t="s">
        <v>10530</v>
      </c>
      <c r="AB516" s="277"/>
      <c r="AC516" s="277"/>
      <c r="AD516" s="277"/>
    </row>
    <row r="517" ht="15.75" customHeight="1" outlineLevel="1">
      <c r="A517" s="228" t="s">
        <v>10833</v>
      </c>
      <c r="B517" s="270" t="s">
        <v>77</v>
      </c>
      <c r="C517" s="270" t="s">
        <v>33</v>
      </c>
      <c r="D517" s="209" t="s">
        <v>89</v>
      </c>
      <c r="E517" s="271" t="s">
        <v>35</v>
      </c>
      <c r="F517" s="182" t="s">
        <v>11167</v>
      </c>
      <c r="G517" s="209" t="s">
        <v>33</v>
      </c>
      <c r="H517" s="212" t="s">
        <v>11288</v>
      </c>
      <c r="I517" s="182" t="s">
        <v>46</v>
      </c>
      <c r="J517" s="184" t="s">
        <v>1012</v>
      </c>
      <c r="K517" s="228" t="s">
        <v>42</v>
      </c>
      <c r="L517" s="184" t="s">
        <v>11283</v>
      </c>
      <c r="M517" s="209" t="s">
        <v>33</v>
      </c>
      <c r="N517" s="181" t="s">
        <v>10499</v>
      </c>
      <c r="O517" s="58" t="str">
        <f t="shared" si="18"/>
        <v>L2.02.03.02.07.05</v>
      </c>
      <c r="P517" s="272" t="str">
        <f t="shared" si="16"/>
        <v>L2.02.03.02.07.05.02</v>
      </c>
      <c r="Q517" s="185" t="s">
        <v>10530</v>
      </c>
      <c r="R517" s="273" t="str">
        <f t="shared" si="17"/>
        <v>Nhóm Bán thêm AMIS Nhân sự 03</v>
      </c>
      <c r="S517" s="272" t="str">
        <f>P512</f>
        <v>L2.02.03.02.07.00.02</v>
      </c>
      <c r="T517" s="416" t="s">
        <v>11358</v>
      </c>
      <c r="U517" s="183" t="s">
        <v>262</v>
      </c>
      <c r="V517" s="183" t="s">
        <v>275</v>
      </c>
      <c r="W517" s="184" t="s">
        <v>11349</v>
      </c>
      <c r="X517" s="183" t="s">
        <v>2021</v>
      </c>
      <c r="Y517" s="183"/>
      <c r="Z517" s="275" t="s">
        <v>11359</v>
      </c>
      <c r="AA517" s="304" t="s">
        <v>10530</v>
      </c>
      <c r="AB517" s="277"/>
      <c r="AC517" s="277"/>
      <c r="AD517" s="277"/>
    </row>
    <row r="518" ht="15.75" customHeight="1" outlineLevel="1">
      <c r="A518" s="228" t="s">
        <v>10833</v>
      </c>
      <c r="B518" s="270" t="s">
        <v>77</v>
      </c>
      <c r="C518" s="270" t="s">
        <v>33</v>
      </c>
      <c r="D518" s="209" t="s">
        <v>89</v>
      </c>
      <c r="E518" s="271" t="s">
        <v>35</v>
      </c>
      <c r="F518" s="182" t="s">
        <v>11167</v>
      </c>
      <c r="G518" s="209" t="s">
        <v>33</v>
      </c>
      <c r="H518" s="212" t="s">
        <v>11288</v>
      </c>
      <c r="I518" s="182" t="s">
        <v>46</v>
      </c>
      <c r="J518" s="184" t="s">
        <v>1012</v>
      </c>
      <c r="K518" s="228" t="s">
        <v>44</v>
      </c>
      <c r="L518" s="184" t="s">
        <v>11285</v>
      </c>
      <c r="M518" s="209" t="s">
        <v>33</v>
      </c>
      <c r="N518" s="181" t="s">
        <v>10499</v>
      </c>
      <c r="O518" s="58" t="str">
        <f t="shared" si="18"/>
        <v>L2.02.03.02.07.06</v>
      </c>
      <c r="P518" s="272" t="str">
        <f t="shared" si="16"/>
        <v>L2.02.03.02.07.06.02</v>
      </c>
      <c r="Q518" s="185" t="s">
        <v>10530</v>
      </c>
      <c r="R518" s="273" t="str">
        <f t="shared" si="17"/>
        <v>Nhóm Bán thêm AMIS Điều hành 03</v>
      </c>
      <c r="S518" s="272" t="str">
        <f>P512</f>
        <v>L2.02.03.02.07.00.02</v>
      </c>
      <c r="T518" s="416" t="s">
        <v>11360</v>
      </c>
      <c r="U518" s="183" t="s">
        <v>262</v>
      </c>
      <c r="V518" s="183" t="s">
        <v>275</v>
      </c>
      <c r="W518" s="184" t="s">
        <v>11349</v>
      </c>
      <c r="X518" s="183" t="s">
        <v>2060</v>
      </c>
      <c r="Y518" s="183"/>
      <c r="Z518" s="275" t="s">
        <v>11361</v>
      </c>
      <c r="AA518" s="304" t="s">
        <v>10530</v>
      </c>
      <c r="AB518" s="277"/>
      <c r="AC518" s="277"/>
      <c r="AD518" s="277"/>
    </row>
    <row r="519" ht="15.75" customHeight="1" outlineLevel="1">
      <c r="A519" s="261" t="s">
        <v>10833</v>
      </c>
      <c r="B519" s="231" t="s">
        <v>77</v>
      </c>
      <c r="C519" s="231" t="s">
        <v>33</v>
      </c>
      <c r="D519" s="157" t="s">
        <v>89</v>
      </c>
      <c r="E519" s="297" t="s">
        <v>35</v>
      </c>
      <c r="F519" s="168" t="s">
        <v>11167</v>
      </c>
      <c r="G519" s="157" t="s">
        <v>33</v>
      </c>
      <c r="H519" s="298" t="s">
        <v>11288</v>
      </c>
      <c r="I519" s="168" t="s">
        <v>44</v>
      </c>
      <c r="J519" s="257" t="s">
        <v>101</v>
      </c>
      <c r="K519" s="297" t="s">
        <v>27</v>
      </c>
      <c r="L519" s="157" t="s">
        <v>4</v>
      </c>
      <c r="M519" s="157" t="s">
        <v>33</v>
      </c>
      <c r="N519" s="167" t="s">
        <v>10499</v>
      </c>
      <c r="O519" s="55" t="str">
        <f t="shared" si="18"/>
        <v>L2.02.03.02.06.00</v>
      </c>
      <c r="P519" s="257" t="str">
        <f t="shared" si="16"/>
        <v>L2.02.03.02.06.00.02</v>
      </c>
      <c r="Q519" s="161" t="s">
        <v>10530</v>
      </c>
      <c r="R519" s="299" t="str">
        <f t="shared" si="17"/>
        <v>Phòng chuyển giao</v>
      </c>
      <c r="S519" s="269" t="s">
        <v>11292</v>
      </c>
      <c r="T519" s="265" t="s">
        <v>2080</v>
      </c>
      <c r="U519" s="265" t="s">
        <v>262</v>
      </c>
      <c r="V519" s="265" t="s">
        <v>275</v>
      </c>
      <c r="W519" s="265" t="s">
        <v>2079</v>
      </c>
      <c r="X519" s="265"/>
      <c r="Y519" s="265"/>
      <c r="Z519" s="225" t="s">
        <v>11362</v>
      </c>
      <c r="AA519" s="300" t="s">
        <v>10530</v>
      </c>
      <c r="AB519" s="267"/>
      <c r="AC519" s="267"/>
      <c r="AD519" s="267"/>
    </row>
    <row r="520" ht="15.75" customHeight="1" outlineLevel="1">
      <c r="A520" s="261" t="s">
        <v>10833</v>
      </c>
      <c r="B520" s="231" t="s">
        <v>77</v>
      </c>
      <c r="C520" s="231" t="s">
        <v>33</v>
      </c>
      <c r="D520" s="157" t="s">
        <v>89</v>
      </c>
      <c r="E520" s="297" t="s">
        <v>35</v>
      </c>
      <c r="F520" s="168" t="s">
        <v>11167</v>
      </c>
      <c r="G520" s="157" t="s">
        <v>33</v>
      </c>
      <c r="H520" s="212" t="s">
        <v>11363</v>
      </c>
      <c r="I520" s="168" t="s">
        <v>27</v>
      </c>
      <c r="J520" s="258" t="s">
        <v>4</v>
      </c>
      <c r="K520" s="297" t="s">
        <v>27</v>
      </c>
      <c r="L520" s="157" t="s">
        <v>4</v>
      </c>
      <c r="M520" s="157" t="s">
        <v>35</v>
      </c>
      <c r="N520" s="167" t="s">
        <v>10500</v>
      </c>
      <c r="O520" s="55" t="str">
        <f t="shared" si="18"/>
        <v>L2.02.03.02.00.00</v>
      </c>
      <c r="P520" s="257" t="str">
        <f t="shared" si="16"/>
        <v>L2.02.03.02.00.00.03</v>
      </c>
      <c r="Q520" s="161" t="s">
        <v>10530</v>
      </c>
      <c r="R520" s="273" t="str">
        <f t="shared" si="17"/>
        <v>Phòng KD giải pháp DN Vừa - Đà Nẵng</v>
      </c>
      <c r="S520" s="269" t="s">
        <v>11170</v>
      </c>
      <c r="T520" s="265"/>
      <c r="U520" s="265"/>
      <c r="V520" s="265"/>
      <c r="W520" s="265"/>
      <c r="X520" s="265"/>
      <c r="Y520" s="264" t="s">
        <v>11364</v>
      </c>
      <c r="Z520" s="225" t="s">
        <v>11365</v>
      </c>
      <c r="AA520" s="300" t="s">
        <v>10530</v>
      </c>
      <c r="AB520" s="267"/>
      <c r="AC520" s="267"/>
      <c r="AD520" s="267"/>
    </row>
    <row r="521" ht="15.75" customHeight="1" outlineLevel="1">
      <c r="A521" s="261" t="s">
        <v>10833</v>
      </c>
      <c r="B521" s="231" t="s">
        <v>77</v>
      </c>
      <c r="C521" s="231" t="s">
        <v>33</v>
      </c>
      <c r="D521" s="157" t="s">
        <v>89</v>
      </c>
      <c r="E521" s="297" t="s">
        <v>35</v>
      </c>
      <c r="F521" s="168" t="s">
        <v>11167</v>
      </c>
      <c r="G521" s="157" t="s">
        <v>33</v>
      </c>
      <c r="H521" s="212" t="s">
        <v>11363</v>
      </c>
      <c r="I521" s="157" t="s">
        <v>29</v>
      </c>
      <c r="J521" s="303" t="s">
        <v>11366</v>
      </c>
      <c r="K521" s="297" t="s">
        <v>27</v>
      </c>
      <c r="L521" s="157" t="s">
        <v>4</v>
      </c>
      <c r="M521" s="157" t="s">
        <v>35</v>
      </c>
      <c r="N521" s="167" t="s">
        <v>10500</v>
      </c>
      <c r="O521" s="55" t="str">
        <f t="shared" si="18"/>
        <v>L2.02.03.02.01.00</v>
      </c>
      <c r="P521" s="257" t="str">
        <f t="shared" si="16"/>
        <v>L2.02.03.02.01.00.03</v>
      </c>
      <c r="Q521" s="161" t="s">
        <v>10530</v>
      </c>
      <c r="R521" s="273" t="str">
        <f t="shared" si="17"/>
        <v>Nhóm KD giải pháp DN Vừa</v>
      </c>
      <c r="S521" s="269" t="s">
        <v>11367</v>
      </c>
      <c r="T521" s="265" t="s">
        <v>2812</v>
      </c>
      <c r="U521" s="265" t="s">
        <v>2811</v>
      </c>
      <c r="V521" s="265" t="s">
        <v>2810</v>
      </c>
      <c r="W521" s="265"/>
      <c r="X521" s="265"/>
      <c r="Y521" s="265"/>
      <c r="Z521" s="225" t="s">
        <v>11368</v>
      </c>
      <c r="AA521" s="300" t="s">
        <v>10530</v>
      </c>
      <c r="AB521" s="267"/>
      <c r="AC521" s="267"/>
      <c r="AD521" s="267"/>
    </row>
    <row r="522" ht="15.75" customHeight="1" outlineLevel="1">
      <c r="A522" s="261" t="s">
        <v>10833</v>
      </c>
      <c r="B522" s="231" t="s">
        <v>77</v>
      </c>
      <c r="C522" s="231" t="s">
        <v>33</v>
      </c>
      <c r="D522" s="157" t="s">
        <v>89</v>
      </c>
      <c r="E522" s="297" t="s">
        <v>35</v>
      </c>
      <c r="F522" s="168" t="s">
        <v>11167</v>
      </c>
      <c r="G522" s="157" t="s">
        <v>33</v>
      </c>
      <c r="H522" s="212" t="s">
        <v>11363</v>
      </c>
      <c r="I522" s="157" t="s">
        <v>33</v>
      </c>
      <c r="J522" s="257" t="s">
        <v>153</v>
      </c>
      <c r="K522" s="297" t="s">
        <v>27</v>
      </c>
      <c r="L522" s="157" t="s">
        <v>4</v>
      </c>
      <c r="M522" s="157" t="s">
        <v>35</v>
      </c>
      <c r="N522" s="167" t="s">
        <v>10500</v>
      </c>
      <c r="O522" s="55" t="str">
        <f t="shared" si="18"/>
        <v>L2.02.03.02.02.00</v>
      </c>
      <c r="P522" s="257" t="str">
        <f t="shared" si="16"/>
        <v>L2.02.03.02.02.00.03</v>
      </c>
      <c r="Q522" s="161" t="s">
        <v>10530</v>
      </c>
      <c r="R522" s="299" t="str">
        <f t="shared" si="17"/>
        <v>Nhóm chuyển giao</v>
      </c>
      <c r="S522" s="269" t="s">
        <v>11367</v>
      </c>
      <c r="T522" s="265"/>
      <c r="U522" s="265"/>
      <c r="V522" s="265"/>
      <c r="W522" s="265"/>
      <c r="X522" s="265"/>
      <c r="Y522" s="264" t="s">
        <v>11364</v>
      </c>
      <c r="Z522" s="225" t="s">
        <v>11369</v>
      </c>
      <c r="AA522" s="266"/>
      <c r="AB522" s="267"/>
      <c r="AC522" s="267"/>
      <c r="AD522" s="267"/>
    </row>
    <row r="523" ht="15.75" customHeight="1" outlineLevel="1">
      <c r="A523" s="261" t="s">
        <v>10833</v>
      </c>
      <c r="B523" s="231" t="s">
        <v>77</v>
      </c>
      <c r="C523" s="231" t="s">
        <v>33</v>
      </c>
      <c r="D523" s="157" t="s">
        <v>89</v>
      </c>
      <c r="E523" s="297" t="s">
        <v>35</v>
      </c>
      <c r="F523" s="168" t="s">
        <v>11167</v>
      </c>
      <c r="G523" s="157" t="s">
        <v>33</v>
      </c>
      <c r="H523" s="212" t="s">
        <v>11370</v>
      </c>
      <c r="I523" s="168" t="s">
        <v>27</v>
      </c>
      <c r="J523" s="258" t="s">
        <v>4</v>
      </c>
      <c r="K523" s="297" t="s">
        <v>27</v>
      </c>
      <c r="L523" s="157" t="s">
        <v>4</v>
      </c>
      <c r="M523" s="157" t="s">
        <v>37</v>
      </c>
      <c r="N523" s="298" t="s">
        <v>10900</v>
      </c>
      <c r="O523" s="55" t="str">
        <f t="shared" si="18"/>
        <v>L2.02.03.02.00.00</v>
      </c>
      <c r="P523" s="257" t="str">
        <f t="shared" si="16"/>
        <v>L2.02.03.02.00.00.04</v>
      </c>
      <c r="Q523" s="161" t="s">
        <v>10530</v>
      </c>
      <c r="R523" s="273" t="str">
        <f t="shared" si="17"/>
        <v>Phòng KD giải pháp DN Vừa - Buôn Ma Thuột</v>
      </c>
      <c r="S523" s="417" t="s">
        <v>11170</v>
      </c>
      <c r="T523" s="418"/>
      <c r="U523" s="418"/>
      <c r="V523" s="418"/>
      <c r="W523" s="418"/>
      <c r="X523" s="265"/>
      <c r="Y523" s="264" t="s">
        <v>11364</v>
      </c>
      <c r="Z523" s="225" t="s">
        <v>11371</v>
      </c>
      <c r="AA523" s="300" t="s">
        <v>10530</v>
      </c>
      <c r="AB523" s="267"/>
      <c r="AC523" s="267"/>
      <c r="AD523" s="267"/>
    </row>
    <row r="524" ht="15.75" customHeight="1" outlineLevel="1">
      <c r="A524" s="261" t="s">
        <v>10833</v>
      </c>
      <c r="B524" s="231" t="s">
        <v>77</v>
      </c>
      <c r="C524" s="231" t="s">
        <v>33</v>
      </c>
      <c r="D524" s="157" t="s">
        <v>89</v>
      </c>
      <c r="E524" s="297" t="s">
        <v>35</v>
      </c>
      <c r="F524" s="168" t="s">
        <v>11167</v>
      </c>
      <c r="G524" s="157" t="s">
        <v>33</v>
      </c>
      <c r="H524" s="212" t="s">
        <v>11370</v>
      </c>
      <c r="I524" s="157" t="s">
        <v>29</v>
      </c>
      <c r="J524" s="303" t="s">
        <v>11366</v>
      </c>
      <c r="K524" s="297" t="s">
        <v>27</v>
      </c>
      <c r="L524" s="157" t="s">
        <v>4</v>
      </c>
      <c r="M524" s="157" t="s">
        <v>37</v>
      </c>
      <c r="N524" s="298" t="s">
        <v>10900</v>
      </c>
      <c r="O524" s="55" t="str">
        <f t="shared" si="18"/>
        <v>L2.02.03.02.01.00</v>
      </c>
      <c r="P524" s="257" t="str">
        <f t="shared" si="16"/>
        <v>L2.02.03.02.01.00.04</v>
      </c>
      <c r="Q524" s="161" t="s">
        <v>10530</v>
      </c>
      <c r="R524" s="273" t="str">
        <f t="shared" si="17"/>
        <v>Nhóm KD giải pháp DN Vừa</v>
      </c>
      <c r="S524" s="417" t="s">
        <v>11372</v>
      </c>
      <c r="T524" s="418" t="s">
        <v>2964</v>
      </c>
      <c r="U524" s="418" t="s">
        <v>2732</v>
      </c>
      <c r="V524" s="418" t="s">
        <v>2810</v>
      </c>
      <c r="W524" s="418" t="s">
        <v>2810</v>
      </c>
      <c r="X524" s="265"/>
      <c r="Y524" s="265"/>
      <c r="Z524" s="225" t="s">
        <v>11373</v>
      </c>
      <c r="AA524" s="300" t="s">
        <v>10530</v>
      </c>
      <c r="AB524" s="267"/>
      <c r="AC524" s="267"/>
      <c r="AD524" s="267"/>
    </row>
    <row r="525" ht="15.75" customHeight="1" outlineLevel="1">
      <c r="A525" s="261" t="s">
        <v>10833</v>
      </c>
      <c r="B525" s="231" t="s">
        <v>77</v>
      </c>
      <c r="C525" s="231" t="s">
        <v>33</v>
      </c>
      <c r="D525" s="157" t="s">
        <v>89</v>
      </c>
      <c r="E525" s="297" t="s">
        <v>35</v>
      </c>
      <c r="F525" s="168" t="s">
        <v>11167</v>
      </c>
      <c r="G525" s="157" t="s">
        <v>33</v>
      </c>
      <c r="H525" s="212" t="s">
        <v>11370</v>
      </c>
      <c r="I525" s="157" t="s">
        <v>33</v>
      </c>
      <c r="J525" s="257" t="s">
        <v>153</v>
      </c>
      <c r="K525" s="297" t="s">
        <v>27</v>
      </c>
      <c r="L525" s="157" t="s">
        <v>4</v>
      </c>
      <c r="M525" s="157" t="s">
        <v>37</v>
      </c>
      <c r="N525" s="298" t="s">
        <v>10900</v>
      </c>
      <c r="O525" s="55" t="str">
        <f t="shared" si="18"/>
        <v>L2.02.03.02.02.00</v>
      </c>
      <c r="P525" s="257" t="str">
        <f t="shared" si="16"/>
        <v>L2.02.03.02.02.00.04</v>
      </c>
      <c r="Q525" s="161" t="s">
        <v>10530</v>
      </c>
      <c r="R525" s="299" t="str">
        <f t="shared" si="17"/>
        <v>Nhóm chuyển giao</v>
      </c>
      <c r="S525" s="269" t="s">
        <v>11372</v>
      </c>
      <c r="T525" s="265"/>
      <c r="U525" s="265"/>
      <c r="V525" s="265"/>
      <c r="W525" s="265"/>
      <c r="X525" s="265"/>
      <c r="Y525" s="264" t="s">
        <v>11364</v>
      </c>
      <c r="Z525" s="225" t="s">
        <v>11374</v>
      </c>
      <c r="AA525" s="266"/>
      <c r="AB525" s="267"/>
      <c r="AC525" s="267"/>
      <c r="AD525" s="267"/>
    </row>
    <row r="526" ht="15.75" customHeight="1" outlineLevel="1">
      <c r="A526" s="261" t="s">
        <v>10833</v>
      </c>
      <c r="B526" s="231" t="s">
        <v>77</v>
      </c>
      <c r="C526" s="231" t="s">
        <v>33</v>
      </c>
      <c r="D526" s="157" t="s">
        <v>89</v>
      </c>
      <c r="E526" s="297" t="s">
        <v>35</v>
      </c>
      <c r="F526" s="168" t="s">
        <v>11167</v>
      </c>
      <c r="G526" s="157" t="s">
        <v>33</v>
      </c>
      <c r="H526" s="212" t="s">
        <v>11375</v>
      </c>
      <c r="I526" s="168" t="s">
        <v>27</v>
      </c>
      <c r="J526" s="258" t="s">
        <v>4</v>
      </c>
      <c r="K526" s="297" t="s">
        <v>27</v>
      </c>
      <c r="L526" s="157" t="s">
        <v>4</v>
      </c>
      <c r="M526" s="157" t="s">
        <v>42</v>
      </c>
      <c r="N526" s="167" t="s">
        <v>10502</v>
      </c>
      <c r="O526" s="55" t="str">
        <f t="shared" si="18"/>
        <v>L2.02.03.02.00.00</v>
      </c>
      <c r="P526" s="257" t="str">
        <f t="shared" si="16"/>
        <v>L2.02.03.02.00.00.05</v>
      </c>
      <c r="Q526" s="161" t="s">
        <v>10530</v>
      </c>
      <c r="R526" s="273" t="str">
        <f t="shared" si="17"/>
        <v>Phòng KD giải pháp DN Vừa - Cần Thơ</v>
      </c>
      <c r="S526" s="269" t="s">
        <v>11170</v>
      </c>
      <c r="T526" s="265"/>
      <c r="U526" s="265"/>
      <c r="V526" s="265"/>
      <c r="W526" s="265"/>
      <c r="X526" s="265"/>
      <c r="Y526" s="264" t="s">
        <v>11364</v>
      </c>
      <c r="Z526" s="225" t="s">
        <v>11376</v>
      </c>
      <c r="AA526" s="300" t="s">
        <v>10530</v>
      </c>
      <c r="AB526" s="267"/>
      <c r="AC526" s="267"/>
      <c r="AD526" s="267"/>
    </row>
    <row r="527" ht="15.75" customHeight="1" outlineLevel="1">
      <c r="A527" s="261" t="s">
        <v>10833</v>
      </c>
      <c r="B527" s="231" t="s">
        <v>77</v>
      </c>
      <c r="C527" s="231" t="s">
        <v>33</v>
      </c>
      <c r="D527" s="157" t="s">
        <v>89</v>
      </c>
      <c r="E527" s="297" t="s">
        <v>35</v>
      </c>
      <c r="F527" s="168" t="s">
        <v>11167</v>
      </c>
      <c r="G527" s="157" t="s">
        <v>33</v>
      </c>
      <c r="H527" s="212" t="s">
        <v>11375</v>
      </c>
      <c r="I527" s="157" t="s">
        <v>29</v>
      </c>
      <c r="J527" s="303" t="s">
        <v>11366</v>
      </c>
      <c r="K527" s="297" t="s">
        <v>27</v>
      </c>
      <c r="L527" s="157" t="s">
        <v>4</v>
      </c>
      <c r="M527" s="157" t="s">
        <v>42</v>
      </c>
      <c r="N527" s="167" t="s">
        <v>10502</v>
      </c>
      <c r="O527" s="55" t="str">
        <f t="shared" si="18"/>
        <v>L2.02.03.02.01.00</v>
      </c>
      <c r="P527" s="257" t="str">
        <f t="shared" si="16"/>
        <v>L2.02.03.02.01.00.05</v>
      </c>
      <c r="Q527" s="161" t="s">
        <v>10530</v>
      </c>
      <c r="R527" s="273" t="str">
        <f t="shared" si="17"/>
        <v>Nhóm KD giải pháp DN Vừa</v>
      </c>
      <c r="S527" s="269" t="s">
        <v>11377</v>
      </c>
      <c r="T527" s="265" t="s">
        <v>7631</v>
      </c>
      <c r="U527" s="265" t="s">
        <v>325</v>
      </c>
      <c r="V527" s="265" t="s">
        <v>2810</v>
      </c>
      <c r="W527" s="265"/>
      <c r="X527" s="265"/>
      <c r="Y527" s="265"/>
      <c r="Z527" s="225" t="s">
        <v>11378</v>
      </c>
      <c r="AA527" s="300" t="s">
        <v>10530</v>
      </c>
      <c r="AB527" s="267"/>
      <c r="AC527" s="267"/>
      <c r="AD527" s="267"/>
    </row>
    <row r="528" ht="15.75" customHeight="1" outlineLevel="1">
      <c r="A528" s="261" t="s">
        <v>10833</v>
      </c>
      <c r="B528" s="231" t="s">
        <v>77</v>
      </c>
      <c r="C528" s="231" t="s">
        <v>33</v>
      </c>
      <c r="D528" s="157" t="s">
        <v>89</v>
      </c>
      <c r="E528" s="297" t="s">
        <v>35</v>
      </c>
      <c r="F528" s="168" t="s">
        <v>11167</v>
      </c>
      <c r="G528" s="157" t="s">
        <v>33</v>
      </c>
      <c r="H528" s="212" t="s">
        <v>11375</v>
      </c>
      <c r="I528" s="157" t="s">
        <v>33</v>
      </c>
      <c r="J528" s="257" t="s">
        <v>153</v>
      </c>
      <c r="K528" s="297" t="s">
        <v>27</v>
      </c>
      <c r="L528" s="157" t="s">
        <v>4</v>
      </c>
      <c r="M528" s="157" t="s">
        <v>42</v>
      </c>
      <c r="N528" s="167" t="s">
        <v>10502</v>
      </c>
      <c r="O528" s="55" t="str">
        <f t="shared" si="18"/>
        <v>L2.02.03.02.02.00</v>
      </c>
      <c r="P528" s="257" t="str">
        <f t="shared" si="16"/>
        <v>L2.02.03.02.02.00.05</v>
      </c>
      <c r="Q528" s="161" t="s">
        <v>10530</v>
      </c>
      <c r="R528" s="299" t="str">
        <f t="shared" si="17"/>
        <v>Nhóm chuyển giao</v>
      </c>
      <c r="S528" s="269" t="s">
        <v>11377</v>
      </c>
      <c r="T528" s="265"/>
      <c r="U528" s="265"/>
      <c r="V528" s="265"/>
      <c r="W528" s="265"/>
      <c r="X528" s="265"/>
      <c r="Y528" s="264" t="s">
        <v>11364</v>
      </c>
      <c r="Z528" s="225" t="s">
        <v>11379</v>
      </c>
      <c r="AA528" s="266"/>
      <c r="AB528" s="267"/>
      <c r="AC528" s="267"/>
      <c r="AD528" s="267"/>
    </row>
    <row r="529" ht="15.75" customHeight="1" outlineLevel="1">
      <c r="A529" s="261" t="s">
        <v>10833</v>
      </c>
      <c r="B529" s="231" t="s">
        <v>77</v>
      </c>
      <c r="C529" s="231" t="s">
        <v>33</v>
      </c>
      <c r="D529" s="157" t="s">
        <v>89</v>
      </c>
      <c r="E529" s="297" t="s">
        <v>35</v>
      </c>
      <c r="F529" s="168" t="s">
        <v>11167</v>
      </c>
      <c r="G529" s="157" t="s">
        <v>35</v>
      </c>
      <c r="H529" s="419" t="s">
        <v>161</v>
      </c>
      <c r="I529" s="168" t="s">
        <v>27</v>
      </c>
      <c r="J529" s="262" t="s">
        <v>4</v>
      </c>
      <c r="K529" s="297" t="s">
        <v>27</v>
      </c>
      <c r="L529" s="157" t="s">
        <v>4</v>
      </c>
      <c r="M529" s="157" t="s">
        <v>44</v>
      </c>
      <c r="N529" s="167" t="s">
        <v>10505</v>
      </c>
      <c r="O529" s="55" t="str">
        <f t="shared" si="18"/>
        <v>L2.02.03.03.00.00</v>
      </c>
      <c r="P529" s="257" t="str">
        <f t="shared" si="16"/>
        <v>L2.02.03.03.00.00.06</v>
      </c>
      <c r="Q529" s="161" t="s">
        <v>10530</v>
      </c>
      <c r="R529" s="420" t="str">
        <f t="shared" si="17"/>
        <v>Nhóm MKT sản phẩm Quản trị doanh nghiệp</v>
      </c>
      <c r="S529" s="269" t="s">
        <v>11170</v>
      </c>
      <c r="T529" s="265"/>
      <c r="U529" s="265"/>
      <c r="V529" s="265"/>
      <c r="W529" s="265"/>
      <c r="X529" s="265"/>
      <c r="Y529" s="264" t="s">
        <v>11364</v>
      </c>
      <c r="Z529" s="225" t="s">
        <v>11380</v>
      </c>
      <c r="AA529" s="266"/>
      <c r="AB529" s="267"/>
      <c r="AC529" s="267"/>
      <c r="AD529" s="267"/>
    </row>
    <row r="530" ht="15.75" customHeight="1" outlineLevel="1">
      <c r="A530" s="261" t="s">
        <v>10833</v>
      </c>
      <c r="B530" s="231" t="s">
        <v>77</v>
      </c>
      <c r="C530" s="231" t="s">
        <v>33</v>
      </c>
      <c r="D530" s="157" t="s">
        <v>89</v>
      </c>
      <c r="E530" s="297" t="s">
        <v>35</v>
      </c>
      <c r="F530" s="168" t="s">
        <v>11167</v>
      </c>
      <c r="G530" s="157" t="s">
        <v>35</v>
      </c>
      <c r="H530" s="419" t="s">
        <v>161</v>
      </c>
      <c r="I530" s="297" t="s">
        <v>29</v>
      </c>
      <c r="J530" s="419" t="s">
        <v>162</v>
      </c>
      <c r="K530" s="297" t="s">
        <v>27</v>
      </c>
      <c r="L530" s="157" t="s">
        <v>4</v>
      </c>
      <c r="M530" s="157" t="s">
        <v>44</v>
      </c>
      <c r="N530" s="167" t="s">
        <v>10505</v>
      </c>
      <c r="O530" s="55" t="str">
        <f t="shared" si="18"/>
        <v>L2.02.03.03.01.00</v>
      </c>
      <c r="P530" s="257" t="str">
        <f t="shared" si="16"/>
        <v>L2.02.03.03.01.00.06</v>
      </c>
      <c r="Q530" s="161" t="s">
        <v>10530</v>
      </c>
      <c r="R530" s="420" t="str">
        <f t="shared" si="17"/>
        <v>Nhóm MKT sản phẩm bán hàng</v>
      </c>
      <c r="S530" s="269" t="s">
        <v>11381</v>
      </c>
      <c r="T530" s="265" t="s">
        <v>7686</v>
      </c>
      <c r="U530" s="265" t="s">
        <v>303</v>
      </c>
      <c r="V530" s="265" t="s">
        <v>335</v>
      </c>
      <c r="W530" s="265" t="s">
        <v>336</v>
      </c>
      <c r="X530" s="265" t="s">
        <v>7685</v>
      </c>
      <c r="Y530" s="265"/>
      <c r="Z530" s="225" t="s">
        <v>11382</v>
      </c>
      <c r="AA530" s="266"/>
      <c r="AB530" s="267"/>
      <c r="AC530" s="267"/>
      <c r="AD530" s="267"/>
    </row>
    <row r="531" ht="15.75" customHeight="1" outlineLevel="1">
      <c r="A531" s="261" t="s">
        <v>10833</v>
      </c>
      <c r="B531" s="231" t="s">
        <v>77</v>
      </c>
      <c r="C531" s="231" t="s">
        <v>33</v>
      </c>
      <c r="D531" s="157" t="s">
        <v>89</v>
      </c>
      <c r="E531" s="297" t="s">
        <v>35</v>
      </c>
      <c r="F531" s="168" t="s">
        <v>11167</v>
      </c>
      <c r="G531" s="157" t="s">
        <v>35</v>
      </c>
      <c r="H531" s="419" t="s">
        <v>161</v>
      </c>
      <c r="I531" s="297" t="s">
        <v>33</v>
      </c>
      <c r="J531" s="419" t="s">
        <v>163</v>
      </c>
      <c r="K531" s="297" t="s">
        <v>27</v>
      </c>
      <c r="L531" s="157" t="s">
        <v>4</v>
      </c>
      <c r="M531" s="157" t="s">
        <v>44</v>
      </c>
      <c r="N531" s="167" t="s">
        <v>10505</v>
      </c>
      <c r="O531" s="55" t="str">
        <f t="shared" si="18"/>
        <v>L2.02.03.03.02.00</v>
      </c>
      <c r="P531" s="257" t="str">
        <f t="shared" si="16"/>
        <v>L2.02.03.03.02.00.06</v>
      </c>
      <c r="Q531" s="161" t="s">
        <v>10530</v>
      </c>
      <c r="R531" s="420" t="str">
        <f t="shared" si="17"/>
        <v>Nhóm MKT sản phẩm nhân sự</v>
      </c>
      <c r="S531" s="269" t="s">
        <v>11381</v>
      </c>
      <c r="T531" s="265" t="s">
        <v>9324</v>
      </c>
      <c r="U531" s="265" t="s">
        <v>303</v>
      </c>
      <c r="V531" s="265" t="s">
        <v>335</v>
      </c>
      <c r="W531" s="265" t="s">
        <v>336</v>
      </c>
      <c r="X531" s="265" t="s">
        <v>9323</v>
      </c>
      <c r="Y531" s="265"/>
      <c r="Z531" s="225" t="s">
        <v>11383</v>
      </c>
      <c r="AA531" s="266"/>
      <c r="AB531" s="267"/>
      <c r="AC531" s="267"/>
      <c r="AD531" s="267"/>
    </row>
    <row r="532" ht="15.75" customHeight="1" outlineLevel="1">
      <c r="A532" s="261" t="s">
        <v>10833</v>
      </c>
      <c r="B532" s="231" t="s">
        <v>77</v>
      </c>
      <c r="C532" s="231" t="s">
        <v>33</v>
      </c>
      <c r="D532" s="157" t="s">
        <v>89</v>
      </c>
      <c r="E532" s="297" t="s">
        <v>35</v>
      </c>
      <c r="F532" s="168" t="s">
        <v>11167</v>
      </c>
      <c r="G532" s="157" t="s">
        <v>35</v>
      </c>
      <c r="H532" s="419" t="s">
        <v>161</v>
      </c>
      <c r="I532" s="297" t="s">
        <v>35</v>
      </c>
      <c r="J532" s="419" t="s">
        <v>164</v>
      </c>
      <c r="K532" s="297" t="s">
        <v>27</v>
      </c>
      <c r="L532" s="157" t="s">
        <v>4</v>
      </c>
      <c r="M532" s="157" t="s">
        <v>44</v>
      </c>
      <c r="N532" s="167" t="s">
        <v>10505</v>
      </c>
      <c r="O532" s="55" t="str">
        <f t="shared" si="18"/>
        <v>L2.02.03.03.03.00</v>
      </c>
      <c r="P532" s="257" t="str">
        <f t="shared" si="16"/>
        <v>L2.02.03.03.03.00.06</v>
      </c>
      <c r="Q532" s="161" t="s">
        <v>10530</v>
      </c>
      <c r="R532" s="420" t="str">
        <f t="shared" si="17"/>
        <v>Nhóm MKT sản phẩm VPS</v>
      </c>
      <c r="S532" s="269" t="s">
        <v>11381</v>
      </c>
      <c r="T532" s="265" t="s">
        <v>9181</v>
      </c>
      <c r="U532" s="265" t="s">
        <v>303</v>
      </c>
      <c r="V532" s="265" t="s">
        <v>335</v>
      </c>
      <c r="W532" s="265" t="s">
        <v>336</v>
      </c>
      <c r="X532" s="265" t="s">
        <v>9180</v>
      </c>
      <c r="Y532" s="265"/>
      <c r="Z532" s="225" t="s">
        <v>11384</v>
      </c>
      <c r="AA532" s="266"/>
      <c r="AB532" s="267"/>
      <c r="AC532" s="267"/>
      <c r="AD532" s="267"/>
    </row>
    <row r="533" ht="15.75" customHeight="1" outlineLevel="1">
      <c r="A533" s="261" t="s">
        <v>10833</v>
      </c>
      <c r="B533" s="231" t="s">
        <v>77</v>
      </c>
      <c r="C533" s="231" t="s">
        <v>33</v>
      </c>
      <c r="D533" s="157" t="s">
        <v>89</v>
      </c>
      <c r="E533" s="297" t="s">
        <v>35</v>
      </c>
      <c r="F533" s="168" t="s">
        <v>11167</v>
      </c>
      <c r="G533" s="157" t="s">
        <v>35</v>
      </c>
      <c r="H533" s="419" t="s">
        <v>161</v>
      </c>
      <c r="I533" s="297" t="s">
        <v>37</v>
      </c>
      <c r="J533" s="419" t="s">
        <v>148</v>
      </c>
      <c r="K533" s="297" t="s">
        <v>27</v>
      </c>
      <c r="L533" s="157" t="s">
        <v>4</v>
      </c>
      <c r="M533" s="157" t="s">
        <v>44</v>
      </c>
      <c r="N533" s="167" t="s">
        <v>10505</v>
      </c>
      <c r="O533" s="55" t="str">
        <f t="shared" si="18"/>
        <v>L2.02.03.03.04.00</v>
      </c>
      <c r="P533" s="257" t="str">
        <f t="shared" si="16"/>
        <v>L2.02.03.03.04.00.06</v>
      </c>
      <c r="Q533" s="161" t="s">
        <v>10530</v>
      </c>
      <c r="R533" s="420" t="str">
        <f t="shared" si="17"/>
        <v>Nhóm MDR</v>
      </c>
      <c r="S533" s="269" t="s">
        <v>11381</v>
      </c>
      <c r="T533" s="265"/>
      <c r="U533" s="265"/>
      <c r="V533" s="265"/>
      <c r="W533" s="265"/>
      <c r="X533" s="265"/>
      <c r="Y533" s="264" t="s">
        <v>11364</v>
      </c>
      <c r="Z533" s="225" t="s">
        <v>11385</v>
      </c>
      <c r="AA533" s="266"/>
      <c r="AB533" s="267"/>
      <c r="AC533" s="267"/>
      <c r="AD533" s="267"/>
    </row>
    <row r="534" ht="15.75" customHeight="1">
      <c r="A534" s="268" t="s">
        <v>11386</v>
      </c>
      <c r="B534" s="66"/>
      <c r="C534" s="66"/>
      <c r="D534" s="66"/>
      <c r="E534" s="67"/>
      <c r="F534" s="66"/>
      <c r="G534" s="66"/>
      <c r="H534" s="68"/>
      <c r="I534" s="66"/>
      <c r="J534" s="382"/>
      <c r="K534" s="383"/>
      <c r="L534" s="384"/>
      <c r="M534" s="383"/>
      <c r="N534" s="384"/>
      <c r="O534" s="55" t="str">
        <f t="shared" si="18"/>
        <v>Khối doanh nghiệp lớn.....</v>
      </c>
      <c r="P534" s="69"/>
      <c r="Q534" s="169"/>
      <c r="R534" s="169" t="str">
        <f t="shared" si="17"/>
        <v/>
      </c>
      <c r="S534" s="96"/>
      <c r="T534" s="96"/>
      <c r="U534" s="96"/>
      <c r="V534" s="96"/>
      <c r="W534" s="96"/>
      <c r="X534" s="96"/>
      <c r="Y534" s="96"/>
      <c r="Z534" s="152"/>
      <c r="AA534" s="99"/>
      <c r="AB534" s="91"/>
      <c r="AC534" s="91"/>
      <c r="AD534" s="91"/>
    </row>
    <row r="535" ht="15.75" hidden="1" customHeight="1" outlineLevel="1">
      <c r="A535" s="170" t="s">
        <v>10833</v>
      </c>
      <c r="B535" s="57" t="s">
        <v>77</v>
      </c>
      <c r="C535" s="51" t="s">
        <v>33</v>
      </c>
      <c r="D535" s="52" t="s">
        <v>89</v>
      </c>
      <c r="E535" s="53" t="s">
        <v>37</v>
      </c>
      <c r="F535" s="250" t="s">
        <v>11387</v>
      </c>
      <c r="G535" s="325" t="s">
        <v>27</v>
      </c>
      <c r="H535" s="155" t="s">
        <v>4</v>
      </c>
      <c r="I535" s="53" t="s">
        <v>27</v>
      </c>
      <c r="J535" s="155" t="s">
        <v>4</v>
      </c>
      <c r="K535" s="166" t="s">
        <v>27</v>
      </c>
      <c r="L535" s="155" t="s">
        <v>4</v>
      </c>
      <c r="M535" s="326" t="s">
        <v>27</v>
      </c>
      <c r="N535" s="155" t="s">
        <v>4</v>
      </c>
      <c r="O535" s="55" t="str">
        <f t="shared" si="18"/>
        <v>L2.02.04.00.00.00</v>
      </c>
      <c r="P535" s="55" t="str">
        <f t="shared" ref="P535:P541" si="19">A535&amp;"."&amp;C535&amp;"."&amp;E535&amp;"."&amp;G535&amp;"."&amp;I535&amp;"."&amp;K535&amp;"."&amp;M535</f>
        <v>L2.02.04.00.00.00.00</v>
      </c>
      <c r="Q535" s="161" t="s">
        <v>10530</v>
      </c>
      <c r="R535" s="259" t="s">
        <v>11387</v>
      </c>
      <c r="S535" s="227" t="s">
        <v>10916</v>
      </c>
      <c r="T535" s="421" t="s">
        <v>11388</v>
      </c>
      <c r="U535" s="421" t="s">
        <v>303</v>
      </c>
      <c r="V535" s="421" t="s">
        <v>11389</v>
      </c>
      <c r="W535" s="96" t="s">
        <v>9786</v>
      </c>
      <c r="X535" s="96"/>
      <c r="Y535" s="96"/>
      <c r="Z535" s="98" t="s">
        <v>11390</v>
      </c>
      <c r="AA535" s="99"/>
      <c r="AB535" s="91"/>
      <c r="AC535" s="91"/>
      <c r="AD535" s="91"/>
    </row>
    <row r="536" ht="15.75" hidden="1" customHeight="1" outlineLevel="1">
      <c r="A536" s="170" t="s">
        <v>10833</v>
      </c>
      <c r="B536" s="57" t="s">
        <v>77</v>
      </c>
      <c r="C536" s="51" t="s">
        <v>33</v>
      </c>
      <c r="D536" s="52" t="s">
        <v>89</v>
      </c>
      <c r="E536" s="53" t="s">
        <v>37</v>
      </c>
      <c r="F536" s="250" t="s">
        <v>11387</v>
      </c>
      <c r="G536" s="62" t="s">
        <v>29</v>
      </c>
      <c r="H536" s="54" t="s">
        <v>166</v>
      </c>
      <c r="I536" s="53" t="s">
        <v>27</v>
      </c>
      <c r="J536" s="155" t="s">
        <v>4</v>
      </c>
      <c r="K536" s="166" t="s">
        <v>27</v>
      </c>
      <c r="L536" s="155" t="s">
        <v>4</v>
      </c>
      <c r="M536" s="422" t="s">
        <v>44</v>
      </c>
      <c r="N536" s="158" t="s">
        <v>10505</v>
      </c>
      <c r="O536" s="55" t="str">
        <f t="shared" si="18"/>
        <v>L2.02.04.01.00.00</v>
      </c>
      <c r="P536" s="55" t="str">
        <f t="shared" si="19"/>
        <v>L2.02.04.01.00.00.06</v>
      </c>
      <c r="Q536" s="161" t="s">
        <v>10530</v>
      </c>
      <c r="R536" s="169" t="str">
        <f t="shared" ref="R536:R542" si="20">if(L536&lt;&gt;"-",L536,if(AND(L536="-",J536&lt;&gt;"-"),J536,if(AND(J536="-",H536&lt;&gt;"-"),H536,"NA")))</f>
        <v>Ban Giám đốc khối DN Lớn</v>
      </c>
      <c r="S536" s="227" t="s">
        <v>11391</v>
      </c>
      <c r="T536" s="96" t="s">
        <v>9787</v>
      </c>
      <c r="U536" s="96" t="s">
        <v>303</v>
      </c>
      <c r="V536" s="96" t="s">
        <v>3877</v>
      </c>
      <c r="W536" s="96" t="s">
        <v>9786</v>
      </c>
      <c r="X536" s="96"/>
      <c r="Y536" s="96"/>
      <c r="Z536" s="98" t="s">
        <v>11392</v>
      </c>
      <c r="AA536" s="153" t="s">
        <v>10530</v>
      </c>
      <c r="AB536" s="91"/>
      <c r="AC536" s="91"/>
      <c r="AD536" s="91"/>
    </row>
    <row r="537" ht="15.75" hidden="1" customHeight="1" outlineLevel="1">
      <c r="A537" s="131" t="s">
        <v>10833</v>
      </c>
      <c r="B537" s="132" t="s">
        <v>77</v>
      </c>
      <c r="C537" s="132" t="s">
        <v>33</v>
      </c>
      <c r="D537" s="133" t="s">
        <v>89</v>
      </c>
      <c r="E537" s="134" t="s">
        <v>37</v>
      </c>
      <c r="F537" s="423" t="s">
        <v>11387</v>
      </c>
      <c r="G537" s="133" t="s">
        <v>33</v>
      </c>
      <c r="H537" s="135" t="s">
        <v>167</v>
      </c>
      <c r="I537" s="134" t="s">
        <v>27</v>
      </c>
      <c r="J537" s="102" t="s">
        <v>4</v>
      </c>
      <c r="K537" s="103" t="s">
        <v>27</v>
      </c>
      <c r="L537" s="102" t="s">
        <v>4</v>
      </c>
      <c r="M537" s="106" t="s">
        <v>27</v>
      </c>
      <c r="N537" s="102" t="s">
        <v>4</v>
      </c>
      <c r="O537" s="136" t="str">
        <f t="shared" si="18"/>
        <v>L2.02.04.02.00.00</v>
      </c>
      <c r="P537" s="136" t="str">
        <f t="shared" si="19"/>
        <v>L2.02.04.02.00.00.00</v>
      </c>
      <c r="Q537" s="424" t="s">
        <v>10530</v>
      </c>
      <c r="R537" s="109" t="str">
        <f t="shared" si="20"/>
        <v>Phòng KD GP DN lớn</v>
      </c>
      <c r="S537" s="425" t="s">
        <v>11391</v>
      </c>
      <c r="T537" s="111" t="s">
        <v>3878</v>
      </c>
      <c r="U537" s="111" t="s">
        <v>303</v>
      </c>
      <c r="V537" s="111" t="s">
        <v>3877</v>
      </c>
      <c r="W537" s="111" t="s">
        <v>167</v>
      </c>
      <c r="X537" s="111"/>
      <c r="Y537" s="111"/>
      <c r="Z537" s="112" t="s">
        <v>11393</v>
      </c>
      <c r="AA537" s="113" t="s">
        <v>10530</v>
      </c>
      <c r="AB537" s="114"/>
      <c r="AC537" s="114"/>
      <c r="AD537" s="114"/>
    </row>
    <row r="538" ht="15.75" hidden="1" customHeight="1" outlineLevel="1">
      <c r="A538" s="137" t="s">
        <v>10833</v>
      </c>
      <c r="B538" s="138" t="s">
        <v>77</v>
      </c>
      <c r="C538" s="139" t="s">
        <v>33</v>
      </c>
      <c r="D538" s="140" t="s">
        <v>89</v>
      </c>
      <c r="E538" s="141" t="s">
        <v>37</v>
      </c>
      <c r="F538" s="250" t="s">
        <v>11387</v>
      </c>
      <c r="G538" s="142" t="s">
        <v>33</v>
      </c>
      <c r="H538" s="143" t="s">
        <v>167</v>
      </c>
      <c r="I538" s="141" t="s">
        <v>27</v>
      </c>
      <c r="J538" s="146" t="s">
        <v>4</v>
      </c>
      <c r="K538" s="145" t="s">
        <v>27</v>
      </c>
      <c r="L538" s="146" t="s">
        <v>4</v>
      </c>
      <c r="M538" s="147" t="s">
        <v>44</v>
      </c>
      <c r="N538" s="148" t="s">
        <v>10505</v>
      </c>
      <c r="O538" s="149" t="str">
        <f t="shared" si="18"/>
        <v>L2.02.04.02.00.00</v>
      </c>
      <c r="P538" s="149" t="str">
        <f t="shared" si="19"/>
        <v>L2.02.04.02.00.00.06</v>
      </c>
      <c r="Q538" s="426"/>
      <c r="R538" s="125" t="str">
        <f t="shared" si="20"/>
        <v>Phòng KD GP DN lớn</v>
      </c>
      <c r="S538" s="126" t="s">
        <v>11394</v>
      </c>
      <c r="T538" s="127"/>
      <c r="U538" s="127"/>
      <c r="V538" s="127"/>
      <c r="W538" s="127" t="s">
        <v>167</v>
      </c>
      <c r="X538" s="127"/>
      <c r="Y538" s="127"/>
      <c r="Z538" s="128"/>
      <c r="AA538" s="129"/>
      <c r="AB538" s="130"/>
      <c r="AC538" s="130"/>
      <c r="AD538" s="130"/>
    </row>
    <row r="539" ht="15.75" hidden="1" customHeight="1" outlineLevel="1">
      <c r="A539" s="137" t="s">
        <v>10833</v>
      </c>
      <c r="B539" s="138" t="s">
        <v>77</v>
      </c>
      <c r="C539" s="139" t="s">
        <v>33</v>
      </c>
      <c r="D539" s="140" t="s">
        <v>89</v>
      </c>
      <c r="E539" s="141" t="s">
        <v>37</v>
      </c>
      <c r="F539" s="250" t="s">
        <v>11387</v>
      </c>
      <c r="G539" s="142" t="s">
        <v>33</v>
      </c>
      <c r="H539" s="143" t="s">
        <v>167</v>
      </c>
      <c r="I539" s="141" t="s">
        <v>27</v>
      </c>
      <c r="J539" s="146" t="s">
        <v>4</v>
      </c>
      <c r="K539" s="145" t="s">
        <v>27</v>
      </c>
      <c r="L539" s="146" t="s">
        <v>4</v>
      </c>
      <c r="M539" s="147" t="s">
        <v>33</v>
      </c>
      <c r="N539" s="148" t="s">
        <v>10499</v>
      </c>
      <c r="O539" s="149" t="str">
        <f t="shared" si="18"/>
        <v>L2.02.04.02.00.00</v>
      </c>
      <c r="P539" s="149" t="str">
        <f t="shared" si="19"/>
        <v>L2.02.04.02.00.00.02</v>
      </c>
      <c r="Q539" s="125"/>
      <c r="R539" s="125" t="str">
        <f t="shared" si="20"/>
        <v>Phòng KD GP DN lớn</v>
      </c>
      <c r="S539" s="126" t="s">
        <v>11394</v>
      </c>
      <c r="T539" s="127"/>
      <c r="U539" s="127"/>
      <c r="V539" s="127"/>
      <c r="W539" s="127" t="s">
        <v>167</v>
      </c>
      <c r="X539" s="127"/>
      <c r="Y539" s="127"/>
      <c r="Z539" s="128"/>
      <c r="AA539" s="129"/>
      <c r="AB539" s="130"/>
      <c r="AC539" s="130"/>
      <c r="AD539" s="130"/>
    </row>
    <row r="540" ht="15.75" hidden="1" customHeight="1" outlineLevel="1">
      <c r="A540" s="170" t="s">
        <v>10833</v>
      </c>
      <c r="B540" s="57" t="s">
        <v>77</v>
      </c>
      <c r="C540" s="51" t="s">
        <v>33</v>
      </c>
      <c r="D540" s="52" t="s">
        <v>89</v>
      </c>
      <c r="E540" s="53" t="s">
        <v>37</v>
      </c>
      <c r="F540" s="250" t="s">
        <v>11387</v>
      </c>
      <c r="G540" s="62" t="s">
        <v>35</v>
      </c>
      <c r="H540" s="54" t="s">
        <v>168</v>
      </c>
      <c r="I540" s="53" t="s">
        <v>27</v>
      </c>
      <c r="J540" s="155" t="s">
        <v>4</v>
      </c>
      <c r="K540" s="166" t="s">
        <v>27</v>
      </c>
      <c r="L540" s="155" t="s">
        <v>4</v>
      </c>
      <c r="M540" s="422" t="s">
        <v>44</v>
      </c>
      <c r="N540" s="158" t="s">
        <v>10505</v>
      </c>
      <c r="O540" s="55" t="str">
        <f t="shared" si="18"/>
        <v>L2.02.04.03.00.00</v>
      </c>
      <c r="P540" s="55" t="str">
        <f t="shared" si="19"/>
        <v>L2.02.04.03.00.00.06</v>
      </c>
      <c r="Q540" s="161" t="s">
        <v>10530</v>
      </c>
      <c r="R540" s="169" t="str">
        <f t="shared" si="20"/>
        <v>Phòng Tư vấn giải pháp</v>
      </c>
      <c r="S540" s="227" t="s">
        <v>11391</v>
      </c>
      <c r="T540" s="96"/>
      <c r="U540" s="96"/>
      <c r="V540" s="96"/>
      <c r="W540" s="96"/>
      <c r="X540" s="96"/>
      <c r="Y540" s="97" t="s">
        <v>11395</v>
      </c>
      <c r="Z540" s="98" t="s">
        <v>11396</v>
      </c>
      <c r="AA540" s="99"/>
      <c r="AB540" s="91"/>
      <c r="AC540" s="91"/>
      <c r="AD540" s="91"/>
    </row>
    <row r="541" ht="15.75" hidden="1" customHeight="1" outlineLevel="1">
      <c r="A541" s="170" t="s">
        <v>10833</v>
      </c>
      <c r="B541" s="57" t="s">
        <v>77</v>
      </c>
      <c r="C541" s="51" t="s">
        <v>33</v>
      </c>
      <c r="D541" s="52" t="s">
        <v>89</v>
      </c>
      <c r="E541" s="53" t="s">
        <v>37</v>
      </c>
      <c r="F541" s="250" t="s">
        <v>11387</v>
      </c>
      <c r="G541" s="62" t="s">
        <v>37</v>
      </c>
      <c r="H541" s="54" t="s">
        <v>169</v>
      </c>
      <c r="I541" s="53" t="s">
        <v>27</v>
      </c>
      <c r="J541" s="155" t="s">
        <v>4</v>
      </c>
      <c r="K541" s="166" t="s">
        <v>27</v>
      </c>
      <c r="L541" s="155" t="s">
        <v>4</v>
      </c>
      <c r="M541" s="422" t="s">
        <v>44</v>
      </c>
      <c r="N541" s="158" t="s">
        <v>10505</v>
      </c>
      <c r="O541" s="55" t="str">
        <f t="shared" si="18"/>
        <v>L2.02.04.04.00.00</v>
      </c>
      <c r="P541" s="55" t="str">
        <f t="shared" si="19"/>
        <v>L2.02.04.04.00.00.06</v>
      </c>
      <c r="Q541" s="161" t="s">
        <v>10530</v>
      </c>
      <c r="R541" s="169" t="str">
        <f t="shared" si="20"/>
        <v>Phòng triển khai</v>
      </c>
      <c r="S541" s="227" t="s">
        <v>11391</v>
      </c>
      <c r="T541" s="96"/>
      <c r="U541" s="96"/>
      <c r="V541" s="96"/>
      <c r="W541" s="96"/>
      <c r="X541" s="96"/>
      <c r="Y541" s="97" t="s">
        <v>11395</v>
      </c>
      <c r="Z541" s="98" t="s">
        <v>11397</v>
      </c>
      <c r="AA541" s="153" t="s">
        <v>10530</v>
      </c>
      <c r="AB541" s="91"/>
      <c r="AC541" s="91"/>
      <c r="AD541" s="91"/>
    </row>
    <row r="542" ht="15.75" customHeight="1" collapsed="1">
      <c r="A542" s="268" t="s">
        <v>11398</v>
      </c>
      <c r="B542" s="66"/>
      <c r="C542" s="66"/>
      <c r="D542" s="66"/>
      <c r="E542" s="67"/>
      <c r="F542" s="66"/>
      <c r="G542" s="66"/>
      <c r="H542" s="68"/>
      <c r="I542" s="66"/>
      <c r="J542" s="382"/>
      <c r="K542" s="383"/>
      <c r="L542" s="384"/>
      <c r="M542" s="383"/>
      <c r="N542" s="384"/>
      <c r="O542" s="55" t="str">
        <f t="shared" si="18"/>
        <v>Khối Kế toán dịch vụ.....</v>
      </c>
      <c r="P542" s="69"/>
      <c r="Q542" s="169"/>
      <c r="R542" s="169" t="str">
        <f t="shared" si="20"/>
        <v/>
      </c>
      <c r="S542" s="96"/>
      <c r="T542" s="96"/>
      <c r="U542" s="96"/>
      <c r="V542" s="96"/>
      <c r="W542" s="96"/>
      <c r="X542" s="96"/>
      <c r="Y542" s="96"/>
      <c r="Z542" s="152"/>
      <c r="AA542" s="99"/>
      <c r="AB542" s="91"/>
      <c r="AC542" s="91"/>
      <c r="AD542" s="91"/>
    </row>
    <row r="543" ht="15.75" customHeight="1" outlineLevel="1">
      <c r="A543" s="177" t="s">
        <v>10833</v>
      </c>
      <c r="B543" s="221" t="s">
        <v>77</v>
      </c>
      <c r="C543" s="221" t="s">
        <v>33</v>
      </c>
      <c r="D543" s="172" t="s">
        <v>89</v>
      </c>
      <c r="E543" s="222" t="s">
        <v>42</v>
      </c>
      <c r="F543" s="175" t="s">
        <v>11398</v>
      </c>
      <c r="G543" s="175" t="s">
        <v>27</v>
      </c>
      <c r="H543" s="427" t="s">
        <v>4</v>
      </c>
      <c r="I543" s="222" t="s">
        <v>27</v>
      </c>
      <c r="J543" s="157" t="s">
        <v>4</v>
      </c>
      <c r="K543" s="297" t="s">
        <v>27</v>
      </c>
      <c r="L543" s="157" t="s">
        <v>4</v>
      </c>
      <c r="M543" s="168" t="s">
        <v>27</v>
      </c>
      <c r="N543" s="167"/>
      <c r="O543" s="55" t="str">
        <f t="shared" si="18"/>
        <v>L2.02.05.00.00.00</v>
      </c>
      <c r="P543" s="173" t="str">
        <f t="shared" ref="P543:P557" si="21">A543&amp;"."&amp;C543&amp;"."&amp;E543&amp;"."&amp;G543&amp;"."&amp;I543&amp;"."&amp;K543&amp;"."&amp;M543</f>
        <v>L2.02.05.00.00.00.00</v>
      </c>
      <c r="Q543" s="161" t="s">
        <v>10530</v>
      </c>
      <c r="R543" s="428" t="s">
        <v>11398</v>
      </c>
      <c r="S543" s="429" t="s">
        <v>10916</v>
      </c>
      <c r="T543" s="430" t="s">
        <v>2979</v>
      </c>
      <c r="U543" s="430" t="s">
        <v>303</v>
      </c>
      <c r="V543" s="430" t="s">
        <v>2978</v>
      </c>
      <c r="W543" s="176"/>
      <c r="X543" s="176"/>
      <c r="Y543" s="176"/>
      <c r="Z543" s="225" t="s">
        <v>11399</v>
      </c>
      <c r="AA543" s="266"/>
      <c r="AB543" s="226"/>
      <c r="AC543" s="226"/>
      <c r="AD543" s="226"/>
    </row>
    <row r="544" ht="15.75" customHeight="1" outlineLevel="1">
      <c r="A544" s="177" t="s">
        <v>10833</v>
      </c>
      <c r="B544" s="221" t="s">
        <v>77</v>
      </c>
      <c r="C544" s="221" t="s">
        <v>33</v>
      </c>
      <c r="D544" s="172" t="s">
        <v>89</v>
      </c>
      <c r="E544" s="222" t="s">
        <v>42</v>
      </c>
      <c r="F544" s="175" t="s">
        <v>11398</v>
      </c>
      <c r="G544" s="172" t="s">
        <v>29</v>
      </c>
      <c r="H544" s="171" t="s">
        <v>171</v>
      </c>
      <c r="I544" s="222" t="s">
        <v>27</v>
      </c>
      <c r="J544" s="157" t="s">
        <v>4</v>
      </c>
      <c r="K544" s="297" t="s">
        <v>27</v>
      </c>
      <c r="L544" s="157" t="s">
        <v>4</v>
      </c>
      <c r="M544" s="157" t="s">
        <v>44</v>
      </c>
      <c r="N544" s="167" t="s">
        <v>10505</v>
      </c>
      <c r="O544" s="55" t="str">
        <f t="shared" si="18"/>
        <v>L2.02.05.01.00.00</v>
      </c>
      <c r="P544" s="173" t="str">
        <f t="shared" si="21"/>
        <v>L2.02.05.01.00.00.06</v>
      </c>
      <c r="Q544" s="161" t="s">
        <v>10530</v>
      </c>
      <c r="R544" s="223" t="str">
        <f t="shared" ref="R544:R558" si="22">if(L544&lt;&gt;"-",L544,if(AND(L544="-",J544&lt;&gt;"-"),J544,if(AND(J544="-",H544&lt;&gt;"-"),H544,"NA")))</f>
        <v>Ban Giám đốc khối KTDV</v>
      </c>
      <c r="S544" s="429" t="s">
        <v>11400</v>
      </c>
      <c r="T544" s="176"/>
      <c r="U544" s="176"/>
      <c r="V544" s="176"/>
      <c r="W544" s="176"/>
      <c r="X544" s="176"/>
      <c r="Y544" s="224" t="s">
        <v>11364</v>
      </c>
      <c r="Z544" s="225" t="s">
        <v>11401</v>
      </c>
      <c r="AA544" s="266"/>
      <c r="AB544" s="226"/>
      <c r="AC544" s="226"/>
      <c r="AD544" s="226"/>
    </row>
    <row r="545" ht="15.75" customHeight="1" outlineLevel="1">
      <c r="A545" s="567" t="s">
        <v>10833</v>
      </c>
      <c r="B545" s="568" t="s">
        <v>77</v>
      </c>
      <c r="C545" s="568" t="s">
        <v>33</v>
      </c>
      <c r="D545" s="569" t="s">
        <v>89</v>
      </c>
      <c r="E545" s="570" t="s">
        <v>42</v>
      </c>
      <c r="F545" s="573" t="s">
        <v>11398</v>
      </c>
      <c r="G545" s="569" t="s">
        <v>33</v>
      </c>
      <c r="H545" s="571" t="s">
        <v>11766</v>
      </c>
      <c r="I545" s="570" t="s">
        <v>27</v>
      </c>
      <c r="J545" s="569" t="s">
        <v>4</v>
      </c>
      <c r="K545" s="570" t="s">
        <v>27</v>
      </c>
      <c r="L545" s="569" t="s">
        <v>4</v>
      </c>
      <c r="M545" s="573" t="s">
        <v>27</v>
      </c>
      <c r="N545" s="569" t="s">
        <v>4</v>
      </c>
      <c r="O545" s="575" t="str">
        <f t="shared" si="18"/>
        <v>L2.02.05.02.00.00</v>
      </c>
      <c r="P545" s="107" t="str">
        <f t="shared" si="21"/>
        <v>L2.02.05.02.00.00.00</v>
      </c>
      <c r="Q545" s="576" t="s">
        <v>10530</v>
      </c>
      <c r="R545" s="350" t="str">
        <f t="shared" si="22"/>
        <v>Khối MISA ASP</v>
      </c>
      <c r="S545" s="577" t="str">
        <f>P543</f>
        <v>L2.02.05.00.00.00.00</v>
      </c>
      <c r="T545" s="368"/>
      <c r="U545" s="368"/>
      <c r="V545" s="368"/>
      <c r="W545" s="368"/>
      <c r="X545" s="368"/>
      <c r="Y545" s="578" t="s">
        <v>11402</v>
      </c>
      <c r="Z545" s="579" t="s">
        <v>11403</v>
      </c>
      <c r="AA545" s="580"/>
      <c r="AB545" s="581"/>
      <c r="AC545" s="581"/>
      <c r="AD545" s="581"/>
    </row>
    <row r="546" ht="15.75" customHeight="1" outlineLevel="1">
      <c r="A546" s="131" t="s">
        <v>10833</v>
      </c>
      <c r="B546" s="132" t="s">
        <v>77</v>
      </c>
      <c r="C546" s="132" t="s">
        <v>33</v>
      </c>
      <c r="D546" s="133" t="s">
        <v>89</v>
      </c>
      <c r="E546" s="134" t="s">
        <v>42</v>
      </c>
      <c r="F546" s="423" t="s">
        <v>11398</v>
      </c>
      <c r="G546" s="569" t="s">
        <v>33</v>
      </c>
      <c r="H546" s="571" t="s">
        <v>11766</v>
      </c>
      <c r="I546" s="423" t="s">
        <v>29</v>
      </c>
      <c r="J546" s="135" t="s">
        <v>172</v>
      </c>
      <c r="K546" s="103" t="s">
        <v>27</v>
      </c>
      <c r="L546" s="102" t="s">
        <v>4</v>
      </c>
      <c r="M546" s="106" t="s">
        <v>27</v>
      </c>
      <c r="N546" s="569" t="s">
        <v>4</v>
      </c>
      <c r="O546" s="136" t="str">
        <f t="shared" si="18"/>
        <v>L2.02.05.02.01.00</v>
      </c>
      <c r="P546" s="136" t="str">
        <f t="shared" si="21"/>
        <v>L2.02.05.02.01.00.00</v>
      </c>
      <c r="Q546" s="108" t="s">
        <v>10530</v>
      </c>
      <c r="R546" s="109" t="str">
        <f t="shared" si="22"/>
        <v>Phòng phát triển đối tác MISA ASP</v>
      </c>
      <c r="S546" s="425" t="str">
        <f t="shared" ref="S546:S547" si="23">P545</f>
        <v>L2.02.05.02.00.00.00</v>
      </c>
      <c r="T546" s="111"/>
      <c r="U546" s="111"/>
      <c r="V546" s="111"/>
      <c r="W546" s="111"/>
      <c r="X546" s="111"/>
      <c r="Y546" s="110" t="s">
        <v>11402</v>
      </c>
      <c r="Z546" s="112" t="s">
        <v>11403</v>
      </c>
      <c r="AA546" s="312"/>
      <c r="AB546" s="114"/>
      <c r="AC546" s="114"/>
      <c r="AD546" s="114"/>
    </row>
    <row r="547" ht="15.75" customHeight="1" outlineLevel="1">
      <c r="A547" s="115" t="s">
        <v>10833</v>
      </c>
      <c r="B547" s="116" t="s">
        <v>77</v>
      </c>
      <c r="C547" s="116" t="s">
        <v>33</v>
      </c>
      <c r="D547" s="117" t="s">
        <v>89</v>
      </c>
      <c r="E547" s="118" t="s">
        <v>42</v>
      </c>
      <c r="F547" s="431" t="s">
        <v>11398</v>
      </c>
      <c r="G547" s="569" t="s">
        <v>33</v>
      </c>
      <c r="H547" s="571" t="s">
        <v>11766</v>
      </c>
      <c r="I547" s="423" t="s">
        <v>29</v>
      </c>
      <c r="J547" s="119" t="s">
        <v>172</v>
      </c>
      <c r="K547" s="121" t="s">
        <v>27</v>
      </c>
      <c r="L547" s="122" t="s">
        <v>4</v>
      </c>
      <c r="M547" s="122" t="s">
        <v>44</v>
      </c>
      <c r="N547" s="123" t="s">
        <v>10505</v>
      </c>
      <c r="O547" s="149" t="str">
        <f t="shared" si="18"/>
        <v>L2.02.05.02.01.00</v>
      </c>
      <c r="P547" s="124" t="str">
        <f t="shared" si="21"/>
        <v>L2.02.05.02.01.00.06</v>
      </c>
      <c r="Q547" s="432"/>
      <c r="R547" s="432" t="str">
        <f t="shared" si="22"/>
        <v>Phòng phát triển đối tác MISA ASP</v>
      </c>
      <c r="S547" s="433" t="str">
        <f t="shared" si="23"/>
        <v>L2.02.05.02.01.00.00</v>
      </c>
      <c r="T547" s="434"/>
      <c r="U547" s="434"/>
      <c r="V547" s="434"/>
      <c r="W547" s="434"/>
      <c r="X547" s="434"/>
      <c r="Y547" s="435" t="s">
        <v>11402</v>
      </c>
      <c r="Z547" s="322"/>
      <c r="AA547" s="323"/>
      <c r="AB547" s="436"/>
      <c r="AC547" s="436"/>
      <c r="AD547" s="436"/>
    </row>
    <row r="548" ht="15.75" customHeight="1" outlineLevel="1">
      <c r="A548" s="115" t="s">
        <v>10833</v>
      </c>
      <c r="B548" s="116" t="s">
        <v>77</v>
      </c>
      <c r="C548" s="116" t="s">
        <v>33</v>
      </c>
      <c r="D548" s="117" t="s">
        <v>89</v>
      </c>
      <c r="E548" s="118" t="s">
        <v>42</v>
      </c>
      <c r="F548" s="431" t="s">
        <v>11398</v>
      </c>
      <c r="G548" s="569" t="s">
        <v>33</v>
      </c>
      <c r="H548" s="571" t="s">
        <v>11766</v>
      </c>
      <c r="I548" s="423" t="s">
        <v>29</v>
      </c>
      <c r="J548" s="119" t="s">
        <v>172</v>
      </c>
      <c r="K548" s="121" t="s">
        <v>27</v>
      </c>
      <c r="L548" s="122" t="s">
        <v>4</v>
      </c>
      <c r="M548" s="122" t="s">
        <v>33</v>
      </c>
      <c r="N548" s="123" t="s">
        <v>10499</v>
      </c>
      <c r="O548" s="149" t="str">
        <f t="shared" si="18"/>
        <v>L2.02.05.02.01.00</v>
      </c>
      <c r="P548" s="124" t="str">
        <f t="shared" si="21"/>
        <v>L2.02.05.02.01.00.02</v>
      </c>
      <c r="Q548" s="432"/>
      <c r="R548" s="432" t="str">
        <f t="shared" si="22"/>
        <v>Phòng phát triển đối tác MISA ASP</v>
      </c>
      <c r="S548" s="433" t="str">
        <f>P546</f>
        <v>L2.02.05.02.01.00.00</v>
      </c>
      <c r="T548" s="434"/>
      <c r="U548" s="434"/>
      <c r="V548" s="434"/>
      <c r="W548" s="434"/>
      <c r="X548" s="434"/>
      <c r="Y548" s="435" t="s">
        <v>11402</v>
      </c>
      <c r="Z548" s="322"/>
      <c r="AA548" s="323"/>
      <c r="AB548" s="436"/>
      <c r="AC548" s="436"/>
      <c r="AD548" s="436"/>
    </row>
    <row r="549" ht="15.75" customHeight="1" outlineLevel="1">
      <c r="A549" s="177" t="s">
        <v>10833</v>
      </c>
      <c r="B549" s="221" t="s">
        <v>77</v>
      </c>
      <c r="C549" s="221" t="s">
        <v>33</v>
      </c>
      <c r="D549" s="172" t="s">
        <v>89</v>
      </c>
      <c r="E549" s="222" t="s">
        <v>42</v>
      </c>
      <c r="F549" s="175" t="s">
        <v>11398</v>
      </c>
      <c r="G549" s="569" t="s">
        <v>33</v>
      </c>
      <c r="H549" s="571" t="s">
        <v>11766</v>
      </c>
      <c r="I549" s="175" t="s">
        <v>33</v>
      </c>
      <c r="J549" s="171" t="s">
        <v>173</v>
      </c>
      <c r="K549" s="297" t="s">
        <v>27</v>
      </c>
      <c r="L549" s="157" t="s">
        <v>4</v>
      </c>
      <c r="M549" s="157" t="s">
        <v>44</v>
      </c>
      <c r="N549" s="167" t="s">
        <v>10505</v>
      </c>
      <c r="O549" s="55" t="str">
        <f t="shared" si="18"/>
        <v>L2.02.05.02.02.00</v>
      </c>
      <c r="P549" s="173" t="str">
        <f t="shared" si="21"/>
        <v>L2.02.05.02.02.00.06</v>
      </c>
      <c r="Q549" s="428" t="s">
        <v>10530</v>
      </c>
      <c r="R549" s="223" t="str">
        <f t="shared" si="22"/>
        <v>Phòng chăm sóc đối tác MISA ASP</v>
      </c>
      <c r="S549" s="429" t="str">
        <f>P545</f>
        <v>L2.02.05.02.00.00.00</v>
      </c>
      <c r="T549" s="176"/>
      <c r="U549" s="176"/>
      <c r="V549" s="176"/>
      <c r="W549" s="176"/>
      <c r="X549" s="176"/>
      <c r="Y549" s="224" t="s">
        <v>11402</v>
      </c>
      <c r="Z549" s="225" t="s">
        <v>11405</v>
      </c>
      <c r="AA549" s="266"/>
      <c r="AB549" s="226"/>
      <c r="AC549" s="226"/>
      <c r="AD549" s="226"/>
    </row>
    <row r="550" ht="15.75" customHeight="1" outlineLevel="1">
      <c r="A550" s="567" t="s">
        <v>10833</v>
      </c>
      <c r="B550" s="568" t="s">
        <v>77</v>
      </c>
      <c r="C550" s="568" t="s">
        <v>33</v>
      </c>
      <c r="D550" s="569" t="s">
        <v>89</v>
      </c>
      <c r="E550" s="570" t="s">
        <v>42</v>
      </c>
      <c r="F550" s="573" t="s">
        <v>11398</v>
      </c>
      <c r="G550" s="573" t="s">
        <v>35</v>
      </c>
      <c r="H550" s="571" t="s">
        <v>11769</v>
      </c>
      <c r="I550" s="570" t="s">
        <v>27</v>
      </c>
      <c r="J550" s="569" t="s">
        <v>4</v>
      </c>
      <c r="K550" s="570" t="s">
        <v>27</v>
      </c>
      <c r="L550" s="569" t="s">
        <v>4</v>
      </c>
      <c r="M550" s="573" t="s">
        <v>27</v>
      </c>
      <c r="N550" s="569" t="s">
        <v>4</v>
      </c>
      <c r="O550" s="575" t="str">
        <f t="shared" si="18"/>
        <v>L2.02.05.03.00.00</v>
      </c>
      <c r="P550" s="575" t="str">
        <f t="shared" si="21"/>
        <v>L2.02.05.03.00.00.00</v>
      </c>
      <c r="Q550" s="576" t="s">
        <v>10530</v>
      </c>
      <c r="R550" s="350" t="str">
        <f t="shared" si="22"/>
        <v>Khối GPKT HKD</v>
      </c>
      <c r="S550" s="577" t="str">
        <f>P543</f>
        <v>L2.02.05.00.00.00.00</v>
      </c>
      <c r="T550" s="368"/>
      <c r="U550" s="368"/>
      <c r="V550" s="368"/>
      <c r="W550" s="368"/>
      <c r="X550" s="368"/>
      <c r="Y550" s="578" t="s">
        <v>11402</v>
      </c>
      <c r="Z550" s="579" t="s">
        <v>11403</v>
      </c>
      <c r="AA550" s="580"/>
      <c r="AB550" s="581"/>
      <c r="AC550" s="581"/>
      <c r="AD550" s="581"/>
    </row>
    <row r="551" ht="15.75" customHeight="1" outlineLevel="1">
      <c r="A551" s="131" t="s">
        <v>10833</v>
      </c>
      <c r="B551" s="132" t="s">
        <v>77</v>
      </c>
      <c r="C551" s="132" t="s">
        <v>33</v>
      </c>
      <c r="D551" s="133" t="s">
        <v>89</v>
      </c>
      <c r="E551" s="134" t="s">
        <v>42</v>
      </c>
      <c r="F551" s="423" t="s">
        <v>11398</v>
      </c>
      <c r="G551" s="573" t="s">
        <v>35</v>
      </c>
      <c r="H551" s="571" t="s">
        <v>11769</v>
      </c>
      <c r="I551" s="423" t="s">
        <v>29</v>
      </c>
      <c r="J551" s="135" t="s">
        <v>174</v>
      </c>
      <c r="K551" s="103" t="s">
        <v>27</v>
      </c>
      <c r="L551" s="102" t="s">
        <v>4</v>
      </c>
      <c r="M551" s="106" t="s">
        <v>27</v>
      </c>
      <c r="N551" s="569" t="s">
        <v>4</v>
      </c>
      <c r="O551" s="136" t="str">
        <f t="shared" si="18"/>
        <v>L2.02.05.03.01.00</v>
      </c>
      <c r="P551" s="136" t="str">
        <f t="shared" si="21"/>
        <v>L2.02.05.03.01.00.00</v>
      </c>
      <c r="Q551" s="108" t="s">
        <v>10530</v>
      </c>
      <c r="R551" s="109" t="str">
        <f t="shared" si="22"/>
        <v>Phòng phát triển đối tác GPKT HKD</v>
      </c>
      <c r="S551" s="425" t="str">
        <f t="shared" ref="S551:S552" si="24">P550</f>
        <v>L2.02.05.03.00.00.00</v>
      </c>
      <c r="T551" s="110" t="s">
        <v>11406</v>
      </c>
      <c r="U551" s="110" t="s">
        <v>303</v>
      </c>
      <c r="V551" s="110" t="s">
        <v>2978</v>
      </c>
      <c r="W551" s="110" t="s">
        <v>174</v>
      </c>
      <c r="X551" s="111"/>
      <c r="Y551" s="111"/>
      <c r="Z551" s="112" t="s">
        <v>11407</v>
      </c>
      <c r="AA551" s="312"/>
      <c r="AB551" s="114"/>
      <c r="AC551" s="114"/>
      <c r="AD551" s="114"/>
    </row>
    <row r="552" ht="15.75" customHeight="1" outlineLevel="1">
      <c r="A552" s="115" t="s">
        <v>10833</v>
      </c>
      <c r="B552" s="116" t="s">
        <v>77</v>
      </c>
      <c r="C552" s="116" t="s">
        <v>33</v>
      </c>
      <c r="D552" s="117" t="s">
        <v>89</v>
      </c>
      <c r="E552" s="118" t="s">
        <v>42</v>
      </c>
      <c r="F552" s="431" t="s">
        <v>11398</v>
      </c>
      <c r="G552" s="573" t="s">
        <v>35</v>
      </c>
      <c r="H552" s="571" t="s">
        <v>11769</v>
      </c>
      <c r="I552" s="423" t="s">
        <v>29</v>
      </c>
      <c r="J552" s="119" t="s">
        <v>174</v>
      </c>
      <c r="K552" s="121" t="s">
        <v>27</v>
      </c>
      <c r="L552" s="122" t="s">
        <v>4</v>
      </c>
      <c r="M552" s="122" t="s">
        <v>29</v>
      </c>
      <c r="N552" s="123" t="s">
        <v>10498</v>
      </c>
      <c r="O552" s="149" t="str">
        <f t="shared" si="18"/>
        <v>L2.02.05.03.01.00</v>
      </c>
      <c r="P552" s="124" t="str">
        <f t="shared" si="21"/>
        <v>L2.02.05.03.01.00.01</v>
      </c>
      <c r="Q552" s="432"/>
      <c r="R552" s="432" t="str">
        <f t="shared" si="22"/>
        <v>Phòng phát triển đối tác GPKT HKD</v>
      </c>
      <c r="S552" s="433" t="str">
        <f t="shared" si="24"/>
        <v>L2.02.05.03.01.00.00</v>
      </c>
      <c r="T552" s="435"/>
      <c r="U552" s="435"/>
      <c r="V552" s="435"/>
      <c r="W552" s="435"/>
      <c r="X552" s="434"/>
      <c r="Y552" s="434"/>
      <c r="Z552" s="322"/>
      <c r="AA552" s="323"/>
      <c r="AB552" s="436"/>
      <c r="AC552" s="436"/>
      <c r="AD552" s="436"/>
    </row>
    <row r="553" ht="15.75" customHeight="1" outlineLevel="1">
      <c r="A553" s="115" t="s">
        <v>10833</v>
      </c>
      <c r="B553" s="116" t="s">
        <v>77</v>
      </c>
      <c r="C553" s="116" t="s">
        <v>33</v>
      </c>
      <c r="D553" s="117" t="s">
        <v>89</v>
      </c>
      <c r="E553" s="118" t="s">
        <v>42</v>
      </c>
      <c r="F553" s="431" t="s">
        <v>11398</v>
      </c>
      <c r="G553" s="573" t="s">
        <v>35</v>
      </c>
      <c r="H553" s="571" t="s">
        <v>11769</v>
      </c>
      <c r="I553" s="423" t="s">
        <v>29</v>
      </c>
      <c r="J553" s="119" t="s">
        <v>174</v>
      </c>
      <c r="K553" s="121" t="s">
        <v>27</v>
      </c>
      <c r="L553" s="122" t="s">
        <v>4</v>
      </c>
      <c r="M553" s="122" t="s">
        <v>33</v>
      </c>
      <c r="N553" s="123" t="s">
        <v>10499</v>
      </c>
      <c r="O553" s="149" t="str">
        <f t="shared" si="18"/>
        <v>L2.02.05.03.01.00</v>
      </c>
      <c r="P553" s="124" t="str">
        <f t="shared" si="21"/>
        <v>L2.02.05.03.01.00.02</v>
      </c>
      <c r="Q553" s="432"/>
      <c r="R553" s="432" t="str">
        <f t="shared" si="22"/>
        <v>Phòng phát triển đối tác GPKT HKD</v>
      </c>
      <c r="S553" s="433" t="str">
        <f>P551</f>
        <v>L2.02.05.03.01.00.00</v>
      </c>
      <c r="T553" s="435"/>
      <c r="U553" s="435"/>
      <c r="V553" s="435"/>
      <c r="W553" s="435"/>
      <c r="X553" s="434"/>
      <c r="Y553" s="434"/>
      <c r="Z553" s="322"/>
      <c r="AA553" s="323"/>
      <c r="AB553" s="436"/>
      <c r="AC553" s="436"/>
      <c r="AD553" s="436"/>
    </row>
    <row r="554" ht="15.75" customHeight="1" outlineLevel="1">
      <c r="A554" s="115" t="s">
        <v>10833</v>
      </c>
      <c r="B554" s="116" t="s">
        <v>77</v>
      </c>
      <c r="C554" s="116" t="s">
        <v>33</v>
      </c>
      <c r="D554" s="117" t="s">
        <v>89</v>
      </c>
      <c r="E554" s="118" t="s">
        <v>42</v>
      </c>
      <c r="F554" s="431" t="s">
        <v>11398</v>
      </c>
      <c r="G554" s="573" t="s">
        <v>35</v>
      </c>
      <c r="H554" s="571" t="s">
        <v>11769</v>
      </c>
      <c r="I554" s="423" t="s">
        <v>29</v>
      </c>
      <c r="J554" s="119" t="s">
        <v>174</v>
      </c>
      <c r="K554" s="121" t="s">
        <v>27</v>
      </c>
      <c r="L554" s="122" t="s">
        <v>4</v>
      </c>
      <c r="M554" s="122" t="s">
        <v>35</v>
      </c>
      <c r="N554" s="123" t="s">
        <v>10500</v>
      </c>
      <c r="O554" s="149" t="str">
        <f t="shared" si="18"/>
        <v>L2.02.05.03.01.00</v>
      </c>
      <c r="P554" s="124" t="str">
        <f t="shared" si="21"/>
        <v>L2.02.05.03.01.00.03</v>
      </c>
      <c r="Q554" s="432"/>
      <c r="R554" s="432" t="str">
        <f t="shared" si="22"/>
        <v>Phòng phát triển đối tác GPKT HKD</v>
      </c>
      <c r="S554" s="433" t="str">
        <f>P551</f>
        <v>L2.02.05.03.01.00.00</v>
      </c>
      <c r="T554" s="435"/>
      <c r="U554" s="435"/>
      <c r="V554" s="435"/>
      <c r="W554" s="435"/>
      <c r="X554" s="434"/>
      <c r="Y554" s="434"/>
      <c r="Z554" s="322"/>
      <c r="AA554" s="323"/>
      <c r="AB554" s="436"/>
      <c r="AC554" s="436"/>
      <c r="AD554" s="436"/>
    </row>
    <row r="555" ht="15.75" customHeight="1" outlineLevel="1">
      <c r="A555" s="115" t="s">
        <v>10833</v>
      </c>
      <c r="B555" s="116" t="s">
        <v>77</v>
      </c>
      <c r="C555" s="116" t="s">
        <v>33</v>
      </c>
      <c r="D555" s="117" t="s">
        <v>89</v>
      </c>
      <c r="E555" s="118" t="s">
        <v>42</v>
      </c>
      <c r="F555" s="431" t="s">
        <v>11398</v>
      </c>
      <c r="G555" s="573" t="s">
        <v>35</v>
      </c>
      <c r="H555" s="571" t="s">
        <v>11769</v>
      </c>
      <c r="I555" s="423" t="s">
        <v>29</v>
      </c>
      <c r="J555" s="119" t="s">
        <v>174</v>
      </c>
      <c r="K555" s="121" t="s">
        <v>27</v>
      </c>
      <c r="L555" s="122" t="s">
        <v>4</v>
      </c>
      <c r="M555" s="122" t="s">
        <v>37</v>
      </c>
      <c r="N555" s="316" t="s">
        <v>10900</v>
      </c>
      <c r="O555" s="149" t="str">
        <f t="shared" si="18"/>
        <v>L2.02.05.03.01.00</v>
      </c>
      <c r="P555" s="124" t="str">
        <f t="shared" si="21"/>
        <v>L2.02.05.03.01.00.04</v>
      </c>
      <c r="Q555" s="432"/>
      <c r="R555" s="432" t="str">
        <f t="shared" si="22"/>
        <v>Phòng phát triển đối tác GPKT HKD</v>
      </c>
      <c r="S555" s="433" t="str">
        <f>P551</f>
        <v>L2.02.05.03.01.00.00</v>
      </c>
      <c r="T555" s="435"/>
      <c r="U555" s="435"/>
      <c r="V555" s="435"/>
      <c r="W555" s="435"/>
      <c r="X555" s="434"/>
      <c r="Y555" s="434"/>
      <c r="Z555" s="322"/>
      <c r="AA555" s="323"/>
      <c r="AB555" s="436"/>
      <c r="AC555" s="436"/>
      <c r="AD555" s="436"/>
    </row>
    <row r="556" ht="15.75" customHeight="1" outlineLevel="1">
      <c r="A556" s="177" t="s">
        <v>10833</v>
      </c>
      <c r="B556" s="221" t="s">
        <v>77</v>
      </c>
      <c r="C556" s="221" t="s">
        <v>33</v>
      </c>
      <c r="D556" s="172" t="s">
        <v>89</v>
      </c>
      <c r="E556" s="222" t="s">
        <v>42</v>
      </c>
      <c r="F556" s="175" t="s">
        <v>11398</v>
      </c>
      <c r="G556" s="172" t="s">
        <v>42</v>
      </c>
      <c r="H556" s="171" t="s">
        <v>101</v>
      </c>
      <c r="I556" s="222" t="s">
        <v>27</v>
      </c>
      <c r="J556" s="157" t="s">
        <v>4</v>
      </c>
      <c r="K556" s="297" t="s">
        <v>27</v>
      </c>
      <c r="L556" s="157" t="s">
        <v>4</v>
      </c>
      <c r="M556" s="157" t="s">
        <v>44</v>
      </c>
      <c r="N556" s="167" t="s">
        <v>10505</v>
      </c>
      <c r="O556" s="55" t="str">
        <f t="shared" si="18"/>
        <v>L2.02.05.05.00.00</v>
      </c>
      <c r="P556" s="173" t="str">
        <f t="shared" si="21"/>
        <v>L2.02.05.05.00.00.06</v>
      </c>
      <c r="Q556" s="428" t="s">
        <v>10530</v>
      </c>
      <c r="R556" s="223" t="str">
        <f t="shared" si="22"/>
        <v>Phòng chuyển giao</v>
      </c>
      <c r="S556" s="429" t="s">
        <v>11400</v>
      </c>
      <c r="T556" s="176"/>
      <c r="U556" s="176"/>
      <c r="V556" s="176"/>
      <c r="W556" s="176"/>
      <c r="X556" s="176"/>
      <c r="Y556" s="224" t="s">
        <v>11089</v>
      </c>
      <c r="Z556" s="225" t="s">
        <v>11409</v>
      </c>
      <c r="AA556" s="266"/>
      <c r="AB556" s="226"/>
      <c r="AC556" s="226"/>
      <c r="AD556" s="226"/>
    </row>
    <row r="557" ht="15.75" customHeight="1" outlineLevel="1">
      <c r="A557" s="177" t="s">
        <v>10833</v>
      </c>
      <c r="B557" s="221" t="s">
        <v>77</v>
      </c>
      <c r="C557" s="221" t="s">
        <v>33</v>
      </c>
      <c r="D557" s="172" t="s">
        <v>89</v>
      </c>
      <c r="E557" s="222" t="s">
        <v>42</v>
      </c>
      <c r="F557" s="175" t="s">
        <v>11398</v>
      </c>
      <c r="G557" s="172" t="s">
        <v>44</v>
      </c>
      <c r="H557" s="171" t="s">
        <v>175</v>
      </c>
      <c r="I557" s="222" t="s">
        <v>27</v>
      </c>
      <c r="J557" s="157" t="s">
        <v>4</v>
      </c>
      <c r="K557" s="297" t="s">
        <v>27</v>
      </c>
      <c r="L557" s="157" t="s">
        <v>4</v>
      </c>
      <c r="M557" s="157" t="s">
        <v>44</v>
      </c>
      <c r="N557" s="167" t="s">
        <v>10505</v>
      </c>
      <c r="O557" s="55" t="str">
        <f t="shared" si="18"/>
        <v>L2.02.05.06.00.00</v>
      </c>
      <c r="P557" s="173" t="str">
        <f t="shared" si="21"/>
        <v>L2.02.05.06.00.00.06</v>
      </c>
      <c r="Q557" s="428" t="s">
        <v>10530</v>
      </c>
      <c r="R557" s="223" t="str">
        <f t="shared" si="22"/>
        <v>Nhóm Marketing</v>
      </c>
      <c r="S557" s="429" t="s">
        <v>11400</v>
      </c>
      <c r="T557" s="176"/>
      <c r="U557" s="176"/>
      <c r="V557" s="176"/>
      <c r="W557" s="176"/>
      <c r="X557" s="176"/>
      <c r="Y557" s="224" t="s">
        <v>11089</v>
      </c>
      <c r="Z557" s="225" t="s">
        <v>11410</v>
      </c>
      <c r="AA557" s="266"/>
      <c r="AB557" s="226"/>
      <c r="AC557" s="226"/>
      <c r="AD557" s="226"/>
    </row>
    <row r="558" ht="15.75" customHeight="1">
      <c r="A558" s="268" t="s">
        <v>11411</v>
      </c>
      <c r="B558" s="66"/>
      <c r="C558" s="66"/>
      <c r="D558" s="66"/>
      <c r="E558" s="67"/>
      <c r="F558" s="66"/>
      <c r="G558" s="66"/>
      <c r="H558" s="68"/>
      <c r="I558" s="66"/>
      <c r="J558" s="382"/>
      <c r="K558" s="383"/>
      <c r="L558" s="384"/>
      <c r="M558" s="383"/>
      <c r="N558" s="384"/>
      <c r="O558" s="55" t="str">
        <f t="shared" si="18"/>
        <v>Khối giáo dục tư thục.....</v>
      </c>
      <c r="P558" s="69"/>
      <c r="Q558" s="169"/>
      <c r="R558" s="169" t="str">
        <f t="shared" si="22"/>
        <v/>
      </c>
      <c r="S558" s="96"/>
      <c r="T558" s="96"/>
      <c r="U558" s="96"/>
      <c r="V558" s="96"/>
      <c r="W558" s="96"/>
      <c r="X558" s="96"/>
      <c r="Y558" s="96"/>
      <c r="Z558" s="152"/>
      <c r="AA558" s="99"/>
      <c r="AB558" s="91"/>
      <c r="AC558" s="91"/>
      <c r="AD558" s="91"/>
    </row>
    <row r="559" ht="15.75" hidden="1" customHeight="1" outlineLevel="1">
      <c r="A559" s="170" t="s">
        <v>10833</v>
      </c>
      <c r="B559" s="57" t="s">
        <v>77</v>
      </c>
      <c r="C559" s="51" t="s">
        <v>33</v>
      </c>
      <c r="D559" s="52" t="s">
        <v>89</v>
      </c>
      <c r="E559" s="53" t="s">
        <v>44</v>
      </c>
      <c r="F559" s="52" t="s">
        <v>176</v>
      </c>
      <c r="G559" s="325" t="s">
        <v>27</v>
      </c>
      <c r="H559" s="259" t="s">
        <v>4</v>
      </c>
      <c r="I559" s="53" t="s">
        <v>27</v>
      </c>
      <c r="J559" s="155" t="s">
        <v>4</v>
      </c>
      <c r="K559" s="166" t="s">
        <v>27</v>
      </c>
      <c r="L559" s="155" t="s">
        <v>4</v>
      </c>
      <c r="M559" s="326" t="s">
        <v>27</v>
      </c>
      <c r="N559" s="158" t="s">
        <v>10496</v>
      </c>
      <c r="O559" s="55" t="str">
        <f t="shared" si="18"/>
        <v>L2.02.06.00.00.00</v>
      </c>
      <c r="P559" s="55" t="str">
        <f t="shared" ref="P559:P564" si="25">A559&amp;"."&amp;C559&amp;"."&amp;E559&amp;"."&amp;G559&amp;"."&amp;I559&amp;"."&amp;K559&amp;"."&amp;M559</f>
        <v>L2.02.06.00.00.00.00</v>
      </c>
      <c r="Q559" s="428" t="s">
        <v>10530</v>
      </c>
      <c r="R559" s="437" t="s">
        <v>11412</v>
      </c>
      <c r="S559" s="227" t="s">
        <v>10916</v>
      </c>
      <c r="T559" s="2" t="s">
        <v>2972</v>
      </c>
      <c r="U559" s="96" t="s">
        <v>303</v>
      </c>
      <c r="V559" s="96" t="s">
        <v>2971</v>
      </c>
      <c r="W559" s="96"/>
      <c r="X559" s="96"/>
      <c r="Y559" s="96"/>
      <c r="Z559" s="98" t="s">
        <v>11413</v>
      </c>
      <c r="AA559" s="99"/>
      <c r="AB559" s="91"/>
      <c r="AC559" s="91"/>
      <c r="AD559" s="91"/>
    </row>
    <row r="560" ht="15.75" hidden="1" customHeight="1" outlineLevel="1">
      <c r="A560" s="170" t="s">
        <v>10833</v>
      </c>
      <c r="B560" s="57" t="s">
        <v>77</v>
      </c>
      <c r="C560" s="51" t="s">
        <v>33</v>
      </c>
      <c r="D560" s="52" t="s">
        <v>89</v>
      </c>
      <c r="E560" s="53" t="s">
        <v>44</v>
      </c>
      <c r="F560" s="52" t="s">
        <v>176</v>
      </c>
      <c r="G560" s="62" t="s">
        <v>29</v>
      </c>
      <c r="H560" s="54" t="s">
        <v>177</v>
      </c>
      <c r="I560" s="53" t="s">
        <v>27</v>
      </c>
      <c r="J560" s="155" t="s">
        <v>4</v>
      </c>
      <c r="K560" s="166" t="s">
        <v>27</v>
      </c>
      <c r="L560" s="155" t="s">
        <v>4</v>
      </c>
      <c r="M560" s="422" t="s">
        <v>46</v>
      </c>
      <c r="N560" s="158" t="s">
        <v>10496</v>
      </c>
      <c r="O560" s="55" t="str">
        <f t="shared" si="18"/>
        <v>L2.02.06.01.00.00</v>
      </c>
      <c r="P560" s="55" t="str">
        <f t="shared" si="25"/>
        <v>L2.02.06.01.00.00.07</v>
      </c>
      <c r="Q560" s="428" t="s">
        <v>10530</v>
      </c>
      <c r="R560" s="169" t="str">
        <f t="shared" ref="R560:R565" si="26">if(L560&lt;&gt;"-",L560,if(AND(L560="-",J560&lt;&gt;"-"),J560,if(AND(J560="-",H560&lt;&gt;"-"),H560,"NA")))</f>
        <v>Ban Giám đốc khối GD Tư thục</v>
      </c>
      <c r="S560" s="227" t="s">
        <v>11414</v>
      </c>
      <c r="T560" s="96"/>
      <c r="U560" s="96"/>
      <c r="V560" s="96"/>
      <c r="W560" s="96"/>
      <c r="X560" s="96"/>
      <c r="Y560" s="97" t="s">
        <v>11089</v>
      </c>
      <c r="Z560" s="98" t="s">
        <v>11415</v>
      </c>
      <c r="AA560" s="438" t="s">
        <v>10530</v>
      </c>
      <c r="AB560" s="91"/>
      <c r="AC560" s="91"/>
      <c r="AD560" s="91"/>
    </row>
    <row r="561" ht="15.75" hidden="1" customHeight="1" outlineLevel="1">
      <c r="A561" s="131" t="s">
        <v>10833</v>
      </c>
      <c r="B561" s="132" t="s">
        <v>77</v>
      </c>
      <c r="C561" s="132" t="s">
        <v>33</v>
      </c>
      <c r="D561" s="133" t="s">
        <v>89</v>
      </c>
      <c r="E561" s="134" t="s">
        <v>44</v>
      </c>
      <c r="F561" s="133" t="s">
        <v>176</v>
      </c>
      <c r="G561" s="133" t="s">
        <v>33</v>
      </c>
      <c r="H561" s="135" t="s">
        <v>178</v>
      </c>
      <c r="I561" s="134" t="s">
        <v>27</v>
      </c>
      <c r="J561" s="102" t="s">
        <v>4</v>
      </c>
      <c r="K561" s="103" t="s">
        <v>27</v>
      </c>
      <c r="L561" s="102" t="s">
        <v>4</v>
      </c>
      <c r="M561" s="106" t="s">
        <v>27</v>
      </c>
      <c r="N561" s="104"/>
      <c r="O561" s="136" t="str">
        <f t="shared" si="18"/>
        <v>L2.02.06.02.00.00</v>
      </c>
      <c r="P561" s="136" t="str">
        <f t="shared" si="25"/>
        <v>L2.02.06.02.00.00.00</v>
      </c>
      <c r="Q561" s="108" t="s">
        <v>10530</v>
      </c>
      <c r="R561" s="109" t="str">
        <f t="shared" si="26"/>
        <v>Phòng phát triển đối tác</v>
      </c>
      <c r="S561" s="425" t="s">
        <v>11414</v>
      </c>
      <c r="T561" s="111"/>
      <c r="U561" s="111"/>
      <c r="V561" s="111"/>
      <c r="W561" s="111"/>
      <c r="X561" s="111"/>
      <c r="Y561" s="110" t="s">
        <v>11089</v>
      </c>
      <c r="Z561" s="112" t="s">
        <v>11416</v>
      </c>
      <c r="AA561" s="113" t="s">
        <v>10530</v>
      </c>
      <c r="AB561" s="114"/>
      <c r="AC561" s="114"/>
      <c r="AD561" s="114"/>
    </row>
    <row r="562" ht="15.75" hidden="1" customHeight="1" outlineLevel="1">
      <c r="A562" s="170" t="s">
        <v>10833</v>
      </c>
      <c r="B562" s="57" t="s">
        <v>77</v>
      </c>
      <c r="C562" s="51" t="s">
        <v>33</v>
      </c>
      <c r="D562" s="52" t="s">
        <v>89</v>
      </c>
      <c r="E562" s="53" t="s">
        <v>44</v>
      </c>
      <c r="F562" s="52" t="s">
        <v>176</v>
      </c>
      <c r="G562" s="62" t="s">
        <v>33</v>
      </c>
      <c r="H562" s="54" t="s">
        <v>178</v>
      </c>
      <c r="I562" s="53" t="s">
        <v>27</v>
      </c>
      <c r="J562" s="155" t="s">
        <v>4</v>
      </c>
      <c r="K562" s="166" t="s">
        <v>27</v>
      </c>
      <c r="L562" s="155" t="s">
        <v>4</v>
      </c>
      <c r="M562" s="422" t="s">
        <v>46</v>
      </c>
      <c r="N562" s="158" t="s">
        <v>10496</v>
      </c>
      <c r="O562" s="55" t="str">
        <f t="shared" si="18"/>
        <v>L2.02.06.02.00.00</v>
      </c>
      <c r="P562" s="55" t="str">
        <f t="shared" si="25"/>
        <v>L2.02.06.02.00.00.07</v>
      </c>
      <c r="Q562" s="169"/>
      <c r="R562" s="169" t="str">
        <f t="shared" si="26"/>
        <v>Phòng phát triển đối tác</v>
      </c>
      <c r="S562" s="227" t="s">
        <v>11417</v>
      </c>
      <c r="T562" s="96"/>
      <c r="U562" s="96"/>
      <c r="V562" s="96"/>
      <c r="W562" s="96"/>
      <c r="X562" s="96"/>
      <c r="Y562" s="97" t="s">
        <v>11089</v>
      </c>
      <c r="Z562" s="152"/>
      <c r="AA562" s="99"/>
      <c r="AB562" s="91"/>
      <c r="AC562" s="91"/>
      <c r="AD562" s="91"/>
    </row>
    <row r="563" ht="15.75" hidden="1" customHeight="1" outlineLevel="1">
      <c r="A563" s="170" t="s">
        <v>10833</v>
      </c>
      <c r="B563" s="57" t="s">
        <v>77</v>
      </c>
      <c r="C563" s="51" t="s">
        <v>33</v>
      </c>
      <c r="D563" s="52" t="s">
        <v>89</v>
      </c>
      <c r="E563" s="53" t="s">
        <v>44</v>
      </c>
      <c r="F563" s="52" t="s">
        <v>176</v>
      </c>
      <c r="G563" s="62" t="s">
        <v>33</v>
      </c>
      <c r="H563" s="54" t="s">
        <v>178</v>
      </c>
      <c r="I563" s="53" t="s">
        <v>27</v>
      </c>
      <c r="J563" s="155" t="s">
        <v>4</v>
      </c>
      <c r="K563" s="166" t="s">
        <v>27</v>
      </c>
      <c r="L563" s="155" t="s">
        <v>4</v>
      </c>
      <c r="M563" s="422" t="s">
        <v>33</v>
      </c>
      <c r="N563" s="158" t="s">
        <v>10499</v>
      </c>
      <c r="O563" s="55" t="str">
        <f t="shared" si="18"/>
        <v>L2.02.06.02.00.00</v>
      </c>
      <c r="P563" s="55" t="str">
        <f t="shared" si="25"/>
        <v>L2.02.06.02.00.00.02</v>
      </c>
      <c r="Q563" s="169"/>
      <c r="R563" s="169" t="str">
        <f t="shared" si="26"/>
        <v>Phòng phát triển đối tác</v>
      </c>
      <c r="S563" s="227" t="s">
        <v>11417</v>
      </c>
      <c r="T563" s="96"/>
      <c r="U563" s="96"/>
      <c r="V563" s="96"/>
      <c r="W563" s="96"/>
      <c r="X563" s="96"/>
      <c r="Y563" s="97" t="s">
        <v>11089</v>
      </c>
      <c r="Z563" s="152"/>
      <c r="AA563" s="99"/>
      <c r="AB563" s="91"/>
      <c r="AC563" s="91"/>
      <c r="AD563" s="91"/>
    </row>
    <row r="564" ht="15.75" hidden="1" customHeight="1" outlineLevel="1">
      <c r="A564" s="170" t="s">
        <v>10833</v>
      </c>
      <c r="B564" s="57" t="s">
        <v>77</v>
      </c>
      <c r="C564" s="51" t="s">
        <v>33</v>
      </c>
      <c r="D564" s="52" t="s">
        <v>89</v>
      </c>
      <c r="E564" s="53" t="s">
        <v>44</v>
      </c>
      <c r="F564" s="52" t="s">
        <v>176</v>
      </c>
      <c r="G564" s="62" t="s">
        <v>35</v>
      </c>
      <c r="H564" s="54" t="s">
        <v>175</v>
      </c>
      <c r="I564" s="53" t="s">
        <v>27</v>
      </c>
      <c r="J564" s="155" t="s">
        <v>4</v>
      </c>
      <c r="K564" s="166" t="s">
        <v>27</v>
      </c>
      <c r="L564" s="155" t="s">
        <v>4</v>
      </c>
      <c r="M564" s="422" t="s">
        <v>46</v>
      </c>
      <c r="N564" s="158" t="s">
        <v>10496</v>
      </c>
      <c r="O564" s="55" t="str">
        <f t="shared" si="18"/>
        <v>L2.02.06.03.00.00</v>
      </c>
      <c r="P564" s="55" t="str">
        <f t="shared" si="25"/>
        <v>L2.02.06.03.00.00.07</v>
      </c>
      <c r="Q564" s="161" t="s">
        <v>10530</v>
      </c>
      <c r="R564" s="169" t="str">
        <f t="shared" si="26"/>
        <v>Nhóm Marketing</v>
      </c>
      <c r="S564" s="227" t="s">
        <v>11414</v>
      </c>
      <c r="T564" s="96"/>
      <c r="U564" s="96"/>
      <c r="V564" s="96"/>
      <c r="W564" s="96"/>
      <c r="X564" s="96"/>
      <c r="Y564" s="97" t="s">
        <v>11089</v>
      </c>
      <c r="Z564" s="98" t="s">
        <v>11418</v>
      </c>
      <c r="AA564" s="99"/>
      <c r="AB564" s="91"/>
      <c r="AC564" s="91"/>
      <c r="AD564" s="91"/>
    </row>
    <row r="565" ht="15.75" customHeight="1" collapsed="1">
      <c r="A565" s="50" t="s">
        <v>10511</v>
      </c>
      <c r="B565" s="47"/>
      <c r="C565" s="47"/>
      <c r="D565" s="47"/>
      <c r="E565" s="47"/>
      <c r="F565" s="47"/>
      <c r="G565" s="48"/>
      <c r="H565" s="49"/>
      <c r="I565" s="48"/>
      <c r="J565" s="439"/>
      <c r="K565" s="439"/>
      <c r="L565" s="439"/>
      <c r="M565" s="439"/>
      <c r="N565" s="440"/>
      <c r="O565" s="55" t="str">
        <f t="shared" si="18"/>
        <v>KHỐI KD THỊ TRƯỜNG TOÀN CẦU.....</v>
      </c>
      <c r="P565" s="48"/>
      <c r="Q565" s="169"/>
      <c r="R565" s="169" t="str">
        <f t="shared" si="26"/>
        <v/>
      </c>
      <c r="S565" s="96"/>
      <c r="T565" s="96"/>
      <c r="U565" s="96"/>
      <c r="V565" s="96"/>
      <c r="W565" s="96"/>
      <c r="X565" s="96"/>
      <c r="Y565" s="96"/>
      <c r="Z565" s="152"/>
      <c r="AA565" s="99"/>
      <c r="AB565" s="91"/>
      <c r="AC565" s="91"/>
      <c r="AD565" s="91"/>
    </row>
    <row r="566" ht="15.75" hidden="1" customHeight="1" outlineLevel="1">
      <c r="A566" s="177" t="s">
        <v>10833</v>
      </c>
      <c r="B566" s="221" t="s">
        <v>77</v>
      </c>
      <c r="C566" s="172" t="s">
        <v>35</v>
      </c>
      <c r="D566" s="172" t="s">
        <v>179</v>
      </c>
      <c r="E566" s="222" t="s">
        <v>27</v>
      </c>
      <c r="F566" s="172" t="s">
        <v>4</v>
      </c>
      <c r="G566" s="175" t="s">
        <v>27</v>
      </c>
      <c r="H566" s="427" t="s">
        <v>4</v>
      </c>
      <c r="I566" s="222" t="s">
        <v>27</v>
      </c>
      <c r="J566" s="157" t="s">
        <v>4</v>
      </c>
      <c r="K566" s="297" t="s">
        <v>27</v>
      </c>
      <c r="L566" s="157" t="s">
        <v>4</v>
      </c>
      <c r="M566" s="168" t="s">
        <v>27</v>
      </c>
      <c r="N566" s="167"/>
      <c r="O566" s="55" t="str">
        <f t="shared" si="18"/>
        <v>L2.03.00.00.00.00</v>
      </c>
      <c r="P566" s="173" t="str">
        <f t="shared" ref="P566:P570" si="27">A566&amp;"."&amp;C566&amp;"."&amp;E566&amp;"."&amp;G566&amp;"."&amp;I566&amp;"."&amp;K566&amp;"."&amp;M566</f>
        <v>L2.03.00.00.00.00.00</v>
      </c>
      <c r="Q566" s="428" t="s">
        <v>10530</v>
      </c>
      <c r="R566" s="428" t="s">
        <v>11419</v>
      </c>
      <c r="S566" s="429" t="s">
        <v>22</v>
      </c>
      <c r="T566" s="430" t="s">
        <v>4387</v>
      </c>
      <c r="U566" s="430" t="s">
        <v>303</v>
      </c>
      <c r="V566" s="430" t="s">
        <v>4386</v>
      </c>
      <c r="W566" s="176"/>
      <c r="X566" s="176"/>
      <c r="Y566" s="176"/>
      <c r="Z566" s="225" t="s">
        <v>11420</v>
      </c>
      <c r="AA566" s="266"/>
      <c r="AB566" s="226"/>
      <c r="AC566" s="226"/>
      <c r="AD566" s="226"/>
    </row>
    <row r="567" ht="15.75" hidden="1" customHeight="1" outlineLevel="1">
      <c r="A567" s="170" t="s">
        <v>10833</v>
      </c>
      <c r="B567" s="57" t="s">
        <v>77</v>
      </c>
      <c r="C567" s="52" t="s">
        <v>35</v>
      </c>
      <c r="D567" s="52" t="s">
        <v>179</v>
      </c>
      <c r="E567" s="53" t="s">
        <v>27</v>
      </c>
      <c r="F567" s="52" t="s">
        <v>4</v>
      </c>
      <c r="G567" s="62" t="s">
        <v>29</v>
      </c>
      <c r="H567" s="54" t="s">
        <v>180</v>
      </c>
      <c r="I567" s="53" t="s">
        <v>27</v>
      </c>
      <c r="J567" s="155" t="s">
        <v>4</v>
      </c>
      <c r="K567" s="166" t="s">
        <v>27</v>
      </c>
      <c r="L567" s="155" t="s">
        <v>4</v>
      </c>
      <c r="M567" s="422" t="s">
        <v>33</v>
      </c>
      <c r="N567" s="158" t="s">
        <v>10499</v>
      </c>
      <c r="O567" s="55" t="str">
        <f t="shared" si="18"/>
        <v>L2.03.00.01.00.00</v>
      </c>
      <c r="P567" s="55" t="str">
        <f t="shared" si="27"/>
        <v>L2.03.00.01.00.00.02</v>
      </c>
      <c r="Q567" s="428" t="s">
        <v>10530</v>
      </c>
      <c r="R567" s="169" t="str">
        <f t="shared" ref="R567:R571" si="28">if(L567&lt;&gt;"-",L567,if(AND(L567="-",J567&lt;&gt;"-"),J567,if(AND(J567="-",H567&lt;&gt;"-"),H567,"NA")))</f>
        <v>Ban Giám đốc khối thị trường toàn cầu</v>
      </c>
      <c r="S567" s="96" t="str">
        <f t="shared" ref="S567:S570" si="29">$P$566</f>
        <v>L2.03.00.00.00.00.00</v>
      </c>
      <c r="T567" s="96"/>
      <c r="U567" s="96"/>
      <c r="V567" s="96"/>
      <c r="W567" s="96"/>
      <c r="X567" s="96"/>
      <c r="Y567" s="97" t="s">
        <v>11421</v>
      </c>
      <c r="Z567" s="98" t="s">
        <v>11422</v>
      </c>
      <c r="AA567" s="99"/>
      <c r="AB567" s="91"/>
      <c r="AC567" s="91"/>
      <c r="AD567" s="91"/>
    </row>
    <row r="568" ht="15.75" hidden="1" customHeight="1" outlineLevel="1">
      <c r="A568" s="170" t="s">
        <v>10833</v>
      </c>
      <c r="B568" s="57" t="s">
        <v>77</v>
      </c>
      <c r="C568" s="52" t="s">
        <v>35</v>
      </c>
      <c r="D568" s="52" t="s">
        <v>179</v>
      </c>
      <c r="E568" s="53" t="s">
        <v>27</v>
      </c>
      <c r="F568" s="52" t="s">
        <v>4</v>
      </c>
      <c r="G568" s="62" t="s">
        <v>33</v>
      </c>
      <c r="H568" s="60" t="s">
        <v>181</v>
      </c>
      <c r="I568" s="53" t="s">
        <v>27</v>
      </c>
      <c r="J568" s="155" t="s">
        <v>4</v>
      </c>
      <c r="K568" s="166" t="s">
        <v>27</v>
      </c>
      <c r="L568" s="155" t="s">
        <v>4</v>
      </c>
      <c r="M568" s="422" t="s">
        <v>33</v>
      </c>
      <c r="N568" s="158" t="s">
        <v>10499</v>
      </c>
      <c r="O568" s="55" t="str">
        <f t="shared" si="18"/>
        <v>L2.03.00.02.00.00</v>
      </c>
      <c r="P568" s="55" t="str">
        <f t="shared" si="27"/>
        <v>L2.03.00.02.00.00.02</v>
      </c>
      <c r="Q568" s="428" t="s">
        <v>10530</v>
      </c>
      <c r="R568" s="169" t="str">
        <f t="shared" si="28"/>
        <v>Phòng phát triển đối tác PDR</v>
      </c>
      <c r="S568" s="96" t="str">
        <f t="shared" si="29"/>
        <v>L2.03.00.00.00.00.00</v>
      </c>
      <c r="T568" s="441"/>
      <c r="U568" s="441"/>
      <c r="V568" s="441"/>
      <c r="W568" s="441"/>
      <c r="X568" s="96"/>
      <c r="Y568" s="97" t="s">
        <v>11421</v>
      </c>
      <c r="Z568" s="98" t="s">
        <v>11423</v>
      </c>
      <c r="AA568" s="153" t="s">
        <v>10530</v>
      </c>
      <c r="AB568" s="91"/>
      <c r="AC568" s="91"/>
      <c r="AD568" s="91"/>
    </row>
    <row r="569" ht="15.75" hidden="1" customHeight="1" outlineLevel="1">
      <c r="A569" s="170" t="s">
        <v>10833</v>
      </c>
      <c r="B569" s="57" t="s">
        <v>77</v>
      </c>
      <c r="C569" s="52" t="s">
        <v>35</v>
      </c>
      <c r="D569" s="52" t="s">
        <v>179</v>
      </c>
      <c r="E569" s="53" t="s">
        <v>27</v>
      </c>
      <c r="F569" s="52" t="s">
        <v>4</v>
      </c>
      <c r="G569" s="62" t="s">
        <v>35</v>
      </c>
      <c r="H569" s="60" t="s">
        <v>182</v>
      </c>
      <c r="I569" s="53" t="s">
        <v>27</v>
      </c>
      <c r="J569" s="155" t="s">
        <v>4</v>
      </c>
      <c r="K569" s="166" t="s">
        <v>27</v>
      </c>
      <c r="L569" s="155" t="s">
        <v>4</v>
      </c>
      <c r="M569" s="422" t="s">
        <v>33</v>
      </c>
      <c r="N569" s="158" t="s">
        <v>10499</v>
      </c>
      <c r="O569" s="55" t="str">
        <f t="shared" si="18"/>
        <v>L2.03.00.03.00.00</v>
      </c>
      <c r="P569" s="55" t="str">
        <f t="shared" si="27"/>
        <v>L2.03.00.03.00.00.02</v>
      </c>
      <c r="Q569" s="428" t="s">
        <v>10530</v>
      </c>
      <c r="R569" s="169" t="str">
        <f t="shared" si="28"/>
        <v>Phòng triển khai ONB</v>
      </c>
      <c r="S569" s="96" t="str">
        <f t="shared" si="29"/>
        <v>L2.03.00.00.00.00.00</v>
      </c>
      <c r="T569" s="96"/>
      <c r="U569" s="96"/>
      <c r="V569" s="96"/>
      <c r="W569" s="96"/>
      <c r="X569" s="96"/>
      <c r="Y569" s="97" t="s">
        <v>11421</v>
      </c>
      <c r="Z569" s="98" t="s">
        <v>11424</v>
      </c>
      <c r="AA569" s="153" t="s">
        <v>10530</v>
      </c>
      <c r="AB569" s="91"/>
      <c r="AC569" s="91"/>
      <c r="AD569" s="91"/>
    </row>
    <row r="570" ht="15.75" hidden="1" customHeight="1" outlineLevel="1">
      <c r="A570" s="170" t="s">
        <v>10833</v>
      </c>
      <c r="B570" s="57" t="s">
        <v>77</v>
      </c>
      <c r="C570" s="52" t="s">
        <v>35</v>
      </c>
      <c r="D570" s="52" t="s">
        <v>179</v>
      </c>
      <c r="E570" s="53" t="s">
        <v>27</v>
      </c>
      <c r="F570" s="52" t="s">
        <v>4</v>
      </c>
      <c r="G570" s="62" t="s">
        <v>37</v>
      </c>
      <c r="H570" s="60" t="s">
        <v>183</v>
      </c>
      <c r="I570" s="53" t="s">
        <v>27</v>
      </c>
      <c r="J570" s="155" t="s">
        <v>4</v>
      </c>
      <c r="K570" s="166" t="s">
        <v>27</v>
      </c>
      <c r="L570" s="155" t="s">
        <v>4</v>
      </c>
      <c r="M570" s="422" t="s">
        <v>33</v>
      </c>
      <c r="N570" s="158" t="s">
        <v>10499</v>
      </c>
      <c r="O570" s="55" t="str">
        <f t="shared" si="18"/>
        <v>L2.03.00.04.00.00</v>
      </c>
      <c r="P570" s="55" t="str">
        <f t="shared" si="27"/>
        <v>L2.03.00.04.00.00.02</v>
      </c>
      <c r="Q570" s="428" t="s">
        <v>10530</v>
      </c>
      <c r="R570" s="169" t="str">
        <f t="shared" si="28"/>
        <v>Nhóm Marketing Support</v>
      </c>
      <c r="S570" s="96" t="str">
        <f t="shared" si="29"/>
        <v>L2.03.00.00.00.00.00</v>
      </c>
      <c r="T570" s="96"/>
      <c r="U570" s="96"/>
      <c r="V570" s="96"/>
      <c r="W570" s="96"/>
      <c r="X570" s="96"/>
      <c r="Y570" s="97" t="s">
        <v>11421</v>
      </c>
      <c r="Z570" s="98" t="s">
        <v>11425</v>
      </c>
      <c r="AA570" s="99"/>
      <c r="AB570" s="91"/>
      <c r="AC570" s="91"/>
      <c r="AD570" s="91"/>
    </row>
    <row r="571" ht="15.75" customHeight="1" collapsed="1">
      <c r="A571" s="50" t="s">
        <v>10512</v>
      </c>
      <c r="B571" s="47"/>
      <c r="C571" s="47"/>
      <c r="D571" s="47"/>
      <c r="E571" s="47"/>
      <c r="F571" s="47"/>
      <c r="G571" s="48"/>
      <c r="H571" s="49"/>
      <c r="I571" s="48"/>
      <c r="J571" s="439"/>
      <c r="K571" s="439"/>
      <c r="L571" s="439"/>
      <c r="M571" s="439"/>
      <c r="N571" s="440"/>
      <c r="O571" s="55" t="str">
        <f t="shared" si="18"/>
        <v>KHỐI KD THỊ TRƯỜNG KHÁCH HÀNG CÁ NHÂN.....</v>
      </c>
      <c r="P571" s="48"/>
      <c r="Q571" s="169"/>
      <c r="R571" s="169" t="str">
        <f t="shared" si="28"/>
        <v/>
      </c>
      <c r="S571" s="96"/>
      <c r="T571" s="96"/>
      <c r="U571" s="96"/>
      <c r="V571" s="96"/>
      <c r="W571" s="96"/>
      <c r="X571" s="96"/>
      <c r="Y571" s="96"/>
      <c r="Z571" s="152"/>
      <c r="AA571" s="99"/>
      <c r="AB571" s="91"/>
      <c r="AC571" s="91"/>
      <c r="AD571" s="91"/>
    </row>
    <row r="572" ht="15.75" hidden="1" customHeight="1" outlineLevel="1">
      <c r="A572" s="170" t="s">
        <v>10833</v>
      </c>
      <c r="B572" s="57" t="s">
        <v>77</v>
      </c>
      <c r="C572" s="52" t="s">
        <v>37</v>
      </c>
      <c r="D572" s="52" t="s">
        <v>184</v>
      </c>
      <c r="E572" s="53" t="s">
        <v>27</v>
      </c>
      <c r="F572" s="52" t="s">
        <v>4</v>
      </c>
      <c r="G572" s="325" t="s">
        <v>27</v>
      </c>
      <c r="H572" s="259" t="s">
        <v>4</v>
      </c>
      <c r="I572" s="53" t="s">
        <v>27</v>
      </c>
      <c r="J572" s="155" t="s">
        <v>4</v>
      </c>
      <c r="K572" s="166" t="s">
        <v>27</v>
      </c>
      <c r="L572" s="155" t="s">
        <v>4</v>
      </c>
      <c r="M572" s="168" t="s">
        <v>27</v>
      </c>
      <c r="N572" s="167"/>
      <c r="O572" s="55" t="str">
        <f t="shared" si="18"/>
        <v>L2.04.00.00.00.00</v>
      </c>
      <c r="P572" s="55" t="str">
        <f t="shared" ref="P572:P573" si="30">A572&amp;"."&amp;C572&amp;"."&amp;E572&amp;"."&amp;G572&amp;"."&amp;I572&amp;"."&amp;K572&amp;"."&amp;M572</f>
        <v>L2.04.00.00.00.00.00</v>
      </c>
      <c r="Q572" s="428" t="s">
        <v>10530</v>
      </c>
      <c r="R572" s="161" t="s">
        <v>11426</v>
      </c>
      <c r="S572" s="227" t="s">
        <v>22</v>
      </c>
      <c r="T572" s="96" t="s">
        <v>9508</v>
      </c>
      <c r="U572" s="96" t="s">
        <v>303</v>
      </c>
      <c r="V572" s="96" t="s">
        <v>9507</v>
      </c>
      <c r="W572" s="96"/>
      <c r="X572" s="96"/>
      <c r="Y572" s="96"/>
      <c r="Z572" s="98" t="s">
        <v>11427</v>
      </c>
      <c r="AA572" s="99"/>
      <c r="AB572" s="91"/>
      <c r="AC572" s="91"/>
      <c r="AD572" s="91"/>
    </row>
    <row r="573" ht="15.75" hidden="1" customHeight="1" outlineLevel="1">
      <c r="A573" s="170" t="s">
        <v>10833</v>
      </c>
      <c r="B573" s="57" t="s">
        <v>77</v>
      </c>
      <c r="C573" s="52" t="s">
        <v>37</v>
      </c>
      <c r="D573" s="52" t="s">
        <v>184</v>
      </c>
      <c r="E573" s="53" t="s">
        <v>27</v>
      </c>
      <c r="F573" s="52" t="s">
        <v>4</v>
      </c>
      <c r="G573" s="62" t="s">
        <v>29</v>
      </c>
      <c r="H573" s="54" t="s">
        <v>185</v>
      </c>
      <c r="I573" s="53" t="s">
        <v>27</v>
      </c>
      <c r="J573" s="155" t="s">
        <v>4</v>
      </c>
      <c r="K573" s="166" t="s">
        <v>27</v>
      </c>
      <c r="L573" s="155" t="s">
        <v>4</v>
      </c>
      <c r="M573" s="422" t="s">
        <v>46</v>
      </c>
      <c r="N573" s="158" t="s">
        <v>10496</v>
      </c>
      <c r="O573" s="55" t="str">
        <f t="shared" si="18"/>
        <v>L2.04.00.01.00.00</v>
      </c>
      <c r="P573" s="55" t="str">
        <f t="shared" si="30"/>
        <v>L2.04.00.01.00.00.07</v>
      </c>
      <c r="Q573" s="428" t="s">
        <v>10530</v>
      </c>
      <c r="R573" s="169" t="str">
        <f t="shared" ref="R573:R574" si="31">if(L573&lt;&gt;"-",L573,if(AND(L573="-",J573&lt;&gt;"-"),J573,if(AND(J573="-",H573&lt;&gt;"-"),H573,"NA")))</f>
        <v>Ban Giám đốc khối thị trường KH cá nhân</v>
      </c>
      <c r="S573" s="96" t="str">
        <f>$P$572</f>
        <v>L2.04.00.00.00.00.00</v>
      </c>
      <c r="T573" s="96" t="s">
        <v>9508</v>
      </c>
      <c r="U573" s="96" t="s">
        <v>303</v>
      </c>
      <c r="V573" s="96" t="s">
        <v>9507</v>
      </c>
      <c r="W573" s="96"/>
      <c r="X573" s="96"/>
      <c r="Y573" s="96"/>
      <c r="Z573" s="98" t="s">
        <v>11428</v>
      </c>
      <c r="AA573" s="153" t="s">
        <v>10530</v>
      </c>
      <c r="AB573" s="91"/>
      <c r="AC573" s="91"/>
      <c r="AD573" s="91"/>
    </row>
    <row r="574" ht="15.75" customHeight="1" collapsed="1">
      <c r="A574" s="442" t="s">
        <v>10513</v>
      </c>
      <c r="B574" s="47"/>
      <c r="C574" s="47"/>
      <c r="D574" s="47"/>
      <c r="E574" s="47"/>
      <c r="F574" s="47"/>
      <c r="G574" s="48"/>
      <c r="H574" s="49"/>
      <c r="I574" s="48"/>
      <c r="J574" s="439"/>
      <c r="K574" s="439"/>
      <c r="L574" s="439"/>
      <c r="M574" s="439"/>
      <c r="N574" s="440"/>
      <c r="O574" s="55" t="str">
        <f t="shared" si="18"/>
        <v>KHỐI HỖ TRỢ VÀ CHĂM SÓC KHÁCH HÀNG.....</v>
      </c>
      <c r="P574" s="48"/>
      <c r="Q574" s="169"/>
      <c r="R574" s="169" t="str">
        <f t="shared" si="31"/>
        <v/>
      </c>
      <c r="S574" s="96"/>
      <c r="T574" s="96"/>
      <c r="U574" s="96"/>
      <c r="V574" s="96"/>
      <c r="W574" s="96"/>
      <c r="X574" s="96"/>
      <c r="Y574" s="96"/>
      <c r="Z574" s="152"/>
      <c r="AA574" s="99"/>
      <c r="AB574" s="91"/>
      <c r="AC574" s="91"/>
      <c r="AD574" s="91"/>
    </row>
    <row r="575" ht="15.75" customHeight="1" outlineLevel="1">
      <c r="A575" s="170" t="s">
        <v>11429</v>
      </c>
      <c r="B575" s="57" t="s">
        <v>189</v>
      </c>
      <c r="C575" s="51" t="s">
        <v>27</v>
      </c>
      <c r="D575" s="52" t="s">
        <v>4</v>
      </c>
      <c r="E575" s="53" t="s">
        <v>27</v>
      </c>
      <c r="F575" s="52" t="s">
        <v>4</v>
      </c>
      <c r="G575" s="325" t="s">
        <v>27</v>
      </c>
      <c r="H575" s="259" t="s">
        <v>4</v>
      </c>
      <c r="I575" s="53" t="s">
        <v>27</v>
      </c>
      <c r="J575" s="155" t="s">
        <v>4</v>
      </c>
      <c r="K575" s="166" t="s">
        <v>27</v>
      </c>
      <c r="L575" s="155" t="s">
        <v>4</v>
      </c>
      <c r="M575" s="326" t="s">
        <v>27</v>
      </c>
      <c r="N575" s="158"/>
      <c r="O575" s="55" t="str">
        <f t="shared" si="18"/>
        <v>L3.00.00.00.00.00</v>
      </c>
      <c r="P575" s="55" t="str">
        <f t="shared" ref="P575:P617" si="32">A575&amp;"."&amp;C575&amp;"."&amp;E575&amp;"."&amp;G575&amp;"."&amp;I575&amp;"."&amp;K575&amp;"."&amp;M575</f>
        <v>L3.00.00.00.00.00.00</v>
      </c>
      <c r="Q575" s="428" t="s">
        <v>10530</v>
      </c>
      <c r="R575" s="437" t="s">
        <v>11430</v>
      </c>
      <c r="S575" s="443" t="s">
        <v>22</v>
      </c>
      <c r="T575" s="444"/>
      <c r="U575" s="441"/>
      <c r="V575" s="441"/>
      <c r="W575" s="441"/>
      <c r="X575" s="96"/>
      <c r="Y575" s="96"/>
      <c r="Z575" s="98" t="s">
        <v>11431</v>
      </c>
      <c r="AA575" s="99"/>
      <c r="AB575" s="91"/>
      <c r="AC575" s="91"/>
      <c r="AD575" s="91"/>
    </row>
    <row r="576" ht="15.75" customHeight="1" outlineLevel="1">
      <c r="A576" s="170" t="s">
        <v>11429</v>
      </c>
      <c r="B576" s="57" t="s">
        <v>189</v>
      </c>
      <c r="C576" s="51" t="s">
        <v>27</v>
      </c>
      <c r="D576" s="52" t="s">
        <v>4</v>
      </c>
      <c r="E576" s="53" t="s">
        <v>27</v>
      </c>
      <c r="F576" s="52" t="s">
        <v>4</v>
      </c>
      <c r="G576" s="62" t="s">
        <v>29</v>
      </c>
      <c r="H576" s="54" t="s">
        <v>190</v>
      </c>
      <c r="I576" s="53" t="s">
        <v>27</v>
      </c>
      <c r="J576" s="155" t="s">
        <v>4</v>
      </c>
      <c r="K576" s="166" t="s">
        <v>27</v>
      </c>
      <c r="L576" s="155" t="s">
        <v>4</v>
      </c>
      <c r="M576" s="422" t="s">
        <v>49</v>
      </c>
      <c r="N576" s="158" t="s">
        <v>10514</v>
      </c>
      <c r="O576" s="55" t="str">
        <f t="shared" si="18"/>
        <v>L3.00.00.01.00.00</v>
      </c>
      <c r="P576" s="55" t="str">
        <f t="shared" si="32"/>
        <v>L3.00.00.01.00.00.08</v>
      </c>
      <c r="Q576" s="428" t="s">
        <v>10530</v>
      </c>
      <c r="R576" s="169" t="str">
        <f t="shared" ref="R576:R601" si="33">if(L576&lt;&gt;"-",L576,if(AND(L576="-",J576&lt;&gt;"-"),J576,if(AND(J576="-",H576&lt;&gt;"-"),H576,"NA")))</f>
        <v>Ban Giám đốc Khối HT &amp; CSKH</v>
      </c>
      <c r="S576" s="443" t="s">
        <v>11432</v>
      </c>
      <c r="T576" s="441"/>
      <c r="U576" s="441"/>
      <c r="V576" s="441"/>
      <c r="W576" s="441"/>
      <c r="X576" s="96"/>
      <c r="Y576" s="96"/>
      <c r="Z576" s="98" t="s">
        <v>11433</v>
      </c>
      <c r="AA576" s="153" t="s">
        <v>10530</v>
      </c>
      <c r="AB576" s="91"/>
      <c r="AC576" s="91"/>
      <c r="AD576" s="91"/>
    </row>
    <row r="577" ht="15.75" customHeight="1" outlineLevel="1">
      <c r="A577" s="131" t="s">
        <v>11429</v>
      </c>
      <c r="B577" s="132" t="s">
        <v>189</v>
      </c>
      <c r="C577" s="132" t="s">
        <v>27</v>
      </c>
      <c r="D577" s="133" t="s">
        <v>4</v>
      </c>
      <c r="E577" s="134" t="s">
        <v>27</v>
      </c>
      <c r="F577" s="133" t="s">
        <v>4</v>
      </c>
      <c r="G577" s="133" t="s">
        <v>33</v>
      </c>
      <c r="H577" s="135" t="s">
        <v>34</v>
      </c>
      <c r="I577" s="134" t="s">
        <v>27</v>
      </c>
      <c r="J577" s="102" t="s">
        <v>4</v>
      </c>
      <c r="K577" s="103" t="s">
        <v>27</v>
      </c>
      <c r="L577" s="102" t="s">
        <v>4</v>
      </c>
      <c r="M577" s="106" t="s">
        <v>27</v>
      </c>
      <c r="N577" s="104"/>
      <c r="O577" s="136" t="str">
        <f t="shared" si="18"/>
        <v>L3.00.00.02.00.00</v>
      </c>
      <c r="P577" s="136" t="str">
        <f t="shared" si="32"/>
        <v>L3.00.00.02.00.00.00</v>
      </c>
      <c r="Q577" s="108" t="s">
        <v>10530</v>
      </c>
      <c r="R577" s="109" t="str">
        <f t="shared" si="33"/>
        <v>Phòng HCTH</v>
      </c>
      <c r="S577" s="445" t="s">
        <v>11432</v>
      </c>
      <c r="T577" s="111"/>
      <c r="U577" s="111"/>
      <c r="V577" s="111"/>
      <c r="W577" s="111"/>
      <c r="X577" s="111"/>
      <c r="Y577" s="111"/>
      <c r="Z577" s="112" t="s">
        <v>11434</v>
      </c>
      <c r="AA577" s="113" t="s">
        <v>10530</v>
      </c>
      <c r="AB577" s="114"/>
      <c r="AC577" s="114"/>
      <c r="AD577" s="114"/>
    </row>
    <row r="578" ht="15.75" customHeight="1" outlineLevel="1">
      <c r="A578" s="137" t="s">
        <v>11429</v>
      </c>
      <c r="B578" s="138" t="s">
        <v>189</v>
      </c>
      <c r="C578" s="139" t="s">
        <v>27</v>
      </c>
      <c r="D578" s="140" t="s">
        <v>4</v>
      </c>
      <c r="E578" s="141" t="s">
        <v>27</v>
      </c>
      <c r="F578" s="140" t="s">
        <v>4</v>
      </c>
      <c r="G578" s="142" t="s">
        <v>33</v>
      </c>
      <c r="H578" s="143" t="s">
        <v>34</v>
      </c>
      <c r="I578" s="141" t="s">
        <v>27</v>
      </c>
      <c r="J578" s="146" t="s">
        <v>4</v>
      </c>
      <c r="K578" s="145" t="s">
        <v>27</v>
      </c>
      <c r="L578" s="146" t="s">
        <v>4</v>
      </c>
      <c r="M578" s="147" t="s">
        <v>49</v>
      </c>
      <c r="N578" s="148" t="s">
        <v>10514</v>
      </c>
      <c r="O578" s="149" t="str">
        <f t="shared" si="18"/>
        <v>L3.00.00.02.00.00</v>
      </c>
      <c r="P578" s="149" t="str">
        <f t="shared" si="32"/>
        <v>L3.00.00.02.00.00.08</v>
      </c>
      <c r="Q578" s="125"/>
      <c r="R578" s="223" t="str">
        <f t="shared" si="33"/>
        <v>Phòng HCTH</v>
      </c>
      <c r="S578" s="446" t="s">
        <v>11435</v>
      </c>
      <c r="T578" s="127"/>
      <c r="U578" s="127"/>
      <c r="V578" s="127"/>
      <c r="W578" s="127"/>
      <c r="X578" s="127"/>
      <c r="Y578" s="127"/>
      <c r="Z578" s="128"/>
      <c r="AA578" s="129"/>
      <c r="AB578" s="130"/>
      <c r="AC578" s="130"/>
      <c r="AD578" s="130"/>
    </row>
    <row r="579" ht="15.75" customHeight="1" outlineLevel="1">
      <c r="A579" s="137" t="s">
        <v>11429</v>
      </c>
      <c r="B579" s="138" t="s">
        <v>189</v>
      </c>
      <c r="C579" s="139" t="s">
        <v>27</v>
      </c>
      <c r="D579" s="140" t="s">
        <v>4</v>
      </c>
      <c r="E579" s="141" t="s">
        <v>27</v>
      </c>
      <c r="F579" s="140" t="s">
        <v>4</v>
      </c>
      <c r="G579" s="142" t="s">
        <v>33</v>
      </c>
      <c r="H579" s="143" t="s">
        <v>34</v>
      </c>
      <c r="I579" s="141" t="s">
        <v>27</v>
      </c>
      <c r="J579" s="146" t="s">
        <v>4</v>
      </c>
      <c r="K579" s="145" t="s">
        <v>27</v>
      </c>
      <c r="L579" s="146" t="s">
        <v>4</v>
      </c>
      <c r="M579" s="147" t="s">
        <v>51</v>
      </c>
      <c r="N579" s="148" t="s">
        <v>10515</v>
      </c>
      <c r="O579" s="149" t="str">
        <f t="shared" si="18"/>
        <v>L3.00.00.02.00.00</v>
      </c>
      <c r="P579" s="149" t="str">
        <f t="shared" si="32"/>
        <v>L3.00.00.02.00.00.09</v>
      </c>
      <c r="Q579" s="125"/>
      <c r="R579" s="223" t="str">
        <f t="shared" si="33"/>
        <v>Phòng HCTH</v>
      </c>
      <c r="S579" s="446" t="s">
        <v>11435</v>
      </c>
      <c r="T579" s="127"/>
      <c r="U579" s="127"/>
      <c r="V579" s="127"/>
      <c r="W579" s="127"/>
      <c r="X579" s="127"/>
      <c r="Y579" s="127"/>
      <c r="Z579" s="128"/>
      <c r="AA579" s="129"/>
      <c r="AB579" s="130"/>
      <c r="AC579" s="130"/>
      <c r="AD579" s="130"/>
    </row>
    <row r="580" ht="15.75" customHeight="1" outlineLevel="1">
      <c r="A580" s="177" t="s">
        <v>11429</v>
      </c>
      <c r="B580" s="221" t="s">
        <v>189</v>
      </c>
      <c r="C580" s="221" t="s">
        <v>27</v>
      </c>
      <c r="D580" s="172" t="s">
        <v>4</v>
      </c>
      <c r="E580" s="222" t="s">
        <v>27</v>
      </c>
      <c r="F580" s="172" t="s">
        <v>4</v>
      </c>
      <c r="G580" s="172" t="s">
        <v>35</v>
      </c>
      <c r="H580" s="171" t="s">
        <v>191</v>
      </c>
      <c r="I580" s="222" t="s">
        <v>27</v>
      </c>
      <c r="J580" s="157" t="s">
        <v>4</v>
      </c>
      <c r="K580" s="297" t="s">
        <v>27</v>
      </c>
      <c r="L580" s="157" t="s">
        <v>4</v>
      </c>
      <c r="M580" s="168" t="s">
        <v>27</v>
      </c>
      <c r="N580" s="167"/>
      <c r="O580" s="173" t="str">
        <f t="shared" si="18"/>
        <v>L3.00.00.03.00.00</v>
      </c>
      <c r="P580" s="173" t="str">
        <f t="shared" si="32"/>
        <v>L3.00.00.03.00.00.00</v>
      </c>
      <c r="Q580" s="428" t="s">
        <v>10530</v>
      </c>
      <c r="R580" s="223" t="str">
        <f t="shared" si="33"/>
        <v>Phòng hỗ trợ giải pháp TCKT DN</v>
      </c>
      <c r="S580" s="217" t="s">
        <v>11432</v>
      </c>
      <c r="T580" s="176"/>
      <c r="U580" s="176"/>
      <c r="V580" s="176"/>
      <c r="W580" s="176"/>
      <c r="X580" s="176"/>
      <c r="Y580" s="224"/>
      <c r="Z580" s="225" t="s">
        <v>11437</v>
      </c>
      <c r="AA580" s="266"/>
      <c r="AB580" s="226"/>
      <c r="AC580" s="226"/>
      <c r="AD580" s="226"/>
    </row>
    <row r="581" ht="15.75" customHeight="1" outlineLevel="1">
      <c r="A581" s="228" t="s">
        <v>11429</v>
      </c>
      <c r="B581" s="270" t="s">
        <v>189</v>
      </c>
      <c r="C581" s="270" t="s">
        <v>27</v>
      </c>
      <c r="D581" s="209" t="s">
        <v>4</v>
      </c>
      <c r="E581" s="271" t="s">
        <v>27</v>
      </c>
      <c r="F581" s="209" t="s">
        <v>4</v>
      </c>
      <c r="G581" s="209" t="s">
        <v>35</v>
      </c>
      <c r="H581" s="181" t="s">
        <v>191</v>
      </c>
      <c r="I581" s="182" t="s">
        <v>29</v>
      </c>
      <c r="J581" s="212" t="s">
        <v>11438</v>
      </c>
      <c r="K581" s="271" t="s">
        <v>27</v>
      </c>
      <c r="L581" s="209" t="s">
        <v>4</v>
      </c>
      <c r="M581" s="209" t="s">
        <v>49</v>
      </c>
      <c r="N581" s="181" t="s">
        <v>10514</v>
      </c>
      <c r="O581" s="272" t="str">
        <f t="shared" si="18"/>
        <v>L3.00.00.03.01.00</v>
      </c>
      <c r="P581" s="272" t="str">
        <f t="shared" si="32"/>
        <v>L3.00.00.03.01.00.08</v>
      </c>
      <c r="Q581" s="447" t="s">
        <v>10530</v>
      </c>
      <c r="R581" s="273" t="str">
        <f t="shared" si="33"/>
        <v>Nhóm TCKT DN 01</v>
      </c>
      <c r="S581" s="448" t="str">
        <f>P580</f>
        <v>L3.00.00.03.00.00.00</v>
      </c>
      <c r="X581" s="183"/>
      <c r="Y581" s="184"/>
      <c r="Z581" s="275" t="s">
        <v>11439</v>
      </c>
      <c r="AA581" s="276"/>
      <c r="AB581" s="277"/>
      <c r="AC581" s="277"/>
      <c r="AD581" s="277"/>
    </row>
    <row r="582" ht="15.75" customHeight="1" outlineLevel="1">
      <c r="A582" s="228" t="s">
        <v>11429</v>
      </c>
      <c r="B582" s="270" t="s">
        <v>189</v>
      </c>
      <c r="C582" s="270" t="s">
        <v>27</v>
      </c>
      <c r="D582" s="209" t="s">
        <v>4</v>
      </c>
      <c r="E582" s="271" t="s">
        <v>27</v>
      </c>
      <c r="F582" s="209" t="s">
        <v>4</v>
      </c>
      <c r="G582" s="209" t="s">
        <v>35</v>
      </c>
      <c r="H582" s="181" t="s">
        <v>191</v>
      </c>
      <c r="I582" s="182" t="s">
        <v>33</v>
      </c>
      <c r="J582" s="212" t="s">
        <v>11440</v>
      </c>
      <c r="K582" s="271" t="s">
        <v>27</v>
      </c>
      <c r="L582" s="209" t="s">
        <v>4</v>
      </c>
      <c r="M582" s="182" t="s">
        <v>27</v>
      </c>
      <c r="N582" s="181"/>
      <c r="O582" s="272" t="str">
        <f t="shared" si="18"/>
        <v>L3.00.00.03.02.00</v>
      </c>
      <c r="P582" s="272" t="str">
        <f t="shared" si="32"/>
        <v>L3.00.00.03.02.00.00</v>
      </c>
      <c r="Q582" s="447" t="s">
        <v>10530</v>
      </c>
      <c r="R582" s="273" t="str">
        <f t="shared" si="33"/>
        <v>Nhóm TCKT DN 02</v>
      </c>
      <c r="S582" s="448" t="str">
        <f>P580</f>
        <v>L3.00.00.03.00.00.00</v>
      </c>
      <c r="X582" s="183"/>
      <c r="Y582" s="184"/>
      <c r="Z582" s="275" t="s">
        <v>11441</v>
      </c>
      <c r="AA582" s="276"/>
      <c r="AB582" s="277"/>
      <c r="AC582" s="277"/>
      <c r="AD582" s="277"/>
    </row>
    <row r="583" ht="15.75" customHeight="1" outlineLevel="1">
      <c r="A583" s="228" t="s">
        <v>11429</v>
      </c>
      <c r="B583" s="270" t="s">
        <v>189</v>
      </c>
      <c r="C583" s="270" t="s">
        <v>27</v>
      </c>
      <c r="D583" s="209" t="s">
        <v>4</v>
      </c>
      <c r="E583" s="271" t="s">
        <v>27</v>
      </c>
      <c r="F583" s="209" t="s">
        <v>4</v>
      </c>
      <c r="G583" s="209" t="s">
        <v>35</v>
      </c>
      <c r="H583" s="181" t="s">
        <v>191</v>
      </c>
      <c r="I583" s="182" t="s">
        <v>33</v>
      </c>
      <c r="J583" s="212" t="s">
        <v>11440</v>
      </c>
      <c r="K583" s="271" t="s">
        <v>27</v>
      </c>
      <c r="L583" s="209" t="s">
        <v>4</v>
      </c>
      <c r="M583" s="209" t="s">
        <v>42</v>
      </c>
      <c r="N583" s="181" t="s">
        <v>10502</v>
      </c>
      <c r="O583" s="272" t="str">
        <f t="shared" si="18"/>
        <v>L3.00.00.03.02.00</v>
      </c>
      <c r="P583" s="272" t="str">
        <f t="shared" si="32"/>
        <v>L3.00.00.03.02.00.05</v>
      </c>
      <c r="Q583" s="447"/>
      <c r="R583" s="273" t="str">
        <f t="shared" si="33"/>
        <v>Nhóm TCKT DN 02</v>
      </c>
      <c r="S583" s="448" t="str">
        <f>P582</f>
        <v>L3.00.00.03.02.00.00</v>
      </c>
      <c r="T583" s="183"/>
      <c r="U583" s="183"/>
      <c r="V583" s="183"/>
      <c r="W583" s="183"/>
      <c r="X583" s="183"/>
      <c r="Y583" s="184"/>
      <c r="Z583" s="275"/>
      <c r="AA583" s="276"/>
      <c r="AB583" s="277"/>
      <c r="AC583" s="277"/>
      <c r="AD583" s="277"/>
    </row>
    <row r="584" ht="15.75" customHeight="1" outlineLevel="1">
      <c r="A584" s="228" t="s">
        <v>11429</v>
      </c>
      <c r="B584" s="270" t="s">
        <v>189</v>
      </c>
      <c r="C584" s="270" t="s">
        <v>27</v>
      </c>
      <c r="D584" s="209" t="s">
        <v>4</v>
      </c>
      <c r="E584" s="271" t="s">
        <v>27</v>
      </c>
      <c r="F584" s="209" t="s">
        <v>4</v>
      </c>
      <c r="G584" s="209" t="s">
        <v>35</v>
      </c>
      <c r="H584" s="181" t="s">
        <v>191</v>
      </c>
      <c r="I584" s="182" t="s">
        <v>33</v>
      </c>
      <c r="J584" s="212" t="s">
        <v>11440</v>
      </c>
      <c r="K584" s="271" t="s">
        <v>27</v>
      </c>
      <c r="L584" s="209" t="s">
        <v>4</v>
      </c>
      <c r="M584" s="209" t="s">
        <v>49</v>
      </c>
      <c r="N584" s="181" t="s">
        <v>10514</v>
      </c>
      <c r="O584" s="272" t="str">
        <f t="shared" si="18"/>
        <v>L3.00.00.03.02.00</v>
      </c>
      <c r="P584" s="272" t="str">
        <f t="shared" si="32"/>
        <v>L3.00.00.03.02.00.08</v>
      </c>
      <c r="Q584" s="447"/>
      <c r="R584" s="273" t="str">
        <f t="shared" si="33"/>
        <v>Nhóm TCKT DN 02</v>
      </c>
      <c r="S584" s="448" t="str">
        <f>P582</f>
        <v>L3.00.00.03.02.00.00</v>
      </c>
      <c r="T584" s="183"/>
      <c r="U584" s="183"/>
      <c r="V584" s="183"/>
      <c r="W584" s="183"/>
      <c r="X584" s="183"/>
      <c r="Y584" s="184"/>
      <c r="Z584" s="275"/>
      <c r="AA584" s="276"/>
      <c r="AB584" s="277"/>
      <c r="AC584" s="277"/>
      <c r="AD584" s="277"/>
    </row>
    <row r="585" ht="15.75" customHeight="1" outlineLevel="1">
      <c r="A585" s="228" t="s">
        <v>11429</v>
      </c>
      <c r="B585" s="270" t="s">
        <v>189</v>
      </c>
      <c r="C585" s="270" t="s">
        <v>27</v>
      </c>
      <c r="D585" s="209" t="s">
        <v>4</v>
      </c>
      <c r="E585" s="271" t="s">
        <v>27</v>
      </c>
      <c r="F585" s="209" t="s">
        <v>4</v>
      </c>
      <c r="G585" s="209" t="s">
        <v>35</v>
      </c>
      <c r="H585" s="181" t="s">
        <v>191</v>
      </c>
      <c r="I585" s="182" t="s">
        <v>35</v>
      </c>
      <c r="J585" s="212" t="s">
        <v>11442</v>
      </c>
      <c r="K585" s="271" t="s">
        <v>27</v>
      </c>
      <c r="L585" s="209" t="s">
        <v>4</v>
      </c>
      <c r="M585" s="182" t="s">
        <v>27</v>
      </c>
      <c r="N585" s="181"/>
      <c r="O585" s="272" t="str">
        <f t="shared" si="18"/>
        <v>L3.00.00.03.03.00</v>
      </c>
      <c r="P585" s="272" t="str">
        <f t="shared" si="32"/>
        <v>L3.00.00.03.03.00.00</v>
      </c>
      <c r="Q585" s="447" t="s">
        <v>10530</v>
      </c>
      <c r="R585" s="273" t="str">
        <f t="shared" si="33"/>
        <v>Nhóm TCKT DN 03</v>
      </c>
      <c r="S585" s="448" t="str">
        <f>P580</f>
        <v>L3.00.00.03.00.00.00</v>
      </c>
      <c r="X585" s="183"/>
      <c r="Y585" s="184"/>
      <c r="Z585" s="275" t="s">
        <v>11443</v>
      </c>
      <c r="AA585" s="276"/>
      <c r="AB585" s="277"/>
      <c r="AC585" s="277"/>
      <c r="AD585" s="277"/>
    </row>
    <row r="586" ht="15.75" customHeight="1" outlineLevel="1">
      <c r="A586" s="228" t="s">
        <v>11429</v>
      </c>
      <c r="B586" s="270" t="s">
        <v>189</v>
      </c>
      <c r="C586" s="270" t="s">
        <v>27</v>
      </c>
      <c r="D586" s="209" t="s">
        <v>4</v>
      </c>
      <c r="E586" s="271" t="s">
        <v>27</v>
      </c>
      <c r="F586" s="209" t="s">
        <v>4</v>
      </c>
      <c r="G586" s="209" t="s">
        <v>35</v>
      </c>
      <c r="H586" s="181" t="s">
        <v>191</v>
      </c>
      <c r="I586" s="182" t="s">
        <v>35</v>
      </c>
      <c r="J586" s="212" t="s">
        <v>11442</v>
      </c>
      <c r="K586" s="271" t="s">
        <v>27</v>
      </c>
      <c r="L586" s="209" t="s">
        <v>4</v>
      </c>
      <c r="M586" s="209" t="s">
        <v>49</v>
      </c>
      <c r="N586" s="181" t="s">
        <v>10514</v>
      </c>
      <c r="O586" s="272" t="str">
        <f t="shared" si="18"/>
        <v>L3.00.00.03.03.00</v>
      </c>
      <c r="P586" s="272" t="str">
        <f t="shared" si="32"/>
        <v>L3.00.00.03.03.00.08</v>
      </c>
      <c r="Q586" s="447"/>
      <c r="R586" s="273" t="str">
        <f t="shared" si="33"/>
        <v>Nhóm TCKT DN 03</v>
      </c>
      <c r="S586" s="448" t="s">
        <v>11444</v>
      </c>
      <c r="T586" s="183"/>
      <c r="U586" s="183"/>
      <c r="V586" s="183"/>
      <c r="W586" s="183"/>
      <c r="X586" s="183"/>
      <c r="Y586" s="184"/>
      <c r="Z586" s="275"/>
      <c r="AA586" s="276"/>
      <c r="AB586" s="277"/>
      <c r="AC586" s="277"/>
      <c r="AD586" s="277"/>
    </row>
    <row r="587" ht="15.75" customHeight="1" outlineLevel="1">
      <c r="A587" s="228" t="s">
        <v>11429</v>
      </c>
      <c r="B587" s="270" t="s">
        <v>189</v>
      </c>
      <c r="C587" s="270" t="s">
        <v>27</v>
      </c>
      <c r="D587" s="209" t="s">
        <v>4</v>
      </c>
      <c r="E587" s="271" t="s">
        <v>27</v>
      </c>
      <c r="F587" s="209" t="s">
        <v>4</v>
      </c>
      <c r="G587" s="209" t="s">
        <v>35</v>
      </c>
      <c r="H587" s="181" t="s">
        <v>191</v>
      </c>
      <c r="I587" s="182" t="s">
        <v>35</v>
      </c>
      <c r="J587" s="212" t="s">
        <v>11442</v>
      </c>
      <c r="K587" s="271" t="s">
        <v>27</v>
      </c>
      <c r="L587" s="209" t="s">
        <v>4</v>
      </c>
      <c r="M587" s="353" t="s">
        <v>37</v>
      </c>
      <c r="N587" s="370" t="s">
        <v>10900</v>
      </c>
      <c r="O587" s="272" t="str">
        <f t="shared" si="18"/>
        <v>L3.00.00.03.03.00</v>
      </c>
      <c r="P587" s="272" t="str">
        <f t="shared" si="32"/>
        <v>L3.00.00.03.03.00.04</v>
      </c>
      <c r="Q587" s="447"/>
      <c r="R587" s="273" t="str">
        <f t="shared" si="33"/>
        <v>Nhóm TCKT DN 03</v>
      </c>
      <c r="S587" s="448" t="s">
        <v>11444</v>
      </c>
      <c r="T587" s="183"/>
      <c r="U587" s="183"/>
      <c r="V587" s="183"/>
      <c r="W587" s="183"/>
      <c r="X587" s="183"/>
      <c r="Y587" s="184"/>
      <c r="Z587" s="275"/>
      <c r="AA587" s="276"/>
      <c r="AB587" s="277"/>
      <c r="AC587" s="277"/>
      <c r="AD587" s="277"/>
    </row>
    <row r="588" ht="15.75" customHeight="1" outlineLevel="1">
      <c r="A588" s="228" t="s">
        <v>11429</v>
      </c>
      <c r="B588" s="270" t="s">
        <v>189</v>
      </c>
      <c r="C588" s="270" t="s">
        <v>27</v>
      </c>
      <c r="D588" s="209" t="s">
        <v>4</v>
      </c>
      <c r="E588" s="271" t="s">
        <v>27</v>
      </c>
      <c r="F588" s="209" t="s">
        <v>4</v>
      </c>
      <c r="G588" s="209" t="s">
        <v>35</v>
      </c>
      <c r="H588" s="181" t="s">
        <v>191</v>
      </c>
      <c r="I588" s="182" t="s">
        <v>37</v>
      </c>
      <c r="J588" s="212" t="s">
        <v>11445</v>
      </c>
      <c r="K588" s="271" t="s">
        <v>27</v>
      </c>
      <c r="L588" s="209" t="s">
        <v>4</v>
      </c>
      <c r="M588" s="209" t="s">
        <v>49</v>
      </c>
      <c r="N588" s="181" t="s">
        <v>10514</v>
      </c>
      <c r="O588" s="272" t="str">
        <f t="shared" si="18"/>
        <v>L3.00.00.03.04.00</v>
      </c>
      <c r="P588" s="272" t="str">
        <f t="shared" si="32"/>
        <v>L3.00.00.03.04.00.08</v>
      </c>
      <c r="Q588" s="447" t="s">
        <v>10530</v>
      </c>
      <c r="R588" s="273" t="str">
        <f t="shared" si="33"/>
        <v>Nhóm TCKT DN 04</v>
      </c>
      <c r="S588" s="448" t="str">
        <f>P580</f>
        <v>L3.00.00.03.00.00.00</v>
      </c>
      <c r="T588" s="183"/>
      <c r="U588" s="183"/>
      <c r="V588" s="183"/>
      <c r="W588" s="183"/>
      <c r="X588" s="183"/>
      <c r="Y588" s="184"/>
      <c r="Z588" s="275" t="s">
        <v>11446</v>
      </c>
      <c r="AA588" s="276"/>
      <c r="AB588" s="277"/>
      <c r="AC588" s="277"/>
      <c r="AD588" s="277"/>
    </row>
    <row r="589" ht="15.75" customHeight="1" outlineLevel="1">
      <c r="A589" s="228" t="s">
        <v>11429</v>
      </c>
      <c r="B589" s="270" t="s">
        <v>189</v>
      </c>
      <c r="C589" s="270" t="s">
        <v>27</v>
      </c>
      <c r="D589" s="209" t="s">
        <v>4</v>
      </c>
      <c r="E589" s="271" t="s">
        <v>27</v>
      </c>
      <c r="F589" s="209" t="s">
        <v>4</v>
      </c>
      <c r="G589" s="209" t="s">
        <v>35</v>
      </c>
      <c r="H589" s="181" t="s">
        <v>191</v>
      </c>
      <c r="I589" s="182" t="s">
        <v>42</v>
      </c>
      <c r="J589" s="212" t="s">
        <v>11447</v>
      </c>
      <c r="K589" s="271" t="s">
        <v>27</v>
      </c>
      <c r="L589" s="209" t="s">
        <v>4</v>
      </c>
      <c r="M589" s="209" t="s">
        <v>49</v>
      </c>
      <c r="N589" s="181" t="s">
        <v>10514</v>
      </c>
      <c r="O589" s="272" t="str">
        <f t="shared" si="18"/>
        <v>L3.00.00.03.05.00</v>
      </c>
      <c r="P589" s="272" t="str">
        <f t="shared" si="32"/>
        <v>L3.00.00.03.05.00.08</v>
      </c>
      <c r="Q589" s="447" t="s">
        <v>10530</v>
      </c>
      <c r="R589" s="273" t="str">
        <f t="shared" si="33"/>
        <v>Nhóm TCKT DN 05</v>
      </c>
      <c r="S589" s="448" t="str">
        <f>P580</f>
        <v>L3.00.00.03.00.00.00</v>
      </c>
      <c r="X589" s="183"/>
      <c r="Y589" s="184"/>
      <c r="Z589" s="275" t="s">
        <v>11448</v>
      </c>
      <c r="AA589" s="276"/>
      <c r="AB589" s="277"/>
      <c r="AC589" s="277"/>
      <c r="AD589" s="277"/>
    </row>
    <row r="590" ht="15.75" customHeight="1" outlineLevel="1">
      <c r="A590" s="228" t="s">
        <v>11429</v>
      </c>
      <c r="B590" s="270" t="s">
        <v>189</v>
      </c>
      <c r="C590" s="270" t="s">
        <v>27</v>
      </c>
      <c r="D590" s="209" t="s">
        <v>4</v>
      </c>
      <c r="E590" s="271" t="s">
        <v>27</v>
      </c>
      <c r="F590" s="209" t="s">
        <v>4</v>
      </c>
      <c r="G590" s="209" t="s">
        <v>35</v>
      </c>
      <c r="H590" s="181" t="s">
        <v>191</v>
      </c>
      <c r="I590" s="182" t="s">
        <v>44</v>
      </c>
      <c r="J590" s="212" t="s">
        <v>11449</v>
      </c>
      <c r="K590" s="271" t="s">
        <v>27</v>
      </c>
      <c r="L590" s="209" t="s">
        <v>4</v>
      </c>
      <c r="M590" s="353" t="s">
        <v>51</v>
      </c>
      <c r="N590" s="356" t="s">
        <v>10515</v>
      </c>
      <c r="O590" s="272" t="str">
        <f t="shared" si="18"/>
        <v>L3.00.00.03.06.00</v>
      </c>
      <c r="P590" s="272" t="str">
        <f t="shared" si="32"/>
        <v>L3.00.00.03.06.00.09</v>
      </c>
      <c r="Q590" s="447" t="s">
        <v>10530</v>
      </c>
      <c r="R590" s="273" t="str">
        <f t="shared" si="33"/>
        <v>Nhóm TCKT DN 06</v>
      </c>
      <c r="S590" s="448" t="str">
        <f>P580</f>
        <v>L3.00.00.03.00.00.00</v>
      </c>
      <c r="X590" s="183"/>
      <c r="Y590" s="184"/>
      <c r="Z590" s="275" t="s">
        <v>11450</v>
      </c>
      <c r="AA590" s="276"/>
      <c r="AB590" s="277"/>
      <c r="AC590" s="277"/>
      <c r="AD590" s="277"/>
    </row>
    <row r="591" ht="15.75" customHeight="1" outlineLevel="1">
      <c r="A591" s="228" t="s">
        <v>11429</v>
      </c>
      <c r="B591" s="270" t="s">
        <v>189</v>
      </c>
      <c r="C591" s="270" t="s">
        <v>27</v>
      </c>
      <c r="D591" s="209" t="s">
        <v>4</v>
      </c>
      <c r="E591" s="271" t="s">
        <v>27</v>
      </c>
      <c r="F591" s="209" t="s">
        <v>4</v>
      </c>
      <c r="G591" s="209" t="s">
        <v>35</v>
      </c>
      <c r="H591" s="181" t="s">
        <v>191</v>
      </c>
      <c r="I591" s="182" t="s">
        <v>46</v>
      </c>
      <c r="J591" s="212" t="s">
        <v>11451</v>
      </c>
      <c r="K591" s="271" t="s">
        <v>27</v>
      </c>
      <c r="L591" s="209" t="s">
        <v>4</v>
      </c>
      <c r="M591" s="353" t="s">
        <v>51</v>
      </c>
      <c r="N591" s="356" t="s">
        <v>10515</v>
      </c>
      <c r="O591" s="272" t="str">
        <f t="shared" si="18"/>
        <v>L3.00.00.03.07.00</v>
      </c>
      <c r="P591" s="272" t="str">
        <f t="shared" si="32"/>
        <v>L3.00.00.03.07.00.09</v>
      </c>
      <c r="Q591" s="447" t="s">
        <v>10530</v>
      </c>
      <c r="R591" s="273" t="str">
        <f t="shared" si="33"/>
        <v>Nhóm TCKT DN 07</v>
      </c>
      <c r="S591" s="448" t="str">
        <f>P580</f>
        <v>L3.00.00.03.00.00.00</v>
      </c>
      <c r="X591" s="183"/>
      <c r="Y591" s="184"/>
      <c r="Z591" s="275" t="s">
        <v>11452</v>
      </c>
      <c r="AA591" s="276"/>
      <c r="AB591" s="277"/>
      <c r="AC591" s="277"/>
      <c r="AD591" s="277"/>
    </row>
    <row r="592" ht="15.75" customHeight="1" outlineLevel="1">
      <c r="A592" s="228" t="s">
        <v>11429</v>
      </c>
      <c r="B592" s="270" t="s">
        <v>189</v>
      </c>
      <c r="C592" s="270" t="s">
        <v>27</v>
      </c>
      <c r="D592" s="209" t="s">
        <v>4</v>
      </c>
      <c r="E592" s="271" t="s">
        <v>27</v>
      </c>
      <c r="F592" s="209" t="s">
        <v>4</v>
      </c>
      <c r="G592" s="209" t="s">
        <v>35</v>
      </c>
      <c r="H592" s="181" t="s">
        <v>191</v>
      </c>
      <c r="I592" s="182" t="s">
        <v>49</v>
      </c>
      <c r="J592" s="212" t="s">
        <v>11453</v>
      </c>
      <c r="K592" s="271" t="s">
        <v>27</v>
      </c>
      <c r="L592" s="209" t="s">
        <v>4</v>
      </c>
      <c r="M592" s="353" t="s">
        <v>51</v>
      </c>
      <c r="N592" s="356" t="s">
        <v>10515</v>
      </c>
      <c r="O592" s="272" t="str">
        <f t="shared" si="18"/>
        <v>L3.00.00.03.08.00</v>
      </c>
      <c r="P592" s="272" t="str">
        <f t="shared" si="32"/>
        <v>L3.00.00.03.08.00.09</v>
      </c>
      <c r="Q592" s="447" t="s">
        <v>10530</v>
      </c>
      <c r="R592" s="273" t="str">
        <f t="shared" si="33"/>
        <v>Nhóm TCKT DN 08</v>
      </c>
      <c r="S592" s="448" t="str">
        <f>P580</f>
        <v>L3.00.00.03.00.00.00</v>
      </c>
      <c r="X592" s="183"/>
      <c r="Y592" s="184"/>
      <c r="Z592" s="275" t="s">
        <v>11454</v>
      </c>
      <c r="AA592" s="276"/>
      <c r="AB592" s="277"/>
      <c r="AC592" s="277"/>
      <c r="AD592" s="277"/>
    </row>
    <row r="593" ht="15.75" customHeight="1" outlineLevel="1">
      <c r="A593" s="228" t="s">
        <v>11429</v>
      </c>
      <c r="B593" s="270" t="s">
        <v>189</v>
      </c>
      <c r="C593" s="270" t="s">
        <v>27</v>
      </c>
      <c r="D593" s="209" t="s">
        <v>4</v>
      </c>
      <c r="E593" s="271" t="s">
        <v>27</v>
      </c>
      <c r="F593" s="209" t="s">
        <v>4</v>
      </c>
      <c r="G593" s="209" t="s">
        <v>35</v>
      </c>
      <c r="H593" s="181" t="s">
        <v>191</v>
      </c>
      <c r="I593" s="182" t="s">
        <v>51</v>
      </c>
      <c r="J593" s="212" t="s">
        <v>11455</v>
      </c>
      <c r="K593" s="271" t="s">
        <v>27</v>
      </c>
      <c r="L593" s="209" t="s">
        <v>4</v>
      </c>
      <c r="M593" s="353" t="s">
        <v>51</v>
      </c>
      <c r="N593" s="356" t="s">
        <v>10515</v>
      </c>
      <c r="O593" s="272" t="str">
        <f t="shared" si="18"/>
        <v>L3.00.00.03.09.00</v>
      </c>
      <c r="P593" s="272" t="str">
        <f t="shared" si="32"/>
        <v>L3.00.00.03.09.00.09</v>
      </c>
      <c r="Q593" s="447" t="s">
        <v>10530</v>
      </c>
      <c r="R593" s="273" t="str">
        <f t="shared" si="33"/>
        <v>Nhóm TCKT DN 09</v>
      </c>
      <c r="S593" s="448" t="str">
        <f>P580</f>
        <v>L3.00.00.03.00.00.00</v>
      </c>
      <c r="X593" s="183"/>
      <c r="Y593" s="184"/>
      <c r="Z593" s="275" t="s">
        <v>11456</v>
      </c>
      <c r="AA593" s="276"/>
      <c r="AB593" s="277"/>
      <c r="AC593" s="277"/>
      <c r="AD593" s="277"/>
    </row>
    <row r="594" ht="15.75" customHeight="1" outlineLevel="1">
      <c r="A594" s="228" t="s">
        <v>11429</v>
      </c>
      <c r="B594" s="270" t="s">
        <v>189</v>
      </c>
      <c r="C594" s="270" t="s">
        <v>27</v>
      </c>
      <c r="D594" s="209" t="s">
        <v>4</v>
      </c>
      <c r="E594" s="271" t="s">
        <v>27</v>
      </c>
      <c r="F594" s="209" t="s">
        <v>4</v>
      </c>
      <c r="G594" s="209" t="s">
        <v>35</v>
      </c>
      <c r="H594" s="181" t="s">
        <v>191</v>
      </c>
      <c r="I594" s="182" t="s">
        <v>55</v>
      </c>
      <c r="J594" s="212" t="s">
        <v>11457</v>
      </c>
      <c r="K594" s="271" t="s">
        <v>27</v>
      </c>
      <c r="L594" s="209" t="s">
        <v>4</v>
      </c>
      <c r="M594" s="353" t="s">
        <v>51</v>
      </c>
      <c r="N594" s="356" t="s">
        <v>10515</v>
      </c>
      <c r="O594" s="272" t="str">
        <f t="shared" si="18"/>
        <v>L3.00.00.03.10.00</v>
      </c>
      <c r="P594" s="272" t="str">
        <f t="shared" si="32"/>
        <v>L3.00.00.03.10.00.09</v>
      </c>
      <c r="Q594" s="447" t="s">
        <v>10530</v>
      </c>
      <c r="R594" s="273" t="str">
        <f t="shared" si="33"/>
        <v>Nhóm TCKT DN 10</v>
      </c>
      <c r="S594" s="448" t="str">
        <f>P580</f>
        <v>L3.00.00.03.00.00.00</v>
      </c>
      <c r="X594" s="183"/>
      <c r="Y594" s="184"/>
      <c r="Z594" s="275" t="s">
        <v>11456</v>
      </c>
      <c r="AA594" s="276"/>
      <c r="AB594" s="277"/>
      <c r="AC594" s="277"/>
      <c r="AD594" s="277"/>
    </row>
    <row r="595" ht="15.75" customHeight="1" outlineLevel="1">
      <c r="A595" s="228" t="s">
        <v>11429</v>
      </c>
      <c r="B595" s="270" t="s">
        <v>189</v>
      </c>
      <c r="C595" s="270" t="s">
        <v>27</v>
      </c>
      <c r="D595" s="209" t="s">
        <v>4</v>
      </c>
      <c r="E595" s="271" t="s">
        <v>27</v>
      </c>
      <c r="F595" s="209" t="s">
        <v>4</v>
      </c>
      <c r="G595" s="209" t="s">
        <v>37</v>
      </c>
      <c r="H595" s="212" t="s">
        <v>11458</v>
      </c>
      <c r="I595" s="182" t="s">
        <v>27</v>
      </c>
      <c r="J595" s="449" t="s">
        <v>4</v>
      </c>
      <c r="K595" s="271" t="s">
        <v>27</v>
      </c>
      <c r="L595" s="209" t="s">
        <v>4</v>
      </c>
      <c r="M595" s="182" t="s">
        <v>27</v>
      </c>
      <c r="N595" s="181"/>
      <c r="O595" s="272" t="str">
        <f t="shared" si="18"/>
        <v>L3.00.00.04.00.00</v>
      </c>
      <c r="P595" s="272" t="str">
        <f t="shared" si="32"/>
        <v>L3.00.00.04.00.00.00</v>
      </c>
      <c r="Q595" s="447" t="s">
        <v>10530</v>
      </c>
      <c r="R595" s="273" t="str">
        <f t="shared" si="33"/>
        <v>Phòng hỗ trợ giải pháp quản trị DN &amp; Bán lẻ</v>
      </c>
      <c r="S595" s="448" t="str">
        <f>P575</f>
        <v>L3.00.00.00.00.00.00</v>
      </c>
      <c r="W595" s="183"/>
      <c r="X595" s="183"/>
      <c r="Y595" s="184"/>
      <c r="Z595" s="275" t="s">
        <v>11459</v>
      </c>
      <c r="AA595" s="276"/>
      <c r="AB595" s="277"/>
      <c r="AC595" s="277"/>
      <c r="AD595" s="277"/>
    </row>
    <row r="596" ht="15.75" customHeight="1" outlineLevel="1">
      <c r="A596" s="228" t="s">
        <v>11429</v>
      </c>
      <c r="B596" s="270" t="s">
        <v>189</v>
      </c>
      <c r="C596" s="270" t="s">
        <v>27</v>
      </c>
      <c r="D596" s="209" t="s">
        <v>4</v>
      </c>
      <c r="E596" s="271" t="s">
        <v>27</v>
      </c>
      <c r="F596" s="209" t="s">
        <v>4</v>
      </c>
      <c r="G596" s="209" t="s">
        <v>37</v>
      </c>
      <c r="H596" s="212" t="s">
        <v>11458</v>
      </c>
      <c r="I596" s="209" t="s">
        <v>29</v>
      </c>
      <c r="J596" s="212" t="s">
        <v>11460</v>
      </c>
      <c r="K596" s="271" t="s">
        <v>27</v>
      </c>
      <c r="L596" s="209" t="s">
        <v>4</v>
      </c>
      <c r="M596" s="182" t="s">
        <v>27</v>
      </c>
      <c r="N596" s="181"/>
      <c r="O596" s="272" t="str">
        <f t="shared" si="18"/>
        <v>L3.00.00.04.01.00</v>
      </c>
      <c r="P596" s="272" t="str">
        <f t="shared" si="32"/>
        <v>L3.00.00.04.01.00.00</v>
      </c>
      <c r="Q596" s="447" t="s">
        <v>10530</v>
      </c>
      <c r="R596" s="273" t="str">
        <f t="shared" si="33"/>
        <v>Nhóm hỗ trợ giải pháp Quản trị điều hành DN</v>
      </c>
      <c r="S596" s="274" t="str">
        <f t="shared" ref="S596:S597" si="34">P595</f>
        <v>L3.00.00.04.00.00.00</v>
      </c>
      <c r="X596" s="183"/>
      <c r="Y596" s="184"/>
      <c r="Z596" s="275" t="s">
        <v>11461</v>
      </c>
      <c r="AA596" s="276"/>
      <c r="AB596" s="277"/>
      <c r="AC596" s="277"/>
      <c r="AD596" s="277"/>
    </row>
    <row r="597" ht="15.75" customHeight="1" outlineLevel="1">
      <c r="A597" s="228" t="s">
        <v>11429</v>
      </c>
      <c r="B597" s="270" t="s">
        <v>189</v>
      </c>
      <c r="C597" s="270" t="s">
        <v>27</v>
      </c>
      <c r="D597" s="209" t="s">
        <v>4</v>
      </c>
      <c r="E597" s="271" t="s">
        <v>27</v>
      </c>
      <c r="F597" s="209" t="s">
        <v>4</v>
      </c>
      <c r="G597" s="209" t="s">
        <v>37</v>
      </c>
      <c r="H597" s="212" t="s">
        <v>11458</v>
      </c>
      <c r="I597" s="209" t="s">
        <v>29</v>
      </c>
      <c r="J597" s="212" t="s">
        <v>11460</v>
      </c>
      <c r="K597" s="271" t="s">
        <v>27</v>
      </c>
      <c r="L597" s="209" t="s">
        <v>4</v>
      </c>
      <c r="M597" s="209" t="s">
        <v>49</v>
      </c>
      <c r="N597" s="181" t="s">
        <v>10514</v>
      </c>
      <c r="O597" s="272" t="str">
        <f t="shared" si="18"/>
        <v>L3.00.00.04.01.00</v>
      </c>
      <c r="P597" s="272" t="str">
        <f t="shared" si="32"/>
        <v>L3.00.00.04.01.00.08</v>
      </c>
      <c r="Q597" s="447"/>
      <c r="R597" s="273" t="str">
        <f t="shared" si="33"/>
        <v>Nhóm hỗ trợ giải pháp Quản trị điều hành DN</v>
      </c>
      <c r="S597" s="274" t="str">
        <f t="shared" si="34"/>
        <v>L3.00.00.04.01.00.00</v>
      </c>
      <c r="T597" s="183"/>
      <c r="U597" s="183"/>
      <c r="V597" s="183"/>
      <c r="W597" s="183"/>
      <c r="X597" s="183"/>
      <c r="Y597" s="184"/>
      <c r="Z597" s="275"/>
      <c r="AA597" s="276"/>
      <c r="AB597" s="277"/>
      <c r="AC597" s="277"/>
      <c r="AD597" s="277"/>
    </row>
    <row r="598" ht="15.75" customHeight="1" outlineLevel="1">
      <c r="A598" s="228" t="s">
        <v>11429</v>
      </c>
      <c r="B598" s="270" t="s">
        <v>189</v>
      </c>
      <c r="C598" s="270" t="s">
        <v>27</v>
      </c>
      <c r="D598" s="209" t="s">
        <v>4</v>
      </c>
      <c r="E598" s="271" t="s">
        <v>27</v>
      </c>
      <c r="F598" s="209" t="s">
        <v>4</v>
      </c>
      <c r="G598" s="209" t="s">
        <v>37</v>
      </c>
      <c r="H598" s="212" t="s">
        <v>11458</v>
      </c>
      <c r="I598" s="209" t="s">
        <v>29</v>
      </c>
      <c r="J598" s="212" t="s">
        <v>11460</v>
      </c>
      <c r="K598" s="271" t="s">
        <v>27</v>
      </c>
      <c r="L598" s="209" t="s">
        <v>4</v>
      </c>
      <c r="M598" s="209" t="s">
        <v>35</v>
      </c>
      <c r="N598" s="181" t="s">
        <v>10500</v>
      </c>
      <c r="O598" s="272" t="str">
        <f t="shared" si="18"/>
        <v>L3.00.00.04.01.00</v>
      </c>
      <c r="P598" s="272" t="str">
        <f t="shared" si="32"/>
        <v>L3.00.00.04.01.00.03</v>
      </c>
      <c r="Q598" s="447"/>
      <c r="R598" s="273" t="str">
        <f t="shared" si="33"/>
        <v>Nhóm hỗ trợ giải pháp Quản trị điều hành DN</v>
      </c>
      <c r="S598" s="274" t="str">
        <f>P596</f>
        <v>L3.00.00.04.01.00.00</v>
      </c>
      <c r="T598" s="183"/>
      <c r="U598" s="183"/>
      <c r="V598" s="183"/>
      <c r="W598" s="183"/>
      <c r="X598" s="183"/>
      <c r="Y598" s="184"/>
      <c r="Z598" s="275"/>
      <c r="AA598" s="276"/>
      <c r="AB598" s="277"/>
      <c r="AC598" s="277"/>
      <c r="AD598" s="277"/>
    </row>
    <row r="599" ht="15.75" customHeight="1" outlineLevel="1">
      <c r="A599" s="228" t="s">
        <v>11429</v>
      </c>
      <c r="B599" s="270" t="s">
        <v>189</v>
      </c>
      <c r="C599" s="270" t="s">
        <v>27</v>
      </c>
      <c r="D599" s="209" t="s">
        <v>4</v>
      </c>
      <c r="E599" s="271" t="s">
        <v>27</v>
      </c>
      <c r="F599" s="209" t="s">
        <v>4</v>
      </c>
      <c r="G599" s="209" t="s">
        <v>37</v>
      </c>
      <c r="H599" s="212" t="s">
        <v>11458</v>
      </c>
      <c r="I599" s="209" t="s">
        <v>33</v>
      </c>
      <c r="J599" s="303" t="s">
        <v>11462</v>
      </c>
      <c r="K599" s="271" t="s">
        <v>27</v>
      </c>
      <c r="L599" s="209" t="s">
        <v>4</v>
      </c>
      <c r="M599" s="182" t="s">
        <v>27</v>
      </c>
      <c r="N599" s="181"/>
      <c r="O599" s="272" t="str">
        <f t="shared" si="18"/>
        <v>L3.00.00.04.02.00</v>
      </c>
      <c r="P599" s="272" t="str">
        <f t="shared" si="32"/>
        <v>L3.00.00.04.02.00.00</v>
      </c>
      <c r="Q599" s="447" t="s">
        <v>10530</v>
      </c>
      <c r="R599" s="273" t="str">
        <f t="shared" si="33"/>
        <v>Nhóm hỗ trợ giải pháp Bán lẻ</v>
      </c>
      <c r="S599" s="274" t="str">
        <f>P595</f>
        <v>L3.00.00.04.00.00.00</v>
      </c>
      <c r="X599" s="183"/>
      <c r="Y599" s="184"/>
      <c r="Z599" s="275" t="s">
        <v>11463</v>
      </c>
      <c r="AA599" s="276"/>
      <c r="AB599" s="277"/>
      <c r="AC599" s="277"/>
      <c r="AD599" s="277"/>
    </row>
    <row r="600" ht="15.75" customHeight="1" outlineLevel="1">
      <c r="A600" s="228" t="s">
        <v>11429</v>
      </c>
      <c r="B600" s="270" t="s">
        <v>189</v>
      </c>
      <c r="C600" s="270" t="s">
        <v>27</v>
      </c>
      <c r="D600" s="209" t="s">
        <v>4</v>
      </c>
      <c r="E600" s="271" t="s">
        <v>27</v>
      </c>
      <c r="F600" s="209" t="s">
        <v>4</v>
      </c>
      <c r="G600" s="209" t="s">
        <v>37</v>
      </c>
      <c r="H600" s="212" t="s">
        <v>11458</v>
      </c>
      <c r="I600" s="209" t="s">
        <v>33</v>
      </c>
      <c r="J600" s="303" t="s">
        <v>11462</v>
      </c>
      <c r="K600" s="271" t="s">
        <v>27</v>
      </c>
      <c r="L600" s="209" t="s">
        <v>4</v>
      </c>
      <c r="M600" s="209" t="s">
        <v>49</v>
      </c>
      <c r="N600" s="181" t="s">
        <v>10514</v>
      </c>
      <c r="O600" s="272" t="str">
        <f t="shared" si="18"/>
        <v>L3.00.00.04.02.00</v>
      </c>
      <c r="P600" s="272" t="str">
        <f t="shared" si="32"/>
        <v>L3.00.00.04.02.00.08</v>
      </c>
      <c r="Q600" s="447"/>
      <c r="R600" s="273" t="str">
        <f t="shared" si="33"/>
        <v>Nhóm hỗ trợ giải pháp Bán lẻ</v>
      </c>
      <c r="S600" s="274" t="str">
        <f>P599</f>
        <v>L3.00.00.04.02.00.00</v>
      </c>
      <c r="T600" s="183"/>
      <c r="U600" s="183"/>
      <c r="V600" s="183"/>
      <c r="W600" s="183"/>
      <c r="X600" s="183"/>
      <c r="Y600" s="184"/>
      <c r="Z600" s="275"/>
      <c r="AA600" s="276"/>
      <c r="AB600" s="277"/>
      <c r="AC600" s="277"/>
      <c r="AD600" s="277"/>
    </row>
    <row r="601" ht="15.75" customHeight="1" outlineLevel="1">
      <c r="A601" s="228" t="s">
        <v>11429</v>
      </c>
      <c r="B601" s="270" t="s">
        <v>189</v>
      </c>
      <c r="C601" s="270" t="s">
        <v>27</v>
      </c>
      <c r="D601" s="209" t="s">
        <v>4</v>
      </c>
      <c r="E601" s="271" t="s">
        <v>27</v>
      </c>
      <c r="F601" s="209" t="s">
        <v>4</v>
      </c>
      <c r="G601" s="209" t="s">
        <v>37</v>
      </c>
      <c r="H601" s="212" t="s">
        <v>11458</v>
      </c>
      <c r="I601" s="209" t="s">
        <v>33</v>
      </c>
      <c r="J601" s="303" t="s">
        <v>11462</v>
      </c>
      <c r="K601" s="271" t="s">
        <v>27</v>
      </c>
      <c r="L601" s="209" t="s">
        <v>4</v>
      </c>
      <c r="M601" s="209" t="s">
        <v>42</v>
      </c>
      <c r="N601" s="181" t="s">
        <v>10502</v>
      </c>
      <c r="O601" s="272" t="str">
        <f t="shared" si="18"/>
        <v>L3.00.00.04.02.00</v>
      </c>
      <c r="P601" s="272" t="str">
        <f t="shared" si="32"/>
        <v>L3.00.00.04.02.00.05</v>
      </c>
      <c r="Q601" s="447"/>
      <c r="R601" s="273" t="str">
        <f t="shared" si="33"/>
        <v>Nhóm hỗ trợ giải pháp Bán lẻ</v>
      </c>
      <c r="S601" s="274" t="str">
        <f>P599</f>
        <v>L3.00.00.04.02.00.00</v>
      </c>
      <c r="T601" s="183"/>
      <c r="U601" s="183"/>
      <c r="V601" s="183"/>
      <c r="W601" s="183"/>
      <c r="X601" s="183"/>
      <c r="Y601" s="184"/>
      <c r="Z601" s="275"/>
      <c r="AA601" s="276"/>
      <c r="AB601" s="277"/>
      <c r="AC601" s="277"/>
      <c r="AD601" s="277"/>
    </row>
    <row r="602" ht="15.75" customHeight="1" outlineLevel="1">
      <c r="A602" s="450" t="s">
        <v>11429</v>
      </c>
      <c r="B602" s="451" t="s">
        <v>189</v>
      </c>
      <c r="C602" s="451" t="s">
        <v>27</v>
      </c>
      <c r="D602" s="452" t="s">
        <v>4</v>
      </c>
      <c r="E602" s="453" t="s">
        <v>27</v>
      </c>
      <c r="F602" s="452" t="s">
        <v>4</v>
      </c>
      <c r="G602" s="452" t="s">
        <v>37</v>
      </c>
      <c r="H602" s="454" t="s">
        <v>11464</v>
      </c>
      <c r="I602" s="452" t="s">
        <v>35</v>
      </c>
      <c r="J602" s="455" t="s">
        <v>195</v>
      </c>
      <c r="K602" s="456" t="s">
        <v>27</v>
      </c>
      <c r="L602" s="457" t="s">
        <v>4</v>
      </c>
      <c r="M602" s="458" t="s">
        <v>27</v>
      </c>
      <c r="N602" s="459"/>
      <c r="O602" s="460" t="str">
        <f t="shared" si="18"/>
        <v>L3.00.00.04.03.00</v>
      </c>
      <c r="P602" s="460" t="str">
        <f t="shared" si="32"/>
        <v>L3.00.00.04.03.00.00</v>
      </c>
      <c r="Q602" s="461"/>
      <c r="R602" s="462"/>
      <c r="S602" s="463"/>
      <c r="T602" s="464"/>
      <c r="U602" s="464"/>
      <c r="V602" s="464"/>
      <c r="W602" s="464"/>
      <c r="X602" s="464"/>
      <c r="Y602" s="465"/>
      <c r="Z602" s="466"/>
      <c r="AA602" s="467"/>
      <c r="AB602" s="468"/>
      <c r="AC602" s="468"/>
      <c r="AD602" s="468"/>
    </row>
    <row r="603" ht="15.75" customHeight="1" outlineLevel="1">
      <c r="A603" s="450" t="s">
        <v>11429</v>
      </c>
      <c r="B603" s="451" t="s">
        <v>189</v>
      </c>
      <c r="C603" s="451" t="s">
        <v>27</v>
      </c>
      <c r="D603" s="452" t="s">
        <v>4</v>
      </c>
      <c r="E603" s="453" t="s">
        <v>27</v>
      </c>
      <c r="F603" s="452" t="s">
        <v>4</v>
      </c>
      <c r="G603" s="452" t="s">
        <v>42</v>
      </c>
      <c r="H603" s="454" t="s">
        <v>11465</v>
      </c>
      <c r="I603" s="453" t="s">
        <v>27</v>
      </c>
      <c r="J603" s="457" t="s">
        <v>4</v>
      </c>
      <c r="K603" s="456" t="s">
        <v>27</v>
      </c>
      <c r="L603" s="457" t="s">
        <v>4</v>
      </c>
      <c r="M603" s="458" t="s">
        <v>27</v>
      </c>
      <c r="N603" s="459"/>
      <c r="O603" s="460" t="str">
        <f t="shared" si="18"/>
        <v>L3.00.00.05.00.00</v>
      </c>
      <c r="P603" s="460" t="str">
        <f t="shared" si="32"/>
        <v>L3.00.00.05.00.00.00</v>
      </c>
      <c r="Q603" s="461"/>
      <c r="R603" s="462"/>
      <c r="S603" s="463"/>
      <c r="T603" s="464"/>
      <c r="U603" s="464"/>
      <c r="V603" s="464"/>
      <c r="W603" s="464"/>
      <c r="X603" s="464"/>
      <c r="Y603" s="465"/>
      <c r="Z603" s="466"/>
      <c r="AA603" s="467"/>
      <c r="AB603" s="468"/>
      <c r="AC603" s="468"/>
      <c r="AD603" s="468"/>
    </row>
    <row r="604" ht="15.75" customHeight="1" outlineLevel="1">
      <c r="A604" s="177" t="s">
        <v>11429</v>
      </c>
      <c r="B604" s="221" t="s">
        <v>189</v>
      </c>
      <c r="C604" s="221" t="s">
        <v>27</v>
      </c>
      <c r="D604" s="172" t="s">
        <v>4</v>
      </c>
      <c r="E604" s="222" t="s">
        <v>27</v>
      </c>
      <c r="F604" s="172" t="s">
        <v>4</v>
      </c>
      <c r="G604" s="172" t="s">
        <v>44</v>
      </c>
      <c r="H604" s="171" t="s">
        <v>197</v>
      </c>
      <c r="I604" s="175" t="s">
        <v>27</v>
      </c>
      <c r="J604" s="262" t="s">
        <v>4</v>
      </c>
      <c r="K604" s="297" t="s">
        <v>27</v>
      </c>
      <c r="L604" s="157" t="s">
        <v>4</v>
      </c>
      <c r="M604" s="168" t="s">
        <v>27</v>
      </c>
      <c r="N604" s="167"/>
      <c r="O604" s="173" t="str">
        <f t="shared" si="18"/>
        <v>L3.00.00.06.00.00</v>
      </c>
      <c r="P604" s="173" t="str">
        <f t="shared" si="32"/>
        <v>L3.00.00.06.00.00.00</v>
      </c>
      <c r="Q604" s="428" t="s">
        <v>10530</v>
      </c>
      <c r="R604" s="273" t="str">
        <f t="shared" ref="R604:R623" si="35">if(L604&lt;&gt;"-",L604,if(AND(L604="-",J604&lt;&gt;"-"),J604,if(AND(J604="-",H604&lt;&gt;"-"),H604,"NA")))</f>
        <v>Phòng hỗ trợ khách hàng HCSN</v>
      </c>
      <c r="S604" s="429" t="str">
        <f>P575</f>
        <v>L3.00.00.00.00.00.00</v>
      </c>
      <c r="T604" s="176"/>
      <c r="U604" s="176"/>
      <c r="V604" s="176"/>
      <c r="W604" s="176"/>
      <c r="X604" s="176"/>
      <c r="Y604" s="224"/>
      <c r="Z604" s="275" t="s">
        <v>11466</v>
      </c>
      <c r="AA604" s="266"/>
      <c r="AB604" s="226"/>
      <c r="AC604" s="226"/>
      <c r="AD604" s="226"/>
    </row>
    <row r="605" ht="15.75" customHeight="1" outlineLevel="1">
      <c r="A605" s="228" t="s">
        <v>11429</v>
      </c>
      <c r="B605" s="270" t="s">
        <v>189</v>
      </c>
      <c r="C605" s="270" t="s">
        <v>27</v>
      </c>
      <c r="D605" s="209" t="s">
        <v>4</v>
      </c>
      <c r="E605" s="271" t="s">
        <v>27</v>
      </c>
      <c r="F605" s="209" t="s">
        <v>4</v>
      </c>
      <c r="G605" s="209" t="s">
        <v>44</v>
      </c>
      <c r="H605" s="181" t="s">
        <v>197</v>
      </c>
      <c r="I605" s="209" t="s">
        <v>29</v>
      </c>
      <c r="J605" s="212" t="s">
        <v>11467</v>
      </c>
      <c r="K605" s="271" t="s">
        <v>27</v>
      </c>
      <c r="L605" s="209" t="s">
        <v>4</v>
      </c>
      <c r="M605" s="209" t="s">
        <v>49</v>
      </c>
      <c r="N605" s="181" t="s">
        <v>10514</v>
      </c>
      <c r="O605" s="272" t="str">
        <f t="shared" si="18"/>
        <v>L3.00.00.06.01.00</v>
      </c>
      <c r="P605" s="272" t="str">
        <f t="shared" si="32"/>
        <v>L3.00.00.06.01.00.08</v>
      </c>
      <c r="Q605" s="447" t="s">
        <v>10530</v>
      </c>
      <c r="R605" s="273" t="str">
        <f t="shared" si="35"/>
        <v>Nhóm hỗ trợ giải pháp TCKT HCSN 01</v>
      </c>
      <c r="S605" s="274" t="str">
        <f>P604</f>
        <v>L3.00.00.06.00.00.00</v>
      </c>
      <c r="X605" s="183"/>
      <c r="Y605" s="184"/>
      <c r="Z605" s="275" t="s">
        <v>11468</v>
      </c>
      <c r="AA605" s="276"/>
      <c r="AB605" s="277"/>
      <c r="AC605" s="277"/>
      <c r="AD605" s="277"/>
    </row>
    <row r="606" ht="15.75" customHeight="1" outlineLevel="1">
      <c r="A606" s="228" t="s">
        <v>11429</v>
      </c>
      <c r="B606" s="270" t="s">
        <v>189</v>
      </c>
      <c r="C606" s="270" t="s">
        <v>27</v>
      </c>
      <c r="D606" s="209" t="s">
        <v>4</v>
      </c>
      <c r="E606" s="271" t="s">
        <v>27</v>
      </c>
      <c r="F606" s="209" t="s">
        <v>4</v>
      </c>
      <c r="G606" s="209" t="s">
        <v>44</v>
      </c>
      <c r="H606" s="181" t="s">
        <v>197</v>
      </c>
      <c r="I606" s="182" t="s">
        <v>35</v>
      </c>
      <c r="J606" s="212" t="s">
        <v>11469</v>
      </c>
      <c r="K606" s="271" t="s">
        <v>27</v>
      </c>
      <c r="L606" s="209" t="s">
        <v>4</v>
      </c>
      <c r="M606" s="209" t="s">
        <v>49</v>
      </c>
      <c r="N606" s="181" t="s">
        <v>10514</v>
      </c>
      <c r="O606" s="272" t="str">
        <f t="shared" si="18"/>
        <v>L3.00.00.06.03.00</v>
      </c>
      <c r="P606" s="272" t="str">
        <f t="shared" si="32"/>
        <v>L3.00.00.06.03.00.08</v>
      </c>
      <c r="Q606" s="447" t="s">
        <v>10530</v>
      </c>
      <c r="R606" s="273" t="str">
        <f t="shared" si="35"/>
        <v>Nhóm hỗ trợ giải pháp TCKT HCSN 02</v>
      </c>
      <c r="S606" s="274" t="str">
        <f>P604</f>
        <v>L3.00.00.06.00.00.00</v>
      </c>
      <c r="T606" s="183"/>
      <c r="U606" s="183"/>
      <c r="V606" s="183"/>
      <c r="W606" s="183"/>
      <c r="X606" s="183"/>
      <c r="Y606" s="184"/>
      <c r="Z606" s="275" t="s">
        <v>11470</v>
      </c>
      <c r="AA606" s="276"/>
      <c r="AB606" s="277"/>
      <c r="AC606" s="277"/>
      <c r="AD606" s="277"/>
    </row>
    <row r="607" ht="15.75" customHeight="1" outlineLevel="1">
      <c r="A607" s="228" t="s">
        <v>11429</v>
      </c>
      <c r="B607" s="270" t="s">
        <v>189</v>
      </c>
      <c r="C607" s="270" t="s">
        <v>27</v>
      </c>
      <c r="D607" s="209" t="s">
        <v>4</v>
      </c>
      <c r="E607" s="271" t="s">
        <v>27</v>
      </c>
      <c r="F607" s="209" t="s">
        <v>4</v>
      </c>
      <c r="G607" s="209" t="s">
        <v>44</v>
      </c>
      <c r="H607" s="181" t="s">
        <v>197</v>
      </c>
      <c r="I607" s="209" t="s">
        <v>33</v>
      </c>
      <c r="J607" s="181" t="s">
        <v>199</v>
      </c>
      <c r="K607" s="271" t="s">
        <v>27</v>
      </c>
      <c r="L607" s="209" t="s">
        <v>4</v>
      </c>
      <c r="M607" s="209" t="s">
        <v>49</v>
      </c>
      <c r="N607" s="181" t="s">
        <v>10514</v>
      </c>
      <c r="O607" s="272" t="str">
        <f t="shared" si="18"/>
        <v>L3.00.00.06.02.00</v>
      </c>
      <c r="P607" s="272" t="str">
        <f t="shared" si="32"/>
        <v>L3.00.00.06.02.00.08</v>
      </c>
      <c r="Q607" s="447" t="s">
        <v>10530</v>
      </c>
      <c r="R607" s="273" t="str">
        <f t="shared" si="35"/>
        <v>Nhóm hỗ trợ giải pháp điều hành HCSN</v>
      </c>
      <c r="S607" s="274" t="str">
        <f>P604</f>
        <v>L3.00.00.06.00.00.00</v>
      </c>
      <c r="T607" s="183"/>
      <c r="U607" s="183"/>
      <c r="V607" s="183"/>
      <c r="W607" s="183"/>
      <c r="X607" s="183"/>
      <c r="Y607" s="184"/>
      <c r="Z607" s="275" t="s">
        <v>11471</v>
      </c>
      <c r="AA607" s="276"/>
      <c r="AB607" s="277"/>
      <c r="AC607" s="277"/>
      <c r="AD607" s="277"/>
    </row>
    <row r="608" ht="15.75" customHeight="1" outlineLevel="1">
      <c r="A608" s="228" t="s">
        <v>11429</v>
      </c>
      <c r="B608" s="270" t="s">
        <v>189</v>
      </c>
      <c r="C608" s="270" t="s">
        <v>27</v>
      </c>
      <c r="D608" s="209" t="s">
        <v>4</v>
      </c>
      <c r="E608" s="271" t="s">
        <v>27</v>
      </c>
      <c r="F608" s="209" t="s">
        <v>4</v>
      </c>
      <c r="G608" s="209" t="s">
        <v>46</v>
      </c>
      <c r="H608" s="181" t="s">
        <v>200</v>
      </c>
      <c r="I608" s="271" t="s">
        <v>27</v>
      </c>
      <c r="J608" s="209" t="s">
        <v>4</v>
      </c>
      <c r="K608" s="271" t="s">
        <v>27</v>
      </c>
      <c r="L608" s="209" t="s">
        <v>4</v>
      </c>
      <c r="M608" s="353" t="s">
        <v>51</v>
      </c>
      <c r="N608" s="356" t="s">
        <v>10515</v>
      </c>
      <c r="O608" s="272" t="str">
        <f t="shared" si="18"/>
        <v>L3.00.00.07.00.00</v>
      </c>
      <c r="P608" s="272" t="str">
        <f t="shared" si="32"/>
        <v>L3.00.00.07.00.00.09</v>
      </c>
      <c r="Q608" s="447" t="s">
        <v>10530</v>
      </c>
      <c r="R608" s="273" t="str">
        <f t="shared" si="35"/>
        <v>Phòng hỗ trợ chủ động</v>
      </c>
      <c r="S608" s="274" t="s">
        <v>11432</v>
      </c>
      <c r="X608" s="183"/>
      <c r="Y608" s="184"/>
      <c r="Z608" s="275" t="s">
        <v>11472</v>
      </c>
      <c r="AA608" s="276"/>
      <c r="AB608" s="277"/>
      <c r="AC608" s="277"/>
      <c r="AD608" s="277"/>
    </row>
    <row r="609" ht="15.75" customHeight="1" outlineLevel="1">
      <c r="A609" s="228" t="s">
        <v>11429</v>
      </c>
      <c r="B609" s="270" t="s">
        <v>189</v>
      </c>
      <c r="C609" s="270" t="s">
        <v>27</v>
      </c>
      <c r="D609" s="209" t="s">
        <v>4</v>
      </c>
      <c r="E609" s="271" t="s">
        <v>27</v>
      </c>
      <c r="F609" s="209" t="s">
        <v>4</v>
      </c>
      <c r="G609" s="209" t="s">
        <v>49</v>
      </c>
      <c r="H609" s="212" t="s">
        <v>11473</v>
      </c>
      <c r="I609" s="182" t="s">
        <v>27</v>
      </c>
      <c r="J609" s="449" t="s">
        <v>4</v>
      </c>
      <c r="K609" s="271" t="s">
        <v>27</v>
      </c>
      <c r="L609" s="209" t="s">
        <v>4</v>
      </c>
      <c r="M609" s="209" t="s">
        <v>49</v>
      </c>
      <c r="N609" s="181" t="s">
        <v>10514</v>
      </c>
      <c r="O609" s="272" t="str">
        <f t="shared" si="18"/>
        <v>L3.00.00.08.00.00</v>
      </c>
      <c r="P609" s="272" t="str">
        <f t="shared" si="32"/>
        <v>L3.00.00.08.00.00.08</v>
      </c>
      <c r="Q609" s="447" t="s">
        <v>10530</v>
      </c>
      <c r="R609" s="273" t="str">
        <f t="shared" si="35"/>
        <v>Phòng CSKH VIP 01</v>
      </c>
      <c r="S609" s="274" t="s">
        <v>11432</v>
      </c>
      <c r="T609" s="430"/>
      <c r="U609" s="430"/>
      <c r="V609" s="430"/>
      <c r="W609" s="183"/>
      <c r="X609" s="183"/>
      <c r="Y609" s="184"/>
      <c r="Z609" s="275" t="s">
        <v>11474</v>
      </c>
      <c r="AA609" s="304" t="s">
        <v>10530</v>
      </c>
      <c r="AB609" s="277"/>
      <c r="AC609" s="277"/>
      <c r="AD609" s="277"/>
    </row>
    <row r="610" ht="15.75" customHeight="1" outlineLevel="1">
      <c r="A610" s="228" t="s">
        <v>11429</v>
      </c>
      <c r="B610" s="270" t="s">
        <v>189</v>
      </c>
      <c r="C610" s="270" t="s">
        <v>27</v>
      </c>
      <c r="D610" s="209" t="s">
        <v>4</v>
      </c>
      <c r="E610" s="271" t="s">
        <v>27</v>
      </c>
      <c r="F610" s="209" t="s">
        <v>4</v>
      </c>
      <c r="G610" s="209" t="s">
        <v>49</v>
      </c>
      <c r="H610" s="212" t="s">
        <v>11473</v>
      </c>
      <c r="I610" s="209" t="s">
        <v>29</v>
      </c>
      <c r="J610" s="212" t="s">
        <v>2933</v>
      </c>
      <c r="K610" s="271" t="s">
        <v>27</v>
      </c>
      <c r="L610" s="209" t="s">
        <v>4</v>
      </c>
      <c r="M610" s="209" t="s">
        <v>49</v>
      </c>
      <c r="N610" s="181" t="s">
        <v>10514</v>
      </c>
      <c r="O610" s="272" t="str">
        <f t="shared" si="18"/>
        <v>L3.00.00.08.01.00</v>
      </c>
      <c r="P610" s="272" t="str">
        <f t="shared" si="32"/>
        <v>L3.00.00.08.01.00.08</v>
      </c>
      <c r="Q610" s="447" t="s">
        <v>10530</v>
      </c>
      <c r="R610" s="273" t="str">
        <f t="shared" si="35"/>
        <v>Nhóm CS 01</v>
      </c>
      <c r="S610" s="274" t="str">
        <f>P609</f>
        <v>L3.00.00.08.00.00.08</v>
      </c>
      <c r="T610" s="430"/>
      <c r="U610" s="430"/>
      <c r="V610" s="430"/>
      <c r="W610" s="430"/>
      <c r="X610" s="183"/>
      <c r="Y610" s="184"/>
      <c r="Z610" s="275" t="s">
        <v>11475</v>
      </c>
      <c r="AA610" s="304" t="s">
        <v>10530</v>
      </c>
      <c r="AB610" s="277"/>
      <c r="AC610" s="277"/>
      <c r="AD610" s="277"/>
    </row>
    <row r="611" ht="15.75" customHeight="1" outlineLevel="1">
      <c r="A611" s="228" t="s">
        <v>11429</v>
      </c>
      <c r="B611" s="270" t="s">
        <v>189</v>
      </c>
      <c r="C611" s="270" t="s">
        <v>27</v>
      </c>
      <c r="D611" s="209" t="s">
        <v>4</v>
      </c>
      <c r="E611" s="271" t="s">
        <v>27</v>
      </c>
      <c r="F611" s="209" t="s">
        <v>4</v>
      </c>
      <c r="G611" s="209" t="s">
        <v>49</v>
      </c>
      <c r="H611" s="212" t="s">
        <v>11473</v>
      </c>
      <c r="I611" s="209" t="s">
        <v>33</v>
      </c>
      <c r="J611" s="212" t="s">
        <v>3598</v>
      </c>
      <c r="K611" s="271" t="s">
        <v>27</v>
      </c>
      <c r="L611" s="209" t="s">
        <v>4</v>
      </c>
      <c r="M611" s="209" t="s">
        <v>49</v>
      </c>
      <c r="N611" s="181" t="s">
        <v>10514</v>
      </c>
      <c r="O611" s="272" t="str">
        <f t="shared" si="18"/>
        <v>L3.00.00.08.02.00</v>
      </c>
      <c r="P611" s="272" t="str">
        <f t="shared" si="32"/>
        <v>L3.00.00.08.02.00.08</v>
      </c>
      <c r="Q611" s="447" t="s">
        <v>10530</v>
      </c>
      <c r="R611" s="273" t="str">
        <f t="shared" si="35"/>
        <v>Nhóm CS 02</v>
      </c>
      <c r="S611" s="274" t="str">
        <f>P609</f>
        <v>L3.00.00.08.00.00.08</v>
      </c>
      <c r="T611" s="430"/>
      <c r="U611" s="430"/>
      <c r="V611" s="430"/>
      <c r="W611" s="430"/>
      <c r="X611" s="183"/>
      <c r="Y611" s="183"/>
      <c r="Z611" s="275" t="s">
        <v>11476</v>
      </c>
      <c r="AA611" s="304" t="s">
        <v>10530</v>
      </c>
      <c r="AB611" s="277"/>
      <c r="AC611" s="277"/>
      <c r="AD611" s="277"/>
    </row>
    <row r="612" ht="15.75" customHeight="1" outlineLevel="1">
      <c r="A612" s="228" t="s">
        <v>11429</v>
      </c>
      <c r="B612" s="270" t="s">
        <v>189</v>
      </c>
      <c r="C612" s="270" t="s">
        <v>27</v>
      </c>
      <c r="D612" s="209" t="s">
        <v>4</v>
      </c>
      <c r="E612" s="271" t="s">
        <v>27</v>
      </c>
      <c r="F612" s="209" t="s">
        <v>4</v>
      </c>
      <c r="G612" s="182" t="s">
        <v>51</v>
      </c>
      <c r="H612" s="212" t="s">
        <v>11477</v>
      </c>
      <c r="I612" s="182" t="s">
        <v>27</v>
      </c>
      <c r="J612" s="449" t="s">
        <v>4</v>
      </c>
      <c r="K612" s="271" t="s">
        <v>27</v>
      </c>
      <c r="L612" s="209" t="s">
        <v>4</v>
      </c>
      <c r="M612" s="353" t="s">
        <v>51</v>
      </c>
      <c r="N612" s="356" t="s">
        <v>10515</v>
      </c>
      <c r="O612" s="272" t="str">
        <f t="shared" si="18"/>
        <v>L3.00.00.09.00.00</v>
      </c>
      <c r="P612" s="272" t="str">
        <f t="shared" si="32"/>
        <v>L3.00.00.09.00.00.09</v>
      </c>
      <c r="Q612" s="447" t="s">
        <v>10530</v>
      </c>
      <c r="R612" s="273" t="str">
        <f t="shared" si="35"/>
        <v>Phòng CSKH VIP 02</v>
      </c>
      <c r="S612" s="274" t="s">
        <v>11432</v>
      </c>
      <c r="T612" s="430"/>
      <c r="U612" s="430"/>
      <c r="V612" s="430"/>
      <c r="W612" s="430"/>
      <c r="X612" s="183"/>
      <c r="Y612" s="184"/>
      <c r="Z612" s="275" t="s">
        <v>11478</v>
      </c>
      <c r="AA612" s="304" t="s">
        <v>10530</v>
      </c>
      <c r="AB612" s="277"/>
      <c r="AC612" s="277"/>
      <c r="AD612" s="277"/>
    </row>
    <row r="613" ht="15.75" customHeight="1" outlineLevel="1">
      <c r="A613" s="228" t="s">
        <v>11429</v>
      </c>
      <c r="B613" s="270" t="s">
        <v>189</v>
      </c>
      <c r="C613" s="270" t="s">
        <v>27</v>
      </c>
      <c r="D613" s="209" t="s">
        <v>4</v>
      </c>
      <c r="E613" s="271" t="s">
        <v>27</v>
      </c>
      <c r="F613" s="209" t="s">
        <v>4</v>
      </c>
      <c r="G613" s="182" t="s">
        <v>51</v>
      </c>
      <c r="H613" s="212" t="s">
        <v>11477</v>
      </c>
      <c r="I613" s="209" t="s">
        <v>29</v>
      </c>
      <c r="J613" s="212" t="s">
        <v>11479</v>
      </c>
      <c r="K613" s="271" t="s">
        <v>27</v>
      </c>
      <c r="L613" s="209" t="s">
        <v>4</v>
      </c>
      <c r="M613" s="353" t="s">
        <v>51</v>
      </c>
      <c r="N613" s="356" t="s">
        <v>10515</v>
      </c>
      <c r="O613" s="272" t="str">
        <f t="shared" si="18"/>
        <v>L3.00.00.09.01.00</v>
      </c>
      <c r="P613" s="272" t="str">
        <f t="shared" si="32"/>
        <v>L3.00.00.09.01.00.09</v>
      </c>
      <c r="Q613" s="447" t="s">
        <v>10530</v>
      </c>
      <c r="R613" s="273" t="str">
        <f t="shared" si="35"/>
        <v>Nhóm CS03</v>
      </c>
      <c r="S613" s="274" t="str">
        <f>P612</f>
        <v>L3.00.00.09.00.00.09</v>
      </c>
      <c r="T613" s="430"/>
      <c r="U613" s="430"/>
      <c r="V613" s="430"/>
      <c r="W613" s="430"/>
      <c r="X613" s="183"/>
      <c r="Y613" s="184"/>
      <c r="Z613" s="275" t="s">
        <v>11480</v>
      </c>
      <c r="AA613" s="304" t="s">
        <v>10530</v>
      </c>
      <c r="AB613" s="277"/>
      <c r="AC613" s="277"/>
      <c r="AD613" s="277"/>
    </row>
    <row r="614" ht="15.75" customHeight="1" outlineLevel="1">
      <c r="A614" s="228" t="s">
        <v>11429</v>
      </c>
      <c r="B614" s="270" t="s">
        <v>189</v>
      </c>
      <c r="C614" s="270" t="s">
        <v>27</v>
      </c>
      <c r="D614" s="209" t="s">
        <v>4</v>
      </c>
      <c r="E614" s="271" t="s">
        <v>27</v>
      </c>
      <c r="F614" s="209" t="s">
        <v>4</v>
      </c>
      <c r="G614" s="182" t="s">
        <v>51</v>
      </c>
      <c r="H614" s="212" t="s">
        <v>11477</v>
      </c>
      <c r="I614" s="209" t="s">
        <v>33</v>
      </c>
      <c r="J614" s="212" t="s">
        <v>11481</v>
      </c>
      <c r="K614" s="271" t="s">
        <v>27</v>
      </c>
      <c r="L614" s="209" t="s">
        <v>4</v>
      </c>
      <c r="M614" s="353" t="s">
        <v>51</v>
      </c>
      <c r="N614" s="356" t="s">
        <v>10515</v>
      </c>
      <c r="O614" s="272" t="str">
        <f t="shared" si="18"/>
        <v>L3.00.00.09.02.00</v>
      </c>
      <c r="P614" s="272" t="str">
        <f t="shared" si="32"/>
        <v>L3.00.00.09.02.00.09</v>
      </c>
      <c r="Q614" s="447" t="s">
        <v>10530</v>
      </c>
      <c r="R614" s="273" t="str">
        <f t="shared" si="35"/>
        <v>Nhóm CS04</v>
      </c>
      <c r="S614" s="274" t="str">
        <f>P612</f>
        <v>L3.00.00.09.00.00.09</v>
      </c>
      <c r="T614" s="430"/>
      <c r="U614" s="430"/>
      <c r="V614" s="430"/>
      <c r="W614" s="430"/>
      <c r="X614" s="183"/>
      <c r="Y614" s="183"/>
      <c r="Z614" s="275" t="s">
        <v>11482</v>
      </c>
      <c r="AA614" s="304" t="s">
        <v>10530</v>
      </c>
      <c r="AB614" s="277"/>
      <c r="AC614" s="277"/>
      <c r="AD614" s="277"/>
    </row>
    <row r="615" ht="15.75" customHeight="1" outlineLevel="1">
      <c r="A615" s="228" t="s">
        <v>11429</v>
      </c>
      <c r="B615" s="270" t="s">
        <v>189</v>
      </c>
      <c r="C615" s="270" t="s">
        <v>27</v>
      </c>
      <c r="D615" s="209" t="s">
        <v>4</v>
      </c>
      <c r="E615" s="271" t="s">
        <v>27</v>
      </c>
      <c r="F615" s="209" t="s">
        <v>4</v>
      </c>
      <c r="G615" s="228">
        <v>10.0</v>
      </c>
      <c r="H615" s="212" t="s">
        <v>11483</v>
      </c>
      <c r="I615" s="271" t="s">
        <v>27</v>
      </c>
      <c r="J615" s="209" t="s">
        <v>4</v>
      </c>
      <c r="K615" s="271" t="s">
        <v>27</v>
      </c>
      <c r="L615" s="209" t="s">
        <v>4</v>
      </c>
      <c r="M615" s="182" t="s">
        <v>27</v>
      </c>
      <c r="N615" s="181"/>
      <c r="O615" s="272" t="str">
        <f t="shared" si="18"/>
        <v>L3.00.00.10.00.00</v>
      </c>
      <c r="P615" s="272" t="str">
        <f t="shared" si="32"/>
        <v>L3.00.00.10.00.00.00</v>
      </c>
      <c r="Q615" s="447" t="s">
        <v>10530</v>
      </c>
      <c r="R615" s="273" t="str">
        <f t="shared" si="35"/>
        <v>Phòng gia hạn</v>
      </c>
      <c r="S615" s="274" t="s">
        <v>11432</v>
      </c>
      <c r="T615" s="430"/>
      <c r="U615" s="430"/>
      <c r="V615" s="430"/>
      <c r="W615" s="430"/>
      <c r="X615" s="183"/>
      <c r="Y615" s="184"/>
      <c r="Z615" s="275" t="s">
        <v>11484</v>
      </c>
      <c r="AA615" s="304" t="s">
        <v>10530</v>
      </c>
      <c r="AB615" s="277"/>
      <c r="AC615" s="277"/>
      <c r="AD615" s="277"/>
    </row>
    <row r="616" ht="15.75" customHeight="1" outlineLevel="1">
      <c r="A616" s="228" t="s">
        <v>11429</v>
      </c>
      <c r="B616" s="270" t="s">
        <v>189</v>
      </c>
      <c r="C616" s="270" t="s">
        <v>27</v>
      </c>
      <c r="D616" s="209" t="s">
        <v>4</v>
      </c>
      <c r="E616" s="271" t="s">
        <v>27</v>
      </c>
      <c r="F616" s="209" t="s">
        <v>4</v>
      </c>
      <c r="G616" s="228">
        <v>10.0</v>
      </c>
      <c r="H616" s="212" t="s">
        <v>11483</v>
      </c>
      <c r="I616" s="182" t="s">
        <v>29</v>
      </c>
      <c r="J616" s="212" t="s">
        <v>11485</v>
      </c>
      <c r="K616" s="271" t="s">
        <v>27</v>
      </c>
      <c r="L616" s="209" t="s">
        <v>4</v>
      </c>
      <c r="M616" s="209" t="s">
        <v>49</v>
      </c>
      <c r="N616" s="181" t="s">
        <v>10514</v>
      </c>
      <c r="O616" s="272" t="str">
        <f t="shared" si="18"/>
        <v>L3.00.00.10.01.00</v>
      </c>
      <c r="P616" s="272" t="str">
        <f t="shared" si="32"/>
        <v>L3.00.00.10.01.00.08</v>
      </c>
      <c r="Q616" s="447" t="s">
        <v>10530</v>
      </c>
      <c r="R616" s="273" t="str">
        <f t="shared" si="35"/>
        <v>Nhóm gia hạn 01</v>
      </c>
      <c r="S616" s="274" t="str">
        <f>P615</f>
        <v>L3.00.00.10.00.00.00</v>
      </c>
      <c r="T616" s="430"/>
      <c r="U616" s="430"/>
      <c r="V616" s="430"/>
      <c r="W616" s="430"/>
      <c r="X616" s="183"/>
      <c r="Y616" s="184"/>
      <c r="Z616" s="275" t="s">
        <v>11486</v>
      </c>
      <c r="AA616" s="304" t="s">
        <v>10530</v>
      </c>
      <c r="AB616" s="277"/>
      <c r="AC616" s="277"/>
      <c r="AD616" s="277"/>
    </row>
    <row r="617" ht="15.75" customHeight="1" outlineLevel="1">
      <c r="A617" s="228" t="s">
        <v>11429</v>
      </c>
      <c r="B617" s="270" t="s">
        <v>189</v>
      </c>
      <c r="C617" s="270" t="s">
        <v>27</v>
      </c>
      <c r="D617" s="209" t="s">
        <v>4</v>
      </c>
      <c r="E617" s="271" t="s">
        <v>27</v>
      </c>
      <c r="F617" s="209" t="s">
        <v>4</v>
      </c>
      <c r="G617" s="228">
        <v>10.0</v>
      </c>
      <c r="H617" s="212" t="s">
        <v>11483</v>
      </c>
      <c r="I617" s="182" t="s">
        <v>33</v>
      </c>
      <c r="J617" s="212" t="s">
        <v>11487</v>
      </c>
      <c r="K617" s="271" t="s">
        <v>27</v>
      </c>
      <c r="L617" s="209" t="s">
        <v>4</v>
      </c>
      <c r="M617" s="353" t="s">
        <v>51</v>
      </c>
      <c r="N617" s="356" t="s">
        <v>10515</v>
      </c>
      <c r="O617" s="272" t="str">
        <f t="shared" si="18"/>
        <v>L3.00.00.10.02.00</v>
      </c>
      <c r="P617" s="272" t="str">
        <f t="shared" si="32"/>
        <v>L3.00.00.10.02.00.09</v>
      </c>
      <c r="Q617" s="447" t="s">
        <v>10530</v>
      </c>
      <c r="R617" s="273" t="str">
        <f t="shared" si="35"/>
        <v>Nhóm gia hạn 02</v>
      </c>
      <c r="S617" s="274" t="str">
        <f>P615</f>
        <v>L3.00.00.10.00.00.00</v>
      </c>
      <c r="T617" s="430"/>
      <c r="U617" s="430"/>
      <c r="V617" s="430"/>
      <c r="W617" s="430"/>
      <c r="X617" s="183"/>
      <c r="Y617" s="184"/>
      <c r="Z617" s="275" t="s">
        <v>11488</v>
      </c>
      <c r="AA617" s="304" t="s">
        <v>10530</v>
      </c>
      <c r="AB617" s="277"/>
      <c r="AC617" s="277"/>
      <c r="AD617" s="277"/>
    </row>
    <row r="618" ht="15.75" customHeight="1" outlineLevel="1">
      <c r="A618" s="196" t="s">
        <v>11429</v>
      </c>
      <c r="B618" s="197" t="s">
        <v>189</v>
      </c>
      <c r="C618" s="197" t="s">
        <v>27</v>
      </c>
      <c r="D618" s="198" t="s">
        <v>4</v>
      </c>
      <c r="E618" s="199" t="s">
        <v>27</v>
      </c>
      <c r="F618" s="198" t="s">
        <v>4</v>
      </c>
      <c r="G618" s="198" t="s">
        <v>35</v>
      </c>
      <c r="H618" s="469" t="s">
        <v>11489</v>
      </c>
      <c r="I618" s="199" t="s">
        <v>27</v>
      </c>
      <c r="J618" s="470" t="s">
        <v>4</v>
      </c>
      <c r="K618" s="471" t="s">
        <v>27</v>
      </c>
      <c r="L618" s="470" t="s">
        <v>4</v>
      </c>
      <c r="M618" s="470" t="s">
        <v>49</v>
      </c>
      <c r="N618" s="472" t="s">
        <v>10514</v>
      </c>
      <c r="O618" s="201" t="str">
        <f t="shared" si="18"/>
        <v>L3.00.00.03.00.00</v>
      </c>
      <c r="P618" s="201"/>
      <c r="Q618" s="204"/>
      <c r="R618" s="204" t="str">
        <f t="shared" si="35"/>
        <v>Phòng hỗ trợ giải pháp TCKT DN (bò)</v>
      </c>
      <c r="S618" s="473" t="s">
        <v>11490</v>
      </c>
      <c r="T618" s="205"/>
      <c r="U618" s="205"/>
      <c r="V618" s="205"/>
      <c r="W618" s="205"/>
      <c r="X618" s="205"/>
      <c r="Y618" s="202"/>
      <c r="Z618" s="474"/>
      <c r="AA618" s="475"/>
      <c r="AB618" s="208"/>
      <c r="AC618" s="208"/>
      <c r="AD618" s="208"/>
    </row>
    <row r="619" ht="15.75" customHeight="1" outlineLevel="1">
      <c r="A619" s="196" t="s">
        <v>11429</v>
      </c>
      <c r="B619" s="197" t="s">
        <v>189</v>
      </c>
      <c r="C619" s="197" t="s">
        <v>27</v>
      </c>
      <c r="D619" s="198" t="s">
        <v>4</v>
      </c>
      <c r="E619" s="199" t="s">
        <v>27</v>
      </c>
      <c r="F619" s="198" t="s">
        <v>4</v>
      </c>
      <c r="G619" s="198" t="s">
        <v>37</v>
      </c>
      <c r="H619" s="469" t="s">
        <v>11491</v>
      </c>
      <c r="I619" s="476" t="s">
        <v>27</v>
      </c>
      <c r="J619" s="477" t="s">
        <v>4</v>
      </c>
      <c r="K619" s="471" t="s">
        <v>27</v>
      </c>
      <c r="L619" s="470" t="s">
        <v>4</v>
      </c>
      <c r="M619" s="470" t="s">
        <v>49</v>
      </c>
      <c r="N619" s="472" t="s">
        <v>10514</v>
      </c>
      <c r="O619" s="201" t="str">
        <f t="shared" si="18"/>
        <v>L3.00.00.04.00.00</v>
      </c>
      <c r="P619" s="201"/>
      <c r="Q619" s="204"/>
      <c r="R619" s="204" t="str">
        <f t="shared" si="35"/>
        <v>Phòng hỗ trợ giải pháp quản trị DN (bò)</v>
      </c>
      <c r="S619" s="473" t="s">
        <v>11492</v>
      </c>
      <c r="T619" s="205"/>
      <c r="U619" s="205"/>
      <c r="V619" s="205"/>
      <c r="W619" s="205"/>
      <c r="X619" s="205"/>
      <c r="Y619" s="202"/>
      <c r="Z619" s="474"/>
      <c r="AA619" s="475"/>
      <c r="AB619" s="208"/>
      <c r="AC619" s="208"/>
      <c r="AD619" s="208"/>
    </row>
    <row r="620" ht="15.75" customHeight="1" outlineLevel="1">
      <c r="A620" s="196" t="s">
        <v>11429</v>
      </c>
      <c r="B620" s="197" t="s">
        <v>189</v>
      </c>
      <c r="C620" s="197" t="s">
        <v>27</v>
      </c>
      <c r="D620" s="198" t="s">
        <v>4</v>
      </c>
      <c r="E620" s="199" t="s">
        <v>27</v>
      </c>
      <c r="F620" s="198" t="s">
        <v>4</v>
      </c>
      <c r="G620" s="198" t="s">
        <v>37</v>
      </c>
      <c r="H620" s="469" t="s">
        <v>11491</v>
      </c>
      <c r="I620" s="198" t="s">
        <v>29</v>
      </c>
      <c r="J620" s="472" t="s">
        <v>193</v>
      </c>
      <c r="K620" s="471" t="s">
        <v>27</v>
      </c>
      <c r="L620" s="470" t="s">
        <v>4</v>
      </c>
      <c r="M620" s="470" t="s">
        <v>49</v>
      </c>
      <c r="N620" s="472" t="s">
        <v>10514</v>
      </c>
      <c r="O620" s="201" t="str">
        <f t="shared" si="18"/>
        <v>L3.00.00.04.01.00</v>
      </c>
      <c r="P620" s="201"/>
      <c r="Q620" s="204"/>
      <c r="R620" s="204" t="str">
        <f t="shared" si="35"/>
        <v>Nhóm hỗ trợ giải pháp Bán hàng</v>
      </c>
      <c r="S620" s="478" t="s">
        <v>11493</v>
      </c>
      <c r="T620" s="205"/>
      <c r="U620" s="205"/>
      <c r="V620" s="205"/>
      <c r="W620" s="205"/>
      <c r="X620" s="205"/>
      <c r="Y620" s="202"/>
      <c r="Z620" s="474"/>
      <c r="AA620" s="475"/>
      <c r="AB620" s="208"/>
      <c r="AC620" s="208"/>
      <c r="AD620" s="208"/>
    </row>
    <row r="621" ht="15.75" customHeight="1" outlineLevel="1">
      <c r="A621" s="196" t="s">
        <v>11429</v>
      </c>
      <c r="B621" s="197" t="s">
        <v>189</v>
      </c>
      <c r="C621" s="197" t="s">
        <v>27</v>
      </c>
      <c r="D621" s="198" t="s">
        <v>4</v>
      </c>
      <c r="E621" s="199" t="s">
        <v>27</v>
      </c>
      <c r="F621" s="198" t="s">
        <v>4</v>
      </c>
      <c r="G621" s="198" t="s">
        <v>37</v>
      </c>
      <c r="H621" s="469" t="s">
        <v>11491</v>
      </c>
      <c r="I621" s="198" t="s">
        <v>33</v>
      </c>
      <c r="J621" s="479" t="s">
        <v>194</v>
      </c>
      <c r="K621" s="471" t="s">
        <v>27</v>
      </c>
      <c r="L621" s="470" t="s">
        <v>4</v>
      </c>
      <c r="M621" s="470" t="s">
        <v>49</v>
      </c>
      <c r="N621" s="472" t="s">
        <v>10514</v>
      </c>
      <c r="O621" s="201" t="str">
        <f t="shared" si="18"/>
        <v>L3.00.00.04.02.00</v>
      </c>
      <c r="P621" s="201"/>
      <c r="Q621" s="204"/>
      <c r="R621" s="204" t="str">
        <f t="shared" si="35"/>
        <v>Nhóm hỗ trợ giải pháp Nhân sự</v>
      </c>
      <c r="S621" s="478" t="s">
        <v>11494</v>
      </c>
      <c r="T621" s="205"/>
      <c r="U621" s="205"/>
      <c r="V621" s="205"/>
      <c r="W621" s="205"/>
      <c r="X621" s="205"/>
      <c r="Y621" s="202"/>
      <c r="Z621" s="474"/>
      <c r="AA621" s="475"/>
      <c r="AB621" s="208"/>
      <c r="AC621" s="208"/>
      <c r="AD621" s="208"/>
    </row>
    <row r="622" ht="15.75" customHeight="1" outlineLevel="1">
      <c r="A622" s="196" t="s">
        <v>11429</v>
      </c>
      <c r="B622" s="197" t="s">
        <v>189</v>
      </c>
      <c r="C622" s="197" t="s">
        <v>27</v>
      </c>
      <c r="D622" s="198" t="s">
        <v>4</v>
      </c>
      <c r="E622" s="199" t="s">
        <v>27</v>
      </c>
      <c r="F622" s="198" t="s">
        <v>4</v>
      </c>
      <c r="G622" s="198" t="s">
        <v>37</v>
      </c>
      <c r="H622" s="469" t="s">
        <v>11491</v>
      </c>
      <c r="I622" s="198" t="s">
        <v>35</v>
      </c>
      <c r="J622" s="479" t="s">
        <v>195</v>
      </c>
      <c r="K622" s="471" t="s">
        <v>27</v>
      </c>
      <c r="L622" s="470" t="s">
        <v>4</v>
      </c>
      <c r="M622" s="470" t="s">
        <v>49</v>
      </c>
      <c r="N622" s="472" t="s">
        <v>10514</v>
      </c>
      <c r="O622" s="201" t="str">
        <f t="shared" si="18"/>
        <v>L3.00.00.04.03.00</v>
      </c>
      <c r="P622" s="201"/>
      <c r="Q622" s="204"/>
      <c r="R622" s="204" t="str">
        <f t="shared" si="35"/>
        <v>Nhóm hỗ trợ giải pháp Văn phòng số</v>
      </c>
      <c r="S622" s="478" t="s">
        <v>11495</v>
      </c>
      <c r="T622" s="205"/>
      <c r="U622" s="205"/>
      <c r="V622" s="205"/>
      <c r="W622" s="205"/>
      <c r="X622" s="205"/>
      <c r="Y622" s="202"/>
      <c r="Z622" s="474"/>
      <c r="AA622" s="475"/>
      <c r="AB622" s="208"/>
      <c r="AC622" s="208"/>
      <c r="AD622" s="208"/>
    </row>
    <row r="623" ht="15.75" customHeight="1" outlineLevel="1">
      <c r="A623" s="196" t="s">
        <v>11429</v>
      </c>
      <c r="B623" s="197" t="s">
        <v>189</v>
      </c>
      <c r="C623" s="197" t="s">
        <v>27</v>
      </c>
      <c r="D623" s="198" t="s">
        <v>4</v>
      </c>
      <c r="E623" s="199" t="s">
        <v>27</v>
      </c>
      <c r="F623" s="198" t="s">
        <v>4</v>
      </c>
      <c r="G623" s="198" t="s">
        <v>42</v>
      </c>
      <c r="H623" s="469" t="s">
        <v>11496</v>
      </c>
      <c r="I623" s="199" t="s">
        <v>27</v>
      </c>
      <c r="J623" s="470" t="s">
        <v>4</v>
      </c>
      <c r="K623" s="471" t="s">
        <v>27</v>
      </c>
      <c r="L623" s="470" t="s">
        <v>4</v>
      </c>
      <c r="M623" s="470" t="s">
        <v>49</v>
      </c>
      <c r="N623" s="472" t="s">
        <v>10514</v>
      </c>
      <c r="O623" s="201" t="str">
        <f t="shared" si="18"/>
        <v>L3.00.00.05.00.00</v>
      </c>
      <c r="P623" s="201"/>
      <c r="Q623" s="204"/>
      <c r="R623" s="204" t="str">
        <f t="shared" si="35"/>
        <v>Phòng hỗ trợ giải pháp Bán lẻ (bò)</v>
      </c>
      <c r="S623" s="478" t="s">
        <v>11497</v>
      </c>
      <c r="T623" s="205"/>
      <c r="U623" s="205"/>
      <c r="V623" s="205"/>
      <c r="W623" s="205"/>
      <c r="X623" s="205"/>
      <c r="Y623" s="202"/>
      <c r="Z623" s="474"/>
      <c r="AA623" s="475"/>
      <c r="AB623" s="208"/>
      <c r="AC623" s="208"/>
      <c r="AD623" s="208"/>
    </row>
    <row r="624" ht="15.75" customHeight="1" outlineLevel="1">
      <c r="A624" s="196" t="s">
        <v>11429</v>
      </c>
      <c r="B624" s="197" t="s">
        <v>189</v>
      </c>
      <c r="C624" s="197" t="s">
        <v>27</v>
      </c>
      <c r="D624" s="198" t="s">
        <v>4</v>
      </c>
      <c r="E624" s="199" t="s">
        <v>27</v>
      </c>
      <c r="F624" s="198" t="s">
        <v>4</v>
      </c>
      <c r="G624" s="198" t="s">
        <v>44</v>
      </c>
      <c r="H624" s="469" t="s">
        <v>11498</v>
      </c>
      <c r="I624" s="476" t="s">
        <v>27</v>
      </c>
      <c r="J624" s="477" t="s">
        <v>4</v>
      </c>
      <c r="K624" s="471" t="s">
        <v>27</v>
      </c>
      <c r="L624" s="470" t="s">
        <v>4</v>
      </c>
      <c r="M624" s="470" t="s">
        <v>49</v>
      </c>
      <c r="N624" s="472" t="s">
        <v>10514</v>
      </c>
      <c r="O624" s="201" t="str">
        <f t="shared" si="18"/>
        <v>L3.00.00.06.00.00</v>
      </c>
      <c r="P624" s="201"/>
      <c r="Q624" s="204"/>
      <c r="R624" s="204" t="s">
        <v>198</v>
      </c>
      <c r="S624" s="478" t="s">
        <v>11499</v>
      </c>
      <c r="T624" s="205"/>
      <c r="U624" s="205"/>
      <c r="V624" s="205"/>
      <c r="W624" s="205"/>
      <c r="X624" s="205"/>
      <c r="Y624" s="202"/>
      <c r="Z624" s="474"/>
      <c r="AA624" s="475"/>
      <c r="AB624" s="208"/>
      <c r="AC624" s="208"/>
      <c r="AD624" s="208"/>
    </row>
    <row r="625" ht="15.75" customHeight="1" outlineLevel="1">
      <c r="A625" s="196" t="s">
        <v>11429</v>
      </c>
      <c r="B625" s="197" t="s">
        <v>189</v>
      </c>
      <c r="C625" s="197" t="s">
        <v>27</v>
      </c>
      <c r="D625" s="198" t="s">
        <v>4</v>
      </c>
      <c r="E625" s="199" t="s">
        <v>27</v>
      </c>
      <c r="F625" s="198" t="s">
        <v>4</v>
      </c>
      <c r="G625" s="198" t="s">
        <v>44</v>
      </c>
      <c r="H625" s="469" t="s">
        <v>11498</v>
      </c>
      <c r="I625" s="198" t="s">
        <v>29</v>
      </c>
      <c r="J625" s="472" t="s">
        <v>198</v>
      </c>
      <c r="K625" s="471" t="s">
        <v>27</v>
      </c>
      <c r="L625" s="470" t="s">
        <v>4</v>
      </c>
      <c r="M625" s="470" t="s">
        <v>49</v>
      </c>
      <c r="N625" s="472" t="s">
        <v>10514</v>
      </c>
      <c r="O625" s="201" t="str">
        <f t="shared" si="18"/>
        <v>L3.00.00.06.01.00</v>
      </c>
      <c r="P625" s="201"/>
      <c r="Q625" s="204"/>
      <c r="R625" s="204" t="str">
        <f t="shared" ref="R625:R627" si="36">if(L625&lt;&gt;"-",L625,if(AND(L625="-",J625&lt;&gt;"-"),J625,if(AND(J625="-",H625&lt;&gt;"-"),H625,"NA")))</f>
        <v>Nhóm hỗ trợ giải pháp TCKT HCSN</v>
      </c>
      <c r="S625" s="478" t="s">
        <v>11500</v>
      </c>
      <c r="T625" s="205"/>
      <c r="U625" s="205"/>
      <c r="V625" s="205"/>
      <c r="W625" s="205"/>
      <c r="X625" s="205"/>
      <c r="Y625" s="202"/>
      <c r="Z625" s="474"/>
      <c r="AA625" s="475"/>
      <c r="AB625" s="208"/>
      <c r="AC625" s="208"/>
      <c r="AD625" s="208"/>
    </row>
    <row r="626" ht="15.75" customHeight="1" outlineLevel="1">
      <c r="A626" s="196" t="s">
        <v>11429</v>
      </c>
      <c r="B626" s="197" t="s">
        <v>189</v>
      </c>
      <c r="C626" s="197" t="s">
        <v>27</v>
      </c>
      <c r="D626" s="198" t="s">
        <v>4</v>
      </c>
      <c r="E626" s="199" t="s">
        <v>27</v>
      </c>
      <c r="F626" s="198" t="s">
        <v>4</v>
      </c>
      <c r="G626" s="198" t="s">
        <v>44</v>
      </c>
      <c r="H626" s="469" t="s">
        <v>11498</v>
      </c>
      <c r="I626" s="198" t="s">
        <v>33</v>
      </c>
      <c r="J626" s="472" t="s">
        <v>199</v>
      </c>
      <c r="K626" s="471" t="s">
        <v>27</v>
      </c>
      <c r="L626" s="470" t="s">
        <v>4</v>
      </c>
      <c r="M626" s="470" t="s">
        <v>49</v>
      </c>
      <c r="N626" s="472" t="s">
        <v>10514</v>
      </c>
      <c r="O626" s="201" t="str">
        <f t="shared" si="18"/>
        <v>L3.00.00.06.02.00</v>
      </c>
      <c r="P626" s="201"/>
      <c r="Q626" s="204"/>
      <c r="R626" s="204" t="str">
        <f t="shared" si="36"/>
        <v>Nhóm hỗ trợ giải pháp điều hành HCSN</v>
      </c>
      <c r="S626" s="478" t="s">
        <v>11501</v>
      </c>
      <c r="T626" s="205"/>
      <c r="U626" s="205"/>
      <c r="V626" s="205"/>
      <c r="W626" s="205"/>
      <c r="X626" s="205"/>
      <c r="Y626" s="202"/>
      <c r="Z626" s="474"/>
      <c r="AA626" s="475"/>
      <c r="AB626" s="208"/>
      <c r="AC626" s="208"/>
      <c r="AD626" s="208"/>
    </row>
    <row r="627" ht="15.75" customHeight="1" outlineLevel="1">
      <c r="A627" s="196" t="s">
        <v>11429</v>
      </c>
      <c r="B627" s="197" t="s">
        <v>189</v>
      </c>
      <c r="C627" s="197" t="s">
        <v>27</v>
      </c>
      <c r="D627" s="198" t="s">
        <v>4</v>
      </c>
      <c r="E627" s="199" t="s">
        <v>27</v>
      </c>
      <c r="F627" s="198" t="s">
        <v>4</v>
      </c>
      <c r="G627" s="198" t="s">
        <v>46</v>
      </c>
      <c r="H627" s="469" t="s">
        <v>11502</v>
      </c>
      <c r="I627" s="199" t="s">
        <v>27</v>
      </c>
      <c r="J627" s="470" t="s">
        <v>4</v>
      </c>
      <c r="K627" s="471" t="s">
        <v>27</v>
      </c>
      <c r="L627" s="470" t="s">
        <v>4</v>
      </c>
      <c r="M627" s="470" t="s">
        <v>49</v>
      </c>
      <c r="N627" s="472" t="s">
        <v>10514</v>
      </c>
      <c r="O627" s="201" t="str">
        <f t="shared" si="18"/>
        <v>L3.00.00.07.00.00</v>
      </c>
      <c r="P627" s="201"/>
      <c r="Q627" s="204"/>
      <c r="R627" s="204" t="str">
        <f t="shared" si="36"/>
        <v>Phòng hỗ trợ chủ động (bò)</v>
      </c>
      <c r="S627" s="478" t="s">
        <v>11503</v>
      </c>
      <c r="T627" s="205"/>
      <c r="U627" s="205"/>
      <c r="V627" s="205"/>
      <c r="W627" s="205"/>
      <c r="X627" s="205"/>
      <c r="Y627" s="202"/>
      <c r="Z627" s="474"/>
      <c r="AA627" s="475"/>
      <c r="AB627" s="208"/>
      <c r="AC627" s="208"/>
      <c r="AD627" s="208"/>
    </row>
    <row r="628" ht="15.75" customHeight="1" outlineLevel="1">
      <c r="A628" s="196" t="s">
        <v>11429</v>
      </c>
      <c r="B628" s="197" t="s">
        <v>189</v>
      </c>
      <c r="C628" s="197" t="s">
        <v>27</v>
      </c>
      <c r="D628" s="198" t="s">
        <v>4</v>
      </c>
      <c r="E628" s="199" t="s">
        <v>27</v>
      </c>
      <c r="F628" s="198" t="s">
        <v>4</v>
      </c>
      <c r="G628" s="198" t="s">
        <v>49</v>
      </c>
      <c r="H628" s="469" t="s">
        <v>11504</v>
      </c>
      <c r="I628" s="476" t="s">
        <v>27</v>
      </c>
      <c r="J628" s="477" t="s">
        <v>4</v>
      </c>
      <c r="K628" s="471" t="s">
        <v>27</v>
      </c>
      <c r="L628" s="470" t="s">
        <v>4</v>
      </c>
      <c r="M628" s="470" t="s">
        <v>49</v>
      </c>
      <c r="N628" s="472" t="s">
        <v>10514</v>
      </c>
      <c r="O628" s="201" t="str">
        <f t="shared" si="18"/>
        <v>L3.00.00.08.00.00</v>
      </c>
      <c r="P628" s="201"/>
      <c r="Q628" s="204"/>
      <c r="R628" s="204" t="s">
        <v>202</v>
      </c>
      <c r="S628" s="478" t="s">
        <v>11505</v>
      </c>
      <c r="T628" s="205"/>
      <c r="U628" s="205"/>
      <c r="V628" s="205"/>
      <c r="W628" s="205"/>
      <c r="X628" s="205"/>
      <c r="Y628" s="202"/>
      <c r="Z628" s="474"/>
      <c r="AA628" s="475"/>
      <c r="AB628" s="208"/>
      <c r="AC628" s="208"/>
      <c r="AD628" s="208"/>
    </row>
    <row r="629" ht="15.75" customHeight="1" outlineLevel="1">
      <c r="A629" s="196" t="s">
        <v>11429</v>
      </c>
      <c r="B629" s="197" t="s">
        <v>189</v>
      </c>
      <c r="C629" s="197" t="s">
        <v>27</v>
      </c>
      <c r="D629" s="198" t="s">
        <v>4</v>
      </c>
      <c r="E629" s="199" t="s">
        <v>27</v>
      </c>
      <c r="F629" s="198" t="s">
        <v>4</v>
      </c>
      <c r="G629" s="198" t="s">
        <v>49</v>
      </c>
      <c r="H629" s="469" t="s">
        <v>11504</v>
      </c>
      <c r="I629" s="198" t="s">
        <v>29</v>
      </c>
      <c r="J629" s="472" t="s">
        <v>202</v>
      </c>
      <c r="K629" s="471" t="s">
        <v>27</v>
      </c>
      <c r="L629" s="470" t="s">
        <v>4</v>
      </c>
      <c r="M629" s="470" t="s">
        <v>49</v>
      </c>
      <c r="N629" s="472" t="s">
        <v>10514</v>
      </c>
      <c r="O629" s="201" t="str">
        <f t="shared" si="18"/>
        <v>L3.00.00.08.01.00</v>
      </c>
      <c r="P629" s="201"/>
      <c r="Q629" s="204"/>
      <c r="R629" s="204" t="str">
        <f t="shared" ref="R629:R632" si="37">if(L629&lt;&gt;"-",L629,if(AND(L629="-",J629&lt;&gt;"-"),J629,if(AND(J629="-",H629&lt;&gt;"-"),H629,"NA")))</f>
        <v>Nhóm CS 01 - KH Gold, Silver</v>
      </c>
      <c r="S629" s="478" t="s">
        <v>11506</v>
      </c>
      <c r="T629" s="205"/>
      <c r="U629" s="205"/>
      <c r="V629" s="205"/>
      <c r="W629" s="205"/>
      <c r="X629" s="205"/>
      <c r="Y629" s="202"/>
      <c r="Z629" s="474"/>
      <c r="AA629" s="475"/>
      <c r="AB629" s="208"/>
      <c r="AC629" s="208"/>
      <c r="AD629" s="208"/>
    </row>
    <row r="630" ht="15.75" customHeight="1" outlineLevel="1">
      <c r="A630" s="196" t="s">
        <v>11429</v>
      </c>
      <c r="B630" s="197" t="s">
        <v>189</v>
      </c>
      <c r="C630" s="197" t="s">
        <v>27</v>
      </c>
      <c r="D630" s="198" t="s">
        <v>4</v>
      </c>
      <c r="E630" s="199" t="s">
        <v>27</v>
      </c>
      <c r="F630" s="198" t="s">
        <v>4</v>
      </c>
      <c r="G630" s="198" t="s">
        <v>49</v>
      </c>
      <c r="H630" s="469" t="s">
        <v>11504</v>
      </c>
      <c r="I630" s="198" t="s">
        <v>33</v>
      </c>
      <c r="J630" s="472" t="s">
        <v>203</v>
      </c>
      <c r="K630" s="471" t="s">
        <v>27</v>
      </c>
      <c r="L630" s="470" t="s">
        <v>4</v>
      </c>
      <c r="M630" s="470" t="s">
        <v>49</v>
      </c>
      <c r="N630" s="472" t="s">
        <v>10514</v>
      </c>
      <c r="O630" s="201" t="str">
        <f t="shared" si="18"/>
        <v>L3.00.00.08.02.00</v>
      </c>
      <c r="P630" s="201"/>
      <c r="Q630" s="204"/>
      <c r="R630" s="204" t="str">
        <f t="shared" si="37"/>
        <v>Nhóm CS 02 - KH Bronze</v>
      </c>
      <c r="S630" s="478" t="s">
        <v>11507</v>
      </c>
      <c r="T630" s="480"/>
      <c r="U630" s="480"/>
      <c r="V630" s="480"/>
      <c r="W630" s="205"/>
      <c r="X630" s="205"/>
      <c r="Y630" s="202"/>
      <c r="Z630" s="474"/>
      <c r="AA630" s="475"/>
      <c r="AB630" s="208"/>
      <c r="AC630" s="208"/>
      <c r="AD630" s="208"/>
    </row>
    <row r="631" ht="15.75" customHeight="1" outlineLevel="1">
      <c r="A631" s="196" t="s">
        <v>11429</v>
      </c>
      <c r="B631" s="197" t="s">
        <v>189</v>
      </c>
      <c r="C631" s="197" t="s">
        <v>27</v>
      </c>
      <c r="D631" s="198" t="s">
        <v>4</v>
      </c>
      <c r="E631" s="199" t="s">
        <v>27</v>
      </c>
      <c r="F631" s="198" t="s">
        <v>4</v>
      </c>
      <c r="G631" s="198" t="s">
        <v>51</v>
      </c>
      <c r="H631" s="469" t="s">
        <v>11508</v>
      </c>
      <c r="I631" s="199" t="s">
        <v>27</v>
      </c>
      <c r="J631" s="470" t="s">
        <v>4</v>
      </c>
      <c r="K631" s="471" t="s">
        <v>27</v>
      </c>
      <c r="L631" s="470" t="s">
        <v>4</v>
      </c>
      <c r="M631" s="470" t="s">
        <v>49</v>
      </c>
      <c r="N631" s="472" t="s">
        <v>10514</v>
      </c>
      <c r="O631" s="201" t="str">
        <f t="shared" si="18"/>
        <v>L3.00.00.09.00.00</v>
      </c>
      <c r="P631" s="201"/>
      <c r="Q631" s="204"/>
      <c r="R631" s="204" t="str">
        <f t="shared" si="37"/>
        <v>Nhóm gia hạn (bò)</v>
      </c>
      <c r="S631" s="478" t="s">
        <v>11509</v>
      </c>
      <c r="T631" s="205"/>
      <c r="U631" s="205"/>
      <c r="V631" s="205"/>
      <c r="W631" s="205"/>
      <c r="X631" s="205"/>
      <c r="Y631" s="202"/>
      <c r="Z631" s="474"/>
      <c r="AA631" s="475"/>
      <c r="AB631" s="208"/>
      <c r="AC631" s="208"/>
      <c r="AD631" s="208"/>
    </row>
    <row r="632" ht="15.75" customHeight="1" outlineLevel="1">
      <c r="A632" s="196" t="s">
        <v>11429</v>
      </c>
      <c r="B632" s="197" t="s">
        <v>189</v>
      </c>
      <c r="C632" s="197" t="s">
        <v>27</v>
      </c>
      <c r="D632" s="198" t="s">
        <v>4</v>
      </c>
      <c r="E632" s="199" t="s">
        <v>27</v>
      </c>
      <c r="F632" s="198" t="s">
        <v>4</v>
      </c>
      <c r="G632" s="198" t="s">
        <v>35</v>
      </c>
      <c r="H632" s="469" t="s">
        <v>11489</v>
      </c>
      <c r="I632" s="199" t="s">
        <v>27</v>
      </c>
      <c r="J632" s="470" t="s">
        <v>4</v>
      </c>
      <c r="K632" s="471" t="s">
        <v>27</v>
      </c>
      <c r="L632" s="470" t="s">
        <v>4</v>
      </c>
      <c r="M632" s="470" t="s">
        <v>51</v>
      </c>
      <c r="N632" s="472" t="s">
        <v>10515</v>
      </c>
      <c r="O632" s="201" t="str">
        <f t="shared" si="18"/>
        <v>L3.00.00.03.00.00</v>
      </c>
      <c r="P632" s="201"/>
      <c r="Q632" s="204"/>
      <c r="R632" s="204" t="str">
        <f t="shared" si="37"/>
        <v>Phòng hỗ trợ giải pháp TCKT DN (bò)</v>
      </c>
      <c r="S632" s="478" t="s">
        <v>11490</v>
      </c>
      <c r="T632" s="205"/>
      <c r="U632" s="205"/>
      <c r="V632" s="205"/>
      <c r="W632" s="205"/>
      <c r="X632" s="205"/>
      <c r="Y632" s="202"/>
      <c r="Z632" s="474"/>
      <c r="AA632" s="475"/>
      <c r="AB632" s="208"/>
      <c r="AC632" s="208"/>
      <c r="AD632" s="208"/>
    </row>
    <row r="633" ht="15.75" customHeight="1" outlineLevel="1">
      <c r="A633" s="196" t="s">
        <v>11429</v>
      </c>
      <c r="B633" s="197" t="s">
        <v>189</v>
      </c>
      <c r="C633" s="197" t="s">
        <v>27</v>
      </c>
      <c r="D633" s="198" t="s">
        <v>4</v>
      </c>
      <c r="E633" s="199" t="s">
        <v>27</v>
      </c>
      <c r="F633" s="198" t="s">
        <v>4</v>
      </c>
      <c r="G633" s="198" t="s">
        <v>37</v>
      </c>
      <c r="H633" s="469" t="s">
        <v>11491</v>
      </c>
      <c r="I633" s="476" t="s">
        <v>27</v>
      </c>
      <c r="J633" s="477" t="s">
        <v>4</v>
      </c>
      <c r="K633" s="471" t="s">
        <v>27</v>
      </c>
      <c r="L633" s="470" t="s">
        <v>4</v>
      </c>
      <c r="M633" s="470" t="s">
        <v>51</v>
      </c>
      <c r="N633" s="472" t="s">
        <v>10515</v>
      </c>
      <c r="O633" s="201" t="str">
        <f t="shared" si="18"/>
        <v>L3.00.00.04.00.00</v>
      </c>
      <c r="P633" s="201"/>
      <c r="Q633" s="204"/>
      <c r="R633" s="204" t="s">
        <v>193</v>
      </c>
      <c r="S633" s="478" t="s">
        <v>11492</v>
      </c>
      <c r="T633" s="205"/>
      <c r="U633" s="205"/>
      <c r="V633" s="205"/>
      <c r="W633" s="205"/>
      <c r="X633" s="205"/>
      <c r="Y633" s="202"/>
      <c r="Z633" s="474"/>
      <c r="AA633" s="475"/>
      <c r="AB633" s="208"/>
      <c r="AC633" s="208"/>
      <c r="AD633" s="208"/>
    </row>
    <row r="634" ht="15.75" customHeight="1" outlineLevel="1">
      <c r="A634" s="196" t="s">
        <v>11429</v>
      </c>
      <c r="B634" s="197" t="s">
        <v>189</v>
      </c>
      <c r="C634" s="197" t="s">
        <v>27</v>
      </c>
      <c r="D634" s="198" t="s">
        <v>4</v>
      </c>
      <c r="E634" s="199" t="s">
        <v>27</v>
      </c>
      <c r="F634" s="198" t="s">
        <v>4</v>
      </c>
      <c r="G634" s="198" t="s">
        <v>37</v>
      </c>
      <c r="H634" s="469" t="s">
        <v>11491</v>
      </c>
      <c r="I634" s="198" t="s">
        <v>29</v>
      </c>
      <c r="J634" s="472" t="s">
        <v>193</v>
      </c>
      <c r="K634" s="471" t="s">
        <v>27</v>
      </c>
      <c r="L634" s="470" t="s">
        <v>4</v>
      </c>
      <c r="M634" s="470" t="s">
        <v>51</v>
      </c>
      <c r="N634" s="472" t="s">
        <v>10515</v>
      </c>
      <c r="O634" s="201" t="str">
        <f t="shared" si="18"/>
        <v>L3.00.00.04.01.00</v>
      </c>
      <c r="P634" s="201"/>
      <c r="Q634" s="204"/>
      <c r="R634" s="204" t="str">
        <f t="shared" ref="R634:R646" si="38">if(L634&lt;&gt;"-",L634,if(AND(L634="-",J634&lt;&gt;"-"),J634,if(AND(J634="-",H634&lt;&gt;"-"),H634,"NA")))</f>
        <v>Nhóm hỗ trợ giải pháp Bán hàng</v>
      </c>
      <c r="S634" s="478" t="s">
        <v>11493</v>
      </c>
      <c r="T634" s="205"/>
      <c r="U634" s="205"/>
      <c r="V634" s="205"/>
      <c r="W634" s="205"/>
      <c r="X634" s="205"/>
      <c r="Y634" s="202"/>
      <c r="Z634" s="474"/>
      <c r="AA634" s="475"/>
      <c r="AB634" s="208"/>
      <c r="AC634" s="208"/>
      <c r="AD634" s="208"/>
    </row>
    <row r="635" ht="15.75" customHeight="1" outlineLevel="1">
      <c r="A635" s="196" t="s">
        <v>11429</v>
      </c>
      <c r="B635" s="197" t="s">
        <v>189</v>
      </c>
      <c r="C635" s="197" t="s">
        <v>27</v>
      </c>
      <c r="D635" s="198" t="s">
        <v>4</v>
      </c>
      <c r="E635" s="199" t="s">
        <v>27</v>
      </c>
      <c r="F635" s="198" t="s">
        <v>4</v>
      </c>
      <c r="G635" s="198" t="s">
        <v>37</v>
      </c>
      <c r="H635" s="469" t="s">
        <v>11491</v>
      </c>
      <c r="I635" s="198" t="s">
        <v>33</v>
      </c>
      <c r="J635" s="479" t="s">
        <v>194</v>
      </c>
      <c r="K635" s="471" t="s">
        <v>27</v>
      </c>
      <c r="L635" s="470" t="s">
        <v>4</v>
      </c>
      <c r="M635" s="470" t="s">
        <v>51</v>
      </c>
      <c r="N635" s="472" t="s">
        <v>10515</v>
      </c>
      <c r="O635" s="201" t="str">
        <f t="shared" si="18"/>
        <v>L3.00.00.04.02.00</v>
      </c>
      <c r="P635" s="201"/>
      <c r="Q635" s="204"/>
      <c r="R635" s="204" t="str">
        <f t="shared" si="38"/>
        <v>Nhóm hỗ trợ giải pháp Nhân sự</v>
      </c>
      <c r="S635" s="478" t="s">
        <v>11494</v>
      </c>
      <c r="T635" s="205"/>
      <c r="U635" s="205"/>
      <c r="V635" s="205"/>
      <c r="W635" s="205"/>
      <c r="X635" s="205"/>
      <c r="Y635" s="202"/>
      <c r="Z635" s="474"/>
      <c r="AA635" s="475"/>
      <c r="AB635" s="208"/>
      <c r="AC635" s="208"/>
      <c r="AD635" s="208"/>
    </row>
    <row r="636" ht="15.75" customHeight="1" outlineLevel="1">
      <c r="A636" s="196" t="s">
        <v>11429</v>
      </c>
      <c r="B636" s="197" t="s">
        <v>189</v>
      </c>
      <c r="C636" s="197" t="s">
        <v>27</v>
      </c>
      <c r="D636" s="198" t="s">
        <v>4</v>
      </c>
      <c r="E636" s="199" t="s">
        <v>27</v>
      </c>
      <c r="F636" s="198" t="s">
        <v>4</v>
      </c>
      <c r="G636" s="198" t="s">
        <v>37</v>
      </c>
      <c r="H636" s="469" t="s">
        <v>11491</v>
      </c>
      <c r="I636" s="198" t="s">
        <v>35</v>
      </c>
      <c r="J636" s="479" t="s">
        <v>195</v>
      </c>
      <c r="K636" s="471" t="s">
        <v>27</v>
      </c>
      <c r="L636" s="470" t="s">
        <v>4</v>
      </c>
      <c r="M636" s="470" t="s">
        <v>51</v>
      </c>
      <c r="N636" s="472" t="s">
        <v>10515</v>
      </c>
      <c r="O636" s="201" t="str">
        <f t="shared" si="18"/>
        <v>L3.00.00.04.03.00</v>
      </c>
      <c r="P636" s="201"/>
      <c r="Q636" s="204"/>
      <c r="R636" s="204" t="str">
        <f t="shared" si="38"/>
        <v>Nhóm hỗ trợ giải pháp Văn phòng số</v>
      </c>
      <c r="S636" s="478" t="s">
        <v>11495</v>
      </c>
      <c r="T636" s="205"/>
      <c r="U636" s="205"/>
      <c r="V636" s="205"/>
      <c r="W636" s="205"/>
      <c r="X636" s="205"/>
      <c r="Y636" s="202"/>
      <c r="Z636" s="474"/>
      <c r="AA636" s="475"/>
      <c r="AB636" s="208"/>
      <c r="AC636" s="208"/>
      <c r="AD636" s="208"/>
    </row>
    <row r="637" ht="15.75" customHeight="1" outlineLevel="1">
      <c r="A637" s="196" t="s">
        <v>11429</v>
      </c>
      <c r="B637" s="197" t="s">
        <v>189</v>
      </c>
      <c r="C637" s="197" t="s">
        <v>27</v>
      </c>
      <c r="D637" s="198" t="s">
        <v>4</v>
      </c>
      <c r="E637" s="199" t="s">
        <v>27</v>
      </c>
      <c r="F637" s="198" t="s">
        <v>4</v>
      </c>
      <c r="G637" s="198" t="s">
        <v>42</v>
      </c>
      <c r="H637" s="469" t="s">
        <v>11496</v>
      </c>
      <c r="I637" s="199" t="s">
        <v>27</v>
      </c>
      <c r="J637" s="470" t="s">
        <v>4</v>
      </c>
      <c r="K637" s="471" t="s">
        <v>27</v>
      </c>
      <c r="L637" s="470" t="s">
        <v>4</v>
      </c>
      <c r="M637" s="470" t="s">
        <v>51</v>
      </c>
      <c r="N637" s="472" t="s">
        <v>10515</v>
      </c>
      <c r="O637" s="201" t="str">
        <f t="shared" si="18"/>
        <v>L3.00.00.05.00.00</v>
      </c>
      <c r="P637" s="201"/>
      <c r="Q637" s="204"/>
      <c r="R637" s="204" t="str">
        <f t="shared" si="38"/>
        <v>Phòng hỗ trợ giải pháp Bán lẻ (bò)</v>
      </c>
      <c r="S637" s="478" t="s">
        <v>11497</v>
      </c>
      <c r="T637" s="205"/>
      <c r="U637" s="205"/>
      <c r="V637" s="205"/>
      <c r="W637" s="205"/>
      <c r="X637" s="205"/>
      <c r="Y637" s="202"/>
      <c r="Z637" s="474"/>
      <c r="AA637" s="475"/>
      <c r="AB637" s="208"/>
      <c r="AC637" s="208"/>
      <c r="AD637" s="208"/>
    </row>
    <row r="638" ht="15.75" customHeight="1" outlineLevel="1">
      <c r="A638" s="196" t="s">
        <v>11429</v>
      </c>
      <c r="B638" s="197" t="s">
        <v>189</v>
      </c>
      <c r="C638" s="197" t="s">
        <v>27</v>
      </c>
      <c r="D638" s="198" t="s">
        <v>4</v>
      </c>
      <c r="E638" s="199" t="s">
        <v>27</v>
      </c>
      <c r="F638" s="198" t="s">
        <v>4</v>
      </c>
      <c r="G638" s="198" t="s">
        <v>44</v>
      </c>
      <c r="H638" s="469" t="s">
        <v>11498</v>
      </c>
      <c r="I638" s="476" t="s">
        <v>27</v>
      </c>
      <c r="J638" s="477" t="s">
        <v>4</v>
      </c>
      <c r="K638" s="471" t="s">
        <v>27</v>
      </c>
      <c r="L638" s="470" t="s">
        <v>4</v>
      </c>
      <c r="M638" s="470" t="s">
        <v>51</v>
      </c>
      <c r="N638" s="472" t="s">
        <v>10515</v>
      </c>
      <c r="O638" s="201" t="str">
        <f t="shared" si="18"/>
        <v>L3.00.00.06.00.00</v>
      </c>
      <c r="P638" s="201"/>
      <c r="Q638" s="204"/>
      <c r="R638" s="204" t="str">
        <f t="shared" si="38"/>
        <v>Phòng hỗ trợ khách hàng HCSN (bò)</v>
      </c>
      <c r="S638" s="478" t="s">
        <v>11499</v>
      </c>
      <c r="T638" s="205"/>
      <c r="U638" s="205"/>
      <c r="V638" s="205"/>
      <c r="W638" s="205"/>
      <c r="X638" s="205"/>
      <c r="Y638" s="202"/>
      <c r="Z638" s="474"/>
      <c r="AA638" s="475"/>
      <c r="AB638" s="208"/>
      <c r="AC638" s="208"/>
      <c r="AD638" s="208"/>
    </row>
    <row r="639" ht="15.75" customHeight="1" outlineLevel="1">
      <c r="A639" s="196" t="s">
        <v>11429</v>
      </c>
      <c r="B639" s="197" t="s">
        <v>189</v>
      </c>
      <c r="C639" s="197" t="s">
        <v>27</v>
      </c>
      <c r="D639" s="198" t="s">
        <v>4</v>
      </c>
      <c r="E639" s="199" t="s">
        <v>27</v>
      </c>
      <c r="F639" s="198" t="s">
        <v>4</v>
      </c>
      <c r="G639" s="198" t="s">
        <v>44</v>
      </c>
      <c r="H639" s="469" t="s">
        <v>11498</v>
      </c>
      <c r="I639" s="198" t="s">
        <v>29</v>
      </c>
      <c r="J639" s="472" t="s">
        <v>198</v>
      </c>
      <c r="K639" s="471" t="s">
        <v>27</v>
      </c>
      <c r="L639" s="470" t="s">
        <v>4</v>
      </c>
      <c r="M639" s="470" t="s">
        <v>51</v>
      </c>
      <c r="N639" s="472" t="s">
        <v>10515</v>
      </c>
      <c r="O639" s="201" t="str">
        <f t="shared" si="18"/>
        <v>L3.00.00.06.01.00</v>
      </c>
      <c r="P639" s="201"/>
      <c r="Q639" s="204"/>
      <c r="R639" s="204" t="str">
        <f t="shared" si="38"/>
        <v>Nhóm hỗ trợ giải pháp TCKT HCSN</v>
      </c>
      <c r="S639" s="478" t="s">
        <v>11500</v>
      </c>
      <c r="T639" s="205"/>
      <c r="U639" s="205"/>
      <c r="V639" s="205"/>
      <c r="W639" s="205"/>
      <c r="X639" s="205"/>
      <c r="Y639" s="202"/>
      <c r="Z639" s="474"/>
      <c r="AA639" s="475"/>
      <c r="AB639" s="208"/>
      <c r="AC639" s="208"/>
      <c r="AD639" s="208"/>
    </row>
    <row r="640" ht="15.75" customHeight="1" outlineLevel="1">
      <c r="A640" s="196" t="s">
        <v>11429</v>
      </c>
      <c r="B640" s="197" t="s">
        <v>189</v>
      </c>
      <c r="C640" s="197" t="s">
        <v>27</v>
      </c>
      <c r="D640" s="198" t="s">
        <v>4</v>
      </c>
      <c r="E640" s="199" t="s">
        <v>27</v>
      </c>
      <c r="F640" s="198" t="s">
        <v>4</v>
      </c>
      <c r="G640" s="198" t="s">
        <v>44</v>
      </c>
      <c r="H640" s="469" t="s">
        <v>11498</v>
      </c>
      <c r="I640" s="198" t="s">
        <v>33</v>
      </c>
      <c r="J640" s="472" t="s">
        <v>199</v>
      </c>
      <c r="K640" s="471" t="s">
        <v>27</v>
      </c>
      <c r="L640" s="470" t="s">
        <v>4</v>
      </c>
      <c r="M640" s="470" t="s">
        <v>51</v>
      </c>
      <c r="N640" s="472" t="s">
        <v>10515</v>
      </c>
      <c r="O640" s="201" t="str">
        <f t="shared" si="18"/>
        <v>L3.00.00.06.02.00</v>
      </c>
      <c r="P640" s="201"/>
      <c r="Q640" s="204"/>
      <c r="R640" s="204" t="str">
        <f t="shared" si="38"/>
        <v>Nhóm hỗ trợ giải pháp điều hành HCSN</v>
      </c>
      <c r="S640" s="478" t="s">
        <v>11501</v>
      </c>
      <c r="T640" s="205"/>
      <c r="U640" s="205"/>
      <c r="V640" s="205"/>
      <c r="W640" s="205"/>
      <c r="X640" s="205"/>
      <c r="Y640" s="202"/>
      <c r="Z640" s="474"/>
      <c r="AA640" s="475"/>
      <c r="AB640" s="208"/>
      <c r="AC640" s="208"/>
      <c r="AD640" s="208"/>
    </row>
    <row r="641" ht="15.75" customHeight="1" outlineLevel="1">
      <c r="A641" s="196" t="s">
        <v>11429</v>
      </c>
      <c r="B641" s="197" t="s">
        <v>189</v>
      </c>
      <c r="C641" s="197" t="s">
        <v>27</v>
      </c>
      <c r="D641" s="198" t="s">
        <v>4</v>
      </c>
      <c r="E641" s="199" t="s">
        <v>27</v>
      </c>
      <c r="F641" s="198" t="s">
        <v>4</v>
      </c>
      <c r="G641" s="198" t="s">
        <v>46</v>
      </c>
      <c r="H641" s="469" t="s">
        <v>11502</v>
      </c>
      <c r="I641" s="199" t="s">
        <v>27</v>
      </c>
      <c r="J641" s="470" t="s">
        <v>4</v>
      </c>
      <c r="K641" s="471" t="s">
        <v>27</v>
      </c>
      <c r="L641" s="470" t="s">
        <v>4</v>
      </c>
      <c r="M641" s="470" t="s">
        <v>51</v>
      </c>
      <c r="N641" s="472" t="s">
        <v>10515</v>
      </c>
      <c r="O641" s="201" t="str">
        <f t="shared" si="18"/>
        <v>L3.00.00.07.00.00</v>
      </c>
      <c r="P641" s="201"/>
      <c r="Q641" s="204"/>
      <c r="R641" s="204" t="str">
        <f t="shared" si="38"/>
        <v>Phòng hỗ trợ chủ động (bò)</v>
      </c>
      <c r="S641" s="478" t="s">
        <v>11503</v>
      </c>
      <c r="T641" s="480"/>
      <c r="U641" s="480"/>
      <c r="V641" s="480"/>
      <c r="W641" s="205"/>
      <c r="X641" s="205"/>
      <c r="Y641" s="202"/>
      <c r="Z641" s="474"/>
      <c r="AA641" s="475"/>
      <c r="AB641" s="208"/>
      <c r="AC641" s="208"/>
      <c r="AD641" s="208"/>
    </row>
    <row r="642" ht="15.75" customHeight="1" outlineLevel="1">
      <c r="A642" s="196" t="s">
        <v>11429</v>
      </c>
      <c r="B642" s="197" t="s">
        <v>189</v>
      </c>
      <c r="C642" s="197" t="s">
        <v>27</v>
      </c>
      <c r="D642" s="198" t="s">
        <v>4</v>
      </c>
      <c r="E642" s="199" t="s">
        <v>27</v>
      </c>
      <c r="F642" s="198" t="s">
        <v>4</v>
      </c>
      <c r="G642" s="198" t="s">
        <v>49</v>
      </c>
      <c r="H642" s="469" t="s">
        <v>11504</v>
      </c>
      <c r="I642" s="476" t="s">
        <v>27</v>
      </c>
      <c r="J642" s="477" t="s">
        <v>4</v>
      </c>
      <c r="K642" s="471" t="s">
        <v>27</v>
      </c>
      <c r="L642" s="470" t="s">
        <v>4</v>
      </c>
      <c r="M642" s="470" t="s">
        <v>51</v>
      </c>
      <c r="N642" s="472" t="s">
        <v>10515</v>
      </c>
      <c r="O642" s="201" t="str">
        <f t="shared" si="18"/>
        <v>L3.00.00.08.00.00</v>
      </c>
      <c r="P642" s="201"/>
      <c r="Q642" s="204"/>
      <c r="R642" s="204" t="str">
        <f t="shared" si="38"/>
        <v>Phòng CSKH VIP (bò)</v>
      </c>
      <c r="S642" s="478" t="s">
        <v>11505</v>
      </c>
      <c r="T642" s="205"/>
      <c r="U642" s="205"/>
      <c r="V642" s="205"/>
      <c r="W642" s="205"/>
      <c r="X642" s="205"/>
      <c r="Y642" s="202"/>
      <c r="Z642" s="474"/>
      <c r="AA642" s="475"/>
      <c r="AB642" s="208"/>
      <c r="AC642" s="208"/>
      <c r="AD642" s="208"/>
    </row>
    <row r="643" ht="15.75" customHeight="1" outlineLevel="1">
      <c r="A643" s="196" t="s">
        <v>11429</v>
      </c>
      <c r="B643" s="197" t="s">
        <v>189</v>
      </c>
      <c r="C643" s="197" t="s">
        <v>27</v>
      </c>
      <c r="D643" s="198" t="s">
        <v>4</v>
      </c>
      <c r="E643" s="199" t="s">
        <v>27</v>
      </c>
      <c r="F643" s="198" t="s">
        <v>4</v>
      </c>
      <c r="G643" s="198" t="s">
        <v>49</v>
      </c>
      <c r="H643" s="469" t="s">
        <v>11504</v>
      </c>
      <c r="I643" s="198" t="s">
        <v>29</v>
      </c>
      <c r="J643" s="472" t="s">
        <v>202</v>
      </c>
      <c r="K643" s="471" t="s">
        <v>27</v>
      </c>
      <c r="L643" s="470" t="s">
        <v>4</v>
      </c>
      <c r="M643" s="470" t="s">
        <v>51</v>
      </c>
      <c r="N643" s="472" t="s">
        <v>10515</v>
      </c>
      <c r="O643" s="201" t="str">
        <f t="shared" si="18"/>
        <v>L3.00.00.08.01.00</v>
      </c>
      <c r="P643" s="201"/>
      <c r="Q643" s="204"/>
      <c r="R643" s="204" t="str">
        <f t="shared" si="38"/>
        <v>Nhóm CS 01 - KH Gold, Silver</v>
      </c>
      <c r="S643" s="478" t="s">
        <v>11506</v>
      </c>
      <c r="T643" s="205"/>
      <c r="U643" s="205"/>
      <c r="V643" s="205"/>
      <c r="W643" s="205"/>
      <c r="X643" s="205"/>
      <c r="Y643" s="202"/>
      <c r="Z643" s="474"/>
      <c r="AA643" s="475"/>
      <c r="AB643" s="208"/>
      <c r="AC643" s="208"/>
      <c r="AD643" s="208"/>
    </row>
    <row r="644" ht="15.75" customHeight="1" outlineLevel="1">
      <c r="A644" s="196" t="s">
        <v>11429</v>
      </c>
      <c r="B644" s="197" t="s">
        <v>189</v>
      </c>
      <c r="C644" s="197" t="s">
        <v>27</v>
      </c>
      <c r="D644" s="198" t="s">
        <v>4</v>
      </c>
      <c r="E644" s="199" t="s">
        <v>27</v>
      </c>
      <c r="F644" s="198" t="s">
        <v>4</v>
      </c>
      <c r="G644" s="198" t="s">
        <v>49</v>
      </c>
      <c r="H644" s="469" t="s">
        <v>11504</v>
      </c>
      <c r="I644" s="198" t="s">
        <v>33</v>
      </c>
      <c r="J644" s="472" t="s">
        <v>203</v>
      </c>
      <c r="K644" s="471" t="s">
        <v>27</v>
      </c>
      <c r="L644" s="470" t="s">
        <v>4</v>
      </c>
      <c r="M644" s="470" t="s">
        <v>51</v>
      </c>
      <c r="N644" s="472" t="s">
        <v>10515</v>
      </c>
      <c r="O644" s="201" t="str">
        <f t="shared" si="18"/>
        <v>L3.00.00.08.02.00</v>
      </c>
      <c r="P644" s="201"/>
      <c r="Q644" s="204"/>
      <c r="R644" s="204" t="str">
        <f t="shared" si="38"/>
        <v>Nhóm CS 02 - KH Bronze</v>
      </c>
      <c r="S644" s="478" t="s">
        <v>11507</v>
      </c>
      <c r="T644" s="480"/>
      <c r="U644" s="480"/>
      <c r="V644" s="480"/>
      <c r="W644" s="205"/>
      <c r="X644" s="205"/>
      <c r="Y644" s="202"/>
      <c r="Z644" s="474"/>
      <c r="AA644" s="475"/>
      <c r="AB644" s="208"/>
      <c r="AC644" s="208"/>
      <c r="AD644" s="208"/>
    </row>
    <row r="645" ht="15.75" customHeight="1" outlineLevel="1">
      <c r="A645" s="196" t="s">
        <v>11429</v>
      </c>
      <c r="B645" s="197" t="s">
        <v>189</v>
      </c>
      <c r="C645" s="197" t="s">
        <v>27</v>
      </c>
      <c r="D645" s="198" t="s">
        <v>4</v>
      </c>
      <c r="E645" s="199" t="s">
        <v>27</v>
      </c>
      <c r="F645" s="198" t="s">
        <v>4</v>
      </c>
      <c r="G645" s="198" t="s">
        <v>51</v>
      </c>
      <c r="H645" s="469" t="s">
        <v>11508</v>
      </c>
      <c r="I645" s="199" t="s">
        <v>27</v>
      </c>
      <c r="J645" s="470" t="s">
        <v>4</v>
      </c>
      <c r="K645" s="471" t="s">
        <v>27</v>
      </c>
      <c r="L645" s="470" t="s">
        <v>4</v>
      </c>
      <c r="M645" s="470" t="s">
        <v>51</v>
      </c>
      <c r="N645" s="472" t="s">
        <v>10515</v>
      </c>
      <c r="O645" s="201" t="str">
        <f t="shared" si="18"/>
        <v>L3.00.00.09.00.00</v>
      </c>
      <c r="P645" s="201"/>
      <c r="Q645" s="204"/>
      <c r="R645" s="204" t="str">
        <f t="shared" si="38"/>
        <v>Nhóm gia hạn (bò)</v>
      </c>
      <c r="S645" s="478" t="s">
        <v>11509</v>
      </c>
      <c r="T645" s="205"/>
      <c r="U645" s="205"/>
      <c r="V645" s="205"/>
      <c r="W645" s="205"/>
      <c r="X645" s="205"/>
      <c r="Y645" s="202"/>
      <c r="Z645" s="474"/>
      <c r="AA645" s="475"/>
      <c r="AB645" s="208"/>
      <c r="AC645" s="208"/>
      <c r="AD645" s="208"/>
    </row>
    <row r="646" ht="15.75" customHeight="1">
      <c r="A646" s="50" t="s">
        <v>10516</v>
      </c>
      <c r="B646" s="47"/>
      <c r="C646" s="47"/>
      <c r="D646" s="47"/>
      <c r="E646" s="47"/>
      <c r="F646" s="47"/>
      <c r="G646" s="48"/>
      <c r="H646" s="49"/>
      <c r="I646" s="48"/>
      <c r="J646" s="439"/>
      <c r="K646" s="439"/>
      <c r="L646" s="439"/>
      <c r="M646" s="439"/>
      <c r="N646" s="440"/>
      <c r="O646" s="55" t="str">
        <f t="shared" si="18"/>
        <v>KHỐI HỖ TRỢ.....</v>
      </c>
      <c r="P646" s="48"/>
      <c r="Q646" s="169"/>
      <c r="R646" s="169" t="str">
        <f t="shared" si="38"/>
        <v/>
      </c>
      <c r="S646" s="96"/>
      <c r="T646" s="96"/>
      <c r="U646" s="96"/>
      <c r="V646" s="96"/>
      <c r="W646" s="96"/>
      <c r="X646" s="96"/>
      <c r="Y646" s="96"/>
      <c r="Z646" s="152"/>
      <c r="AA646" s="99"/>
      <c r="AB646" s="91"/>
      <c r="AC646" s="91"/>
      <c r="AD646" s="91"/>
    </row>
    <row r="647" ht="15.75" customHeight="1" outlineLevel="1">
      <c r="A647" s="177" t="s">
        <v>10529</v>
      </c>
      <c r="B647" s="221" t="s">
        <v>206</v>
      </c>
      <c r="C647" s="221" t="s">
        <v>27</v>
      </c>
      <c r="D647" s="172" t="s">
        <v>4</v>
      </c>
      <c r="E647" s="222" t="s">
        <v>27</v>
      </c>
      <c r="F647" s="172" t="s">
        <v>4</v>
      </c>
      <c r="G647" s="175" t="s">
        <v>27</v>
      </c>
      <c r="H647" s="230" t="s">
        <v>11510</v>
      </c>
      <c r="I647" s="222" t="s">
        <v>27</v>
      </c>
      <c r="J647" s="156" t="s">
        <v>4</v>
      </c>
      <c r="K647" s="297" t="s">
        <v>27</v>
      </c>
      <c r="L647" s="157" t="s">
        <v>4</v>
      </c>
      <c r="M647" s="168" t="s">
        <v>27</v>
      </c>
      <c r="N647" s="167"/>
      <c r="O647" s="55" t="str">
        <f t="shared" si="18"/>
        <v>L4.00.00.00.00.00</v>
      </c>
      <c r="P647" s="173" t="str">
        <f t="shared" ref="P647:P699" si="39">A647&amp;"."&amp;C647&amp;"."&amp;E647&amp;"."&amp;G647&amp;"."&amp;I647&amp;"."&amp;K647&amp;"."&amp;M647</f>
        <v>L4.00.00.00.00.00.00</v>
      </c>
      <c r="Q647" s="428" t="s">
        <v>10530</v>
      </c>
      <c r="R647" s="428" t="s">
        <v>11510</v>
      </c>
      <c r="S647" s="429" t="s">
        <v>22</v>
      </c>
      <c r="T647" s="176"/>
      <c r="U647" s="176"/>
      <c r="V647" s="176"/>
      <c r="W647" s="176"/>
      <c r="X647" s="176"/>
      <c r="Y647" s="224" t="s">
        <v>10894</v>
      </c>
      <c r="Z647" s="225" t="s">
        <v>206</v>
      </c>
      <c r="AA647" s="266"/>
      <c r="AB647" s="226"/>
      <c r="AC647" s="226"/>
      <c r="AD647" s="226"/>
    </row>
    <row r="648" ht="15.75" customHeight="1" outlineLevel="1">
      <c r="A648" s="481" t="s">
        <v>10529</v>
      </c>
      <c r="B648" s="482" t="s">
        <v>206</v>
      </c>
      <c r="C648" s="482" t="s">
        <v>27</v>
      </c>
      <c r="D648" s="483" t="s">
        <v>4</v>
      </c>
      <c r="E648" s="484" t="s">
        <v>27</v>
      </c>
      <c r="F648" s="483" t="s">
        <v>4</v>
      </c>
      <c r="G648" s="485" t="s">
        <v>35</v>
      </c>
      <c r="H648" s="486" t="s">
        <v>222</v>
      </c>
      <c r="I648" s="484" t="s">
        <v>27</v>
      </c>
      <c r="J648" s="487" t="s">
        <v>4</v>
      </c>
      <c r="K648" s="488" t="s">
        <v>27</v>
      </c>
      <c r="L648" s="489" t="s">
        <v>4</v>
      </c>
      <c r="M648" s="490" t="s">
        <v>27</v>
      </c>
      <c r="N648" s="491"/>
      <c r="O648" s="492" t="str">
        <f t="shared" si="18"/>
        <v>L4.00.00.03.00.00</v>
      </c>
      <c r="P648" s="492" t="str">
        <f t="shared" si="39"/>
        <v>L4.00.00.03.00.00.00</v>
      </c>
      <c r="Q648" s="493" t="s">
        <v>10530</v>
      </c>
      <c r="R648" s="494" t="str">
        <f t="shared" ref="R648:R664" si="40">if(L648&lt;&gt;"-",L648,if(AND(L648="-",J648&lt;&gt;"-"),J648,if(AND(J648="-",H648&lt;&gt;"-"),H648,"NA")))</f>
        <v>Ban GĐ VP</v>
      </c>
      <c r="S648" s="492" t="s">
        <v>11511</v>
      </c>
      <c r="T648" s="495"/>
      <c r="U648" s="495"/>
      <c r="V648" s="495"/>
      <c r="W648" s="495"/>
      <c r="X648" s="495"/>
      <c r="Y648" s="495"/>
      <c r="Z648" s="496" t="s">
        <v>11512</v>
      </c>
      <c r="AA648" s="497"/>
      <c r="AB648" s="498"/>
      <c r="AC648" s="498"/>
      <c r="AD648" s="498"/>
    </row>
    <row r="649" ht="15.75" customHeight="1" outlineLevel="1">
      <c r="A649" s="177" t="s">
        <v>10529</v>
      </c>
      <c r="B649" s="221" t="s">
        <v>206</v>
      </c>
      <c r="C649" s="221" t="s">
        <v>27</v>
      </c>
      <c r="D649" s="172" t="s">
        <v>4</v>
      </c>
      <c r="E649" s="222" t="s">
        <v>27</v>
      </c>
      <c r="F649" s="172" t="s">
        <v>4</v>
      </c>
      <c r="G649" s="175" t="s">
        <v>35</v>
      </c>
      <c r="H649" s="230" t="s">
        <v>11513</v>
      </c>
      <c r="I649" s="222" t="s">
        <v>27</v>
      </c>
      <c r="J649" s="156" t="s">
        <v>4</v>
      </c>
      <c r="K649" s="297" t="s">
        <v>27</v>
      </c>
      <c r="L649" s="157" t="s">
        <v>4</v>
      </c>
      <c r="M649" s="157" t="s">
        <v>29</v>
      </c>
      <c r="N649" s="167" t="s">
        <v>10498</v>
      </c>
      <c r="O649" s="55" t="str">
        <f t="shared" si="18"/>
        <v>L4.00.00.03.00.00</v>
      </c>
      <c r="P649" s="173" t="str">
        <f t="shared" si="39"/>
        <v>L4.00.00.03.00.00.01</v>
      </c>
      <c r="Q649" s="428" t="s">
        <v>10530</v>
      </c>
      <c r="R649" s="223" t="str">
        <f t="shared" si="40"/>
        <v>Ban GĐ VP - Hà Nội</v>
      </c>
      <c r="S649" s="173" t="s">
        <v>11514</v>
      </c>
      <c r="T649" s="176" t="s">
        <v>7551</v>
      </c>
      <c r="U649" s="176" t="s">
        <v>346</v>
      </c>
      <c r="V649" s="176" t="s">
        <v>7550</v>
      </c>
      <c r="W649" s="176"/>
      <c r="X649" s="176"/>
      <c r="Y649" s="176"/>
      <c r="Z649" s="225" t="s">
        <v>11515</v>
      </c>
      <c r="AA649" s="266"/>
      <c r="AB649" s="226"/>
      <c r="AC649" s="226"/>
      <c r="AD649" s="226"/>
    </row>
    <row r="650" ht="15.75" customHeight="1" outlineLevel="1">
      <c r="A650" s="177" t="s">
        <v>10529</v>
      </c>
      <c r="B650" s="221" t="s">
        <v>206</v>
      </c>
      <c r="C650" s="221" t="s">
        <v>27</v>
      </c>
      <c r="D650" s="172" t="s">
        <v>4</v>
      </c>
      <c r="E650" s="222" t="s">
        <v>27</v>
      </c>
      <c r="F650" s="172" t="s">
        <v>4</v>
      </c>
      <c r="G650" s="175" t="s">
        <v>35</v>
      </c>
      <c r="H650" s="230" t="s">
        <v>11516</v>
      </c>
      <c r="I650" s="222" t="s">
        <v>27</v>
      </c>
      <c r="J650" s="156" t="s">
        <v>4</v>
      </c>
      <c r="K650" s="297" t="s">
        <v>27</v>
      </c>
      <c r="L650" s="157" t="s">
        <v>4</v>
      </c>
      <c r="M650" s="157" t="s">
        <v>33</v>
      </c>
      <c r="N650" s="167" t="s">
        <v>10499</v>
      </c>
      <c r="O650" s="55" t="str">
        <f t="shared" si="18"/>
        <v>L4.00.00.03.00.00</v>
      </c>
      <c r="P650" s="173" t="str">
        <f t="shared" si="39"/>
        <v>L4.00.00.03.00.00.02</v>
      </c>
      <c r="Q650" s="428" t="s">
        <v>10530</v>
      </c>
      <c r="R650" s="223" t="str">
        <f t="shared" si="40"/>
        <v>Ban GĐ VP - Hồ Chí Minh</v>
      </c>
      <c r="S650" s="173" t="s">
        <v>11514</v>
      </c>
      <c r="T650" s="176" t="s">
        <v>7602</v>
      </c>
      <c r="U650" s="176" t="s">
        <v>262</v>
      </c>
      <c r="V650" s="176" t="s">
        <v>7601</v>
      </c>
      <c r="W650" s="176"/>
      <c r="X650" s="176"/>
      <c r="Y650" s="176"/>
      <c r="Z650" s="225" t="s">
        <v>11517</v>
      </c>
      <c r="AA650" s="266"/>
      <c r="AB650" s="226"/>
      <c r="AC650" s="226"/>
      <c r="AD650" s="226"/>
    </row>
    <row r="651" ht="15.75" customHeight="1" outlineLevel="1">
      <c r="A651" s="177" t="s">
        <v>10529</v>
      </c>
      <c r="B651" s="221" t="s">
        <v>206</v>
      </c>
      <c r="C651" s="221" t="s">
        <v>27</v>
      </c>
      <c r="D651" s="172" t="s">
        <v>4</v>
      </c>
      <c r="E651" s="222" t="s">
        <v>27</v>
      </c>
      <c r="F651" s="172" t="s">
        <v>4</v>
      </c>
      <c r="G651" s="175" t="s">
        <v>35</v>
      </c>
      <c r="H651" s="230" t="s">
        <v>11518</v>
      </c>
      <c r="I651" s="222" t="s">
        <v>27</v>
      </c>
      <c r="J651" s="156" t="s">
        <v>4</v>
      </c>
      <c r="K651" s="297" t="s">
        <v>27</v>
      </c>
      <c r="L651" s="157" t="s">
        <v>4</v>
      </c>
      <c r="M651" s="157" t="s">
        <v>35</v>
      </c>
      <c r="N651" s="167" t="s">
        <v>10500</v>
      </c>
      <c r="O651" s="55" t="str">
        <f t="shared" si="18"/>
        <v>L4.00.00.03.00.00</v>
      </c>
      <c r="P651" s="173" t="str">
        <f t="shared" si="39"/>
        <v>L4.00.00.03.00.00.03</v>
      </c>
      <c r="Q651" s="428" t="s">
        <v>10530</v>
      </c>
      <c r="R651" s="223" t="str">
        <f t="shared" si="40"/>
        <v>Ban GĐ VP - Đà Nẵng</v>
      </c>
      <c r="S651" s="173" t="s">
        <v>11514</v>
      </c>
      <c r="T651" s="176" t="s">
        <v>9531</v>
      </c>
      <c r="U651" s="176" t="s">
        <v>2811</v>
      </c>
      <c r="V651" s="176" t="s">
        <v>32</v>
      </c>
      <c r="W651" s="176"/>
      <c r="X651" s="176"/>
      <c r="Y651" s="176"/>
      <c r="Z651" s="225" t="s">
        <v>11519</v>
      </c>
      <c r="AA651" s="300" t="s">
        <v>10530</v>
      </c>
      <c r="AB651" s="226"/>
      <c r="AC651" s="226"/>
      <c r="AD651" s="226"/>
    </row>
    <row r="652" ht="15.75" customHeight="1" outlineLevel="1">
      <c r="A652" s="177" t="s">
        <v>10529</v>
      </c>
      <c r="B652" s="221" t="s">
        <v>206</v>
      </c>
      <c r="C652" s="221" t="s">
        <v>27</v>
      </c>
      <c r="D652" s="172" t="s">
        <v>4</v>
      </c>
      <c r="E652" s="222" t="s">
        <v>27</v>
      </c>
      <c r="F652" s="172" t="s">
        <v>4</v>
      </c>
      <c r="G652" s="175" t="s">
        <v>35</v>
      </c>
      <c r="H652" s="230" t="s">
        <v>11520</v>
      </c>
      <c r="I652" s="222" t="s">
        <v>27</v>
      </c>
      <c r="J652" s="156" t="s">
        <v>4</v>
      </c>
      <c r="K652" s="297" t="s">
        <v>27</v>
      </c>
      <c r="L652" s="157" t="s">
        <v>4</v>
      </c>
      <c r="M652" s="157" t="s">
        <v>37</v>
      </c>
      <c r="N652" s="298" t="s">
        <v>10900</v>
      </c>
      <c r="O652" s="55" t="str">
        <f t="shared" si="18"/>
        <v>L4.00.00.03.00.00</v>
      </c>
      <c r="P652" s="173" t="str">
        <f t="shared" si="39"/>
        <v>L4.00.00.03.00.00.04</v>
      </c>
      <c r="Q652" s="428" t="s">
        <v>10530</v>
      </c>
      <c r="R652" s="223" t="str">
        <f t="shared" si="40"/>
        <v>Ban GĐ VP - Buôn Ma Thuột</v>
      </c>
      <c r="S652" s="173" t="s">
        <v>11514</v>
      </c>
      <c r="T652" s="176" t="s">
        <v>9866</v>
      </c>
      <c r="U652" s="176" t="s">
        <v>2732</v>
      </c>
      <c r="V652" s="176" t="s">
        <v>32</v>
      </c>
      <c r="W652" s="176"/>
      <c r="X652" s="176"/>
      <c r="Y652" s="176"/>
      <c r="Z652" s="225" t="s">
        <v>11521</v>
      </c>
      <c r="AA652" s="300" t="s">
        <v>10530</v>
      </c>
      <c r="AB652" s="226"/>
      <c r="AC652" s="226"/>
      <c r="AD652" s="226"/>
    </row>
    <row r="653" ht="15.75" customHeight="1" outlineLevel="1">
      <c r="A653" s="177" t="s">
        <v>10529</v>
      </c>
      <c r="B653" s="221" t="s">
        <v>206</v>
      </c>
      <c r="C653" s="221" t="s">
        <v>27</v>
      </c>
      <c r="D653" s="172" t="s">
        <v>4</v>
      </c>
      <c r="E653" s="222" t="s">
        <v>27</v>
      </c>
      <c r="F653" s="172" t="s">
        <v>4</v>
      </c>
      <c r="G653" s="175" t="s">
        <v>35</v>
      </c>
      <c r="H653" s="230" t="s">
        <v>11522</v>
      </c>
      <c r="I653" s="222" t="s">
        <v>27</v>
      </c>
      <c r="J653" s="156" t="s">
        <v>4</v>
      </c>
      <c r="K653" s="297" t="s">
        <v>27</v>
      </c>
      <c r="L653" s="157" t="s">
        <v>4</v>
      </c>
      <c r="M653" s="157" t="s">
        <v>42</v>
      </c>
      <c r="N653" s="167" t="s">
        <v>10502</v>
      </c>
      <c r="O653" s="55" t="str">
        <f t="shared" si="18"/>
        <v>L4.00.00.03.00.00</v>
      </c>
      <c r="P653" s="173" t="str">
        <f t="shared" si="39"/>
        <v>L4.00.00.03.00.00.05</v>
      </c>
      <c r="Q653" s="428" t="s">
        <v>10530</v>
      </c>
      <c r="R653" s="223" t="str">
        <f t="shared" si="40"/>
        <v>Ban GĐ VP - Cần Thơ</v>
      </c>
      <c r="S653" s="173" t="s">
        <v>11514</v>
      </c>
      <c r="T653" s="176" t="s">
        <v>7280</v>
      </c>
      <c r="U653" s="176" t="s">
        <v>325</v>
      </c>
      <c r="V653" s="176" t="s">
        <v>32</v>
      </c>
      <c r="W653" s="176"/>
      <c r="X653" s="176"/>
      <c r="Y653" s="176"/>
      <c r="Z653" s="225" t="s">
        <v>11523</v>
      </c>
      <c r="AA653" s="300" t="s">
        <v>10530</v>
      </c>
      <c r="AB653" s="226"/>
      <c r="AC653" s="226"/>
      <c r="AD653" s="226"/>
    </row>
    <row r="654" ht="15.75" customHeight="1" outlineLevel="1">
      <c r="A654" s="177" t="s">
        <v>10529</v>
      </c>
      <c r="B654" s="221" t="s">
        <v>206</v>
      </c>
      <c r="C654" s="221" t="s">
        <v>27</v>
      </c>
      <c r="D654" s="172" t="s">
        <v>4</v>
      </c>
      <c r="E654" s="222" t="s">
        <v>27</v>
      </c>
      <c r="F654" s="172" t="s">
        <v>4</v>
      </c>
      <c r="G654" s="175" t="s">
        <v>35</v>
      </c>
      <c r="H654" s="212" t="s">
        <v>11524</v>
      </c>
      <c r="I654" s="222" t="s">
        <v>27</v>
      </c>
      <c r="J654" s="156" t="s">
        <v>4</v>
      </c>
      <c r="K654" s="297" t="s">
        <v>27</v>
      </c>
      <c r="L654" s="157" t="s">
        <v>4</v>
      </c>
      <c r="M654" s="157" t="s">
        <v>44</v>
      </c>
      <c r="N654" s="167" t="s">
        <v>10505</v>
      </c>
      <c r="O654" s="55" t="str">
        <f t="shared" si="18"/>
        <v>L4.00.00.03.00.00</v>
      </c>
      <c r="P654" s="173" t="str">
        <f t="shared" si="39"/>
        <v>L4.00.00.03.00.00.06</v>
      </c>
      <c r="Q654" s="428" t="s">
        <v>10530</v>
      </c>
      <c r="R654" s="273" t="str">
        <f t="shared" si="40"/>
        <v>Ban GĐ VP - Tổng công ty</v>
      </c>
      <c r="S654" s="173" t="s">
        <v>11514</v>
      </c>
      <c r="T654" s="176" t="s">
        <v>9748</v>
      </c>
      <c r="U654" s="176" t="s">
        <v>303</v>
      </c>
      <c r="V654" s="176" t="s">
        <v>7550</v>
      </c>
      <c r="W654" s="176"/>
      <c r="X654" s="176"/>
      <c r="Y654" s="176"/>
      <c r="Z654" s="225" t="s">
        <v>11525</v>
      </c>
      <c r="AA654" s="300" t="s">
        <v>10530</v>
      </c>
      <c r="AB654" s="226"/>
      <c r="AC654" s="226"/>
      <c r="AD654" s="226"/>
    </row>
    <row r="655" ht="15.75" customHeight="1" outlineLevel="1">
      <c r="A655" s="499" t="s">
        <v>10529</v>
      </c>
      <c r="B655" s="500" t="s">
        <v>206</v>
      </c>
      <c r="C655" s="500" t="s">
        <v>27</v>
      </c>
      <c r="D655" s="501" t="s">
        <v>4</v>
      </c>
      <c r="E655" s="502" t="s">
        <v>27</v>
      </c>
      <c r="F655" s="501" t="s">
        <v>4</v>
      </c>
      <c r="G655" s="485" t="s">
        <v>37</v>
      </c>
      <c r="H655" s="503" t="s">
        <v>34</v>
      </c>
      <c r="I655" s="484" t="s">
        <v>27</v>
      </c>
      <c r="J655" s="487" t="s">
        <v>4</v>
      </c>
      <c r="K655" s="502" t="s">
        <v>27</v>
      </c>
      <c r="L655" s="501" t="s">
        <v>4</v>
      </c>
      <c r="M655" s="504" t="s">
        <v>27</v>
      </c>
      <c r="N655" s="503"/>
      <c r="O655" s="492" t="str">
        <f t="shared" si="18"/>
        <v>L4.00.00.04.00.00</v>
      </c>
      <c r="P655" s="492" t="str">
        <f t="shared" si="39"/>
        <v>L4.00.00.04.00.00.00</v>
      </c>
      <c r="Q655" s="493" t="s">
        <v>10530</v>
      </c>
      <c r="R655" s="494" t="str">
        <f t="shared" si="40"/>
        <v>Phòng HCTH</v>
      </c>
      <c r="S655" s="492" t="s">
        <v>11511</v>
      </c>
      <c r="T655" s="505"/>
      <c r="U655" s="505"/>
      <c r="V655" s="505"/>
      <c r="W655" s="506"/>
      <c r="X655" s="506"/>
      <c r="Y655" s="506"/>
      <c r="Z655" s="507" t="s">
        <v>11526</v>
      </c>
      <c r="AA655" s="508"/>
      <c r="AB655" s="509"/>
      <c r="AC655" s="509"/>
      <c r="AD655" s="509"/>
    </row>
    <row r="656" ht="15.75" customHeight="1" outlineLevel="1">
      <c r="A656" s="510" t="s">
        <v>10529</v>
      </c>
      <c r="B656" s="511" t="s">
        <v>206</v>
      </c>
      <c r="C656" s="511" t="s">
        <v>27</v>
      </c>
      <c r="D656" s="512" t="s">
        <v>4</v>
      </c>
      <c r="E656" s="513" t="s">
        <v>27</v>
      </c>
      <c r="F656" s="512" t="s">
        <v>4</v>
      </c>
      <c r="G656" s="175" t="s">
        <v>37</v>
      </c>
      <c r="H656" s="514" t="s">
        <v>11527</v>
      </c>
      <c r="I656" s="222" t="s">
        <v>27</v>
      </c>
      <c r="J656" s="156" t="s">
        <v>4</v>
      </c>
      <c r="K656" s="513" t="s">
        <v>27</v>
      </c>
      <c r="L656" s="512" t="s">
        <v>4</v>
      </c>
      <c r="M656" s="512" t="s">
        <v>29</v>
      </c>
      <c r="N656" s="515" t="s">
        <v>10498</v>
      </c>
      <c r="O656" s="173" t="str">
        <f t="shared" si="18"/>
        <v>L4.00.00.04.00.00</v>
      </c>
      <c r="P656" s="173" t="str">
        <f t="shared" si="39"/>
        <v>L4.00.00.04.00.00.01</v>
      </c>
      <c r="Q656" s="428" t="s">
        <v>10530</v>
      </c>
      <c r="R656" s="223" t="str">
        <f t="shared" si="40"/>
        <v>Phòng HCTH - Hà Nội</v>
      </c>
      <c r="S656" s="173" t="s">
        <v>11528</v>
      </c>
      <c r="T656" s="516" t="s">
        <v>4694</v>
      </c>
      <c r="U656" s="516" t="s">
        <v>346</v>
      </c>
      <c r="V656" s="516" t="s">
        <v>2463</v>
      </c>
      <c r="W656" s="517"/>
      <c r="X656" s="517"/>
      <c r="Y656" s="517"/>
      <c r="Z656" s="518" t="s">
        <v>11529</v>
      </c>
      <c r="AA656" s="300" t="s">
        <v>10530</v>
      </c>
      <c r="AB656" s="296"/>
      <c r="AC656" s="296"/>
      <c r="AD656" s="296"/>
    </row>
    <row r="657" ht="15.75" customHeight="1" outlineLevel="1">
      <c r="A657" s="510" t="s">
        <v>10529</v>
      </c>
      <c r="B657" s="511" t="s">
        <v>206</v>
      </c>
      <c r="C657" s="511" t="s">
        <v>27</v>
      </c>
      <c r="D657" s="512" t="s">
        <v>4</v>
      </c>
      <c r="E657" s="513" t="s">
        <v>27</v>
      </c>
      <c r="F657" s="512" t="s">
        <v>4</v>
      </c>
      <c r="G657" s="175" t="s">
        <v>37</v>
      </c>
      <c r="H657" s="514" t="s">
        <v>11530</v>
      </c>
      <c r="I657" s="222" t="s">
        <v>27</v>
      </c>
      <c r="J657" s="156" t="s">
        <v>4</v>
      </c>
      <c r="K657" s="513" t="s">
        <v>27</v>
      </c>
      <c r="L657" s="512" t="s">
        <v>4</v>
      </c>
      <c r="M657" s="512" t="s">
        <v>33</v>
      </c>
      <c r="N657" s="515" t="s">
        <v>10499</v>
      </c>
      <c r="O657" s="173" t="str">
        <f t="shared" si="18"/>
        <v>L4.00.00.04.00.00</v>
      </c>
      <c r="P657" s="173" t="str">
        <f t="shared" si="39"/>
        <v>L4.00.00.04.00.00.02</v>
      </c>
      <c r="Q657" s="428" t="s">
        <v>10530</v>
      </c>
      <c r="R657" s="223" t="str">
        <f t="shared" si="40"/>
        <v>Phòng HCTH - Hồ Chí Minh</v>
      </c>
      <c r="S657" s="173" t="s">
        <v>11528</v>
      </c>
      <c r="T657" s="516" t="s">
        <v>2464</v>
      </c>
      <c r="U657" s="516" t="s">
        <v>262</v>
      </c>
      <c r="V657" s="516" t="s">
        <v>2463</v>
      </c>
      <c r="W657" s="517"/>
      <c r="X657" s="517"/>
      <c r="Y657" s="517"/>
      <c r="Z657" s="518" t="s">
        <v>11531</v>
      </c>
      <c r="AA657" s="300" t="s">
        <v>10530</v>
      </c>
      <c r="AB657" s="296"/>
      <c r="AC657" s="296"/>
      <c r="AD657" s="296"/>
    </row>
    <row r="658" ht="15.75" customHeight="1" outlineLevel="1">
      <c r="A658" s="510" t="s">
        <v>10529</v>
      </c>
      <c r="B658" s="511" t="s">
        <v>206</v>
      </c>
      <c r="C658" s="511" t="s">
        <v>27</v>
      </c>
      <c r="D658" s="512" t="s">
        <v>4</v>
      </c>
      <c r="E658" s="513" t="s">
        <v>27</v>
      </c>
      <c r="F658" s="512" t="s">
        <v>4</v>
      </c>
      <c r="G658" s="175" t="s">
        <v>37</v>
      </c>
      <c r="H658" s="514" t="s">
        <v>11532</v>
      </c>
      <c r="I658" s="222" t="s">
        <v>27</v>
      </c>
      <c r="J658" s="519" t="s">
        <v>4</v>
      </c>
      <c r="K658" s="513" t="s">
        <v>27</v>
      </c>
      <c r="L658" s="512" t="s">
        <v>4</v>
      </c>
      <c r="M658" s="512" t="s">
        <v>35</v>
      </c>
      <c r="N658" s="515" t="s">
        <v>10500</v>
      </c>
      <c r="O658" s="173" t="str">
        <f t="shared" si="18"/>
        <v>L4.00.00.04.00.00</v>
      </c>
      <c r="P658" s="173" t="str">
        <f t="shared" si="39"/>
        <v>L4.00.00.04.00.00.03</v>
      </c>
      <c r="Q658" s="428" t="s">
        <v>10530</v>
      </c>
      <c r="R658" s="520" t="str">
        <f t="shared" si="40"/>
        <v>Phòng HCTH - Đà Nẵng</v>
      </c>
      <c r="S658" s="173" t="s">
        <v>11528</v>
      </c>
      <c r="T658" s="516" t="s">
        <v>3645</v>
      </c>
      <c r="U658" s="516" t="s">
        <v>2811</v>
      </c>
      <c r="V658" s="516" t="s">
        <v>2463</v>
      </c>
      <c r="W658" s="517"/>
      <c r="X658" s="517"/>
      <c r="Y658" s="517"/>
      <c r="Z658" s="518" t="s">
        <v>11533</v>
      </c>
      <c r="AA658" s="300" t="s">
        <v>10530</v>
      </c>
      <c r="AB658" s="296"/>
      <c r="AC658" s="296"/>
      <c r="AD658" s="296"/>
    </row>
    <row r="659" ht="15.75" customHeight="1" outlineLevel="1">
      <c r="A659" s="521" t="s">
        <v>10529</v>
      </c>
      <c r="B659" s="522" t="s">
        <v>206</v>
      </c>
      <c r="C659" s="522" t="s">
        <v>27</v>
      </c>
      <c r="D659" s="523" t="s">
        <v>4</v>
      </c>
      <c r="E659" s="524" t="s">
        <v>27</v>
      </c>
      <c r="F659" s="523" t="s">
        <v>4</v>
      </c>
      <c r="G659" s="175" t="s">
        <v>37</v>
      </c>
      <c r="H659" s="525" t="s">
        <v>11534</v>
      </c>
      <c r="I659" s="222" t="s">
        <v>27</v>
      </c>
      <c r="J659" s="526" t="s">
        <v>4</v>
      </c>
      <c r="K659" s="524" t="s">
        <v>27</v>
      </c>
      <c r="L659" s="523" t="s">
        <v>4</v>
      </c>
      <c r="M659" s="523" t="s">
        <v>37</v>
      </c>
      <c r="N659" s="525" t="s">
        <v>10900</v>
      </c>
      <c r="O659" s="173" t="str">
        <f t="shared" si="18"/>
        <v>L4.00.00.04.00.00</v>
      </c>
      <c r="P659" s="173" t="str">
        <f t="shared" si="39"/>
        <v>L4.00.00.04.00.00.04</v>
      </c>
      <c r="Q659" s="428" t="s">
        <v>10530</v>
      </c>
      <c r="R659" s="527" t="str">
        <f t="shared" si="40"/>
        <v>Phòng HCTH - Buôn Ma Thuột</v>
      </c>
      <c r="S659" s="173" t="s">
        <v>11528</v>
      </c>
      <c r="T659" s="528" t="s">
        <v>4549</v>
      </c>
      <c r="U659" s="528" t="s">
        <v>2732</v>
      </c>
      <c r="V659" s="528" t="s">
        <v>2463</v>
      </c>
      <c r="W659" s="529"/>
      <c r="X659" s="529"/>
      <c r="Y659" s="529"/>
      <c r="Z659" s="518" t="s">
        <v>11535</v>
      </c>
      <c r="AA659" s="300" t="s">
        <v>10530</v>
      </c>
      <c r="AB659" s="296"/>
      <c r="AC659" s="296"/>
      <c r="AD659" s="296"/>
    </row>
    <row r="660" ht="15.75" customHeight="1" outlineLevel="1">
      <c r="A660" s="521" t="s">
        <v>10529</v>
      </c>
      <c r="B660" s="522" t="s">
        <v>206</v>
      </c>
      <c r="C660" s="522" t="s">
        <v>27</v>
      </c>
      <c r="D660" s="523" t="s">
        <v>4</v>
      </c>
      <c r="E660" s="524" t="s">
        <v>27</v>
      </c>
      <c r="F660" s="523" t="s">
        <v>4</v>
      </c>
      <c r="G660" s="175" t="s">
        <v>37</v>
      </c>
      <c r="H660" s="525" t="s">
        <v>11536</v>
      </c>
      <c r="I660" s="222" t="s">
        <v>27</v>
      </c>
      <c r="J660" s="526" t="s">
        <v>4</v>
      </c>
      <c r="K660" s="524" t="s">
        <v>27</v>
      </c>
      <c r="L660" s="523" t="s">
        <v>4</v>
      </c>
      <c r="M660" s="523" t="s">
        <v>42</v>
      </c>
      <c r="N660" s="530" t="s">
        <v>10502</v>
      </c>
      <c r="O660" s="173" t="str">
        <f t="shared" si="18"/>
        <v>L4.00.00.04.00.00</v>
      </c>
      <c r="P660" s="173" t="str">
        <f t="shared" si="39"/>
        <v>L4.00.00.04.00.00.05</v>
      </c>
      <c r="Q660" s="428" t="s">
        <v>10530</v>
      </c>
      <c r="R660" s="527" t="str">
        <f t="shared" si="40"/>
        <v>Phòng HCTH - Cần Thơ</v>
      </c>
      <c r="S660" s="173" t="s">
        <v>11528</v>
      </c>
      <c r="T660" s="528" t="s">
        <v>7565</v>
      </c>
      <c r="U660" s="528" t="s">
        <v>325</v>
      </c>
      <c r="V660" s="528" t="s">
        <v>2463</v>
      </c>
      <c r="W660" s="529"/>
      <c r="X660" s="529"/>
      <c r="Y660" s="529"/>
      <c r="Z660" s="518" t="s">
        <v>11537</v>
      </c>
      <c r="AA660" s="300" t="s">
        <v>10530</v>
      </c>
      <c r="AB660" s="296"/>
      <c r="AC660" s="296"/>
      <c r="AD660" s="296"/>
    </row>
    <row r="661" ht="15.75" customHeight="1" outlineLevel="1">
      <c r="A661" s="521" t="s">
        <v>10529</v>
      </c>
      <c r="B661" s="522" t="s">
        <v>206</v>
      </c>
      <c r="C661" s="522" t="s">
        <v>27</v>
      </c>
      <c r="D661" s="523" t="s">
        <v>4</v>
      </c>
      <c r="E661" s="524" t="s">
        <v>27</v>
      </c>
      <c r="F661" s="523" t="s">
        <v>4</v>
      </c>
      <c r="G661" s="175" t="s">
        <v>37</v>
      </c>
      <c r="H661" s="525" t="s">
        <v>11538</v>
      </c>
      <c r="I661" s="222" t="s">
        <v>27</v>
      </c>
      <c r="J661" s="526" t="s">
        <v>4</v>
      </c>
      <c r="K661" s="524" t="s">
        <v>27</v>
      </c>
      <c r="L661" s="523" t="s">
        <v>4</v>
      </c>
      <c r="M661" s="523" t="s">
        <v>44</v>
      </c>
      <c r="N661" s="530" t="s">
        <v>10505</v>
      </c>
      <c r="O661" s="55" t="str">
        <f t="shared" si="18"/>
        <v>L4.00.00.04.00.00</v>
      </c>
      <c r="P661" s="173" t="str">
        <f t="shared" si="39"/>
        <v>L4.00.00.04.00.00.06</v>
      </c>
      <c r="Q661" s="428" t="s">
        <v>10530</v>
      </c>
      <c r="R661" s="527" t="str">
        <f t="shared" si="40"/>
        <v>Phòng HCTH - Tổng công ty</v>
      </c>
      <c r="S661" s="173" t="s">
        <v>11528</v>
      </c>
      <c r="T661" s="528" t="s">
        <v>2868</v>
      </c>
      <c r="U661" s="528" t="s">
        <v>303</v>
      </c>
      <c r="V661" s="528" t="s">
        <v>2463</v>
      </c>
      <c r="W661" s="529"/>
      <c r="X661" s="529"/>
      <c r="Y661" s="529"/>
      <c r="Z661" s="518" t="s">
        <v>11539</v>
      </c>
      <c r="AA661" s="300" t="s">
        <v>10530</v>
      </c>
      <c r="AB661" s="296"/>
      <c r="AC661" s="296"/>
      <c r="AD661" s="296"/>
    </row>
    <row r="662" ht="15.75" customHeight="1" outlineLevel="1">
      <c r="A662" s="531" t="s">
        <v>10529</v>
      </c>
      <c r="B662" s="532" t="s">
        <v>206</v>
      </c>
      <c r="C662" s="532" t="s">
        <v>27</v>
      </c>
      <c r="D662" s="533" t="s">
        <v>4</v>
      </c>
      <c r="E662" s="534" t="s">
        <v>27</v>
      </c>
      <c r="F662" s="533" t="s">
        <v>4</v>
      </c>
      <c r="G662" s="485" t="s">
        <v>42</v>
      </c>
      <c r="H662" s="535" t="s">
        <v>36</v>
      </c>
      <c r="I662" s="484" t="s">
        <v>27</v>
      </c>
      <c r="J662" s="487" t="s">
        <v>4</v>
      </c>
      <c r="K662" s="534" t="s">
        <v>27</v>
      </c>
      <c r="L662" s="533" t="s">
        <v>4</v>
      </c>
      <c r="M662" s="536" t="s">
        <v>27</v>
      </c>
      <c r="N662" s="535"/>
      <c r="O662" s="492" t="str">
        <f t="shared" si="18"/>
        <v>L4.00.00.05.00.00</v>
      </c>
      <c r="P662" s="492" t="str">
        <f t="shared" si="39"/>
        <v>L4.00.00.05.00.00.00</v>
      </c>
      <c r="Q662" s="493" t="s">
        <v>10530</v>
      </c>
      <c r="R662" s="494" t="str">
        <f t="shared" si="40"/>
        <v>Phòng Quan hệ cộng đồng</v>
      </c>
      <c r="S662" s="492" t="s">
        <v>11511</v>
      </c>
      <c r="T662" s="537"/>
      <c r="U662" s="537"/>
      <c r="V662" s="537"/>
      <c r="W662" s="538"/>
      <c r="X662" s="538"/>
      <c r="Y662" s="538"/>
      <c r="Z662" s="507" t="s">
        <v>2453</v>
      </c>
      <c r="AA662" s="508"/>
      <c r="AB662" s="509"/>
      <c r="AC662" s="509"/>
      <c r="AD662" s="509"/>
    </row>
    <row r="663" ht="15.75" customHeight="1" outlineLevel="1">
      <c r="A663" s="521" t="s">
        <v>10529</v>
      </c>
      <c r="B663" s="522" t="s">
        <v>206</v>
      </c>
      <c r="C663" s="522" t="s">
        <v>27</v>
      </c>
      <c r="D663" s="523" t="s">
        <v>4</v>
      </c>
      <c r="E663" s="524" t="s">
        <v>27</v>
      </c>
      <c r="F663" s="523" t="s">
        <v>4</v>
      </c>
      <c r="G663" s="175" t="s">
        <v>42</v>
      </c>
      <c r="H663" s="525" t="s">
        <v>11540</v>
      </c>
      <c r="I663" s="222" t="s">
        <v>27</v>
      </c>
      <c r="J663" s="156" t="s">
        <v>4</v>
      </c>
      <c r="K663" s="524" t="s">
        <v>27</v>
      </c>
      <c r="L663" s="523" t="s">
        <v>4</v>
      </c>
      <c r="M663" s="523" t="s">
        <v>29</v>
      </c>
      <c r="N663" s="530" t="s">
        <v>10498</v>
      </c>
      <c r="O663" s="55" t="str">
        <f t="shared" si="18"/>
        <v>L4.00.00.05.00.00</v>
      </c>
      <c r="P663" s="173" t="str">
        <f t="shared" si="39"/>
        <v>L4.00.00.05.00.00.01</v>
      </c>
      <c r="Q663" s="428" t="s">
        <v>10530</v>
      </c>
      <c r="R663" s="223" t="str">
        <f t="shared" si="40"/>
        <v>Phòng Quan hệ cộng đồng - Hà Nội</v>
      </c>
      <c r="S663" s="173" t="s">
        <v>11541</v>
      </c>
      <c r="T663" s="528" t="s">
        <v>7593</v>
      </c>
      <c r="U663" s="528" t="s">
        <v>346</v>
      </c>
      <c r="V663" s="528" t="s">
        <v>36</v>
      </c>
      <c r="W663" s="529"/>
      <c r="X663" s="529"/>
      <c r="Y663" s="529"/>
      <c r="Z663" s="518" t="s">
        <v>11542</v>
      </c>
      <c r="AA663" s="300" t="s">
        <v>10530</v>
      </c>
      <c r="AB663" s="296"/>
      <c r="AC663" s="296"/>
      <c r="AD663" s="296"/>
    </row>
    <row r="664" ht="15.75" customHeight="1" outlineLevel="1">
      <c r="A664" s="521" t="s">
        <v>10529</v>
      </c>
      <c r="B664" s="522" t="s">
        <v>206</v>
      </c>
      <c r="C664" s="522" t="s">
        <v>27</v>
      </c>
      <c r="D664" s="523" t="s">
        <v>4</v>
      </c>
      <c r="E664" s="524" t="s">
        <v>27</v>
      </c>
      <c r="F664" s="523" t="s">
        <v>4</v>
      </c>
      <c r="G664" s="175" t="s">
        <v>42</v>
      </c>
      <c r="H664" s="525" t="s">
        <v>11543</v>
      </c>
      <c r="I664" s="177" t="s">
        <v>35</v>
      </c>
      <c r="J664" s="156" t="s">
        <v>4</v>
      </c>
      <c r="K664" s="524" t="s">
        <v>27</v>
      </c>
      <c r="L664" s="523" t="s">
        <v>4</v>
      </c>
      <c r="M664" s="523" t="s">
        <v>33</v>
      </c>
      <c r="N664" s="530" t="s">
        <v>10499</v>
      </c>
      <c r="O664" s="55" t="str">
        <f t="shared" si="18"/>
        <v>L4.00.00.05.03.00</v>
      </c>
      <c r="P664" s="173" t="str">
        <f t="shared" si="39"/>
        <v>L4.00.00.05.03.00.02</v>
      </c>
      <c r="Q664" s="428" t="s">
        <v>10530</v>
      </c>
      <c r="R664" s="223" t="str">
        <f t="shared" si="40"/>
        <v>Phòng Quan hệ cộng đồng - Hồ Chí Minh</v>
      </c>
      <c r="S664" s="173" t="s">
        <v>11541</v>
      </c>
      <c r="T664" s="528" t="s">
        <v>2452</v>
      </c>
      <c r="U664" s="528" t="s">
        <v>262</v>
      </c>
      <c r="V664" s="528" t="s">
        <v>36</v>
      </c>
      <c r="W664" s="529"/>
      <c r="X664" s="529"/>
      <c r="Y664" s="529"/>
      <c r="Z664" s="518" t="s">
        <v>11544</v>
      </c>
      <c r="AA664" s="300" t="s">
        <v>10530</v>
      </c>
      <c r="AB664" s="296"/>
      <c r="AC664" s="296"/>
      <c r="AD664" s="296"/>
    </row>
    <row r="665" ht="15.75" customHeight="1" outlineLevel="1">
      <c r="A665" s="177" t="s">
        <v>10529</v>
      </c>
      <c r="B665" s="221" t="s">
        <v>206</v>
      </c>
      <c r="C665" s="221" t="s">
        <v>27</v>
      </c>
      <c r="D665" s="172" t="s">
        <v>4</v>
      </c>
      <c r="E665" s="222" t="s">
        <v>27</v>
      </c>
      <c r="F665" s="172" t="s">
        <v>4</v>
      </c>
      <c r="G665" s="175" t="s">
        <v>44</v>
      </c>
      <c r="H665" s="230" t="s">
        <v>11545</v>
      </c>
      <c r="I665" s="175" t="s">
        <v>27</v>
      </c>
      <c r="J665" s="262" t="s">
        <v>4</v>
      </c>
      <c r="K665" s="297" t="s">
        <v>27</v>
      </c>
      <c r="L665" s="157" t="s">
        <v>4</v>
      </c>
      <c r="M665" s="157" t="s">
        <v>44</v>
      </c>
      <c r="N665" s="167" t="s">
        <v>10505</v>
      </c>
      <c r="O665" s="55" t="str">
        <f t="shared" si="18"/>
        <v>L4.00.00.06.00.00</v>
      </c>
      <c r="P665" s="173" t="str">
        <f t="shared" si="39"/>
        <v>L4.00.00.06.00.00.06</v>
      </c>
      <c r="Q665" s="428" t="s">
        <v>10530</v>
      </c>
      <c r="R665" s="539" t="s">
        <v>36</v>
      </c>
      <c r="S665" s="429" t="s">
        <v>11541</v>
      </c>
      <c r="T665" s="224" t="s">
        <v>3014</v>
      </c>
      <c r="U665" s="176" t="s">
        <v>303</v>
      </c>
      <c r="V665" s="176" t="s">
        <v>36</v>
      </c>
      <c r="W665" s="176"/>
      <c r="X665" s="176"/>
      <c r="Y665" s="176"/>
      <c r="Z665" s="225" t="s">
        <v>11546</v>
      </c>
      <c r="AA665" s="300" t="s">
        <v>10530</v>
      </c>
      <c r="AB665" s="226"/>
      <c r="AC665" s="376" t="s">
        <v>11148</v>
      </c>
      <c r="AD665" s="226"/>
    </row>
    <row r="666" ht="15.75" customHeight="1" outlineLevel="1">
      <c r="A666" s="177" t="s">
        <v>10529</v>
      </c>
      <c r="B666" s="221" t="s">
        <v>206</v>
      </c>
      <c r="C666" s="221" t="s">
        <v>27</v>
      </c>
      <c r="D666" s="172" t="s">
        <v>4</v>
      </c>
      <c r="E666" s="222" t="s">
        <v>27</v>
      </c>
      <c r="F666" s="172" t="s">
        <v>4</v>
      </c>
      <c r="G666" s="175" t="s">
        <v>44</v>
      </c>
      <c r="H666" s="230" t="s">
        <v>11545</v>
      </c>
      <c r="I666" s="222" t="s">
        <v>29</v>
      </c>
      <c r="J666" s="167" t="s">
        <v>223</v>
      </c>
      <c r="K666" s="297" t="s">
        <v>27</v>
      </c>
      <c r="L666" s="157" t="s">
        <v>4</v>
      </c>
      <c r="M666" s="157" t="s">
        <v>44</v>
      </c>
      <c r="N666" s="167" t="s">
        <v>10505</v>
      </c>
      <c r="O666" s="55" t="str">
        <f t="shared" si="18"/>
        <v>L4.00.00.06.01.00</v>
      </c>
      <c r="P666" s="173" t="str">
        <f t="shared" si="39"/>
        <v>L4.00.00.06.01.00.06</v>
      </c>
      <c r="Q666" s="428" t="s">
        <v>10530</v>
      </c>
      <c r="R666" s="223" t="str">
        <f t="shared" ref="R666:R700" si="41">if(L666&lt;&gt;"-",L666,if(AND(L666="-",J666&lt;&gt;"-"),J666,if(AND(J666="-",H666&lt;&gt;"-"),H666,"NA")))</f>
        <v>Ban giám đốc truyền thông</v>
      </c>
      <c r="S666" s="429" t="s">
        <v>11547</v>
      </c>
      <c r="T666" s="176" t="s">
        <v>600</v>
      </c>
      <c r="U666" s="176" t="s">
        <v>303</v>
      </c>
      <c r="V666" s="176" t="s">
        <v>36</v>
      </c>
      <c r="W666" s="176" t="s">
        <v>223</v>
      </c>
      <c r="X666" s="176"/>
      <c r="Y666" s="176"/>
      <c r="Z666" s="225" t="s">
        <v>11548</v>
      </c>
      <c r="AA666" s="300" t="s">
        <v>10530</v>
      </c>
      <c r="AB666" s="226"/>
      <c r="AC666" s="226"/>
      <c r="AD666" s="226"/>
    </row>
    <row r="667" ht="15.75" customHeight="1" outlineLevel="1">
      <c r="A667" s="177" t="s">
        <v>10529</v>
      </c>
      <c r="B667" s="221" t="s">
        <v>206</v>
      </c>
      <c r="C667" s="221" t="s">
        <v>27</v>
      </c>
      <c r="D667" s="172" t="s">
        <v>4</v>
      </c>
      <c r="E667" s="222" t="s">
        <v>27</v>
      </c>
      <c r="F667" s="172" t="s">
        <v>4</v>
      </c>
      <c r="G667" s="175" t="s">
        <v>46</v>
      </c>
      <c r="H667" s="171" t="s">
        <v>225</v>
      </c>
      <c r="I667" s="175" t="s">
        <v>27</v>
      </c>
      <c r="J667" s="262" t="s">
        <v>4</v>
      </c>
      <c r="K667" s="297" t="s">
        <v>27</v>
      </c>
      <c r="L667" s="157" t="s">
        <v>4</v>
      </c>
      <c r="M667" s="168" t="s">
        <v>27</v>
      </c>
      <c r="N667" s="167"/>
      <c r="O667" s="55" t="str">
        <f t="shared" si="18"/>
        <v>L4.00.00.07.00.00</v>
      </c>
      <c r="P667" s="173" t="str">
        <f t="shared" si="39"/>
        <v>L4.00.00.07.00.00.00</v>
      </c>
      <c r="Q667" s="428" t="s">
        <v>10530</v>
      </c>
      <c r="R667" s="223" t="str">
        <f t="shared" si="41"/>
        <v>Ban tài chính</v>
      </c>
      <c r="S667" s="429" t="s">
        <v>11511</v>
      </c>
      <c r="T667" s="176"/>
      <c r="U667" s="176"/>
      <c r="V667" s="176"/>
      <c r="W667" s="176"/>
      <c r="X667" s="176"/>
      <c r="Y667" s="224" t="s">
        <v>10894</v>
      </c>
      <c r="Z667" s="225" t="s">
        <v>11549</v>
      </c>
      <c r="AA667" s="266"/>
      <c r="AB667" s="226"/>
      <c r="AC667" s="226"/>
      <c r="AD667" s="226"/>
    </row>
    <row r="668" ht="15.75" customHeight="1" outlineLevel="1">
      <c r="A668" s="481" t="s">
        <v>10529</v>
      </c>
      <c r="B668" s="482" t="s">
        <v>206</v>
      </c>
      <c r="C668" s="482" t="s">
        <v>27</v>
      </c>
      <c r="D668" s="483" t="s">
        <v>4</v>
      </c>
      <c r="E668" s="484" t="s">
        <v>27</v>
      </c>
      <c r="F668" s="483" t="s">
        <v>4</v>
      </c>
      <c r="G668" s="485" t="s">
        <v>46</v>
      </c>
      <c r="H668" s="486" t="s">
        <v>225</v>
      </c>
      <c r="I668" s="483" t="s">
        <v>29</v>
      </c>
      <c r="J668" s="491" t="s">
        <v>226</v>
      </c>
      <c r="K668" s="488" t="s">
        <v>27</v>
      </c>
      <c r="L668" s="489" t="s">
        <v>4</v>
      </c>
      <c r="M668" s="490" t="s">
        <v>27</v>
      </c>
      <c r="N668" s="491"/>
      <c r="O668" s="492" t="str">
        <f t="shared" si="18"/>
        <v>L4.00.00.07.01.00</v>
      </c>
      <c r="P668" s="492" t="str">
        <f t="shared" si="39"/>
        <v>L4.00.00.07.01.00.00</v>
      </c>
      <c r="Q668" s="493" t="s">
        <v>10530</v>
      </c>
      <c r="R668" s="494" t="str">
        <f t="shared" si="41"/>
        <v>Phòng kế toán</v>
      </c>
      <c r="S668" s="540" t="s">
        <v>11550</v>
      </c>
      <c r="T668" s="495"/>
      <c r="U668" s="495"/>
      <c r="V668" s="495"/>
      <c r="W668" s="495"/>
      <c r="X668" s="495"/>
      <c r="Y668" s="495"/>
      <c r="Z668" s="496" t="s">
        <v>11551</v>
      </c>
      <c r="AA668" s="300" t="s">
        <v>10530</v>
      </c>
      <c r="AB668" s="498"/>
      <c r="AC668" s="498"/>
      <c r="AD668" s="498"/>
    </row>
    <row r="669" ht="15.75" customHeight="1" outlineLevel="1">
      <c r="A669" s="177" t="s">
        <v>10529</v>
      </c>
      <c r="B669" s="221" t="s">
        <v>206</v>
      </c>
      <c r="C669" s="221" t="s">
        <v>27</v>
      </c>
      <c r="D669" s="172" t="s">
        <v>4</v>
      </c>
      <c r="E669" s="222" t="s">
        <v>27</v>
      </c>
      <c r="F669" s="172" t="s">
        <v>4</v>
      </c>
      <c r="G669" s="175" t="s">
        <v>46</v>
      </c>
      <c r="H669" s="171" t="s">
        <v>225</v>
      </c>
      <c r="I669" s="172" t="s">
        <v>29</v>
      </c>
      <c r="J669" s="167" t="s">
        <v>226</v>
      </c>
      <c r="K669" s="297" t="s">
        <v>27</v>
      </c>
      <c r="L669" s="157" t="s">
        <v>4</v>
      </c>
      <c r="M669" s="157" t="s">
        <v>29</v>
      </c>
      <c r="N669" s="167" t="s">
        <v>10498</v>
      </c>
      <c r="O669" s="55" t="str">
        <f t="shared" si="18"/>
        <v>L4.00.00.07.01.00</v>
      </c>
      <c r="P669" s="173" t="str">
        <f t="shared" si="39"/>
        <v>L4.00.00.07.01.00.01</v>
      </c>
      <c r="Q669" s="223"/>
      <c r="R669" s="223" t="str">
        <f t="shared" si="41"/>
        <v>Phòng kế toán</v>
      </c>
      <c r="S669" s="429" t="s">
        <v>11552</v>
      </c>
      <c r="T669" s="176" t="s">
        <v>8341</v>
      </c>
      <c r="U669" s="176" t="s">
        <v>346</v>
      </c>
      <c r="V669" s="176" t="s">
        <v>2474</v>
      </c>
      <c r="W669" s="176"/>
      <c r="X669" s="176"/>
      <c r="Y669" s="176"/>
      <c r="Z669" s="541"/>
      <c r="AA669" s="266"/>
      <c r="AB669" s="226"/>
      <c r="AC669" s="226"/>
      <c r="AD669" s="226"/>
    </row>
    <row r="670" ht="15.75" customHeight="1" outlineLevel="1">
      <c r="A670" s="177" t="s">
        <v>10529</v>
      </c>
      <c r="B670" s="221" t="s">
        <v>206</v>
      </c>
      <c r="C670" s="221" t="s">
        <v>27</v>
      </c>
      <c r="D670" s="172" t="s">
        <v>4</v>
      </c>
      <c r="E670" s="222" t="s">
        <v>27</v>
      </c>
      <c r="F670" s="172" t="s">
        <v>4</v>
      </c>
      <c r="G670" s="175" t="s">
        <v>46</v>
      </c>
      <c r="H670" s="171" t="s">
        <v>225</v>
      </c>
      <c r="I670" s="172" t="s">
        <v>29</v>
      </c>
      <c r="J670" s="167" t="s">
        <v>226</v>
      </c>
      <c r="K670" s="297" t="s">
        <v>27</v>
      </c>
      <c r="L670" s="157" t="s">
        <v>4</v>
      </c>
      <c r="M670" s="157" t="s">
        <v>33</v>
      </c>
      <c r="N670" s="167" t="s">
        <v>10499</v>
      </c>
      <c r="O670" s="55" t="str">
        <f t="shared" si="18"/>
        <v>L4.00.00.07.01.00</v>
      </c>
      <c r="P670" s="173" t="str">
        <f t="shared" si="39"/>
        <v>L4.00.00.07.01.00.02</v>
      </c>
      <c r="Q670" s="223"/>
      <c r="R670" s="223" t="str">
        <f t="shared" si="41"/>
        <v>Phòng kế toán</v>
      </c>
      <c r="S670" s="429" t="s">
        <v>11552</v>
      </c>
      <c r="T670" s="176" t="s">
        <v>2475</v>
      </c>
      <c r="U670" s="176" t="s">
        <v>262</v>
      </c>
      <c r="V670" s="176" t="s">
        <v>2474</v>
      </c>
      <c r="W670" s="176"/>
      <c r="X670" s="176"/>
      <c r="Y670" s="176"/>
      <c r="Z670" s="541"/>
      <c r="AA670" s="266"/>
      <c r="AB670" s="226"/>
      <c r="AC670" s="226"/>
      <c r="AD670" s="226"/>
    </row>
    <row r="671" ht="15.75" customHeight="1" outlineLevel="1">
      <c r="A671" s="177" t="s">
        <v>10529</v>
      </c>
      <c r="B671" s="221" t="s">
        <v>206</v>
      </c>
      <c r="C671" s="221" t="s">
        <v>27</v>
      </c>
      <c r="D671" s="172" t="s">
        <v>4</v>
      </c>
      <c r="E671" s="222" t="s">
        <v>27</v>
      </c>
      <c r="F671" s="172" t="s">
        <v>4</v>
      </c>
      <c r="G671" s="175" t="s">
        <v>46</v>
      </c>
      <c r="H671" s="171" t="s">
        <v>225</v>
      </c>
      <c r="I671" s="172" t="s">
        <v>29</v>
      </c>
      <c r="J671" s="167" t="s">
        <v>226</v>
      </c>
      <c r="K671" s="297" t="s">
        <v>27</v>
      </c>
      <c r="L671" s="157" t="s">
        <v>4</v>
      </c>
      <c r="M671" s="157" t="s">
        <v>35</v>
      </c>
      <c r="N671" s="167" t="s">
        <v>10500</v>
      </c>
      <c r="O671" s="55" t="str">
        <f t="shared" si="18"/>
        <v>L4.00.00.07.01.00</v>
      </c>
      <c r="P671" s="173" t="str">
        <f t="shared" si="39"/>
        <v>L4.00.00.07.01.00.03</v>
      </c>
      <c r="Q671" s="223"/>
      <c r="R671" s="223" t="str">
        <f t="shared" si="41"/>
        <v>Phòng kế toán</v>
      </c>
      <c r="S671" s="429" t="s">
        <v>11552</v>
      </c>
      <c r="T671" s="176"/>
      <c r="U671" s="176"/>
      <c r="V671" s="176"/>
      <c r="W671" s="176"/>
      <c r="X671" s="176"/>
      <c r="Y671" s="224" t="s">
        <v>11553</v>
      </c>
      <c r="Z671" s="541"/>
      <c r="AA671" s="266"/>
      <c r="AB671" s="226"/>
      <c r="AC671" s="226"/>
      <c r="AD671" s="226"/>
    </row>
    <row r="672" ht="15.75" customHeight="1" outlineLevel="1">
      <c r="A672" s="177" t="s">
        <v>10529</v>
      </c>
      <c r="B672" s="221" t="s">
        <v>206</v>
      </c>
      <c r="C672" s="221" t="s">
        <v>27</v>
      </c>
      <c r="D672" s="172" t="s">
        <v>4</v>
      </c>
      <c r="E672" s="222" t="s">
        <v>27</v>
      </c>
      <c r="F672" s="172" t="s">
        <v>4</v>
      </c>
      <c r="G672" s="175" t="s">
        <v>46</v>
      </c>
      <c r="H672" s="171" t="s">
        <v>225</v>
      </c>
      <c r="I672" s="172" t="s">
        <v>29</v>
      </c>
      <c r="J672" s="167" t="s">
        <v>226</v>
      </c>
      <c r="K672" s="297" t="s">
        <v>27</v>
      </c>
      <c r="L672" s="157" t="s">
        <v>4</v>
      </c>
      <c r="M672" s="157" t="s">
        <v>37</v>
      </c>
      <c r="N672" s="298" t="s">
        <v>10900</v>
      </c>
      <c r="O672" s="55" t="str">
        <f t="shared" si="18"/>
        <v>L4.00.00.07.01.00</v>
      </c>
      <c r="P672" s="173" t="str">
        <f t="shared" si="39"/>
        <v>L4.00.00.07.01.00.04</v>
      </c>
      <c r="Q672" s="223"/>
      <c r="R672" s="223" t="str">
        <f t="shared" si="41"/>
        <v>Phòng kế toán</v>
      </c>
      <c r="S672" s="429" t="s">
        <v>11552</v>
      </c>
      <c r="T672" s="176"/>
      <c r="U672" s="176"/>
      <c r="V672" s="176"/>
      <c r="W672" s="176"/>
      <c r="X672" s="176"/>
      <c r="Y672" s="224" t="s">
        <v>11553</v>
      </c>
      <c r="Z672" s="541"/>
      <c r="AA672" s="266"/>
      <c r="AB672" s="226"/>
      <c r="AC672" s="226"/>
      <c r="AD672" s="226"/>
    </row>
    <row r="673" ht="15.75" customHeight="1" outlineLevel="1">
      <c r="A673" s="177" t="s">
        <v>10529</v>
      </c>
      <c r="B673" s="221" t="s">
        <v>206</v>
      </c>
      <c r="C673" s="221" t="s">
        <v>27</v>
      </c>
      <c r="D673" s="172" t="s">
        <v>4</v>
      </c>
      <c r="E673" s="222" t="s">
        <v>27</v>
      </c>
      <c r="F673" s="172" t="s">
        <v>4</v>
      </c>
      <c r="G673" s="175" t="s">
        <v>46</v>
      </c>
      <c r="H673" s="171" t="s">
        <v>225</v>
      </c>
      <c r="I673" s="172" t="s">
        <v>29</v>
      </c>
      <c r="J673" s="167" t="s">
        <v>226</v>
      </c>
      <c r="K673" s="297" t="s">
        <v>27</v>
      </c>
      <c r="L673" s="157" t="s">
        <v>4</v>
      </c>
      <c r="M673" s="157" t="s">
        <v>44</v>
      </c>
      <c r="N673" s="167" t="s">
        <v>10505</v>
      </c>
      <c r="O673" s="55" t="str">
        <f t="shared" si="18"/>
        <v>L4.00.00.07.01.00</v>
      </c>
      <c r="P673" s="173" t="str">
        <f t="shared" si="39"/>
        <v>L4.00.00.07.01.00.06</v>
      </c>
      <c r="Q673" s="223"/>
      <c r="R673" s="223" t="str">
        <f t="shared" si="41"/>
        <v>Phòng kế toán</v>
      </c>
      <c r="S673" s="429" t="s">
        <v>11552</v>
      </c>
      <c r="T673" s="176" t="s">
        <v>9890</v>
      </c>
      <c r="U673" s="176" t="s">
        <v>303</v>
      </c>
      <c r="V673" s="176" t="s">
        <v>226</v>
      </c>
      <c r="W673" s="176"/>
      <c r="X673" s="176"/>
      <c r="Y673" s="176"/>
      <c r="Z673" s="541"/>
      <c r="AA673" s="266"/>
      <c r="AB673" s="226"/>
      <c r="AC673" s="226"/>
      <c r="AD673" s="226"/>
    </row>
    <row r="674" ht="15.75" customHeight="1" outlineLevel="1">
      <c r="A674" s="177" t="s">
        <v>10529</v>
      </c>
      <c r="B674" s="221" t="s">
        <v>206</v>
      </c>
      <c r="C674" s="221" t="s">
        <v>27</v>
      </c>
      <c r="D674" s="172" t="s">
        <v>4</v>
      </c>
      <c r="E674" s="222" t="s">
        <v>27</v>
      </c>
      <c r="F674" s="172" t="s">
        <v>4</v>
      </c>
      <c r="G674" s="175" t="s">
        <v>46</v>
      </c>
      <c r="H674" s="171" t="s">
        <v>225</v>
      </c>
      <c r="I674" s="172" t="s">
        <v>29</v>
      </c>
      <c r="J674" s="167" t="s">
        <v>226</v>
      </c>
      <c r="K674" s="297" t="s">
        <v>27</v>
      </c>
      <c r="L674" s="157" t="s">
        <v>4</v>
      </c>
      <c r="M674" s="157" t="s">
        <v>46</v>
      </c>
      <c r="N674" s="167" t="s">
        <v>10496</v>
      </c>
      <c r="O674" s="55" t="str">
        <f t="shared" si="18"/>
        <v>L4.00.00.07.01.00</v>
      </c>
      <c r="P674" s="173" t="str">
        <f t="shared" si="39"/>
        <v>L4.00.00.07.01.00.07</v>
      </c>
      <c r="Q674" s="223"/>
      <c r="R674" s="223" t="str">
        <f t="shared" si="41"/>
        <v>Phòng kế toán</v>
      </c>
      <c r="S674" s="429" t="s">
        <v>11552</v>
      </c>
      <c r="T674" s="430"/>
      <c r="U674" s="430"/>
      <c r="V674" s="430"/>
      <c r="W674" s="176"/>
      <c r="X674" s="176"/>
      <c r="Y674" s="224" t="s">
        <v>11553</v>
      </c>
      <c r="Z674" s="541"/>
      <c r="AA674" s="266"/>
      <c r="AB674" s="226"/>
      <c r="AC674" s="226"/>
      <c r="AD674" s="226"/>
    </row>
    <row r="675" ht="15.75" customHeight="1" outlineLevel="1">
      <c r="A675" s="177" t="s">
        <v>10529</v>
      </c>
      <c r="B675" s="221" t="s">
        <v>206</v>
      </c>
      <c r="C675" s="221" t="s">
        <v>27</v>
      </c>
      <c r="D675" s="172" t="s">
        <v>4</v>
      </c>
      <c r="E675" s="222" t="s">
        <v>27</v>
      </c>
      <c r="F675" s="172" t="s">
        <v>4</v>
      </c>
      <c r="G675" s="175" t="s">
        <v>46</v>
      </c>
      <c r="H675" s="171" t="s">
        <v>225</v>
      </c>
      <c r="I675" s="172" t="s">
        <v>33</v>
      </c>
      <c r="J675" s="167" t="s">
        <v>227</v>
      </c>
      <c r="K675" s="297" t="s">
        <v>27</v>
      </c>
      <c r="L675" s="157" t="s">
        <v>4</v>
      </c>
      <c r="M675" s="157" t="s">
        <v>44</v>
      </c>
      <c r="N675" s="167" t="s">
        <v>10505</v>
      </c>
      <c r="O675" s="55" t="str">
        <f t="shared" si="18"/>
        <v>L4.00.00.07.02.00</v>
      </c>
      <c r="P675" s="173" t="str">
        <f t="shared" si="39"/>
        <v>L4.00.00.07.02.00.06</v>
      </c>
      <c r="Q675" s="428" t="s">
        <v>10530</v>
      </c>
      <c r="R675" s="223" t="str">
        <f t="shared" si="41"/>
        <v>Phòng kế hoạch đầu tư</v>
      </c>
      <c r="S675" s="429" t="s">
        <v>11550</v>
      </c>
      <c r="T675" s="176" t="s">
        <v>9692</v>
      </c>
      <c r="U675" s="176" t="s">
        <v>303</v>
      </c>
      <c r="V675" s="176" t="s">
        <v>9691</v>
      </c>
      <c r="W675" s="176"/>
      <c r="X675" s="176"/>
      <c r="Y675" s="430"/>
      <c r="Z675" s="225" t="s">
        <v>11554</v>
      </c>
      <c r="AA675" s="300" t="s">
        <v>10530</v>
      </c>
      <c r="AB675" s="226"/>
      <c r="AC675" s="226"/>
      <c r="AD675" s="226"/>
    </row>
    <row r="676" ht="15.75" customHeight="1" outlineLevel="1">
      <c r="A676" s="481" t="s">
        <v>10529</v>
      </c>
      <c r="B676" s="482" t="s">
        <v>206</v>
      </c>
      <c r="C676" s="482" t="s">
        <v>27</v>
      </c>
      <c r="D676" s="483" t="s">
        <v>4</v>
      </c>
      <c r="E676" s="484" t="s">
        <v>27</v>
      </c>
      <c r="F676" s="483" t="s">
        <v>4</v>
      </c>
      <c r="G676" s="485" t="s">
        <v>49</v>
      </c>
      <c r="H676" s="486" t="s">
        <v>228</v>
      </c>
      <c r="I676" s="484" t="s">
        <v>27</v>
      </c>
      <c r="J676" s="487" t="s">
        <v>4</v>
      </c>
      <c r="K676" s="488" t="s">
        <v>27</v>
      </c>
      <c r="L676" s="489" t="s">
        <v>4</v>
      </c>
      <c r="M676" s="490" t="s">
        <v>27</v>
      </c>
      <c r="N676" s="491"/>
      <c r="O676" s="492" t="str">
        <f t="shared" si="18"/>
        <v>L4.00.00.08.00.00</v>
      </c>
      <c r="P676" s="492" t="str">
        <f t="shared" si="39"/>
        <v>L4.00.00.08.00.00.00</v>
      </c>
      <c r="Q676" s="493" t="s">
        <v>10530</v>
      </c>
      <c r="R676" s="494" t="str">
        <f t="shared" si="41"/>
        <v>Ban nhân sự</v>
      </c>
      <c r="S676" s="542" t="s">
        <v>11511</v>
      </c>
      <c r="T676" s="543"/>
      <c r="U676" s="543"/>
      <c r="V676" s="543"/>
      <c r="W676" s="543"/>
      <c r="X676" s="495"/>
      <c r="Y676" s="495"/>
      <c r="Z676" s="496" t="s">
        <v>2719</v>
      </c>
      <c r="AA676" s="300" t="s">
        <v>10530</v>
      </c>
      <c r="AB676" s="498"/>
      <c r="AC676" s="498"/>
      <c r="AD676" s="498"/>
    </row>
    <row r="677" ht="15.75" customHeight="1" outlineLevel="1">
      <c r="A677" s="115" t="s">
        <v>10529</v>
      </c>
      <c r="B677" s="116" t="s">
        <v>206</v>
      </c>
      <c r="C677" s="116" t="s">
        <v>27</v>
      </c>
      <c r="D677" s="117" t="s">
        <v>4</v>
      </c>
      <c r="E677" s="118" t="s">
        <v>27</v>
      </c>
      <c r="F677" s="117" t="s">
        <v>4</v>
      </c>
      <c r="G677" s="431" t="s">
        <v>49</v>
      </c>
      <c r="H677" s="119" t="s">
        <v>228</v>
      </c>
      <c r="I677" s="118" t="s">
        <v>27</v>
      </c>
      <c r="J677" s="120" t="s">
        <v>4</v>
      </c>
      <c r="K677" s="121" t="s">
        <v>27</v>
      </c>
      <c r="L677" s="122" t="s">
        <v>4</v>
      </c>
      <c r="M677" s="122" t="s">
        <v>44</v>
      </c>
      <c r="N677" s="123" t="s">
        <v>10505</v>
      </c>
      <c r="O677" s="149" t="str">
        <f t="shared" si="18"/>
        <v>L4.00.00.08.00.00</v>
      </c>
      <c r="P677" s="124" t="str">
        <f t="shared" si="39"/>
        <v>L4.00.00.08.00.00.06</v>
      </c>
      <c r="Q677" s="432"/>
      <c r="R677" s="432" t="str">
        <f t="shared" si="41"/>
        <v>Ban nhân sự</v>
      </c>
      <c r="S677" s="544" t="s">
        <v>11555</v>
      </c>
      <c r="T677" s="545" t="s">
        <v>304</v>
      </c>
      <c r="U677" s="545" t="s">
        <v>303</v>
      </c>
      <c r="V677" s="545" t="s">
        <v>228</v>
      </c>
      <c r="W677" s="545" t="s">
        <v>228</v>
      </c>
      <c r="X677" s="434"/>
      <c r="Y677" s="434"/>
      <c r="Z677" s="322"/>
      <c r="AA677" s="266"/>
      <c r="AB677" s="436"/>
      <c r="AC677" s="436"/>
      <c r="AD677" s="436"/>
    </row>
    <row r="678" ht="15.75" customHeight="1" outlineLevel="1">
      <c r="A678" s="115" t="s">
        <v>10529</v>
      </c>
      <c r="B678" s="116" t="s">
        <v>206</v>
      </c>
      <c r="C678" s="116" t="s">
        <v>27</v>
      </c>
      <c r="D678" s="117" t="s">
        <v>4</v>
      </c>
      <c r="E678" s="118" t="s">
        <v>27</v>
      </c>
      <c r="F678" s="117" t="s">
        <v>4</v>
      </c>
      <c r="G678" s="431" t="s">
        <v>49</v>
      </c>
      <c r="H678" s="119" t="s">
        <v>228</v>
      </c>
      <c r="I678" s="118" t="s">
        <v>27</v>
      </c>
      <c r="J678" s="120" t="s">
        <v>4</v>
      </c>
      <c r="K678" s="121" t="s">
        <v>27</v>
      </c>
      <c r="L678" s="122" t="s">
        <v>4</v>
      </c>
      <c r="M678" s="122" t="s">
        <v>29</v>
      </c>
      <c r="N678" s="123" t="s">
        <v>10498</v>
      </c>
      <c r="O678" s="149" t="str">
        <f t="shared" si="18"/>
        <v>L4.00.00.08.00.00</v>
      </c>
      <c r="P678" s="124" t="str">
        <f t="shared" si="39"/>
        <v>L4.00.00.08.00.00.01</v>
      </c>
      <c r="Q678" s="432"/>
      <c r="R678" s="432" t="str">
        <f t="shared" si="41"/>
        <v>Ban nhân sự</v>
      </c>
      <c r="S678" s="433" t="s">
        <v>11555</v>
      </c>
      <c r="T678" s="434" t="s">
        <v>347</v>
      </c>
      <c r="U678" s="434" t="s">
        <v>346</v>
      </c>
      <c r="V678" s="434" t="s">
        <v>38</v>
      </c>
      <c r="W678" s="434"/>
      <c r="X678" s="434"/>
      <c r="Y678" s="434"/>
      <c r="Z678" s="322"/>
      <c r="AA678" s="323"/>
      <c r="AB678" s="436"/>
      <c r="AC678" s="436"/>
      <c r="AD678" s="436"/>
    </row>
    <row r="679" ht="15.75" customHeight="1" outlineLevel="1">
      <c r="A679" s="115" t="s">
        <v>10529</v>
      </c>
      <c r="B679" s="116" t="s">
        <v>206</v>
      </c>
      <c r="C679" s="116" t="s">
        <v>27</v>
      </c>
      <c r="D679" s="117" t="s">
        <v>4</v>
      </c>
      <c r="E679" s="118" t="s">
        <v>27</v>
      </c>
      <c r="F679" s="117" t="s">
        <v>4</v>
      </c>
      <c r="G679" s="431" t="s">
        <v>49</v>
      </c>
      <c r="H679" s="119" t="s">
        <v>228</v>
      </c>
      <c r="I679" s="118" t="s">
        <v>27</v>
      </c>
      <c r="J679" s="120" t="s">
        <v>4</v>
      </c>
      <c r="K679" s="121" t="s">
        <v>27</v>
      </c>
      <c r="L679" s="122" t="s">
        <v>4</v>
      </c>
      <c r="M679" s="122" t="s">
        <v>33</v>
      </c>
      <c r="N679" s="123" t="s">
        <v>10499</v>
      </c>
      <c r="O679" s="149" t="str">
        <f t="shared" si="18"/>
        <v>L4.00.00.08.00.00</v>
      </c>
      <c r="P679" s="124" t="str">
        <f t="shared" si="39"/>
        <v>L4.00.00.08.00.00.02</v>
      </c>
      <c r="Q679" s="432"/>
      <c r="R679" s="432" t="str">
        <f t="shared" si="41"/>
        <v>Ban nhân sự</v>
      </c>
      <c r="S679" s="433" t="s">
        <v>11555</v>
      </c>
      <c r="T679" s="434" t="s">
        <v>2423</v>
      </c>
      <c r="U679" s="434" t="s">
        <v>262</v>
      </c>
      <c r="V679" s="434" t="s">
        <v>38</v>
      </c>
      <c r="W679" s="434"/>
      <c r="X679" s="434"/>
      <c r="Y679" s="434"/>
      <c r="Z679" s="322"/>
      <c r="AA679" s="323"/>
      <c r="AB679" s="436"/>
      <c r="AC679" s="436"/>
      <c r="AD679" s="436"/>
    </row>
    <row r="680" ht="15.75" customHeight="1" outlineLevel="1">
      <c r="A680" s="177" t="s">
        <v>10529</v>
      </c>
      <c r="B680" s="221" t="s">
        <v>206</v>
      </c>
      <c r="C680" s="221" t="s">
        <v>27</v>
      </c>
      <c r="D680" s="172" t="s">
        <v>4</v>
      </c>
      <c r="E680" s="222" t="s">
        <v>27</v>
      </c>
      <c r="F680" s="172" t="s">
        <v>4</v>
      </c>
      <c r="G680" s="175" t="s">
        <v>51</v>
      </c>
      <c r="H680" s="171" t="s">
        <v>229</v>
      </c>
      <c r="I680" s="222" t="s">
        <v>27</v>
      </c>
      <c r="J680" s="156" t="s">
        <v>4</v>
      </c>
      <c r="K680" s="297" t="s">
        <v>27</v>
      </c>
      <c r="L680" s="157" t="s">
        <v>4</v>
      </c>
      <c r="M680" s="157" t="s">
        <v>44</v>
      </c>
      <c r="N680" s="167" t="s">
        <v>10505</v>
      </c>
      <c r="O680" s="55" t="str">
        <f t="shared" si="18"/>
        <v>L4.00.00.09.00.00</v>
      </c>
      <c r="P680" s="173" t="str">
        <f t="shared" si="39"/>
        <v>L4.00.00.09.00.00.06</v>
      </c>
      <c r="Q680" s="428" t="s">
        <v>10530</v>
      </c>
      <c r="R680" s="223" t="str">
        <f t="shared" si="41"/>
        <v>Ban pháp chế</v>
      </c>
      <c r="S680" s="429" t="s">
        <v>11511</v>
      </c>
      <c r="T680" s="176" t="s">
        <v>9755</v>
      </c>
      <c r="U680" s="176" t="s">
        <v>303</v>
      </c>
      <c r="V680" s="176" t="s">
        <v>9754</v>
      </c>
      <c r="W680" s="176"/>
      <c r="X680" s="176"/>
      <c r="Y680" s="176"/>
      <c r="Z680" s="225" t="s">
        <v>11556</v>
      </c>
      <c r="AA680" s="300" t="s">
        <v>10530</v>
      </c>
      <c r="AB680" s="226"/>
      <c r="AC680" s="226"/>
      <c r="AD680" s="226"/>
    </row>
    <row r="681" ht="15.75" customHeight="1" outlineLevel="1">
      <c r="A681" s="177" t="s">
        <v>10529</v>
      </c>
      <c r="B681" s="221" t="s">
        <v>206</v>
      </c>
      <c r="C681" s="221" t="s">
        <v>27</v>
      </c>
      <c r="D681" s="172" t="s">
        <v>4</v>
      </c>
      <c r="E681" s="222" t="s">
        <v>27</v>
      </c>
      <c r="F681" s="172" t="s">
        <v>4</v>
      </c>
      <c r="G681" s="175" t="s">
        <v>55</v>
      </c>
      <c r="H681" s="171" t="s">
        <v>230</v>
      </c>
      <c r="I681" s="222" t="s">
        <v>27</v>
      </c>
      <c r="J681" s="156" t="s">
        <v>4</v>
      </c>
      <c r="K681" s="297" t="s">
        <v>27</v>
      </c>
      <c r="L681" s="157" t="s">
        <v>4</v>
      </c>
      <c r="M681" s="157" t="s">
        <v>44</v>
      </c>
      <c r="N681" s="167" t="s">
        <v>10505</v>
      </c>
      <c r="O681" s="55" t="str">
        <f t="shared" si="18"/>
        <v>L4.00.00.10.00.00</v>
      </c>
      <c r="P681" s="173" t="str">
        <f t="shared" si="39"/>
        <v>L4.00.00.10.00.00.06</v>
      </c>
      <c r="Q681" s="428" t="s">
        <v>10530</v>
      </c>
      <c r="R681" s="223" t="str">
        <f t="shared" si="41"/>
        <v>Ban quản lý chứng thư số</v>
      </c>
      <c r="S681" s="217" t="s">
        <v>11511</v>
      </c>
      <c r="T681" s="546" t="s">
        <v>7265</v>
      </c>
      <c r="U681" s="546" t="s">
        <v>303</v>
      </c>
      <c r="V681" s="546" t="s">
        <v>7264</v>
      </c>
      <c r="W681" s="546" t="s">
        <v>7264</v>
      </c>
      <c r="X681" s="176"/>
      <c r="Y681" s="176"/>
      <c r="Z681" s="225" t="s">
        <v>11557</v>
      </c>
      <c r="AA681" s="300" t="s">
        <v>10530</v>
      </c>
      <c r="AB681" s="226"/>
      <c r="AC681" s="226"/>
      <c r="AD681" s="226"/>
    </row>
    <row r="682" ht="15.75" customHeight="1" outlineLevel="1">
      <c r="A682" s="177" t="s">
        <v>10529</v>
      </c>
      <c r="B682" s="221" t="s">
        <v>206</v>
      </c>
      <c r="C682" s="221" t="s">
        <v>27</v>
      </c>
      <c r="D682" s="172" t="s">
        <v>4</v>
      </c>
      <c r="E682" s="222" t="s">
        <v>27</v>
      </c>
      <c r="F682" s="172" t="s">
        <v>4</v>
      </c>
      <c r="G682" s="175" t="s">
        <v>61</v>
      </c>
      <c r="H682" s="171" t="s">
        <v>231</v>
      </c>
      <c r="I682" s="222" t="s">
        <v>27</v>
      </c>
      <c r="J682" s="156" t="s">
        <v>4</v>
      </c>
      <c r="K682" s="297" t="s">
        <v>27</v>
      </c>
      <c r="L682" s="157" t="s">
        <v>4</v>
      </c>
      <c r="M682" s="157" t="s">
        <v>44</v>
      </c>
      <c r="N682" s="167" t="s">
        <v>10505</v>
      </c>
      <c r="O682" s="55" t="str">
        <f t="shared" si="18"/>
        <v>L4.00.00.11.00.00</v>
      </c>
      <c r="P682" s="173" t="str">
        <f t="shared" si="39"/>
        <v>L4.00.00.11.00.00.06</v>
      </c>
      <c r="Q682" s="428" t="s">
        <v>10530</v>
      </c>
      <c r="R682" s="223" t="str">
        <f t="shared" si="41"/>
        <v>Ban đảm bảo chất lượng</v>
      </c>
      <c r="S682" s="429" t="s">
        <v>11511</v>
      </c>
      <c r="T682" s="176" t="s">
        <v>4395</v>
      </c>
      <c r="U682" s="176" t="s">
        <v>303</v>
      </c>
      <c r="V682" s="176" t="s">
        <v>231</v>
      </c>
      <c r="W682" s="176"/>
      <c r="X682" s="176"/>
      <c r="Y682" s="176"/>
      <c r="Z682" s="225" t="s">
        <v>11558</v>
      </c>
      <c r="AA682" s="300" t="s">
        <v>10530</v>
      </c>
      <c r="AB682" s="226"/>
      <c r="AC682" s="226"/>
      <c r="AD682" s="226"/>
    </row>
    <row r="683" ht="15.75" customHeight="1" outlineLevel="1">
      <c r="A683" s="481" t="s">
        <v>10529</v>
      </c>
      <c r="B683" s="482" t="s">
        <v>206</v>
      </c>
      <c r="C683" s="482" t="s">
        <v>27</v>
      </c>
      <c r="D683" s="483" t="s">
        <v>4</v>
      </c>
      <c r="E683" s="484" t="s">
        <v>27</v>
      </c>
      <c r="F683" s="483" t="s">
        <v>4</v>
      </c>
      <c r="G683" s="481">
        <v>12.0</v>
      </c>
      <c r="H683" s="547" t="s">
        <v>9306</v>
      </c>
      <c r="I683" s="485" t="s">
        <v>27</v>
      </c>
      <c r="J683" s="548" t="s">
        <v>4</v>
      </c>
      <c r="K683" s="488" t="s">
        <v>27</v>
      </c>
      <c r="L683" s="489" t="s">
        <v>4</v>
      </c>
      <c r="M683" s="490" t="s">
        <v>27</v>
      </c>
      <c r="N683" s="491" t="s">
        <v>10505</v>
      </c>
      <c r="O683" s="492" t="str">
        <f t="shared" si="18"/>
        <v>L4.00.00.12.00.00</v>
      </c>
      <c r="P683" s="492" t="str">
        <f t="shared" si="39"/>
        <v>L4.00.00.12.00.00.00</v>
      </c>
      <c r="Q683" s="493" t="s">
        <v>10530</v>
      </c>
      <c r="R683" s="494" t="str">
        <f t="shared" si="41"/>
        <v>Ban Quản lý kinh doanh</v>
      </c>
      <c r="S683" s="540" t="s">
        <v>11511</v>
      </c>
      <c r="T683" s="495" t="s">
        <v>9307</v>
      </c>
      <c r="U683" s="495" t="s">
        <v>303</v>
      </c>
      <c r="V683" s="495" t="s">
        <v>9306</v>
      </c>
      <c r="W683" s="495"/>
      <c r="X683" s="495"/>
      <c r="Y683" s="495"/>
      <c r="Z683" s="496" t="s">
        <v>11559</v>
      </c>
      <c r="AA683" s="300" t="s">
        <v>10530</v>
      </c>
      <c r="AB683" s="498"/>
      <c r="AC683" s="498"/>
      <c r="AD683" s="498"/>
    </row>
    <row r="684" ht="15.75" customHeight="1" outlineLevel="1">
      <c r="A684" s="261" t="s">
        <v>10529</v>
      </c>
      <c r="B684" s="231" t="s">
        <v>206</v>
      </c>
      <c r="C684" s="231" t="s">
        <v>27</v>
      </c>
      <c r="D684" s="157" t="s">
        <v>4</v>
      </c>
      <c r="E684" s="297" t="s">
        <v>27</v>
      </c>
      <c r="F684" s="157" t="s">
        <v>4</v>
      </c>
      <c r="G684" s="261">
        <v>12.0</v>
      </c>
      <c r="H684" s="298" t="s">
        <v>9306</v>
      </c>
      <c r="I684" s="157" t="s">
        <v>29</v>
      </c>
      <c r="J684" s="298" t="s">
        <v>11560</v>
      </c>
      <c r="K684" s="297" t="s">
        <v>27</v>
      </c>
      <c r="L684" s="157" t="s">
        <v>4</v>
      </c>
      <c r="M684" s="168" t="s">
        <v>27</v>
      </c>
      <c r="N684" s="167"/>
      <c r="O684" s="159" t="str">
        <f t="shared" si="18"/>
        <v>L4.00.00.12.01.00</v>
      </c>
      <c r="P684" s="257" t="str">
        <f t="shared" si="39"/>
        <v>L4.00.00.12.01.00.00</v>
      </c>
      <c r="Q684" s="299"/>
      <c r="R684" s="299" t="str">
        <f t="shared" si="41"/>
        <v>Ban Quản lý kinh doanh - Khối HCSN</v>
      </c>
      <c r="S684" s="269" t="s">
        <v>11561</v>
      </c>
      <c r="T684" s="265"/>
      <c r="U684" s="265"/>
      <c r="V684" s="265"/>
      <c r="W684" s="265"/>
      <c r="X684" s="265"/>
      <c r="Y684" s="265"/>
      <c r="Z684" s="549" t="s">
        <v>11562</v>
      </c>
      <c r="AA684" s="266"/>
      <c r="AB684" s="267"/>
      <c r="AC684" s="267"/>
      <c r="AD684" s="267"/>
    </row>
    <row r="685" ht="15.75" customHeight="1" outlineLevel="1">
      <c r="A685" s="177" t="s">
        <v>10529</v>
      </c>
      <c r="B685" s="221" t="s">
        <v>206</v>
      </c>
      <c r="C685" s="221" t="s">
        <v>27</v>
      </c>
      <c r="D685" s="172" t="s">
        <v>4</v>
      </c>
      <c r="E685" s="222" t="s">
        <v>27</v>
      </c>
      <c r="F685" s="172" t="s">
        <v>4</v>
      </c>
      <c r="G685" s="177">
        <v>12.0</v>
      </c>
      <c r="H685" s="230" t="s">
        <v>9306</v>
      </c>
      <c r="I685" s="172" t="s">
        <v>29</v>
      </c>
      <c r="J685" s="298" t="s">
        <v>11560</v>
      </c>
      <c r="K685" s="297" t="s">
        <v>27</v>
      </c>
      <c r="L685" s="157" t="s">
        <v>4</v>
      </c>
      <c r="M685" s="157" t="s">
        <v>44</v>
      </c>
      <c r="N685" s="167" t="s">
        <v>10505</v>
      </c>
      <c r="O685" s="55" t="str">
        <f t="shared" si="18"/>
        <v>L4.00.00.12.01.00</v>
      </c>
      <c r="P685" s="173" t="str">
        <f t="shared" si="39"/>
        <v>L4.00.00.12.01.00.06</v>
      </c>
      <c r="Q685" s="223"/>
      <c r="R685" s="432" t="str">
        <f t="shared" si="41"/>
        <v>Ban Quản lý kinh doanh - Khối HCSN</v>
      </c>
      <c r="S685" s="429" t="s">
        <v>11563</v>
      </c>
      <c r="T685" s="176"/>
      <c r="U685" s="176"/>
      <c r="V685" s="176"/>
      <c r="W685" s="176"/>
      <c r="X685" s="176"/>
      <c r="Y685" s="176"/>
      <c r="Z685" s="541"/>
      <c r="AA685" s="266"/>
      <c r="AB685" s="226"/>
      <c r="AC685" s="226"/>
      <c r="AD685" s="226"/>
    </row>
    <row r="686" ht="15.75" customHeight="1" outlineLevel="1">
      <c r="A686" s="177" t="s">
        <v>10529</v>
      </c>
      <c r="B686" s="221" t="s">
        <v>206</v>
      </c>
      <c r="C686" s="221" t="s">
        <v>27</v>
      </c>
      <c r="D686" s="172" t="s">
        <v>4</v>
      </c>
      <c r="E686" s="222" t="s">
        <v>27</v>
      </c>
      <c r="F686" s="172" t="s">
        <v>4</v>
      </c>
      <c r="G686" s="177">
        <v>12.0</v>
      </c>
      <c r="H686" s="230" t="s">
        <v>9306</v>
      </c>
      <c r="I686" s="172" t="s">
        <v>29</v>
      </c>
      <c r="J686" s="298" t="s">
        <v>11560</v>
      </c>
      <c r="K686" s="297" t="s">
        <v>27</v>
      </c>
      <c r="L686" s="157" t="s">
        <v>4</v>
      </c>
      <c r="M686" s="122" t="s">
        <v>33</v>
      </c>
      <c r="N686" s="123" t="s">
        <v>10499</v>
      </c>
      <c r="O686" s="55" t="str">
        <f t="shared" si="18"/>
        <v>L4.00.00.12.01.00</v>
      </c>
      <c r="P686" s="173" t="str">
        <f t="shared" si="39"/>
        <v>L4.00.00.12.01.00.02</v>
      </c>
      <c r="Q686" s="223"/>
      <c r="R686" s="432" t="str">
        <f t="shared" si="41"/>
        <v>Ban Quản lý kinh doanh - Khối HCSN</v>
      </c>
      <c r="S686" s="429" t="s">
        <v>11563</v>
      </c>
      <c r="T686" s="176"/>
      <c r="U686" s="176"/>
      <c r="V686" s="176"/>
      <c r="W686" s="176"/>
      <c r="X686" s="176"/>
      <c r="Y686" s="176"/>
      <c r="Z686" s="541"/>
      <c r="AA686" s="266"/>
      <c r="AB686" s="226"/>
      <c r="AC686" s="226"/>
      <c r="AD686" s="226"/>
    </row>
    <row r="687" ht="15.75" customHeight="1" outlineLevel="1">
      <c r="A687" s="177" t="s">
        <v>10529</v>
      </c>
      <c r="B687" s="221" t="s">
        <v>206</v>
      </c>
      <c r="C687" s="221" t="s">
        <v>27</v>
      </c>
      <c r="D687" s="172" t="s">
        <v>4</v>
      </c>
      <c r="E687" s="222" t="s">
        <v>27</v>
      </c>
      <c r="F687" s="172" t="s">
        <v>4</v>
      </c>
      <c r="G687" s="177">
        <v>12.0</v>
      </c>
      <c r="H687" s="230" t="s">
        <v>9306</v>
      </c>
      <c r="I687" s="172" t="s">
        <v>33</v>
      </c>
      <c r="J687" s="298" t="s">
        <v>11564</v>
      </c>
      <c r="K687" s="297" t="s">
        <v>27</v>
      </c>
      <c r="L687" s="157" t="s">
        <v>4</v>
      </c>
      <c r="M687" s="157" t="s">
        <v>44</v>
      </c>
      <c r="N687" s="167" t="s">
        <v>10505</v>
      </c>
      <c r="O687" s="55" t="str">
        <f t="shared" si="18"/>
        <v>L4.00.00.12.02.00</v>
      </c>
      <c r="P687" s="173" t="str">
        <f t="shared" si="39"/>
        <v>L4.00.00.12.02.00.06</v>
      </c>
      <c r="Q687" s="223"/>
      <c r="R687" s="223" t="str">
        <f t="shared" si="41"/>
        <v>Ban Quản lý kinh doanh - Khối DN</v>
      </c>
      <c r="S687" s="429" t="s">
        <v>11561</v>
      </c>
      <c r="T687" s="176"/>
      <c r="U687" s="176"/>
      <c r="V687" s="176"/>
      <c r="W687" s="176"/>
      <c r="X687" s="176"/>
      <c r="Y687" s="176"/>
      <c r="Z687" s="550" t="s">
        <v>11565</v>
      </c>
      <c r="AA687" s="266"/>
      <c r="AB687" s="226"/>
      <c r="AC687" s="226"/>
      <c r="AD687" s="226"/>
    </row>
    <row r="688" ht="15.75" customHeight="1" outlineLevel="1">
      <c r="A688" s="177" t="s">
        <v>10529</v>
      </c>
      <c r="B688" s="221" t="s">
        <v>206</v>
      </c>
      <c r="C688" s="221" t="s">
        <v>27</v>
      </c>
      <c r="D688" s="172" t="s">
        <v>4</v>
      </c>
      <c r="E688" s="222" t="s">
        <v>27</v>
      </c>
      <c r="F688" s="172" t="s">
        <v>4</v>
      </c>
      <c r="G688" s="177">
        <v>13.0</v>
      </c>
      <c r="H688" s="171" t="s">
        <v>210</v>
      </c>
      <c r="I688" s="222" t="s">
        <v>27</v>
      </c>
      <c r="J688" s="156" t="s">
        <v>4</v>
      </c>
      <c r="K688" s="297" t="s">
        <v>27</v>
      </c>
      <c r="L688" s="157" t="s">
        <v>4</v>
      </c>
      <c r="M688" s="157" t="s">
        <v>44</v>
      </c>
      <c r="N688" s="167" t="s">
        <v>10505</v>
      </c>
      <c r="O688" s="55" t="str">
        <f t="shared" si="18"/>
        <v>L4.00.00.13.00.00</v>
      </c>
      <c r="P688" s="173" t="str">
        <f t="shared" si="39"/>
        <v>L4.00.00.13.00.00.06</v>
      </c>
      <c r="Q688" s="428" t="s">
        <v>10530</v>
      </c>
      <c r="R688" s="223" t="str">
        <f t="shared" si="41"/>
        <v>Ban Marketing</v>
      </c>
      <c r="S688" s="429" t="s">
        <v>11511</v>
      </c>
      <c r="T688" s="176"/>
      <c r="U688" s="176"/>
      <c r="V688" s="176"/>
      <c r="W688" s="176"/>
      <c r="X688" s="176"/>
      <c r="Y688" s="224" t="s">
        <v>10894</v>
      </c>
      <c r="Z688" s="225" t="s">
        <v>11566</v>
      </c>
      <c r="AA688" s="266"/>
      <c r="AB688" s="226"/>
      <c r="AC688" s="226"/>
      <c r="AD688" s="226"/>
    </row>
    <row r="689" ht="15.75" customHeight="1" outlineLevel="1">
      <c r="A689" s="177" t="s">
        <v>10529</v>
      </c>
      <c r="B689" s="221" t="s">
        <v>206</v>
      </c>
      <c r="C689" s="221" t="s">
        <v>27</v>
      </c>
      <c r="D689" s="172" t="s">
        <v>4</v>
      </c>
      <c r="E689" s="222" t="s">
        <v>27</v>
      </c>
      <c r="F689" s="172" t="s">
        <v>4</v>
      </c>
      <c r="G689" s="177">
        <v>14.0</v>
      </c>
      <c r="H689" s="230" t="s">
        <v>11567</v>
      </c>
      <c r="I689" s="175" t="s">
        <v>27</v>
      </c>
      <c r="J689" s="262" t="s">
        <v>4</v>
      </c>
      <c r="K689" s="297" t="s">
        <v>27</v>
      </c>
      <c r="L689" s="157" t="s">
        <v>4</v>
      </c>
      <c r="M689" s="157" t="s">
        <v>44</v>
      </c>
      <c r="N689" s="167" t="s">
        <v>10505</v>
      </c>
      <c r="O689" s="55" t="str">
        <f t="shared" si="18"/>
        <v>L4.00.00.14.00.00</v>
      </c>
      <c r="P689" s="173" t="str">
        <f t="shared" si="39"/>
        <v>L4.00.00.14.00.00.06</v>
      </c>
      <c r="Q689" s="428" t="s">
        <v>10530</v>
      </c>
      <c r="R689" s="223" t="str">
        <f t="shared" si="41"/>
        <v>Viện đổi mới doanh nghiệp</v>
      </c>
      <c r="S689" s="429" t="s">
        <v>11511</v>
      </c>
      <c r="T689" s="176"/>
      <c r="U689" s="176"/>
      <c r="V689" s="176"/>
      <c r="W689" s="176"/>
      <c r="X689" s="176"/>
      <c r="Y689" s="176"/>
      <c r="Z689" s="225" t="s">
        <v>11568</v>
      </c>
      <c r="AA689" s="300" t="s">
        <v>10530</v>
      </c>
      <c r="AB689" s="226"/>
      <c r="AC689" s="226"/>
      <c r="AD689" s="226"/>
    </row>
    <row r="690" ht="15.75" customHeight="1" outlineLevel="1">
      <c r="A690" s="177" t="s">
        <v>10529</v>
      </c>
      <c r="B690" s="221" t="s">
        <v>206</v>
      </c>
      <c r="C690" s="221" t="s">
        <v>27</v>
      </c>
      <c r="D690" s="172" t="s">
        <v>4</v>
      </c>
      <c r="E690" s="222" t="s">
        <v>27</v>
      </c>
      <c r="F690" s="172" t="s">
        <v>4</v>
      </c>
      <c r="G690" s="177">
        <v>14.0</v>
      </c>
      <c r="H690" s="230" t="s">
        <v>11567</v>
      </c>
      <c r="I690" s="172" t="s">
        <v>29</v>
      </c>
      <c r="J690" s="167" t="s">
        <v>212</v>
      </c>
      <c r="K690" s="297" t="s">
        <v>27</v>
      </c>
      <c r="L690" s="157" t="s">
        <v>4</v>
      </c>
      <c r="M690" s="157" t="s">
        <v>44</v>
      </c>
      <c r="N690" s="167" t="s">
        <v>10505</v>
      </c>
      <c r="O690" s="55" t="str">
        <f t="shared" si="18"/>
        <v>L4.00.00.14.01.00</v>
      </c>
      <c r="P690" s="173" t="str">
        <f t="shared" si="39"/>
        <v>L4.00.00.14.01.00.06</v>
      </c>
      <c r="Q690" s="428" t="s">
        <v>10530</v>
      </c>
      <c r="R690" s="223" t="str">
        <f t="shared" si="41"/>
        <v>Ban GĐ Viện</v>
      </c>
      <c r="S690" s="429" t="s">
        <v>11569</v>
      </c>
      <c r="T690" s="551" t="s">
        <v>11570</v>
      </c>
      <c r="U690" s="224" t="s">
        <v>11567</v>
      </c>
      <c r="V690" s="224" t="s">
        <v>11571</v>
      </c>
      <c r="W690" s="176"/>
      <c r="X690" s="176"/>
      <c r="Y690" s="176"/>
      <c r="Z690" s="225" t="s">
        <v>11572</v>
      </c>
      <c r="AA690" s="300" t="s">
        <v>10530</v>
      </c>
      <c r="AB690" s="226"/>
      <c r="AC690" s="226"/>
      <c r="AD690" s="226"/>
    </row>
    <row r="691" ht="15.75" customHeight="1" outlineLevel="1">
      <c r="A691" s="177" t="s">
        <v>10529</v>
      </c>
      <c r="B691" s="221" t="s">
        <v>206</v>
      </c>
      <c r="C691" s="221" t="s">
        <v>27</v>
      </c>
      <c r="D691" s="172" t="s">
        <v>4</v>
      </c>
      <c r="E691" s="222" t="s">
        <v>27</v>
      </c>
      <c r="F691" s="172" t="s">
        <v>4</v>
      </c>
      <c r="G691" s="177">
        <v>14.0</v>
      </c>
      <c r="H691" s="230" t="s">
        <v>11567</v>
      </c>
      <c r="I691" s="172" t="s">
        <v>33</v>
      </c>
      <c r="J691" s="257" t="s">
        <v>213</v>
      </c>
      <c r="K691" s="168" t="s">
        <v>27</v>
      </c>
      <c r="L691" s="552" t="s">
        <v>4</v>
      </c>
      <c r="M691" s="157" t="s">
        <v>44</v>
      </c>
      <c r="N691" s="167" t="s">
        <v>10505</v>
      </c>
      <c r="O691" s="55" t="str">
        <f t="shared" si="18"/>
        <v>L4.00.00.14.02.00</v>
      </c>
      <c r="P691" s="173" t="str">
        <f t="shared" si="39"/>
        <v>L4.00.00.14.02.00.06</v>
      </c>
      <c r="Q691" s="428" t="s">
        <v>10530</v>
      </c>
      <c r="R691" s="223" t="str">
        <f t="shared" si="41"/>
        <v>Phòng Inbound Marketing</v>
      </c>
      <c r="S691" s="429" t="s">
        <v>11569</v>
      </c>
      <c r="T691" s="176"/>
      <c r="U691" s="176"/>
      <c r="V691" s="176"/>
      <c r="W691" s="176"/>
      <c r="X691" s="176"/>
      <c r="Y691" s="224" t="s">
        <v>11573</v>
      </c>
      <c r="Z691" s="225" t="s">
        <v>11574</v>
      </c>
      <c r="AA691" s="266"/>
      <c r="AB691" s="226"/>
      <c r="AC691" s="226"/>
      <c r="AD691" s="226"/>
    </row>
    <row r="692" ht="15.75" customHeight="1" outlineLevel="1">
      <c r="A692" s="177" t="s">
        <v>10529</v>
      </c>
      <c r="B692" s="221" t="s">
        <v>206</v>
      </c>
      <c r="C692" s="221" t="s">
        <v>27</v>
      </c>
      <c r="D692" s="172" t="s">
        <v>4</v>
      </c>
      <c r="E692" s="222" t="s">
        <v>27</v>
      </c>
      <c r="F692" s="172" t="s">
        <v>4</v>
      </c>
      <c r="G692" s="177">
        <v>14.0</v>
      </c>
      <c r="H692" s="230" t="s">
        <v>11567</v>
      </c>
      <c r="I692" s="172" t="s">
        <v>33</v>
      </c>
      <c r="J692" s="257" t="s">
        <v>213</v>
      </c>
      <c r="K692" s="157" t="s">
        <v>29</v>
      </c>
      <c r="L692" s="553" t="s">
        <v>214</v>
      </c>
      <c r="M692" s="157" t="s">
        <v>44</v>
      </c>
      <c r="N692" s="167" t="s">
        <v>10505</v>
      </c>
      <c r="O692" s="55" t="str">
        <f t="shared" si="18"/>
        <v>L4.00.00.14.02.01</v>
      </c>
      <c r="P692" s="173" t="str">
        <f t="shared" si="39"/>
        <v>L4.00.00.14.02.01.06</v>
      </c>
      <c r="Q692" s="428" t="s">
        <v>10530</v>
      </c>
      <c r="R692" s="223" t="str">
        <f t="shared" si="41"/>
        <v>Nhóm nội dung TCKT</v>
      </c>
      <c r="S692" s="429" t="s">
        <v>11575</v>
      </c>
      <c r="T692" s="176"/>
      <c r="U692" s="176"/>
      <c r="V692" s="176"/>
      <c r="W692" s="176"/>
      <c r="X692" s="176"/>
      <c r="Y692" s="224" t="s">
        <v>11573</v>
      </c>
      <c r="Z692" s="225" t="s">
        <v>11576</v>
      </c>
      <c r="AA692" s="266"/>
      <c r="AB692" s="226"/>
      <c r="AC692" s="226"/>
      <c r="AD692" s="226"/>
    </row>
    <row r="693" ht="15.75" customHeight="1" outlineLevel="1">
      <c r="A693" s="177" t="s">
        <v>10529</v>
      </c>
      <c r="B693" s="221" t="s">
        <v>206</v>
      </c>
      <c r="C693" s="221" t="s">
        <v>27</v>
      </c>
      <c r="D693" s="172" t="s">
        <v>4</v>
      </c>
      <c r="E693" s="222" t="s">
        <v>27</v>
      </c>
      <c r="F693" s="172" t="s">
        <v>4</v>
      </c>
      <c r="G693" s="177">
        <v>14.0</v>
      </c>
      <c r="H693" s="230" t="s">
        <v>11567</v>
      </c>
      <c r="I693" s="172" t="s">
        <v>33</v>
      </c>
      <c r="J693" s="257" t="s">
        <v>213</v>
      </c>
      <c r="K693" s="157" t="s">
        <v>33</v>
      </c>
      <c r="L693" s="553" t="s">
        <v>215</v>
      </c>
      <c r="M693" s="157" t="s">
        <v>44</v>
      </c>
      <c r="N693" s="167" t="s">
        <v>10505</v>
      </c>
      <c r="O693" s="55" t="str">
        <f t="shared" si="18"/>
        <v>L4.00.00.14.02.02</v>
      </c>
      <c r="P693" s="173" t="str">
        <f t="shared" si="39"/>
        <v>L4.00.00.14.02.02.06</v>
      </c>
      <c r="Q693" s="428" t="s">
        <v>10530</v>
      </c>
      <c r="R693" s="223" t="str">
        <f t="shared" si="41"/>
        <v>Nhóm nội dung QT bán hàng/MKT</v>
      </c>
      <c r="S693" s="429" t="s">
        <v>11575</v>
      </c>
      <c r="T693" s="176"/>
      <c r="U693" s="176"/>
      <c r="V693" s="176"/>
      <c r="W693" s="176"/>
      <c r="X693" s="176"/>
      <c r="Y693" s="224" t="s">
        <v>11573</v>
      </c>
      <c r="Z693" s="225" t="s">
        <v>11577</v>
      </c>
      <c r="AA693" s="266"/>
      <c r="AB693" s="226"/>
      <c r="AC693" s="226"/>
      <c r="AD693" s="226"/>
    </row>
    <row r="694" ht="15.75" customHeight="1" outlineLevel="1">
      <c r="A694" s="177" t="s">
        <v>10529</v>
      </c>
      <c r="B694" s="221" t="s">
        <v>206</v>
      </c>
      <c r="C694" s="221" t="s">
        <v>27</v>
      </c>
      <c r="D694" s="172" t="s">
        <v>4</v>
      </c>
      <c r="E694" s="222" t="s">
        <v>27</v>
      </c>
      <c r="F694" s="172" t="s">
        <v>4</v>
      </c>
      <c r="G694" s="177">
        <v>14.0</v>
      </c>
      <c r="H694" s="230" t="s">
        <v>11567</v>
      </c>
      <c r="I694" s="172" t="s">
        <v>33</v>
      </c>
      <c r="J694" s="257" t="s">
        <v>213</v>
      </c>
      <c r="K694" s="157" t="s">
        <v>35</v>
      </c>
      <c r="L694" s="553" t="s">
        <v>216</v>
      </c>
      <c r="M694" s="157" t="s">
        <v>44</v>
      </c>
      <c r="N694" s="167" t="s">
        <v>10505</v>
      </c>
      <c r="O694" s="55" t="str">
        <f t="shared" si="18"/>
        <v>L4.00.00.14.02.03</v>
      </c>
      <c r="P694" s="173" t="str">
        <f t="shared" si="39"/>
        <v>L4.00.00.14.02.03.06</v>
      </c>
      <c r="Q694" s="428" t="s">
        <v>10530</v>
      </c>
      <c r="R694" s="223" t="str">
        <f t="shared" si="41"/>
        <v>Nhóm nội dung QT Nguồn nhân lực</v>
      </c>
      <c r="S694" s="429" t="s">
        <v>11575</v>
      </c>
      <c r="T694" s="176"/>
      <c r="U694" s="176"/>
      <c r="V694" s="176"/>
      <c r="W694" s="176"/>
      <c r="X694" s="176"/>
      <c r="Y694" s="224" t="s">
        <v>11573</v>
      </c>
      <c r="Z694" s="225" t="s">
        <v>11578</v>
      </c>
      <c r="AA694" s="266"/>
      <c r="AB694" s="226"/>
      <c r="AC694" s="226"/>
      <c r="AD694" s="226"/>
    </row>
    <row r="695" ht="15.75" customHeight="1" outlineLevel="1">
      <c r="A695" s="177" t="s">
        <v>10529</v>
      </c>
      <c r="B695" s="221" t="s">
        <v>206</v>
      </c>
      <c r="C695" s="221" t="s">
        <v>27</v>
      </c>
      <c r="D695" s="172" t="s">
        <v>4</v>
      </c>
      <c r="E695" s="222" t="s">
        <v>27</v>
      </c>
      <c r="F695" s="172" t="s">
        <v>4</v>
      </c>
      <c r="G695" s="177">
        <v>14.0</v>
      </c>
      <c r="H695" s="230" t="s">
        <v>11567</v>
      </c>
      <c r="I695" s="172" t="s">
        <v>33</v>
      </c>
      <c r="J695" s="257" t="s">
        <v>213</v>
      </c>
      <c r="K695" s="157" t="s">
        <v>37</v>
      </c>
      <c r="L695" s="553" t="s">
        <v>217</v>
      </c>
      <c r="M695" s="157" t="s">
        <v>44</v>
      </c>
      <c r="N695" s="167" t="s">
        <v>10505</v>
      </c>
      <c r="O695" s="55" t="str">
        <f t="shared" si="18"/>
        <v>L4.00.00.14.02.04</v>
      </c>
      <c r="P695" s="173" t="str">
        <f t="shared" si="39"/>
        <v>L4.00.00.14.02.04.06</v>
      </c>
      <c r="Q695" s="428" t="s">
        <v>10530</v>
      </c>
      <c r="R695" s="223" t="str">
        <f t="shared" si="41"/>
        <v>Nhóm nội dung QL điều hành DN</v>
      </c>
      <c r="S695" s="429" t="s">
        <v>11575</v>
      </c>
      <c r="T695" s="176"/>
      <c r="U695" s="176"/>
      <c r="V695" s="176"/>
      <c r="W695" s="176"/>
      <c r="X695" s="176"/>
      <c r="Y695" s="224" t="s">
        <v>11573</v>
      </c>
      <c r="Z695" s="225" t="s">
        <v>11579</v>
      </c>
      <c r="AA695" s="266"/>
      <c r="AB695" s="226"/>
      <c r="AC695" s="226"/>
      <c r="AD695" s="226"/>
    </row>
    <row r="696" ht="15.75" customHeight="1" outlineLevel="1">
      <c r="A696" s="177" t="s">
        <v>10529</v>
      </c>
      <c r="B696" s="221" t="s">
        <v>206</v>
      </c>
      <c r="C696" s="221" t="s">
        <v>27</v>
      </c>
      <c r="D696" s="172" t="s">
        <v>4</v>
      </c>
      <c r="E696" s="222" t="s">
        <v>27</v>
      </c>
      <c r="F696" s="172" t="s">
        <v>4</v>
      </c>
      <c r="G696" s="177">
        <v>14.0</v>
      </c>
      <c r="H696" s="230" t="s">
        <v>11567</v>
      </c>
      <c r="I696" s="172" t="s">
        <v>33</v>
      </c>
      <c r="J696" s="257" t="s">
        <v>213</v>
      </c>
      <c r="K696" s="157" t="s">
        <v>42</v>
      </c>
      <c r="L696" s="553" t="s">
        <v>218</v>
      </c>
      <c r="M696" s="157" t="s">
        <v>44</v>
      </c>
      <c r="N696" s="167" t="s">
        <v>10505</v>
      </c>
      <c r="O696" s="55" t="str">
        <f t="shared" si="18"/>
        <v>L4.00.00.14.02.05</v>
      </c>
      <c r="P696" s="173" t="str">
        <f t="shared" si="39"/>
        <v>L4.00.00.14.02.05.06</v>
      </c>
      <c r="Q696" s="428" t="s">
        <v>10530</v>
      </c>
      <c r="R696" s="223" t="str">
        <f t="shared" si="41"/>
        <v>Nhóm nội dung QL bán lẻ</v>
      </c>
      <c r="S696" s="429" t="s">
        <v>11575</v>
      </c>
      <c r="T696" s="176"/>
      <c r="U696" s="176"/>
      <c r="V696" s="176"/>
      <c r="W696" s="176"/>
      <c r="X696" s="176"/>
      <c r="Y696" s="224" t="s">
        <v>11573</v>
      </c>
      <c r="Z696" s="225" t="s">
        <v>11580</v>
      </c>
      <c r="AA696" s="266"/>
      <c r="AB696" s="226"/>
      <c r="AC696" s="226"/>
      <c r="AD696" s="226"/>
    </row>
    <row r="697" ht="15.75" customHeight="1" outlineLevel="1">
      <c r="A697" s="481" t="s">
        <v>10529</v>
      </c>
      <c r="B697" s="482" t="s">
        <v>206</v>
      </c>
      <c r="C697" s="482" t="s">
        <v>27</v>
      </c>
      <c r="D697" s="483" t="s">
        <v>4</v>
      </c>
      <c r="E697" s="484" t="s">
        <v>27</v>
      </c>
      <c r="F697" s="483" t="s">
        <v>4</v>
      </c>
      <c r="G697" s="481">
        <v>14.0</v>
      </c>
      <c r="H697" s="547" t="s">
        <v>11567</v>
      </c>
      <c r="I697" s="483" t="s">
        <v>35</v>
      </c>
      <c r="J697" s="554" t="s">
        <v>219</v>
      </c>
      <c r="K697" s="488" t="s">
        <v>27</v>
      </c>
      <c r="L697" s="489" t="s">
        <v>4</v>
      </c>
      <c r="M697" s="490" t="s">
        <v>27</v>
      </c>
      <c r="N697" s="491"/>
      <c r="O697" s="492" t="str">
        <f t="shared" si="18"/>
        <v>L4.00.00.14.03.00</v>
      </c>
      <c r="P697" s="492" t="str">
        <f t="shared" si="39"/>
        <v>L4.00.00.14.03.00.00</v>
      </c>
      <c r="Q697" s="493" t="s">
        <v>10530</v>
      </c>
      <c r="R697" s="494" t="str">
        <f t="shared" si="41"/>
        <v>Ban hợp tác đào tạo</v>
      </c>
      <c r="S697" s="540" t="s">
        <v>11569</v>
      </c>
      <c r="T697" s="211" t="s">
        <v>11581</v>
      </c>
      <c r="U697" s="555" t="s">
        <v>4727</v>
      </c>
      <c r="V697" s="556" t="s">
        <v>219</v>
      </c>
      <c r="W697" s="495"/>
      <c r="X697" s="495"/>
      <c r="Y697" s="557"/>
      <c r="Z697" s="496" t="s">
        <v>11582</v>
      </c>
      <c r="AA697" s="497"/>
      <c r="AB697" s="498"/>
      <c r="AC697" s="498"/>
      <c r="AD697" s="498"/>
    </row>
    <row r="698" ht="15.75" customHeight="1" outlineLevel="1">
      <c r="A698" s="177" t="s">
        <v>10529</v>
      </c>
      <c r="B698" s="221" t="s">
        <v>206</v>
      </c>
      <c r="C698" s="221" t="s">
        <v>27</v>
      </c>
      <c r="D698" s="172" t="s">
        <v>4</v>
      </c>
      <c r="E698" s="222" t="s">
        <v>27</v>
      </c>
      <c r="F698" s="172" t="s">
        <v>4</v>
      </c>
      <c r="G698" s="177">
        <v>14.0</v>
      </c>
      <c r="H698" s="230" t="s">
        <v>11567</v>
      </c>
      <c r="I698" s="172" t="s">
        <v>35</v>
      </c>
      <c r="J698" s="257" t="s">
        <v>219</v>
      </c>
      <c r="K698" s="297" t="s">
        <v>27</v>
      </c>
      <c r="L698" s="157" t="s">
        <v>4</v>
      </c>
      <c r="M698" s="157" t="s">
        <v>29</v>
      </c>
      <c r="N698" s="167" t="s">
        <v>10498</v>
      </c>
      <c r="O698" s="55" t="str">
        <f t="shared" si="18"/>
        <v>L4.00.00.14.03.00</v>
      </c>
      <c r="P698" s="173" t="str">
        <f t="shared" si="39"/>
        <v>L4.00.00.14.03.00.01</v>
      </c>
      <c r="Q698" s="223"/>
      <c r="R698" s="223" t="str">
        <f t="shared" si="41"/>
        <v>Ban hợp tác đào tạo</v>
      </c>
      <c r="S698" s="429" t="s">
        <v>11583</v>
      </c>
      <c r="T698" s="176" t="s">
        <v>3272</v>
      </c>
      <c r="U698" s="176" t="s">
        <v>346</v>
      </c>
      <c r="V698" s="176" t="s">
        <v>2430</v>
      </c>
      <c r="W698" s="176"/>
      <c r="X698" s="176"/>
      <c r="Y698" s="224" t="s">
        <v>11573</v>
      </c>
      <c r="Z698" s="541"/>
      <c r="AA698" s="266"/>
      <c r="AB698" s="226"/>
      <c r="AC698" s="226"/>
      <c r="AD698" s="226"/>
    </row>
    <row r="699" ht="15.75" customHeight="1" outlineLevel="1">
      <c r="A699" s="177" t="s">
        <v>10529</v>
      </c>
      <c r="B699" s="221" t="s">
        <v>206</v>
      </c>
      <c r="C699" s="221" t="s">
        <v>27</v>
      </c>
      <c r="D699" s="172" t="s">
        <v>4</v>
      </c>
      <c r="E699" s="222" t="s">
        <v>27</v>
      </c>
      <c r="F699" s="172" t="s">
        <v>4</v>
      </c>
      <c r="G699" s="177">
        <v>14.0</v>
      </c>
      <c r="H699" s="230" t="s">
        <v>11567</v>
      </c>
      <c r="I699" s="172" t="s">
        <v>35</v>
      </c>
      <c r="J699" s="257" t="s">
        <v>219</v>
      </c>
      <c r="K699" s="297" t="s">
        <v>27</v>
      </c>
      <c r="L699" s="157" t="s">
        <v>4</v>
      </c>
      <c r="M699" s="157" t="s">
        <v>33</v>
      </c>
      <c r="N699" s="167" t="s">
        <v>10499</v>
      </c>
      <c r="O699" s="55" t="str">
        <f t="shared" si="18"/>
        <v>L4.00.00.14.03.00</v>
      </c>
      <c r="P699" s="173" t="str">
        <f t="shared" si="39"/>
        <v>L4.00.00.14.03.00.02</v>
      </c>
      <c r="Q699" s="223"/>
      <c r="R699" s="223" t="str">
        <f t="shared" si="41"/>
        <v>Ban hợp tác đào tạo</v>
      </c>
      <c r="S699" s="429" t="s">
        <v>11583</v>
      </c>
      <c r="T699" s="176" t="s">
        <v>2431</v>
      </c>
      <c r="U699" s="176" t="s">
        <v>262</v>
      </c>
      <c r="V699" s="176" t="s">
        <v>2430</v>
      </c>
      <c r="W699" s="176"/>
      <c r="X699" s="176"/>
      <c r="Y699" s="224" t="s">
        <v>11573</v>
      </c>
      <c r="Z699" s="541"/>
      <c r="AA699" s="266"/>
      <c r="AB699" s="226"/>
      <c r="AC699" s="226"/>
      <c r="AD699" s="226"/>
    </row>
    <row r="700" ht="15.75" customHeight="1">
      <c r="A700" s="233" t="s">
        <v>11584</v>
      </c>
      <c r="B700" s="233" t="s">
        <v>74</v>
      </c>
      <c r="C700" s="47"/>
      <c r="D700" s="47"/>
      <c r="E700" s="47"/>
      <c r="F700" s="47"/>
      <c r="G700" s="48"/>
      <c r="H700" s="49"/>
      <c r="I700" s="48"/>
      <c r="J700" s="439"/>
      <c r="K700" s="439"/>
      <c r="L700" s="439"/>
      <c r="M700" s="439"/>
      <c r="N700" s="440"/>
      <c r="O700" s="55" t="str">
        <f t="shared" si="18"/>
        <v>J0.....</v>
      </c>
      <c r="P700" s="48"/>
      <c r="Q700" s="169"/>
      <c r="R700" s="169" t="str">
        <f t="shared" si="41"/>
        <v/>
      </c>
      <c r="T700" s="96"/>
      <c r="U700" s="96"/>
      <c r="V700" s="96"/>
      <c r="W700" s="96"/>
      <c r="X700" s="96"/>
      <c r="Y700" s="96"/>
      <c r="Z700" s="152"/>
      <c r="AA700" s="99"/>
      <c r="AB700" s="91"/>
      <c r="AC700" s="91"/>
      <c r="AD700" s="91"/>
    </row>
    <row r="701" ht="15.75" customHeight="1" outlineLevel="1">
      <c r="A701" s="177" t="s">
        <v>11584</v>
      </c>
      <c r="B701" s="177" t="s">
        <v>11585</v>
      </c>
      <c r="C701" s="172" t="s">
        <v>73</v>
      </c>
      <c r="D701" s="172" t="s">
        <v>74</v>
      </c>
      <c r="E701" s="222" t="s">
        <v>27</v>
      </c>
      <c r="F701" s="172" t="s">
        <v>4</v>
      </c>
      <c r="G701" s="175" t="s">
        <v>27</v>
      </c>
      <c r="H701" s="172" t="s">
        <v>4</v>
      </c>
      <c r="I701" s="222" t="s">
        <v>27</v>
      </c>
      <c r="J701" s="156" t="s">
        <v>4</v>
      </c>
      <c r="K701" s="297" t="s">
        <v>27</v>
      </c>
      <c r="L701" s="157" t="s">
        <v>4</v>
      </c>
      <c r="M701" s="297" t="s">
        <v>27</v>
      </c>
      <c r="N701" s="167"/>
      <c r="O701" s="55" t="str">
        <f t="shared" si="18"/>
        <v>J0.99.00.00.00.00</v>
      </c>
      <c r="P701" s="173" t="str">
        <f t="shared" ref="P701:P714" si="42">A701&amp;"."&amp;C701&amp;"."&amp;E701&amp;"."&amp;G701&amp;"."&amp;I701&amp;"."&amp;K701&amp;"."&amp;M701</f>
        <v>J0.99.00.00.00.00.00</v>
      </c>
      <c r="Q701" s="428" t="s">
        <v>10530</v>
      </c>
      <c r="R701" s="177" t="s">
        <v>11585</v>
      </c>
      <c r="S701" s="97" t="s">
        <v>22</v>
      </c>
      <c r="T701" s="176" t="s">
        <v>9830</v>
      </c>
      <c r="U701" s="176" t="s">
        <v>2924</v>
      </c>
      <c r="V701" s="176" t="s">
        <v>155</v>
      </c>
      <c r="W701" s="176"/>
      <c r="X701" s="176"/>
      <c r="Y701" s="176"/>
      <c r="Z701" s="225" t="s">
        <v>74</v>
      </c>
      <c r="AA701" s="266"/>
      <c r="AB701" s="226"/>
      <c r="AC701" s="226"/>
      <c r="AD701" s="226"/>
    </row>
    <row r="702" ht="15.75" customHeight="1" outlineLevel="1">
      <c r="A702" s="177" t="s">
        <v>10529</v>
      </c>
      <c r="B702" s="221" t="s">
        <v>206</v>
      </c>
      <c r="C702" s="172" t="s">
        <v>73</v>
      </c>
      <c r="D702" s="172" t="s">
        <v>74</v>
      </c>
      <c r="E702" s="222" t="s">
        <v>27</v>
      </c>
      <c r="F702" s="172" t="s">
        <v>4</v>
      </c>
      <c r="G702" s="172" t="s">
        <v>29</v>
      </c>
      <c r="H702" s="171" t="s">
        <v>155</v>
      </c>
      <c r="I702" s="222" t="s">
        <v>27</v>
      </c>
      <c r="J702" s="156" t="s">
        <v>4</v>
      </c>
      <c r="K702" s="297" t="s">
        <v>27</v>
      </c>
      <c r="L702" s="157" t="s">
        <v>4</v>
      </c>
      <c r="M702" s="157" t="s">
        <v>46</v>
      </c>
      <c r="N702" s="167" t="s">
        <v>10496</v>
      </c>
      <c r="O702" s="55" t="str">
        <f t="shared" si="18"/>
        <v>L4.99.00.01.00.00</v>
      </c>
      <c r="P702" s="173" t="str">
        <f t="shared" si="42"/>
        <v>L4.99.00.01.00.00.07</v>
      </c>
      <c r="Q702" s="428" t="s">
        <v>10530</v>
      </c>
      <c r="R702" s="223" t="str">
        <f t="shared" ref="R702:R714" si="43">if(L702&lt;&gt;"-",L702,if(AND(L702="-",J702&lt;&gt;"-"),J702,if(AND(J702="-",H702&lt;&gt;"-"),H702,"NA")))</f>
        <v>Ban Giám đốc</v>
      </c>
      <c r="S702" s="429" t="s">
        <v>11586</v>
      </c>
      <c r="T702" s="176" t="s">
        <v>9830</v>
      </c>
      <c r="U702" s="176" t="s">
        <v>2924</v>
      </c>
      <c r="V702" s="176" t="s">
        <v>155</v>
      </c>
      <c r="W702" s="176"/>
      <c r="X702" s="176"/>
      <c r="Y702" s="176"/>
      <c r="Z702" s="225" t="s">
        <v>11587</v>
      </c>
      <c r="AA702" s="300" t="s">
        <v>10530</v>
      </c>
      <c r="AB702" s="226"/>
      <c r="AC702" s="226"/>
      <c r="AD702" s="226"/>
    </row>
    <row r="703" ht="24.75" customHeight="1" outlineLevel="1">
      <c r="A703" s="177" t="s">
        <v>10535</v>
      </c>
      <c r="B703" s="221" t="s">
        <v>26</v>
      </c>
      <c r="C703" s="172" t="s">
        <v>73</v>
      </c>
      <c r="D703" s="172" t="s">
        <v>74</v>
      </c>
      <c r="E703" s="222" t="s">
        <v>27</v>
      </c>
      <c r="F703" s="172" t="s">
        <v>4</v>
      </c>
      <c r="G703" s="172" t="s">
        <v>33</v>
      </c>
      <c r="H703" s="171" t="s">
        <v>75</v>
      </c>
      <c r="I703" s="175" t="s">
        <v>27</v>
      </c>
      <c r="J703" s="218" t="s">
        <v>4</v>
      </c>
      <c r="K703" s="168" t="s">
        <v>27</v>
      </c>
      <c r="L703" s="218" t="s">
        <v>4</v>
      </c>
      <c r="M703" s="157" t="s">
        <v>46</v>
      </c>
      <c r="N703" s="167" t="s">
        <v>10496</v>
      </c>
      <c r="O703" s="55" t="str">
        <f t="shared" si="18"/>
        <v>L1.99.00.02.00.00</v>
      </c>
      <c r="P703" s="173" t="str">
        <f t="shared" si="42"/>
        <v>L1.99.00.02.00.00.07</v>
      </c>
      <c r="Q703" s="428" t="s">
        <v>10530</v>
      </c>
      <c r="R703" s="223" t="str">
        <f t="shared" si="43"/>
        <v>Phòng Phát triển sản phẩm</v>
      </c>
      <c r="S703" s="429" t="s">
        <v>11586</v>
      </c>
      <c r="T703" s="224" t="s">
        <v>3093</v>
      </c>
      <c r="U703" s="176" t="s">
        <v>2924</v>
      </c>
      <c r="V703" s="176" t="s">
        <v>75</v>
      </c>
      <c r="W703" s="176" t="s">
        <v>3100</v>
      </c>
      <c r="X703" s="176" t="s">
        <v>3099</v>
      </c>
      <c r="Y703" s="176"/>
      <c r="Z703" s="225" t="s">
        <v>11588</v>
      </c>
      <c r="AA703" s="300" t="s">
        <v>10530</v>
      </c>
      <c r="AB703" s="226"/>
      <c r="AC703" s="226"/>
      <c r="AD703" s="226"/>
    </row>
    <row r="704" ht="15.75" customHeight="1" outlineLevel="1">
      <c r="A704" s="177" t="s">
        <v>10535</v>
      </c>
      <c r="B704" s="221" t="s">
        <v>26</v>
      </c>
      <c r="C704" s="172" t="s">
        <v>73</v>
      </c>
      <c r="D704" s="172" t="s">
        <v>74</v>
      </c>
      <c r="E704" s="222" t="s">
        <v>27</v>
      </c>
      <c r="F704" s="172" t="s">
        <v>4</v>
      </c>
      <c r="G704" s="172" t="s">
        <v>33</v>
      </c>
      <c r="H704" s="171" t="s">
        <v>75</v>
      </c>
      <c r="I704" s="175" t="s">
        <v>29</v>
      </c>
      <c r="J704" s="176" t="s">
        <v>3100</v>
      </c>
      <c r="K704" s="168" t="s">
        <v>27</v>
      </c>
      <c r="L704" s="218" t="s">
        <v>4</v>
      </c>
      <c r="M704" s="157" t="s">
        <v>46</v>
      </c>
      <c r="N704" s="167" t="s">
        <v>10496</v>
      </c>
      <c r="O704" s="55" t="str">
        <f t="shared" si="18"/>
        <v>L1.99.00.02.01.00</v>
      </c>
      <c r="P704" s="173" t="str">
        <f t="shared" si="42"/>
        <v>L1.99.00.02.01.00.07</v>
      </c>
      <c r="Q704" s="428" t="s">
        <v>10530</v>
      </c>
      <c r="R704" s="223" t="str">
        <f t="shared" si="43"/>
        <v>Sản phẩm JETPAY</v>
      </c>
      <c r="S704" s="224" t="s">
        <v>11589</v>
      </c>
      <c r="T704" s="224" t="s">
        <v>11590</v>
      </c>
      <c r="U704" s="176" t="s">
        <v>2924</v>
      </c>
      <c r="V704" s="176" t="s">
        <v>75</v>
      </c>
      <c r="W704" s="176" t="s">
        <v>3100</v>
      </c>
      <c r="X704" s="176" t="s">
        <v>3099</v>
      </c>
      <c r="Y704" s="176"/>
      <c r="Z704" s="225" t="s">
        <v>11591</v>
      </c>
      <c r="AA704" s="300" t="s">
        <v>10530</v>
      </c>
      <c r="AB704" s="226"/>
      <c r="AC704" s="226"/>
      <c r="AD704" s="226"/>
    </row>
    <row r="705" ht="15.75" customHeight="1" outlineLevel="1">
      <c r="A705" s="177" t="s">
        <v>10535</v>
      </c>
      <c r="B705" s="221" t="s">
        <v>26</v>
      </c>
      <c r="C705" s="172" t="s">
        <v>73</v>
      </c>
      <c r="D705" s="172" t="s">
        <v>74</v>
      </c>
      <c r="E705" s="222" t="s">
        <v>27</v>
      </c>
      <c r="F705" s="172" t="s">
        <v>4</v>
      </c>
      <c r="G705" s="172" t="s">
        <v>33</v>
      </c>
      <c r="H705" s="171" t="s">
        <v>75</v>
      </c>
      <c r="I705" s="175" t="s">
        <v>29</v>
      </c>
      <c r="J705" s="176" t="s">
        <v>3100</v>
      </c>
      <c r="K705" s="168" t="s">
        <v>29</v>
      </c>
      <c r="L705" s="176" t="s">
        <v>3099</v>
      </c>
      <c r="M705" s="157" t="s">
        <v>46</v>
      </c>
      <c r="N705" s="167" t="s">
        <v>10496</v>
      </c>
      <c r="O705" s="55" t="str">
        <f t="shared" si="18"/>
        <v>L1.99.00.02.01.01</v>
      </c>
      <c r="P705" s="173" t="str">
        <f t="shared" si="42"/>
        <v>L1.99.00.02.01.01.07</v>
      </c>
      <c r="Q705" s="428" t="s">
        <v>10530</v>
      </c>
      <c r="R705" s="223" t="str">
        <f t="shared" si="43"/>
        <v>Dự án JETPAY</v>
      </c>
      <c r="S705" s="429" t="s">
        <v>11592</v>
      </c>
      <c r="T705" s="176" t="s">
        <v>3101</v>
      </c>
      <c r="U705" s="176" t="s">
        <v>2924</v>
      </c>
      <c r="V705" s="176" t="s">
        <v>75</v>
      </c>
      <c r="W705" s="176" t="s">
        <v>3100</v>
      </c>
      <c r="X705" s="176" t="s">
        <v>3099</v>
      </c>
      <c r="Y705" s="176"/>
      <c r="Z705" s="225" t="s">
        <v>11591</v>
      </c>
      <c r="AA705" s="300" t="s">
        <v>10530</v>
      </c>
      <c r="AB705" s="226"/>
      <c r="AC705" s="226"/>
      <c r="AD705" s="226"/>
    </row>
    <row r="706" ht="15.75" customHeight="1" outlineLevel="1">
      <c r="A706" s="177" t="s">
        <v>10535</v>
      </c>
      <c r="B706" s="221" t="s">
        <v>26</v>
      </c>
      <c r="C706" s="172" t="s">
        <v>73</v>
      </c>
      <c r="D706" s="172" t="s">
        <v>74</v>
      </c>
      <c r="E706" s="222" t="s">
        <v>27</v>
      </c>
      <c r="F706" s="172" t="s">
        <v>4</v>
      </c>
      <c r="G706" s="172" t="s">
        <v>33</v>
      </c>
      <c r="H706" s="171" t="s">
        <v>75</v>
      </c>
      <c r="I706" s="177" t="s">
        <v>33</v>
      </c>
      <c r="J706" s="176" t="s">
        <v>3086</v>
      </c>
      <c r="K706" s="168" t="s">
        <v>29</v>
      </c>
      <c r="L706" s="176" t="s">
        <v>3085</v>
      </c>
      <c r="M706" s="157" t="s">
        <v>46</v>
      </c>
      <c r="N706" s="167" t="s">
        <v>10496</v>
      </c>
      <c r="O706" s="55" t="str">
        <f t="shared" si="18"/>
        <v>L1.99.00.02.02.01</v>
      </c>
      <c r="P706" s="173" t="str">
        <f t="shared" si="42"/>
        <v>L1.99.00.02.02.01.07</v>
      </c>
      <c r="Q706" s="428" t="s">
        <v>10530</v>
      </c>
      <c r="R706" s="223" t="str">
        <f t="shared" si="43"/>
        <v>Dự án MISA Lending Platform</v>
      </c>
      <c r="S706" s="429" t="s">
        <v>11592</v>
      </c>
      <c r="T706" s="176" t="s">
        <v>3087</v>
      </c>
      <c r="U706" s="176" t="s">
        <v>2924</v>
      </c>
      <c r="V706" s="176" t="s">
        <v>75</v>
      </c>
      <c r="W706" s="176" t="s">
        <v>3086</v>
      </c>
      <c r="X706" s="176" t="s">
        <v>3085</v>
      </c>
      <c r="Y706" s="176"/>
      <c r="Z706" s="225" t="s">
        <v>11593</v>
      </c>
      <c r="AA706" s="300" t="s">
        <v>10530</v>
      </c>
      <c r="AB706" s="226"/>
      <c r="AC706" s="226"/>
      <c r="AD706" s="226"/>
    </row>
    <row r="707" ht="15.75" customHeight="1" outlineLevel="1">
      <c r="A707" s="177" t="s">
        <v>10535</v>
      </c>
      <c r="B707" s="221" t="s">
        <v>26</v>
      </c>
      <c r="C707" s="172" t="s">
        <v>73</v>
      </c>
      <c r="D707" s="172" t="s">
        <v>74</v>
      </c>
      <c r="E707" s="222" t="s">
        <v>27</v>
      </c>
      <c r="F707" s="172" t="s">
        <v>4</v>
      </c>
      <c r="G707" s="172" t="s">
        <v>33</v>
      </c>
      <c r="H707" s="171" t="s">
        <v>75</v>
      </c>
      <c r="I707" s="177" t="s">
        <v>33</v>
      </c>
      <c r="J707" s="176" t="s">
        <v>3086</v>
      </c>
      <c r="K707" s="261" t="s">
        <v>33</v>
      </c>
      <c r="L707" s="176" t="s">
        <v>3133</v>
      </c>
      <c r="M707" s="157" t="s">
        <v>46</v>
      </c>
      <c r="N707" s="167" t="s">
        <v>10496</v>
      </c>
      <c r="O707" s="55" t="str">
        <f t="shared" si="18"/>
        <v>L1.99.00.02.02.02</v>
      </c>
      <c r="P707" s="173" t="str">
        <f t="shared" si="42"/>
        <v>L1.99.00.02.02.02.07</v>
      </c>
      <c r="Q707" s="428" t="s">
        <v>10530</v>
      </c>
      <c r="R707" s="223" t="str">
        <f t="shared" si="43"/>
        <v>[Lending] Nhóm phân tích thiết kế</v>
      </c>
      <c r="S707" s="429" t="s">
        <v>11592</v>
      </c>
      <c r="T707" s="176" t="s">
        <v>3134</v>
      </c>
      <c r="U707" s="176" t="s">
        <v>2924</v>
      </c>
      <c r="V707" s="176" t="s">
        <v>75</v>
      </c>
      <c r="W707" s="176" t="s">
        <v>3086</v>
      </c>
      <c r="X707" s="176" t="s">
        <v>3133</v>
      </c>
      <c r="Y707" s="176"/>
      <c r="Z707" s="225" t="s">
        <v>11594</v>
      </c>
      <c r="AA707" s="300" t="s">
        <v>10530</v>
      </c>
      <c r="AB707" s="226"/>
      <c r="AC707" s="226"/>
      <c r="AD707" s="226"/>
    </row>
    <row r="708" ht="15.75" customHeight="1" outlineLevel="1">
      <c r="A708" s="481" t="s">
        <v>10833</v>
      </c>
      <c r="B708" s="482" t="s">
        <v>77</v>
      </c>
      <c r="C708" s="483" t="s">
        <v>73</v>
      </c>
      <c r="D708" s="483" t="s">
        <v>74</v>
      </c>
      <c r="E708" s="484" t="s">
        <v>27</v>
      </c>
      <c r="F708" s="483" t="s">
        <v>4</v>
      </c>
      <c r="G708" s="483" t="s">
        <v>35</v>
      </c>
      <c r="H708" s="486" t="s">
        <v>187</v>
      </c>
      <c r="I708" s="485" t="s">
        <v>27</v>
      </c>
      <c r="J708" s="558" t="s">
        <v>4</v>
      </c>
      <c r="K708" s="488" t="s">
        <v>27</v>
      </c>
      <c r="L708" s="489" t="s">
        <v>4</v>
      </c>
      <c r="M708" s="488" t="s">
        <v>27</v>
      </c>
      <c r="N708" s="491"/>
      <c r="O708" s="492" t="str">
        <f t="shared" si="18"/>
        <v>L2.99.00.03.00.00</v>
      </c>
      <c r="P708" s="492" t="str">
        <f t="shared" si="42"/>
        <v>L2.99.00.03.00.00.00</v>
      </c>
      <c r="Q708" s="493" t="s">
        <v>10530</v>
      </c>
      <c r="R708" s="494" t="str">
        <f t="shared" si="43"/>
        <v>Phòng kinh doanh &amp; marketing</v>
      </c>
      <c r="S708" s="540" t="s">
        <v>11586</v>
      </c>
      <c r="T708" s="495"/>
      <c r="U708" s="495"/>
      <c r="V708" s="495"/>
      <c r="W708" s="495" t="s">
        <v>8293</v>
      </c>
      <c r="X708" s="495"/>
      <c r="Y708" s="557"/>
      <c r="Z708" s="496" t="s">
        <v>11595</v>
      </c>
      <c r="AA708" s="300" t="s">
        <v>10530</v>
      </c>
      <c r="AB708" s="498"/>
      <c r="AC708" s="498"/>
      <c r="AD708" s="498"/>
    </row>
    <row r="709" ht="15.75" customHeight="1" outlineLevel="1">
      <c r="A709" s="177" t="s">
        <v>10833</v>
      </c>
      <c r="B709" s="221" t="s">
        <v>77</v>
      </c>
      <c r="C709" s="172" t="s">
        <v>73</v>
      </c>
      <c r="D709" s="172" t="s">
        <v>74</v>
      </c>
      <c r="E709" s="222" t="s">
        <v>27</v>
      </c>
      <c r="F709" s="172" t="s">
        <v>4</v>
      </c>
      <c r="G709" s="172" t="s">
        <v>35</v>
      </c>
      <c r="H709" s="171" t="s">
        <v>187</v>
      </c>
      <c r="I709" s="175" t="s">
        <v>29</v>
      </c>
      <c r="J709" s="176" t="s">
        <v>8293</v>
      </c>
      <c r="K709" s="297" t="s">
        <v>27</v>
      </c>
      <c r="L709" s="157" t="s">
        <v>4</v>
      </c>
      <c r="M709" s="157" t="s">
        <v>33</v>
      </c>
      <c r="N709" s="167" t="s">
        <v>10499</v>
      </c>
      <c r="O709" s="55" t="str">
        <f t="shared" si="18"/>
        <v>L2.99.00.03.01.00</v>
      </c>
      <c r="P709" s="173" t="str">
        <f t="shared" si="42"/>
        <v>L2.99.00.03.01.00.02</v>
      </c>
      <c r="Q709" s="428" t="s">
        <v>10530</v>
      </c>
      <c r="R709" s="223" t="str">
        <f t="shared" si="43"/>
        <v>Nhóm KD sản phẩm Bankhub</v>
      </c>
      <c r="S709" s="429" t="s">
        <v>11596</v>
      </c>
      <c r="T709" s="176" t="s">
        <v>8294</v>
      </c>
      <c r="U709" s="176" t="s">
        <v>2924</v>
      </c>
      <c r="V709" s="176" t="s">
        <v>187</v>
      </c>
      <c r="W709" s="176" t="s">
        <v>8293</v>
      </c>
      <c r="X709" s="176"/>
      <c r="Y709" s="224"/>
      <c r="Z709" s="225" t="s">
        <v>11597</v>
      </c>
      <c r="AA709" s="300" t="s">
        <v>10530</v>
      </c>
      <c r="AB709" s="226"/>
      <c r="AC709" s="226"/>
      <c r="AD709" s="226"/>
    </row>
    <row r="710" ht="15.75" customHeight="1" outlineLevel="1">
      <c r="A710" s="481" t="s">
        <v>10833</v>
      </c>
      <c r="B710" s="482" t="s">
        <v>77</v>
      </c>
      <c r="C710" s="483" t="s">
        <v>73</v>
      </c>
      <c r="D710" s="483" t="s">
        <v>74</v>
      </c>
      <c r="E710" s="484" t="s">
        <v>27</v>
      </c>
      <c r="F710" s="483" t="s">
        <v>4</v>
      </c>
      <c r="G710" s="483" t="s">
        <v>35</v>
      </c>
      <c r="H710" s="486" t="s">
        <v>187</v>
      </c>
      <c r="I710" s="481" t="s">
        <v>33</v>
      </c>
      <c r="J710" s="495" t="s">
        <v>3112</v>
      </c>
      <c r="K710" s="488" t="s">
        <v>27</v>
      </c>
      <c r="L710" s="489" t="s">
        <v>4</v>
      </c>
      <c r="M710" s="490" t="s">
        <v>27</v>
      </c>
      <c r="N710" s="491"/>
      <c r="O710" s="492" t="str">
        <f t="shared" si="18"/>
        <v>L2.99.00.03.02.00</v>
      </c>
      <c r="P710" s="492" t="str">
        <f t="shared" si="42"/>
        <v>L2.99.00.03.02.00.00</v>
      </c>
      <c r="Q710" s="493" t="s">
        <v>10530</v>
      </c>
      <c r="R710" s="494" t="str">
        <f t="shared" si="43"/>
        <v>Nhóm KD sản phẩm Lending</v>
      </c>
      <c r="S710" s="540" t="s">
        <v>11596</v>
      </c>
      <c r="T710" s="495" t="s">
        <v>3113</v>
      </c>
      <c r="U710" s="495" t="s">
        <v>2924</v>
      </c>
      <c r="V710" s="495" t="s">
        <v>187</v>
      </c>
      <c r="W710" s="495" t="s">
        <v>3112</v>
      </c>
      <c r="X710" s="495"/>
      <c r="Y710" s="495"/>
      <c r="Z710" s="496" t="s">
        <v>11598</v>
      </c>
      <c r="AA710" s="300" t="s">
        <v>10530</v>
      </c>
      <c r="AB710" s="498"/>
      <c r="AC710" s="498"/>
      <c r="AD710" s="498"/>
    </row>
    <row r="711" ht="15.75" customHeight="1" outlineLevel="1">
      <c r="A711" s="170" t="s">
        <v>10833</v>
      </c>
      <c r="B711" s="57" t="s">
        <v>77</v>
      </c>
      <c r="C711" s="52" t="s">
        <v>73</v>
      </c>
      <c r="D711" s="52" t="s">
        <v>74</v>
      </c>
      <c r="E711" s="53" t="s">
        <v>27</v>
      </c>
      <c r="F711" s="52" t="s">
        <v>4</v>
      </c>
      <c r="G711" s="62" t="s">
        <v>35</v>
      </c>
      <c r="H711" s="60" t="s">
        <v>187</v>
      </c>
      <c r="I711" s="170" t="s">
        <v>33</v>
      </c>
      <c r="J711" s="96" t="s">
        <v>3112</v>
      </c>
      <c r="K711" s="166" t="s">
        <v>27</v>
      </c>
      <c r="L711" s="155" t="s">
        <v>4</v>
      </c>
      <c r="M711" s="422" t="s">
        <v>33</v>
      </c>
      <c r="N711" s="167" t="s">
        <v>10499</v>
      </c>
      <c r="O711" s="55" t="str">
        <f t="shared" si="18"/>
        <v>L2.99.00.03.02.00</v>
      </c>
      <c r="P711" s="55" t="str">
        <f t="shared" si="42"/>
        <v>L2.99.00.03.02.00.02</v>
      </c>
      <c r="Q711" s="428"/>
      <c r="R711" s="169" t="str">
        <f t="shared" si="43"/>
        <v>Nhóm KD sản phẩm Lending</v>
      </c>
      <c r="S711" s="227" t="s">
        <v>11599</v>
      </c>
      <c r="T711" s="96"/>
      <c r="U711" s="96"/>
      <c r="V711" s="96"/>
      <c r="W711" s="96"/>
      <c r="X711" s="96"/>
      <c r="Y711" s="96"/>
      <c r="Z711" s="152"/>
      <c r="AA711" s="99"/>
      <c r="AB711" s="91"/>
      <c r="AC711" s="91"/>
      <c r="AD711" s="91"/>
    </row>
    <row r="712" ht="15.75" customHeight="1" outlineLevel="1">
      <c r="A712" s="170" t="s">
        <v>10833</v>
      </c>
      <c r="B712" s="57" t="s">
        <v>77</v>
      </c>
      <c r="C712" s="52" t="s">
        <v>73</v>
      </c>
      <c r="D712" s="52" t="s">
        <v>74</v>
      </c>
      <c r="E712" s="53" t="s">
        <v>27</v>
      </c>
      <c r="F712" s="52" t="s">
        <v>4</v>
      </c>
      <c r="G712" s="62" t="s">
        <v>35</v>
      </c>
      <c r="H712" s="60" t="s">
        <v>187</v>
      </c>
      <c r="I712" s="170" t="s">
        <v>33</v>
      </c>
      <c r="J712" s="96" t="s">
        <v>3112</v>
      </c>
      <c r="K712" s="166" t="s">
        <v>27</v>
      </c>
      <c r="L712" s="155" t="s">
        <v>4</v>
      </c>
      <c r="M712" s="422" t="s">
        <v>46</v>
      </c>
      <c r="N712" s="158" t="s">
        <v>10496</v>
      </c>
      <c r="O712" s="55" t="str">
        <f t="shared" si="18"/>
        <v>L2.99.00.03.02.00</v>
      </c>
      <c r="P712" s="55" t="str">
        <f t="shared" si="42"/>
        <v>L2.99.00.03.02.00.07</v>
      </c>
      <c r="Q712" s="169"/>
      <c r="R712" s="169" t="str">
        <f t="shared" si="43"/>
        <v>Nhóm KD sản phẩm Lending</v>
      </c>
      <c r="S712" s="227" t="s">
        <v>11599</v>
      </c>
      <c r="T712" s="96"/>
      <c r="U712" s="96"/>
      <c r="V712" s="96"/>
      <c r="W712" s="96"/>
      <c r="X712" s="96"/>
      <c r="Y712" s="96"/>
      <c r="Z712" s="152"/>
      <c r="AA712" s="99"/>
      <c r="AB712" s="91"/>
      <c r="AC712" s="91"/>
      <c r="AD712" s="91"/>
    </row>
    <row r="713" ht="15.75" customHeight="1" outlineLevel="1">
      <c r="A713" s="170" t="s">
        <v>10529</v>
      </c>
      <c r="B713" s="57" t="s">
        <v>206</v>
      </c>
      <c r="C713" s="52" t="s">
        <v>73</v>
      </c>
      <c r="D713" s="52" t="s">
        <v>74</v>
      </c>
      <c r="E713" s="53" t="s">
        <v>27</v>
      </c>
      <c r="F713" s="52" t="s">
        <v>4</v>
      </c>
      <c r="G713" s="62" t="s">
        <v>37</v>
      </c>
      <c r="H713" s="60" t="s">
        <v>34</v>
      </c>
      <c r="I713" s="53" t="s">
        <v>27</v>
      </c>
      <c r="J713" s="559" t="s">
        <v>4</v>
      </c>
      <c r="K713" s="166" t="s">
        <v>27</v>
      </c>
      <c r="L713" s="155" t="s">
        <v>4</v>
      </c>
      <c r="M713" s="422" t="s">
        <v>46</v>
      </c>
      <c r="N713" s="158" t="s">
        <v>10496</v>
      </c>
      <c r="O713" s="55" t="str">
        <f t="shared" si="18"/>
        <v>L4.99.00.04.00.00</v>
      </c>
      <c r="P713" s="55" t="str">
        <f t="shared" si="42"/>
        <v>L4.99.00.04.00.00.07</v>
      </c>
      <c r="Q713" s="161" t="s">
        <v>10530</v>
      </c>
      <c r="R713" s="169" t="str">
        <f t="shared" si="43"/>
        <v>Phòng HCTH</v>
      </c>
      <c r="S713" s="429" t="s">
        <v>11586</v>
      </c>
      <c r="T713" s="96" t="s">
        <v>2925</v>
      </c>
      <c r="U713" s="96" t="s">
        <v>2924</v>
      </c>
      <c r="V713" s="96" t="s">
        <v>34</v>
      </c>
      <c r="W713" s="96"/>
      <c r="X713" s="96"/>
      <c r="Y713" s="96"/>
      <c r="Z713" s="98" t="s">
        <v>11600</v>
      </c>
      <c r="AA713" s="300" t="s">
        <v>10530</v>
      </c>
      <c r="AB713" s="91"/>
      <c r="AC713" s="91"/>
      <c r="AD713" s="91"/>
    </row>
    <row r="714" ht="15.75" customHeight="1" outlineLevel="1">
      <c r="A714" s="170" t="s">
        <v>10529</v>
      </c>
      <c r="B714" s="57" t="s">
        <v>206</v>
      </c>
      <c r="C714" s="52" t="s">
        <v>73</v>
      </c>
      <c r="D714" s="52" t="s">
        <v>74</v>
      </c>
      <c r="E714" s="53" t="s">
        <v>27</v>
      </c>
      <c r="F714" s="52" t="s">
        <v>4</v>
      </c>
      <c r="G714" s="62" t="s">
        <v>42</v>
      </c>
      <c r="H714" s="60" t="s">
        <v>232</v>
      </c>
      <c r="I714" s="53" t="s">
        <v>27</v>
      </c>
      <c r="J714" s="559" t="s">
        <v>4</v>
      </c>
      <c r="K714" s="166" t="s">
        <v>27</v>
      </c>
      <c r="L714" s="155" t="s">
        <v>4</v>
      </c>
      <c r="M714" s="422" t="s">
        <v>33</v>
      </c>
      <c r="N714" s="167" t="s">
        <v>10499</v>
      </c>
      <c r="O714" s="55" t="str">
        <f t="shared" si="18"/>
        <v>L4.99.00.05.00.00</v>
      </c>
      <c r="P714" s="55" t="str">
        <f t="shared" si="42"/>
        <v>L4.99.00.05.00.00.02</v>
      </c>
      <c r="Q714" s="161" t="s">
        <v>10530</v>
      </c>
      <c r="R714" s="169" t="str">
        <f t="shared" si="43"/>
        <v>Phòng Giám sát vận hành</v>
      </c>
      <c r="S714" s="429" t="s">
        <v>11586</v>
      </c>
      <c r="T714" s="96" t="s">
        <v>7479</v>
      </c>
      <c r="U714" s="96" t="s">
        <v>2924</v>
      </c>
      <c r="V714" s="96" t="s">
        <v>232</v>
      </c>
      <c r="W714" s="96"/>
      <c r="X714" s="96"/>
      <c r="Y714" s="96"/>
      <c r="Z714" s="98" t="s">
        <v>11601</v>
      </c>
      <c r="AA714" s="300" t="s">
        <v>10530</v>
      </c>
      <c r="AB714" s="91"/>
      <c r="AC714" s="91"/>
      <c r="AD714" s="91"/>
    </row>
    <row r="715" ht="15.75" customHeight="1">
      <c r="H715" s="37"/>
      <c r="I715" s="38"/>
      <c r="J715" s="37"/>
      <c r="N715" s="37"/>
      <c r="Z715" s="79"/>
    </row>
    <row r="716" ht="15.75" customHeight="1">
      <c r="H716" s="560"/>
      <c r="I716" s="38"/>
      <c r="J716" s="37"/>
      <c r="N716" s="37"/>
      <c r="Z716" s="79"/>
    </row>
    <row r="717" ht="15.75" customHeight="1">
      <c r="H717" s="37"/>
      <c r="I717" s="38"/>
      <c r="J717" s="37"/>
      <c r="N717" s="37"/>
      <c r="Z717" s="79"/>
    </row>
    <row r="718" ht="15.75" customHeight="1">
      <c r="H718" s="560"/>
      <c r="I718" s="561"/>
      <c r="J718" s="37"/>
      <c r="N718" s="37"/>
      <c r="Z718" s="79"/>
    </row>
    <row r="719" ht="15.75" customHeight="1">
      <c r="H719" s="560"/>
      <c r="I719" s="38"/>
      <c r="J719" s="37"/>
      <c r="N719" s="37"/>
      <c r="Z719" s="79"/>
    </row>
    <row r="720" ht="15.75" customHeight="1">
      <c r="H720" s="560"/>
      <c r="I720" s="38"/>
      <c r="J720" s="37"/>
      <c r="N720" s="37"/>
      <c r="Z720" s="79"/>
    </row>
    <row r="721" ht="15.75" customHeight="1">
      <c r="H721" s="560"/>
      <c r="I721" s="38"/>
      <c r="J721" s="37"/>
      <c r="N721" s="37"/>
      <c r="Z721" s="79"/>
    </row>
    <row r="722" ht="15.75" customHeight="1">
      <c r="H722" s="560"/>
      <c r="I722" s="38"/>
      <c r="J722" s="37"/>
      <c r="N722" s="37"/>
      <c r="Z722" s="79"/>
    </row>
    <row r="723" ht="15.75" customHeight="1">
      <c r="H723" s="560"/>
      <c r="I723" s="38"/>
      <c r="J723" s="37"/>
      <c r="N723" s="37"/>
      <c r="Z723" s="79"/>
    </row>
    <row r="724" ht="15.75" customHeight="1">
      <c r="H724" s="37"/>
      <c r="I724" s="38"/>
      <c r="J724" s="37"/>
      <c r="N724" s="37"/>
      <c r="Z724" s="79"/>
    </row>
    <row r="725" ht="15.75" customHeight="1">
      <c r="H725" s="37"/>
      <c r="I725" s="38"/>
      <c r="J725" s="37"/>
      <c r="N725" s="37"/>
      <c r="Z725" s="79"/>
    </row>
    <row r="726" ht="15.75" customHeight="1">
      <c r="H726" s="37"/>
      <c r="I726" s="38"/>
      <c r="J726" s="37"/>
      <c r="N726" s="37"/>
      <c r="Z726" s="79"/>
    </row>
    <row r="727" ht="15.75" customHeight="1">
      <c r="H727" s="37"/>
      <c r="I727" s="38"/>
      <c r="J727" s="37"/>
      <c r="N727" s="37"/>
      <c r="Z727" s="79"/>
    </row>
    <row r="728" ht="15.75" customHeight="1">
      <c r="H728" s="37"/>
      <c r="I728" s="38"/>
      <c r="J728" s="37"/>
      <c r="N728" s="37"/>
      <c r="Z728" s="79"/>
    </row>
    <row r="729" ht="15.75" customHeight="1">
      <c r="H729" s="37"/>
      <c r="I729" s="38"/>
      <c r="J729" s="37"/>
      <c r="N729" s="37"/>
      <c r="Z729" s="79"/>
    </row>
    <row r="730" ht="15.75" customHeight="1">
      <c r="H730" s="37"/>
      <c r="I730" s="38"/>
      <c r="J730" s="37"/>
      <c r="N730" s="37"/>
      <c r="Z730" s="79"/>
    </row>
    <row r="731" ht="15.75" customHeight="1">
      <c r="H731" s="37"/>
      <c r="I731" s="38"/>
      <c r="J731" s="37"/>
      <c r="N731" s="37"/>
      <c r="Z731" s="79"/>
    </row>
    <row r="732" ht="15.75" customHeight="1">
      <c r="H732" s="37"/>
      <c r="I732" s="38"/>
      <c r="J732" s="37"/>
      <c r="N732" s="37"/>
      <c r="Z732" s="79"/>
    </row>
    <row r="733" ht="15.75" customHeight="1">
      <c r="H733" s="37"/>
      <c r="I733" s="38"/>
      <c r="J733" s="37"/>
      <c r="N733" s="37"/>
      <c r="Z733" s="79"/>
    </row>
    <row r="734" ht="15.75" customHeight="1">
      <c r="H734" s="37"/>
      <c r="I734" s="38"/>
      <c r="J734" s="37"/>
      <c r="N734" s="37"/>
      <c r="Z734" s="79"/>
    </row>
    <row r="735" ht="15.75" customHeight="1">
      <c r="H735" s="37"/>
      <c r="I735" s="38"/>
      <c r="J735" s="37"/>
      <c r="N735" s="37"/>
      <c r="Z735" s="79"/>
    </row>
    <row r="736" ht="15.75" customHeight="1">
      <c r="H736" s="37"/>
      <c r="I736" s="38"/>
      <c r="J736" s="37"/>
      <c r="N736" s="37"/>
      <c r="Z736" s="79"/>
    </row>
    <row r="737" ht="15.75" customHeight="1">
      <c r="H737" s="37"/>
      <c r="I737" s="38"/>
      <c r="J737" s="37"/>
      <c r="N737" s="37"/>
      <c r="Z737" s="79"/>
    </row>
    <row r="738" ht="15.75" customHeight="1">
      <c r="H738" s="37"/>
      <c r="I738" s="38"/>
      <c r="J738" s="37"/>
      <c r="N738" s="37"/>
      <c r="Z738" s="79"/>
    </row>
    <row r="739" ht="15.75" customHeight="1">
      <c r="H739" s="37"/>
      <c r="I739" s="38"/>
      <c r="J739" s="37"/>
      <c r="N739" s="37"/>
      <c r="Z739" s="79"/>
    </row>
    <row r="740" ht="15.75" customHeight="1">
      <c r="H740" s="37"/>
      <c r="I740" s="38"/>
      <c r="J740" s="37"/>
      <c r="N740" s="37"/>
      <c r="Z740" s="79"/>
    </row>
    <row r="741" ht="15.75" customHeight="1">
      <c r="H741" s="37"/>
      <c r="I741" s="38"/>
      <c r="J741" s="37"/>
      <c r="N741" s="37"/>
      <c r="Z741" s="79"/>
    </row>
    <row r="742" ht="15.75" customHeight="1">
      <c r="H742" s="37"/>
      <c r="I742" s="38"/>
      <c r="J742" s="37"/>
      <c r="N742" s="37"/>
      <c r="Z742" s="79"/>
    </row>
    <row r="743" ht="15.75" customHeight="1">
      <c r="H743" s="37"/>
      <c r="I743" s="38"/>
      <c r="J743" s="37"/>
      <c r="N743" s="37"/>
      <c r="Z743" s="79"/>
    </row>
    <row r="744" ht="15.75" customHeight="1">
      <c r="H744" s="37"/>
      <c r="I744" s="38"/>
      <c r="J744" s="37"/>
      <c r="N744" s="37"/>
      <c r="Z744" s="79"/>
    </row>
    <row r="745" ht="15.75" customHeight="1">
      <c r="H745" s="37"/>
      <c r="I745" s="38"/>
      <c r="J745" s="37"/>
      <c r="N745" s="37"/>
      <c r="Z745" s="79"/>
    </row>
    <row r="746" ht="15.75" customHeight="1">
      <c r="H746" s="37"/>
      <c r="I746" s="38"/>
      <c r="J746" s="37"/>
      <c r="N746" s="37"/>
      <c r="Z746" s="79"/>
    </row>
    <row r="747" ht="15.75" customHeight="1">
      <c r="H747" s="37"/>
      <c r="I747" s="38"/>
      <c r="J747" s="37"/>
      <c r="N747" s="37"/>
      <c r="Z747" s="79"/>
    </row>
    <row r="748" ht="15.75" customHeight="1">
      <c r="H748" s="37"/>
      <c r="I748" s="38"/>
      <c r="J748" s="37"/>
      <c r="N748" s="37"/>
      <c r="Z748" s="79"/>
    </row>
    <row r="749" ht="15.75" customHeight="1">
      <c r="H749" s="37"/>
      <c r="I749" s="38"/>
      <c r="J749" s="37"/>
      <c r="N749" s="37"/>
      <c r="Z749" s="79"/>
    </row>
    <row r="750" ht="15.75" customHeight="1">
      <c r="H750" s="37"/>
      <c r="I750" s="38"/>
      <c r="J750" s="37"/>
      <c r="N750" s="37"/>
      <c r="Z750" s="79"/>
    </row>
    <row r="751" ht="15.75" customHeight="1">
      <c r="H751" s="37"/>
      <c r="I751" s="38"/>
      <c r="J751" s="37"/>
      <c r="N751" s="37"/>
      <c r="Z751" s="79"/>
    </row>
    <row r="752" ht="15.75" customHeight="1">
      <c r="H752" s="37"/>
      <c r="I752" s="38"/>
      <c r="J752" s="37"/>
      <c r="N752" s="37"/>
      <c r="Z752" s="79"/>
    </row>
    <row r="753" ht="15.75" customHeight="1">
      <c r="H753" s="37"/>
      <c r="I753" s="38"/>
      <c r="J753" s="37"/>
      <c r="N753" s="37"/>
      <c r="Z753" s="79"/>
    </row>
    <row r="754" ht="15.75" customHeight="1">
      <c r="H754" s="37"/>
      <c r="I754" s="38"/>
      <c r="J754" s="37"/>
      <c r="N754" s="37"/>
      <c r="Z754" s="79"/>
    </row>
    <row r="755" ht="15.75" customHeight="1">
      <c r="H755" s="37"/>
      <c r="I755" s="38"/>
      <c r="J755" s="37"/>
      <c r="N755" s="37"/>
      <c r="Z755" s="79"/>
    </row>
    <row r="756" ht="15.75" customHeight="1">
      <c r="H756" s="37"/>
      <c r="I756" s="38"/>
      <c r="J756" s="37"/>
      <c r="N756" s="37"/>
      <c r="Z756" s="79"/>
    </row>
    <row r="757" ht="15.75" customHeight="1">
      <c r="H757" s="37"/>
      <c r="I757" s="38"/>
      <c r="J757" s="37"/>
      <c r="N757" s="37"/>
      <c r="Z757" s="79"/>
    </row>
    <row r="758" ht="15.75" customHeight="1">
      <c r="H758" s="37"/>
      <c r="I758" s="38"/>
      <c r="J758" s="37"/>
      <c r="N758" s="37"/>
      <c r="Z758" s="79"/>
    </row>
    <row r="759" ht="15.75" customHeight="1">
      <c r="H759" s="37"/>
      <c r="I759" s="38"/>
      <c r="J759" s="37"/>
      <c r="N759" s="37"/>
      <c r="Z759" s="79"/>
    </row>
    <row r="760" ht="15.75" customHeight="1">
      <c r="H760" s="37"/>
      <c r="I760" s="38"/>
      <c r="J760" s="37"/>
      <c r="N760" s="37"/>
      <c r="Z760" s="79"/>
    </row>
    <row r="761" ht="15.75" customHeight="1">
      <c r="H761" s="37"/>
      <c r="I761" s="38"/>
      <c r="J761" s="37"/>
      <c r="N761" s="37"/>
      <c r="Z761" s="79"/>
    </row>
    <row r="762" ht="15.75" customHeight="1">
      <c r="H762" s="37"/>
      <c r="I762" s="38"/>
      <c r="J762" s="37"/>
      <c r="N762" s="37"/>
      <c r="Z762" s="79"/>
    </row>
    <row r="763" ht="15.75" customHeight="1">
      <c r="H763" s="37"/>
      <c r="I763" s="38"/>
      <c r="J763" s="37"/>
      <c r="N763" s="37"/>
      <c r="Z763" s="79"/>
    </row>
    <row r="764" ht="15.75" customHeight="1">
      <c r="H764" s="37"/>
      <c r="I764" s="38"/>
      <c r="J764" s="37"/>
      <c r="N764" s="37"/>
      <c r="Z764" s="79"/>
    </row>
    <row r="765" ht="15.75" customHeight="1">
      <c r="H765" s="37"/>
      <c r="I765" s="38"/>
      <c r="J765" s="37"/>
      <c r="N765" s="37"/>
      <c r="Z765" s="79"/>
    </row>
    <row r="766" ht="15.75" customHeight="1">
      <c r="H766" s="37"/>
      <c r="I766" s="38"/>
      <c r="J766" s="37"/>
      <c r="N766" s="37"/>
      <c r="Z766" s="79"/>
    </row>
    <row r="767" ht="15.75" customHeight="1">
      <c r="H767" s="37"/>
      <c r="I767" s="38"/>
      <c r="J767" s="37"/>
      <c r="N767" s="37"/>
      <c r="Z767" s="79"/>
    </row>
    <row r="768" ht="15.75" customHeight="1">
      <c r="H768" s="37"/>
      <c r="I768" s="38"/>
      <c r="J768" s="37"/>
      <c r="N768" s="37"/>
      <c r="Z768" s="79"/>
    </row>
    <row r="769" ht="15.75" customHeight="1">
      <c r="H769" s="37"/>
      <c r="I769" s="38"/>
      <c r="J769" s="37"/>
      <c r="N769" s="37"/>
      <c r="Z769" s="79"/>
    </row>
    <row r="770" ht="15.75" customHeight="1">
      <c r="H770" s="37"/>
      <c r="I770" s="38"/>
      <c r="J770" s="37"/>
      <c r="N770" s="37"/>
      <c r="Z770" s="79"/>
    </row>
    <row r="771" ht="15.75" customHeight="1">
      <c r="H771" s="37"/>
      <c r="I771" s="38"/>
      <c r="J771" s="37"/>
      <c r="N771" s="37"/>
      <c r="Z771" s="79"/>
    </row>
    <row r="772" ht="15.75" customHeight="1">
      <c r="H772" s="37"/>
      <c r="I772" s="38"/>
      <c r="J772" s="37"/>
      <c r="N772" s="37"/>
      <c r="Z772" s="79"/>
    </row>
    <row r="773" ht="15.75" customHeight="1">
      <c r="H773" s="37"/>
      <c r="I773" s="38"/>
      <c r="J773" s="37"/>
      <c r="N773" s="37"/>
      <c r="Z773" s="79"/>
    </row>
    <row r="774" ht="15.75" customHeight="1">
      <c r="H774" s="37"/>
      <c r="I774" s="38"/>
      <c r="J774" s="37"/>
      <c r="N774" s="37"/>
      <c r="Z774" s="79"/>
    </row>
    <row r="775" ht="15.75" customHeight="1">
      <c r="H775" s="37"/>
      <c r="I775" s="38"/>
      <c r="J775" s="37"/>
      <c r="N775" s="37"/>
      <c r="Z775" s="79"/>
    </row>
    <row r="776" ht="15.75" customHeight="1">
      <c r="H776" s="37"/>
      <c r="I776" s="38"/>
      <c r="J776" s="37"/>
      <c r="N776" s="37"/>
      <c r="Z776" s="79"/>
    </row>
    <row r="777" ht="15.75" customHeight="1">
      <c r="H777" s="37"/>
      <c r="I777" s="38"/>
      <c r="J777" s="37"/>
      <c r="N777" s="37"/>
      <c r="Z777" s="79"/>
    </row>
    <row r="778" ht="15.75" customHeight="1">
      <c r="H778" s="37"/>
      <c r="I778" s="38"/>
      <c r="J778" s="37"/>
      <c r="N778" s="37"/>
      <c r="Z778" s="79"/>
    </row>
    <row r="779" ht="15.75" customHeight="1">
      <c r="H779" s="37"/>
      <c r="I779" s="38"/>
      <c r="J779" s="37"/>
      <c r="N779" s="37"/>
      <c r="Z779" s="79"/>
    </row>
    <row r="780" ht="15.75" customHeight="1">
      <c r="H780" s="37"/>
      <c r="I780" s="38"/>
      <c r="J780" s="37"/>
      <c r="N780" s="37"/>
      <c r="Z780" s="79"/>
    </row>
    <row r="781" ht="15.75" customHeight="1">
      <c r="H781" s="37"/>
      <c r="I781" s="38"/>
      <c r="J781" s="37"/>
      <c r="N781" s="37"/>
      <c r="Z781" s="79"/>
    </row>
    <row r="782" ht="15.75" customHeight="1">
      <c r="H782" s="37"/>
      <c r="I782" s="38"/>
      <c r="J782" s="37"/>
      <c r="N782" s="37"/>
      <c r="Z782" s="79"/>
    </row>
    <row r="783" ht="15.75" customHeight="1">
      <c r="H783" s="37"/>
      <c r="I783" s="38"/>
      <c r="J783" s="37"/>
      <c r="N783" s="37"/>
      <c r="Z783" s="79"/>
    </row>
    <row r="784" ht="15.75" customHeight="1">
      <c r="H784" s="37"/>
      <c r="I784" s="38"/>
      <c r="J784" s="37"/>
      <c r="N784" s="37"/>
      <c r="Z784" s="79"/>
    </row>
    <row r="785" ht="15.75" customHeight="1">
      <c r="H785" s="37"/>
      <c r="I785" s="38"/>
      <c r="J785" s="37"/>
      <c r="N785" s="37"/>
      <c r="Z785" s="79"/>
    </row>
    <row r="786" ht="15.75" customHeight="1">
      <c r="H786" s="37"/>
      <c r="I786" s="38"/>
      <c r="J786" s="37"/>
      <c r="N786" s="37"/>
      <c r="Z786" s="79"/>
    </row>
    <row r="787" ht="15.75" customHeight="1">
      <c r="H787" s="37"/>
      <c r="I787" s="38"/>
      <c r="J787" s="37"/>
      <c r="N787" s="37"/>
      <c r="Z787" s="79"/>
    </row>
    <row r="788" ht="15.75" customHeight="1">
      <c r="H788" s="37"/>
      <c r="I788" s="38"/>
      <c r="J788" s="37"/>
      <c r="N788" s="37"/>
      <c r="Z788" s="79"/>
    </row>
    <row r="789" ht="15.75" customHeight="1">
      <c r="H789" s="37"/>
      <c r="I789" s="38"/>
      <c r="J789" s="37"/>
      <c r="N789" s="37"/>
      <c r="Z789" s="79"/>
    </row>
    <row r="790" ht="15.75" customHeight="1">
      <c r="H790" s="37"/>
      <c r="I790" s="38"/>
      <c r="J790" s="37"/>
      <c r="N790" s="37"/>
      <c r="Z790" s="79"/>
    </row>
    <row r="791" ht="15.75" customHeight="1">
      <c r="H791" s="37"/>
      <c r="I791" s="38"/>
      <c r="J791" s="37"/>
      <c r="N791" s="37"/>
      <c r="Z791" s="79"/>
    </row>
    <row r="792" ht="15.75" customHeight="1">
      <c r="H792" s="37"/>
      <c r="I792" s="38"/>
      <c r="J792" s="37"/>
      <c r="N792" s="37"/>
      <c r="Z792" s="79"/>
    </row>
    <row r="793" ht="15.75" customHeight="1">
      <c r="H793" s="37"/>
      <c r="I793" s="38"/>
      <c r="J793" s="37"/>
      <c r="N793" s="37"/>
      <c r="Z793" s="79"/>
    </row>
    <row r="794" ht="15.75" customHeight="1">
      <c r="H794" s="37"/>
      <c r="I794" s="38"/>
      <c r="J794" s="37"/>
      <c r="N794" s="37"/>
      <c r="Z794" s="79"/>
    </row>
    <row r="795" ht="15.75" customHeight="1">
      <c r="H795" s="37"/>
      <c r="I795" s="38"/>
      <c r="J795" s="37"/>
      <c r="N795" s="37"/>
      <c r="Z795" s="79"/>
    </row>
    <row r="796" ht="15.75" customHeight="1">
      <c r="H796" s="37"/>
      <c r="I796" s="38"/>
      <c r="J796" s="37"/>
      <c r="N796" s="37"/>
      <c r="Z796" s="79"/>
    </row>
    <row r="797" ht="15.75" customHeight="1">
      <c r="H797" s="37"/>
      <c r="I797" s="38"/>
      <c r="J797" s="37"/>
      <c r="N797" s="37"/>
      <c r="Z797" s="79"/>
    </row>
    <row r="798" ht="15.75" customHeight="1">
      <c r="H798" s="37"/>
      <c r="I798" s="38"/>
      <c r="J798" s="37"/>
      <c r="N798" s="37"/>
      <c r="Z798" s="79"/>
    </row>
    <row r="799" ht="15.75" customHeight="1">
      <c r="H799" s="37"/>
      <c r="I799" s="38"/>
      <c r="J799" s="37"/>
      <c r="N799" s="37"/>
      <c r="Z799" s="79"/>
    </row>
    <row r="800" ht="15.75" customHeight="1">
      <c r="H800" s="37"/>
      <c r="I800" s="38"/>
      <c r="J800" s="37"/>
      <c r="N800" s="37"/>
      <c r="Z800" s="79"/>
    </row>
    <row r="801" ht="15.75" customHeight="1">
      <c r="H801" s="37"/>
      <c r="I801" s="38"/>
      <c r="J801" s="37"/>
      <c r="N801" s="37"/>
      <c r="Z801" s="79"/>
    </row>
    <row r="802" ht="15.75" customHeight="1">
      <c r="H802" s="37"/>
      <c r="I802" s="38"/>
      <c r="J802" s="37"/>
      <c r="N802" s="37"/>
      <c r="Z802" s="79"/>
    </row>
    <row r="803" ht="15.75" customHeight="1">
      <c r="H803" s="37"/>
      <c r="I803" s="38"/>
      <c r="J803" s="37"/>
      <c r="N803" s="37"/>
      <c r="Z803" s="79"/>
    </row>
    <row r="804" ht="15.75" customHeight="1">
      <c r="H804" s="37"/>
      <c r="I804" s="38"/>
      <c r="J804" s="37"/>
      <c r="N804" s="37"/>
      <c r="Z804" s="79"/>
    </row>
    <row r="805" ht="15.75" customHeight="1">
      <c r="H805" s="37"/>
      <c r="I805" s="38"/>
      <c r="J805" s="37"/>
      <c r="N805" s="37"/>
      <c r="Z805" s="79"/>
    </row>
    <row r="806" ht="15.75" customHeight="1">
      <c r="H806" s="37"/>
      <c r="I806" s="38"/>
      <c r="J806" s="37"/>
      <c r="N806" s="37"/>
      <c r="Z806" s="79"/>
    </row>
    <row r="807" ht="15.75" customHeight="1">
      <c r="H807" s="37"/>
      <c r="I807" s="38"/>
      <c r="J807" s="37"/>
      <c r="N807" s="37"/>
      <c r="Z807" s="79"/>
    </row>
    <row r="808" ht="15.75" customHeight="1">
      <c r="H808" s="37"/>
      <c r="I808" s="38"/>
      <c r="J808" s="37"/>
      <c r="N808" s="37"/>
      <c r="Z808" s="79"/>
    </row>
    <row r="809" ht="15.75" customHeight="1">
      <c r="H809" s="37"/>
      <c r="I809" s="38"/>
      <c r="J809" s="37"/>
      <c r="N809" s="37"/>
      <c r="Z809" s="79"/>
    </row>
    <row r="810" ht="15.75" customHeight="1">
      <c r="H810" s="37"/>
      <c r="I810" s="38"/>
      <c r="J810" s="37"/>
      <c r="N810" s="37"/>
      <c r="Z810" s="79"/>
    </row>
    <row r="811" ht="15.75" customHeight="1">
      <c r="H811" s="37"/>
      <c r="I811" s="38"/>
      <c r="J811" s="37"/>
      <c r="N811" s="37"/>
      <c r="Z811" s="79"/>
    </row>
    <row r="812" ht="15.75" customHeight="1">
      <c r="H812" s="37"/>
      <c r="I812" s="38"/>
      <c r="J812" s="37"/>
      <c r="N812" s="37"/>
      <c r="Z812" s="79"/>
    </row>
    <row r="813" ht="15.75" customHeight="1">
      <c r="H813" s="37"/>
      <c r="I813" s="38"/>
      <c r="J813" s="37"/>
      <c r="N813" s="37"/>
      <c r="Z813" s="79"/>
    </row>
    <row r="814" ht="15.75" customHeight="1">
      <c r="H814" s="37"/>
      <c r="I814" s="38"/>
      <c r="J814" s="37"/>
      <c r="N814" s="37"/>
      <c r="Z814" s="79"/>
    </row>
    <row r="815" ht="15.75" customHeight="1">
      <c r="H815" s="37"/>
      <c r="I815" s="38"/>
      <c r="J815" s="37"/>
      <c r="N815" s="37"/>
      <c r="Z815" s="79"/>
    </row>
    <row r="816" ht="15.75" customHeight="1">
      <c r="H816" s="37"/>
      <c r="I816" s="38"/>
      <c r="J816" s="37"/>
      <c r="N816" s="37"/>
      <c r="Z816" s="79"/>
    </row>
    <row r="817" ht="15.75" customHeight="1">
      <c r="H817" s="37"/>
      <c r="I817" s="38"/>
      <c r="J817" s="37"/>
      <c r="N817" s="37"/>
      <c r="Z817" s="79"/>
    </row>
    <row r="818" ht="15.75" customHeight="1">
      <c r="H818" s="37"/>
      <c r="I818" s="38"/>
      <c r="J818" s="37"/>
      <c r="N818" s="37"/>
      <c r="Z818" s="79"/>
    </row>
    <row r="819" ht="15.75" customHeight="1">
      <c r="H819" s="37"/>
      <c r="I819" s="38"/>
      <c r="J819" s="37"/>
      <c r="N819" s="37"/>
      <c r="Z819" s="79"/>
    </row>
    <row r="820" ht="15.75" customHeight="1">
      <c r="H820" s="37"/>
      <c r="I820" s="38"/>
      <c r="J820" s="37"/>
      <c r="N820" s="37"/>
      <c r="Z820" s="79"/>
    </row>
    <row r="821" ht="15.75" customHeight="1">
      <c r="H821" s="37"/>
      <c r="I821" s="38"/>
      <c r="J821" s="37"/>
      <c r="N821" s="37"/>
      <c r="Z821" s="79"/>
    </row>
    <row r="822" ht="15.75" customHeight="1">
      <c r="H822" s="37"/>
      <c r="I822" s="38"/>
      <c r="J822" s="37"/>
      <c r="N822" s="37"/>
      <c r="Z822" s="79"/>
    </row>
    <row r="823" ht="15.75" customHeight="1">
      <c r="H823" s="37"/>
      <c r="I823" s="38"/>
      <c r="J823" s="37"/>
      <c r="N823" s="37"/>
      <c r="Z823" s="79"/>
    </row>
    <row r="824" ht="15.75" customHeight="1">
      <c r="H824" s="37"/>
      <c r="I824" s="38"/>
      <c r="J824" s="37"/>
      <c r="N824" s="37"/>
      <c r="Z824" s="79"/>
    </row>
    <row r="825" ht="15.75" customHeight="1">
      <c r="H825" s="37"/>
      <c r="I825" s="38"/>
      <c r="J825" s="37"/>
      <c r="N825" s="37"/>
      <c r="Z825" s="79"/>
    </row>
    <row r="826" ht="15.75" customHeight="1">
      <c r="H826" s="37"/>
      <c r="I826" s="38"/>
      <c r="J826" s="37"/>
      <c r="N826" s="37"/>
      <c r="Z826" s="79"/>
    </row>
    <row r="827" ht="15.75" customHeight="1">
      <c r="H827" s="37"/>
      <c r="I827" s="38"/>
      <c r="J827" s="37"/>
      <c r="N827" s="37"/>
      <c r="Z827" s="79"/>
    </row>
    <row r="828" ht="15.75" customHeight="1">
      <c r="H828" s="37"/>
      <c r="I828" s="38"/>
      <c r="J828" s="37"/>
      <c r="N828" s="37"/>
      <c r="Z828" s="79"/>
    </row>
    <row r="829" ht="15.75" customHeight="1">
      <c r="H829" s="37"/>
      <c r="I829" s="38"/>
      <c r="J829" s="37"/>
      <c r="N829" s="37"/>
      <c r="Z829" s="79"/>
    </row>
    <row r="830" ht="15.75" customHeight="1">
      <c r="H830" s="37"/>
      <c r="I830" s="38"/>
      <c r="J830" s="37"/>
      <c r="N830" s="37"/>
      <c r="Z830" s="79"/>
    </row>
    <row r="831" ht="15.75" customHeight="1">
      <c r="H831" s="37"/>
      <c r="I831" s="38"/>
      <c r="J831" s="37"/>
      <c r="N831" s="37"/>
      <c r="Z831" s="79"/>
    </row>
    <row r="832" ht="15.75" customHeight="1">
      <c r="H832" s="37"/>
      <c r="I832" s="38"/>
      <c r="J832" s="37"/>
      <c r="N832" s="37"/>
      <c r="Z832" s="79"/>
    </row>
    <row r="833" ht="15.75" customHeight="1">
      <c r="H833" s="37"/>
      <c r="I833" s="38"/>
      <c r="J833" s="37"/>
      <c r="N833" s="37"/>
      <c r="Z833" s="79"/>
    </row>
    <row r="834" ht="15.75" customHeight="1">
      <c r="H834" s="37"/>
      <c r="I834" s="38"/>
      <c r="J834" s="37"/>
      <c r="N834" s="37"/>
      <c r="Z834" s="79"/>
    </row>
    <row r="835" ht="15.75" customHeight="1">
      <c r="H835" s="37"/>
      <c r="I835" s="38"/>
      <c r="J835" s="37"/>
      <c r="N835" s="37"/>
      <c r="Z835" s="79"/>
    </row>
    <row r="836" ht="15.75" customHeight="1">
      <c r="H836" s="37"/>
      <c r="I836" s="38"/>
      <c r="J836" s="37"/>
      <c r="N836" s="37"/>
      <c r="Z836" s="79"/>
    </row>
    <row r="837" ht="15.75" customHeight="1">
      <c r="H837" s="37"/>
      <c r="I837" s="38"/>
      <c r="J837" s="37"/>
      <c r="N837" s="37"/>
      <c r="Z837" s="79"/>
    </row>
    <row r="838" ht="15.75" customHeight="1">
      <c r="H838" s="37"/>
      <c r="I838" s="38"/>
      <c r="J838" s="37"/>
      <c r="N838" s="37"/>
      <c r="Z838" s="79"/>
    </row>
    <row r="839" ht="15.75" customHeight="1">
      <c r="H839" s="37"/>
      <c r="I839" s="38"/>
      <c r="J839" s="37"/>
      <c r="N839" s="37"/>
      <c r="Z839" s="79"/>
    </row>
    <row r="840" ht="15.75" customHeight="1">
      <c r="H840" s="37"/>
      <c r="I840" s="38"/>
      <c r="J840" s="37"/>
      <c r="N840" s="37"/>
      <c r="Z840" s="79"/>
    </row>
    <row r="841" ht="15.75" customHeight="1">
      <c r="H841" s="37"/>
      <c r="I841" s="38"/>
      <c r="J841" s="37"/>
      <c r="N841" s="37"/>
      <c r="Z841" s="79"/>
    </row>
    <row r="842" ht="15.75" customHeight="1">
      <c r="H842" s="37"/>
      <c r="I842" s="38"/>
      <c r="J842" s="37"/>
      <c r="N842" s="37"/>
      <c r="Z842" s="79"/>
    </row>
    <row r="843" ht="15.75" customHeight="1">
      <c r="H843" s="37"/>
      <c r="I843" s="38"/>
      <c r="J843" s="37"/>
      <c r="N843" s="37"/>
      <c r="Z843" s="79"/>
    </row>
    <row r="844" ht="15.75" customHeight="1">
      <c r="H844" s="37"/>
      <c r="I844" s="38"/>
      <c r="J844" s="37"/>
      <c r="N844" s="37"/>
      <c r="Z844" s="79"/>
    </row>
    <row r="845" ht="15.75" customHeight="1">
      <c r="H845" s="37"/>
      <c r="I845" s="38"/>
      <c r="J845" s="37"/>
      <c r="N845" s="37"/>
      <c r="Z845" s="79"/>
    </row>
    <row r="846" ht="15.75" customHeight="1">
      <c r="H846" s="37"/>
      <c r="I846" s="38"/>
      <c r="J846" s="37"/>
      <c r="N846" s="37"/>
      <c r="Z846" s="79"/>
    </row>
    <row r="847" ht="15.75" customHeight="1">
      <c r="H847" s="37"/>
      <c r="I847" s="38"/>
      <c r="J847" s="37"/>
      <c r="N847" s="37"/>
      <c r="Z847" s="79"/>
    </row>
    <row r="848" ht="15.75" customHeight="1">
      <c r="H848" s="37"/>
      <c r="I848" s="38"/>
      <c r="J848" s="37"/>
      <c r="N848" s="37"/>
      <c r="Z848" s="79"/>
    </row>
    <row r="849" ht="15.75" customHeight="1">
      <c r="H849" s="37"/>
      <c r="I849" s="38"/>
      <c r="J849" s="37"/>
      <c r="N849" s="37"/>
      <c r="Z849" s="79"/>
    </row>
    <row r="850" ht="15.75" customHeight="1">
      <c r="H850" s="37"/>
      <c r="I850" s="38"/>
      <c r="J850" s="37"/>
      <c r="N850" s="37"/>
      <c r="Z850" s="79"/>
    </row>
    <row r="851" ht="15.75" customHeight="1">
      <c r="H851" s="37"/>
      <c r="I851" s="38"/>
      <c r="J851" s="37"/>
      <c r="N851" s="37"/>
      <c r="Z851" s="79"/>
    </row>
    <row r="852" ht="15.75" customHeight="1">
      <c r="H852" s="37"/>
      <c r="I852" s="38"/>
      <c r="J852" s="37"/>
      <c r="N852" s="37"/>
      <c r="Z852" s="79"/>
    </row>
    <row r="853" ht="15.75" customHeight="1">
      <c r="H853" s="37"/>
      <c r="I853" s="38"/>
      <c r="J853" s="37"/>
      <c r="N853" s="37"/>
      <c r="Z853" s="79"/>
    </row>
    <row r="854" ht="15.75" customHeight="1">
      <c r="H854" s="37"/>
      <c r="I854" s="38"/>
      <c r="J854" s="37"/>
      <c r="N854" s="37"/>
      <c r="Z854" s="79"/>
    </row>
    <row r="855" ht="15.75" customHeight="1">
      <c r="H855" s="37"/>
      <c r="I855" s="38"/>
      <c r="J855" s="37"/>
      <c r="N855" s="37"/>
      <c r="Z855" s="79"/>
    </row>
    <row r="856" ht="15.75" customHeight="1">
      <c r="H856" s="37"/>
      <c r="I856" s="38"/>
      <c r="J856" s="37"/>
      <c r="N856" s="37"/>
      <c r="Z856" s="79"/>
    </row>
    <row r="857" ht="15.75" customHeight="1">
      <c r="H857" s="37"/>
      <c r="I857" s="38"/>
      <c r="J857" s="37"/>
      <c r="N857" s="37"/>
      <c r="Z857" s="79"/>
    </row>
    <row r="858" ht="15.75" customHeight="1">
      <c r="H858" s="37"/>
      <c r="I858" s="38"/>
      <c r="J858" s="37"/>
      <c r="N858" s="37"/>
      <c r="Z858" s="79"/>
    </row>
    <row r="859" ht="15.75" customHeight="1">
      <c r="H859" s="37"/>
      <c r="I859" s="38"/>
      <c r="J859" s="37"/>
      <c r="N859" s="37"/>
      <c r="Z859" s="79"/>
    </row>
    <row r="860" ht="15.75" customHeight="1">
      <c r="H860" s="37"/>
      <c r="I860" s="38"/>
      <c r="J860" s="37"/>
      <c r="N860" s="37"/>
      <c r="Z860" s="79"/>
    </row>
    <row r="861" ht="15.75" customHeight="1">
      <c r="H861" s="37"/>
      <c r="I861" s="38"/>
      <c r="J861" s="37"/>
      <c r="N861" s="37"/>
      <c r="Z861" s="79"/>
    </row>
    <row r="862" ht="15.75" customHeight="1">
      <c r="H862" s="37"/>
      <c r="I862" s="38"/>
      <c r="J862" s="37"/>
      <c r="N862" s="37"/>
      <c r="Z862" s="79"/>
    </row>
    <row r="863" ht="15.75" customHeight="1">
      <c r="H863" s="37"/>
      <c r="I863" s="38"/>
      <c r="J863" s="37"/>
      <c r="N863" s="37"/>
      <c r="Z863" s="79"/>
    </row>
    <row r="864" ht="15.75" customHeight="1">
      <c r="H864" s="37"/>
      <c r="I864" s="38"/>
      <c r="J864" s="37"/>
      <c r="N864" s="37"/>
      <c r="Z864" s="79"/>
    </row>
    <row r="865" ht="15.75" customHeight="1">
      <c r="H865" s="37"/>
      <c r="I865" s="38"/>
      <c r="J865" s="37"/>
      <c r="N865" s="37"/>
      <c r="Z865" s="79"/>
    </row>
    <row r="866" ht="15.75" customHeight="1">
      <c r="H866" s="37"/>
      <c r="I866" s="38"/>
      <c r="J866" s="37"/>
      <c r="N866" s="37"/>
      <c r="Z866" s="79"/>
    </row>
    <row r="867" ht="15.75" customHeight="1">
      <c r="H867" s="37"/>
      <c r="I867" s="38"/>
      <c r="J867" s="37"/>
      <c r="N867" s="37"/>
      <c r="Z867" s="79"/>
    </row>
    <row r="868" ht="15.75" customHeight="1">
      <c r="H868" s="37"/>
      <c r="I868" s="38"/>
      <c r="J868" s="37"/>
      <c r="N868" s="37"/>
      <c r="Z868" s="79"/>
    </row>
    <row r="869" ht="15.75" customHeight="1">
      <c r="H869" s="37"/>
      <c r="I869" s="38"/>
      <c r="J869" s="37"/>
      <c r="N869" s="37"/>
      <c r="Z869" s="79"/>
    </row>
    <row r="870" ht="15.75" customHeight="1">
      <c r="H870" s="37"/>
      <c r="I870" s="38"/>
      <c r="J870" s="37"/>
      <c r="N870" s="37"/>
      <c r="Z870" s="79"/>
    </row>
    <row r="871" ht="15.75" customHeight="1">
      <c r="H871" s="37"/>
      <c r="I871" s="38"/>
      <c r="J871" s="37"/>
      <c r="N871" s="37"/>
      <c r="Z871" s="79"/>
    </row>
    <row r="872" ht="15.75" customHeight="1">
      <c r="H872" s="37"/>
      <c r="I872" s="38"/>
      <c r="J872" s="37"/>
      <c r="N872" s="37"/>
      <c r="Z872" s="79"/>
    </row>
    <row r="873" ht="15.75" customHeight="1">
      <c r="H873" s="37"/>
      <c r="I873" s="38"/>
      <c r="J873" s="37"/>
      <c r="N873" s="37"/>
      <c r="Z873" s="79"/>
    </row>
    <row r="874" ht="15.75" customHeight="1">
      <c r="H874" s="37"/>
      <c r="I874" s="38"/>
      <c r="J874" s="37"/>
      <c r="N874" s="37"/>
      <c r="Z874" s="79"/>
    </row>
    <row r="875" ht="15.75" customHeight="1">
      <c r="H875" s="37"/>
      <c r="I875" s="38"/>
      <c r="J875" s="37"/>
      <c r="N875" s="37"/>
      <c r="Z875" s="79"/>
    </row>
    <row r="876" ht="15.75" customHeight="1">
      <c r="H876" s="37"/>
      <c r="I876" s="38"/>
      <c r="J876" s="37"/>
      <c r="N876" s="37"/>
      <c r="Z876" s="79"/>
    </row>
    <row r="877" ht="15.75" customHeight="1">
      <c r="H877" s="37"/>
      <c r="I877" s="38"/>
      <c r="J877" s="37"/>
      <c r="N877" s="37"/>
      <c r="Z877" s="79"/>
    </row>
    <row r="878" ht="15.75" customHeight="1">
      <c r="H878" s="37"/>
      <c r="I878" s="38"/>
      <c r="J878" s="37"/>
      <c r="N878" s="37"/>
      <c r="Z878" s="79"/>
    </row>
    <row r="879" ht="15.75" customHeight="1">
      <c r="H879" s="37"/>
      <c r="I879" s="38"/>
      <c r="J879" s="37"/>
      <c r="N879" s="37"/>
      <c r="Z879" s="79"/>
    </row>
    <row r="880" ht="15.75" customHeight="1">
      <c r="H880" s="37"/>
      <c r="I880" s="38"/>
      <c r="J880" s="37"/>
      <c r="N880" s="37"/>
      <c r="Z880" s="79"/>
    </row>
    <row r="881" ht="15.75" customHeight="1">
      <c r="H881" s="37"/>
      <c r="I881" s="38"/>
      <c r="J881" s="37"/>
      <c r="N881" s="37"/>
      <c r="Z881" s="79"/>
    </row>
    <row r="882" ht="15.75" customHeight="1">
      <c r="H882" s="37"/>
      <c r="I882" s="38"/>
      <c r="J882" s="37"/>
      <c r="N882" s="37"/>
      <c r="Z882" s="79"/>
    </row>
    <row r="883" ht="15.75" customHeight="1">
      <c r="H883" s="37"/>
      <c r="I883" s="38"/>
      <c r="J883" s="37"/>
      <c r="N883" s="37"/>
      <c r="Z883" s="79"/>
    </row>
    <row r="884" ht="15.75" customHeight="1">
      <c r="H884" s="37"/>
      <c r="I884" s="38"/>
      <c r="J884" s="37"/>
      <c r="N884" s="37"/>
      <c r="Z884" s="79"/>
    </row>
    <row r="885" ht="15.75" customHeight="1">
      <c r="H885" s="37"/>
      <c r="I885" s="38"/>
      <c r="J885" s="37"/>
      <c r="N885" s="37"/>
      <c r="Z885" s="79"/>
    </row>
    <row r="886" ht="15.75" customHeight="1">
      <c r="H886" s="37"/>
      <c r="I886" s="38"/>
      <c r="J886" s="37"/>
      <c r="N886" s="37"/>
      <c r="Z886" s="79"/>
    </row>
    <row r="887" ht="15.75" customHeight="1">
      <c r="H887" s="37"/>
      <c r="I887" s="38"/>
      <c r="J887" s="37"/>
      <c r="N887" s="37"/>
      <c r="Z887" s="79"/>
    </row>
    <row r="888" ht="15.75" customHeight="1">
      <c r="H888" s="37"/>
      <c r="I888" s="38"/>
      <c r="J888" s="37"/>
      <c r="N888" s="37"/>
      <c r="Z888" s="79"/>
    </row>
    <row r="889" ht="15.75" customHeight="1">
      <c r="H889" s="37"/>
      <c r="I889" s="38"/>
      <c r="J889" s="37"/>
      <c r="N889" s="37"/>
      <c r="Z889" s="79"/>
    </row>
    <row r="890" ht="15.75" customHeight="1">
      <c r="H890" s="37"/>
      <c r="I890" s="38"/>
      <c r="J890" s="37"/>
      <c r="N890" s="37"/>
      <c r="Z890" s="79"/>
    </row>
    <row r="891" ht="15.75" customHeight="1">
      <c r="H891" s="37"/>
      <c r="I891" s="38"/>
      <c r="J891" s="37"/>
      <c r="N891" s="37"/>
      <c r="Z891" s="79"/>
    </row>
    <row r="892" ht="15.75" customHeight="1">
      <c r="H892" s="37"/>
      <c r="I892" s="38"/>
      <c r="J892" s="37"/>
      <c r="N892" s="37"/>
      <c r="Z892" s="79"/>
    </row>
    <row r="893" ht="15.75" customHeight="1">
      <c r="H893" s="37"/>
      <c r="I893" s="38"/>
      <c r="J893" s="37"/>
      <c r="N893" s="37"/>
      <c r="Z893" s="79"/>
    </row>
    <row r="894" ht="15.75" customHeight="1">
      <c r="H894" s="37"/>
      <c r="I894" s="38"/>
      <c r="J894" s="37"/>
      <c r="N894" s="37"/>
      <c r="Z894" s="79"/>
    </row>
    <row r="895" ht="15.75" customHeight="1">
      <c r="H895" s="37"/>
      <c r="I895" s="38"/>
      <c r="J895" s="37"/>
      <c r="N895" s="37"/>
      <c r="Z895" s="79"/>
    </row>
    <row r="896" ht="15.75" customHeight="1">
      <c r="H896" s="37"/>
      <c r="I896" s="38"/>
      <c r="J896" s="37"/>
      <c r="N896" s="37"/>
      <c r="Z896" s="79"/>
    </row>
    <row r="897" ht="15.75" customHeight="1">
      <c r="H897" s="37"/>
      <c r="I897" s="38"/>
      <c r="J897" s="37"/>
      <c r="N897" s="37"/>
      <c r="Z897" s="79"/>
    </row>
    <row r="898" ht="15.75" customHeight="1">
      <c r="H898" s="37"/>
      <c r="I898" s="38"/>
      <c r="J898" s="37"/>
      <c r="N898" s="37"/>
      <c r="Z898" s="79"/>
    </row>
    <row r="899" ht="15.75" customHeight="1">
      <c r="H899" s="37"/>
      <c r="I899" s="38"/>
      <c r="J899" s="37"/>
      <c r="N899" s="37"/>
      <c r="Z899" s="79"/>
    </row>
    <row r="900" ht="15.75" customHeight="1">
      <c r="H900" s="37"/>
      <c r="I900" s="38"/>
      <c r="J900" s="37"/>
      <c r="N900" s="37"/>
      <c r="Z900" s="79"/>
    </row>
    <row r="901" ht="15.75" customHeight="1">
      <c r="H901" s="37"/>
      <c r="I901" s="38"/>
      <c r="J901" s="37"/>
      <c r="N901" s="37"/>
      <c r="Z901" s="79"/>
    </row>
    <row r="902" ht="15.75" customHeight="1">
      <c r="H902" s="37"/>
      <c r="I902" s="38"/>
      <c r="J902" s="37"/>
      <c r="N902" s="37"/>
      <c r="Z902" s="79"/>
    </row>
    <row r="903" ht="15.75" customHeight="1">
      <c r="H903" s="37"/>
      <c r="I903" s="38"/>
      <c r="J903" s="37"/>
      <c r="N903" s="37"/>
      <c r="Z903" s="79"/>
    </row>
    <row r="904" ht="15.75" customHeight="1">
      <c r="H904" s="37"/>
      <c r="I904" s="38"/>
      <c r="J904" s="37"/>
      <c r="N904" s="37"/>
      <c r="Z904" s="79"/>
    </row>
    <row r="905" ht="15.75" customHeight="1">
      <c r="H905" s="37"/>
      <c r="I905" s="38"/>
      <c r="J905" s="37"/>
      <c r="N905" s="37"/>
      <c r="Z905" s="79"/>
    </row>
    <row r="906" ht="15.75" customHeight="1">
      <c r="H906" s="37"/>
      <c r="I906" s="38"/>
      <c r="J906" s="37"/>
      <c r="N906" s="37"/>
      <c r="Z906" s="79"/>
    </row>
    <row r="907" ht="15.75" customHeight="1">
      <c r="H907" s="37"/>
      <c r="I907" s="38"/>
      <c r="J907" s="37"/>
      <c r="N907" s="37"/>
      <c r="Z907" s="79"/>
    </row>
    <row r="908" ht="15.75" customHeight="1">
      <c r="H908" s="37"/>
      <c r="I908" s="38"/>
      <c r="J908" s="37"/>
      <c r="N908" s="37"/>
      <c r="Z908" s="79"/>
    </row>
    <row r="909" ht="15.75" customHeight="1">
      <c r="H909" s="37"/>
      <c r="I909" s="38"/>
      <c r="J909" s="37"/>
      <c r="N909" s="37"/>
      <c r="Z909" s="79"/>
    </row>
    <row r="910" ht="15.75" customHeight="1">
      <c r="H910" s="37"/>
      <c r="I910" s="38"/>
      <c r="J910" s="37"/>
      <c r="N910" s="37"/>
      <c r="Z910" s="79"/>
    </row>
    <row r="911" ht="15.75" customHeight="1">
      <c r="H911" s="37"/>
      <c r="I911" s="38"/>
      <c r="J911" s="37"/>
      <c r="N911" s="37"/>
      <c r="Z911" s="79"/>
    </row>
    <row r="912" ht="15.75" customHeight="1">
      <c r="H912" s="37"/>
      <c r="I912" s="38"/>
      <c r="J912" s="37"/>
      <c r="N912" s="37"/>
      <c r="Z912" s="79"/>
    </row>
    <row r="913" ht="15.75" customHeight="1">
      <c r="H913" s="37"/>
      <c r="I913" s="38"/>
      <c r="J913" s="37"/>
      <c r="N913" s="37"/>
      <c r="Z913" s="79"/>
    </row>
    <row r="914" ht="15.75" customHeight="1">
      <c r="H914" s="37"/>
      <c r="I914" s="38"/>
      <c r="J914" s="37"/>
      <c r="N914" s="37"/>
      <c r="Z914" s="79"/>
    </row>
    <row r="915" ht="15.75" customHeight="1">
      <c r="H915" s="37"/>
      <c r="I915" s="38"/>
      <c r="J915" s="37"/>
      <c r="N915" s="37"/>
      <c r="Z915" s="79"/>
    </row>
    <row r="916" ht="15.75" customHeight="1">
      <c r="H916" s="37"/>
      <c r="I916" s="38"/>
      <c r="J916" s="37"/>
      <c r="N916" s="37"/>
      <c r="Z916" s="79"/>
    </row>
    <row r="917" ht="15.75" customHeight="1">
      <c r="H917" s="37"/>
      <c r="I917" s="38"/>
      <c r="J917" s="37"/>
      <c r="N917" s="37"/>
      <c r="Z917" s="79"/>
    </row>
    <row r="918" ht="15.75" customHeight="1">
      <c r="H918" s="37"/>
      <c r="I918" s="38"/>
      <c r="J918" s="37"/>
      <c r="N918" s="37"/>
      <c r="Z918" s="79"/>
    </row>
    <row r="919" ht="15.75" customHeight="1">
      <c r="H919" s="37"/>
      <c r="I919" s="38"/>
      <c r="J919" s="37"/>
      <c r="N919" s="37"/>
      <c r="Z919" s="79"/>
    </row>
    <row r="920" ht="15.75" customHeight="1">
      <c r="H920" s="37"/>
      <c r="I920" s="38"/>
      <c r="J920" s="37"/>
      <c r="N920" s="37"/>
      <c r="Z920" s="79"/>
    </row>
    <row r="921" ht="15.75" customHeight="1">
      <c r="H921" s="37"/>
      <c r="I921" s="38"/>
      <c r="J921" s="37"/>
      <c r="N921" s="37"/>
      <c r="Z921" s="79"/>
    </row>
    <row r="922" ht="15.75" customHeight="1">
      <c r="H922" s="37"/>
      <c r="I922" s="38"/>
      <c r="J922" s="37"/>
      <c r="N922" s="37"/>
      <c r="Z922" s="79"/>
    </row>
    <row r="923" ht="15.75" customHeight="1">
      <c r="H923" s="37"/>
      <c r="I923" s="38"/>
      <c r="J923" s="37"/>
      <c r="N923" s="37"/>
      <c r="Z923" s="79"/>
    </row>
    <row r="924" ht="15.75" customHeight="1">
      <c r="H924" s="37"/>
      <c r="I924" s="38"/>
      <c r="J924" s="37"/>
      <c r="N924" s="37"/>
      <c r="Z924" s="79"/>
    </row>
    <row r="925" ht="15.75" customHeight="1">
      <c r="H925" s="37"/>
      <c r="I925" s="38"/>
      <c r="J925" s="37"/>
      <c r="N925" s="37"/>
      <c r="Z925" s="79"/>
    </row>
    <row r="926" ht="15.75" customHeight="1">
      <c r="H926" s="37"/>
      <c r="I926" s="38"/>
      <c r="J926" s="37"/>
      <c r="N926" s="37"/>
      <c r="Z926" s="79"/>
    </row>
    <row r="927" ht="15.75" customHeight="1">
      <c r="H927" s="37"/>
      <c r="I927" s="38"/>
      <c r="J927" s="37"/>
      <c r="N927" s="37"/>
      <c r="Z927" s="79"/>
    </row>
    <row r="928" ht="15.75" customHeight="1">
      <c r="H928" s="37"/>
      <c r="I928" s="38"/>
      <c r="J928" s="37"/>
      <c r="N928" s="37"/>
      <c r="Z928" s="79"/>
    </row>
    <row r="929" ht="15.75" customHeight="1">
      <c r="H929" s="37"/>
      <c r="I929" s="38"/>
      <c r="J929" s="37"/>
      <c r="N929" s="37"/>
      <c r="Z929" s="79"/>
    </row>
    <row r="930" ht="15.75" customHeight="1">
      <c r="H930" s="37"/>
      <c r="I930" s="38"/>
      <c r="J930" s="37"/>
      <c r="N930" s="37"/>
      <c r="Z930" s="79"/>
    </row>
    <row r="931" ht="15.75" customHeight="1">
      <c r="H931" s="37"/>
      <c r="I931" s="38"/>
      <c r="J931" s="37"/>
      <c r="N931" s="37"/>
      <c r="Z931" s="79"/>
    </row>
    <row r="932" ht="15.75" customHeight="1">
      <c r="H932" s="37"/>
      <c r="I932" s="38"/>
      <c r="J932" s="37"/>
      <c r="N932" s="37"/>
      <c r="Z932" s="79"/>
    </row>
    <row r="933" ht="15.75" customHeight="1">
      <c r="H933" s="37"/>
      <c r="I933" s="38"/>
      <c r="J933" s="37"/>
      <c r="N933" s="37"/>
      <c r="Z933" s="79"/>
    </row>
    <row r="934" ht="15.75" customHeight="1">
      <c r="H934" s="37"/>
      <c r="I934" s="38"/>
      <c r="J934" s="37"/>
      <c r="N934" s="37"/>
      <c r="Z934" s="79"/>
    </row>
    <row r="935" ht="15.75" customHeight="1">
      <c r="H935" s="37"/>
      <c r="I935" s="38"/>
      <c r="J935" s="37"/>
      <c r="N935" s="37"/>
      <c r="Z935" s="79"/>
    </row>
    <row r="936" ht="15.75" customHeight="1">
      <c r="H936" s="37"/>
      <c r="I936" s="38"/>
      <c r="J936" s="37"/>
      <c r="N936" s="37"/>
      <c r="Z936" s="79"/>
    </row>
    <row r="937" ht="15.75" customHeight="1">
      <c r="H937" s="37"/>
      <c r="I937" s="38"/>
      <c r="J937" s="37"/>
      <c r="N937" s="37"/>
      <c r="Z937" s="79"/>
    </row>
    <row r="938" ht="15.75" customHeight="1">
      <c r="H938" s="37"/>
      <c r="I938" s="38"/>
      <c r="J938" s="37"/>
      <c r="N938" s="37"/>
      <c r="Z938" s="79"/>
    </row>
    <row r="939" ht="15.75" customHeight="1">
      <c r="H939" s="37"/>
      <c r="I939" s="38"/>
      <c r="J939" s="37"/>
      <c r="N939" s="37"/>
      <c r="Z939" s="79"/>
    </row>
    <row r="940" ht="15.75" customHeight="1">
      <c r="H940" s="37"/>
      <c r="I940" s="38"/>
      <c r="J940" s="37"/>
      <c r="N940" s="37"/>
      <c r="Z940" s="79"/>
    </row>
    <row r="941" ht="15.75" customHeight="1">
      <c r="H941" s="37"/>
      <c r="I941" s="38"/>
      <c r="J941" s="37"/>
      <c r="N941" s="37"/>
      <c r="Z941" s="79"/>
    </row>
    <row r="942" ht="15.75" customHeight="1">
      <c r="H942" s="37"/>
      <c r="I942" s="38"/>
      <c r="J942" s="37"/>
      <c r="N942" s="37"/>
      <c r="Z942" s="79"/>
    </row>
    <row r="943" ht="15.75" customHeight="1">
      <c r="H943" s="37"/>
      <c r="I943" s="38"/>
      <c r="J943" s="37"/>
      <c r="N943" s="37"/>
      <c r="Z943" s="79"/>
    </row>
    <row r="944" ht="15.75" customHeight="1">
      <c r="H944" s="37"/>
      <c r="I944" s="38"/>
      <c r="J944" s="37"/>
      <c r="N944" s="37"/>
      <c r="Z944" s="79"/>
    </row>
    <row r="945" ht="15.75" customHeight="1">
      <c r="H945" s="37"/>
      <c r="I945" s="38"/>
      <c r="J945" s="37"/>
      <c r="N945" s="37"/>
      <c r="Z945" s="79"/>
    </row>
    <row r="946" ht="15.75" customHeight="1">
      <c r="H946" s="37"/>
      <c r="I946" s="38"/>
      <c r="J946" s="37"/>
      <c r="N946" s="37"/>
      <c r="Z946" s="79"/>
    </row>
    <row r="947" ht="15.75" customHeight="1">
      <c r="H947" s="37"/>
      <c r="I947" s="38"/>
      <c r="J947" s="37"/>
      <c r="N947" s="37"/>
      <c r="Z947" s="79"/>
    </row>
    <row r="948" ht="15.75" customHeight="1">
      <c r="H948" s="37"/>
      <c r="I948" s="38"/>
      <c r="J948" s="37"/>
      <c r="N948" s="37"/>
      <c r="Z948" s="79"/>
    </row>
    <row r="949" ht="15.75" customHeight="1">
      <c r="H949" s="37"/>
      <c r="I949" s="38"/>
      <c r="J949" s="37"/>
      <c r="N949" s="37"/>
      <c r="Z949" s="79"/>
    </row>
    <row r="950" ht="15.75" customHeight="1">
      <c r="H950" s="37"/>
      <c r="I950" s="38"/>
      <c r="J950" s="37"/>
      <c r="N950" s="37"/>
      <c r="Z950" s="79"/>
    </row>
    <row r="951" ht="15.75" customHeight="1">
      <c r="H951" s="37"/>
      <c r="I951" s="38"/>
      <c r="J951" s="37"/>
      <c r="N951" s="37"/>
      <c r="Z951" s="79"/>
    </row>
    <row r="952" ht="15.75" customHeight="1">
      <c r="H952" s="37"/>
      <c r="I952" s="38"/>
      <c r="J952" s="37"/>
      <c r="N952" s="37"/>
      <c r="Z952" s="79"/>
    </row>
    <row r="953" ht="15.75" customHeight="1">
      <c r="H953" s="37"/>
      <c r="I953" s="38"/>
      <c r="J953" s="37"/>
      <c r="N953" s="37"/>
      <c r="Z953" s="79"/>
    </row>
    <row r="954" ht="15.75" customHeight="1">
      <c r="H954" s="37"/>
      <c r="I954" s="38"/>
      <c r="J954" s="37"/>
      <c r="N954" s="37"/>
      <c r="Z954" s="79"/>
    </row>
    <row r="955" ht="15.75" customHeight="1">
      <c r="H955" s="37"/>
      <c r="I955" s="38"/>
      <c r="J955" s="37"/>
      <c r="N955" s="37"/>
      <c r="Z955" s="79"/>
    </row>
    <row r="956" ht="15.75" customHeight="1">
      <c r="H956" s="37"/>
      <c r="I956" s="38"/>
      <c r="J956" s="37"/>
      <c r="N956" s="37"/>
      <c r="Z956" s="79"/>
    </row>
    <row r="957" ht="15.75" customHeight="1">
      <c r="H957" s="37"/>
      <c r="I957" s="38"/>
      <c r="J957" s="37"/>
      <c r="N957" s="37"/>
      <c r="Z957" s="79"/>
    </row>
    <row r="958" ht="15.75" customHeight="1">
      <c r="H958" s="37"/>
      <c r="I958" s="38"/>
      <c r="J958" s="37"/>
      <c r="N958" s="37"/>
      <c r="Z958" s="79"/>
    </row>
    <row r="959" ht="15.75" customHeight="1">
      <c r="H959" s="37"/>
      <c r="I959" s="38"/>
      <c r="J959" s="37"/>
      <c r="N959" s="37"/>
      <c r="Z959" s="79"/>
    </row>
    <row r="960" ht="15.75" customHeight="1">
      <c r="H960" s="37"/>
      <c r="I960" s="38"/>
      <c r="J960" s="37"/>
      <c r="N960" s="37"/>
      <c r="Z960" s="79"/>
    </row>
    <row r="961" ht="15.75" customHeight="1">
      <c r="H961" s="37"/>
      <c r="I961" s="38"/>
      <c r="J961" s="37"/>
      <c r="N961" s="37"/>
      <c r="Z961" s="79"/>
    </row>
    <row r="962" ht="15.75" customHeight="1">
      <c r="H962" s="37"/>
      <c r="I962" s="38"/>
      <c r="J962" s="37"/>
      <c r="N962" s="37"/>
      <c r="Z962" s="79"/>
    </row>
    <row r="963" ht="15.75" customHeight="1">
      <c r="H963" s="37"/>
      <c r="I963" s="38"/>
      <c r="J963" s="37"/>
      <c r="N963" s="37"/>
      <c r="Z963" s="79"/>
    </row>
    <row r="964" ht="15.75" customHeight="1">
      <c r="H964" s="37"/>
      <c r="I964" s="38"/>
      <c r="J964" s="37"/>
      <c r="N964" s="37"/>
      <c r="Z964" s="79"/>
    </row>
    <row r="965" ht="15.75" customHeight="1">
      <c r="H965" s="37"/>
      <c r="I965" s="38"/>
      <c r="J965" s="37"/>
      <c r="N965" s="37"/>
      <c r="Z965" s="79"/>
    </row>
    <row r="966" ht="15.75" customHeight="1">
      <c r="H966" s="37"/>
      <c r="I966" s="38"/>
      <c r="J966" s="37"/>
      <c r="N966" s="37"/>
      <c r="Z966" s="79"/>
    </row>
    <row r="967" ht="15.75" customHeight="1">
      <c r="H967" s="37"/>
      <c r="I967" s="38"/>
      <c r="J967" s="37"/>
      <c r="N967" s="37"/>
      <c r="Z967" s="79"/>
    </row>
    <row r="968" ht="15.75" customHeight="1">
      <c r="H968" s="37"/>
      <c r="I968" s="38"/>
      <c r="J968" s="37"/>
      <c r="N968" s="37"/>
      <c r="Z968" s="79"/>
    </row>
    <row r="969" ht="15.75" customHeight="1">
      <c r="H969" s="37"/>
      <c r="I969" s="38"/>
      <c r="J969" s="37"/>
      <c r="N969" s="37"/>
      <c r="Z969" s="79"/>
    </row>
    <row r="970" ht="15.75" customHeight="1">
      <c r="H970" s="37"/>
      <c r="I970" s="38"/>
      <c r="J970" s="37"/>
      <c r="N970" s="37"/>
      <c r="Z970" s="79"/>
    </row>
    <row r="971" ht="15.75" customHeight="1">
      <c r="H971" s="37"/>
      <c r="I971" s="38"/>
      <c r="J971" s="37"/>
      <c r="N971" s="37"/>
      <c r="Z971" s="79"/>
    </row>
    <row r="972" ht="15.75" customHeight="1">
      <c r="H972" s="37"/>
      <c r="I972" s="38"/>
      <c r="J972" s="37"/>
      <c r="N972" s="37"/>
      <c r="Z972" s="79"/>
    </row>
    <row r="973" ht="15.75" customHeight="1">
      <c r="H973" s="37"/>
      <c r="I973" s="38"/>
      <c r="J973" s="37"/>
      <c r="N973" s="37"/>
      <c r="Z973" s="79"/>
    </row>
    <row r="974" ht="15.75" customHeight="1">
      <c r="H974" s="37"/>
      <c r="I974" s="38"/>
      <c r="J974" s="37"/>
      <c r="N974" s="37"/>
      <c r="Z974" s="79"/>
    </row>
    <row r="975" ht="15.75" customHeight="1">
      <c r="H975" s="37"/>
      <c r="I975" s="38"/>
      <c r="J975" s="37"/>
      <c r="N975" s="37"/>
      <c r="Z975" s="79"/>
    </row>
    <row r="976" ht="15.75" customHeight="1">
      <c r="H976" s="37"/>
      <c r="I976" s="38"/>
      <c r="J976" s="37"/>
      <c r="N976" s="37"/>
      <c r="Z976" s="79"/>
    </row>
    <row r="977" ht="15.75" customHeight="1">
      <c r="H977" s="37"/>
      <c r="I977" s="38"/>
      <c r="J977" s="37"/>
      <c r="N977" s="37"/>
      <c r="Z977" s="79"/>
    </row>
    <row r="978" ht="15.75" customHeight="1">
      <c r="H978" s="37"/>
      <c r="I978" s="38"/>
      <c r="J978" s="37"/>
      <c r="N978" s="37"/>
      <c r="Z978" s="79"/>
    </row>
    <row r="979" ht="15.75" customHeight="1">
      <c r="H979" s="37"/>
      <c r="I979" s="38"/>
      <c r="J979" s="37"/>
      <c r="N979" s="37"/>
      <c r="Z979" s="79"/>
    </row>
    <row r="980" ht="15.75" customHeight="1">
      <c r="H980" s="37"/>
      <c r="I980" s="38"/>
      <c r="J980" s="37"/>
      <c r="N980" s="37"/>
      <c r="Z980" s="79"/>
    </row>
    <row r="981" ht="15.75" customHeight="1">
      <c r="H981" s="37"/>
      <c r="I981" s="38"/>
      <c r="J981" s="37"/>
      <c r="N981" s="37"/>
      <c r="Z981" s="79"/>
    </row>
    <row r="982" ht="15.75" customHeight="1">
      <c r="H982" s="37"/>
      <c r="I982" s="38"/>
      <c r="J982" s="37"/>
      <c r="N982" s="37"/>
      <c r="Z982" s="79"/>
    </row>
    <row r="983" ht="15.75" customHeight="1">
      <c r="H983" s="37"/>
      <c r="I983" s="38"/>
      <c r="J983" s="37"/>
      <c r="N983" s="37"/>
      <c r="Z983" s="79"/>
    </row>
    <row r="984" ht="15.75" customHeight="1">
      <c r="H984" s="37"/>
      <c r="I984" s="38"/>
      <c r="J984" s="37"/>
      <c r="N984" s="37"/>
      <c r="Z984" s="79"/>
    </row>
    <row r="985" ht="15.75" customHeight="1">
      <c r="H985" s="37"/>
      <c r="I985" s="38"/>
      <c r="J985" s="37"/>
      <c r="N985" s="37"/>
      <c r="Z985" s="79"/>
    </row>
    <row r="986" ht="15.75" customHeight="1">
      <c r="H986" s="37"/>
      <c r="I986" s="38"/>
      <c r="J986" s="37"/>
      <c r="N986" s="37"/>
      <c r="Z986" s="79"/>
    </row>
    <row r="987" ht="15.75" customHeight="1">
      <c r="H987" s="37"/>
      <c r="I987" s="38"/>
      <c r="J987" s="37"/>
      <c r="N987" s="37"/>
      <c r="Z987" s="79"/>
    </row>
    <row r="988" ht="15.75" customHeight="1">
      <c r="H988" s="37"/>
      <c r="I988" s="38"/>
      <c r="J988" s="37"/>
      <c r="N988" s="37"/>
      <c r="Z988" s="79"/>
    </row>
    <row r="989" ht="15.75" customHeight="1">
      <c r="H989" s="37"/>
      <c r="I989" s="38"/>
      <c r="J989" s="37"/>
      <c r="N989" s="37"/>
      <c r="Z989" s="79"/>
    </row>
    <row r="990" ht="15.75" customHeight="1">
      <c r="H990" s="37"/>
      <c r="I990" s="38"/>
      <c r="J990" s="37"/>
      <c r="N990" s="37"/>
      <c r="Z990" s="79"/>
    </row>
    <row r="991" ht="15.75" customHeight="1">
      <c r="H991" s="37"/>
      <c r="I991" s="38"/>
      <c r="J991" s="37"/>
      <c r="N991" s="37"/>
      <c r="Z991" s="79"/>
    </row>
    <row r="992" ht="15.75" customHeight="1">
      <c r="H992" s="37"/>
      <c r="I992" s="38"/>
      <c r="J992" s="37"/>
      <c r="N992" s="37"/>
      <c r="Z992" s="79"/>
    </row>
    <row r="993" ht="15.75" customHeight="1">
      <c r="H993" s="37"/>
      <c r="I993" s="38"/>
      <c r="J993" s="37"/>
      <c r="N993" s="37"/>
      <c r="Z993" s="79"/>
    </row>
    <row r="994" ht="15.75" customHeight="1">
      <c r="H994" s="37"/>
      <c r="I994" s="38"/>
      <c r="J994" s="37"/>
      <c r="N994" s="37"/>
      <c r="Z994" s="79"/>
    </row>
    <row r="995" ht="15.75" customHeight="1">
      <c r="H995" s="37"/>
      <c r="I995" s="38"/>
      <c r="J995" s="37"/>
      <c r="N995" s="37"/>
      <c r="Z995" s="79"/>
    </row>
    <row r="996" ht="15.75" customHeight="1">
      <c r="H996" s="37"/>
      <c r="I996" s="38"/>
      <c r="J996" s="37"/>
      <c r="N996" s="37"/>
      <c r="Z996" s="79"/>
    </row>
    <row r="997" ht="15.75" customHeight="1">
      <c r="H997" s="37"/>
      <c r="I997" s="38"/>
      <c r="J997" s="37"/>
      <c r="N997" s="37"/>
      <c r="Z997" s="79"/>
    </row>
    <row r="998" ht="15.75" customHeight="1">
      <c r="H998" s="37"/>
      <c r="I998" s="38"/>
      <c r="J998" s="37"/>
      <c r="N998" s="37"/>
      <c r="Z998" s="79"/>
    </row>
    <row r="999" ht="15.75" customHeight="1">
      <c r="H999" s="37"/>
      <c r="I999" s="38"/>
      <c r="J999" s="37"/>
      <c r="N999" s="37"/>
      <c r="Z999" s="79"/>
    </row>
    <row r="1000" ht="15.75" customHeight="1">
      <c r="H1000" s="37"/>
      <c r="I1000" s="38"/>
      <c r="J1000" s="37"/>
      <c r="N1000" s="37"/>
      <c r="Z1000" s="79"/>
    </row>
    <row r="1001" ht="15.75" customHeight="1">
      <c r="H1001" s="37"/>
      <c r="I1001" s="38"/>
      <c r="J1001" s="37"/>
      <c r="N1001" s="37"/>
      <c r="Z1001" s="79"/>
    </row>
    <row r="1002" ht="15.75" customHeight="1">
      <c r="H1002" s="37"/>
      <c r="I1002" s="38"/>
      <c r="J1002" s="37"/>
      <c r="N1002" s="37"/>
      <c r="Z1002" s="79"/>
    </row>
    <row r="1003" ht="15.75" customHeight="1">
      <c r="H1003" s="37"/>
      <c r="I1003" s="38"/>
      <c r="J1003" s="37"/>
      <c r="N1003" s="37"/>
      <c r="Z1003" s="79"/>
    </row>
    <row r="1004" ht="15.75" customHeight="1">
      <c r="H1004" s="37"/>
      <c r="I1004" s="38"/>
      <c r="J1004" s="37"/>
      <c r="N1004" s="37"/>
      <c r="Z1004" s="79"/>
    </row>
    <row r="1005" ht="15.75" customHeight="1">
      <c r="H1005" s="37"/>
      <c r="I1005" s="38"/>
      <c r="J1005" s="37"/>
      <c r="N1005" s="37"/>
      <c r="Z1005" s="79"/>
    </row>
    <row r="1006" ht="15.75" customHeight="1">
      <c r="H1006" s="37"/>
      <c r="I1006" s="38"/>
      <c r="J1006" s="37"/>
      <c r="N1006" s="37"/>
      <c r="Z1006" s="79"/>
    </row>
    <row r="1007" ht="15.75" customHeight="1">
      <c r="H1007" s="37"/>
      <c r="I1007" s="38"/>
      <c r="J1007" s="37"/>
      <c r="N1007" s="37"/>
      <c r="Z1007" s="79"/>
    </row>
    <row r="1008" ht="15.75" customHeight="1">
      <c r="H1008" s="37"/>
      <c r="I1008" s="38"/>
      <c r="J1008" s="37"/>
      <c r="N1008" s="37"/>
      <c r="Z1008" s="79"/>
    </row>
    <row r="1009" ht="15.75" customHeight="1">
      <c r="H1009" s="37"/>
      <c r="I1009" s="38"/>
      <c r="J1009" s="37"/>
      <c r="N1009" s="37"/>
      <c r="Z1009" s="79"/>
    </row>
    <row r="1010" ht="15.75" customHeight="1">
      <c r="H1010" s="37"/>
      <c r="I1010" s="38"/>
      <c r="J1010" s="37"/>
      <c r="N1010" s="37"/>
      <c r="Z1010" s="79"/>
    </row>
    <row r="1011" ht="15.75" customHeight="1">
      <c r="H1011" s="37"/>
      <c r="I1011" s="38"/>
      <c r="J1011" s="37"/>
      <c r="N1011" s="37"/>
      <c r="Z1011" s="79"/>
    </row>
    <row r="1012" ht="15.75" customHeight="1">
      <c r="H1012" s="37"/>
      <c r="I1012" s="38"/>
      <c r="J1012" s="37"/>
      <c r="N1012" s="37"/>
      <c r="Z1012" s="79"/>
    </row>
    <row r="1013" ht="15.75" customHeight="1">
      <c r="H1013" s="37"/>
      <c r="I1013" s="38"/>
      <c r="J1013" s="37"/>
      <c r="N1013" s="37"/>
      <c r="Z1013" s="79"/>
    </row>
    <row r="1014" ht="15.75" customHeight="1">
      <c r="H1014" s="37"/>
      <c r="I1014" s="38"/>
      <c r="J1014" s="37"/>
      <c r="N1014" s="37"/>
      <c r="Z1014" s="79"/>
    </row>
    <row r="1015" ht="15.75" customHeight="1">
      <c r="H1015" s="37"/>
      <c r="I1015" s="38"/>
      <c r="J1015" s="37"/>
      <c r="N1015" s="37"/>
      <c r="Z1015" s="79"/>
    </row>
    <row r="1016" ht="15.75" customHeight="1">
      <c r="H1016" s="37"/>
      <c r="I1016" s="38"/>
      <c r="J1016" s="37"/>
      <c r="N1016" s="37"/>
      <c r="Z1016" s="79"/>
    </row>
    <row r="1017" ht="15.75" customHeight="1">
      <c r="H1017" s="37"/>
      <c r="I1017" s="38"/>
      <c r="J1017" s="37"/>
      <c r="N1017" s="37"/>
      <c r="Z1017" s="79"/>
    </row>
    <row r="1018" ht="15.75" customHeight="1">
      <c r="H1018" s="37"/>
      <c r="I1018" s="38"/>
      <c r="J1018" s="37"/>
      <c r="N1018" s="37"/>
      <c r="Z1018" s="79"/>
    </row>
    <row r="1019" ht="15.75" customHeight="1">
      <c r="H1019" s="37"/>
      <c r="I1019" s="38"/>
      <c r="J1019" s="37"/>
      <c r="N1019" s="37"/>
      <c r="Z1019" s="79"/>
    </row>
    <row r="1020" ht="15.75" customHeight="1">
      <c r="H1020" s="37"/>
      <c r="I1020" s="38"/>
      <c r="J1020" s="37"/>
      <c r="N1020" s="37"/>
      <c r="Z1020" s="79"/>
    </row>
    <row r="1021" ht="15.75" customHeight="1">
      <c r="H1021" s="37"/>
      <c r="I1021" s="38"/>
      <c r="J1021" s="37"/>
      <c r="N1021" s="37"/>
      <c r="Z1021" s="79"/>
    </row>
    <row r="1022" ht="15.75" customHeight="1">
      <c r="H1022" s="37"/>
      <c r="I1022" s="38"/>
      <c r="J1022" s="37"/>
      <c r="N1022" s="37"/>
      <c r="Z1022" s="79"/>
    </row>
    <row r="1023" ht="15.75" customHeight="1">
      <c r="H1023" s="37"/>
      <c r="I1023" s="38"/>
      <c r="J1023" s="37"/>
      <c r="N1023" s="37"/>
      <c r="Z1023" s="79"/>
    </row>
    <row r="1024" ht="15.75" customHeight="1">
      <c r="H1024" s="37"/>
      <c r="I1024" s="38"/>
      <c r="J1024" s="37"/>
      <c r="N1024" s="37"/>
      <c r="Z1024" s="79"/>
    </row>
    <row r="1025" ht="15.75" customHeight="1">
      <c r="H1025" s="37"/>
      <c r="I1025" s="38"/>
      <c r="J1025" s="37"/>
      <c r="N1025" s="37"/>
      <c r="Z1025" s="79"/>
    </row>
    <row r="1026" ht="15.75" customHeight="1">
      <c r="H1026" s="37"/>
      <c r="I1026" s="38"/>
      <c r="J1026" s="37"/>
      <c r="N1026" s="37"/>
      <c r="Z1026" s="79"/>
    </row>
    <row r="1027" ht="15.75" customHeight="1">
      <c r="H1027" s="37"/>
      <c r="I1027" s="38"/>
      <c r="J1027" s="37"/>
      <c r="N1027" s="37"/>
      <c r="Z1027" s="79"/>
    </row>
    <row r="1028" ht="15.75" customHeight="1">
      <c r="H1028" s="37"/>
      <c r="I1028" s="38"/>
      <c r="J1028" s="37"/>
      <c r="N1028" s="37"/>
      <c r="Z1028" s="79"/>
    </row>
    <row r="1029" ht="15.75" customHeight="1">
      <c r="H1029" s="37"/>
      <c r="I1029" s="38"/>
      <c r="J1029" s="37"/>
      <c r="N1029" s="37"/>
      <c r="Z1029" s="79"/>
    </row>
    <row r="1030" ht="15.75" customHeight="1">
      <c r="H1030" s="37"/>
      <c r="I1030" s="38"/>
      <c r="J1030" s="37"/>
      <c r="N1030" s="37"/>
      <c r="Z1030" s="79"/>
    </row>
    <row r="1031" ht="15.75" customHeight="1">
      <c r="H1031" s="37"/>
      <c r="I1031" s="38"/>
      <c r="J1031" s="37"/>
      <c r="N1031" s="37"/>
      <c r="Z1031" s="79"/>
    </row>
    <row r="1032" ht="15.75" customHeight="1">
      <c r="H1032" s="37"/>
      <c r="I1032" s="38"/>
      <c r="J1032" s="37"/>
      <c r="N1032" s="37"/>
      <c r="Z1032" s="79"/>
    </row>
    <row r="1033" ht="15.75" customHeight="1">
      <c r="H1033" s="37"/>
      <c r="I1033" s="38"/>
      <c r="J1033" s="37"/>
      <c r="N1033" s="37"/>
      <c r="Z1033" s="79"/>
    </row>
    <row r="1034" ht="15.75" customHeight="1">
      <c r="H1034" s="37"/>
      <c r="I1034" s="38"/>
      <c r="J1034" s="37"/>
      <c r="N1034" s="37"/>
      <c r="Z1034" s="79"/>
    </row>
    <row r="1035" ht="15.75" customHeight="1">
      <c r="H1035" s="37"/>
      <c r="I1035" s="38"/>
      <c r="J1035" s="37"/>
      <c r="N1035" s="37"/>
      <c r="Z1035" s="79"/>
    </row>
    <row r="1036" ht="15.75" customHeight="1">
      <c r="H1036" s="37"/>
      <c r="I1036" s="38"/>
      <c r="J1036" s="37"/>
      <c r="N1036" s="37"/>
      <c r="Z1036" s="79"/>
    </row>
    <row r="1037" ht="15.75" customHeight="1">
      <c r="H1037" s="37"/>
      <c r="I1037" s="38"/>
      <c r="J1037" s="37"/>
      <c r="N1037" s="37"/>
      <c r="Z1037" s="79"/>
    </row>
    <row r="1038" ht="15.75" customHeight="1">
      <c r="H1038" s="37"/>
      <c r="I1038" s="38"/>
      <c r="J1038" s="37"/>
      <c r="N1038" s="37"/>
      <c r="Z1038" s="79"/>
    </row>
    <row r="1039" ht="15.75" customHeight="1">
      <c r="H1039" s="37"/>
      <c r="I1039" s="38"/>
      <c r="J1039" s="37"/>
      <c r="N1039" s="37"/>
      <c r="Z1039" s="79"/>
    </row>
    <row r="1040" ht="15.75" customHeight="1">
      <c r="H1040" s="37"/>
      <c r="I1040" s="38"/>
      <c r="J1040" s="37"/>
      <c r="N1040" s="37"/>
      <c r="Z1040" s="79"/>
    </row>
    <row r="1041" ht="15.75" customHeight="1">
      <c r="H1041" s="37"/>
      <c r="I1041" s="38"/>
      <c r="J1041" s="37"/>
      <c r="N1041" s="37"/>
      <c r="Z1041" s="79"/>
    </row>
    <row r="1042" ht="15.75" customHeight="1">
      <c r="H1042" s="37"/>
      <c r="I1042" s="38"/>
      <c r="J1042" s="37"/>
      <c r="N1042" s="37"/>
      <c r="Z1042" s="79"/>
    </row>
    <row r="1043" ht="15.75" customHeight="1">
      <c r="H1043" s="37"/>
      <c r="I1043" s="38"/>
      <c r="J1043" s="37"/>
      <c r="N1043" s="37"/>
      <c r="Z1043" s="79"/>
    </row>
    <row r="1044" ht="15.75" customHeight="1">
      <c r="H1044" s="37"/>
      <c r="I1044" s="38"/>
      <c r="J1044" s="37"/>
      <c r="N1044" s="37"/>
      <c r="Z1044" s="79"/>
    </row>
    <row r="1045" ht="15.75" customHeight="1">
      <c r="H1045" s="37"/>
      <c r="I1045" s="38"/>
      <c r="J1045" s="37"/>
      <c r="N1045" s="37"/>
      <c r="Z1045" s="79"/>
    </row>
    <row r="1046" ht="15.75" customHeight="1">
      <c r="H1046" s="37"/>
      <c r="I1046" s="38"/>
      <c r="J1046" s="37"/>
      <c r="N1046" s="37"/>
      <c r="Z1046" s="79"/>
    </row>
    <row r="1047" ht="15.75" customHeight="1">
      <c r="H1047" s="37"/>
      <c r="I1047" s="38"/>
      <c r="J1047" s="37"/>
      <c r="N1047" s="37"/>
      <c r="Z1047" s="79"/>
    </row>
    <row r="1048" ht="15.75" customHeight="1">
      <c r="H1048" s="37"/>
      <c r="I1048" s="38"/>
      <c r="J1048" s="37"/>
      <c r="N1048" s="37"/>
      <c r="Z1048" s="79"/>
    </row>
    <row r="1049" ht="15.75" customHeight="1">
      <c r="H1049" s="37"/>
      <c r="I1049" s="38"/>
      <c r="J1049" s="37"/>
      <c r="N1049" s="37"/>
      <c r="Z1049" s="79"/>
    </row>
    <row r="1050" ht="15.75" customHeight="1">
      <c r="H1050" s="37"/>
      <c r="I1050" s="38"/>
      <c r="J1050" s="37"/>
      <c r="N1050" s="37"/>
      <c r="Z1050" s="79"/>
    </row>
    <row r="1051" ht="15.75" customHeight="1">
      <c r="H1051" s="37"/>
      <c r="I1051" s="38"/>
      <c r="J1051" s="37"/>
      <c r="N1051" s="37"/>
      <c r="Z1051" s="79"/>
    </row>
    <row r="1052" ht="15.75" customHeight="1">
      <c r="H1052" s="37"/>
      <c r="I1052" s="38"/>
      <c r="J1052" s="37"/>
      <c r="N1052" s="37"/>
      <c r="Z1052" s="79"/>
    </row>
    <row r="1053" ht="15.75" customHeight="1">
      <c r="H1053" s="37"/>
      <c r="I1053" s="38"/>
      <c r="J1053" s="37"/>
      <c r="N1053" s="37"/>
      <c r="Z1053" s="79"/>
    </row>
    <row r="1054" ht="15.75" customHeight="1">
      <c r="H1054" s="37"/>
      <c r="I1054" s="38"/>
      <c r="J1054" s="37"/>
      <c r="N1054" s="37"/>
      <c r="Z1054" s="79"/>
    </row>
    <row r="1055" ht="15.75" customHeight="1">
      <c r="H1055" s="37"/>
      <c r="I1055" s="38"/>
      <c r="J1055" s="37"/>
      <c r="N1055" s="37"/>
      <c r="Z1055" s="79"/>
    </row>
    <row r="1056" ht="15.75" customHeight="1">
      <c r="H1056" s="37"/>
      <c r="I1056" s="38"/>
      <c r="J1056" s="37"/>
      <c r="N1056" s="37"/>
      <c r="Z1056" s="79"/>
    </row>
    <row r="1057" ht="15.75" customHeight="1">
      <c r="H1057" s="37"/>
      <c r="I1057" s="38"/>
      <c r="J1057" s="37"/>
      <c r="N1057" s="37"/>
      <c r="Z1057" s="79"/>
    </row>
    <row r="1058" ht="15.75" customHeight="1">
      <c r="H1058" s="37"/>
      <c r="I1058" s="38"/>
      <c r="J1058" s="37"/>
      <c r="N1058" s="37"/>
      <c r="Z1058" s="79"/>
    </row>
    <row r="1059" ht="15.75" customHeight="1">
      <c r="H1059" s="37"/>
      <c r="I1059" s="38"/>
      <c r="J1059" s="37"/>
      <c r="N1059" s="37"/>
      <c r="Z1059" s="79"/>
    </row>
    <row r="1060" ht="15.75" customHeight="1">
      <c r="H1060" s="37"/>
      <c r="I1060" s="38"/>
      <c r="J1060" s="37"/>
      <c r="N1060" s="37"/>
      <c r="Z1060" s="79"/>
    </row>
    <row r="1061" ht="15.75" customHeight="1">
      <c r="H1061" s="37"/>
      <c r="I1061" s="38"/>
      <c r="J1061" s="37"/>
      <c r="N1061" s="37"/>
      <c r="Z1061" s="79"/>
    </row>
    <row r="1062" ht="15.75" customHeight="1">
      <c r="H1062" s="37"/>
      <c r="I1062" s="38"/>
      <c r="J1062" s="37"/>
      <c r="N1062" s="37"/>
      <c r="Z1062" s="79"/>
    </row>
    <row r="1063" ht="15.75" customHeight="1">
      <c r="H1063" s="37"/>
      <c r="I1063" s="38"/>
      <c r="J1063" s="37"/>
      <c r="N1063" s="37"/>
      <c r="Z1063" s="79"/>
    </row>
    <row r="1064" ht="15.75" customHeight="1">
      <c r="H1064" s="37"/>
      <c r="I1064" s="38"/>
      <c r="J1064" s="37"/>
      <c r="N1064" s="37"/>
      <c r="Z1064" s="79"/>
    </row>
    <row r="1065" ht="15.75" customHeight="1">
      <c r="H1065" s="37"/>
      <c r="I1065" s="38"/>
      <c r="J1065" s="37"/>
      <c r="N1065" s="37"/>
      <c r="Z1065" s="79"/>
    </row>
    <row r="1066" ht="15.75" customHeight="1">
      <c r="H1066" s="37"/>
      <c r="I1066" s="38"/>
      <c r="J1066" s="37"/>
      <c r="N1066" s="37"/>
      <c r="Z1066" s="79"/>
    </row>
    <row r="1067" ht="15.75" customHeight="1">
      <c r="H1067" s="37"/>
      <c r="I1067" s="38"/>
      <c r="J1067" s="37"/>
      <c r="N1067" s="37"/>
      <c r="Z1067" s="79"/>
    </row>
    <row r="1068" ht="15.75" customHeight="1">
      <c r="H1068" s="37"/>
      <c r="I1068" s="38"/>
      <c r="J1068" s="37"/>
      <c r="N1068" s="37"/>
      <c r="Z1068" s="79"/>
    </row>
    <row r="1069" ht="15.75" customHeight="1">
      <c r="H1069" s="37"/>
      <c r="I1069" s="38"/>
      <c r="J1069" s="37"/>
      <c r="N1069" s="37"/>
      <c r="Z1069" s="79"/>
    </row>
    <row r="1070" ht="15.75" customHeight="1">
      <c r="H1070" s="37"/>
      <c r="I1070" s="38"/>
      <c r="J1070" s="37"/>
      <c r="N1070" s="37"/>
      <c r="Z1070" s="79"/>
    </row>
    <row r="1071" ht="15.75" customHeight="1">
      <c r="H1071" s="37"/>
      <c r="I1071" s="38"/>
      <c r="J1071" s="37"/>
      <c r="N1071" s="37"/>
      <c r="Z1071" s="79"/>
    </row>
    <row r="1072" ht="15.75" customHeight="1">
      <c r="H1072" s="37"/>
      <c r="I1072" s="38"/>
      <c r="J1072" s="37"/>
      <c r="N1072" s="37"/>
      <c r="Z1072" s="79"/>
    </row>
    <row r="1073" ht="15.75" customHeight="1">
      <c r="H1073" s="37"/>
      <c r="I1073" s="38"/>
      <c r="J1073" s="37"/>
      <c r="N1073" s="37"/>
      <c r="Z1073" s="79"/>
    </row>
    <row r="1074" ht="15.75" customHeight="1">
      <c r="H1074" s="37"/>
      <c r="I1074" s="38"/>
      <c r="J1074" s="37"/>
      <c r="N1074" s="37"/>
      <c r="Z1074" s="79"/>
    </row>
    <row r="1075" ht="15.75" customHeight="1">
      <c r="H1075" s="37"/>
      <c r="I1075" s="38"/>
      <c r="J1075" s="37"/>
      <c r="N1075" s="37"/>
      <c r="Z1075" s="79"/>
    </row>
    <row r="1076" ht="15.75" customHeight="1">
      <c r="H1076" s="37"/>
      <c r="I1076" s="38"/>
      <c r="J1076" s="37"/>
      <c r="N1076" s="37"/>
      <c r="Z1076" s="79"/>
    </row>
    <row r="1077" ht="15.75" customHeight="1">
      <c r="H1077" s="37"/>
      <c r="I1077" s="38"/>
      <c r="J1077" s="37"/>
      <c r="N1077" s="37"/>
      <c r="Z1077" s="79"/>
    </row>
    <row r="1078" ht="15.75" customHeight="1">
      <c r="H1078" s="37"/>
      <c r="I1078" s="38"/>
      <c r="J1078" s="37"/>
      <c r="N1078" s="37"/>
      <c r="Z1078" s="79"/>
    </row>
    <row r="1079" ht="15.75" customHeight="1">
      <c r="H1079" s="37"/>
      <c r="I1079" s="38"/>
      <c r="J1079" s="37"/>
      <c r="N1079" s="37"/>
      <c r="Z1079" s="79"/>
    </row>
    <row r="1080" ht="15.75" customHeight="1">
      <c r="H1080" s="37"/>
      <c r="I1080" s="38"/>
      <c r="J1080" s="37"/>
      <c r="N1080" s="37"/>
      <c r="Z1080" s="79"/>
    </row>
    <row r="1081" ht="15.75" customHeight="1">
      <c r="H1081" s="37"/>
      <c r="I1081" s="38"/>
      <c r="J1081" s="37"/>
      <c r="N1081" s="37"/>
      <c r="Z1081" s="79"/>
    </row>
    <row r="1082" ht="15.75" customHeight="1">
      <c r="H1082" s="37"/>
      <c r="I1082" s="38"/>
      <c r="J1082" s="37"/>
      <c r="N1082" s="37"/>
      <c r="Z1082" s="79"/>
    </row>
    <row r="1083" ht="15.75" customHeight="1">
      <c r="H1083" s="37"/>
      <c r="I1083" s="38"/>
      <c r="J1083" s="37"/>
      <c r="N1083" s="37"/>
      <c r="Z1083" s="79"/>
    </row>
    <row r="1084" ht="15.75" customHeight="1">
      <c r="H1084" s="37"/>
      <c r="I1084" s="38"/>
      <c r="J1084" s="37"/>
      <c r="N1084" s="37"/>
      <c r="Z1084" s="79"/>
    </row>
    <row r="1085" ht="15.75" customHeight="1">
      <c r="H1085" s="37"/>
      <c r="I1085" s="38"/>
      <c r="J1085" s="37"/>
      <c r="N1085" s="37"/>
      <c r="Z1085" s="79"/>
    </row>
    <row r="1086" ht="15.75" customHeight="1">
      <c r="H1086" s="37"/>
      <c r="I1086" s="38"/>
      <c r="J1086" s="37"/>
      <c r="N1086" s="37"/>
      <c r="Z1086" s="79"/>
    </row>
    <row r="1087" ht="15.75" customHeight="1">
      <c r="H1087" s="37"/>
      <c r="I1087" s="38"/>
      <c r="J1087" s="37"/>
      <c r="N1087" s="37"/>
      <c r="Z1087" s="79"/>
    </row>
    <row r="1088" ht="15.75" customHeight="1">
      <c r="H1088" s="37"/>
      <c r="I1088" s="38"/>
      <c r="J1088" s="37"/>
      <c r="N1088" s="37"/>
      <c r="Z1088" s="79"/>
    </row>
    <row r="1089" ht="15.75" customHeight="1">
      <c r="H1089" s="37"/>
      <c r="I1089" s="38"/>
      <c r="J1089" s="37"/>
      <c r="N1089" s="37"/>
      <c r="Z1089" s="79"/>
    </row>
    <row r="1090" ht="15.75" customHeight="1">
      <c r="H1090" s="37"/>
      <c r="I1090" s="38"/>
      <c r="J1090" s="37"/>
      <c r="N1090" s="37"/>
      <c r="Z1090" s="79"/>
    </row>
    <row r="1091" ht="15.75" customHeight="1">
      <c r="H1091" s="37"/>
      <c r="I1091" s="38"/>
      <c r="J1091" s="37"/>
      <c r="N1091" s="37"/>
      <c r="Z1091" s="79"/>
    </row>
    <row r="1092" ht="15.75" customHeight="1">
      <c r="H1092" s="37"/>
      <c r="I1092" s="38"/>
      <c r="J1092" s="37"/>
      <c r="N1092" s="37"/>
      <c r="Z1092" s="79"/>
    </row>
    <row r="1093" ht="15.75" customHeight="1">
      <c r="H1093" s="37"/>
      <c r="I1093" s="38"/>
      <c r="J1093" s="37"/>
      <c r="N1093" s="37"/>
      <c r="Z1093" s="79"/>
    </row>
    <row r="1094" ht="15.75" customHeight="1">
      <c r="H1094" s="37"/>
      <c r="I1094" s="38"/>
      <c r="J1094" s="37"/>
      <c r="N1094" s="37"/>
      <c r="Z1094" s="79"/>
    </row>
    <row r="1095" ht="15.75" customHeight="1">
      <c r="H1095" s="37"/>
      <c r="I1095" s="38"/>
      <c r="J1095" s="37"/>
      <c r="N1095" s="37"/>
      <c r="Z1095" s="79"/>
    </row>
    <row r="1096" ht="15.75" customHeight="1">
      <c r="H1096" s="37"/>
      <c r="I1096" s="38"/>
      <c r="J1096" s="37"/>
      <c r="N1096" s="37"/>
      <c r="Z1096" s="79"/>
    </row>
    <row r="1097" ht="15.75" customHeight="1">
      <c r="H1097" s="37"/>
      <c r="I1097" s="38"/>
      <c r="J1097" s="37"/>
      <c r="N1097" s="37"/>
      <c r="Z1097" s="79"/>
    </row>
    <row r="1098" ht="15.75" customHeight="1">
      <c r="H1098" s="37"/>
      <c r="I1098" s="38"/>
      <c r="J1098" s="37"/>
      <c r="N1098" s="37"/>
      <c r="Z1098" s="79"/>
    </row>
    <row r="1099" ht="15.75" customHeight="1">
      <c r="H1099" s="37"/>
      <c r="I1099" s="38"/>
      <c r="J1099" s="37"/>
      <c r="N1099" s="37"/>
      <c r="Z1099" s="79"/>
    </row>
    <row r="1100" ht="15.75" customHeight="1">
      <c r="H1100" s="37"/>
      <c r="I1100" s="38"/>
      <c r="J1100" s="37"/>
      <c r="N1100" s="37"/>
      <c r="Z1100" s="79"/>
    </row>
    <row r="1101" ht="15.75" customHeight="1">
      <c r="H1101" s="37"/>
      <c r="I1101" s="38"/>
      <c r="J1101" s="37"/>
      <c r="N1101" s="37"/>
      <c r="Z1101" s="79"/>
    </row>
    <row r="1102" ht="15.75" customHeight="1">
      <c r="H1102" s="37"/>
      <c r="I1102" s="38"/>
      <c r="J1102" s="37"/>
      <c r="N1102" s="37"/>
      <c r="Z1102" s="79"/>
    </row>
    <row r="1103" ht="15.75" customHeight="1">
      <c r="H1103" s="37"/>
      <c r="I1103" s="38"/>
      <c r="J1103" s="37"/>
      <c r="N1103" s="37"/>
      <c r="Z1103" s="79"/>
    </row>
    <row r="1104" ht="15.75" customHeight="1">
      <c r="H1104" s="37"/>
      <c r="I1104" s="38"/>
      <c r="J1104" s="37"/>
      <c r="N1104" s="37"/>
      <c r="Z1104" s="79"/>
    </row>
    <row r="1105" ht="15.75" customHeight="1">
      <c r="H1105" s="37"/>
      <c r="I1105" s="38"/>
      <c r="J1105" s="37"/>
      <c r="N1105" s="37"/>
      <c r="Z1105" s="79"/>
    </row>
    <row r="1106" ht="15.75" customHeight="1">
      <c r="H1106" s="37"/>
      <c r="I1106" s="38"/>
      <c r="J1106" s="37"/>
      <c r="N1106" s="37"/>
      <c r="Z1106" s="79"/>
    </row>
    <row r="1107" ht="15.75" customHeight="1">
      <c r="H1107" s="37"/>
      <c r="I1107" s="38"/>
      <c r="J1107" s="37"/>
      <c r="N1107" s="37"/>
      <c r="Z1107" s="79"/>
    </row>
    <row r="1108" ht="15.75" customHeight="1">
      <c r="H1108" s="37"/>
      <c r="I1108" s="38"/>
      <c r="J1108" s="37"/>
      <c r="N1108" s="37"/>
      <c r="Z1108" s="79"/>
    </row>
    <row r="1109" ht="15.75" customHeight="1">
      <c r="H1109" s="37"/>
      <c r="I1109" s="38"/>
      <c r="J1109" s="37"/>
      <c r="N1109" s="37"/>
      <c r="Z1109" s="79"/>
    </row>
    <row r="1110" ht="15.75" customHeight="1">
      <c r="H1110" s="37"/>
      <c r="I1110" s="38"/>
      <c r="J1110" s="37"/>
      <c r="N1110" s="37"/>
      <c r="Z1110" s="79"/>
    </row>
    <row r="1111" ht="15.75" customHeight="1">
      <c r="H1111" s="37"/>
      <c r="I1111" s="38"/>
      <c r="J1111" s="37"/>
      <c r="N1111" s="37"/>
      <c r="Z1111" s="79"/>
    </row>
    <row r="1112" ht="15.75" customHeight="1">
      <c r="H1112" s="37"/>
      <c r="I1112" s="38"/>
      <c r="J1112" s="37"/>
      <c r="N1112" s="37"/>
      <c r="Z1112" s="79"/>
    </row>
    <row r="1113" ht="15.75" customHeight="1">
      <c r="H1113" s="37"/>
      <c r="I1113" s="38"/>
      <c r="J1113" s="37"/>
      <c r="N1113" s="37"/>
      <c r="Z1113" s="79"/>
    </row>
    <row r="1114" ht="15.75" customHeight="1">
      <c r="H1114" s="37"/>
      <c r="I1114" s="38"/>
      <c r="J1114" s="37"/>
      <c r="N1114" s="37"/>
      <c r="Z1114" s="79"/>
    </row>
    <row r="1115" ht="15.75" customHeight="1">
      <c r="H1115" s="37"/>
      <c r="I1115" s="38"/>
      <c r="J1115" s="37"/>
      <c r="N1115" s="37"/>
      <c r="Z1115" s="79"/>
    </row>
    <row r="1116" ht="15.75" customHeight="1">
      <c r="H1116" s="37"/>
      <c r="I1116" s="38"/>
      <c r="J1116" s="37"/>
      <c r="N1116" s="37"/>
      <c r="Z1116" s="79"/>
    </row>
    <row r="1117" ht="15.75" customHeight="1">
      <c r="H1117" s="37"/>
      <c r="I1117" s="38"/>
      <c r="J1117" s="37"/>
      <c r="N1117" s="37"/>
      <c r="Z1117" s="79"/>
    </row>
    <row r="1118" ht="15.75" customHeight="1">
      <c r="H1118" s="37"/>
      <c r="I1118" s="38"/>
      <c r="J1118" s="37"/>
      <c r="N1118" s="37"/>
      <c r="Z1118" s="79"/>
    </row>
    <row r="1119" ht="15.75" customHeight="1">
      <c r="H1119" s="37"/>
      <c r="I1119" s="38"/>
      <c r="J1119" s="37"/>
      <c r="N1119" s="37"/>
      <c r="Z1119" s="79"/>
    </row>
    <row r="1120" ht="15.75" customHeight="1">
      <c r="H1120" s="37"/>
      <c r="I1120" s="38"/>
      <c r="J1120" s="37"/>
      <c r="N1120" s="37"/>
      <c r="Z1120" s="79"/>
    </row>
    <row r="1121" ht="15.75" customHeight="1">
      <c r="H1121" s="37"/>
      <c r="I1121" s="38"/>
      <c r="J1121" s="37"/>
      <c r="N1121" s="37"/>
      <c r="Z1121" s="79"/>
    </row>
    <row r="1122" ht="15.75" customHeight="1">
      <c r="H1122" s="37"/>
      <c r="I1122" s="38"/>
      <c r="J1122" s="37"/>
      <c r="N1122" s="37"/>
      <c r="Z1122" s="79"/>
    </row>
    <row r="1123" ht="15.75" customHeight="1">
      <c r="H1123" s="37"/>
      <c r="I1123" s="38"/>
      <c r="J1123" s="37"/>
      <c r="N1123" s="37"/>
      <c r="Z1123" s="79"/>
    </row>
    <row r="1124" ht="15.75" customHeight="1">
      <c r="H1124" s="37"/>
      <c r="I1124" s="38"/>
      <c r="J1124" s="37"/>
      <c r="N1124" s="37"/>
      <c r="Z1124" s="79"/>
    </row>
    <row r="1125" ht="15.75" customHeight="1">
      <c r="H1125" s="37"/>
      <c r="I1125" s="38"/>
      <c r="J1125" s="37"/>
      <c r="N1125" s="37"/>
      <c r="Z1125" s="79"/>
    </row>
    <row r="1126" ht="15.75" customHeight="1">
      <c r="H1126" s="37"/>
      <c r="I1126" s="38"/>
      <c r="J1126" s="37"/>
      <c r="N1126" s="37"/>
      <c r="Z1126" s="79"/>
    </row>
    <row r="1127" ht="15.75" customHeight="1">
      <c r="H1127" s="37"/>
      <c r="I1127" s="38"/>
      <c r="J1127" s="37"/>
      <c r="N1127" s="37"/>
      <c r="Z1127" s="79"/>
    </row>
    <row r="1128" ht="15.75" customHeight="1">
      <c r="H1128" s="37"/>
      <c r="I1128" s="38"/>
      <c r="J1128" s="37"/>
      <c r="N1128" s="37"/>
      <c r="Z1128" s="79"/>
    </row>
    <row r="1129" ht="15.75" customHeight="1">
      <c r="H1129" s="37"/>
      <c r="I1129" s="38"/>
      <c r="J1129" s="37"/>
      <c r="N1129" s="37"/>
      <c r="Z1129" s="79"/>
    </row>
    <row r="1130" ht="15.75" customHeight="1">
      <c r="H1130" s="37"/>
      <c r="I1130" s="38"/>
      <c r="J1130" s="37"/>
      <c r="N1130" s="37"/>
      <c r="Z1130" s="79"/>
    </row>
    <row r="1131" ht="15.75" customHeight="1">
      <c r="H1131" s="37"/>
      <c r="I1131" s="38"/>
      <c r="J1131" s="37"/>
      <c r="N1131" s="37"/>
      <c r="Z1131" s="79"/>
    </row>
    <row r="1132" ht="15.75" customHeight="1">
      <c r="H1132" s="37"/>
      <c r="I1132" s="38"/>
      <c r="J1132" s="37"/>
      <c r="N1132" s="37"/>
      <c r="Z1132" s="79"/>
    </row>
    <row r="1133" ht="15.75" customHeight="1">
      <c r="H1133" s="37"/>
      <c r="I1133" s="38"/>
      <c r="J1133" s="37"/>
      <c r="N1133" s="37"/>
      <c r="Z1133" s="79"/>
    </row>
    <row r="1134" ht="15.75" customHeight="1">
      <c r="H1134" s="37"/>
      <c r="I1134" s="38"/>
      <c r="J1134" s="37"/>
      <c r="N1134" s="37"/>
      <c r="Z1134" s="79"/>
    </row>
    <row r="1135" ht="15.75" customHeight="1">
      <c r="H1135" s="37"/>
      <c r="I1135" s="38"/>
      <c r="J1135" s="37"/>
      <c r="N1135" s="37"/>
      <c r="Z1135" s="79"/>
    </row>
    <row r="1136" ht="15.75" customHeight="1">
      <c r="H1136" s="37"/>
      <c r="I1136" s="38"/>
      <c r="J1136" s="37"/>
      <c r="N1136" s="37"/>
      <c r="Z1136" s="79"/>
    </row>
    <row r="1137" ht="15.75" customHeight="1">
      <c r="H1137" s="37"/>
      <c r="I1137" s="38"/>
      <c r="J1137" s="37"/>
      <c r="N1137" s="37"/>
      <c r="Z1137" s="79"/>
    </row>
    <row r="1138" ht="15.75" customHeight="1">
      <c r="H1138" s="37"/>
      <c r="I1138" s="38"/>
      <c r="J1138" s="37"/>
      <c r="N1138" s="37"/>
      <c r="Z1138" s="79"/>
    </row>
    <row r="1139" ht="15.75" customHeight="1">
      <c r="H1139" s="37"/>
      <c r="I1139" s="38"/>
      <c r="J1139" s="37"/>
      <c r="N1139" s="37"/>
      <c r="Z1139" s="79"/>
    </row>
    <row r="1140" ht="15.75" customHeight="1">
      <c r="H1140" s="37"/>
      <c r="I1140" s="38"/>
      <c r="J1140" s="37"/>
      <c r="N1140" s="37"/>
      <c r="Z1140" s="79"/>
    </row>
    <row r="1141" ht="15.75" customHeight="1">
      <c r="H1141" s="37"/>
      <c r="I1141" s="38"/>
      <c r="J1141" s="37"/>
      <c r="N1141" s="37"/>
      <c r="Z1141" s="79"/>
    </row>
    <row r="1142" ht="15.75" customHeight="1">
      <c r="H1142" s="37"/>
      <c r="I1142" s="38"/>
      <c r="J1142" s="37"/>
      <c r="N1142" s="37"/>
      <c r="Z1142" s="79"/>
    </row>
    <row r="1143" ht="15.75" customHeight="1">
      <c r="H1143" s="37"/>
      <c r="I1143" s="38"/>
      <c r="J1143" s="37"/>
      <c r="N1143" s="37"/>
      <c r="Z1143" s="79"/>
    </row>
    <row r="1144" ht="15.75" customHeight="1">
      <c r="H1144" s="37"/>
      <c r="I1144" s="38"/>
      <c r="J1144" s="37"/>
      <c r="N1144" s="37"/>
      <c r="Z1144" s="79"/>
    </row>
    <row r="1145" ht="15.75" customHeight="1">
      <c r="H1145" s="37"/>
      <c r="I1145" s="38"/>
      <c r="J1145" s="37"/>
      <c r="N1145" s="37"/>
      <c r="Z1145" s="79"/>
    </row>
    <row r="1146" ht="15.75" customHeight="1">
      <c r="H1146" s="37"/>
      <c r="I1146" s="38"/>
      <c r="J1146" s="37"/>
      <c r="N1146" s="37"/>
      <c r="Z1146" s="79"/>
    </row>
    <row r="1147" ht="15.75" customHeight="1">
      <c r="H1147" s="37"/>
      <c r="I1147" s="38"/>
      <c r="J1147" s="37"/>
      <c r="N1147" s="37"/>
      <c r="Z1147" s="79"/>
    </row>
    <row r="1148" ht="15.75" customHeight="1">
      <c r="H1148" s="37"/>
      <c r="I1148" s="38"/>
      <c r="J1148" s="37"/>
      <c r="N1148" s="37"/>
      <c r="Z1148" s="79"/>
    </row>
    <row r="1149" ht="15.75" customHeight="1">
      <c r="H1149" s="37"/>
      <c r="I1149" s="38"/>
      <c r="J1149" s="37"/>
      <c r="N1149" s="37"/>
      <c r="Z1149" s="79"/>
    </row>
    <row r="1150" ht="15.75" customHeight="1">
      <c r="H1150" s="37"/>
      <c r="I1150" s="38"/>
      <c r="J1150" s="37"/>
      <c r="N1150" s="37"/>
      <c r="Z1150" s="79"/>
    </row>
    <row r="1151" ht="15.75" customHeight="1">
      <c r="H1151" s="37"/>
      <c r="I1151" s="38"/>
      <c r="J1151" s="37"/>
      <c r="N1151" s="37"/>
      <c r="Z1151" s="79"/>
    </row>
    <row r="1152" ht="15.75" customHeight="1">
      <c r="H1152" s="37"/>
      <c r="I1152" s="38"/>
      <c r="J1152" s="37"/>
      <c r="N1152" s="37"/>
      <c r="Z1152" s="79"/>
    </row>
    <row r="1153" ht="15.75" customHeight="1">
      <c r="H1153" s="37"/>
      <c r="I1153" s="38"/>
      <c r="J1153" s="37"/>
      <c r="N1153" s="37"/>
      <c r="Z1153" s="79"/>
    </row>
    <row r="1154" ht="15.75" customHeight="1">
      <c r="H1154" s="37"/>
      <c r="I1154" s="38"/>
      <c r="J1154" s="37"/>
      <c r="N1154" s="37"/>
      <c r="Z1154" s="79"/>
    </row>
    <row r="1155" ht="15.75" customHeight="1">
      <c r="H1155" s="37"/>
      <c r="I1155" s="38"/>
      <c r="J1155" s="37"/>
      <c r="N1155" s="37"/>
      <c r="Z1155" s="79"/>
    </row>
    <row r="1156" ht="15.75" customHeight="1">
      <c r="H1156" s="37"/>
      <c r="I1156" s="38"/>
      <c r="J1156" s="37"/>
      <c r="N1156" s="37"/>
      <c r="Z1156" s="79"/>
    </row>
    <row r="1157" ht="15.75" customHeight="1">
      <c r="H1157" s="37"/>
      <c r="I1157" s="38"/>
      <c r="J1157" s="37"/>
      <c r="N1157" s="37"/>
      <c r="Z1157" s="79"/>
    </row>
    <row r="1158" ht="15.75" customHeight="1">
      <c r="H1158" s="37"/>
      <c r="I1158" s="38"/>
      <c r="J1158" s="37"/>
      <c r="N1158" s="37"/>
      <c r="Z1158" s="79"/>
    </row>
    <row r="1159" ht="15.75" customHeight="1">
      <c r="H1159" s="37"/>
      <c r="I1159" s="38"/>
      <c r="J1159" s="37"/>
      <c r="N1159" s="37"/>
      <c r="Z1159" s="79"/>
    </row>
    <row r="1160" ht="15.75" customHeight="1">
      <c r="H1160" s="37"/>
      <c r="I1160" s="38"/>
      <c r="J1160" s="37"/>
      <c r="N1160" s="37"/>
      <c r="Z1160" s="79"/>
    </row>
    <row r="1161" ht="15.75" customHeight="1">
      <c r="H1161" s="37"/>
      <c r="I1161" s="38"/>
      <c r="J1161" s="37"/>
      <c r="N1161" s="37"/>
      <c r="Z1161" s="79"/>
    </row>
    <row r="1162" ht="15.75" customHeight="1">
      <c r="H1162" s="37"/>
      <c r="I1162" s="38"/>
      <c r="J1162" s="37"/>
      <c r="N1162" s="37"/>
      <c r="Z1162" s="79"/>
    </row>
    <row r="1163" ht="15.75" customHeight="1">
      <c r="H1163" s="37"/>
      <c r="I1163" s="38"/>
      <c r="J1163" s="37"/>
      <c r="N1163" s="37"/>
      <c r="Z1163" s="79"/>
    </row>
    <row r="1164" ht="15.75" customHeight="1">
      <c r="H1164" s="37"/>
      <c r="I1164" s="38"/>
      <c r="J1164" s="37"/>
      <c r="N1164" s="37"/>
      <c r="Z1164" s="79"/>
    </row>
    <row r="1165" ht="15.75" customHeight="1">
      <c r="H1165" s="37"/>
      <c r="I1165" s="38"/>
      <c r="J1165" s="37"/>
      <c r="N1165" s="37"/>
      <c r="Z1165" s="79"/>
    </row>
    <row r="1166" ht="15.75" customHeight="1">
      <c r="H1166" s="37"/>
      <c r="I1166" s="38"/>
      <c r="J1166" s="37"/>
      <c r="N1166" s="37"/>
      <c r="Z1166" s="79"/>
    </row>
    <row r="1167" ht="15.75" customHeight="1">
      <c r="H1167" s="37"/>
      <c r="I1167" s="38"/>
      <c r="J1167" s="37"/>
      <c r="N1167" s="37"/>
      <c r="Z1167" s="79"/>
    </row>
    <row r="1168" ht="15.75" customHeight="1">
      <c r="H1168" s="37"/>
      <c r="I1168" s="38"/>
      <c r="J1168" s="37"/>
      <c r="N1168" s="37"/>
      <c r="Z1168" s="79"/>
    </row>
    <row r="1169" ht="15.75" customHeight="1">
      <c r="H1169" s="37"/>
      <c r="I1169" s="38"/>
      <c r="J1169" s="37"/>
      <c r="N1169" s="37"/>
      <c r="Z1169" s="79"/>
    </row>
    <row r="1170" ht="15.75" customHeight="1">
      <c r="H1170" s="37"/>
      <c r="I1170" s="38"/>
      <c r="J1170" s="37"/>
      <c r="N1170" s="37"/>
      <c r="Z1170" s="79"/>
    </row>
    <row r="1171" ht="15.75" customHeight="1">
      <c r="H1171" s="37"/>
      <c r="I1171" s="38"/>
      <c r="J1171" s="37"/>
      <c r="N1171" s="37"/>
      <c r="Z1171" s="79"/>
    </row>
    <row r="1172" ht="15.75" customHeight="1">
      <c r="H1172" s="37"/>
      <c r="I1172" s="38"/>
      <c r="J1172" s="37"/>
      <c r="N1172" s="37"/>
      <c r="Z1172" s="79"/>
    </row>
    <row r="1173" ht="15.75" customHeight="1">
      <c r="H1173" s="37"/>
      <c r="I1173" s="38"/>
      <c r="J1173" s="37"/>
      <c r="N1173" s="37"/>
      <c r="Z1173" s="79"/>
    </row>
    <row r="1174" ht="15.75" customHeight="1">
      <c r="H1174" s="37"/>
      <c r="I1174" s="38"/>
      <c r="J1174" s="37"/>
      <c r="N1174" s="37"/>
      <c r="Z1174" s="79"/>
    </row>
    <row r="1175" ht="15.75" customHeight="1">
      <c r="H1175" s="37"/>
      <c r="I1175" s="38"/>
      <c r="J1175" s="37"/>
      <c r="N1175" s="37"/>
      <c r="Z1175" s="79"/>
    </row>
    <row r="1176" ht="15.75" customHeight="1">
      <c r="H1176" s="37"/>
      <c r="I1176" s="38"/>
      <c r="J1176" s="37"/>
      <c r="N1176" s="37"/>
      <c r="Z1176" s="79"/>
    </row>
    <row r="1177" ht="15.75" customHeight="1">
      <c r="H1177" s="37"/>
      <c r="I1177" s="38"/>
      <c r="J1177" s="37"/>
      <c r="N1177" s="37"/>
      <c r="Z1177" s="79"/>
    </row>
    <row r="1178" ht="15.75" customHeight="1">
      <c r="H1178" s="37"/>
      <c r="I1178" s="38"/>
      <c r="J1178" s="37"/>
      <c r="N1178" s="37"/>
      <c r="Z1178" s="79"/>
    </row>
    <row r="1179" ht="15.75" customHeight="1">
      <c r="H1179" s="37"/>
      <c r="I1179" s="38"/>
      <c r="J1179" s="37"/>
      <c r="N1179" s="37"/>
      <c r="Z1179" s="79"/>
    </row>
    <row r="1180" ht="15.75" customHeight="1">
      <c r="H1180" s="37"/>
      <c r="I1180" s="38"/>
      <c r="J1180" s="37"/>
      <c r="N1180" s="37"/>
      <c r="Z1180" s="79"/>
    </row>
    <row r="1181" ht="15.75" customHeight="1">
      <c r="H1181" s="37"/>
      <c r="I1181" s="38"/>
      <c r="J1181" s="37"/>
      <c r="N1181" s="37"/>
      <c r="Z1181" s="79"/>
    </row>
    <row r="1182" ht="15.75" customHeight="1">
      <c r="H1182" s="37"/>
      <c r="I1182" s="38"/>
      <c r="J1182" s="37"/>
      <c r="N1182" s="37"/>
      <c r="Z1182" s="79"/>
    </row>
    <row r="1183" ht="15.75" customHeight="1">
      <c r="H1183" s="37"/>
      <c r="I1183" s="38"/>
      <c r="J1183" s="37"/>
      <c r="N1183" s="37"/>
      <c r="Z1183" s="79"/>
    </row>
    <row r="1184" ht="15.75" customHeight="1">
      <c r="H1184" s="37"/>
      <c r="I1184" s="38"/>
      <c r="J1184" s="37"/>
      <c r="N1184" s="37"/>
      <c r="Z1184" s="79"/>
    </row>
    <row r="1185" ht="15.75" customHeight="1">
      <c r="H1185" s="37"/>
      <c r="I1185" s="38"/>
      <c r="J1185" s="37"/>
      <c r="N1185" s="37"/>
      <c r="Z1185" s="79"/>
    </row>
    <row r="1186" ht="15.75" customHeight="1">
      <c r="H1186" s="37"/>
      <c r="I1186" s="38"/>
      <c r="J1186" s="37"/>
      <c r="N1186" s="37"/>
      <c r="Z1186" s="79"/>
    </row>
    <row r="1187" ht="15.75" customHeight="1">
      <c r="H1187" s="37"/>
      <c r="I1187" s="38"/>
      <c r="J1187" s="37"/>
      <c r="N1187" s="37"/>
      <c r="Z1187" s="79"/>
    </row>
    <row r="1188" ht="15.75" customHeight="1">
      <c r="H1188" s="37"/>
      <c r="I1188" s="38"/>
      <c r="J1188" s="37"/>
      <c r="N1188" s="37"/>
      <c r="Z1188" s="79"/>
    </row>
    <row r="1189" ht="15.75" customHeight="1">
      <c r="H1189" s="37"/>
      <c r="I1189" s="38"/>
      <c r="J1189" s="37"/>
      <c r="N1189" s="37"/>
      <c r="Z1189" s="79"/>
    </row>
    <row r="1190" ht="15.75" customHeight="1">
      <c r="H1190" s="37"/>
      <c r="I1190" s="38"/>
      <c r="J1190" s="37"/>
      <c r="N1190" s="37"/>
      <c r="Z1190" s="79"/>
    </row>
    <row r="1191" ht="15.75" customHeight="1">
      <c r="H1191" s="37"/>
      <c r="I1191" s="38"/>
      <c r="J1191" s="37"/>
      <c r="N1191" s="37"/>
      <c r="Z1191" s="79"/>
    </row>
    <row r="1192" ht="15.75" customHeight="1">
      <c r="H1192" s="37"/>
      <c r="I1192" s="38"/>
      <c r="J1192" s="37"/>
      <c r="N1192" s="37"/>
      <c r="Z1192" s="79"/>
    </row>
    <row r="1193" ht="15.75" customHeight="1">
      <c r="H1193" s="37"/>
      <c r="I1193" s="38"/>
      <c r="J1193" s="37"/>
      <c r="N1193" s="37"/>
      <c r="Z1193" s="79"/>
    </row>
    <row r="1194" ht="15.75" customHeight="1">
      <c r="H1194" s="37"/>
      <c r="I1194" s="38"/>
      <c r="J1194" s="37"/>
      <c r="N1194" s="37"/>
      <c r="Z1194" s="79"/>
    </row>
    <row r="1195" ht="15.75" customHeight="1">
      <c r="H1195" s="37"/>
      <c r="I1195" s="38"/>
      <c r="J1195" s="37"/>
      <c r="N1195" s="37"/>
      <c r="Z1195" s="79"/>
    </row>
    <row r="1196" ht="15.75" customHeight="1">
      <c r="H1196" s="37"/>
      <c r="I1196" s="38"/>
      <c r="J1196" s="37"/>
      <c r="N1196" s="37"/>
      <c r="Z1196" s="79"/>
    </row>
    <row r="1197" ht="15.75" customHeight="1">
      <c r="H1197" s="37"/>
      <c r="I1197" s="38"/>
      <c r="J1197" s="37"/>
      <c r="N1197" s="37"/>
      <c r="Z1197" s="79"/>
    </row>
    <row r="1198" ht="15.75" customHeight="1">
      <c r="H1198" s="37"/>
      <c r="I1198" s="38"/>
      <c r="J1198" s="37"/>
      <c r="N1198" s="37"/>
      <c r="Z1198" s="79"/>
    </row>
    <row r="1199" ht="15.75" customHeight="1">
      <c r="H1199" s="37"/>
      <c r="I1199" s="38"/>
      <c r="J1199" s="37"/>
      <c r="N1199" s="37"/>
      <c r="Z1199" s="79"/>
    </row>
    <row r="1200" ht="15.75" customHeight="1">
      <c r="H1200" s="37"/>
      <c r="I1200" s="38"/>
      <c r="J1200" s="37"/>
      <c r="N1200" s="37"/>
      <c r="Z1200" s="79"/>
    </row>
    <row r="1201" ht="15.75" customHeight="1">
      <c r="H1201" s="37"/>
      <c r="I1201" s="38"/>
      <c r="J1201" s="37"/>
      <c r="N1201" s="37"/>
      <c r="Z1201" s="79"/>
    </row>
    <row r="1202" ht="15.75" customHeight="1">
      <c r="H1202" s="37"/>
      <c r="I1202" s="38"/>
      <c r="J1202" s="37"/>
      <c r="N1202" s="37"/>
      <c r="Z1202" s="79"/>
    </row>
    <row r="1203" ht="15.75" customHeight="1">
      <c r="H1203" s="37"/>
      <c r="I1203" s="38"/>
      <c r="J1203" s="37"/>
      <c r="N1203" s="37"/>
      <c r="Z1203" s="79"/>
    </row>
    <row r="1204" ht="15.75" customHeight="1">
      <c r="H1204" s="37"/>
      <c r="I1204" s="38"/>
      <c r="J1204" s="37"/>
      <c r="N1204" s="37"/>
      <c r="Z1204" s="79"/>
    </row>
    <row r="1205" ht="15.75" customHeight="1">
      <c r="H1205" s="37"/>
      <c r="I1205" s="38"/>
      <c r="J1205" s="37"/>
      <c r="N1205" s="37"/>
      <c r="Z1205" s="79"/>
    </row>
    <row r="1206" ht="15.75" customHeight="1">
      <c r="H1206" s="37"/>
      <c r="I1206" s="38"/>
      <c r="J1206" s="37"/>
      <c r="N1206" s="37"/>
      <c r="Z1206" s="79"/>
    </row>
    <row r="1207" ht="15.75" customHeight="1">
      <c r="H1207" s="37"/>
      <c r="I1207" s="38"/>
      <c r="J1207" s="37"/>
      <c r="N1207" s="37"/>
      <c r="Z1207" s="79"/>
    </row>
    <row r="1208" ht="15.75" customHeight="1">
      <c r="H1208" s="37"/>
      <c r="I1208" s="38"/>
      <c r="J1208" s="37"/>
      <c r="N1208" s="37"/>
      <c r="Z1208" s="79"/>
    </row>
    <row r="1209" ht="15.75" customHeight="1">
      <c r="H1209" s="37"/>
      <c r="I1209" s="38"/>
      <c r="J1209" s="37"/>
      <c r="N1209" s="37"/>
      <c r="Z1209" s="79"/>
    </row>
    <row r="1210" ht="15.75" customHeight="1">
      <c r="H1210" s="37"/>
      <c r="I1210" s="38"/>
      <c r="J1210" s="37"/>
      <c r="N1210" s="37"/>
      <c r="Z1210" s="79"/>
    </row>
    <row r="1211" ht="15.75" customHeight="1">
      <c r="H1211" s="37"/>
      <c r="I1211" s="38"/>
      <c r="J1211" s="37"/>
      <c r="N1211" s="37"/>
      <c r="Z1211" s="79"/>
    </row>
    <row r="1212" ht="15.75" customHeight="1">
      <c r="H1212" s="37"/>
      <c r="I1212" s="38"/>
      <c r="J1212" s="37"/>
      <c r="N1212" s="37"/>
      <c r="Z1212" s="79"/>
    </row>
    <row r="1213" ht="15.75" customHeight="1">
      <c r="H1213" s="37"/>
      <c r="I1213" s="38"/>
      <c r="J1213" s="37"/>
      <c r="N1213" s="37"/>
      <c r="Z1213" s="79"/>
    </row>
    <row r="1214" ht="15.75" customHeight="1">
      <c r="H1214" s="37"/>
      <c r="I1214" s="38"/>
      <c r="J1214" s="37"/>
      <c r="N1214" s="37"/>
      <c r="Z1214" s="79"/>
    </row>
    <row r="1215" ht="15.75" customHeight="1">
      <c r="H1215" s="37"/>
      <c r="I1215" s="38"/>
      <c r="J1215" s="37"/>
      <c r="N1215" s="37"/>
      <c r="Z1215" s="79"/>
    </row>
    <row r="1216" ht="15.75" customHeight="1">
      <c r="H1216" s="37"/>
      <c r="I1216" s="38"/>
      <c r="J1216" s="37"/>
      <c r="N1216" s="37"/>
      <c r="Z1216" s="79"/>
    </row>
    <row r="1217" ht="15.75" customHeight="1">
      <c r="H1217" s="37"/>
      <c r="I1217" s="38"/>
      <c r="J1217" s="37"/>
      <c r="N1217" s="37"/>
      <c r="Z1217" s="79"/>
    </row>
    <row r="1218" ht="15.75" customHeight="1">
      <c r="H1218" s="37"/>
      <c r="I1218" s="38"/>
      <c r="J1218" s="37"/>
      <c r="N1218" s="37"/>
      <c r="Z1218" s="79"/>
    </row>
    <row r="1219" ht="15.75" customHeight="1">
      <c r="H1219" s="37"/>
      <c r="I1219" s="38"/>
      <c r="J1219" s="37"/>
      <c r="N1219" s="37"/>
      <c r="Z1219" s="79"/>
    </row>
    <row r="1220" ht="15.75" customHeight="1">
      <c r="H1220" s="37"/>
      <c r="I1220" s="38"/>
      <c r="J1220" s="37"/>
      <c r="N1220" s="37"/>
      <c r="Z1220" s="79"/>
    </row>
    <row r="1221" ht="15.75" customHeight="1">
      <c r="H1221" s="37"/>
      <c r="I1221" s="38"/>
      <c r="J1221" s="37"/>
      <c r="N1221" s="37"/>
      <c r="Z1221" s="79"/>
    </row>
    <row r="1222" ht="15.75" customHeight="1">
      <c r="H1222" s="37"/>
      <c r="I1222" s="38"/>
      <c r="J1222" s="37"/>
      <c r="N1222" s="37"/>
      <c r="Z1222" s="79"/>
    </row>
    <row r="1223" ht="15.75" customHeight="1">
      <c r="H1223" s="37"/>
      <c r="I1223" s="38"/>
      <c r="J1223" s="37"/>
      <c r="N1223" s="37"/>
      <c r="Z1223" s="79"/>
    </row>
    <row r="1224" ht="15.75" customHeight="1">
      <c r="H1224" s="37"/>
      <c r="I1224" s="38"/>
      <c r="J1224" s="37"/>
      <c r="N1224" s="37"/>
      <c r="Z1224" s="79"/>
    </row>
    <row r="1225" ht="15.75" customHeight="1">
      <c r="H1225" s="37"/>
      <c r="I1225" s="38"/>
      <c r="J1225" s="37"/>
      <c r="N1225" s="37"/>
      <c r="Z1225" s="79"/>
    </row>
    <row r="1226" ht="15.75" customHeight="1">
      <c r="H1226" s="37"/>
      <c r="I1226" s="38"/>
      <c r="J1226" s="37"/>
      <c r="N1226" s="37"/>
      <c r="Z1226" s="79"/>
    </row>
    <row r="1227" ht="15.75" customHeight="1">
      <c r="H1227" s="37"/>
      <c r="I1227" s="38"/>
      <c r="J1227" s="37"/>
      <c r="N1227" s="37"/>
      <c r="Z1227" s="79"/>
    </row>
    <row r="1228" ht="15.75" customHeight="1">
      <c r="H1228" s="37"/>
      <c r="I1228" s="38"/>
      <c r="J1228" s="37"/>
      <c r="N1228" s="37"/>
      <c r="Z1228" s="79"/>
    </row>
    <row r="1229" ht="15.75" customHeight="1">
      <c r="H1229" s="37"/>
      <c r="I1229" s="38"/>
      <c r="J1229" s="37"/>
      <c r="N1229" s="37"/>
      <c r="Z1229" s="79"/>
    </row>
    <row r="1230" ht="15.75" customHeight="1">
      <c r="H1230" s="37"/>
      <c r="I1230" s="38"/>
      <c r="J1230" s="37"/>
      <c r="N1230" s="37"/>
      <c r="Z1230" s="79"/>
    </row>
    <row r="1231" ht="15.75" customHeight="1">
      <c r="H1231" s="37"/>
      <c r="I1231" s="38"/>
      <c r="J1231" s="37"/>
      <c r="N1231" s="37"/>
      <c r="Z1231" s="79"/>
    </row>
    <row r="1232" ht="15.75" customHeight="1">
      <c r="H1232" s="37"/>
      <c r="I1232" s="38"/>
      <c r="J1232" s="37"/>
      <c r="N1232" s="37"/>
      <c r="Z1232" s="79"/>
    </row>
    <row r="1233" ht="15.75" customHeight="1">
      <c r="H1233" s="37"/>
      <c r="I1233" s="38"/>
      <c r="J1233" s="37"/>
      <c r="N1233" s="37"/>
      <c r="Z1233" s="79"/>
    </row>
    <row r="1234" ht="15.75" customHeight="1">
      <c r="H1234" s="37"/>
      <c r="I1234" s="38"/>
      <c r="J1234" s="37"/>
      <c r="N1234" s="37"/>
      <c r="Z1234" s="79"/>
    </row>
    <row r="1235" ht="15.75" customHeight="1">
      <c r="H1235" s="37"/>
      <c r="I1235" s="38"/>
      <c r="J1235" s="37"/>
      <c r="N1235" s="37"/>
      <c r="Z1235" s="79"/>
    </row>
    <row r="1236" ht="15.75" customHeight="1">
      <c r="H1236" s="37"/>
      <c r="I1236" s="38"/>
      <c r="J1236" s="37"/>
      <c r="N1236" s="37"/>
      <c r="Z1236" s="79"/>
    </row>
    <row r="1237" ht="15.75" customHeight="1">
      <c r="H1237" s="37"/>
      <c r="I1237" s="38"/>
      <c r="J1237" s="37"/>
      <c r="N1237" s="37"/>
      <c r="Z1237" s="79"/>
    </row>
    <row r="1238" ht="15.75" customHeight="1">
      <c r="H1238" s="37"/>
      <c r="I1238" s="38"/>
      <c r="J1238" s="37"/>
      <c r="N1238" s="37"/>
      <c r="Z1238" s="79"/>
    </row>
    <row r="1239" ht="15.75" customHeight="1">
      <c r="H1239" s="37"/>
      <c r="I1239" s="38"/>
      <c r="J1239" s="37"/>
      <c r="N1239" s="37"/>
      <c r="Z1239" s="79"/>
    </row>
    <row r="1240" ht="15.75" customHeight="1">
      <c r="H1240" s="37"/>
      <c r="I1240" s="38"/>
      <c r="J1240" s="37"/>
      <c r="N1240" s="37"/>
      <c r="Z1240" s="79"/>
    </row>
    <row r="1241" ht="15.75" customHeight="1">
      <c r="H1241" s="37"/>
      <c r="I1241" s="38"/>
      <c r="J1241" s="37"/>
      <c r="N1241" s="37"/>
      <c r="Z1241" s="79"/>
    </row>
    <row r="1242" ht="15.75" customHeight="1">
      <c r="H1242" s="37"/>
      <c r="I1242" s="38"/>
      <c r="J1242" s="37"/>
      <c r="N1242" s="37"/>
      <c r="Z1242" s="79"/>
    </row>
    <row r="1243" ht="15.75" customHeight="1">
      <c r="H1243" s="37"/>
      <c r="I1243" s="38"/>
      <c r="J1243" s="37"/>
      <c r="N1243" s="37"/>
      <c r="Z1243" s="79"/>
    </row>
    <row r="1244" ht="15.75" customHeight="1">
      <c r="H1244" s="37"/>
      <c r="I1244" s="38"/>
      <c r="J1244" s="37"/>
      <c r="N1244" s="37"/>
      <c r="Z1244" s="79"/>
    </row>
    <row r="1245" ht="15.75" customHeight="1">
      <c r="H1245" s="37"/>
      <c r="I1245" s="38"/>
      <c r="J1245" s="37"/>
      <c r="N1245" s="37"/>
      <c r="Z1245" s="79"/>
    </row>
    <row r="1246" ht="15.75" customHeight="1">
      <c r="H1246" s="37"/>
      <c r="I1246" s="38"/>
      <c r="J1246" s="37"/>
      <c r="N1246" s="37"/>
      <c r="Z1246" s="79"/>
    </row>
    <row r="1247" ht="15.75" customHeight="1">
      <c r="H1247" s="37"/>
      <c r="I1247" s="38"/>
      <c r="J1247" s="37"/>
      <c r="N1247" s="37"/>
      <c r="Z1247" s="79"/>
    </row>
    <row r="1248" ht="15.75" customHeight="1">
      <c r="H1248" s="37"/>
      <c r="I1248" s="38"/>
      <c r="J1248" s="37"/>
      <c r="N1248" s="37"/>
      <c r="Z1248" s="79"/>
    </row>
    <row r="1249" ht="15.75" customHeight="1">
      <c r="H1249" s="37"/>
      <c r="I1249" s="38"/>
      <c r="J1249" s="37"/>
      <c r="N1249" s="37"/>
      <c r="Z1249" s="79"/>
    </row>
    <row r="1250" ht="15.75" customHeight="1">
      <c r="H1250" s="37"/>
      <c r="I1250" s="38"/>
      <c r="J1250" s="37"/>
      <c r="N1250" s="37"/>
      <c r="Z1250" s="79"/>
    </row>
    <row r="1251" ht="15.75" customHeight="1">
      <c r="H1251" s="37"/>
      <c r="I1251" s="38"/>
      <c r="J1251" s="37"/>
      <c r="N1251" s="37"/>
      <c r="Z1251" s="79"/>
    </row>
    <row r="1252" ht="15.75" customHeight="1">
      <c r="H1252" s="37"/>
      <c r="I1252" s="38"/>
      <c r="J1252" s="37"/>
      <c r="N1252" s="37"/>
      <c r="Z1252" s="79"/>
    </row>
    <row r="1253" ht="15.75" customHeight="1">
      <c r="H1253" s="37"/>
      <c r="I1253" s="38"/>
      <c r="J1253" s="37"/>
      <c r="N1253" s="37"/>
      <c r="Z1253" s="79"/>
    </row>
    <row r="1254" ht="15.75" customHeight="1">
      <c r="H1254" s="37"/>
      <c r="I1254" s="38"/>
      <c r="J1254" s="37"/>
      <c r="N1254" s="37"/>
      <c r="Z1254" s="79"/>
    </row>
    <row r="1255" ht="15.75" customHeight="1">
      <c r="H1255" s="37"/>
      <c r="I1255" s="38"/>
      <c r="J1255" s="37"/>
      <c r="N1255" s="37"/>
      <c r="Z1255" s="79"/>
    </row>
    <row r="1256" ht="15.75" customHeight="1">
      <c r="H1256" s="37"/>
      <c r="I1256" s="38"/>
      <c r="J1256" s="37"/>
      <c r="N1256" s="37"/>
      <c r="Z1256" s="79"/>
    </row>
    <row r="1257" ht="15.75" customHeight="1">
      <c r="H1257" s="37"/>
      <c r="I1257" s="38"/>
      <c r="J1257" s="37"/>
      <c r="N1257" s="37"/>
      <c r="Z1257" s="79"/>
    </row>
    <row r="1258" ht="15.75" customHeight="1">
      <c r="H1258" s="37"/>
      <c r="I1258" s="38"/>
      <c r="J1258" s="37"/>
      <c r="N1258" s="37"/>
      <c r="Z1258" s="79"/>
    </row>
    <row r="1259" ht="15.75" customHeight="1">
      <c r="H1259" s="37"/>
      <c r="I1259" s="38"/>
      <c r="J1259" s="37"/>
      <c r="N1259" s="37"/>
      <c r="Z1259" s="79"/>
    </row>
    <row r="1260" ht="15.75" customHeight="1">
      <c r="H1260" s="37"/>
      <c r="I1260" s="38"/>
      <c r="J1260" s="37"/>
      <c r="N1260" s="37"/>
      <c r="Z1260" s="79"/>
    </row>
    <row r="1261" ht="15.75" customHeight="1">
      <c r="H1261" s="37"/>
      <c r="I1261" s="38"/>
      <c r="J1261" s="37"/>
      <c r="N1261" s="37"/>
      <c r="Z1261" s="79"/>
    </row>
    <row r="1262" ht="15.75" customHeight="1">
      <c r="H1262" s="37"/>
      <c r="I1262" s="38"/>
      <c r="J1262" s="37"/>
      <c r="N1262" s="37"/>
      <c r="Z1262" s="79"/>
    </row>
    <row r="1263" ht="15.75" customHeight="1">
      <c r="H1263" s="37"/>
      <c r="I1263" s="38"/>
      <c r="J1263" s="37"/>
      <c r="N1263" s="37"/>
      <c r="Z1263" s="79"/>
    </row>
    <row r="1264" ht="15.75" customHeight="1">
      <c r="H1264" s="37"/>
      <c r="I1264" s="38"/>
      <c r="J1264" s="37"/>
      <c r="N1264" s="37"/>
      <c r="Z1264" s="79"/>
    </row>
    <row r="1265" ht="15.75" customHeight="1">
      <c r="H1265" s="37"/>
      <c r="I1265" s="38"/>
      <c r="J1265" s="37"/>
      <c r="N1265" s="37"/>
      <c r="Z1265" s="79"/>
    </row>
    <row r="1266" ht="15.75" customHeight="1">
      <c r="H1266" s="37"/>
      <c r="I1266" s="38"/>
      <c r="J1266" s="37"/>
      <c r="N1266" s="37"/>
      <c r="Z1266" s="79"/>
    </row>
    <row r="1267" ht="15.75" customHeight="1">
      <c r="H1267" s="37"/>
      <c r="I1267" s="38"/>
      <c r="J1267" s="37"/>
      <c r="N1267" s="37"/>
      <c r="Z1267" s="79"/>
    </row>
    <row r="1268" ht="15.75" customHeight="1">
      <c r="H1268" s="37"/>
      <c r="I1268" s="38"/>
      <c r="J1268" s="37"/>
      <c r="N1268" s="37"/>
      <c r="Z1268" s="79"/>
    </row>
    <row r="1269" ht="15.75" customHeight="1">
      <c r="H1269" s="37"/>
      <c r="I1269" s="38"/>
      <c r="J1269" s="37"/>
      <c r="N1269" s="37"/>
      <c r="Z1269" s="79"/>
    </row>
    <row r="1270" ht="15.75" customHeight="1">
      <c r="H1270" s="37"/>
      <c r="I1270" s="38"/>
      <c r="J1270" s="37"/>
      <c r="N1270" s="37"/>
      <c r="Z1270" s="79"/>
    </row>
    <row r="1271" ht="15.75" customHeight="1">
      <c r="H1271" s="37"/>
      <c r="I1271" s="38"/>
      <c r="J1271" s="37"/>
      <c r="N1271" s="37"/>
      <c r="Z1271" s="79"/>
    </row>
    <row r="1272" ht="15.75" customHeight="1">
      <c r="H1272" s="37"/>
      <c r="I1272" s="38"/>
      <c r="J1272" s="37"/>
      <c r="N1272" s="37"/>
      <c r="Z1272" s="79"/>
    </row>
    <row r="1273" ht="15.75" customHeight="1">
      <c r="H1273" s="37"/>
      <c r="I1273" s="38"/>
      <c r="J1273" s="37"/>
      <c r="N1273" s="37"/>
      <c r="Z1273" s="79"/>
    </row>
    <row r="1274" ht="15.75" customHeight="1">
      <c r="H1274" s="37"/>
      <c r="I1274" s="38"/>
      <c r="J1274" s="37"/>
      <c r="N1274" s="37"/>
      <c r="Z1274" s="79"/>
    </row>
    <row r="1275" ht="15.75" customHeight="1">
      <c r="H1275" s="37"/>
      <c r="I1275" s="38"/>
      <c r="J1275" s="37"/>
      <c r="N1275" s="37"/>
      <c r="Z1275" s="79"/>
    </row>
    <row r="1276" ht="15.75" customHeight="1">
      <c r="H1276" s="37"/>
      <c r="I1276" s="38"/>
      <c r="J1276" s="37"/>
      <c r="N1276" s="37"/>
      <c r="Z1276" s="79"/>
    </row>
    <row r="1277" ht="15.75" customHeight="1">
      <c r="H1277" s="37"/>
      <c r="I1277" s="38"/>
      <c r="J1277" s="37"/>
      <c r="N1277" s="37"/>
      <c r="Z1277" s="79"/>
    </row>
    <row r="1278" ht="15.75" customHeight="1">
      <c r="H1278" s="37"/>
      <c r="I1278" s="38"/>
      <c r="J1278" s="37"/>
      <c r="N1278" s="37"/>
      <c r="Z1278" s="79"/>
    </row>
    <row r="1279" ht="15.75" customHeight="1">
      <c r="H1279" s="37"/>
      <c r="I1279" s="38"/>
      <c r="J1279" s="37"/>
      <c r="N1279" s="37"/>
      <c r="Z1279" s="79"/>
    </row>
    <row r="1280" ht="15.75" customHeight="1">
      <c r="H1280" s="37"/>
      <c r="I1280" s="38"/>
      <c r="J1280" s="37"/>
      <c r="N1280" s="37"/>
      <c r="Z1280" s="79"/>
    </row>
    <row r="1281" ht="15.75" customHeight="1">
      <c r="H1281" s="37"/>
      <c r="I1281" s="38"/>
      <c r="J1281" s="37"/>
      <c r="N1281" s="37"/>
      <c r="Z1281" s="79"/>
    </row>
    <row r="1282" ht="15.75" customHeight="1">
      <c r="H1282" s="37"/>
      <c r="I1282" s="38"/>
      <c r="J1282" s="37"/>
      <c r="N1282" s="37"/>
      <c r="Z1282" s="79"/>
    </row>
    <row r="1283" ht="15.75" customHeight="1">
      <c r="H1283" s="37"/>
      <c r="I1283" s="38"/>
      <c r="J1283" s="37"/>
      <c r="N1283" s="37"/>
      <c r="Z1283" s="79"/>
    </row>
    <row r="1284" ht="15.75" customHeight="1">
      <c r="H1284" s="37"/>
      <c r="I1284" s="38"/>
      <c r="J1284" s="37"/>
      <c r="N1284" s="37"/>
      <c r="Z1284" s="79"/>
    </row>
    <row r="1285" ht="15.75" customHeight="1">
      <c r="H1285" s="37"/>
      <c r="I1285" s="38"/>
      <c r="J1285" s="37"/>
      <c r="N1285" s="37"/>
      <c r="Z1285" s="79"/>
    </row>
    <row r="1286" ht="15.75" customHeight="1">
      <c r="H1286" s="37"/>
      <c r="I1286" s="38"/>
      <c r="J1286" s="37"/>
      <c r="N1286" s="37"/>
      <c r="Z1286" s="79"/>
    </row>
    <row r="1287" ht="15.75" customHeight="1">
      <c r="H1287" s="37"/>
      <c r="I1287" s="38"/>
      <c r="J1287" s="37"/>
      <c r="N1287" s="37"/>
      <c r="Z1287" s="79"/>
    </row>
    <row r="1288" ht="15.75" customHeight="1">
      <c r="H1288" s="37"/>
      <c r="I1288" s="38"/>
      <c r="J1288" s="37"/>
      <c r="N1288" s="37"/>
      <c r="Z1288" s="79"/>
    </row>
    <row r="1289" ht="15.75" customHeight="1">
      <c r="H1289" s="37"/>
      <c r="I1289" s="38"/>
      <c r="J1289" s="37"/>
      <c r="N1289" s="37"/>
      <c r="Z1289" s="79"/>
    </row>
    <row r="1290" ht="15.75" customHeight="1">
      <c r="H1290" s="37"/>
      <c r="I1290" s="38"/>
      <c r="J1290" s="37"/>
      <c r="N1290" s="37"/>
      <c r="Z1290" s="79"/>
    </row>
    <row r="1291" ht="15.75" customHeight="1">
      <c r="H1291" s="37"/>
      <c r="I1291" s="38"/>
      <c r="J1291" s="37"/>
      <c r="N1291" s="37"/>
      <c r="Z1291" s="79"/>
    </row>
    <row r="1292" ht="15.75" customHeight="1">
      <c r="H1292" s="37"/>
      <c r="I1292" s="38"/>
      <c r="J1292" s="37"/>
      <c r="N1292" s="37"/>
      <c r="Z1292" s="79"/>
    </row>
    <row r="1293" ht="15.75" customHeight="1">
      <c r="H1293" s="37"/>
      <c r="I1293" s="38"/>
      <c r="J1293" s="37"/>
      <c r="N1293" s="37"/>
      <c r="Z1293" s="79"/>
    </row>
    <row r="1294" ht="15.75" customHeight="1">
      <c r="H1294" s="37"/>
      <c r="I1294" s="38"/>
      <c r="J1294" s="37"/>
      <c r="N1294" s="37"/>
      <c r="Z1294" s="79"/>
    </row>
    <row r="1295" ht="15.75" customHeight="1">
      <c r="H1295" s="37"/>
      <c r="I1295" s="38"/>
      <c r="J1295" s="37"/>
      <c r="N1295" s="37"/>
      <c r="Z1295" s="79"/>
    </row>
    <row r="1296" ht="15.75" customHeight="1">
      <c r="H1296" s="37"/>
      <c r="I1296" s="38"/>
      <c r="J1296" s="37"/>
      <c r="N1296" s="37"/>
      <c r="Z1296" s="79"/>
    </row>
    <row r="1297" ht="15.75" customHeight="1">
      <c r="H1297" s="37"/>
      <c r="I1297" s="38"/>
      <c r="J1297" s="37"/>
      <c r="N1297" s="37"/>
      <c r="Z1297" s="79"/>
    </row>
    <row r="1298" ht="15.75" customHeight="1">
      <c r="H1298" s="37"/>
      <c r="I1298" s="38"/>
      <c r="J1298" s="37"/>
      <c r="N1298" s="37"/>
      <c r="Z1298" s="79"/>
    </row>
    <row r="1299" ht="15.75" customHeight="1">
      <c r="H1299" s="37"/>
      <c r="I1299" s="38"/>
      <c r="J1299" s="37"/>
      <c r="N1299" s="37"/>
      <c r="Z1299" s="79"/>
    </row>
    <row r="1300" ht="15.75" customHeight="1">
      <c r="H1300" s="37"/>
      <c r="I1300" s="38"/>
      <c r="J1300" s="37"/>
      <c r="N1300" s="37"/>
      <c r="Z1300" s="79"/>
    </row>
    <row r="1301" ht="15.75" customHeight="1">
      <c r="H1301" s="37"/>
      <c r="I1301" s="38"/>
      <c r="J1301" s="37"/>
      <c r="N1301" s="37"/>
      <c r="Z1301" s="79"/>
    </row>
    <row r="1302" ht="15.75" customHeight="1">
      <c r="H1302" s="37"/>
      <c r="I1302" s="38"/>
      <c r="J1302" s="37"/>
      <c r="N1302" s="37"/>
      <c r="Z1302" s="79"/>
    </row>
    <row r="1303" ht="15.75" customHeight="1">
      <c r="H1303" s="37"/>
      <c r="I1303" s="38"/>
      <c r="J1303" s="37"/>
      <c r="N1303" s="37"/>
      <c r="Z1303" s="79"/>
    </row>
    <row r="1304" ht="15.75" customHeight="1">
      <c r="H1304" s="37"/>
      <c r="I1304" s="38"/>
      <c r="J1304" s="37"/>
      <c r="N1304" s="37"/>
      <c r="Z1304" s="79"/>
    </row>
    <row r="1305" ht="15.75" customHeight="1">
      <c r="H1305" s="37"/>
      <c r="I1305" s="38"/>
      <c r="J1305" s="37"/>
      <c r="N1305" s="37"/>
      <c r="Z1305" s="79"/>
    </row>
    <row r="1306" ht="15.75" customHeight="1">
      <c r="H1306" s="37"/>
      <c r="I1306" s="38"/>
      <c r="J1306" s="37"/>
      <c r="N1306" s="37"/>
      <c r="Z1306" s="79"/>
    </row>
    <row r="1307" ht="15.75" customHeight="1">
      <c r="H1307" s="37"/>
      <c r="I1307" s="38"/>
      <c r="J1307" s="37"/>
      <c r="N1307" s="37"/>
      <c r="Z1307" s="79"/>
    </row>
    <row r="1308" ht="15.75" customHeight="1">
      <c r="H1308" s="37"/>
      <c r="I1308" s="38"/>
      <c r="J1308" s="37"/>
      <c r="N1308" s="37"/>
      <c r="Z1308" s="79"/>
    </row>
    <row r="1309" ht="15.75" customHeight="1">
      <c r="H1309" s="37"/>
      <c r="I1309" s="38"/>
      <c r="J1309" s="37"/>
      <c r="N1309" s="37"/>
      <c r="Z1309" s="79"/>
    </row>
    <row r="1310" ht="15.75" customHeight="1">
      <c r="H1310" s="37"/>
      <c r="I1310" s="38"/>
      <c r="J1310" s="37"/>
      <c r="N1310" s="37"/>
      <c r="Z1310" s="79"/>
    </row>
    <row r="1311" ht="15.75" customHeight="1">
      <c r="H1311" s="37"/>
      <c r="I1311" s="38"/>
      <c r="J1311" s="37"/>
      <c r="N1311" s="37"/>
      <c r="Z1311" s="79"/>
    </row>
    <row r="1312" ht="15.75" customHeight="1">
      <c r="H1312" s="37"/>
      <c r="I1312" s="38"/>
      <c r="J1312" s="37"/>
      <c r="N1312" s="37"/>
      <c r="Z1312" s="79"/>
    </row>
    <row r="1313" ht="15.75" customHeight="1">
      <c r="H1313" s="37"/>
      <c r="I1313" s="38"/>
      <c r="J1313" s="37"/>
      <c r="N1313" s="37"/>
      <c r="Z1313" s="79"/>
    </row>
    <row r="1314" ht="15.75" customHeight="1">
      <c r="H1314" s="37"/>
      <c r="I1314" s="38"/>
      <c r="J1314" s="37"/>
      <c r="N1314" s="37"/>
      <c r="Z1314" s="79"/>
    </row>
    <row r="1315" ht="15.75" customHeight="1">
      <c r="H1315" s="37"/>
      <c r="I1315" s="38"/>
      <c r="J1315" s="37"/>
      <c r="N1315" s="37"/>
      <c r="Z1315" s="79"/>
    </row>
    <row r="1316" ht="15.75" customHeight="1">
      <c r="H1316" s="37"/>
      <c r="I1316" s="38"/>
      <c r="J1316" s="37"/>
      <c r="N1316" s="37"/>
      <c r="Z1316" s="79"/>
    </row>
    <row r="1317" ht="15.75" customHeight="1">
      <c r="H1317" s="37"/>
      <c r="I1317" s="38"/>
      <c r="J1317" s="37"/>
      <c r="N1317" s="37"/>
      <c r="Z1317" s="79"/>
    </row>
    <row r="1318" ht="15.75" customHeight="1">
      <c r="H1318" s="37"/>
      <c r="I1318" s="38"/>
      <c r="J1318" s="37"/>
      <c r="N1318" s="37"/>
      <c r="Z1318" s="79"/>
    </row>
    <row r="1319" ht="15.75" customHeight="1">
      <c r="H1319" s="37"/>
      <c r="I1319" s="38"/>
      <c r="J1319" s="37"/>
      <c r="N1319" s="37"/>
      <c r="Z1319" s="79"/>
    </row>
    <row r="1320" ht="15.75" customHeight="1">
      <c r="H1320" s="37"/>
      <c r="I1320" s="38"/>
      <c r="J1320" s="37"/>
      <c r="N1320" s="37"/>
      <c r="Z1320" s="79"/>
    </row>
    <row r="1321" ht="15.75" customHeight="1">
      <c r="H1321" s="37"/>
      <c r="I1321" s="38"/>
      <c r="J1321" s="37"/>
      <c r="N1321" s="37"/>
      <c r="Z1321" s="79"/>
    </row>
    <row r="1322" ht="15.75" customHeight="1">
      <c r="H1322" s="37"/>
      <c r="I1322" s="38"/>
      <c r="J1322" s="37"/>
      <c r="N1322" s="37"/>
      <c r="Z1322" s="79"/>
    </row>
    <row r="1323" ht="15.75" customHeight="1">
      <c r="H1323" s="37"/>
      <c r="I1323" s="38"/>
      <c r="J1323" s="37"/>
      <c r="N1323" s="37"/>
      <c r="Z1323" s="79"/>
    </row>
    <row r="1324" ht="15.75" customHeight="1">
      <c r="H1324" s="37"/>
      <c r="I1324" s="38"/>
      <c r="J1324" s="37"/>
      <c r="N1324" s="37"/>
      <c r="Z1324" s="79"/>
    </row>
    <row r="1325" ht="15.75" customHeight="1">
      <c r="H1325" s="37"/>
      <c r="I1325" s="38"/>
      <c r="J1325" s="37"/>
      <c r="N1325" s="37"/>
      <c r="Z1325" s="79"/>
    </row>
    <row r="1326" ht="15.75" customHeight="1">
      <c r="H1326" s="37"/>
      <c r="I1326" s="38"/>
      <c r="J1326" s="37"/>
      <c r="N1326" s="37"/>
      <c r="Z1326" s="79"/>
    </row>
    <row r="1327" ht="15.75" customHeight="1">
      <c r="H1327" s="37"/>
      <c r="I1327" s="38"/>
      <c r="J1327" s="37"/>
      <c r="N1327" s="37"/>
      <c r="Z1327" s="79"/>
    </row>
    <row r="1328" ht="15.75" customHeight="1">
      <c r="H1328" s="37"/>
      <c r="I1328" s="38"/>
      <c r="J1328" s="37"/>
      <c r="N1328" s="37"/>
      <c r="Z1328" s="79"/>
    </row>
    <row r="1329" ht="15.75" customHeight="1">
      <c r="H1329" s="37"/>
      <c r="I1329" s="38"/>
      <c r="J1329" s="37"/>
      <c r="N1329" s="37"/>
      <c r="Z1329" s="79"/>
    </row>
    <row r="1330" ht="15.75" customHeight="1">
      <c r="H1330" s="37"/>
      <c r="I1330" s="38"/>
      <c r="J1330" s="37"/>
      <c r="N1330" s="37"/>
      <c r="Z1330" s="79"/>
    </row>
    <row r="1331" ht="15.75" customHeight="1">
      <c r="H1331" s="37"/>
      <c r="I1331" s="38"/>
      <c r="J1331" s="37"/>
      <c r="N1331" s="37"/>
      <c r="Z1331" s="79"/>
    </row>
    <row r="1332" ht="15.75" customHeight="1">
      <c r="H1332" s="37"/>
      <c r="I1332" s="38"/>
      <c r="J1332" s="37"/>
      <c r="N1332" s="37"/>
      <c r="Z1332" s="79"/>
    </row>
    <row r="1333" ht="15.75" customHeight="1">
      <c r="H1333" s="37"/>
      <c r="I1333" s="38"/>
      <c r="J1333" s="37"/>
      <c r="N1333" s="37"/>
      <c r="Z1333" s="79"/>
    </row>
    <row r="1334" ht="15.75" customHeight="1">
      <c r="H1334" s="37"/>
      <c r="I1334" s="38"/>
      <c r="J1334" s="37"/>
      <c r="N1334" s="37"/>
      <c r="Z1334" s="79"/>
    </row>
    <row r="1335" ht="15.75" customHeight="1">
      <c r="H1335" s="37"/>
      <c r="I1335" s="38"/>
      <c r="J1335" s="37"/>
      <c r="N1335" s="37"/>
      <c r="Z1335" s="79"/>
    </row>
    <row r="1336" ht="15.75" customHeight="1">
      <c r="H1336" s="37"/>
      <c r="I1336" s="38"/>
      <c r="J1336" s="37"/>
      <c r="N1336" s="37"/>
      <c r="Z1336" s="79"/>
    </row>
    <row r="1337" ht="15.75" customHeight="1">
      <c r="H1337" s="37"/>
      <c r="I1337" s="38"/>
      <c r="J1337" s="37"/>
      <c r="N1337" s="37"/>
      <c r="Z1337" s="79"/>
    </row>
    <row r="1338" ht="15.75" customHeight="1">
      <c r="H1338" s="37"/>
      <c r="I1338" s="38"/>
      <c r="J1338" s="37"/>
      <c r="N1338" s="37"/>
      <c r="Z1338" s="79"/>
    </row>
    <row r="1339" ht="15.75" customHeight="1">
      <c r="H1339" s="37"/>
      <c r="I1339" s="38"/>
      <c r="J1339" s="37"/>
      <c r="N1339" s="37"/>
      <c r="Z1339" s="79"/>
    </row>
    <row r="1340" ht="15.75" customHeight="1">
      <c r="H1340" s="37"/>
      <c r="I1340" s="38"/>
      <c r="J1340" s="37"/>
      <c r="N1340" s="37"/>
      <c r="Z1340" s="79"/>
    </row>
    <row r="1341" ht="15.75" customHeight="1">
      <c r="H1341" s="37"/>
      <c r="I1341" s="38"/>
      <c r="J1341" s="37"/>
      <c r="N1341" s="37"/>
      <c r="Z1341" s="79"/>
    </row>
    <row r="1342" ht="15.75" customHeight="1">
      <c r="H1342" s="37"/>
      <c r="I1342" s="38"/>
      <c r="J1342" s="37"/>
      <c r="N1342" s="37"/>
      <c r="Z1342" s="79"/>
    </row>
    <row r="1343" ht="15.75" customHeight="1">
      <c r="H1343" s="37"/>
      <c r="I1343" s="38"/>
      <c r="J1343" s="37"/>
      <c r="N1343" s="37"/>
      <c r="Z1343" s="79"/>
    </row>
    <row r="1344" ht="15.75" customHeight="1">
      <c r="H1344" s="37"/>
      <c r="I1344" s="38"/>
      <c r="J1344" s="37"/>
      <c r="N1344" s="37"/>
      <c r="Z1344" s="79"/>
    </row>
    <row r="1345" ht="15.75" customHeight="1">
      <c r="H1345" s="37"/>
      <c r="I1345" s="38"/>
      <c r="J1345" s="37"/>
      <c r="N1345" s="37"/>
      <c r="Z1345" s="79"/>
    </row>
    <row r="1346" ht="15.75" customHeight="1">
      <c r="H1346" s="37"/>
      <c r="I1346" s="38"/>
      <c r="J1346" s="37"/>
      <c r="N1346" s="37"/>
      <c r="Z1346" s="79"/>
    </row>
    <row r="1347" ht="15.75" customHeight="1">
      <c r="H1347" s="37"/>
      <c r="I1347" s="38"/>
      <c r="J1347" s="37"/>
      <c r="N1347" s="37"/>
      <c r="Z1347" s="79"/>
    </row>
    <row r="1348" ht="15.75" customHeight="1">
      <c r="H1348" s="37"/>
      <c r="I1348" s="38"/>
      <c r="J1348" s="37"/>
      <c r="N1348" s="37"/>
      <c r="Z1348" s="79"/>
    </row>
    <row r="1349" ht="15.75" customHeight="1">
      <c r="H1349" s="37"/>
      <c r="I1349" s="38"/>
      <c r="J1349" s="37"/>
      <c r="N1349" s="37"/>
      <c r="Z1349" s="79"/>
    </row>
    <row r="1350" ht="15.75" customHeight="1">
      <c r="H1350" s="37"/>
      <c r="I1350" s="38"/>
      <c r="J1350" s="37"/>
      <c r="N1350" s="37"/>
      <c r="Z1350" s="79"/>
    </row>
    <row r="1351" ht="15.75" customHeight="1">
      <c r="H1351" s="37"/>
      <c r="I1351" s="38"/>
      <c r="J1351" s="37"/>
      <c r="N1351" s="37"/>
      <c r="Z1351" s="79"/>
    </row>
    <row r="1352" ht="15.75" customHeight="1">
      <c r="H1352" s="37"/>
      <c r="I1352" s="38"/>
      <c r="J1352" s="37"/>
      <c r="N1352" s="37"/>
      <c r="Z1352" s="79"/>
    </row>
    <row r="1353" ht="15.75" customHeight="1">
      <c r="H1353" s="37"/>
      <c r="I1353" s="38"/>
      <c r="J1353" s="37"/>
      <c r="N1353" s="37"/>
      <c r="Z1353" s="79"/>
    </row>
    <row r="1354" ht="15.75" customHeight="1">
      <c r="H1354" s="37"/>
      <c r="I1354" s="38"/>
      <c r="J1354" s="37"/>
      <c r="N1354" s="37"/>
      <c r="Z1354" s="79"/>
    </row>
    <row r="1355" ht="15.75" customHeight="1">
      <c r="H1355" s="37"/>
      <c r="I1355" s="38"/>
      <c r="J1355" s="37"/>
      <c r="N1355" s="37"/>
      <c r="Z1355" s="79"/>
    </row>
    <row r="1356" ht="15.75" customHeight="1">
      <c r="H1356" s="37"/>
      <c r="I1356" s="38"/>
      <c r="J1356" s="37"/>
      <c r="N1356" s="37"/>
      <c r="Z1356" s="79"/>
    </row>
    <row r="1357" ht="15.75" customHeight="1">
      <c r="H1357" s="37"/>
      <c r="I1357" s="38"/>
      <c r="J1357" s="37"/>
      <c r="N1357" s="37"/>
      <c r="Z1357" s="79"/>
    </row>
    <row r="1358" ht="15.75" customHeight="1">
      <c r="H1358" s="37"/>
      <c r="I1358" s="38"/>
      <c r="J1358" s="37"/>
      <c r="N1358" s="37"/>
      <c r="Z1358" s="79"/>
    </row>
    <row r="1359" ht="15.75" customHeight="1">
      <c r="H1359" s="37"/>
      <c r="I1359" s="38"/>
      <c r="J1359" s="37"/>
      <c r="N1359" s="37"/>
      <c r="Z1359" s="79"/>
    </row>
    <row r="1360" ht="15.75" customHeight="1">
      <c r="H1360" s="37"/>
      <c r="I1360" s="38"/>
      <c r="J1360" s="37"/>
      <c r="N1360" s="37"/>
      <c r="Z1360" s="79"/>
    </row>
    <row r="1361" ht="15.75" customHeight="1">
      <c r="H1361" s="37"/>
      <c r="I1361" s="38"/>
      <c r="J1361" s="37"/>
      <c r="N1361" s="37"/>
      <c r="Z1361" s="79"/>
    </row>
    <row r="1362" ht="15.75" customHeight="1">
      <c r="H1362" s="37"/>
      <c r="I1362" s="38"/>
      <c r="J1362" s="37"/>
      <c r="N1362" s="37"/>
      <c r="Z1362" s="79"/>
    </row>
    <row r="1363" ht="15.75" customHeight="1">
      <c r="H1363" s="37"/>
      <c r="I1363" s="38"/>
      <c r="J1363" s="37"/>
      <c r="N1363" s="37"/>
      <c r="Z1363" s="79"/>
    </row>
    <row r="1364" ht="15.75" customHeight="1">
      <c r="H1364" s="37"/>
      <c r="I1364" s="38"/>
      <c r="J1364" s="37"/>
      <c r="N1364" s="37"/>
      <c r="Z1364" s="79"/>
    </row>
    <row r="1365" ht="15.75" customHeight="1">
      <c r="H1365" s="37"/>
      <c r="I1365" s="38"/>
      <c r="J1365" s="37"/>
      <c r="N1365" s="37"/>
      <c r="Z1365" s="79"/>
    </row>
    <row r="1366" ht="15.75" customHeight="1">
      <c r="H1366" s="37"/>
      <c r="I1366" s="38"/>
      <c r="J1366" s="37"/>
      <c r="N1366" s="37"/>
      <c r="Z1366" s="79"/>
    </row>
    <row r="1367" ht="15.75" customHeight="1">
      <c r="H1367" s="37"/>
      <c r="I1367" s="38"/>
      <c r="J1367" s="37"/>
      <c r="N1367" s="37"/>
      <c r="Z1367" s="79"/>
    </row>
    <row r="1368" ht="15.75" customHeight="1">
      <c r="H1368" s="37"/>
      <c r="I1368" s="38"/>
      <c r="J1368" s="37"/>
      <c r="N1368" s="37"/>
      <c r="Z1368" s="79"/>
    </row>
    <row r="1369" ht="15.75" customHeight="1">
      <c r="H1369" s="37"/>
      <c r="I1369" s="38"/>
      <c r="J1369" s="37"/>
      <c r="N1369" s="37"/>
      <c r="Z1369" s="79"/>
    </row>
    <row r="1370" ht="15.75" customHeight="1">
      <c r="H1370" s="37"/>
      <c r="I1370" s="38"/>
      <c r="J1370" s="37"/>
      <c r="N1370" s="37"/>
      <c r="Z1370" s="79"/>
    </row>
    <row r="1371" ht="15.75" customHeight="1">
      <c r="H1371" s="37"/>
      <c r="I1371" s="38"/>
      <c r="J1371" s="37"/>
      <c r="N1371" s="37"/>
      <c r="Z1371" s="79"/>
    </row>
    <row r="1372" ht="15.75" customHeight="1">
      <c r="H1372" s="37"/>
      <c r="I1372" s="38"/>
      <c r="J1372" s="37"/>
      <c r="N1372" s="37"/>
      <c r="Z1372" s="79"/>
    </row>
    <row r="1373" ht="15.75" customHeight="1">
      <c r="H1373" s="37"/>
      <c r="I1373" s="38"/>
      <c r="J1373" s="37"/>
      <c r="N1373" s="37"/>
      <c r="Z1373" s="79"/>
    </row>
    <row r="1374" ht="15.75" customHeight="1">
      <c r="H1374" s="37"/>
      <c r="I1374" s="38"/>
      <c r="J1374" s="37"/>
      <c r="N1374" s="37"/>
      <c r="Z1374" s="79"/>
    </row>
    <row r="1375" ht="15.75" customHeight="1">
      <c r="H1375" s="37"/>
      <c r="I1375" s="38"/>
      <c r="J1375" s="37"/>
      <c r="N1375" s="37"/>
      <c r="Z1375" s="79"/>
    </row>
    <row r="1376" ht="15.75" customHeight="1">
      <c r="H1376" s="37"/>
      <c r="I1376" s="38"/>
      <c r="J1376" s="37"/>
      <c r="N1376" s="37"/>
      <c r="Z1376" s="79"/>
    </row>
    <row r="1377" ht="15.75" customHeight="1">
      <c r="H1377" s="37"/>
      <c r="I1377" s="38"/>
      <c r="J1377" s="37"/>
      <c r="N1377" s="37"/>
      <c r="Z1377" s="79"/>
    </row>
    <row r="1378" ht="15.75" customHeight="1">
      <c r="H1378" s="37"/>
      <c r="I1378" s="38"/>
      <c r="J1378" s="37"/>
      <c r="N1378" s="37"/>
      <c r="Z1378" s="79"/>
    </row>
    <row r="1379" ht="15.75" customHeight="1">
      <c r="H1379" s="37"/>
      <c r="I1379" s="38"/>
      <c r="J1379" s="37"/>
      <c r="N1379" s="37"/>
      <c r="Z1379" s="79"/>
    </row>
    <row r="1380" ht="15.75" customHeight="1">
      <c r="H1380" s="37"/>
      <c r="I1380" s="38"/>
      <c r="J1380" s="37"/>
      <c r="N1380" s="37"/>
      <c r="Z1380" s="79"/>
    </row>
    <row r="1381" ht="15.75" customHeight="1">
      <c r="H1381" s="37"/>
      <c r="I1381" s="38"/>
      <c r="J1381" s="37"/>
      <c r="N1381" s="37"/>
      <c r="Z1381" s="79"/>
    </row>
    <row r="1382" ht="15.75" customHeight="1">
      <c r="H1382" s="37"/>
      <c r="I1382" s="38"/>
      <c r="J1382" s="37"/>
      <c r="N1382" s="37"/>
      <c r="Z1382" s="79"/>
    </row>
    <row r="1383" ht="15.75" customHeight="1">
      <c r="H1383" s="37"/>
      <c r="I1383" s="38"/>
      <c r="J1383" s="37"/>
      <c r="N1383" s="37"/>
      <c r="Z1383" s="79"/>
    </row>
    <row r="1384" ht="15.75" customHeight="1">
      <c r="H1384" s="37"/>
      <c r="I1384" s="38"/>
      <c r="J1384" s="37"/>
      <c r="N1384" s="37"/>
      <c r="Z1384" s="79"/>
    </row>
    <row r="1385" ht="15.75" customHeight="1">
      <c r="H1385" s="37"/>
      <c r="I1385" s="38"/>
      <c r="J1385" s="37"/>
      <c r="N1385" s="37"/>
      <c r="Z1385" s="79"/>
    </row>
    <row r="1386" ht="15.75" customHeight="1">
      <c r="H1386" s="37"/>
      <c r="I1386" s="38"/>
      <c r="J1386" s="37"/>
      <c r="N1386" s="37"/>
      <c r="Z1386" s="79"/>
    </row>
    <row r="1387" ht="15.75" customHeight="1">
      <c r="H1387" s="37"/>
      <c r="I1387" s="38"/>
      <c r="J1387" s="37"/>
      <c r="N1387" s="37"/>
      <c r="Z1387" s="79"/>
    </row>
    <row r="1388" ht="15.75" customHeight="1">
      <c r="H1388" s="37"/>
      <c r="I1388" s="38"/>
      <c r="J1388" s="37"/>
      <c r="N1388" s="37"/>
      <c r="Z1388" s="79"/>
    </row>
    <row r="1389" ht="15.75" customHeight="1">
      <c r="H1389" s="37"/>
      <c r="I1389" s="38"/>
      <c r="J1389" s="37"/>
      <c r="N1389" s="37"/>
      <c r="Z1389" s="79"/>
    </row>
    <row r="1390" ht="15.75" customHeight="1">
      <c r="H1390" s="37"/>
      <c r="I1390" s="38"/>
      <c r="J1390" s="37"/>
      <c r="N1390" s="37"/>
      <c r="Z1390" s="79"/>
    </row>
    <row r="1391" ht="15.75" customHeight="1">
      <c r="H1391" s="37"/>
      <c r="I1391" s="38"/>
      <c r="J1391" s="37"/>
      <c r="N1391" s="37"/>
      <c r="Z1391" s="79"/>
    </row>
    <row r="1392" ht="15.75" customHeight="1">
      <c r="H1392" s="37"/>
      <c r="I1392" s="38"/>
      <c r="J1392" s="37"/>
      <c r="N1392" s="37"/>
      <c r="Z1392" s="79"/>
    </row>
    <row r="1393" ht="15.75" customHeight="1">
      <c r="H1393" s="37"/>
      <c r="I1393" s="38"/>
      <c r="J1393" s="37"/>
      <c r="N1393" s="37"/>
      <c r="Z1393" s="79"/>
    </row>
    <row r="1394" ht="15.75" customHeight="1">
      <c r="H1394" s="37"/>
      <c r="I1394" s="38"/>
      <c r="J1394" s="37"/>
      <c r="N1394" s="37"/>
      <c r="Z1394" s="79"/>
    </row>
    <row r="1395" ht="15.75" customHeight="1">
      <c r="H1395" s="37"/>
      <c r="I1395" s="38"/>
      <c r="J1395" s="37"/>
      <c r="N1395" s="37"/>
      <c r="Z1395" s="79"/>
    </row>
    <row r="1396" ht="15.75" customHeight="1">
      <c r="H1396" s="37"/>
      <c r="I1396" s="38"/>
      <c r="J1396" s="37"/>
      <c r="N1396" s="37"/>
      <c r="Z1396" s="79"/>
    </row>
    <row r="1397" ht="15.75" customHeight="1">
      <c r="H1397" s="37"/>
      <c r="I1397" s="38"/>
      <c r="J1397" s="37"/>
      <c r="N1397" s="37"/>
      <c r="Z1397" s="79"/>
    </row>
    <row r="1398" ht="15.75" customHeight="1">
      <c r="H1398" s="37"/>
      <c r="I1398" s="38"/>
      <c r="J1398" s="37"/>
      <c r="N1398" s="37"/>
      <c r="Z1398" s="79"/>
    </row>
    <row r="1399" ht="15.75" customHeight="1">
      <c r="H1399" s="37"/>
      <c r="I1399" s="38"/>
      <c r="J1399" s="37"/>
      <c r="N1399" s="37"/>
      <c r="Z1399" s="79"/>
    </row>
    <row r="1400" ht="15.75" customHeight="1">
      <c r="H1400" s="37"/>
      <c r="I1400" s="38"/>
      <c r="J1400" s="37"/>
      <c r="N1400" s="37"/>
      <c r="Z1400" s="79"/>
    </row>
    <row r="1401" ht="15.75" customHeight="1">
      <c r="H1401" s="37"/>
      <c r="I1401" s="38"/>
      <c r="J1401" s="37"/>
      <c r="N1401" s="37"/>
      <c r="Z1401" s="79"/>
    </row>
    <row r="1402" ht="15.75" customHeight="1">
      <c r="H1402" s="37"/>
      <c r="I1402" s="38"/>
      <c r="J1402" s="37"/>
      <c r="N1402" s="37"/>
      <c r="Z1402" s="79"/>
    </row>
    <row r="1403" ht="15.75" customHeight="1">
      <c r="H1403" s="37"/>
      <c r="I1403" s="38"/>
      <c r="J1403" s="37"/>
      <c r="N1403" s="37"/>
      <c r="Z1403" s="79"/>
    </row>
    <row r="1404" ht="15.75" customHeight="1">
      <c r="H1404" s="37"/>
      <c r="I1404" s="38"/>
      <c r="J1404" s="37"/>
      <c r="N1404" s="37"/>
      <c r="Z1404" s="79"/>
    </row>
    <row r="1405" ht="15.75" customHeight="1">
      <c r="H1405" s="37"/>
      <c r="I1405" s="38"/>
      <c r="J1405" s="37"/>
      <c r="N1405" s="37"/>
      <c r="Z1405" s="79"/>
    </row>
    <row r="1406" ht="15.75" customHeight="1">
      <c r="H1406" s="37"/>
      <c r="I1406" s="38"/>
      <c r="J1406" s="37"/>
      <c r="N1406" s="37"/>
      <c r="Z1406" s="79"/>
    </row>
    <row r="1407" ht="15.75" customHeight="1">
      <c r="H1407" s="37"/>
      <c r="I1407" s="38"/>
      <c r="J1407" s="37"/>
      <c r="N1407" s="37"/>
      <c r="Z1407" s="79"/>
    </row>
    <row r="1408" ht="15.75" customHeight="1">
      <c r="H1408" s="37"/>
      <c r="I1408" s="38"/>
      <c r="J1408" s="37"/>
      <c r="N1408" s="37"/>
      <c r="Z1408" s="79"/>
    </row>
    <row r="1409" ht="15.75" customHeight="1">
      <c r="H1409" s="37"/>
      <c r="I1409" s="38"/>
      <c r="J1409" s="37"/>
      <c r="N1409" s="37"/>
      <c r="Z1409" s="79"/>
    </row>
    <row r="1410" ht="15.75" customHeight="1">
      <c r="H1410" s="37"/>
      <c r="I1410" s="38"/>
      <c r="J1410" s="37"/>
      <c r="N1410" s="37"/>
      <c r="Z1410" s="79"/>
    </row>
    <row r="1411" ht="15.75" customHeight="1">
      <c r="H1411" s="37"/>
      <c r="I1411" s="38"/>
      <c r="J1411" s="37"/>
      <c r="N1411" s="37"/>
      <c r="Z1411" s="79"/>
    </row>
    <row r="1412" ht="15.75" customHeight="1">
      <c r="H1412" s="37"/>
      <c r="I1412" s="38"/>
      <c r="J1412" s="37"/>
      <c r="N1412" s="37"/>
      <c r="Z1412" s="79"/>
    </row>
    <row r="1413" ht="15.75" customHeight="1">
      <c r="H1413" s="37"/>
      <c r="I1413" s="38"/>
      <c r="J1413" s="37"/>
      <c r="N1413" s="37"/>
      <c r="Z1413" s="79"/>
    </row>
    <row r="1414" ht="15.75" customHeight="1">
      <c r="H1414" s="37"/>
      <c r="I1414" s="38"/>
      <c r="J1414" s="37"/>
      <c r="N1414" s="37"/>
      <c r="Z1414" s="79"/>
    </row>
    <row r="1415" ht="15.75" customHeight="1">
      <c r="H1415" s="37"/>
      <c r="I1415" s="38"/>
      <c r="J1415" s="37"/>
      <c r="N1415" s="37"/>
      <c r="Z1415" s="79"/>
    </row>
    <row r="1416" ht="15.75" customHeight="1">
      <c r="H1416" s="37"/>
      <c r="I1416" s="38"/>
      <c r="J1416" s="37"/>
      <c r="N1416" s="37"/>
      <c r="Z1416" s="79"/>
    </row>
    <row r="1417" ht="15.75" customHeight="1">
      <c r="H1417" s="37"/>
      <c r="I1417" s="38"/>
      <c r="J1417" s="37"/>
      <c r="N1417" s="37"/>
      <c r="Z1417" s="79"/>
    </row>
    <row r="1418" ht="15.75" customHeight="1">
      <c r="H1418" s="37"/>
      <c r="I1418" s="38"/>
      <c r="J1418" s="37"/>
      <c r="N1418" s="37"/>
      <c r="Z1418" s="79"/>
    </row>
    <row r="1419" ht="15.75" customHeight="1">
      <c r="H1419" s="37"/>
      <c r="I1419" s="38"/>
      <c r="J1419" s="37"/>
      <c r="N1419" s="37"/>
      <c r="Z1419" s="79"/>
    </row>
    <row r="1420" ht="15.75" customHeight="1">
      <c r="H1420" s="37"/>
      <c r="I1420" s="38"/>
      <c r="J1420" s="37"/>
      <c r="N1420" s="37"/>
      <c r="Z1420" s="79"/>
    </row>
    <row r="1421" ht="15.75" customHeight="1">
      <c r="H1421" s="37"/>
      <c r="I1421" s="38"/>
      <c r="J1421" s="37"/>
      <c r="N1421" s="37"/>
      <c r="Z1421" s="79"/>
    </row>
    <row r="1422" ht="15.75" customHeight="1">
      <c r="H1422" s="37"/>
      <c r="I1422" s="38"/>
      <c r="J1422" s="37"/>
      <c r="N1422" s="37"/>
      <c r="Z1422" s="79"/>
    </row>
  </sheetData>
  <autoFilter ref="$A$6:$AD$714"/>
  <mergeCells count="14">
    <mergeCell ref="P4:P5"/>
    <mergeCell ref="Q4:Q5"/>
    <mergeCell ref="Y4:Y5"/>
    <mergeCell ref="Z4:Z5"/>
    <mergeCell ref="AA4:AA5"/>
    <mergeCell ref="AB4:AB5"/>
    <mergeCell ref="A4:B4"/>
    <mergeCell ref="C4:D4"/>
    <mergeCell ref="E4:F4"/>
    <mergeCell ref="G4:H4"/>
    <mergeCell ref="I4:J4"/>
    <mergeCell ref="K4:L4"/>
    <mergeCell ref="M4:N4"/>
    <mergeCell ref="A16:C16"/>
  </mergeCells>
  <conditionalFormatting sqref="M4:N4">
    <cfRule type="colorScale" priority="1">
      <colorScale>
        <cfvo type="min"/>
        <cfvo type="max"/>
        <color rgb="FF57BB8A"/>
        <color rgb="FFFFFFFF"/>
      </colorScale>
    </cfRule>
  </conditionalFormatting>
  <conditionalFormatting sqref="P1">
    <cfRule type="expression" dxfId="1" priority="2">
      <formula>countif(P1:P2152,P1)&gt;1</formula>
    </cfRule>
  </conditionalFormatting>
  <conditionalFormatting sqref="P1:P1150">
    <cfRule type="expression" dxfId="1" priority="3">
      <formula>countif(P1:P1150,P1)&gt;1</formula>
    </cfRule>
  </conditionalFormatting>
  <hyperlinks>
    <hyperlink r:id="rId2" ref="Z122"/>
    <hyperlink r:id="rId3" ref="Z141"/>
  </hyperlinks>
  <printOptions/>
  <pageMargins bottom="0.75" footer="0.0" header="0.0" left="0.7" right="0.7" top="0.75"/>
  <pageSetup orientation="landscape"/>
  <drawing r:id="rId4"/>
  <legacy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3" max="3" width="77.56"/>
    <col customWidth="1" min="5" max="5" width="28.11"/>
  </cols>
  <sheetData>
    <row r="1">
      <c r="A1" s="640" t="s">
        <v>235</v>
      </c>
      <c r="B1" s="641" t="s">
        <v>20</v>
      </c>
      <c r="C1" s="641" t="s">
        <v>255</v>
      </c>
      <c r="D1" s="641" t="s">
        <v>11795</v>
      </c>
      <c r="E1" s="641" t="s">
        <v>11796</v>
      </c>
      <c r="F1" s="641" t="s">
        <v>11797</v>
      </c>
      <c r="G1" s="641" t="s">
        <v>11798</v>
      </c>
      <c r="H1" s="641" t="s">
        <v>11799</v>
      </c>
    </row>
    <row r="2">
      <c r="A2" s="642">
        <v>1.0</v>
      </c>
      <c r="B2" s="643" t="s">
        <v>11800</v>
      </c>
      <c r="C2" s="643" t="s">
        <v>2735</v>
      </c>
      <c r="D2" s="644" t="s">
        <v>37</v>
      </c>
      <c r="E2" s="643" t="s">
        <v>10501</v>
      </c>
      <c r="F2" s="643" t="s">
        <v>11800</v>
      </c>
      <c r="G2" s="643" t="s">
        <v>11801</v>
      </c>
      <c r="H2" s="645" t="s">
        <v>11802</v>
      </c>
    </row>
    <row r="3">
      <c r="A3" s="642">
        <v>2.0</v>
      </c>
      <c r="B3" s="643" t="s">
        <v>11803</v>
      </c>
      <c r="C3" s="643" t="s">
        <v>331</v>
      </c>
      <c r="D3" s="644" t="s">
        <v>42</v>
      </c>
      <c r="E3" s="643" t="s">
        <v>10502</v>
      </c>
      <c r="F3" s="643" t="s">
        <v>11803</v>
      </c>
      <c r="G3" s="643" t="s">
        <v>11804</v>
      </c>
      <c r="H3" s="645" t="s">
        <v>11802</v>
      </c>
    </row>
    <row r="4">
      <c r="A4" s="642">
        <v>3.0</v>
      </c>
      <c r="B4" s="643" t="s">
        <v>11805</v>
      </c>
      <c r="C4" s="643" t="s">
        <v>2914</v>
      </c>
      <c r="D4" s="644" t="s">
        <v>35</v>
      </c>
      <c r="E4" s="643" t="s">
        <v>10500</v>
      </c>
      <c r="F4" s="643" t="s">
        <v>11805</v>
      </c>
      <c r="G4" s="643" t="s">
        <v>11806</v>
      </c>
      <c r="H4" s="645" t="s">
        <v>11802</v>
      </c>
    </row>
    <row r="5">
      <c r="A5" s="642">
        <v>4.0</v>
      </c>
      <c r="B5" s="643" t="s">
        <v>11807</v>
      </c>
      <c r="C5" s="643" t="s">
        <v>352</v>
      </c>
      <c r="D5" s="644" t="s">
        <v>29</v>
      </c>
      <c r="E5" s="643" t="s">
        <v>10498</v>
      </c>
      <c r="F5" s="643" t="s">
        <v>9664</v>
      </c>
      <c r="G5" s="643" t="s">
        <v>11808</v>
      </c>
      <c r="H5" s="645" t="s">
        <v>11802</v>
      </c>
    </row>
    <row r="6">
      <c r="A6" s="642">
        <v>5.0</v>
      </c>
      <c r="B6" s="643" t="s">
        <v>11809</v>
      </c>
      <c r="C6" s="643" t="s">
        <v>361</v>
      </c>
      <c r="D6" s="644" t="s">
        <v>29</v>
      </c>
      <c r="E6" s="643" t="s">
        <v>10498</v>
      </c>
      <c r="F6" s="643" t="s">
        <v>9664</v>
      </c>
      <c r="G6" s="643" t="s">
        <v>11808</v>
      </c>
      <c r="H6" s="645" t="s">
        <v>11802</v>
      </c>
    </row>
    <row r="7">
      <c r="A7" s="642">
        <v>6.0</v>
      </c>
      <c r="B7" s="643" t="s">
        <v>9660</v>
      </c>
      <c r="C7" s="643" t="s">
        <v>271</v>
      </c>
      <c r="D7" s="644" t="s">
        <v>33</v>
      </c>
      <c r="E7" s="643" t="s">
        <v>10499</v>
      </c>
      <c r="F7" s="643" t="s">
        <v>9660</v>
      </c>
      <c r="G7" s="643" t="s">
        <v>11810</v>
      </c>
      <c r="H7" s="645" t="s">
        <v>11802</v>
      </c>
    </row>
    <row r="8">
      <c r="A8" s="642">
        <v>7.0</v>
      </c>
      <c r="B8" s="643" t="s">
        <v>11811</v>
      </c>
      <c r="C8" s="643" t="s">
        <v>480</v>
      </c>
      <c r="D8" s="644" t="s">
        <v>46</v>
      </c>
      <c r="E8" s="643" t="s">
        <v>10496</v>
      </c>
      <c r="F8" s="643" t="s">
        <v>9664</v>
      </c>
      <c r="G8" s="643" t="s">
        <v>11806</v>
      </c>
      <c r="H8" s="645" t="s">
        <v>11802</v>
      </c>
    </row>
    <row r="9">
      <c r="A9" s="642">
        <v>8.0</v>
      </c>
      <c r="B9" s="643" t="s">
        <v>11812</v>
      </c>
      <c r="C9" s="643" t="s">
        <v>460</v>
      </c>
      <c r="D9" s="644" t="s">
        <v>46</v>
      </c>
      <c r="E9" s="643" t="s">
        <v>10496</v>
      </c>
      <c r="F9" s="643" t="s">
        <v>9664</v>
      </c>
      <c r="G9" s="643" t="s">
        <v>11806</v>
      </c>
      <c r="H9" s="645" t="s">
        <v>11802</v>
      </c>
    </row>
    <row r="10">
      <c r="A10" s="642">
        <v>9.0</v>
      </c>
      <c r="B10" s="643" t="s">
        <v>11813</v>
      </c>
      <c r="C10" s="643" t="s">
        <v>643</v>
      </c>
      <c r="D10" s="644" t="s">
        <v>46</v>
      </c>
      <c r="E10" s="643" t="s">
        <v>10496</v>
      </c>
      <c r="F10" s="643" t="s">
        <v>9664</v>
      </c>
      <c r="G10" s="643" t="s">
        <v>11806</v>
      </c>
      <c r="H10" s="645" t="s">
        <v>11802</v>
      </c>
    </row>
    <row r="11">
      <c r="A11" s="642">
        <v>10.0</v>
      </c>
      <c r="B11" s="643" t="s">
        <v>11814</v>
      </c>
      <c r="C11" s="643" t="s">
        <v>342</v>
      </c>
      <c r="D11" s="644" t="s">
        <v>46</v>
      </c>
      <c r="E11" s="643" t="s">
        <v>10496</v>
      </c>
      <c r="F11" s="643" t="s">
        <v>9664</v>
      </c>
      <c r="G11" s="643" t="s">
        <v>11806</v>
      </c>
      <c r="H11" s="645" t="s">
        <v>11802</v>
      </c>
    </row>
    <row r="12">
      <c r="A12" s="646">
        <v>11.0</v>
      </c>
      <c r="B12" s="647" t="s">
        <v>11815</v>
      </c>
      <c r="C12" s="647" t="s">
        <v>11816</v>
      </c>
      <c r="D12" s="647" t="s">
        <v>4</v>
      </c>
      <c r="E12" s="647" t="s">
        <v>4</v>
      </c>
      <c r="F12" s="647" t="s">
        <v>9664</v>
      </c>
      <c r="G12" s="647" t="s">
        <v>11806</v>
      </c>
      <c r="H12" s="647" t="s">
        <v>11817</v>
      </c>
      <c r="I12" s="232"/>
      <c r="J12" s="232"/>
      <c r="K12" s="232"/>
      <c r="L12" s="232"/>
      <c r="M12" s="232"/>
      <c r="N12" s="232"/>
      <c r="O12" s="232"/>
      <c r="P12" s="232"/>
      <c r="Q12" s="232"/>
      <c r="R12" s="232"/>
      <c r="S12" s="232"/>
      <c r="T12" s="232"/>
      <c r="U12" s="232"/>
      <c r="V12" s="232"/>
      <c r="W12" s="232"/>
      <c r="X12" s="232"/>
      <c r="Y12" s="232"/>
      <c r="Z12" s="232"/>
    </row>
    <row r="13">
      <c r="A13" s="642">
        <v>12.0</v>
      </c>
      <c r="B13" s="643" t="s">
        <v>11818</v>
      </c>
      <c r="C13" s="643" t="s">
        <v>342</v>
      </c>
      <c r="D13" s="644" t="s">
        <v>44</v>
      </c>
      <c r="E13" s="643" t="s">
        <v>10505</v>
      </c>
      <c r="F13" s="643" t="s">
        <v>9664</v>
      </c>
      <c r="G13" s="643" t="s">
        <v>11806</v>
      </c>
      <c r="H13" s="645" t="s">
        <v>11802</v>
      </c>
    </row>
    <row r="14">
      <c r="A14" s="648">
        <v>13.0</v>
      </c>
      <c r="B14" s="647" t="s">
        <v>11819</v>
      </c>
      <c r="C14" s="647" t="s">
        <v>11820</v>
      </c>
      <c r="D14" s="644" t="s">
        <v>44</v>
      </c>
      <c r="E14" s="643" t="s">
        <v>10505</v>
      </c>
      <c r="F14" s="647" t="s">
        <v>9664</v>
      </c>
      <c r="G14" s="647" t="s">
        <v>11806</v>
      </c>
      <c r="H14" s="647" t="s">
        <v>11802</v>
      </c>
    </row>
    <row r="15">
      <c r="A15" s="642">
        <v>13.0</v>
      </c>
      <c r="B15" s="643" t="s">
        <v>11821</v>
      </c>
      <c r="C15" s="643" t="s">
        <v>310</v>
      </c>
      <c r="D15" s="644" t="s">
        <v>44</v>
      </c>
      <c r="E15" s="643" t="s">
        <v>10505</v>
      </c>
      <c r="F15" s="643" t="s">
        <v>9664</v>
      </c>
      <c r="G15" s="643" t="s">
        <v>11806</v>
      </c>
      <c r="H15" s="645" t="s">
        <v>11802</v>
      </c>
    </row>
    <row r="16">
      <c r="A16" s="642">
        <v>14.0</v>
      </c>
      <c r="B16" s="643" t="s">
        <v>11822</v>
      </c>
      <c r="C16" s="643" t="s">
        <v>633</v>
      </c>
      <c r="D16" s="644" t="s">
        <v>49</v>
      </c>
      <c r="E16" s="643" t="s">
        <v>11823</v>
      </c>
      <c r="F16" s="643" t="s">
        <v>9664</v>
      </c>
      <c r="G16" s="643" t="s">
        <v>11806</v>
      </c>
      <c r="H16" s="645" t="s">
        <v>11802</v>
      </c>
    </row>
    <row r="17">
      <c r="A17" s="642">
        <v>15.0</v>
      </c>
      <c r="B17" s="643" t="s">
        <v>11824</v>
      </c>
      <c r="C17" s="643" t="s">
        <v>2821</v>
      </c>
      <c r="D17" s="644" t="s">
        <v>49</v>
      </c>
      <c r="E17" s="643" t="s">
        <v>11823</v>
      </c>
      <c r="F17" s="643" t="s">
        <v>9664</v>
      </c>
      <c r="G17" s="643" t="s">
        <v>11806</v>
      </c>
      <c r="H17" s="645" t="s">
        <v>11802</v>
      </c>
    </row>
    <row r="18">
      <c r="A18" s="642">
        <v>16.0</v>
      </c>
      <c r="B18" s="643" t="s">
        <v>11825</v>
      </c>
      <c r="C18" s="643" t="s">
        <v>583</v>
      </c>
      <c r="D18" s="644" t="s">
        <v>51</v>
      </c>
      <c r="E18" s="643" t="s">
        <v>10515</v>
      </c>
      <c r="F18" s="643" t="s">
        <v>9660</v>
      </c>
      <c r="G18" s="643" t="s">
        <v>11806</v>
      </c>
      <c r="H18" s="645" t="s">
        <v>11802</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2" max="2" width="22.44"/>
    <col customWidth="1" min="3" max="3" width="32.56"/>
    <col hidden="1" min="4" max="4" width="11.22"/>
    <col customWidth="1" min="5" max="6" width="16.67"/>
    <col customWidth="1" min="10" max="10" width="24.0"/>
  </cols>
  <sheetData>
    <row r="1">
      <c r="A1" s="23"/>
      <c r="B1" s="23"/>
      <c r="C1" s="649"/>
      <c r="D1" s="23"/>
      <c r="E1" s="23"/>
      <c r="F1" s="23"/>
      <c r="G1" s="23"/>
      <c r="H1" s="23"/>
      <c r="I1" s="23"/>
      <c r="J1" s="23"/>
      <c r="K1" s="23"/>
      <c r="L1" s="23"/>
      <c r="M1" s="23"/>
      <c r="N1" s="23"/>
      <c r="O1" s="23"/>
      <c r="P1" s="23"/>
      <c r="Q1" s="23"/>
    </row>
    <row r="2">
      <c r="A2" s="650" t="s">
        <v>11826</v>
      </c>
      <c r="B2" s="23"/>
      <c r="C2" s="649"/>
      <c r="D2" s="23"/>
      <c r="E2" s="23"/>
      <c r="F2" s="23"/>
      <c r="G2" s="23"/>
      <c r="H2" s="23"/>
      <c r="I2" s="23"/>
      <c r="J2" s="23"/>
      <c r="K2" s="23"/>
      <c r="L2" s="23"/>
      <c r="M2" s="23"/>
      <c r="N2" s="23"/>
      <c r="O2" s="23"/>
      <c r="P2" s="23"/>
      <c r="Q2" s="23"/>
    </row>
    <row r="3">
      <c r="A3" s="651"/>
      <c r="B3" s="26"/>
      <c r="C3" s="652"/>
      <c r="D3" s="26"/>
      <c r="E3" s="26"/>
      <c r="F3" s="26"/>
      <c r="G3" s="26"/>
      <c r="H3" s="26"/>
      <c r="I3" s="26"/>
      <c r="J3" s="26"/>
      <c r="K3" s="26"/>
      <c r="L3" s="26"/>
      <c r="M3" s="26"/>
      <c r="N3" s="26"/>
      <c r="O3" s="26"/>
      <c r="P3" s="26"/>
      <c r="Q3" s="26"/>
    </row>
    <row r="4">
      <c r="A4" s="27"/>
      <c r="B4" s="27"/>
      <c r="C4" s="653"/>
      <c r="D4" s="27"/>
      <c r="E4" s="27"/>
      <c r="F4" s="27"/>
      <c r="G4" s="27"/>
      <c r="H4" s="27"/>
      <c r="I4" s="27"/>
      <c r="J4" s="27"/>
      <c r="K4" s="27"/>
      <c r="L4" s="27"/>
      <c r="M4" s="27"/>
      <c r="N4" s="27"/>
      <c r="O4" s="27"/>
      <c r="P4" s="27"/>
      <c r="Q4" s="27"/>
    </row>
    <row r="5">
      <c r="A5" s="28" t="s">
        <v>235</v>
      </c>
      <c r="B5" s="29" t="s">
        <v>10524</v>
      </c>
      <c r="C5" s="654" t="s">
        <v>10494</v>
      </c>
      <c r="D5" s="29" t="s">
        <v>11827</v>
      </c>
      <c r="E5" s="654" t="s">
        <v>11828</v>
      </c>
      <c r="F5" s="29" t="s">
        <v>10526</v>
      </c>
      <c r="G5" s="29" t="s">
        <v>11829</v>
      </c>
      <c r="H5" s="29" t="s">
        <v>11830</v>
      </c>
      <c r="I5" s="29" t="s">
        <v>11831</v>
      </c>
      <c r="J5" s="29" t="s">
        <v>10493</v>
      </c>
      <c r="K5" s="29" t="s">
        <v>11832</v>
      </c>
      <c r="L5" s="29" t="s">
        <v>11833</v>
      </c>
      <c r="M5" s="29" t="s">
        <v>11834</v>
      </c>
      <c r="N5" s="29" t="s">
        <v>11835</v>
      </c>
      <c r="O5" s="29" t="s">
        <v>11836</v>
      </c>
      <c r="P5" s="29" t="s">
        <v>11837</v>
      </c>
      <c r="Q5" s="29" t="s">
        <v>11799</v>
      </c>
      <c r="R5" s="29" t="s">
        <v>11838</v>
      </c>
    </row>
    <row r="6" hidden="1">
      <c r="A6" s="30">
        <v>1.0</v>
      </c>
      <c r="B6" s="34"/>
      <c r="C6" s="655" t="s">
        <v>10527</v>
      </c>
      <c r="D6" s="31" t="s">
        <v>10528</v>
      </c>
      <c r="E6" s="31" t="s">
        <v>10528</v>
      </c>
      <c r="F6" s="31" t="s">
        <v>11839</v>
      </c>
      <c r="G6" s="34"/>
      <c r="H6" s="34"/>
      <c r="I6" s="34"/>
      <c r="J6" s="34"/>
      <c r="K6" s="33"/>
      <c r="L6" s="34"/>
      <c r="M6" s="34"/>
      <c r="N6" s="34"/>
      <c r="O6" s="656" t="s">
        <v>9265</v>
      </c>
      <c r="P6" s="33"/>
      <c r="Q6" s="31" t="s">
        <v>11802</v>
      </c>
      <c r="R6" s="2">
        <f t="array" ref="R6">xlookup($E6,'Bảng tổng hợp 1'!$B:$B,'Bảng tổng hợp 1'!$B:$B,0)</f>
        <v>0</v>
      </c>
    </row>
    <row r="7" hidden="1">
      <c r="A7" s="30">
        <v>2.0</v>
      </c>
      <c r="B7" s="31" t="s">
        <v>26</v>
      </c>
      <c r="C7" s="655" t="s">
        <v>453</v>
      </c>
      <c r="D7" s="31" t="s">
        <v>25</v>
      </c>
      <c r="E7" s="31" t="s">
        <v>25</v>
      </c>
      <c r="F7" s="31" t="s">
        <v>11840</v>
      </c>
      <c r="G7" s="34"/>
      <c r="H7" s="34"/>
      <c r="I7" s="34"/>
      <c r="J7" s="31" t="s">
        <v>10527</v>
      </c>
      <c r="K7" s="33"/>
      <c r="L7" s="34"/>
      <c r="M7" s="34"/>
      <c r="N7" s="34"/>
      <c r="O7" s="656" t="s">
        <v>9265</v>
      </c>
      <c r="P7" s="33"/>
      <c r="Q7" s="31" t="s">
        <v>11802</v>
      </c>
      <c r="R7" s="2">
        <f t="array" ref="R7">xlookup($E7,'Bảng tổng hợp 1'!$B:$B,'Bảng tổng hợp 1'!$B:$B,0)</f>
        <v>0</v>
      </c>
    </row>
    <row r="8" hidden="1">
      <c r="A8" s="30">
        <v>3.0</v>
      </c>
      <c r="B8" s="31" t="s">
        <v>11841</v>
      </c>
      <c r="C8" s="655" t="s">
        <v>2717</v>
      </c>
      <c r="D8" s="31" t="s">
        <v>10537</v>
      </c>
      <c r="E8" s="31" t="s">
        <v>10537</v>
      </c>
      <c r="F8" s="31" t="s">
        <v>31</v>
      </c>
      <c r="G8" s="34"/>
      <c r="H8" s="34"/>
      <c r="I8" s="34"/>
      <c r="J8" s="31" t="s">
        <v>453</v>
      </c>
      <c r="K8" s="33"/>
      <c r="L8" s="31" t="s">
        <v>11842</v>
      </c>
      <c r="M8" s="34"/>
      <c r="N8" s="34"/>
      <c r="O8" s="656" t="s">
        <v>9265</v>
      </c>
      <c r="P8" s="33"/>
      <c r="Q8" s="31" t="s">
        <v>11802</v>
      </c>
      <c r="R8" s="2">
        <f t="array" ref="R8">xlookup($E8,'Bảng tổng hợp 1'!$B:$B,'Bảng tổng hợp 1'!$B:$B,0)</f>
        <v>0</v>
      </c>
    </row>
    <row r="9" hidden="1">
      <c r="A9" s="30">
        <v>4.0</v>
      </c>
      <c r="B9" s="31" t="s">
        <v>11843</v>
      </c>
      <c r="C9" s="31" t="s">
        <v>6788</v>
      </c>
      <c r="D9" s="31" t="s">
        <v>6789</v>
      </c>
      <c r="E9" s="31" t="str">
        <f t="shared" ref="E9:E16" si="1">trim(D9)</f>
        <v>L01.01.01</v>
      </c>
      <c r="F9" s="31" t="s">
        <v>11844</v>
      </c>
      <c r="G9" s="34"/>
      <c r="H9" s="34"/>
      <c r="I9" s="34"/>
      <c r="J9" s="31" t="s">
        <v>2717</v>
      </c>
      <c r="K9" s="33"/>
      <c r="L9" s="34"/>
      <c r="M9" s="34"/>
      <c r="N9" s="34"/>
      <c r="O9" s="656" t="s">
        <v>9265</v>
      </c>
      <c r="P9" s="33"/>
      <c r="Q9" s="31" t="s">
        <v>11802</v>
      </c>
      <c r="R9" s="2" t="str">
        <f t="array" ref="R9">xlookup($E9,'Bảng tổng hợp 1'!$B:$B,'Bảng tổng hợp 1'!$B:$B,0)</f>
        <v>L01.01.01</v>
      </c>
    </row>
    <row r="10" hidden="1">
      <c r="A10" s="30">
        <v>5.0</v>
      </c>
      <c r="B10" s="31" t="s">
        <v>11845</v>
      </c>
      <c r="C10" s="31" t="s">
        <v>2463</v>
      </c>
      <c r="D10" s="31" t="s">
        <v>5165</v>
      </c>
      <c r="E10" s="31" t="str">
        <f t="shared" si="1"/>
        <v>L01.01.03</v>
      </c>
      <c r="F10" s="31" t="s">
        <v>11844</v>
      </c>
      <c r="G10" s="34"/>
      <c r="H10" s="34"/>
      <c r="I10" s="34"/>
      <c r="J10" s="31" t="s">
        <v>2717</v>
      </c>
      <c r="K10" s="33"/>
      <c r="L10" s="34"/>
      <c r="M10" s="34"/>
      <c r="N10" s="34"/>
      <c r="O10" s="656" t="s">
        <v>9265</v>
      </c>
      <c r="P10" s="33"/>
      <c r="Q10" s="31" t="s">
        <v>11802</v>
      </c>
      <c r="R10" s="2" t="str">
        <f t="array" ref="R10">xlookup($E10,'Bảng tổng hợp 1'!$B:$B,'Bảng tổng hợp 1'!$B:$B,0)</f>
        <v>L01.01.03</v>
      </c>
    </row>
    <row r="11" hidden="1">
      <c r="A11" s="30">
        <v>6.0</v>
      </c>
      <c r="B11" s="31" t="s">
        <v>11846</v>
      </c>
      <c r="C11" s="31" t="s">
        <v>38</v>
      </c>
      <c r="D11" s="31" t="s">
        <v>2718</v>
      </c>
      <c r="E11" s="31" t="str">
        <f t="shared" si="1"/>
        <v>L01.01.05</v>
      </c>
      <c r="F11" s="31" t="s">
        <v>11844</v>
      </c>
      <c r="G11" s="34"/>
      <c r="H11" s="34"/>
      <c r="I11" s="34"/>
      <c r="J11" s="31" t="s">
        <v>2717</v>
      </c>
      <c r="K11" s="33"/>
      <c r="L11" s="34"/>
      <c r="M11" s="34"/>
      <c r="N11" s="34"/>
      <c r="O11" s="656" t="s">
        <v>9265</v>
      </c>
      <c r="P11" s="33"/>
      <c r="Q11" s="31" t="s">
        <v>11802</v>
      </c>
      <c r="R11" s="2" t="str">
        <f t="array" ref="R11">xlookup($E11,'Bảng tổng hợp 1'!$B:$B,'Bảng tổng hợp 1'!$B:$B,0)</f>
        <v>L01.01.05</v>
      </c>
    </row>
    <row r="12" hidden="1">
      <c r="A12" s="30">
        <v>7.0</v>
      </c>
      <c r="B12" s="31" t="s">
        <v>6126</v>
      </c>
      <c r="C12" s="31" t="s">
        <v>36</v>
      </c>
      <c r="D12" s="31" t="s">
        <v>6126</v>
      </c>
      <c r="E12" s="31" t="str">
        <f t="shared" si="1"/>
        <v>L01.01.07</v>
      </c>
      <c r="F12" s="31" t="s">
        <v>11844</v>
      </c>
      <c r="G12" s="34"/>
      <c r="H12" s="34"/>
      <c r="I12" s="34"/>
      <c r="J12" s="31" t="s">
        <v>2717</v>
      </c>
      <c r="K12" s="33"/>
      <c r="L12" s="34"/>
      <c r="M12" s="34"/>
      <c r="N12" s="34"/>
      <c r="O12" s="656" t="s">
        <v>9265</v>
      </c>
      <c r="P12" s="33"/>
      <c r="Q12" s="31" t="s">
        <v>11802</v>
      </c>
      <c r="R12" s="2" t="str">
        <f t="array" ref="R12">xlookup($E12,'Bảng tổng hợp 1'!$B:$B,'Bảng tổng hợp 1'!$B:$B,0)</f>
        <v>L01.01.07</v>
      </c>
    </row>
    <row r="13" hidden="1">
      <c r="A13" s="30">
        <v>8.0</v>
      </c>
      <c r="B13" s="31" t="s">
        <v>11847</v>
      </c>
      <c r="C13" s="31" t="s">
        <v>43</v>
      </c>
      <c r="D13" s="31" t="s">
        <v>6164</v>
      </c>
      <c r="E13" s="31" t="str">
        <f t="shared" si="1"/>
        <v>L01.16</v>
      </c>
      <c r="F13" s="31" t="s">
        <v>11844</v>
      </c>
      <c r="G13" s="34"/>
      <c r="H13" s="34"/>
      <c r="I13" s="34"/>
      <c r="J13" s="31" t="s">
        <v>453</v>
      </c>
      <c r="K13" s="33"/>
      <c r="L13" s="34"/>
      <c r="M13" s="34"/>
      <c r="N13" s="34"/>
      <c r="O13" s="656" t="s">
        <v>9265</v>
      </c>
      <c r="P13" s="33"/>
      <c r="Q13" s="31" t="s">
        <v>11802</v>
      </c>
      <c r="R13" s="2" t="str">
        <f t="array" ref="R13">xlookup($E13,'Bảng tổng hợp 1'!$B:$B,'Bảng tổng hợp 1'!$B:$B,0)</f>
        <v>L01.16</v>
      </c>
    </row>
    <row r="14" hidden="1">
      <c r="A14" s="30">
        <v>9.0</v>
      </c>
      <c r="B14" s="31" t="s">
        <v>11848</v>
      </c>
      <c r="C14" s="31" t="s">
        <v>587</v>
      </c>
      <c r="D14" s="31" t="s">
        <v>588</v>
      </c>
      <c r="E14" s="31" t="str">
        <f t="shared" si="1"/>
        <v>L01.18</v>
      </c>
      <c r="F14" s="31" t="s">
        <v>11844</v>
      </c>
      <c r="G14" s="34"/>
      <c r="H14" s="34"/>
      <c r="I14" s="34"/>
      <c r="J14" s="31" t="s">
        <v>453</v>
      </c>
      <c r="K14" s="33"/>
      <c r="L14" s="34"/>
      <c r="M14" s="34"/>
      <c r="N14" s="34"/>
      <c r="O14" s="656" t="s">
        <v>9265</v>
      </c>
      <c r="P14" s="33"/>
      <c r="Q14" s="31" t="s">
        <v>11802</v>
      </c>
      <c r="R14" s="2" t="str">
        <f t="array" ref="R14">xlookup($E14,'Bảng tổng hợp 1'!$B:$B,'Bảng tổng hợp 1'!$B:$B,0)</f>
        <v>L01.18</v>
      </c>
    </row>
    <row r="15" hidden="1">
      <c r="A15" s="30">
        <v>10.0</v>
      </c>
      <c r="B15" s="31" t="s">
        <v>623</v>
      </c>
      <c r="C15" s="31" t="s">
        <v>41</v>
      </c>
      <c r="D15" s="31" t="s">
        <v>623</v>
      </c>
      <c r="E15" s="31" t="str">
        <f t="shared" si="1"/>
        <v>L01.24</v>
      </c>
      <c r="F15" s="31" t="s">
        <v>11844</v>
      </c>
      <c r="G15" s="34"/>
      <c r="H15" s="34"/>
      <c r="I15" s="34"/>
      <c r="J15" s="31" t="s">
        <v>453</v>
      </c>
      <c r="K15" s="33"/>
      <c r="L15" s="34"/>
      <c r="M15" s="34"/>
      <c r="N15" s="31" t="s">
        <v>11849</v>
      </c>
      <c r="O15" s="656" t="s">
        <v>9265</v>
      </c>
      <c r="P15" s="33"/>
      <c r="Q15" s="31" t="s">
        <v>11802</v>
      </c>
      <c r="R15" s="2" t="str">
        <f t="array" ref="R15">xlookup($E15,'Bảng tổng hợp 1'!$B:$B,'Bảng tổng hợp 1'!$B:$B,0)</f>
        <v>L01.24</v>
      </c>
    </row>
    <row r="16" hidden="1">
      <c r="A16" s="30">
        <v>11.0</v>
      </c>
      <c r="B16" s="34"/>
      <c r="C16" s="31" t="s">
        <v>5356</v>
      </c>
      <c r="D16" s="31" t="s">
        <v>5357</v>
      </c>
      <c r="E16" s="31" t="str">
        <f t="shared" si="1"/>
        <v>L01.27</v>
      </c>
      <c r="F16" s="31" t="s">
        <v>11850</v>
      </c>
      <c r="G16" s="34"/>
      <c r="H16" s="34"/>
      <c r="I16" s="34"/>
      <c r="J16" s="31" t="s">
        <v>453</v>
      </c>
      <c r="K16" s="33"/>
      <c r="L16" s="34"/>
      <c r="M16" s="34"/>
      <c r="N16" s="34"/>
      <c r="O16" s="656" t="s">
        <v>9265</v>
      </c>
      <c r="P16" s="33"/>
      <c r="Q16" s="31" t="s">
        <v>11802</v>
      </c>
      <c r="R16" s="2" t="str">
        <f t="array" ref="R16">xlookup($E16,'Bảng tổng hợp 1'!$B:$B,'Bảng tổng hợp 1'!$B:$B,0)</f>
        <v>L01.27</v>
      </c>
    </row>
    <row r="17" hidden="1">
      <c r="A17" s="30">
        <v>12.0</v>
      </c>
      <c r="B17" s="34"/>
      <c r="C17" s="655" t="s">
        <v>454</v>
      </c>
      <c r="D17" s="31" t="s">
        <v>10608</v>
      </c>
      <c r="E17" s="31" t="s">
        <v>10608</v>
      </c>
      <c r="F17" s="31" t="s">
        <v>11850</v>
      </c>
      <c r="G17" s="34"/>
      <c r="H17" s="34"/>
      <c r="I17" s="34"/>
      <c r="J17" s="31" t="s">
        <v>453</v>
      </c>
      <c r="K17" s="33"/>
      <c r="L17" s="34"/>
      <c r="M17" s="34"/>
      <c r="N17" s="34"/>
      <c r="O17" s="656" t="s">
        <v>9265</v>
      </c>
      <c r="P17" s="33"/>
      <c r="Q17" s="31" t="s">
        <v>11802</v>
      </c>
      <c r="R17" s="2">
        <f t="array" ref="R17">xlookup($E17,'Bảng tổng hợp 1'!$B:$B,'Bảng tổng hợp 1'!$B:$B,0)</f>
        <v>0</v>
      </c>
    </row>
    <row r="18" hidden="1">
      <c r="A18" s="30">
        <v>13.0</v>
      </c>
      <c r="B18" s="34"/>
      <c r="C18" s="31" t="s">
        <v>3163</v>
      </c>
      <c r="D18" s="31" t="s">
        <v>3164</v>
      </c>
      <c r="E18" s="31" t="str">
        <f>trim(D18)</f>
        <v>L01.28.20</v>
      </c>
      <c r="F18" s="31" t="s">
        <v>11851</v>
      </c>
      <c r="G18" s="34"/>
      <c r="H18" s="34"/>
      <c r="I18" s="34"/>
      <c r="J18" s="31" t="s">
        <v>454</v>
      </c>
      <c r="K18" s="33"/>
      <c r="L18" s="34"/>
      <c r="M18" s="34"/>
      <c r="N18" s="34"/>
      <c r="O18" s="656" t="s">
        <v>9265</v>
      </c>
      <c r="P18" s="33"/>
      <c r="Q18" s="31" t="s">
        <v>11802</v>
      </c>
      <c r="R18" s="2" t="str">
        <f t="array" ref="R18">xlookup($E18,'Bảng tổng hợp 1'!$B:$B,'Bảng tổng hợp 1'!$B:$B,0)</f>
        <v>L01.28.20</v>
      </c>
    </row>
    <row r="19" hidden="1">
      <c r="A19" s="30">
        <v>14.0</v>
      </c>
      <c r="B19" s="34"/>
      <c r="C19" s="655" t="s">
        <v>3048</v>
      </c>
      <c r="D19" s="31" t="s">
        <v>10643</v>
      </c>
      <c r="E19" s="31" t="s">
        <v>10643</v>
      </c>
      <c r="F19" s="31" t="s">
        <v>11844</v>
      </c>
      <c r="G19" s="34"/>
      <c r="H19" s="34"/>
      <c r="I19" s="34"/>
      <c r="J19" s="31" t="s">
        <v>454</v>
      </c>
      <c r="K19" s="33"/>
      <c r="L19" s="34"/>
      <c r="M19" s="34"/>
      <c r="N19" s="34"/>
      <c r="O19" s="656" t="s">
        <v>9265</v>
      </c>
      <c r="P19" s="33"/>
      <c r="Q19" s="31" t="s">
        <v>11802</v>
      </c>
      <c r="R19" s="2">
        <f t="array" ref="R19">xlookup($E19,'Bảng tổng hợp 1'!$B:$B,'Bảng tổng hợp 1'!$B:$B,0)</f>
        <v>0</v>
      </c>
    </row>
    <row r="20" hidden="1">
      <c r="A20" s="30">
        <v>15.0</v>
      </c>
      <c r="B20" s="34"/>
      <c r="C20" s="655" t="s">
        <v>11852</v>
      </c>
      <c r="D20" s="31" t="s">
        <v>11853</v>
      </c>
      <c r="E20" s="31" t="s">
        <v>11853</v>
      </c>
      <c r="F20" s="31" t="s">
        <v>11851</v>
      </c>
      <c r="G20" s="34"/>
      <c r="H20" s="34"/>
      <c r="I20" s="34"/>
      <c r="J20" s="31" t="s">
        <v>3048</v>
      </c>
      <c r="K20" s="33"/>
      <c r="L20" s="34"/>
      <c r="M20" s="34"/>
      <c r="N20" s="34"/>
      <c r="O20" s="656" t="s">
        <v>9265</v>
      </c>
      <c r="P20" s="33"/>
      <c r="Q20" s="31" t="s">
        <v>11802</v>
      </c>
      <c r="R20" s="2">
        <f t="array" ref="R20">xlookup($E20,'Bảng tổng hợp 1'!$B:$B,'Bảng tổng hợp 1'!$B:$B,0)</f>
        <v>0</v>
      </c>
    </row>
    <row r="21" hidden="1">
      <c r="A21" s="30">
        <v>16.0</v>
      </c>
      <c r="B21" s="34"/>
      <c r="C21" s="31" t="s">
        <v>3047</v>
      </c>
      <c r="D21" s="31" t="s">
        <v>3049</v>
      </c>
      <c r="E21" s="31" t="str">
        <f t="shared" ref="E21:E26" si="2">trim(D21)</f>
        <v>L01.28.07.01</v>
      </c>
      <c r="F21" s="31" t="s">
        <v>11851</v>
      </c>
      <c r="G21" s="34"/>
      <c r="H21" s="34"/>
      <c r="I21" s="34"/>
      <c r="J21" s="31" t="s">
        <v>3048</v>
      </c>
      <c r="K21" s="33"/>
      <c r="L21" s="34"/>
      <c r="M21" s="34"/>
      <c r="N21" s="34"/>
      <c r="O21" s="656" t="s">
        <v>9265</v>
      </c>
      <c r="P21" s="33"/>
      <c r="Q21" s="31" t="s">
        <v>11802</v>
      </c>
      <c r="R21" s="2" t="str">
        <f t="array" ref="R21">xlookup($E21,'Bảng tổng hợp 1'!$B:$B,'Bảng tổng hợp 1'!$B:$B,0)</f>
        <v>L01.28.07.01</v>
      </c>
    </row>
    <row r="22" hidden="1">
      <c r="A22" s="30">
        <v>17.0</v>
      </c>
      <c r="B22" s="34"/>
      <c r="C22" s="31" t="s">
        <v>4823</v>
      </c>
      <c r="D22" s="31" t="s">
        <v>5410</v>
      </c>
      <c r="E22" s="31" t="str">
        <f t="shared" si="2"/>
        <v>L01.28.12</v>
      </c>
      <c r="F22" s="31" t="s">
        <v>11844</v>
      </c>
      <c r="G22" s="34"/>
      <c r="H22" s="34"/>
      <c r="I22" s="34"/>
      <c r="J22" s="31" t="s">
        <v>454</v>
      </c>
      <c r="K22" s="33"/>
      <c r="L22" s="34"/>
      <c r="M22" s="34"/>
      <c r="N22" s="34"/>
      <c r="O22" s="656" t="s">
        <v>9265</v>
      </c>
      <c r="P22" s="33"/>
      <c r="Q22" s="31" t="s">
        <v>11802</v>
      </c>
      <c r="R22" s="2" t="str">
        <f t="array" ref="R22">xlookup($E22,'Bảng tổng hợp 1'!$B:$B,'Bảng tổng hợp 1'!$B:$B,0)</f>
        <v>L01.28.12</v>
      </c>
    </row>
    <row r="23" hidden="1">
      <c r="A23" s="30">
        <v>18.0</v>
      </c>
      <c r="B23" s="34"/>
      <c r="C23" s="31" t="s">
        <v>5124</v>
      </c>
      <c r="D23" s="31" t="s">
        <v>5125</v>
      </c>
      <c r="E23" s="31" t="str">
        <f t="shared" si="2"/>
        <v>L01.28.12.02</v>
      </c>
      <c r="F23" s="31" t="s">
        <v>11851</v>
      </c>
      <c r="G23" s="34"/>
      <c r="H23" s="34"/>
      <c r="I23" s="34"/>
      <c r="J23" s="31" t="s">
        <v>4823</v>
      </c>
      <c r="K23" s="33"/>
      <c r="L23" s="34"/>
      <c r="M23" s="34"/>
      <c r="N23" s="34"/>
      <c r="O23" s="656" t="s">
        <v>9265</v>
      </c>
      <c r="P23" s="33"/>
      <c r="Q23" s="31" t="s">
        <v>11802</v>
      </c>
      <c r="R23" s="2" t="str">
        <f t="array" ref="R23">xlookup($E23,'Bảng tổng hợp 1'!$B:$B,'Bảng tổng hợp 1'!$B:$B,0)</f>
        <v>L01.28.12.02</v>
      </c>
    </row>
    <row r="24" hidden="1">
      <c r="A24" s="30">
        <v>19.0</v>
      </c>
      <c r="B24" s="34"/>
      <c r="C24" s="31" t="s">
        <v>5118</v>
      </c>
      <c r="D24" s="31" t="s">
        <v>5119</v>
      </c>
      <c r="E24" s="31" t="str">
        <f t="shared" si="2"/>
        <v>L01.28.12.05</v>
      </c>
      <c r="F24" s="31" t="s">
        <v>11851</v>
      </c>
      <c r="G24" s="34"/>
      <c r="H24" s="34"/>
      <c r="I24" s="34"/>
      <c r="J24" s="31" t="s">
        <v>4823</v>
      </c>
      <c r="K24" s="33"/>
      <c r="L24" s="34"/>
      <c r="M24" s="34"/>
      <c r="N24" s="34"/>
      <c r="O24" s="656" t="s">
        <v>9265</v>
      </c>
      <c r="P24" s="33"/>
      <c r="Q24" s="31" t="s">
        <v>11802</v>
      </c>
      <c r="R24" s="2" t="str">
        <f t="array" ref="R24">xlookup($E24,'Bảng tổng hợp 1'!$B:$B,'Bảng tổng hợp 1'!$B:$B,0)</f>
        <v>L01.28.12.05</v>
      </c>
    </row>
    <row r="25" hidden="1">
      <c r="A25" s="30">
        <v>20.0</v>
      </c>
      <c r="B25" s="34"/>
      <c r="C25" s="31" t="s">
        <v>4895</v>
      </c>
      <c r="D25" s="31" t="s">
        <v>4896</v>
      </c>
      <c r="E25" s="31" t="str">
        <f t="shared" si="2"/>
        <v>L01.28.12.04</v>
      </c>
      <c r="F25" s="31" t="s">
        <v>11851</v>
      </c>
      <c r="G25" s="34"/>
      <c r="H25" s="34"/>
      <c r="I25" s="34"/>
      <c r="J25" s="31" t="s">
        <v>4823</v>
      </c>
      <c r="K25" s="33"/>
      <c r="L25" s="34"/>
      <c r="M25" s="34"/>
      <c r="N25" s="34"/>
      <c r="O25" s="656" t="s">
        <v>9265</v>
      </c>
      <c r="P25" s="33"/>
      <c r="Q25" s="31" t="s">
        <v>11802</v>
      </c>
      <c r="R25" s="2" t="str">
        <f t="array" ref="R25">xlookup($E25,'Bảng tổng hợp 1'!$B:$B,'Bảng tổng hợp 1'!$B:$B,0)</f>
        <v>L01.28.12.04</v>
      </c>
    </row>
    <row r="26" hidden="1">
      <c r="A26" s="30">
        <v>21.0</v>
      </c>
      <c r="B26" s="34"/>
      <c r="C26" s="31" t="s">
        <v>4822</v>
      </c>
      <c r="D26" s="31" t="s">
        <v>4824</v>
      </c>
      <c r="E26" s="31" t="str">
        <f t="shared" si="2"/>
        <v>L01.28.12.06</v>
      </c>
      <c r="F26" s="31" t="s">
        <v>11854</v>
      </c>
      <c r="G26" s="34"/>
      <c r="H26" s="34"/>
      <c r="I26" s="34"/>
      <c r="J26" s="31" t="s">
        <v>4823</v>
      </c>
      <c r="K26" s="33"/>
      <c r="L26" s="34"/>
      <c r="M26" s="34"/>
      <c r="N26" s="31" t="s">
        <v>11849</v>
      </c>
      <c r="O26" s="656" t="s">
        <v>9265</v>
      </c>
      <c r="P26" s="33"/>
      <c r="Q26" s="31" t="s">
        <v>11802</v>
      </c>
      <c r="R26" s="2" t="str">
        <f t="array" ref="R26">xlookup($E26,'Bảng tổng hợp 1'!$B:$B,'Bảng tổng hợp 1'!$B:$B,0)</f>
        <v>L01.28.12.06</v>
      </c>
    </row>
    <row r="27" hidden="1">
      <c r="A27" s="30">
        <v>22.0</v>
      </c>
      <c r="B27" s="34"/>
      <c r="C27" s="655" t="s">
        <v>2903</v>
      </c>
      <c r="D27" s="31" t="s">
        <v>10666</v>
      </c>
      <c r="E27" s="31" t="s">
        <v>10666</v>
      </c>
      <c r="F27" s="31" t="s">
        <v>11844</v>
      </c>
      <c r="G27" s="34"/>
      <c r="H27" s="34"/>
      <c r="I27" s="34"/>
      <c r="J27" s="31" t="s">
        <v>454</v>
      </c>
      <c r="K27" s="33"/>
      <c r="L27" s="34"/>
      <c r="M27" s="34"/>
      <c r="N27" s="34"/>
      <c r="O27" s="656" t="s">
        <v>9265</v>
      </c>
      <c r="P27" s="33"/>
      <c r="Q27" s="31" t="s">
        <v>11802</v>
      </c>
      <c r="R27" s="2">
        <f t="array" ref="R27">xlookup($E27,'Bảng tổng hợp 1'!$B:$B,'Bảng tổng hợp 1'!$B:$B,0)</f>
        <v>0</v>
      </c>
    </row>
    <row r="28" hidden="1">
      <c r="A28" s="30">
        <v>23.0</v>
      </c>
      <c r="B28" s="34"/>
      <c r="C28" s="31" t="s">
        <v>2902</v>
      </c>
      <c r="D28" s="31" t="s">
        <v>2904</v>
      </c>
      <c r="E28" s="31" t="str">
        <f t="shared" ref="E28:E29" si="3">trim(D28)</f>
        <v>L01.28.15.01</v>
      </c>
      <c r="F28" s="31" t="s">
        <v>11851</v>
      </c>
      <c r="G28" s="34"/>
      <c r="H28" s="34"/>
      <c r="I28" s="34"/>
      <c r="J28" s="31" t="s">
        <v>2903</v>
      </c>
      <c r="K28" s="33"/>
      <c r="L28" s="34"/>
      <c r="M28" s="34"/>
      <c r="N28" s="34"/>
      <c r="O28" s="656" t="s">
        <v>9265</v>
      </c>
      <c r="P28" s="33"/>
      <c r="Q28" s="31" t="s">
        <v>11802</v>
      </c>
      <c r="R28" s="2" t="str">
        <f t="array" ref="R28">xlookup($E28,'Bảng tổng hợp 1'!$B:$B,'Bảng tổng hợp 1'!$B:$B,0)</f>
        <v>L01.28.15.01</v>
      </c>
    </row>
    <row r="29" hidden="1">
      <c r="A29" s="30">
        <v>24.0</v>
      </c>
      <c r="B29" s="34"/>
      <c r="C29" s="31" t="s">
        <v>4953</v>
      </c>
      <c r="D29" s="31" t="s">
        <v>4954</v>
      </c>
      <c r="E29" s="31" t="str">
        <f t="shared" si="3"/>
        <v>L01.28.15.02</v>
      </c>
      <c r="F29" s="31" t="s">
        <v>11851</v>
      </c>
      <c r="G29" s="34"/>
      <c r="H29" s="34"/>
      <c r="I29" s="34"/>
      <c r="J29" s="31" t="s">
        <v>2903</v>
      </c>
      <c r="K29" s="33"/>
      <c r="L29" s="34"/>
      <c r="M29" s="34"/>
      <c r="N29" s="34"/>
      <c r="O29" s="656" t="s">
        <v>9265</v>
      </c>
      <c r="P29" s="33"/>
      <c r="Q29" s="31" t="s">
        <v>11802</v>
      </c>
      <c r="R29" s="2" t="str">
        <f t="array" ref="R29">xlookup($E29,'Bảng tổng hợp 1'!$B:$B,'Bảng tổng hợp 1'!$B:$B,0)</f>
        <v>L01.28.15.02</v>
      </c>
    </row>
    <row r="30" hidden="1">
      <c r="A30" s="30">
        <v>25.0</v>
      </c>
      <c r="B30" s="34"/>
      <c r="C30" s="655" t="s">
        <v>5599</v>
      </c>
      <c r="D30" s="31" t="s">
        <v>10656</v>
      </c>
      <c r="E30" s="31" t="s">
        <v>10656</v>
      </c>
      <c r="F30" s="31" t="s">
        <v>11844</v>
      </c>
      <c r="G30" s="34"/>
      <c r="H30" s="34"/>
      <c r="I30" s="34"/>
      <c r="J30" s="31" t="s">
        <v>454</v>
      </c>
      <c r="K30" s="33"/>
      <c r="L30" s="34"/>
      <c r="M30" s="34"/>
      <c r="N30" s="34"/>
      <c r="O30" s="656" t="s">
        <v>9265</v>
      </c>
      <c r="P30" s="33"/>
      <c r="Q30" s="31" t="s">
        <v>11802</v>
      </c>
      <c r="R30" s="2">
        <f t="array" ref="R30">xlookup($E30,'Bảng tổng hợp 1'!$B:$B,'Bảng tổng hợp 1'!$B:$B,0)</f>
        <v>0</v>
      </c>
    </row>
    <row r="31" hidden="1">
      <c r="A31" s="30">
        <v>26.0</v>
      </c>
      <c r="B31" s="34"/>
      <c r="C31" s="31" t="s">
        <v>5598</v>
      </c>
      <c r="D31" s="31" t="s">
        <v>5600</v>
      </c>
      <c r="E31" s="31" t="str">
        <f>trim(D31)</f>
        <v>L01.28.10.02</v>
      </c>
      <c r="F31" s="31" t="s">
        <v>11851</v>
      </c>
      <c r="G31" s="34"/>
      <c r="H31" s="34"/>
      <c r="I31" s="34"/>
      <c r="J31" s="31" t="s">
        <v>5599</v>
      </c>
      <c r="K31" s="33"/>
      <c r="L31" s="34"/>
      <c r="M31" s="34"/>
      <c r="N31" s="34"/>
      <c r="O31" s="656" t="s">
        <v>9265</v>
      </c>
      <c r="P31" s="33"/>
      <c r="Q31" s="31" t="s">
        <v>11802</v>
      </c>
      <c r="R31" s="2" t="str">
        <f t="array" ref="R31">xlookup($E31,'Bảng tổng hợp 1'!$B:$B,'Bảng tổng hợp 1'!$B:$B,0)</f>
        <v>L01.28.10.02</v>
      </c>
    </row>
    <row r="32" hidden="1">
      <c r="A32" s="30">
        <v>27.0</v>
      </c>
      <c r="B32" s="34"/>
      <c r="C32" s="655" t="s">
        <v>11855</v>
      </c>
      <c r="D32" s="31" t="s">
        <v>11856</v>
      </c>
      <c r="E32" s="31" t="s">
        <v>11856</v>
      </c>
      <c r="F32" s="31" t="s">
        <v>11851</v>
      </c>
      <c r="G32" s="34"/>
      <c r="H32" s="34"/>
      <c r="I32" s="34"/>
      <c r="J32" s="31" t="s">
        <v>5599</v>
      </c>
      <c r="K32" s="33"/>
      <c r="L32" s="34"/>
      <c r="M32" s="34"/>
      <c r="N32" s="34"/>
      <c r="O32" s="656" t="s">
        <v>9265</v>
      </c>
      <c r="P32" s="33"/>
      <c r="Q32" s="31" t="s">
        <v>11802</v>
      </c>
      <c r="R32" s="2">
        <f t="array" ref="R32">xlookup($E32,'Bảng tổng hợp 1'!$B:$B,'Bảng tổng hợp 1'!$B:$B,0)</f>
        <v>0</v>
      </c>
    </row>
    <row r="33" hidden="1">
      <c r="A33" s="30">
        <v>28.0</v>
      </c>
      <c r="B33" s="34"/>
      <c r="C33" s="31" t="s">
        <v>4777</v>
      </c>
      <c r="D33" s="31" t="s">
        <v>4778</v>
      </c>
      <c r="E33" s="31" t="str">
        <f t="shared" ref="E33:E39" si="4">trim(D33)</f>
        <v>L01.28.16</v>
      </c>
      <c r="F33" s="31" t="s">
        <v>11844</v>
      </c>
      <c r="G33" s="34"/>
      <c r="H33" s="34"/>
      <c r="I33" s="34"/>
      <c r="J33" s="31" t="s">
        <v>454</v>
      </c>
      <c r="K33" s="33"/>
      <c r="L33" s="34"/>
      <c r="M33" s="34"/>
      <c r="N33" s="34"/>
      <c r="O33" s="656" t="s">
        <v>9265</v>
      </c>
      <c r="P33" s="33"/>
      <c r="Q33" s="31" t="s">
        <v>11802</v>
      </c>
      <c r="R33" s="2" t="str">
        <f t="array" ref="R33">xlookup($E33,'Bảng tổng hợp 1'!$B:$B,'Bảng tổng hợp 1'!$B:$B,0)</f>
        <v>L01.28.16</v>
      </c>
    </row>
    <row r="34" hidden="1">
      <c r="A34" s="30">
        <v>29.0</v>
      </c>
      <c r="B34" s="34"/>
      <c r="C34" s="31" t="s">
        <v>5506</v>
      </c>
      <c r="D34" s="31" t="s">
        <v>5507</v>
      </c>
      <c r="E34" s="31" t="str">
        <f t="shared" si="4"/>
        <v>L01.28.16.01</v>
      </c>
      <c r="F34" s="31" t="s">
        <v>11851</v>
      </c>
      <c r="G34" s="34"/>
      <c r="H34" s="34"/>
      <c r="I34" s="34"/>
      <c r="J34" s="31" t="s">
        <v>4777</v>
      </c>
      <c r="K34" s="33"/>
      <c r="L34" s="34"/>
      <c r="M34" s="34"/>
      <c r="N34" s="34"/>
      <c r="O34" s="656" t="s">
        <v>9265</v>
      </c>
      <c r="P34" s="33"/>
      <c r="Q34" s="31" t="s">
        <v>11802</v>
      </c>
      <c r="R34" s="2" t="str">
        <f t="array" ref="R34">xlookup($E34,'Bảng tổng hợp 1'!$B:$B,'Bảng tổng hợp 1'!$B:$B,0)</f>
        <v>L01.28.16.01</v>
      </c>
    </row>
    <row r="35" hidden="1">
      <c r="A35" s="30">
        <v>30.0</v>
      </c>
      <c r="B35" s="34"/>
      <c r="C35" s="31" t="s">
        <v>5705</v>
      </c>
      <c r="D35" s="31" t="s">
        <v>5706</v>
      </c>
      <c r="E35" s="31" t="str">
        <f t="shared" si="4"/>
        <v>L01.28.16.03</v>
      </c>
      <c r="F35" s="31" t="s">
        <v>11851</v>
      </c>
      <c r="G35" s="34"/>
      <c r="H35" s="34"/>
      <c r="I35" s="34"/>
      <c r="J35" s="31" t="s">
        <v>4777</v>
      </c>
      <c r="K35" s="33"/>
      <c r="L35" s="34"/>
      <c r="M35" s="34"/>
      <c r="N35" s="34"/>
      <c r="O35" s="656" t="s">
        <v>9265</v>
      </c>
      <c r="P35" s="33"/>
      <c r="Q35" s="31" t="s">
        <v>11802</v>
      </c>
      <c r="R35" s="2" t="str">
        <f t="array" ref="R35">xlookup($E35,'Bảng tổng hợp 1'!$B:$B,'Bảng tổng hợp 1'!$B:$B,0)</f>
        <v>L01.28.16.03</v>
      </c>
    </row>
    <row r="36" hidden="1">
      <c r="A36" s="30">
        <v>31.0</v>
      </c>
      <c r="B36" s="34"/>
      <c r="C36" s="31" t="s">
        <v>5734</v>
      </c>
      <c r="D36" s="31" t="s">
        <v>5735</v>
      </c>
      <c r="E36" s="31" t="str">
        <f t="shared" si="4"/>
        <v>L01.28.16.02</v>
      </c>
      <c r="F36" s="31" t="s">
        <v>11851</v>
      </c>
      <c r="G36" s="34"/>
      <c r="H36" s="34"/>
      <c r="I36" s="34"/>
      <c r="J36" s="31" t="s">
        <v>4777</v>
      </c>
      <c r="K36" s="33"/>
      <c r="L36" s="34"/>
      <c r="M36" s="34"/>
      <c r="N36" s="34"/>
      <c r="O36" s="656" t="s">
        <v>9265</v>
      </c>
      <c r="P36" s="33"/>
      <c r="Q36" s="31" t="s">
        <v>11802</v>
      </c>
      <c r="R36" s="2" t="str">
        <f t="array" ref="R36">xlookup($E36,'Bảng tổng hợp 1'!$B:$B,'Bảng tổng hợp 1'!$B:$B,0)</f>
        <v>L01.28.16.02</v>
      </c>
    </row>
    <row r="37" hidden="1">
      <c r="A37" s="30">
        <v>32.0</v>
      </c>
      <c r="B37" s="34"/>
      <c r="C37" s="31" t="s">
        <v>2676</v>
      </c>
      <c r="D37" s="31" t="s">
        <v>5297</v>
      </c>
      <c r="E37" s="31" t="str">
        <f t="shared" si="4"/>
        <v>L01.28.05</v>
      </c>
      <c r="F37" s="31" t="s">
        <v>11844</v>
      </c>
      <c r="G37" s="34"/>
      <c r="H37" s="34"/>
      <c r="I37" s="34"/>
      <c r="J37" s="31" t="s">
        <v>454</v>
      </c>
      <c r="K37" s="33"/>
      <c r="L37" s="34"/>
      <c r="M37" s="34"/>
      <c r="N37" s="34"/>
      <c r="O37" s="656" t="s">
        <v>9265</v>
      </c>
      <c r="P37" s="33"/>
      <c r="Q37" s="31" t="s">
        <v>11802</v>
      </c>
      <c r="R37" s="2" t="str">
        <f t="array" ref="R37">xlookup($E37,'Bảng tổng hợp 1'!$B:$B,'Bảng tổng hợp 1'!$B:$B,0)</f>
        <v>L01.28.05</v>
      </c>
    </row>
    <row r="38" hidden="1">
      <c r="A38" s="30">
        <v>33.0</v>
      </c>
      <c r="B38" s="34"/>
      <c r="C38" s="31" t="s">
        <v>2675</v>
      </c>
      <c r="D38" s="31" t="s">
        <v>2677</v>
      </c>
      <c r="E38" s="31" t="str">
        <f t="shared" si="4"/>
        <v>L01.28.05.01</v>
      </c>
      <c r="F38" s="31" t="s">
        <v>11851</v>
      </c>
      <c r="G38" s="34"/>
      <c r="H38" s="34"/>
      <c r="I38" s="34"/>
      <c r="J38" s="31" t="s">
        <v>2676</v>
      </c>
      <c r="K38" s="33"/>
      <c r="L38" s="34"/>
      <c r="M38" s="34"/>
      <c r="N38" s="34"/>
      <c r="O38" s="656" t="s">
        <v>9265</v>
      </c>
      <c r="P38" s="33"/>
      <c r="Q38" s="31" t="s">
        <v>11802</v>
      </c>
      <c r="R38" s="2" t="str">
        <f t="array" ref="R38">xlookup($E38,'Bảng tổng hợp 1'!$B:$B,'Bảng tổng hợp 1'!$B:$B,0)</f>
        <v>L01.28.05.01</v>
      </c>
    </row>
    <row r="39" hidden="1">
      <c r="A39" s="30">
        <v>34.0</v>
      </c>
      <c r="B39" s="34"/>
      <c r="C39" s="31" t="s">
        <v>5173</v>
      </c>
      <c r="D39" s="31" t="s">
        <v>5174</v>
      </c>
      <c r="E39" s="31" t="str">
        <f t="shared" si="4"/>
        <v>L01.28.05.02</v>
      </c>
      <c r="F39" s="31" t="s">
        <v>11851</v>
      </c>
      <c r="G39" s="34"/>
      <c r="H39" s="34"/>
      <c r="I39" s="34"/>
      <c r="J39" s="31" t="s">
        <v>2676</v>
      </c>
      <c r="K39" s="33"/>
      <c r="L39" s="34"/>
      <c r="M39" s="34"/>
      <c r="N39" s="34"/>
      <c r="O39" s="656" t="s">
        <v>9265</v>
      </c>
      <c r="P39" s="33"/>
      <c r="Q39" s="31" t="s">
        <v>11802</v>
      </c>
      <c r="R39" s="2" t="str">
        <f t="array" ref="R39">xlookup($E39,'Bảng tổng hợp 1'!$B:$B,'Bảng tổng hợp 1'!$B:$B,0)</f>
        <v>L01.28.05.02</v>
      </c>
    </row>
    <row r="40" hidden="1">
      <c r="A40" s="30">
        <v>35.0</v>
      </c>
      <c r="B40" s="34"/>
      <c r="C40" s="655" t="s">
        <v>3217</v>
      </c>
      <c r="D40" s="31" t="s">
        <v>10619</v>
      </c>
      <c r="E40" s="31" t="s">
        <v>10619</v>
      </c>
      <c r="F40" s="31" t="s">
        <v>11844</v>
      </c>
      <c r="G40" s="34"/>
      <c r="H40" s="34"/>
      <c r="I40" s="34"/>
      <c r="J40" s="31" t="s">
        <v>454</v>
      </c>
      <c r="K40" s="33"/>
      <c r="L40" s="34"/>
      <c r="M40" s="34"/>
      <c r="N40" s="34"/>
      <c r="O40" s="656" t="s">
        <v>9265</v>
      </c>
      <c r="P40" s="33"/>
      <c r="Q40" s="31" t="s">
        <v>11802</v>
      </c>
      <c r="R40" s="2">
        <f t="array" ref="R40">xlookup($E40,'Bảng tổng hợp 1'!$B:$B,'Bảng tổng hợp 1'!$B:$B,0)</f>
        <v>0</v>
      </c>
    </row>
    <row r="41" hidden="1">
      <c r="A41" s="30">
        <v>36.0</v>
      </c>
      <c r="B41" s="34"/>
      <c r="C41" s="31" t="s">
        <v>3216</v>
      </c>
      <c r="D41" s="31" t="s">
        <v>3218</v>
      </c>
      <c r="E41" s="31" t="str">
        <f t="shared" ref="E41:E42" si="5">trim(D41)</f>
        <v>L01.28.02.02</v>
      </c>
      <c r="F41" s="31" t="s">
        <v>11851</v>
      </c>
      <c r="G41" s="34"/>
      <c r="H41" s="34"/>
      <c r="I41" s="34"/>
      <c r="J41" s="31" t="s">
        <v>3217</v>
      </c>
      <c r="K41" s="33"/>
      <c r="L41" s="34"/>
      <c r="M41" s="34"/>
      <c r="N41" s="34"/>
      <c r="O41" s="656" t="s">
        <v>9265</v>
      </c>
      <c r="P41" s="33"/>
      <c r="Q41" s="31" t="s">
        <v>11802</v>
      </c>
      <c r="R41" s="2" t="str">
        <f t="array" ref="R41">xlookup($E41,'Bảng tổng hợp 1'!$B:$B,'Bảng tổng hợp 1'!$B:$B,0)</f>
        <v>L01.28.02.02</v>
      </c>
    </row>
    <row r="42" hidden="1">
      <c r="A42" s="30">
        <v>37.0</v>
      </c>
      <c r="B42" s="34"/>
      <c r="C42" s="31" t="s">
        <v>4991</v>
      </c>
      <c r="D42" s="31" t="s">
        <v>4992</v>
      </c>
      <c r="E42" s="31" t="str">
        <f t="shared" si="5"/>
        <v>L01.28.02.01</v>
      </c>
      <c r="F42" s="31" t="s">
        <v>11851</v>
      </c>
      <c r="G42" s="34"/>
      <c r="H42" s="34"/>
      <c r="I42" s="34"/>
      <c r="J42" s="31" t="s">
        <v>3217</v>
      </c>
      <c r="K42" s="33"/>
      <c r="L42" s="34"/>
      <c r="M42" s="34"/>
      <c r="N42" s="34"/>
      <c r="O42" s="656" t="s">
        <v>9265</v>
      </c>
      <c r="P42" s="33"/>
      <c r="Q42" s="31" t="s">
        <v>11802</v>
      </c>
      <c r="R42" s="2" t="str">
        <f t="array" ref="R42">xlookup($E42,'Bảng tổng hợp 1'!$B:$B,'Bảng tổng hợp 1'!$B:$B,0)</f>
        <v>L01.28.02.01</v>
      </c>
    </row>
    <row r="43" hidden="1">
      <c r="A43" s="30">
        <v>38.0</v>
      </c>
      <c r="B43" s="34"/>
      <c r="C43" s="655" t="s">
        <v>3378</v>
      </c>
      <c r="D43" s="31" t="s">
        <v>10686</v>
      </c>
      <c r="E43" s="31" t="s">
        <v>10686</v>
      </c>
      <c r="F43" s="31" t="s">
        <v>11844</v>
      </c>
      <c r="G43" s="34"/>
      <c r="H43" s="34"/>
      <c r="I43" s="34"/>
      <c r="J43" s="31" t="s">
        <v>454</v>
      </c>
      <c r="K43" s="33"/>
      <c r="L43" s="34"/>
      <c r="M43" s="34"/>
      <c r="N43" s="34"/>
      <c r="O43" s="656" t="s">
        <v>9265</v>
      </c>
      <c r="P43" s="33"/>
      <c r="Q43" s="31" t="s">
        <v>11802</v>
      </c>
      <c r="R43" s="2">
        <f t="array" ref="R43">xlookup($E43,'Bảng tổng hợp 1'!$B:$B,'Bảng tổng hợp 1'!$B:$B,0)</f>
        <v>0</v>
      </c>
    </row>
    <row r="44" hidden="1">
      <c r="A44" s="30">
        <v>39.0</v>
      </c>
      <c r="B44" s="34"/>
      <c r="C44" s="31" t="s">
        <v>3377</v>
      </c>
      <c r="D44" s="31" t="s">
        <v>3379</v>
      </c>
      <c r="E44" s="31" t="str">
        <f t="shared" ref="E44:E45" si="6">trim(D44)</f>
        <v>L01.28.19.01</v>
      </c>
      <c r="F44" s="31" t="s">
        <v>11851</v>
      </c>
      <c r="G44" s="34"/>
      <c r="H44" s="34"/>
      <c r="I44" s="34"/>
      <c r="J44" s="31" t="s">
        <v>3378</v>
      </c>
      <c r="K44" s="33"/>
      <c r="L44" s="34"/>
      <c r="M44" s="34"/>
      <c r="N44" s="34"/>
      <c r="O44" s="656" t="s">
        <v>9265</v>
      </c>
      <c r="P44" s="33"/>
      <c r="Q44" s="31" t="s">
        <v>11802</v>
      </c>
      <c r="R44" s="2" t="str">
        <f t="array" ref="R44">xlookup($E44,'Bảng tổng hợp 1'!$B:$B,'Bảng tổng hợp 1'!$B:$B,0)</f>
        <v>L01.28.19.01</v>
      </c>
    </row>
    <row r="45" hidden="1">
      <c r="A45" s="30">
        <v>40.0</v>
      </c>
      <c r="B45" s="34"/>
      <c r="C45" s="31" t="s">
        <v>4420</v>
      </c>
      <c r="D45" s="31" t="s">
        <v>4421</v>
      </c>
      <c r="E45" s="31" t="str">
        <f t="shared" si="6"/>
        <v>L01.28.19.02</v>
      </c>
      <c r="F45" s="31" t="s">
        <v>11851</v>
      </c>
      <c r="G45" s="34"/>
      <c r="H45" s="34"/>
      <c r="I45" s="34"/>
      <c r="J45" s="31" t="s">
        <v>3378</v>
      </c>
      <c r="K45" s="33"/>
      <c r="L45" s="34"/>
      <c r="M45" s="34"/>
      <c r="N45" s="34"/>
      <c r="O45" s="656" t="s">
        <v>9265</v>
      </c>
      <c r="P45" s="33"/>
      <c r="Q45" s="31" t="s">
        <v>11802</v>
      </c>
      <c r="R45" s="2" t="str">
        <f t="array" ref="R45">xlookup($E45,'Bảng tổng hợp 1'!$B:$B,'Bảng tổng hợp 1'!$B:$B,0)</f>
        <v>L01.28.19.02</v>
      </c>
    </row>
    <row r="46" hidden="1">
      <c r="A46" s="30">
        <v>41.0</v>
      </c>
      <c r="B46" s="34"/>
      <c r="C46" s="655" t="s">
        <v>3188</v>
      </c>
      <c r="D46" s="31" t="s">
        <v>10651</v>
      </c>
      <c r="E46" s="31" t="s">
        <v>10651</v>
      </c>
      <c r="F46" s="31" t="s">
        <v>11844</v>
      </c>
      <c r="G46" s="34"/>
      <c r="H46" s="34"/>
      <c r="I46" s="34"/>
      <c r="J46" s="31" t="s">
        <v>454</v>
      </c>
      <c r="K46" s="33"/>
      <c r="L46" s="34"/>
      <c r="M46" s="34"/>
      <c r="N46" s="34"/>
      <c r="O46" s="656" t="s">
        <v>9265</v>
      </c>
      <c r="P46" s="33"/>
      <c r="Q46" s="31" t="s">
        <v>11802</v>
      </c>
      <c r="R46" s="2">
        <f t="array" ref="R46">xlookup($E46,'Bảng tổng hợp 1'!$B:$B,'Bảng tổng hợp 1'!$B:$B,0)</f>
        <v>0</v>
      </c>
    </row>
    <row r="47" hidden="1">
      <c r="A47" s="30">
        <v>42.0</v>
      </c>
      <c r="B47" s="34"/>
      <c r="C47" s="31" t="s">
        <v>3187</v>
      </c>
      <c r="D47" s="31" t="s">
        <v>3189</v>
      </c>
      <c r="E47" s="31" t="str">
        <f t="shared" ref="E47:E48" si="7">trim(D47)</f>
        <v>L01.28.09.02</v>
      </c>
      <c r="F47" s="31" t="s">
        <v>11851</v>
      </c>
      <c r="G47" s="34"/>
      <c r="H47" s="34"/>
      <c r="I47" s="34"/>
      <c r="J47" s="31" t="s">
        <v>3188</v>
      </c>
      <c r="K47" s="33"/>
      <c r="L47" s="34"/>
      <c r="M47" s="34"/>
      <c r="N47" s="34"/>
      <c r="O47" s="656" t="s">
        <v>9265</v>
      </c>
      <c r="P47" s="33"/>
      <c r="Q47" s="31" t="s">
        <v>11802</v>
      </c>
      <c r="R47" s="2" t="str">
        <f t="array" ref="R47">xlookup($E47,'Bảng tổng hợp 1'!$B:$B,'Bảng tổng hợp 1'!$B:$B,0)</f>
        <v>L01.28.09.02</v>
      </c>
    </row>
    <row r="48" hidden="1">
      <c r="A48" s="30">
        <v>43.0</v>
      </c>
      <c r="B48" s="34"/>
      <c r="C48" s="31" t="s">
        <v>3419</v>
      </c>
      <c r="D48" s="31" t="s">
        <v>3420</v>
      </c>
      <c r="E48" s="31" t="str">
        <f t="shared" si="7"/>
        <v>L01.28.09.01</v>
      </c>
      <c r="F48" s="31" t="s">
        <v>11851</v>
      </c>
      <c r="G48" s="34"/>
      <c r="H48" s="34"/>
      <c r="I48" s="34"/>
      <c r="J48" s="31" t="s">
        <v>3188</v>
      </c>
      <c r="K48" s="33"/>
      <c r="L48" s="34"/>
      <c r="M48" s="34"/>
      <c r="N48" s="34"/>
      <c r="O48" s="656" t="s">
        <v>9265</v>
      </c>
      <c r="P48" s="33"/>
      <c r="Q48" s="31" t="s">
        <v>11802</v>
      </c>
      <c r="R48" s="2" t="str">
        <f t="array" ref="R48">xlookup($E48,'Bảng tổng hợp 1'!$B:$B,'Bảng tổng hợp 1'!$B:$B,0)</f>
        <v>L01.28.09.01</v>
      </c>
    </row>
    <row r="49" hidden="1">
      <c r="A49" s="30">
        <v>44.0</v>
      </c>
      <c r="B49" s="34"/>
      <c r="C49" s="655" t="s">
        <v>11857</v>
      </c>
      <c r="D49" s="31" t="s">
        <v>11858</v>
      </c>
      <c r="E49" s="31" t="s">
        <v>11858</v>
      </c>
      <c r="F49" s="31" t="s">
        <v>11844</v>
      </c>
      <c r="G49" s="34"/>
      <c r="H49" s="34"/>
      <c r="I49" s="34"/>
      <c r="J49" s="31" t="s">
        <v>3188</v>
      </c>
      <c r="K49" s="32">
        <v>45376.0</v>
      </c>
      <c r="L49" s="34"/>
      <c r="M49" s="34"/>
      <c r="N49" s="31" t="s">
        <v>11849</v>
      </c>
      <c r="O49" s="656" t="s">
        <v>9265</v>
      </c>
      <c r="P49" s="33"/>
      <c r="Q49" s="31" t="s">
        <v>11802</v>
      </c>
      <c r="R49" s="2">
        <f t="array" ref="R49">xlookup($E49,'Bảng tổng hợp 1'!$B:$B,'Bảng tổng hợp 1'!$B:$B,0)</f>
        <v>0</v>
      </c>
    </row>
    <row r="50" hidden="1">
      <c r="A50" s="30">
        <v>45.0</v>
      </c>
      <c r="B50" s="34"/>
      <c r="C50" s="31" t="s">
        <v>3569</v>
      </c>
      <c r="D50" s="31" t="s">
        <v>3570</v>
      </c>
      <c r="E50" s="31" t="str">
        <f>trim(D50)</f>
        <v>L01.28.18</v>
      </c>
      <c r="F50" s="31" t="s">
        <v>11844</v>
      </c>
      <c r="G50" s="34"/>
      <c r="H50" s="34"/>
      <c r="I50" s="34"/>
      <c r="J50" s="31" t="s">
        <v>454</v>
      </c>
      <c r="K50" s="33"/>
      <c r="L50" s="34"/>
      <c r="M50" s="34"/>
      <c r="N50" s="34"/>
      <c r="O50" s="656" t="s">
        <v>9265</v>
      </c>
      <c r="P50" s="33"/>
      <c r="Q50" s="31" t="s">
        <v>11802</v>
      </c>
      <c r="R50" s="2" t="str">
        <f t="array" ref="R50">xlookup($E50,'Bảng tổng hợp 1'!$B:$B,'Bảng tổng hợp 1'!$B:$B,0)</f>
        <v>L01.28.18</v>
      </c>
    </row>
    <row r="51" hidden="1">
      <c r="A51" s="30">
        <v>46.0</v>
      </c>
      <c r="B51" s="34"/>
      <c r="C51" s="655" t="s">
        <v>2669</v>
      </c>
      <c r="D51" s="31" t="s">
        <v>10678</v>
      </c>
      <c r="E51" s="31" t="s">
        <v>10678</v>
      </c>
      <c r="F51" s="31" t="s">
        <v>11844</v>
      </c>
      <c r="G51" s="34"/>
      <c r="H51" s="34"/>
      <c r="I51" s="34"/>
      <c r="J51" s="31" t="s">
        <v>454</v>
      </c>
      <c r="K51" s="33"/>
      <c r="L51" s="34"/>
      <c r="M51" s="34"/>
      <c r="N51" s="34"/>
      <c r="O51" s="656" t="s">
        <v>9265</v>
      </c>
      <c r="P51" s="33"/>
      <c r="Q51" s="31" t="s">
        <v>11802</v>
      </c>
      <c r="R51" s="2">
        <f t="array" ref="R51">xlookup($E51,'Bảng tổng hợp 1'!$B:$B,'Bảng tổng hợp 1'!$B:$B,0)</f>
        <v>0</v>
      </c>
    </row>
    <row r="52" hidden="1">
      <c r="A52" s="30">
        <v>47.0</v>
      </c>
      <c r="B52" s="34"/>
      <c r="C52" s="31" t="s">
        <v>2668</v>
      </c>
      <c r="D52" s="31" t="s">
        <v>2670</v>
      </c>
      <c r="E52" s="31" t="str">
        <f>trim(D52)</f>
        <v>L01.28.17.01</v>
      </c>
      <c r="F52" s="31" t="s">
        <v>11851</v>
      </c>
      <c r="G52" s="34"/>
      <c r="H52" s="34"/>
      <c r="I52" s="34"/>
      <c r="J52" s="31" t="s">
        <v>2669</v>
      </c>
      <c r="K52" s="33"/>
      <c r="L52" s="34"/>
      <c r="M52" s="34"/>
      <c r="N52" s="34"/>
      <c r="O52" s="656" t="s">
        <v>9265</v>
      </c>
      <c r="P52" s="33"/>
      <c r="Q52" s="31" t="s">
        <v>11802</v>
      </c>
      <c r="R52" s="2" t="str">
        <f t="array" ref="R52">xlookup($E52,'Bảng tổng hợp 1'!$B:$B,'Bảng tổng hợp 1'!$B:$B,0)</f>
        <v>L01.28.17.01</v>
      </c>
    </row>
    <row r="53" hidden="1">
      <c r="A53" s="30">
        <v>48.0</v>
      </c>
      <c r="B53" s="34"/>
      <c r="C53" s="655" t="s">
        <v>11859</v>
      </c>
      <c r="D53" s="31" t="s">
        <v>11860</v>
      </c>
      <c r="E53" s="31" t="s">
        <v>11860</v>
      </c>
      <c r="F53" s="31" t="s">
        <v>11851</v>
      </c>
      <c r="G53" s="34"/>
      <c r="H53" s="34"/>
      <c r="I53" s="34"/>
      <c r="J53" s="31" t="s">
        <v>2669</v>
      </c>
      <c r="K53" s="33"/>
      <c r="L53" s="34"/>
      <c r="M53" s="34"/>
      <c r="N53" s="34"/>
      <c r="O53" s="656" t="s">
        <v>9265</v>
      </c>
      <c r="P53" s="33"/>
      <c r="Q53" s="31" t="s">
        <v>11802</v>
      </c>
      <c r="R53" s="2">
        <f t="array" ref="R53">xlookup($E53,'Bảng tổng hợp 1'!$B:$B,'Bảng tổng hợp 1'!$B:$B,0)</f>
        <v>0</v>
      </c>
    </row>
    <row r="54" hidden="1">
      <c r="A54" s="30">
        <v>49.0</v>
      </c>
      <c r="B54" s="34"/>
      <c r="C54" s="31" t="s">
        <v>6002</v>
      </c>
      <c r="D54" s="31" t="s">
        <v>6003</v>
      </c>
      <c r="E54" s="31" t="str">
        <f>trim(D54)</f>
        <v>L01.28.17.03</v>
      </c>
      <c r="F54" s="31" t="s">
        <v>11851</v>
      </c>
      <c r="G54" s="34"/>
      <c r="H54" s="34"/>
      <c r="I54" s="34"/>
      <c r="J54" s="31" t="s">
        <v>2669</v>
      </c>
      <c r="K54" s="33"/>
      <c r="L54" s="34"/>
      <c r="M54" s="34"/>
      <c r="N54" s="34"/>
      <c r="O54" s="656" t="s">
        <v>9265</v>
      </c>
      <c r="P54" s="33"/>
      <c r="Q54" s="31" t="s">
        <v>11802</v>
      </c>
      <c r="R54" s="2" t="str">
        <f t="array" ref="R54">xlookup($E54,'Bảng tổng hợp 1'!$B:$B,'Bảng tổng hợp 1'!$B:$B,0)</f>
        <v>L01.28.17.03</v>
      </c>
    </row>
    <row r="55" hidden="1">
      <c r="A55" s="30">
        <v>50.0</v>
      </c>
      <c r="B55" s="34"/>
      <c r="C55" s="655" t="s">
        <v>3604</v>
      </c>
      <c r="D55" s="31" t="s">
        <v>10624</v>
      </c>
      <c r="E55" s="31" t="s">
        <v>10624</v>
      </c>
      <c r="F55" s="31" t="s">
        <v>11844</v>
      </c>
      <c r="G55" s="34"/>
      <c r="H55" s="34"/>
      <c r="I55" s="34"/>
      <c r="J55" s="31" t="s">
        <v>454</v>
      </c>
      <c r="K55" s="33"/>
      <c r="L55" s="34"/>
      <c r="M55" s="34"/>
      <c r="N55" s="34"/>
      <c r="O55" s="656" t="s">
        <v>9265</v>
      </c>
      <c r="P55" s="33"/>
      <c r="Q55" s="31" t="s">
        <v>11802</v>
      </c>
      <c r="R55" s="2">
        <f t="array" ref="R55">xlookup($E55,'Bảng tổng hợp 1'!$B:$B,'Bảng tổng hợp 1'!$B:$B,0)</f>
        <v>0</v>
      </c>
    </row>
    <row r="56" hidden="1">
      <c r="A56" s="30">
        <v>51.0</v>
      </c>
      <c r="B56" s="34"/>
      <c r="C56" s="31" t="s">
        <v>10214</v>
      </c>
      <c r="D56" s="31" t="s">
        <v>10215</v>
      </c>
      <c r="E56" s="31" t="str">
        <f t="shared" ref="E56:E58" si="8">trim(D56)</f>
        <v>L01.28.03.02</v>
      </c>
      <c r="F56" s="31" t="s">
        <v>11851</v>
      </c>
      <c r="G56" s="34"/>
      <c r="H56" s="34"/>
      <c r="I56" s="34"/>
      <c r="J56" s="31" t="s">
        <v>3604</v>
      </c>
      <c r="K56" s="33"/>
      <c r="L56" s="34"/>
      <c r="M56" s="34"/>
      <c r="N56" s="34"/>
      <c r="O56" s="656" t="s">
        <v>9265</v>
      </c>
      <c r="P56" s="33"/>
      <c r="Q56" s="31" t="s">
        <v>11802</v>
      </c>
      <c r="R56" s="2" t="str">
        <f t="array" ref="R56">xlookup($E56,'Bảng tổng hợp 1'!$B:$B,'Bảng tổng hợp 1'!$B:$B,0)</f>
        <v>L01.28.03.02</v>
      </c>
    </row>
    <row r="57" hidden="1">
      <c r="A57" s="30">
        <v>52.0</v>
      </c>
      <c r="B57" s="34"/>
      <c r="C57" s="31" t="s">
        <v>3603</v>
      </c>
      <c r="D57" s="31" t="s">
        <v>3605</v>
      </c>
      <c r="E57" s="31" t="str">
        <f t="shared" si="8"/>
        <v>L01.28.03.01</v>
      </c>
      <c r="F57" s="31" t="s">
        <v>11851</v>
      </c>
      <c r="G57" s="34"/>
      <c r="H57" s="34"/>
      <c r="I57" s="34"/>
      <c r="J57" s="31" t="s">
        <v>3604</v>
      </c>
      <c r="K57" s="33"/>
      <c r="L57" s="34"/>
      <c r="M57" s="34"/>
      <c r="N57" s="34"/>
      <c r="O57" s="656" t="s">
        <v>9265</v>
      </c>
      <c r="P57" s="33"/>
      <c r="Q57" s="31" t="s">
        <v>11802</v>
      </c>
      <c r="R57" s="2" t="str">
        <f t="array" ref="R57">xlookup($E57,'Bảng tổng hợp 1'!$B:$B,'Bảng tổng hợp 1'!$B:$B,0)</f>
        <v>L01.28.03.01</v>
      </c>
    </row>
    <row r="58" hidden="1">
      <c r="A58" s="30">
        <v>53.0</v>
      </c>
      <c r="B58" s="34"/>
      <c r="C58" s="31" t="s">
        <v>4671</v>
      </c>
      <c r="D58" s="31" t="s">
        <v>4672</v>
      </c>
      <c r="E58" s="31" t="str">
        <f t="shared" si="8"/>
        <v>L01.28.01</v>
      </c>
      <c r="F58" s="31" t="s">
        <v>11844</v>
      </c>
      <c r="G58" s="34"/>
      <c r="H58" s="34"/>
      <c r="I58" s="34"/>
      <c r="J58" s="31" t="s">
        <v>454</v>
      </c>
      <c r="K58" s="33"/>
      <c r="L58" s="34"/>
      <c r="M58" s="34"/>
      <c r="N58" s="34"/>
      <c r="O58" s="656" t="s">
        <v>9265</v>
      </c>
      <c r="P58" s="33"/>
      <c r="Q58" s="31" t="s">
        <v>11802</v>
      </c>
      <c r="R58" s="2" t="str">
        <f t="array" ref="R58">xlookup($E58,'Bảng tổng hợp 1'!$B:$B,'Bảng tổng hợp 1'!$B:$B,0)</f>
        <v>L01.28.01</v>
      </c>
    </row>
    <row r="59" hidden="1">
      <c r="A59" s="30">
        <v>54.0</v>
      </c>
      <c r="B59" s="34"/>
      <c r="C59" s="655" t="s">
        <v>5107</v>
      </c>
      <c r="D59" s="31" t="s">
        <v>10638</v>
      </c>
      <c r="E59" s="31" t="s">
        <v>10638</v>
      </c>
      <c r="F59" s="31" t="s">
        <v>11844</v>
      </c>
      <c r="G59" s="34"/>
      <c r="H59" s="34"/>
      <c r="I59" s="34"/>
      <c r="J59" s="31" t="s">
        <v>454</v>
      </c>
      <c r="K59" s="33"/>
      <c r="L59" s="34"/>
      <c r="M59" s="34"/>
      <c r="N59" s="34"/>
      <c r="O59" s="656" t="s">
        <v>9265</v>
      </c>
      <c r="P59" s="33"/>
      <c r="Q59" s="31" t="s">
        <v>11802</v>
      </c>
      <c r="R59" s="2">
        <f t="array" ref="R59">xlookup($E59,'Bảng tổng hợp 1'!$B:$B,'Bảng tổng hợp 1'!$B:$B,0)</f>
        <v>0</v>
      </c>
    </row>
    <row r="60" hidden="1">
      <c r="A60" s="30">
        <v>55.0</v>
      </c>
      <c r="B60" s="34"/>
      <c r="C60" s="31" t="s">
        <v>5604</v>
      </c>
      <c r="D60" s="31" t="s">
        <v>5605</v>
      </c>
      <c r="E60" s="31" t="str">
        <f t="shared" ref="E60:E61" si="9">trim(D60)</f>
        <v>L01.28.06.02</v>
      </c>
      <c r="F60" s="31" t="s">
        <v>11851</v>
      </c>
      <c r="G60" s="34"/>
      <c r="H60" s="34"/>
      <c r="I60" s="34"/>
      <c r="J60" s="31" t="s">
        <v>5107</v>
      </c>
      <c r="K60" s="33"/>
      <c r="L60" s="34"/>
      <c r="M60" s="34"/>
      <c r="N60" s="34"/>
      <c r="O60" s="656" t="s">
        <v>9265</v>
      </c>
      <c r="P60" s="33"/>
      <c r="Q60" s="31" t="s">
        <v>11802</v>
      </c>
      <c r="R60" s="2" t="str">
        <f t="array" ref="R60">xlookup($E60,'Bảng tổng hợp 1'!$B:$B,'Bảng tổng hợp 1'!$B:$B,0)</f>
        <v>L01.28.06.02</v>
      </c>
    </row>
    <row r="61" hidden="1">
      <c r="A61" s="30">
        <v>56.0</v>
      </c>
      <c r="B61" s="34"/>
      <c r="C61" s="31" t="s">
        <v>5106</v>
      </c>
      <c r="D61" s="31" t="s">
        <v>5108</v>
      </c>
      <c r="E61" s="31" t="str">
        <f t="shared" si="9"/>
        <v>L01.28.06.01</v>
      </c>
      <c r="F61" s="31" t="s">
        <v>11851</v>
      </c>
      <c r="G61" s="34"/>
      <c r="H61" s="34"/>
      <c r="I61" s="34"/>
      <c r="J61" s="31" t="s">
        <v>5107</v>
      </c>
      <c r="K61" s="33"/>
      <c r="L61" s="34"/>
      <c r="M61" s="34"/>
      <c r="N61" s="34"/>
      <c r="O61" s="656" t="s">
        <v>9265</v>
      </c>
      <c r="P61" s="33"/>
      <c r="Q61" s="31" t="s">
        <v>11802</v>
      </c>
      <c r="R61" s="2" t="str">
        <f t="array" ref="R61">xlookup($E61,'Bảng tổng hợp 1'!$B:$B,'Bảng tổng hợp 1'!$B:$B,0)</f>
        <v>L01.28.06.01</v>
      </c>
    </row>
    <row r="62" hidden="1">
      <c r="A62" s="30">
        <v>57.0</v>
      </c>
      <c r="B62" s="34"/>
      <c r="C62" s="655" t="s">
        <v>3041</v>
      </c>
      <c r="D62" s="31" t="s">
        <v>10629</v>
      </c>
      <c r="E62" s="31" t="s">
        <v>10629</v>
      </c>
      <c r="F62" s="31" t="s">
        <v>11844</v>
      </c>
      <c r="G62" s="34"/>
      <c r="H62" s="34"/>
      <c r="I62" s="34"/>
      <c r="J62" s="31" t="s">
        <v>454</v>
      </c>
      <c r="K62" s="33"/>
      <c r="L62" s="34"/>
      <c r="M62" s="34"/>
      <c r="N62" s="34"/>
      <c r="O62" s="656" t="s">
        <v>9265</v>
      </c>
      <c r="P62" s="33"/>
      <c r="Q62" s="31" t="s">
        <v>11802</v>
      </c>
      <c r="R62" s="2">
        <f t="array" ref="R62">xlookup($E62,'Bảng tổng hợp 1'!$B:$B,'Bảng tổng hợp 1'!$B:$B,0)</f>
        <v>0</v>
      </c>
    </row>
    <row r="63" hidden="1">
      <c r="A63" s="30">
        <v>58.0</v>
      </c>
      <c r="B63" s="34"/>
      <c r="C63" s="31" t="s">
        <v>3040</v>
      </c>
      <c r="D63" s="31" t="s">
        <v>3042</v>
      </c>
      <c r="E63" s="31" t="str">
        <f t="shared" ref="E63:E68" si="10">trim(D63)</f>
        <v>L01.28.04.02</v>
      </c>
      <c r="F63" s="31" t="s">
        <v>11851</v>
      </c>
      <c r="G63" s="34"/>
      <c r="H63" s="34"/>
      <c r="I63" s="34"/>
      <c r="J63" s="31" t="s">
        <v>3041</v>
      </c>
      <c r="K63" s="33"/>
      <c r="L63" s="34"/>
      <c r="M63" s="34"/>
      <c r="N63" s="34"/>
      <c r="O63" s="656" t="s">
        <v>9265</v>
      </c>
      <c r="P63" s="33"/>
      <c r="Q63" s="31" t="s">
        <v>11802</v>
      </c>
      <c r="R63" s="2" t="str">
        <f t="array" ref="R63">xlookup($E63,'Bảng tổng hợp 1'!$B:$B,'Bảng tổng hợp 1'!$B:$B,0)</f>
        <v>L01.28.04.02</v>
      </c>
    </row>
    <row r="64" hidden="1">
      <c r="A64" s="30">
        <v>59.0</v>
      </c>
      <c r="B64" s="34"/>
      <c r="C64" s="31" t="s">
        <v>5747</v>
      </c>
      <c r="D64" s="31" t="s">
        <v>5748</v>
      </c>
      <c r="E64" s="31" t="str">
        <f t="shared" si="10"/>
        <v>L01.28.04.01</v>
      </c>
      <c r="F64" s="31" t="s">
        <v>11851</v>
      </c>
      <c r="G64" s="34"/>
      <c r="H64" s="34"/>
      <c r="I64" s="34"/>
      <c r="J64" s="31" t="s">
        <v>3041</v>
      </c>
      <c r="K64" s="33"/>
      <c r="L64" s="34"/>
      <c r="M64" s="34"/>
      <c r="N64" s="34"/>
      <c r="O64" s="656" t="s">
        <v>9265</v>
      </c>
      <c r="P64" s="33"/>
      <c r="Q64" s="31" t="s">
        <v>11802</v>
      </c>
      <c r="R64" s="2" t="str">
        <f t="array" ref="R64">xlookup($E64,'Bảng tổng hợp 1'!$B:$B,'Bảng tổng hợp 1'!$B:$B,0)</f>
        <v>L01.28.04.01</v>
      </c>
    </row>
    <row r="65" hidden="1">
      <c r="A65" s="30">
        <v>60.0</v>
      </c>
      <c r="B65" s="34"/>
      <c r="C65" s="31" t="s">
        <v>2682</v>
      </c>
      <c r="D65" s="31" t="s">
        <v>5025</v>
      </c>
      <c r="E65" s="31" t="str">
        <f t="shared" si="10"/>
        <v>L01.28.08</v>
      </c>
      <c r="F65" s="31" t="s">
        <v>11844</v>
      </c>
      <c r="G65" s="34"/>
      <c r="H65" s="34"/>
      <c r="I65" s="34"/>
      <c r="J65" s="31" t="s">
        <v>454</v>
      </c>
      <c r="K65" s="33"/>
      <c r="L65" s="34"/>
      <c r="M65" s="34"/>
      <c r="N65" s="34"/>
      <c r="O65" s="656" t="s">
        <v>9265</v>
      </c>
      <c r="P65" s="33"/>
      <c r="Q65" s="31" t="s">
        <v>11802</v>
      </c>
      <c r="R65" s="2" t="str">
        <f t="array" ref="R65">xlookup($E65,'Bảng tổng hợp 1'!$B:$B,'Bảng tổng hợp 1'!$B:$B,0)</f>
        <v>L01.28.08</v>
      </c>
    </row>
    <row r="66" hidden="1">
      <c r="A66" s="30">
        <v>61.0</v>
      </c>
      <c r="B66" s="34"/>
      <c r="C66" s="31" t="s">
        <v>2681</v>
      </c>
      <c r="D66" s="31" t="s">
        <v>2683</v>
      </c>
      <c r="E66" s="31" t="str">
        <f t="shared" si="10"/>
        <v>L01.28.08.01</v>
      </c>
      <c r="F66" s="31" t="s">
        <v>11851</v>
      </c>
      <c r="G66" s="34"/>
      <c r="H66" s="34"/>
      <c r="I66" s="34"/>
      <c r="J66" s="31" t="s">
        <v>2682</v>
      </c>
      <c r="K66" s="33"/>
      <c r="L66" s="34"/>
      <c r="M66" s="34"/>
      <c r="N66" s="34"/>
      <c r="O66" s="656" t="s">
        <v>9265</v>
      </c>
      <c r="P66" s="33"/>
      <c r="Q66" s="31" t="s">
        <v>11802</v>
      </c>
      <c r="R66" s="2" t="str">
        <f t="array" ref="R66">xlookup($E66,'Bảng tổng hợp 1'!$B:$B,'Bảng tổng hợp 1'!$B:$B,0)</f>
        <v>L01.28.08.01</v>
      </c>
    </row>
    <row r="67" hidden="1">
      <c r="A67" s="30">
        <v>62.0</v>
      </c>
      <c r="B67" s="34"/>
      <c r="C67" s="31" t="s">
        <v>5492</v>
      </c>
      <c r="D67" s="31" t="s">
        <v>5493</v>
      </c>
      <c r="E67" s="31" t="str">
        <f t="shared" si="10"/>
        <v>L01.28.08.02</v>
      </c>
      <c r="F67" s="31" t="s">
        <v>11851</v>
      </c>
      <c r="G67" s="34"/>
      <c r="H67" s="34"/>
      <c r="I67" s="34"/>
      <c r="J67" s="31" t="s">
        <v>2682</v>
      </c>
      <c r="K67" s="33"/>
      <c r="L67" s="34"/>
      <c r="M67" s="34"/>
      <c r="N67" s="34"/>
      <c r="O67" s="656" t="s">
        <v>9265</v>
      </c>
      <c r="P67" s="33"/>
      <c r="Q67" s="31" t="s">
        <v>11802</v>
      </c>
      <c r="R67" s="2" t="str">
        <f t="array" ref="R67">xlookup($E67,'Bảng tổng hợp 1'!$B:$B,'Bảng tổng hợp 1'!$B:$B,0)</f>
        <v>L01.28.08.02</v>
      </c>
    </row>
    <row r="68" hidden="1">
      <c r="A68" s="30">
        <v>63.0</v>
      </c>
      <c r="B68" s="34"/>
      <c r="C68" s="31" t="s">
        <v>4917</v>
      </c>
      <c r="D68" s="31" t="s">
        <v>4918</v>
      </c>
      <c r="E68" s="31" t="str">
        <f t="shared" si="10"/>
        <v>L01.28.21</v>
      </c>
      <c r="F68" s="31" t="s">
        <v>11851</v>
      </c>
      <c r="G68" s="34"/>
      <c r="H68" s="34"/>
      <c r="I68" s="34"/>
      <c r="J68" s="31" t="s">
        <v>454</v>
      </c>
      <c r="K68" s="33"/>
      <c r="L68" s="34"/>
      <c r="M68" s="34"/>
      <c r="N68" s="34"/>
      <c r="O68" s="656" t="s">
        <v>9265</v>
      </c>
      <c r="P68" s="33"/>
      <c r="Q68" s="31" t="s">
        <v>11802</v>
      </c>
      <c r="R68" s="2" t="str">
        <f t="array" ref="R68">xlookup($E68,'Bảng tổng hợp 1'!$B:$B,'Bảng tổng hợp 1'!$B:$B,0)</f>
        <v>L01.28.21</v>
      </c>
    </row>
    <row r="69" hidden="1">
      <c r="A69" s="30">
        <v>64.0</v>
      </c>
      <c r="B69" s="34"/>
      <c r="C69" s="655" t="s">
        <v>4597</v>
      </c>
      <c r="D69" s="31" t="s">
        <v>10692</v>
      </c>
      <c r="E69" s="31" t="s">
        <v>10692</v>
      </c>
      <c r="F69" s="31" t="s">
        <v>11844</v>
      </c>
      <c r="G69" s="34"/>
      <c r="H69" s="34"/>
      <c r="I69" s="34"/>
      <c r="J69" s="31" t="s">
        <v>454</v>
      </c>
      <c r="K69" s="33"/>
      <c r="L69" s="34"/>
      <c r="M69" s="34"/>
      <c r="N69" s="31" t="s">
        <v>11849</v>
      </c>
      <c r="O69" s="656" t="s">
        <v>9265</v>
      </c>
      <c r="P69" s="33"/>
      <c r="Q69" s="31" t="s">
        <v>11802</v>
      </c>
      <c r="R69" s="2">
        <f t="array" ref="R69">xlookup($E69,'Bảng tổng hợp 1'!$B:$B,'Bảng tổng hợp 1'!$B:$B,0)</f>
        <v>0</v>
      </c>
    </row>
    <row r="70" hidden="1">
      <c r="A70" s="30">
        <v>65.0</v>
      </c>
      <c r="B70" s="34"/>
      <c r="C70" s="31" t="s">
        <v>4596</v>
      </c>
      <c r="D70" s="31" t="s">
        <v>4598</v>
      </c>
      <c r="E70" s="31" t="str">
        <f t="shared" ref="E70:E71" si="11">trim(D70)</f>
        <v>L01.28.22.01</v>
      </c>
      <c r="F70" s="31" t="s">
        <v>11854</v>
      </c>
      <c r="G70" s="34"/>
      <c r="H70" s="34"/>
      <c r="I70" s="34"/>
      <c r="J70" s="31" t="s">
        <v>4597</v>
      </c>
      <c r="K70" s="33"/>
      <c r="L70" s="34"/>
      <c r="M70" s="34"/>
      <c r="N70" s="31" t="s">
        <v>11849</v>
      </c>
      <c r="O70" s="656" t="s">
        <v>9265</v>
      </c>
      <c r="P70" s="33"/>
      <c r="Q70" s="31" t="s">
        <v>11802</v>
      </c>
      <c r="R70" s="2" t="str">
        <f t="array" ref="R70">xlookup($E70,'Bảng tổng hợp 1'!$B:$B,'Bảng tổng hợp 1'!$B:$B,0)</f>
        <v>L01.28.22.01</v>
      </c>
    </row>
    <row r="71" hidden="1">
      <c r="A71" s="30">
        <v>66.0</v>
      </c>
      <c r="B71" s="34"/>
      <c r="C71" s="31" t="s">
        <v>6639</v>
      </c>
      <c r="D71" s="31" t="s">
        <v>6640</v>
      </c>
      <c r="E71" s="31" t="str">
        <f t="shared" si="11"/>
        <v>L01.28.22.02</v>
      </c>
      <c r="F71" s="31" t="s">
        <v>11854</v>
      </c>
      <c r="G71" s="34"/>
      <c r="H71" s="34"/>
      <c r="I71" s="34"/>
      <c r="J71" s="31" t="s">
        <v>4597</v>
      </c>
      <c r="K71" s="33"/>
      <c r="L71" s="34"/>
      <c r="M71" s="34"/>
      <c r="N71" s="31" t="s">
        <v>11849</v>
      </c>
      <c r="O71" s="656" t="s">
        <v>9265</v>
      </c>
      <c r="P71" s="33"/>
      <c r="Q71" s="31" t="s">
        <v>11802</v>
      </c>
      <c r="R71" s="2" t="str">
        <f t="array" ref="R71">xlookup($E71,'Bảng tổng hợp 1'!$B:$B,'Bảng tổng hợp 1'!$B:$B,0)</f>
        <v>L01.28.22.02</v>
      </c>
    </row>
    <row r="72" hidden="1">
      <c r="A72" s="30">
        <v>67.0</v>
      </c>
      <c r="B72" s="34"/>
      <c r="C72" s="655" t="s">
        <v>5228</v>
      </c>
      <c r="D72" s="31" t="s">
        <v>10698</v>
      </c>
      <c r="E72" s="31" t="s">
        <v>10698</v>
      </c>
      <c r="F72" s="31" t="s">
        <v>11844</v>
      </c>
      <c r="G72" s="34"/>
      <c r="H72" s="34"/>
      <c r="I72" s="34"/>
      <c r="J72" s="31" t="s">
        <v>454</v>
      </c>
      <c r="K72" s="33"/>
      <c r="L72" s="34"/>
      <c r="M72" s="34"/>
      <c r="N72" s="31" t="s">
        <v>11849</v>
      </c>
      <c r="O72" s="656" t="s">
        <v>9265</v>
      </c>
      <c r="P72" s="33"/>
      <c r="Q72" s="31" t="s">
        <v>11802</v>
      </c>
      <c r="R72" s="2">
        <f t="array" ref="R72">xlookup($E72,'Bảng tổng hợp 1'!$B:$B,'Bảng tổng hợp 1'!$B:$B,0)</f>
        <v>0</v>
      </c>
    </row>
    <row r="73" hidden="1">
      <c r="A73" s="30">
        <v>68.0</v>
      </c>
      <c r="B73" s="34"/>
      <c r="C73" s="31" t="s">
        <v>6809</v>
      </c>
      <c r="D73" s="31" t="s">
        <v>6810</v>
      </c>
      <c r="E73" s="31" t="str">
        <f t="shared" ref="E73:E74" si="12">trim(D73)</f>
        <v>L01.28.23.01</v>
      </c>
      <c r="F73" s="31" t="s">
        <v>11854</v>
      </c>
      <c r="G73" s="34"/>
      <c r="H73" s="34"/>
      <c r="I73" s="34"/>
      <c r="J73" s="31" t="s">
        <v>5228</v>
      </c>
      <c r="K73" s="33"/>
      <c r="L73" s="34"/>
      <c r="M73" s="34"/>
      <c r="N73" s="31" t="s">
        <v>11849</v>
      </c>
      <c r="O73" s="656" t="s">
        <v>9265</v>
      </c>
      <c r="P73" s="33"/>
      <c r="Q73" s="31" t="s">
        <v>11802</v>
      </c>
      <c r="R73" s="2" t="str">
        <f t="array" ref="R73">xlookup($E73,'Bảng tổng hợp 1'!$B:$B,'Bảng tổng hợp 1'!$B:$B,0)</f>
        <v>L01.28.23.01</v>
      </c>
    </row>
    <row r="74" hidden="1">
      <c r="A74" s="30">
        <v>69.0</v>
      </c>
      <c r="B74" s="34"/>
      <c r="C74" s="31" t="s">
        <v>5227</v>
      </c>
      <c r="D74" s="31" t="s">
        <v>5229</v>
      </c>
      <c r="E74" s="31" t="str">
        <f t="shared" si="12"/>
        <v>L01.28.23.02</v>
      </c>
      <c r="F74" s="31" t="s">
        <v>11854</v>
      </c>
      <c r="G74" s="34"/>
      <c r="H74" s="34"/>
      <c r="I74" s="34"/>
      <c r="J74" s="31" t="s">
        <v>5228</v>
      </c>
      <c r="K74" s="33"/>
      <c r="L74" s="34"/>
      <c r="M74" s="34"/>
      <c r="N74" s="31" t="s">
        <v>11849</v>
      </c>
      <c r="O74" s="656" t="s">
        <v>9265</v>
      </c>
      <c r="P74" s="33"/>
      <c r="Q74" s="31" t="s">
        <v>11802</v>
      </c>
      <c r="R74" s="2" t="str">
        <f t="array" ref="R74">xlookup($E74,'Bảng tổng hợp 1'!$B:$B,'Bảng tổng hợp 1'!$B:$B,0)</f>
        <v>L01.28.23.02</v>
      </c>
    </row>
    <row r="75" hidden="1">
      <c r="A75" s="30">
        <v>70.0</v>
      </c>
      <c r="B75" s="34"/>
      <c r="C75" s="655" t="s">
        <v>474</v>
      </c>
      <c r="D75" s="31" t="s">
        <v>10704</v>
      </c>
      <c r="E75" s="31" t="s">
        <v>10704</v>
      </c>
      <c r="F75" s="31" t="s">
        <v>11844</v>
      </c>
      <c r="G75" s="34"/>
      <c r="H75" s="34"/>
      <c r="I75" s="34"/>
      <c r="J75" s="31" t="s">
        <v>454</v>
      </c>
      <c r="K75" s="32">
        <v>45407.0</v>
      </c>
      <c r="L75" s="34"/>
      <c r="M75" s="34"/>
      <c r="N75" s="31" t="s">
        <v>11849</v>
      </c>
      <c r="O75" s="656" t="s">
        <v>9265</v>
      </c>
      <c r="P75" s="33"/>
      <c r="Q75" s="31" t="s">
        <v>11802</v>
      </c>
      <c r="R75" s="2">
        <f t="array" ref="R75">xlookup($E75,'Bảng tổng hợp 1'!$B:$B,'Bảng tổng hợp 1'!$B:$B,0)</f>
        <v>0</v>
      </c>
    </row>
    <row r="76" hidden="1">
      <c r="A76" s="30">
        <v>71.0</v>
      </c>
      <c r="B76" s="34"/>
      <c r="C76" s="31" t="s">
        <v>473</v>
      </c>
      <c r="D76" s="31" t="s">
        <v>475</v>
      </c>
      <c r="E76" s="31" t="str">
        <f t="shared" ref="E76:E77" si="13">trim(D76)</f>
        <v>L01.28.24.01</v>
      </c>
      <c r="F76" s="31" t="s">
        <v>11854</v>
      </c>
      <c r="G76" s="34"/>
      <c r="H76" s="34"/>
      <c r="I76" s="34"/>
      <c r="J76" s="31" t="s">
        <v>474</v>
      </c>
      <c r="K76" s="32">
        <v>45407.0</v>
      </c>
      <c r="L76" s="34"/>
      <c r="M76" s="34"/>
      <c r="N76" s="31" t="s">
        <v>11849</v>
      </c>
      <c r="O76" s="656" t="s">
        <v>9265</v>
      </c>
      <c r="P76" s="33"/>
      <c r="Q76" s="31" t="s">
        <v>11802</v>
      </c>
      <c r="R76" s="2" t="str">
        <f t="array" ref="R76">xlookup($E76,'Bảng tổng hợp 1'!$B:$B,'Bảng tổng hợp 1'!$B:$B,0)</f>
        <v>L01.28.24.01</v>
      </c>
    </row>
    <row r="77" hidden="1">
      <c r="A77" s="30">
        <v>72.0</v>
      </c>
      <c r="B77" s="34"/>
      <c r="C77" s="31" t="s">
        <v>483</v>
      </c>
      <c r="D77" s="31" t="s">
        <v>484</v>
      </c>
      <c r="E77" s="31" t="str">
        <f t="shared" si="13"/>
        <v>L01.28.24.02</v>
      </c>
      <c r="F77" s="31" t="s">
        <v>11854</v>
      </c>
      <c r="G77" s="34"/>
      <c r="H77" s="34"/>
      <c r="I77" s="34"/>
      <c r="J77" s="31" t="s">
        <v>474</v>
      </c>
      <c r="K77" s="32">
        <v>45407.0</v>
      </c>
      <c r="L77" s="34"/>
      <c r="M77" s="34"/>
      <c r="N77" s="31" t="s">
        <v>11849</v>
      </c>
      <c r="O77" s="656" t="s">
        <v>9265</v>
      </c>
      <c r="P77" s="33"/>
      <c r="Q77" s="31" t="s">
        <v>11802</v>
      </c>
      <c r="R77" s="2" t="str">
        <f t="array" ref="R77">xlookup($E77,'Bảng tổng hợp 1'!$B:$B,'Bảng tổng hợp 1'!$B:$B,0)</f>
        <v>L01.28.24.02</v>
      </c>
    </row>
    <row r="78" hidden="1">
      <c r="A78" s="30">
        <v>73.0</v>
      </c>
      <c r="B78" s="34"/>
      <c r="C78" s="655" t="s">
        <v>58</v>
      </c>
      <c r="D78" s="31" t="s">
        <v>10614</v>
      </c>
      <c r="E78" s="31" t="s">
        <v>10614</v>
      </c>
      <c r="F78" s="31" t="s">
        <v>11844</v>
      </c>
      <c r="G78" s="34"/>
      <c r="H78" s="34"/>
      <c r="I78" s="34"/>
      <c r="J78" s="31" t="s">
        <v>454</v>
      </c>
      <c r="K78" s="32">
        <v>45407.0</v>
      </c>
      <c r="L78" s="34"/>
      <c r="M78" s="34"/>
      <c r="N78" s="31" t="s">
        <v>11849</v>
      </c>
      <c r="O78" s="656" t="s">
        <v>9265</v>
      </c>
      <c r="P78" s="33"/>
      <c r="Q78" s="31" t="s">
        <v>11802</v>
      </c>
      <c r="R78" s="2">
        <f t="array" ref="R78">xlookup($E78,'Bảng tổng hợp 1'!$B:$B,'Bảng tổng hợp 1'!$B:$B,0)</f>
        <v>0</v>
      </c>
    </row>
    <row r="79" hidden="1">
      <c r="A79" s="30">
        <v>74.0</v>
      </c>
      <c r="B79" s="34"/>
      <c r="C79" s="31" t="s">
        <v>60</v>
      </c>
      <c r="D79" s="31" t="s">
        <v>464</v>
      </c>
      <c r="E79" s="31" t="str">
        <f t="shared" ref="E79:E80" si="14">trim(D79)</f>
        <v>L01.28..25.01</v>
      </c>
      <c r="F79" s="31" t="s">
        <v>11854</v>
      </c>
      <c r="G79" s="34"/>
      <c r="H79" s="34"/>
      <c r="I79" s="34"/>
      <c r="J79" s="31" t="s">
        <v>58</v>
      </c>
      <c r="K79" s="32">
        <v>45407.0</v>
      </c>
      <c r="L79" s="34"/>
      <c r="M79" s="34"/>
      <c r="N79" s="31" t="s">
        <v>11849</v>
      </c>
      <c r="O79" s="656" t="s">
        <v>9265</v>
      </c>
      <c r="P79" s="33"/>
      <c r="Q79" s="31" t="s">
        <v>11802</v>
      </c>
      <c r="R79" s="2" t="str">
        <f t="array" ref="R79">xlookup($E79,'Bảng tổng hợp 1'!$B:$B,'Bảng tổng hợp 1'!$B:$B,0)</f>
        <v>L01.28..25.01</v>
      </c>
    </row>
    <row r="80" hidden="1">
      <c r="A80" s="30">
        <v>75.0</v>
      </c>
      <c r="B80" s="34"/>
      <c r="C80" s="31" t="s">
        <v>59</v>
      </c>
      <c r="D80" s="31" t="s">
        <v>455</v>
      </c>
      <c r="E80" s="31" t="str">
        <f t="shared" si="14"/>
        <v>L01.28..25.02</v>
      </c>
      <c r="F80" s="31" t="s">
        <v>11854</v>
      </c>
      <c r="G80" s="34"/>
      <c r="H80" s="34"/>
      <c r="I80" s="34"/>
      <c r="J80" s="31" t="s">
        <v>58</v>
      </c>
      <c r="K80" s="32">
        <v>45407.0</v>
      </c>
      <c r="L80" s="34"/>
      <c r="M80" s="34"/>
      <c r="N80" s="31" t="s">
        <v>11849</v>
      </c>
      <c r="O80" s="656" t="s">
        <v>9265</v>
      </c>
      <c r="P80" s="33"/>
      <c r="Q80" s="31" t="s">
        <v>11802</v>
      </c>
      <c r="R80" s="2" t="str">
        <f t="array" ref="R80">xlookup($E80,'Bảng tổng hợp 1'!$B:$B,'Bảng tổng hợp 1'!$B:$B,0)</f>
        <v>L01.28..25.02</v>
      </c>
    </row>
    <row r="81" hidden="1">
      <c r="A81" s="30">
        <v>76.0</v>
      </c>
      <c r="B81" s="34"/>
      <c r="C81" s="655" t="s">
        <v>607</v>
      </c>
      <c r="D81" s="31" t="s">
        <v>10709</v>
      </c>
      <c r="E81" s="31" t="s">
        <v>10709</v>
      </c>
      <c r="F81" s="31" t="s">
        <v>11850</v>
      </c>
      <c r="G81" s="34"/>
      <c r="H81" s="34"/>
      <c r="I81" s="34"/>
      <c r="J81" s="31" t="s">
        <v>453</v>
      </c>
      <c r="K81" s="33"/>
      <c r="L81" s="34"/>
      <c r="M81" s="34"/>
      <c r="N81" s="34"/>
      <c r="O81" s="656" t="s">
        <v>9265</v>
      </c>
      <c r="P81" s="33"/>
      <c r="Q81" s="31" t="s">
        <v>11802</v>
      </c>
      <c r="R81" s="2">
        <f t="array" ref="R81">xlookup($E81,'Bảng tổng hợp 1'!$B:$B,'Bảng tổng hợp 1'!$B:$B,0)</f>
        <v>0</v>
      </c>
    </row>
    <row r="82" hidden="1">
      <c r="A82" s="30">
        <v>77.0</v>
      </c>
      <c r="B82" s="34"/>
      <c r="C82" s="31" t="s">
        <v>3247</v>
      </c>
      <c r="D82" s="31" t="s">
        <v>10432</v>
      </c>
      <c r="E82" s="31" t="str">
        <f t="shared" ref="E82:E84" si="15">trim(D82)</f>
        <v>L01.29.11</v>
      </c>
      <c r="F82" s="31" t="s">
        <v>11844</v>
      </c>
      <c r="G82" s="34"/>
      <c r="H82" s="34"/>
      <c r="I82" s="34"/>
      <c r="J82" s="31" t="s">
        <v>607</v>
      </c>
      <c r="K82" s="33"/>
      <c r="L82" s="34"/>
      <c r="M82" s="34"/>
      <c r="N82" s="34"/>
      <c r="O82" s="656" t="s">
        <v>9265</v>
      </c>
      <c r="P82" s="33"/>
      <c r="Q82" s="31" t="s">
        <v>11802</v>
      </c>
      <c r="R82" s="2" t="str">
        <f t="array" ref="R82">xlookup($E82,'Bảng tổng hợp 1'!$B:$B,'Bảng tổng hợp 1'!$B:$B,0)</f>
        <v>L01.29.11</v>
      </c>
    </row>
    <row r="83" hidden="1">
      <c r="A83" s="30">
        <v>78.0</v>
      </c>
      <c r="B83" s="34"/>
      <c r="C83" s="31" t="s">
        <v>3246</v>
      </c>
      <c r="D83" s="31" t="s">
        <v>3248</v>
      </c>
      <c r="E83" s="31" t="str">
        <f t="shared" si="15"/>
        <v>L01.29.11.01</v>
      </c>
      <c r="F83" s="31" t="s">
        <v>11851</v>
      </c>
      <c r="G83" s="34"/>
      <c r="H83" s="34"/>
      <c r="I83" s="34"/>
      <c r="J83" s="31" t="s">
        <v>3247</v>
      </c>
      <c r="K83" s="33"/>
      <c r="L83" s="34"/>
      <c r="M83" s="34"/>
      <c r="N83" s="34"/>
      <c r="O83" s="656" t="s">
        <v>9265</v>
      </c>
      <c r="P83" s="33"/>
      <c r="Q83" s="31" t="s">
        <v>11802</v>
      </c>
      <c r="R83" s="2" t="str">
        <f t="array" ref="R83">xlookup($E83,'Bảng tổng hợp 1'!$B:$B,'Bảng tổng hợp 1'!$B:$B,0)</f>
        <v>L01.29.11.01</v>
      </c>
    </row>
    <row r="84" hidden="1">
      <c r="A84" s="30">
        <v>79.0</v>
      </c>
      <c r="B84" s="34"/>
      <c r="C84" s="31" t="s">
        <v>3388</v>
      </c>
      <c r="D84" s="31" t="s">
        <v>3389</v>
      </c>
      <c r="E84" s="31" t="str">
        <f t="shared" si="15"/>
        <v>L01.29.11.02</v>
      </c>
      <c r="F84" s="31" t="s">
        <v>11851</v>
      </c>
      <c r="G84" s="34"/>
      <c r="H84" s="34"/>
      <c r="I84" s="34"/>
      <c r="J84" s="31" t="s">
        <v>3247</v>
      </c>
      <c r="K84" s="33"/>
      <c r="L84" s="34"/>
      <c r="M84" s="34"/>
      <c r="N84" s="34"/>
      <c r="O84" s="656" t="s">
        <v>9265</v>
      </c>
      <c r="P84" s="33"/>
      <c r="Q84" s="31" t="s">
        <v>11802</v>
      </c>
      <c r="R84" s="2" t="str">
        <f t="array" ref="R84">xlookup($E84,'Bảng tổng hợp 1'!$B:$B,'Bảng tổng hợp 1'!$B:$B,0)</f>
        <v>L01.29.11.02</v>
      </c>
    </row>
    <row r="85" hidden="1">
      <c r="A85" s="30">
        <v>80.0</v>
      </c>
      <c r="B85" s="34"/>
      <c r="C85" s="655" t="s">
        <v>5009</v>
      </c>
      <c r="D85" s="31" t="s">
        <v>10717</v>
      </c>
      <c r="E85" s="31" t="s">
        <v>10717</v>
      </c>
      <c r="F85" s="31" t="s">
        <v>11844</v>
      </c>
      <c r="G85" s="34"/>
      <c r="H85" s="34"/>
      <c r="I85" s="34"/>
      <c r="J85" s="31" t="s">
        <v>607</v>
      </c>
      <c r="K85" s="33"/>
      <c r="L85" s="34"/>
      <c r="M85" s="34"/>
      <c r="N85" s="34"/>
      <c r="O85" s="656" t="s">
        <v>9265</v>
      </c>
      <c r="P85" s="33"/>
      <c r="Q85" s="31" t="s">
        <v>11802</v>
      </c>
      <c r="R85" s="2">
        <f t="array" ref="R85">xlookup($E85,'Bảng tổng hợp 1'!$B:$B,'Bảng tổng hợp 1'!$B:$B,0)</f>
        <v>0</v>
      </c>
    </row>
    <row r="86" hidden="1">
      <c r="A86" s="30">
        <v>81.0</v>
      </c>
      <c r="B86" s="34"/>
      <c r="C86" s="31" t="s">
        <v>5008</v>
      </c>
      <c r="D86" s="31" t="s">
        <v>5010</v>
      </c>
      <c r="E86" s="31" t="str">
        <f t="shared" ref="E86:E90" si="16">trim(D86)</f>
        <v>L01.29.04.01</v>
      </c>
      <c r="F86" s="31" t="s">
        <v>11851</v>
      </c>
      <c r="G86" s="34"/>
      <c r="H86" s="34"/>
      <c r="I86" s="34"/>
      <c r="J86" s="31" t="s">
        <v>5009</v>
      </c>
      <c r="K86" s="33"/>
      <c r="L86" s="34"/>
      <c r="M86" s="34"/>
      <c r="N86" s="34"/>
      <c r="O86" s="656" t="s">
        <v>9265</v>
      </c>
      <c r="P86" s="33"/>
      <c r="Q86" s="31" t="s">
        <v>11802</v>
      </c>
      <c r="R86" s="2" t="str">
        <f t="array" ref="R86">xlookup($E86,'Bảng tổng hợp 1'!$B:$B,'Bảng tổng hợp 1'!$B:$B,0)</f>
        <v>L01.29.04.01</v>
      </c>
    </row>
    <row r="87" hidden="1">
      <c r="A87" s="30">
        <v>82.0</v>
      </c>
      <c r="B87" s="34"/>
      <c r="C87" s="31" t="s">
        <v>10047</v>
      </c>
      <c r="D87" s="31" t="s">
        <v>10048</v>
      </c>
      <c r="E87" s="31" t="str">
        <f t="shared" si="16"/>
        <v>L01.29.04.02</v>
      </c>
      <c r="F87" s="31" t="s">
        <v>11851</v>
      </c>
      <c r="G87" s="34"/>
      <c r="H87" s="34"/>
      <c r="I87" s="34"/>
      <c r="J87" s="31" t="s">
        <v>5009</v>
      </c>
      <c r="K87" s="33"/>
      <c r="L87" s="34"/>
      <c r="M87" s="34"/>
      <c r="N87" s="34"/>
      <c r="O87" s="656" t="s">
        <v>9265</v>
      </c>
      <c r="P87" s="33"/>
      <c r="Q87" s="31" t="s">
        <v>11802</v>
      </c>
      <c r="R87" s="2" t="str">
        <f t="array" ref="R87">xlookup($E87,'Bảng tổng hợp 1'!$B:$B,'Bảng tổng hợp 1'!$B:$B,0)</f>
        <v>L01.29.04.02</v>
      </c>
    </row>
    <row r="88" hidden="1">
      <c r="A88" s="30">
        <v>83.0</v>
      </c>
      <c r="B88" s="34"/>
      <c r="C88" s="31" t="s">
        <v>4380</v>
      </c>
      <c r="D88" s="31" t="s">
        <v>5429</v>
      </c>
      <c r="E88" s="31" t="str">
        <f t="shared" si="16"/>
        <v>L01.29.05</v>
      </c>
      <c r="F88" s="31" t="s">
        <v>11844</v>
      </c>
      <c r="G88" s="34"/>
      <c r="H88" s="34"/>
      <c r="I88" s="34"/>
      <c r="J88" s="31" t="s">
        <v>607</v>
      </c>
      <c r="K88" s="33"/>
      <c r="L88" s="34"/>
      <c r="M88" s="34"/>
      <c r="N88" s="34"/>
      <c r="O88" s="656" t="s">
        <v>9265</v>
      </c>
      <c r="P88" s="33"/>
      <c r="Q88" s="31" t="s">
        <v>11802</v>
      </c>
      <c r="R88" s="2" t="str">
        <f t="array" ref="R88">xlookup($E88,'Bảng tổng hợp 1'!$B:$B,'Bảng tổng hợp 1'!$B:$B,0)</f>
        <v>L01.29.05</v>
      </c>
    </row>
    <row r="89" hidden="1">
      <c r="A89" s="30">
        <v>84.0</v>
      </c>
      <c r="B89" s="34"/>
      <c r="C89" s="31" t="s">
        <v>4379</v>
      </c>
      <c r="D89" s="31" t="s">
        <v>4381</v>
      </c>
      <c r="E89" s="31" t="str">
        <f t="shared" si="16"/>
        <v>L01.29.05.01</v>
      </c>
      <c r="F89" s="31" t="s">
        <v>11851</v>
      </c>
      <c r="G89" s="34"/>
      <c r="H89" s="34"/>
      <c r="I89" s="34"/>
      <c r="J89" s="31" t="s">
        <v>4380</v>
      </c>
      <c r="K89" s="33"/>
      <c r="L89" s="34"/>
      <c r="M89" s="34"/>
      <c r="N89" s="34"/>
      <c r="O89" s="656" t="s">
        <v>9265</v>
      </c>
      <c r="P89" s="33"/>
      <c r="Q89" s="31" t="s">
        <v>11802</v>
      </c>
      <c r="R89" s="2" t="str">
        <f t="array" ref="R89">xlookup($E89,'Bảng tổng hợp 1'!$B:$B,'Bảng tổng hợp 1'!$B:$B,0)</f>
        <v>L01.29.05.01</v>
      </c>
    </row>
    <row r="90" hidden="1">
      <c r="A90" s="30">
        <v>85.0</v>
      </c>
      <c r="B90" s="34"/>
      <c r="C90" s="31" t="s">
        <v>5620</v>
      </c>
      <c r="D90" s="31" t="s">
        <v>5621</v>
      </c>
      <c r="E90" s="31" t="str">
        <f t="shared" si="16"/>
        <v>L01.29.05.02</v>
      </c>
      <c r="F90" s="31" t="s">
        <v>11851</v>
      </c>
      <c r="G90" s="34"/>
      <c r="H90" s="34"/>
      <c r="I90" s="34"/>
      <c r="J90" s="31" t="s">
        <v>4380</v>
      </c>
      <c r="K90" s="33"/>
      <c r="L90" s="34"/>
      <c r="M90" s="34"/>
      <c r="N90" s="34"/>
      <c r="O90" s="656" t="s">
        <v>9265</v>
      </c>
      <c r="P90" s="33"/>
      <c r="Q90" s="31" t="s">
        <v>11802</v>
      </c>
      <c r="R90" s="2" t="str">
        <f t="array" ref="R90">xlookup($E90,'Bảng tổng hợp 1'!$B:$B,'Bảng tổng hợp 1'!$B:$B,0)</f>
        <v>L01.29.05.02</v>
      </c>
    </row>
    <row r="91" hidden="1">
      <c r="A91" s="30">
        <v>86.0</v>
      </c>
      <c r="B91" s="34"/>
      <c r="C91" s="655" t="s">
        <v>608</v>
      </c>
      <c r="D91" s="31" t="s">
        <v>10752</v>
      </c>
      <c r="E91" s="31" t="s">
        <v>10752</v>
      </c>
      <c r="F91" s="31" t="s">
        <v>11844</v>
      </c>
      <c r="G91" s="34"/>
      <c r="H91" s="34"/>
      <c r="I91" s="34"/>
      <c r="J91" s="31" t="s">
        <v>607</v>
      </c>
      <c r="K91" s="33"/>
      <c r="L91" s="34"/>
      <c r="M91" s="34"/>
      <c r="N91" s="34"/>
      <c r="O91" s="656" t="s">
        <v>9265</v>
      </c>
      <c r="P91" s="33"/>
      <c r="Q91" s="31" t="s">
        <v>11802</v>
      </c>
      <c r="R91" s="2">
        <f t="array" ref="R91">xlookup($E91,'Bảng tổng hợp 1'!$B:$B,'Bảng tổng hợp 1'!$B:$B,0)</f>
        <v>0</v>
      </c>
    </row>
    <row r="92" hidden="1">
      <c r="A92" s="30">
        <v>87.0</v>
      </c>
      <c r="B92" s="34"/>
      <c r="C92" s="31" t="s">
        <v>3425</v>
      </c>
      <c r="D92" s="31" t="s">
        <v>3426</v>
      </c>
      <c r="E92" s="31" t="str">
        <f t="shared" ref="E92:E93" si="17">trim(D92)</f>
        <v>L01.29.12.02</v>
      </c>
      <c r="F92" s="31" t="s">
        <v>11851</v>
      </c>
      <c r="G92" s="34"/>
      <c r="H92" s="34"/>
      <c r="I92" s="34"/>
      <c r="J92" s="31" t="s">
        <v>608</v>
      </c>
      <c r="K92" s="33"/>
      <c r="L92" s="34"/>
      <c r="M92" s="34"/>
      <c r="N92" s="34"/>
      <c r="O92" s="656" t="s">
        <v>9265</v>
      </c>
      <c r="P92" s="33"/>
      <c r="Q92" s="31" t="s">
        <v>11802</v>
      </c>
      <c r="R92" s="2" t="str">
        <f t="array" ref="R92">xlookup($E92,'Bảng tổng hợp 1'!$B:$B,'Bảng tổng hợp 1'!$B:$B,0)</f>
        <v>L01.29.12.02</v>
      </c>
    </row>
    <row r="93" hidden="1">
      <c r="A93" s="30">
        <v>88.0</v>
      </c>
      <c r="B93" s="34"/>
      <c r="C93" s="31" t="s">
        <v>606</v>
      </c>
      <c r="D93" s="31" t="s">
        <v>609</v>
      </c>
      <c r="E93" s="31" t="str">
        <f t="shared" si="17"/>
        <v>L01.29.12.01</v>
      </c>
      <c r="F93" s="31" t="s">
        <v>11851</v>
      </c>
      <c r="G93" s="34"/>
      <c r="H93" s="34"/>
      <c r="I93" s="34"/>
      <c r="J93" s="31" t="s">
        <v>608</v>
      </c>
      <c r="K93" s="33"/>
      <c r="L93" s="34"/>
      <c r="M93" s="34"/>
      <c r="N93" s="34"/>
      <c r="O93" s="656" t="s">
        <v>9265</v>
      </c>
      <c r="P93" s="33"/>
      <c r="Q93" s="31" t="s">
        <v>11802</v>
      </c>
      <c r="R93" s="2" t="str">
        <f t="array" ref="R93">xlookup($E93,'Bảng tổng hợp 1'!$B:$B,'Bảng tổng hợp 1'!$B:$B,0)</f>
        <v>L01.29.12.01</v>
      </c>
    </row>
    <row r="94" hidden="1">
      <c r="A94" s="30">
        <v>89.0</v>
      </c>
      <c r="B94" s="34"/>
      <c r="C94" s="655" t="s">
        <v>4856</v>
      </c>
      <c r="D94" s="31" t="s">
        <v>10744</v>
      </c>
      <c r="E94" s="31" t="s">
        <v>10744</v>
      </c>
      <c r="F94" s="31" t="s">
        <v>11844</v>
      </c>
      <c r="G94" s="34"/>
      <c r="H94" s="34"/>
      <c r="I94" s="34"/>
      <c r="J94" s="31" t="s">
        <v>607</v>
      </c>
      <c r="K94" s="33"/>
      <c r="L94" s="34"/>
      <c r="M94" s="34"/>
      <c r="N94" s="34"/>
      <c r="O94" s="656" t="s">
        <v>9265</v>
      </c>
      <c r="P94" s="33"/>
      <c r="Q94" s="31" t="s">
        <v>11802</v>
      </c>
      <c r="R94" s="2">
        <f t="array" ref="R94">xlookup($E94,'Bảng tổng hợp 1'!$B:$B,'Bảng tổng hợp 1'!$B:$B,0)</f>
        <v>0</v>
      </c>
    </row>
    <row r="95" hidden="1">
      <c r="A95" s="30">
        <v>90.0</v>
      </c>
      <c r="B95" s="34"/>
      <c r="C95" s="655" t="s">
        <v>11861</v>
      </c>
      <c r="D95" s="31" t="s">
        <v>11862</v>
      </c>
      <c r="E95" s="31" t="s">
        <v>11862</v>
      </c>
      <c r="F95" s="31" t="s">
        <v>11851</v>
      </c>
      <c r="G95" s="34"/>
      <c r="H95" s="34"/>
      <c r="I95" s="34"/>
      <c r="J95" s="31" t="s">
        <v>4856</v>
      </c>
      <c r="K95" s="33"/>
      <c r="L95" s="34"/>
      <c r="M95" s="34"/>
      <c r="N95" s="34"/>
      <c r="O95" s="656" t="s">
        <v>9265</v>
      </c>
      <c r="P95" s="33"/>
      <c r="Q95" s="31" t="s">
        <v>11802</v>
      </c>
      <c r="R95" s="2">
        <f t="array" ref="R95">xlookup($E95,'Bảng tổng hợp 1'!$B:$B,'Bảng tổng hợp 1'!$B:$B,0)</f>
        <v>0</v>
      </c>
    </row>
    <row r="96" hidden="1">
      <c r="A96" s="30">
        <v>91.0</v>
      </c>
      <c r="B96" s="34"/>
      <c r="C96" s="31" t="s">
        <v>4855</v>
      </c>
      <c r="D96" s="31" t="s">
        <v>4857</v>
      </c>
      <c r="E96" s="31" t="str">
        <f>trim(D96)</f>
        <v>L01.29.10.01</v>
      </c>
      <c r="F96" s="31" t="s">
        <v>11851</v>
      </c>
      <c r="G96" s="34"/>
      <c r="H96" s="34"/>
      <c r="I96" s="34"/>
      <c r="J96" s="31" t="s">
        <v>4856</v>
      </c>
      <c r="K96" s="33"/>
      <c r="L96" s="34"/>
      <c r="M96" s="34"/>
      <c r="N96" s="34"/>
      <c r="O96" s="656" t="s">
        <v>9265</v>
      </c>
      <c r="P96" s="33"/>
      <c r="Q96" s="31" t="s">
        <v>11802</v>
      </c>
      <c r="R96" s="2" t="str">
        <f t="array" ref="R96">xlookup($E96,'Bảng tổng hợp 1'!$B:$B,'Bảng tổng hợp 1'!$B:$B,0)</f>
        <v>L01.29.10.01</v>
      </c>
    </row>
    <row r="97" hidden="1">
      <c r="A97" s="30">
        <v>92.0</v>
      </c>
      <c r="B97" s="34"/>
      <c r="C97" s="655" t="s">
        <v>5626</v>
      </c>
      <c r="D97" s="31" t="s">
        <v>10739</v>
      </c>
      <c r="E97" s="31" t="s">
        <v>10739</v>
      </c>
      <c r="F97" s="31" t="s">
        <v>11844</v>
      </c>
      <c r="G97" s="34"/>
      <c r="H97" s="34"/>
      <c r="I97" s="34"/>
      <c r="J97" s="31" t="s">
        <v>607</v>
      </c>
      <c r="K97" s="33"/>
      <c r="L97" s="34"/>
      <c r="M97" s="34"/>
      <c r="N97" s="34"/>
      <c r="O97" s="656" t="s">
        <v>9265</v>
      </c>
      <c r="P97" s="33"/>
      <c r="Q97" s="31" t="s">
        <v>11802</v>
      </c>
      <c r="R97" s="2">
        <f t="array" ref="R97">xlookup($E97,'Bảng tổng hợp 1'!$B:$B,'Bảng tổng hợp 1'!$B:$B,0)</f>
        <v>0</v>
      </c>
    </row>
    <row r="98" hidden="1">
      <c r="A98" s="30">
        <v>93.0</v>
      </c>
      <c r="B98" s="34"/>
      <c r="C98" s="31" t="s">
        <v>5625</v>
      </c>
      <c r="D98" s="31" t="s">
        <v>5627</v>
      </c>
      <c r="E98" s="31" t="str">
        <f>trim(D98)</f>
        <v>L01.29.09.01</v>
      </c>
      <c r="F98" s="31" t="s">
        <v>11851</v>
      </c>
      <c r="G98" s="34"/>
      <c r="H98" s="34"/>
      <c r="I98" s="34"/>
      <c r="J98" s="31" t="s">
        <v>5626</v>
      </c>
      <c r="K98" s="33"/>
      <c r="L98" s="34"/>
      <c r="M98" s="34"/>
      <c r="N98" s="34"/>
      <c r="O98" s="656" t="s">
        <v>9265</v>
      </c>
      <c r="P98" s="33"/>
      <c r="Q98" s="31" t="s">
        <v>11802</v>
      </c>
      <c r="R98" s="2" t="str">
        <f t="array" ref="R98">xlookup($E98,'Bảng tổng hợp 1'!$B:$B,'Bảng tổng hợp 1'!$B:$B,0)</f>
        <v>L01.29.09.01</v>
      </c>
    </row>
    <row r="99" hidden="1">
      <c r="A99" s="30">
        <v>94.0</v>
      </c>
      <c r="B99" s="34"/>
      <c r="C99" s="655" t="s">
        <v>11863</v>
      </c>
      <c r="D99" s="31" t="s">
        <v>11864</v>
      </c>
      <c r="E99" s="31" t="s">
        <v>11864</v>
      </c>
      <c r="F99" s="31" t="s">
        <v>11851</v>
      </c>
      <c r="G99" s="34"/>
      <c r="H99" s="34"/>
      <c r="I99" s="34"/>
      <c r="J99" s="31" t="s">
        <v>5626</v>
      </c>
      <c r="K99" s="33"/>
      <c r="L99" s="34"/>
      <c r="M99" s="34"/>
      <c r="N99" s="34"/>
      <c r="O99" s="656" t="s">
        <v>9265</v>
      </c>
      <c r="P99" s="33"/>
      <c r="Q99" s="31" t="s">
        <v>11802</v>
      </c>
      <c r="R99" s="2">
        <f t="array" ref="R99">xlookup($E99,'Bảng tổng hợp 1'!$B:$B,'Bảng tổng hợp 1'!$B:$B,0)</f>
        <v>0</v>
      </c>
    </row>
    <row r="100" hidden="1">
      <c r="A100" s="30">
        <v>95.0</v>
      </c>
      <c r="B100" s="34"/>
      <c r="C100" s="31" t="s">
        <v>6093</v>
      </c>
      <c r="D100" s="31" t="s">
        <v>6094</v>
      </c>
      <c r="E100" s="31" t="str">
        <f>trim(D100)</f>
        <v>L01.29.09.02</v>
      </c>
      <c r="F100" s="31" t="s">
        <v>11851</v>
      </c>
      <c r="G100" s="34"/>
      <c r="H100" s="34"/>
      <c r="I100" s="34"/>
      <c r="J100" s="31" t="s">
        <v>5626</v>
      </c>
      <c r="K100" s="33"/>
      <c r="L100" s="34"/>
      <c r="M100" s="34"/>
      <c r="N100" s="34"/>
      <c r="O100" s="656" t="s">
        <v>9265</v>
      </c>
      <c r="P100" s="33"/>
      <c r="Q100" s="31" t="s">
        <v>11802</v>
      </c>
      <c r="R100" s="2" t="str">
        <f t="array" ref="R100">xlookup($E100,'Bảng tổng hợp 1'!$B:$B,'Bảng tổng hợp 1'!$B:$B,0)</f>
        <v>L01.29.09.02</v>
      </c>
    </row>
    <row r="101" hidden="1">
      <c r="A101" s="30">
        <v>96.0</v>
      </c>
      <c r="B101" s="34"/>
      <c r="C101" s="655" t="s">
        <v>4415</v>
      </c>
      <c r="D101" s="31" t="s">
        <v>10712</v>
      </c>
      <c r="E101" s="31" t="s">
        <v>10712</v>
      </c>
      <c r="F101" s="31" t="s">
        <v>11844</v>
      </c>
      <c r="G101" s="34"/>
      <c r="H101" s="34"/>
      <c r="I101" s="34"/>
      <c r="J101" s="31" t="s">
        <v>607</v>
      </c>
      <c r="K101" s="33"/>
      <c r="L101" s="34"/>
      <c r="M101" s="34"/>
      <c r="N101" s="34"/>
      <c r="O101" s="656" t="s">
        <v>9265</v>
      </c>
      <c r="P101" s="33"/>
      <c r="Q101" s="31" t="s">
        <v>11802</v>
      </c>
      <c r="R101" s="2">
        <f t="array" ref="R101">xlookup($E101,'Bảng tổng hợp 1'!$B:$B,'Bảng tổng hợp 1'!$B:$B,0)</f>
        <v>0</v>
      </c>
    </row>
    <row r="102" hidden="1">
      <c r="A102" s="30">
        <v>97.0</v>
      </c>
      <c r="B102" s="34"/>
      <c r="C102" s="31" t="s">
        <v>4414</v>
      </c>
      <c r="D102" s="31" t="s">
        <v>4416</v>
      </c>
      <c r="E102" s="31" t="str">
        <f t="shared" ref="E102:E103" si="18">trim(D102)</f>
        <v>L01.29.03.01</v>
      </c>
      <c r="F102" s="31" t="s">
        <v>11851</v>
      </c>
      <c r="G102" s="34"/>
      <c r="H102" s="34"/>
      <c r="I102" s="34"/>
      <c r="J102" s="31" t="s">
        <v>4415</v>
      </c>
      <c r="K102" s="33"/>
      <c r="L102" s="34"/>
      <c r="M102" s="34"/>
      <c r="N102" s="34"/>
      <c r="O102" s="656" t="s">
        <v>9265</v>
      </c>
      <c r="P102" s="33"/>
      <c r="Q102" s="31" t="s">
        <v>11802</v>
      </c>
      <c r="R102" s="2" t="str">
        <f t="array" ref="R102">xlookup($E102,'Bảng tổng hợp 1'!$B:$B,'Bảng tổng hợp 1'!$B:$B,0)</f>
        <v>L01.29.03.01</v>
      </c>
    </row>
    <row r="103" hidden="1">
      <c r="A103" s="30">
        <v>98.0</v>
      </c>
      <c r="B103" s="34"/>
      <c r="C103" s="31" t="s">
        <v>6181</v>
      </c>
      <c r="D103" s="31" t="s">
        <v>6182</v>
      </c>
      <c r="E103" s="31" t="str">
        <f t="shared" si="18"/>
        <v>L01.29.03.02</v>
      </c>
      <c r="F103" s="31" t="s">
        <v>11851</v>
      </c>
      <c r="G103" s="34"/>
      <c r="H103" s="34"/>
      <c r="I103" s="34"/>
      <c r="J103" s="31" t="s">
        <v>4415</v>
      </c>
      <c r="K103" s="33"/>
      <c r="L103" s="34"/>
      <c r="M103" s="34"/>
      <c r="N103" s="34"/>
      <c r="O103" s="656" t="s">
        <v>9265</v>
      </c>
      <c r="P103" s="33"/>
      <c r="Q103" s="31" t="s">
        <v>11802</v>
      </c>
      <c r="R103" s="2" t="str">
        <f t="array" ref="R103">xlookup($E103,'Bảng tổng hợp 1'!$B:$B,'Bảng tổng hợp 1'!$B:$B,0)</f>
        <v>L01.29.03.02</v>
      </c>
    </row>
    <row r="104" hidden="1">
      <c r="A104" s="30">
        <v>99.0</v>
      </c>
      <c r="B104" s="34"/>
      <c r="C104" s="655" t="s">
        <v>4927</v>
      </c>
      <c r="D104" s="31" t="s">
        <v>10731</v>
      </c>
      <c r="E104" s="31" t="s">
        <v>10731</v>
      </c>
      <c r="F104" s="31" t="s">
        <v>11844</v>
      </c>
      <c r="G104" s="34"/>
      <c r="H104" s="34"/>
      <c r="I104" s="34"/>
      <c r="J104" s="31" t="s">
        <v>607</v>
      </c>
      <c r="K104" s="33"/>
      <c r="L104" s="34"/>
      <c r="M104" s="34"/>
      <c r="N104" s="34"/>
      <c r="O104" s="656" t="s">
        <v>9265</v>
      </c>
      <c r="P104" s="33"/>
      <c r="Q104" s="31" t="s">
        <v>11802</v>
      </c>
      <c r="R104" s="2">
        <f t="array" ref="R104">xlookup($E104,'Bảng tổng hợp 1'!$B:$B,'Bảng tổng hợp 1'!$B:$B,0)</f>
        <v>0</v>
      </c>
    </row>
    <row r="105" hidden="1">
      <c r="A105" s="30">
        <v>100.0</v>
      </c>
      <c r="B105" s="34"/>
      <c r="C105" s="31" t="s">
        <v>4926</v>
      </c>
      <c r="D105" s="31" t="s">
        <v>4928</v>
      </c>
      <c r="E105" s="31" t="str">
        <f>trim(D105)</f>
        <v>L01.29.07.01</v>
      </c>
      <c r="F105" s="31" t="s">
        <v>11851</v>
      </c>
      <c r="G105" s="34"/>
      <c r="H105" s="34"/>
      <c r="I105" s="34"/>
      <c r="J105" s="31" t="s">
        <v>4927</v>
      </c>
      <c r="K105" s="33"/>
      <c r="L105" s="34"/>
      <c r="M105" s="34"/>
      <c r="N105" s="34"/>
      <c r="O105" s="656" t="s">
        <v>9265</v>
      </c>
      <c r="P105" s="33"/>
      <c r="Q105" s="31" t="s">
        <v>11802</v>
      </c>
      <c r="R105" s="2" t="str">
        <f t="array" ref="R105">xlookup($E105,'Bảng tổng hợp 1'!$B:$B,'Bảng tổng hợp 1'!$B:$B,0)</f>
        <v>L01.29.07.01</v>
      </c>
    </row>
    <row r="106" hidden="1">
      <c r="A106" s="30">
        <v>101.0</v>
      </c>
      <c r="B106" s="34"/>
      <c r="C106" s="655" t="s">
        <v>11865</v>
      </c>
      <c r="D106" s="31" t="s">
        <v>11866</v>
      </c>
      <c r="E106" s="31" t="s">
        <v>11866</v>
      </c>
      <c r="F106" s="31" t="s">
        <v>11851</v>
      </c>
      <c r="G106" s="34"/>
      <c r="H106" s="34"/>
      <c r="I106" s="34"/>
      <c r="J106" s="31" t="s">
        <v>4927</v>
      </c>
      <c r="K106" s="33"/>
      <c r="L106" s="34"/>
      <c r="M106" s="34"/>
      <c r="N106" s="34"/>
      <c r="O106" s="656" t="s">
        <v>9265</v>
      </c>
      <c r="P106" s="33"/>
      <c r="Q106" s="31" t="s">
        <v>11802</v>
      </c>
      <c r="R106" s="2">
        <f t="array" ref="R106">xlookup($E106,'Bảng tổng hợp 1'!$B:$B,'Bảng tổng hợp 1'!$B:$B,0)</f>
        <v>0</v>
      </c>
    </row>
    <row r="107" hidden="1">
      <c r="A107" s="30">
        <v>102.0</v>
      </c>
      <c r="B107" s="34"/>
      <c r="C107" s="655" t="s">
        <v>2697</v>
      </c>
      <c r="D107" s="31" t="s">
        <v>10726</v>
      </c>
      <c r="E107" s="31" t="s">
        <v>10726</v>
      </c>
      <c r="F107" s="31" t="s">
        <v>11844</v>
      </c>
      <c r="G107" s="34"/>
      <c r="H107" s="34"/>
      <c r="I107" s="34"/>
      <c r="J107" s="31" t="s">
        <v>607</v>
      </c>
      <c r="K107" s="33"/>
      <c r="L107" s="34"/>
      <c r="M107" s="34"/>
      <c r="N107" s="34"/>
      <c r="O107" s="656" t="s">
        <v>9265</v>
      </c>
      <c r="P107" s="33"/>
      <c r="Q107" s="31" t="s">
        <v>11802</v>
      </c>
      <c r="R107" s="2">
        <f t="array" ref="R107">xlookup($E107,'Bảng tổng hợp 1'!$B:$B,'Bảng tổng hợp 1'!$B:$B,0)</f>
        <v>0</v>
      </c>
    </row>
    <row r="108" hidden="1">
      <c r="A108" s="30">
        <v>103.0</v>
      </c>
      <c r="B108" s="34"/>
      <c r="C108" s="31" t="s">
        <v>2696</v>
      </c>
      <c r="D108" s="31" t="s">
        <v>2698</v>
      </c>
      <c r="E108" s="31" t="str">
        <f t="shared" ref="E108:E109" si="19">trim(D108)</f>
        <v>L01.29.06.01</v>
      </c>
      <c r="F108" s="31" t="s">
        <v>11851</v>
      </c>
      <c r="G108" s="34"/>
      <c r="H108" s="34"/>
      <c r="I108" s="34"/>
      <c r="J108" s="31" t="s">
        <v>2697</v>
      </c>
      <c r="K108" s="33"/>
      <c r="L108" s="34"/>
      <c r="M108" s="34"/>
      <c r="N108" s="34"/>
      <c r="O108" s="656" t="s">
        <v>9265</v>
      </c>
      <c r="P108" s="33"/>
      <c r="Q108" s="31" t="s">
        <v>11802</v>
      </c>
      <c r="R108" s="2" t="str">
        <f t="array" ref="R108">xlookup($E108,'Bảng tổng hợp 1'!$B:$B,'Bảng tổng hợp 1'!$B:$B,0)</f>
        <v>L01.29.06.01</v>
      </c>
    </row>
    <row r="109" hidden="1">
      <c r="A109" s="30">
        <v>104.0</v>
      </c>
      <c r="B109" s="34"/>
      <c r="C109" s="31" t="s">
        <v>4446</v>
      </c>
      <c r="D109" s="31" t="s">
        <v>4447</v>
      </c>
      <c r="E109" s="31" t="str">
        <f t="shared" si="19"/>
        <v>L01.29.06.02</v>
      </c>
      <c r="F109" s="31" t="s">
        <v>11851</v>
      </c>
      <c r="G109" s="34"/>
      <c r="H109" s="34"/>
      <c r="I109" s="34"/>
      <c r="J109" s="31" t="s">
        <v>2697</v>
      </c>
      <c r="K109" s="33"/>
      <c r="L109" s="34"/>
      <c r="M109" s="34"/>
      <c r="N109" s="34"/>
      <c r="O109" s="656" t="s">
        <v>9265</v>
      </c>
      <c r="P109" s="33"/>
      <c r="Q109" s="31" t="s">
        <v>11802</v>
      </c>
      <c r="R109" s="2" t="str">
        <f t="array" ref="R109">xlookup($E109,'Bảng tổng hợp 1'!$B:$B,'Bảng tổng hợp 1'!$B:$B,0)</f>
        <v>L01.29.06.02</v>
      </c>
    </row>
    <row r="110" hidden="1">
      <c r="A110" s="30">
        <v>105.0</v>
      </c>
      <c r="B110" s="34"/>
      <c r="C110" s="655" t="s">
        <v>11867</v>
      </c>
      <c r="D110" s="31" t="s">
        <v>11868</v>
      </c>
      <c r="E110" s="31" t="s">
        <v>11868</v>
      </c>
      <c r="F110" s="31" t="s">
        <v>11844</v>
      </c>
      <c r="G110" s="34"/>
      <c r="H110" s="34"/>
      <c r="I110" s="34"/>
      <c r="J110" s="31" t="s">
        <v>607</v>
      </c>
      <c r="K110" s="33"/>
      <c r="L110" s="34"/>
      <c r="M110" s="34"/>
      <c r="N110" s="34"/>
      <c r="O110" s="656" t="s">
        <v>9265</v>
      </c>
      <c r="P110" s="33"/>
      <c r="Q110" s="31" t="s">
        <v>11802</v>
      </c>
      <c r="R110" s="2">
        <f t="array" ref="R110">xlookup($E110,'Bảng tổng hợp 1'!$B:$B,'Bảng tổng hợp 1'!$B:$B,0)</f>
        <v>0</v>
      </c>
    </row>
    <row r="111" hidden="1">
      <c r="A111" s="30">
        <v>106.0</v>
      </c>
      <c r="B111" s="34"/>
      <c r="C111" s="655" t="s">
        <v>11869</v>
      </c>
      <c r="D111" s="31" t="s">
        <v>11870</v>
      </c>
      <c r="E111" s="31" t="s">
        <v>11870</v>
      </c>
      <c r="F111" s="31" t="s">
        <v>11851</v>
      </c>
      <c r="G111" s="34"/>
      <c r="H111" s="34"/>
      <c r="I111" s="34"/>
      <c r="J111" s="31" t="s">
        <v>11867</v>
      </c>
      <c r="K111" s="33"/>
      <c r="L111" s="34"/>
      <c r="M111" s="34"/>
      <c r="N111" s="34"/>
      <c r="O111" s="656" t="s">
        <v>9265</v>
      </c>
      <c r="P111" s="33"/>
      <c r="Q111" s="31" t="s">
        <v>11802</v>
      </c>
      <c r="R111" s="2">
        <f t="array" ref="R111">xlookup($E111,'Bảng tổng hợp 1'!$B:$B,'Bảng tổng hợp 1'!$B:$B,0)</f>
        <v>0</v>
      </c>
    </row>
    <row r="112" hidden="1">
      <c r="A112" s="30">
        <v>107.0</v>
      </c>
      <c r="B112" s="34"/>
      <c r="C112" s="655" t="s">
        <v>11871</v>
      </c>
      <c r="D112" s="31" t="s">
        <v>11872</v>
      </c>
      <c r="E112" s="31" t="s">
        <v>11872</v>
      </c>
      <c r="F112" s="31" t="s">
        <v>11851</v>
      </c>
      <c r="G112" s="34"/>
      <c r="H112" s="34"/>
      <c r="I112" s="34"/>
      <c r="J112" s="31" t="s">
        <v>11867</v>
      </c>
      <c r="K112" s="33"/>
      <c r="L112" s="34"/>
      <c r="M112" s="34"/>
      <c r="N112" s="34"/>
      <c r="O112" s="656" t="s">
        <v>9265</v>
      </c>
      <c r="P112" s="33"/>
      <c r="Q112" s="31" t="s">
        <v>11802</v>
      </c>
      <c r="R112" s="2">
        <f t="array" ref="R112">xlookup($E112,'Bảng tổng hợp 1'!$B:$B,'Bảng tổng hợp 1'!$B:$B,0)</f>
        <v>0</v>
      </c>
    </row>
    <row r="113" hidden="1">
      <c r="A113" s="30">
        <v>108.0</v>
      </c>
      <c r="B113" s="34"/>
      <c r="C113" s="31" t="s">
        <v>63</v>
      </c>
      <c r="D113" s="31" t="s">
        <v>4997</v>
      </c>
      <c r="E113" s="31" t="str">
        <f t="shared" ref="E113:E117" si="20">trim(D113)</f>
        <v>L01.29.01</v>
      </c>
      <c r="F113" s="31" t="s">
        <v>11844</v>
      </c>
      <c r="G113" s="34"/>
      <c r="H113" s="34"/>
      <c r="I113" s="34"/>
      <c r="J113" s="31" t="s">
        <v>607</v>
      </c>
      <c r="K113" s="33"/>
      <c r="L113" s="34"/>
      <c r="M113" s="34"/>
      <c r="N113" s="34"/>
      <c r="O113" s="656" t="s">
        <v>9265</v>
      </c>
      <c r="P113" s="33"/>
      <c r="Q113" s="31" t="s">
        <v>11802</v>
      </c>
      <c r="R113" s="2" t="str">
        <f t="array" ref="R113">xlookup($E113,'Bảng tổng hợp 1'!$B:$B,'Bảng tổng hợp 1'!$B:$B,0)</f>
        <v>L01.29.01</v>
      </c>
    </row>
    <row r="114" hidden="1">
      <c r="A114" s="30">
        <v>109.0</v>
      </c>
      <c r="B114" s="34"/>
      <c r="C114" s="31" t="s">
        <v>3035</v>
      </c>
      <c r="D114" s="31" t="s">
        <v>4698</v>
      </c>
      <c r="E114" s="31" t="str">
        <f t="shared" si="20"/>
        <v>L01.29.08</v>
      </c>
      <c r="F114" s="31" t="s">
        <v>11844</v>
      </c>
      <c r="G114" s="34"/>
      <c r="H114" s="34"/>
      <c r="I114" s="34"/>
      <c r="J114" s="31" t="s">
        <v>607</v>
      </c>
      <c r="K114" s="33"/>
      <c r="L114" s="34"/>
      <c r="M114" s="34"/>
      <c r="N114" s="34"/>
      <c r="O114" s="656" t="s">
        <v>9265</v>
      </c>
      <c r="P114" s="33"/>
      <c r="Q114" s="31" t="s">
        <v>11802</v>
      </c>
      <c r="R114" s="2" t="str">
        <f t="array" ref="R114">xlookup($E114,'Bảng tổng hợp 1'!$B:$B,'Bảng tổng hợp 1'!$B:$B,0)</f>
        <v>L01.29.08</v>
      </c>
    </row>
    <row r="115" hidden="1">
      <c r="A115" s="30">
        <v>110.0</v>
      </c>
      <c r="B115" s="34"/>
      <c r="C115" s="31" t="s">
        <v>3034</v>
      </c>
      <c r="D115" s="31" t="s">
        <v>3036</v>
      </c>
      <c r="E115" s="31" t="str">
        <f t="shared" si="20"/>
        <v>L01.29.08.02</v>
      </c>
      <c r="F115" s="31" t="s">
        <v>11851</v>
      </c>
      <c r="G115" s="34"/>
      <c r="H115" s="34"/>
      <c r="I115" s="34"/>
      <c r="J115" s="31" t="s">
        <v>3035</v>
      </c>
      <c r="K115" s="33"/>
      <c r="L115" s="34"/>
      <c r="M115" s="34"/>
      <c r="N115" s="34"/>
      <c r="O115" s="656" t="s">
        <v>9265</v>
      </c>
      <c r="P115" s="33"/>
      <c r="Q115" s="31" t="s">
        <v>11802</v>
      </c>
      <c r="R115" s="2" t="str">
        <f t="array" ref="R115">xlookup($E115,'Bảng tổng hợp 1'!$B:$B,'Bảng tổng hợp 1'!$B:$B,0)</f>
        <v>L01.29.08.02</v>
      </c>
    </row>
    <row r="116" hidden="1">
      <c r="A116" s="30">
        <v>111.0</v>
      </c>
      <c r="B116" s="34"/>
      <c r="C116" s="31" t="s">
        <v>5499</v>
      </c>
      <c r="D116" s="31" t="s">
        <v>5500</v>
      </c>
      <c r="E116" s="31" t="str">
        <f t="shared" si="20"/>
        <v>L01.29.08.01</v>
      </c>
      <c r="F116" s="31" t="s">
        <v>11851</v>
      </c>
      <c r="G116" s="34"/>
      <c r="H116" s="34"/>
      <c r="I116" s="34"/>
      <c r="J116" s="31" t="s">
        <v>3035</v>
      </c>
      <c r="K116" s="33"/>
      <c r="L116" s="34"/>
      <c r="M116" s="34"/>
      <c r="N116" s="34"/>
      <c r="O116" s="656" t="s">
        <v>9265</v>
      </c>
      <c r="P116" s="33"/>
      <c r="Q116" s="31" t="s">
        <v>11802</v>
      </c>
      <c r="R116" s="2" t="str">
        <f t="array" ref="R116">xlookup($E116,'Bảng tổng hợp 1'!$B:$B,'Bảng tổng hợp 1'!$B:$B,0)</f>
        <v>L01.29.08.01</v>
      </c>
    </row>
    <row r="117" hidden="1">
      <c r="A117" s="30">
        <v>112.0</v>
      </c>
      <c r="B117" s="34"/>
      <c r="C117" s="31" t="s">
        <v>5207</v>
      </c>
      <c r="D117" s="31" t="s">
        <v>5208</v>
      </c>
      <c r="E117" s="31" t="str">
        <f t="shared" si="20"/>
        <v>L01.29.13</v>
      </c>
      <c r="F117" s="31" t="s">
        <v>11851</v>
      </c>
      <c r="G117" s="34"/>
      <c r="H117" s="34"/>
      <c r="I117" s="34"/>
      <c r="J117" s="31" t="s">
        <v>607</v>
      </c>
      <c r="K117" s="33"/>
      <c r="L117" s="34"/>
      <c r="M117" s="34"/>
      <c r="N117" s="34"/>
      <c r="O117" s="656" t="s">
        <v>9265</v>
      </c>
      <c r="P117" s="33"/>
      <c r="Q117" s="31" t="s">
        <v>11802</v>
      </c>
      <c r="R117" s="2" t="str">
        <f t="array" ref="R117">xlookup($E117,'Bảng tổng hợp 1'!$B:$B,'Bảng tổng hợp 1'!$B:$B,0)</f>
        <v>L01.29.13</v>
      </c>
    </row>
    <row r="118" hidden="1">
      <c r="A118" s="30">
        <v>113.0</v>
      </c>
      <c r="B118" s="34"/>
      <c r="C118" s="655" t="s">
        <v>6890</v>
      </c>
      <c r="D118" s="31" t="s">
        <v>10758</v>
      </c>
      <c r="E118" s="31" t="s">
        <v>10758</v>
      </c>
      <c r="F118" s="31" t="s">
        <v>11844</v>
      </c>
      <c r="G118" s="34"/>
      <c r="H118" s="34"/>
      <c r="I118" s="34"/>
      <c r="J118" s="31" t="s">
        <v>607</v>
      </c>
      <c r="K118" s="33"/>
      <c r="L118" s="34"/>
      <c r="M118" s="34"/>
      <c r="N118" s="31" t="s">
        <v>11849</v>
      </c>
      <c r="O118" s="656" t="s">
        <v>9265</v>
      </c>
      <c r="P118" s="33"/>
      <c r="Q118" s="31" t="s">
        <v>11802</v>
      </c>
      <c r="R118" s="2">
        <f t="array" ref="R118">xlookup($E118,'Bảng tổng hợp 1'!$B:$B,'Bảng tổng hợp 1'!$B:$B,0)</f>
        <v>0</v>
      </c>
    </row>
    <row r="119" hidden="1">
      <c r="A119" s="30">
        <v>114.0</v>
      </c>
      <c r="B119" s="34"/>
      <c r="C119" s="655" t="s">
        <v>11873</v>
      </c>
      <c r="D119" s="31" t="s">
        <v>11874</v>
      </c>
      <c r="E119" s="31" t="s">
        <v>11874</v>
      </c>
      <c r="F119" s="31" t="s">
        <v>11854</v>
      </c>
      <c r="G119" s="34"/>
      <c r="H119" s="34"/>
      <c r="I119" s="34"/>
      <c r="J119" s="31" t="s">
        <v>6890</v>
      </c>
      <c r="K119" s="33"/>
      <c r="L119" s="34"/>
      <c r="M119" s="34"/>
      <c r="N119" s="31" t="s">
        <v>11849</v>
      </c>
      <c r="O119" s="656" t="s">
        <v>9265</v>
      </c>
      <c r="P119" s="33"/>
      <c r="Q119" s="31" t="s">
        <v>11802</v>
      </c>
      <c r="R119" s="2">
        <f t="array" ref="R119">xlookup($E119,'Bảng tổng hợp 1'!$B:$B,'Bảng tổng hợp 1'!$B:$B,0)</f>
        <v>0</v>
      </c>
    </row>
    <row r="120" hidden="1">
      <c r="A120" s="30">
        <v>115.0</v>
      </c>
      <c r="B120" s="34"/>
      <c r="C120" s="31" t="s">
        <v>6889</v>
      </c>
      <c r="D120" s="31" t="s">
        <v>6891</v>
      </c>
      <c r="E120" s="31" t="str">
        <f>trim(D120)</f>
        <v>L01.29.14.02</v>
      </c>
      <c r="F120" s="31" t="s">
        <v>11854</v>
      </c>
      <c r="G120" s="34"/>
      <c r="H120" s="34"/>
      <c r="I120" s="34"/>
      <c r="J120" s="31" t="s">
        <v>6890</v>
      </c>
      <c r="K120" s="33"/>
      <c r="L120" s="34"/>
      <c r="M120" s="34"/>
      <c r="N120" s="31" t="s">
        <v>11849</v>
      </c>
      <c r="O120" s="656" t="s">
        <v>9265</v>
      </c>
      <c r="P120" s="33"/>
      <c r="Q120" s="31" t="s">
        <v>11802</v>
      </c>
      <c r="R120" s="2" t="str">
        <f t="array" ref="R120">xlookup($E120,'Bảng tổng hợp 1'!$B:$B,'Bảng tổng hợp 1'!$B:$B,0)</f>
        <v>L01.29.14.02</v>
      </c>
    </row>
    <row r="121" hidden="1">
      <c r="A121" s="30">
        <v>116.0</v>
      </c>
      <c r="B121" s="34"/>
      <c r="C121" s="655" t="s">
        <v>566</v>
      </c>
      <c r="D121" s="31" t="s">
        <v>10766</v>
      </c>
      <c r="E121" s="31" t="s">
        <v>10766</v>
      </c>
      <c r="F121" s="31" t="s">
        <v>11850</v>
      </c>
      <c r="G121" s="34"/>
      <c r="H121" s="34"/>
      <c r="I121" s="34"/>
      <c r="J121" s="31" t="s">
        <v>453</v>
      </c>
      <c r="K121" s="33"/>
      <c r="L121" s="34"/>
      <c r="M121" s="34"/>
      <c r="N121" s="34"/>
      <c r="O121" s="656" t="s">
        <v>9265</v>
      </c>
      <c r="P121" s="33"/>
      <c r="Q121" s="31" t="s">
        <v>11802</v>
      </c>
      <c r="R121" s="2">
        <f t="array" ref="R121">xlookup($E121,'Bảng tổng hợp 1'!$B:$B,'Bảng tổng hợp 1'!$B:$B,0)</f>
        <v>0</v>
      </c>
    </row>
    <row r="122" hidden="1">
      <c r="A122" s="30">
        <v>117.0</v>
      </c>
      <c r="B122" s="34"/>
      <c r="C122" s="31" t="s">
        <v>6383</v>
      </c>
      <c r="D122" s="31" t="s">
        <v>6522</v>
      </c>
      <c r="E122" s="31" t="str">
        <f t="shared" ref="E122:E124" si="21">trim(D122)</f>
        <v>L01.30.04</v>
      </c>
      <c r="F122" s="31" t="s">
        <v>11844</v>
      </c>
      <c r="G122" s="34"/>
      <c r="H122" s="34"/>
      <c r="I122" s="34"/>
      <c r="J122" s="31" t="s">
        <v>566</v>
      </c>
      <c r="K122" s="33"/>
      <c r="L122" s="34"/>
      <c r="M122" s="34"/>
      <c r="N122" s="34"/>
      <c r="O122" s="656" t="s">
        <v>9265</v>
      </c>
      <c r="P122" s="33"/>
      <c r="Q122" s="31" t="s">
        <v>11802</v>
      </c>
      <c r="R122" s="2" t="str">
        <f t="array" ref="R122">xlookup($E122,'Bảng tổng hợp 1'!$B:$B,'Bảng tổng hợp 1'!$B:$B,0)</f>
        <v>L01.30.04</v>
      </c>
    </row>
    <row r="123" hidden="1">
      <c r="A123" s="30">
        <v>118.0</v>
      </c>
      <c r="B123" s="34"/>
      <c r="C123" s="31" t="s">
        <v>6484</v>
      </c>
      <c r="D123" s="31" t="s">
        <v>6485</v>
      </c>
      <c r="E123" s="31" t="str">
        <f t="shared" si="21"/>
        <v>L01.30.04.02</v>
      </c>
      <c r="F123" s="31" t="s">
        <v>11851</v>
      </c>
      <c r="G123" s="34"/>
      <c r="H123" s="34"/>
      <c r="I123" s="34"/>
      <c r="J123" s="31" t="s">
        <v>6383</v>
      </c>
      <c r="K123" s="33"/>
      <c r="L123" s="34"/>
      <c r="M123" s="34"/>
      <c r="N123" s="34"/>
      <c r="O123" s="656" t="s">
        <v>9265</v>
      </c>
      <c r="P123" s="33"/>
      <c r="Q123" s="31" t="s">
        <v>11802</v>
      </c>
      <c r="R123" s="2" t="str">
        <f t="array" ref="R123">xlookup($E123,'Bảng tổng hợp 1'!$B:$B,'Bảng tổng hợp 1'!$B:$B,0)</f>
        <v>L01.30.04.02</v>
      </c>
    </row>
    <row r="124" hidden="1">
      <c r="A124" s="30">
        <v>119.0</v>
      </c>
      <c r="B124" s="34"/>
      <c r="C124" s="31" t="s">
        <v>6382</v>
      </c>
      <c r="D124" s="31" t="s">
        <v>6384</v>
      </c>
      <c r="E124" s="31" t="str">
        <f t="shared" si="21"/>
        <v>L01.30.04.01</v>
      </c>
      <c r="F124" s="31" t="s">
        <v>11851</v>
      </c>
      <c r="G124" s="34"/>
      <c r="H124" s="34"/>
      <c r="I124" s="34"/>
      <c r="J124" s="31" t="s">
        <v>6383</v>
      </c>
      <c r="K124" s="33"/>
      <c r="L124" s="34"/>
      <c r="M124" s="34"/>
      <c r="N124" s="34"/>
      <c r="O124" s="656" t="s">
        <v>9265</v>
      </c>
      <c r="P124" s="33"/>
      <c r="Q124" s="31" t="s">
        <v>11802</v>
      </c>
      <c r="R124" s="2" t="str">
        <f t="array" ref="R124">xlookup($E124,'Bảng tổng hợp 1'!$B:$B,'Bảng tổng hợp 1'!$B:$B,0)</f>
        <v>L01.30.04.01</v>
      </c>
    </row>
    <row r="125" hidden="1">
      <c r="A125" s="30">
        <v>120.0</v>
      </c>
      <c r="B125" s="34"/>
      <c r="C125" s="655" t="s">
        <v>2888</v>
      </c>
      <c r="D125" s="31" t="s">
        <v>10770</v>
      </c>
      <c r="E125" s="31" t="s">
        <v>10770</v>
      </c>
      <c r="F125" s="31" t="s">
        <v>11844</v>
      </c>
      <c r="G125" s="34"/>
      <c r="H125" s="34"/>
      <c r="I125" s="34"/>
      <c r="J125" s="31" t="s">
        <v>566</v>
      </c>
      <c r="K125" s="33"/>
      <c r="L125" s="34"/>
      <c r="M125" s="34"/>
      <c r="N125" s="34"/>
      <c r="O125" s="656" t="s">
        <v>9265</v>
      </c>
      <c r="P125" s="33"/>
      <c r="Q125" s="31" t="s">
        <v>11802</v>
      </c>
      <c r="R125" s="2">
        <f t="array" ref="R125">xlookup($E125,'Bảng tổng hợp 1'!$B:$B,'Bảng tổng hợp 1'!$B:$B,0)</f>
        <v>0</v>
      </c>
    </row>
    <row r="126" hidden="1">
      <c r="A126" s="30">
        <v>121.0</v>
      </c>
      <c r="B126" s="34"/>
      <c r="C126" s="31" t="s">
        <v>2893</v>
      </c>
      <c r="D126" s="31" t="s">
        <v>2894</v>
      </c>
      <c r="E126" s="31" t="str">
        <f t="shared" ref="E126:E128" si="22">trim(D126)</f>
        <v>L01.30.02.01</v>
      </c>
      <c r="F126" s="31" t="s">
        <v>11851</v>
      </c>
      <c r="G126" s="34"/>
      <c r="H126" s="34"/>
      <c r="I126" s="34"/>
      <c r="J126" s="31" t="s">
        <v>2888</v>
      </c>
      <c r="K126" s="33"/>
      <c r="L126" s="34"/>
      <c r="M126" s="34"/>
      <c r="N126" s="34"/>
      <c r="O126" s="656" t="s">
        <v>9265</v>
      </c>
      <c r="P126" s="33"/>
      <c r="Q126" s="31" t="s">
        <v>11802</v>
      </c>
      <c r="R126" s="2" t="str">
        <f t="array" ref="R126">xlookup($E126,'Bảng tổng hợp 1'!$B:$B,'Bảng tổng hợp 1'!$B:$B,0)</f>
        <v>L01.30.02.01</v>
      </c>
    </row>
    <row r="127" hidden="1">
      <c r="A127" s="30">
        <v>122.0</v>
      </c>
      <c r="B127" s="34"/>
      <c r="C127" s="31" t="s">
        <v>4466</v>
      </c>
      <c r="D127" s="31" t="s">
        <v>4467</v>
      </c>
      <c r="E127" s="31" t="str">
        <f t="shared" si="22"/>
        <v>L01.30.02.02</v>
      </c>
      <c r="F127" s="31" t="s">
        <v>11851</v>
      </c>
      <c r="G127" s="34"/>
      <c r="H127" s="34"/>
      <c r="I127" s="34"/>
      <c r="J127" s="31" t="s">
        <v>2888</v>
      </c>
      <c r="K127" s="33"/>
      <c r="L127" s="34"/>
      <c r="M127" s="34"/>
      <c r="N127" s="34"/>
      <c r="O127" s="656" t="s">
        <v>9265</v>
      </c>
      <c r="P127" s="33"/>
      <c r="Q127" s="31" t="s">
        <v>11802</v>
      </c>
      <c r="R127" s="2" t="str">
        <f t="array" ref="R127">xlookup($E127,'Bảng tổng hợp 1'!$B:$B,'Bảng tổng hợp 1'!$B:$B,0)</f>
        <v>L01.30.02.02</v>
      </c>
    </row>
    <row r="128" hidden="1">
      <c r="A128" s="30">
        <v>123.0</v>
      </c>
      <c r="B128" s="34"/>
      <c r="C128" s="31" t="s">
        <v>2887</v>
      </c>
      <c r="D128" s="31" t="s">
        <v>2889</v>
      </c>
      <c r="E128" s="31" t="str">
        <f t="shared" si="22"/>
        <v>L01.30.02.03</v>
      </c>
      <c r="F128" s="31" t="s">
        <v>11851</v>
      </c>
      <c r="G128" s="34"/>
      <c r="H128" s="34"/>
      <c r="I128" s="34"/>
      <c r="J128" s="31" t="s">
        <v>2888</v>
      </c>
      <c r="K128" s="33"/>
      <c r="L128" s="34"/>
      <c r="M128" s="34"/>
      <c r="N128" s="34"/>
      <c r="O128" s="656" t="s">
        <v>9265</v>
      </c>
      <c r="P128" s="33"/>
      <c r="Q128" s="31" t="s">
        <v>11802</v>
      </c>
      <c r="R128" s="2" t="str">
        <f t="array" ref="R128">xlookup($E128,'Bảng tổng hợp 1'!$B:$B,'Bảng tổng hợp 1'!$B:$B,0)</f>
        <v>L01.30.02.03</v>
      </c>
    </row>
    <row r="129" hidden="1">
      <c r="A129" s="30">
        <v>124.0</v>
      </c>
      <c r="B129" s="34"/>
      <c r="C129" s="655" t="s">
        <v>567</v>
      </c>
      <c r="D129" s="31" t="s">
        <v>10776</v>
      </c>
      <c r="E129" s="31" t="s">
        <v>10776</v>
      </c>
      <c r="F129" s="31" t="s">
        <v>11844</v>
      </c>
      <c r="G129" s="34"/>
      <c r="H129" s="34"/>
      <c r="I129" s="34"/>
      <c r="J129" s="31" t="s">
        <v>566</v>
      </c>
      <c r="K129" s="33"/>
      <c r="L129" s="34"/>
      <c r="M129" s="34"/>
      <c r="N129" s="34"/>
      <c r="O129" s="656" t="s">
        <v>9265</v>
      </c>
      <c r="P129" s="33"/>
      <c r="Q129" s="31" t="s">
        <v>11802</v>
      </c>
      <c r="R129" s="2">
        <f t="array" ref="R129">xlookup($E129,'Bảng tổng hợp 1'!$B:$B,'Bảng tổng hợp 1'!$B:$B,0)</f>
        <v>0</v>
      </c>
    </row>
    <row r="130" hidden="1">
      <c r="A130" s="30">
        <v>125.0</v>
      </c>
      <c r="B130" s="34"/>
      <c r="C130" s="31" t="s">
        <v>2651</v>
      </c>
      <c r="D130" s="31" t="s">
        <v>2652</v>
      </c>
      <c r="E130" s="31" t="str">
        <f t="shared" ref="E130:E134" si="23">trim(D130)</f>
        <v>L01.30.03.01</v>
      </c>
      <c r="F130" s="31" t="s">
        <v>11851</v>
      </c>
      <c r="G130" s="34"/>
      <c r="H130" s="34"/>
      <c r="I130" s="34"/>
      <c r="J130" s="31" t="s">
        <v>567</v>
      </c>
      <c r="K130" s="33"/>
      <c r="L130" s="34"/>
      <c r="M130" s="34"/>
      <c r="N130" s="34"/>
      <c r="O130" s="656" t="s">
        <v>9265</v>
      </c>
      <c r="P130" s="33"/>
      <c r="Q130" s="31" t="s">
        <v>11802</v>
      </c>
      <c r="R130" s="2" t="str">
        <f t="array" ref="R130">xlookup($E130,'Bảng tổng hợp 1'!$B:$B,'Bảng tổng hợp 1'!$B:$B,0)</f>
        <v>L01.30.03.01</v>
      </c>
    </row>
    <row r="131" hidden="1">
      <c r="A131" s="30">
        <v>126.0</v>
      </c>
      <c r="B131" s="34"/>
      <c r="C131" s="31" t="s">
        <v>565</v>
      </c>
      <c r="D131" s="31" t="s">
        <v>568</v>
      </c>
      <c r="E131" s="31" t="str">
        <f t="shared" si="23"/>
        <v>L01.30.03.03</v>
      </c>
      <c r="F131" s="31" t="s">
        <v>11851</v>
      </c>
      <c r="G131" s="34"/>
      <c r="H131" s="34"/>
      <c r="I131" s="34"/>
      <c r="J131" s="31" t="s">
        <v>567</v>
      </c>
      <c r="K131" s="33"/>
      <c r="L131" s="34"/>
      <c r="M131" s="34"/>
      <c r="N131" s="34"/>
      <c r="O131" s="656" t="s">
        <v>9265</v>
      </c>
      <c r="P131" s="33"/>
      <c r="Q131" s="31" t="s">
        <v>11802</v>
      </c>
      <c r="R131" s="2" t="str">
        <f t="array" ref="R131">xlookup($E131,'Bảng tổng hợp 1'!$B:$B,'Bảng tổng hợp 1'!$B:$B,0)</f>
        <v>L01.30.03.03</v>
      </c>
    </row>
    <row r="132" hidden="1">
      <c r="A132" s="30">
        <v>127.0</v>
      </c>
      <c r="B132" s="34"/>
      <c r="C132" s="31" t="s">
        <v>10075</v>
      </c>
      <c r="D132" s="31" t="s">
        <v>10076</v>
      </c>
      <c r="E132" s="31" t="str">
        <f t="shared" si="23"/>
        <v>L01.30.03.02</v>
      </c>
      <c r="F132" s="31" t="s">
        <v>11851</v>
      </c>
      <c r="G132" s="34"/>
      <c r="H132" s="34"/>
      <c r="I132" s="34"/>
      <c r="J132" s="31" t="s">
        <v>567</v>
      </c>
      <c r="K132" s="33"/>
      <c r="L132" s="34"/>
      <c r="M132" s="34"/>
      <c r="N132" s="34"/>
      <c r="O132" s="656" t="s">
        <v>9265</v>
      </c>
      <c r="P132" s="33"/>
      <c r="Q132" s="31" t="s">
        <v>11802</v>
      </c>
      <c r="R132" s="2" t="str">
        <f t="array" ref="R132">xlookup($E132,'Bảng tổng hợp 1'!$B:$B,'Bảng tổng hợp 1'!$B:$B,0)</f>
        <v>L01.30.03.02</v>
      </c>
    </row>
    <row r="133" hidden="1">
      <c r="A133" s="30">
        <v>128.0</v>
      </c>
      <c r="B133" s="34"/>
      <c r="C133" s="31" t="s">
        <v>10334</v>
      </c>
      <c r="D133" s="31" t="s">
        <v>10335</v>
      </c>
      <c r="E133" s="31" t="str">
        <f t="shared" si="23"/>
        <v>L01.30.01</v>
      </c>
      <c r="F133" s="31" t="s">
        <v>11844</v>
      </c>
      <c r="G133" s="34"/>
      <c r="H133" s="34"/>
      <c r="I133" s="34"/>
      <c r="J133" s="31" t="s">
        <v>566</v>
      </c>
      <c r="K133" s="33"/>
      <c r="L133" s="34"/>
      <c r="M133" s="34"/>
      <c r="N133" s="34"/>
      <c r="O133" s="656" t="s">
        <v>9265</v>
      </c>
      <c r="P133" s="33"/>
      <c r="Q133" s="31" t="s">
        <v>11802</v>
      </c>
      <c r="R133" s="2" t="str">
        <f t="array" ref="R133">xlookup($E133,'Bảng tổng hợp 1'!$B:$B,'Bảng tổng hợp 1'!$B:$B,0)</f>
        <v>L01.30.01</v>
      </c>
    </row>
    <row r="134" hidden="1">
      <c r="A134" s="30">
        <v>129.0</v>
      </c>
      <c r="B134" s="34"/>
      <c r="C134" s="31" t="s">
        <v>6545</v>
      </c>
      <c r="D134" s="31" t="s">
        <v>6546</v>
      </c>
      <c r="E134" s="31" t="str">
        <f t="shared" si="23"/>
        <v>L01.30.05</v>
      </c>
      <c r="F134" s="31" t="s">
        <v>11851</v>
      </c>
      <c r="G134" s="34"/>
      <c r="H134" s="34"/>
      <c r="I134" s="34"/>
      <c r="J134" s="31" t="s">
        <v>566</v>
      </c>
      <c r="K134" s="33"/>
      <c r="L134" s="34"/>
      <c r="M134" s="34"/>
      <c r="N134" s="34"/>
      <c r="O134" s="656" t="s">
        <v>9265</v>
      </c>
      <c r="P134" s="33"/>
      <c r="Q134" s="31" t="s">
        <v>11802</v>
      </c>
      <c r="R134" s="2" t="str">
        <f t="array" ref="R134">xlookup($E134,'Bảng tổng hợp 1'!$B:$B,'Bảng tổng hợp 1'!$B:$B,0)</f>
        <v>L01.30.05</v>
      </c>
    </row>
    <row r="135" hidden="1">
      <c r="A135" s="30">
        <v>130.0</v>
      </c>
      <c r="B135" s="34"/>
      <c r="C135" s="655" t="s">
        <v>555</v>
      </c>
      <c r="D135" s="31" t="s">
        <v>10787</v>
      </c>
      <c r="E135" s="31" t="s">
        <v>10787</v>
      </c>
      <c r="F135" s="31" t="s">
        <v>11850</v>
      </c>
      <c r="G135" s="34"/>
      <c r="H135" s="34"/>
      <c r="I135" s="34"/>
      <c r="J135" s="31" t="s">
        <v>453</v>
      </c>
      <c r="K135" s="33"/>
      <c r="L135" s="34"/>
      <c r="M135" s="34"/>
      <c r="N135" s="34"/>
      <c r="O135" s="656" t="s">
        <v>9265</v>
      </c>
      <c r="P135" s="33"/>
      <c r="Q135" s="31" t="s">
        <v>11802</v>
      </c>
      <c r="R135" s="2">
        <f t="array" ref="R135">xlookup($E135,'Bảng tổng hợp 1'!$B:$B,'Bảng tổng hợp 1'!$B:$B,0)</f>
        <v>0</v>
      </c>
    </row>
    <row r="136" hidden="1">
      <c r="A136" s="30">
        <v>131.0</v>
      </c>
      <c r="B136" s="34"/>
      <c r="C136" s="655" t="s">
        <v>11875</v>
      </c>
      <c r="D136" s="31" t="s">
        <v>11876</v>
      </c>
      <c r="E136" s="31" t="s">
        <v>11876</v>
      </c>
      <c r="F136" s="31" t="s">
        <v>11844</v>
      </c>
      <c r="G136" s="34"/>
      <c r="H136" s="34"/>
      <c r="I136" s="34"/>
      <c r="J136" s="31" t="s">
        <v>555</v>
      </c>
      <c r="K136" s="33"/>
      <c r="L136" s="34"/>
      <c r="M136" s="34"/>
      <c r="N136" s="34"/>
      <c r="O136" s="656" t="s">
        <v>9265</v>
      </c>
      <c r="P136" s="33"/>
      <c r="Q136" s="31" t="s">
        <v>11802</v>
      </c>
      <c r="R136" s="2">
        <f t="array" ref="R136">xlookup($E136,'Bảng tổng hợp 1'!$B:$B,'Bảng tổng hợp 1'!$B:$B,0)</f>
        <v>0</v>
      </c>
    </row>
    <row r="137" hidden="1">
      <c r="A137" s="30">
        <v>132.0</v>
      </c>
      <c r="B137" s="34"/>
      <c r="C137" s="31" t="s">
        <v>556</v>
      </c>
      <c r="D137" s="31" t="s">
        <v>5189</v>
      </c>
      <c r="E137" s="31" t="str">
        <f t="shared" ref="E137:E144" si="24">trim(D137)</f>
        <v>L01.33.02</v>
      </c>
      <c r="F137" s="31" t="s">
        <v>11844</v>
      </c>
      <c r="G137" s="34"/>
      <c r="H137" s="34"/>
      <c r="I137" s="34"/>
      <c r="J137" s="31" t="s">
        <v>555</v>
      </c>
      <c r="K137" s="33"/>
      <c r="L137" s="34"/>
      <c r="M137" s="34"/>
      <c r="N137" s="34"/>
      <c r="O137" s="656" t="s">
        <v>9265</v>
      </c>
      <c r="P137" s="33"/>
      <c r="Q137" s="31" t="s">
        <v>11802</v>
      </c>
      <c r="R137" s="2" t="str">
        <f t="array" ref="R137">xlookup($E137,'Bảng tổng hợp 1'!$B:$B,'Bảng tổng hợp 1'!$B:$B,0)</f>
        <v>L01.33.02</v>
      </c>
    </row>
    <row r="138" hidden="1">
      <c r="A138" s="30">
        <v>133.0</v>
      </c>
      <c r="B138" s="34"/>
      <c r="C138" s="31" t="s">
        <v>3292</v>
      </c>
      <c r="D138" s="31" t="s">
        <v>3293</v>
      </c>
      <c r="E138" s="31" t="str">
        <f t="shared" si="24"/>
        <v>L01.33.02.04</v>
      </c>
      <c r="F138" s="31" t="s">
        <v>11851</v>
      </c>
      <c r="G138" s="34"/>
      <c r="H138" s="34"/>
      <c r="I138" s="34"/>
      <c r="J138" s="31" t="s">
        <v>556</v>
      </c>
      <c r="K138" s="33"/>
      <c r="L138" s="34"/>
      <c r="M138" s="34"/>
      <c r="N138" s="34"/>
      <c r="O138" s="656" t="s">
        <v>9265</v>
      </c>
      <c r="P138" s="33"/>
      <c r="Q138" s="31" t="s">
        <v>11802</v>
      </c>
      <c r="R138" s="2" t="str">
        <f t="array" ref="R138">xlookup($E138,'Bảng tổng hợp 1'!$B:$B,'Bảng tổng hợp 1'!$B:$B,0)</f>
        <v>L01.33.02.04</v>
      </c>
    </row>
    <row r="139" hidden="1">
      <c r="A139" s="30">
        <v>134.0</v>
      </c>
      <c r="B139" s="34"/>
      <c r="C139" s="31" t="s">
        <v>4492</v>
      </c>
      <c r="D139" s="31" t="s">
        <v>4493</v>
      </c>
      <c r="E139" s="31" t="str">
        <f t="shared" si="24"/>
        <v>L01.33.02.02</v>
      </c>
      <c r="F139" s="31" t="s">
        <v>11851</v>
      </c>
      <c r="G139" s="34"/>
      <c r="H139" s="34"/>
      <c r="I139" s="34"/>
      <c r="J139" s="31" t="s">
        <v>556</v>
      </c>
      <c r="K139" s="33"/>
      <c r="L139" s="34"/>
      <c r="M139" s="34"/>
      <c r="N139" s="34"/>
      <c r="O139" s="656" t="s">
        <v>9265</v>
      </c>
      <c r="P139" s="33"/>
      <c r="Q139" s="31" t="s">
        <v>11802</v>
      </c>
      <c r="R139" s="2" t="str">
        <f t="array" ref="R139">xlookup($E139,'Bảng tổng hợp 1'!$B:$B,'Bảng tổng hợp 1'!$B:$B,0)</f>
        <v>L01.33.02.02</v>
      </c>
    </row>
    <row r="140" hidden="1">
      <c r="A140" s="30">
        <v>135.0</v>
      </c>
      <c r="B140" s="34"/>
      <c r="C140" s="31" t="s">
        <v>616</v>
      </c>
      <c r="D140" s="31" t="s">
        <v>617</v>
      </c>
      <c r="E140" s="31" t="str">
        <f t="shared" si="24"/>
        <v>L01.33.02.05</v>
      </c>
      <c r="F140" s="31" t="s">
        <v>11851</v>
      </c>
      <c r="G140" s="34"/>
      <c r="H140" s="34"/>
      <c r="I140" s="34"/>
      <c r="J140" s="31" t="s">
        <v>556</v>
      </c>
      <c r="K140" s="33"/>
      <c r="L140" s="34"/>
      <c r="M140" s="34"/>
      <c r="N140" s="31" t="s">
        <v>11849</v>
      </c>
      <c r="O140" s="656" t="s">
        <v>9265</v>
      </c>
      <c r="P140" s="33"/>
      <c r="Q140" s="31" t="s">
        <v>11802</v>
      </c>
      <c r="R140" s="2" t="str">
        <f t="array" ref="R140">xlookup($E140,'Bảng tổng hợp 1'!$B:$B,'Bảng tổng hợp 1'!$B:$B,0)</f>
        <v>L01.33.02.05</v>
      </c>
    </row>
    <row r="141" hidden="1">
      <c r="A141" s="30">
        <v>136.0</v>
      </c>
      <c r="B141" s="34"/>
      <c r="C141" s="31" t="s">
        <v>554</v>
      </c>
      <c r="D141" s="31" t="s">
        <v>557</v>
      </c>
      <c r="E141" s="31" t="str">
        <f t="shared" si="24"/>
        <v>L01.33.02.03</v>
      </c>
      <c r="F141" s="31" t="s">
        <v>11851</v>
      </c>
      <c r="G141" s="34"/>
      <c r="H141" s="34"/>
      <c r="I141" s="34"/>
      <c r="J141" s="31" t="s">
        <v>556</v>
      </c>
      <c r="K141" s="33"/>
      <c r="L141" s="34"/>
      <c r="M141" s="34"/>
      <c r="N141" s="34"/>
      <c r="O141" s="656" t="s">
        <v>9265</v>
      </c>
      <c r="P141" s="33"/>
      <c r="Q141" s="31" t="s">
        <v>11802</v>
      </c>
      <c r="R141" s="2" t="str">
        <f t="array" ref="R141">xlookup($E141,'Bảng tổng hợp 1'!$B:$B,'Bảng tổng hợp 1'!$B:$B,0)</f>
        <v>L01.33.02.03</v>
      </c>
    </row>
    <row r="142" hidden="1">
      <c r="A142" s="30">
        <v>137.0</v>
      </c>
      <c r="B142" s="34"/>
      <c r="C142" s="31" t="s">
        <v>3055</v>
      </c>
      <c r="D142" s="31" t="s">
        <v>3056</v>
      </c>
      <c r="E142" s="31" t="str">
        <f t="shared" si="24"/>
        <v>L01.33.02.01</v>
      </c>
      <c r="F142" s="31" t="s">
        <v>11851</v>
      </c>
      <c r="G142" s="34"/>
      <c r="H142" s="34"/>
      <c r="I142" s="34"/>
      <c r="J142" s="31" t="s">
        <v>556</v>
      </c>
      <c r="K142" s="33"/>
      <c r="L142" s="34"/>
      <c r="M142" s="34"/>
      <c r="N142" s="34"/>
      <c r="O142" s="656" t="s">
        <v>9265</v>
      </c>
      <c r="P142" s="33"/>
      <c r="Q142" s="31" t="s">
        <v>11802</v>
      </c>
      <c r="R142" s="2" t="str">
        <f t="array" ref="R142">xlookup($E142,'Bảng tổng hợp 1'!$B:$B,'Bảng tổng hợp 1'!$B:$B,0)</f>
        <v>L01.33.02.01</v>
      </c>
    </row>
    <row r="143" hidden="1">
      <c r="A143" s="30">
        <v>138.0</v>
      </c>
      <c r="B143" s="34"/>
      <c r="C143" s="31" t="s">
        <v>2995</v>
      </c>
      <c r="D143" s="31" t="s">
        <v>2996</v>
      </c>
      <c r="E143" s="31" t="str">
        <f t="shared" si="24"/>
        <v>L01.33.02.06</v>
      </c>
      <c r="F143" s="31" t="s">
        <v>11851</v>
      </c>
      <c r="G143" s="34"/>
      <c r="H143" s="34"/>
      <c r="I143" s="34"/>
      <c r="J143" s="31" t="s">
        <v>556</v>
      </c>
      <c r="K143" s="33"/>
      <c r="L143" s="34"/>
      <c r="M143" s="34"/>
      <c r="N143" s="31" t="s">
        <v>11849</v>
      </c>
      <c r="O143" s="656" t="s">
        <v>9265</v>
      </c>
      <c r="P143" s="33"/>
      <c r="Q143" s="31" t="s">
        <v>11802</v>
      </c>
      <c r="R143" s="2" t="str">
        <f t="array" ref="R143">xlookup($E143,'Bảng tổng hợp 1'!$B:$B,'Bảng tổng hợp 1'!$B:$B,0)</f>
        <v>L01.33.02.06</v>
      </c>
    </row>
    <row r="144" hidden="1">
      <c r="A144" s="30">
        <v>139.0</v>
      </c>
      <c r="B144" s="34"/>
      <c r="C144" s="31" t="s">
        <v>5194</v>
      </c>
      <c r="D144" s="31" t="s">
        <v>5195</v>
      </c>
      <c r="E144" s="31" t="str">
        <f t="shared" si="24"/>
        <v>L01.33.03</v>
      </c>
      <c r="F144" s="31" t="s">
        <v>11851</v>
      </c>
      <c r="G144" s="34"/>
      <c r="H144" s="34"/>
      <c r="I144" s="34"/>
      <c r="J144" s="31" t="s">
        <v>555</v>
      </c>
      <c r="K144" s="33"/>
      <c r="L144" s="34"/>
      <c r="M144" s="34"/>
      <c r="N144" s="34"/>
      <c r="O144" s="656" t="s">
        <v>9265</v>
      </c>
      <c r="P144" s="33"/>
      <c r="Q144" s="31" t="s">
        <v>11802</v>
      </c>
      <c r="R144" s="2" t="str">
        <f t="array" ref="R144">xlookup($E144,'Bảng tổng hợp 1'!$B:$B,'Bảng tổng hợp 1'!$B:$B,0)</f>
        <v>L01.33.03</v>
      </c>
    </row>
    <row r="145" hidden="1">
      <c r="A145" s="30">
        <v>140.0</v>
      </c>
      <c r="B145" s="34"/>
      <c r="C145" s="655" t="s">
        <v>52</v>
      </c>
      <c r="D145" s="31" t="s">
        <v>10583</v>
      </c>
      <c r="E145" s="31" t="s">
        <v>10583</v>
      </c>
      <c r="F145" s="31" t="s">
        <v>11850</v>
      </c>
      <c r="G145" s="34"/>
      <c r="H145" s="34"/>
      <c r="I145" s="34"/>
      <c r="J145" s="31" t="s">
        <v>453</v>
      </c>
      <c r="K145" s="33"/>
      <c r="L145" s="34"/>
      <c r="M145" s="34"/>
      <c r="N145" s="34"/>
      <c r="O145" s="656" t="s">
        <v>9265</v>
      </c>
      <c r="P145" s="33"/>
      <c r="Q145" s="31" t="s">
        <v>11802</v>
      </c>
      <c r="R145" s="2">
        <f t="array" ref="R145">xlookup($E145,'Bảng tổng hợp 1'!$B:$B,'Bảng tổng hợp 1'!$B:$B,0)</f>
        <v>0</v>
      </c>
    </row>
    <row r="146" hidden="1">
      <c r="A146" s="30">
        <v>141.0</v>
      </c>
      <c r="B146" s="34"/>
      <c r="C146" s="31" t="s">
        <v>6946</v>
      </c>
      <c r="D146" s="31" t="s">
        <v>6947</v>
      </c>
      <c r="E146" s="31" t="str">
        <f t="shared" ref="E146:E148" si="25">trim(D146)</f>
        <v>L01.35.01</v>
      </c>
      <c r="F146" s="31" t="s">
        <v>11844</v>
      </c>
      <c r="G146" s="34"/>
      <c r="H146" s="34"/>
      <c r="I146" s="34"/>
      <c r="J146" s="31" t="s">
        <v>52</v>
      </c>
      <c r="K146" s="33"/>
      <c r="L146" s="34"/>
      <c r="M146" s="34"/>
      <c r="N146" s="34"/>
      <c r="O146" s="656" t="s">
        <v>9265</v>
      </c>
      <c r="P146" s="33"/>
      <c r="Q146" s="31" t="s">
        <v>11802</v>
      </c>
      <c r="R146" s="2" t="str">
        <f t="array" ref="R146">xlookup($E146,'Bảng tổng hợp 1'!$B:$B,'Bảng tổng hợp 1'!$B:$B,0)</f>
        <v>L01.35.01</v>
      </c>
    </row>
    <row r="147" hidden="1">
      <c r="A147" s="30">
        <v>142.0</v>
      </c>
      <c r="B147" s="34"/>
      <c r="C147" s="31" t="s">
        <v>638</v>
      </c>
      <c r="D147" s="31" t="s">
        <v>3267</v>
      </c>
      <c r="E147" s="31" t="str">
        <f t="shared" si="25"/>
        <v>L01.35.02</v>
      </c>
      <c r="F147" s="31" t="s">
        <v>11844</v>
      </c>
      <c r="G147" s="34"/>
      <c r="H147" s="34"/>
      <c r="I147" s="34"/>
      <c r="J147" s="31" t="s">
        <v>52</v>
      </c>
      <c r="K147" s="33"/>
      <c r="L147" s="34"/>
      <c r="M147" s="34"/>
      <c r="N147" s="34"/>
      <c r="O147" s="656" t="s">
        <v>9265</v>
      </c>
      <c r="P147" s="33"/>
      <c r="Q147" s="31" t="s">
        <v>11802</v>
      </c>
      <c r="R147" s="2" t="str">
        <f t="array" ref="R147">xlookup($E147,'Bảng tổng hợp 1'!$B:$B,'Bảng tổng hợp 1'!$B:$B,0)</f>
        <v>L01.35.02</v>
      </c>
    </row>
    <row r="148" hidden="1">
      <c r="A148" s="30">
        <v>143.0</v>
      </c>
      <c r="B148" s="34"/>
      <c r="C148" s="31" t="s">
        <v>2874</v>
      </c>
      <c r="D148" s="31" t="s">
        <v>2875</v>
      </c>
      <c r="E148" s="31" t="str">
        <f t="shared" si="25"/>
        <v>L01.35.03</v>
      </c>
      <c r="F148" s="31" t="s">
        <v>11844</v>
      </c>
      <c r="G148" s="34"/>
      <c r="H148" s="34"/>
      <c r="I148" s="34"/>
      <c r="J148" s="31" t="s">
        <v>52</v>
      </c>
      <c r="K148" s="33"/>
      <c r="L148" s="34"/>
      <c r="M148" s="34"/>
      <c r="N148" s="34"/>
      <c r="O148" s="656" t="s">
        <v>9265</v>
      </c>
      <c r="P148" s="33"/>
      <c r="Q148" s="31" t="s">
        <v>11802</v>
      </c>
      <c r="R148" s="2" t="str">
        <f t="array" ref="R148">xlookup($E148,'Bảng tổng hợp 1'!$B:$B,'Bảng tổng hợp 1'!$B:$B,0)</f>
        <v>L01.35.03</v>
      </c>
    </row>
    <row r="149" hidden="1">
      <c r="A149" s="30">
        <v>144.0</v>
      </c>
      <c r="B149" s="34"/>
      <c r="C149" s="655" t="s">
        <v>11877</v>
      </c>
      <c r="D149" s="31" t="s">
        <v>11878</v>
      </c>
      <c r="E149" s="31" t="s">
        <v>11878</v>
      </c>
      <c r="F149" s="31" t="s">
        <v>11851</v>
      </c>
      <c r="G149" s="34"/>
      <c r="H149" s="34"/>
      <c r="I149" s="34"/>
      <c r="J149" s="31" t="s">
        <v>52</v>
      </c>
      <c r="K149" s="33"/>
      <c r="L149" s="34"/>
      <c r="M149" s="34"/>
      <c r="N149" s="34"/>
      <c r="O149" s="656" t="s">
        <v>9265</v>
      </c>
      <c r="P149" s="33"/>
      <c r="Q149" s="31" t="s">
        <v>11802</v>
      </c>
      <c r="R149" s="2">
        <f t="array" ref="R149">xlookup($E149,'Bảng tổng hợp 1'!$B:$B,'Bảng tổng hợp 1'!$B:$B,0)</f>
        <v>0</v>
      </c>
    </row>
    <row r="150" hidden="1">
      <c r="A150" s="30">
        <v>145.0</v>
      </c>
      <c r="B150" s="34"/>
      <c r="C150" s="31" t="s">
        <v>3549</v>
      </c>
      <c r="D150" s="31" t="s">
        <v>3550</v>
      </c>
      <c r="E150" s="31" t="str">
        <f>trim(D150)</f>
        <v>L01.35.05</v>
      </c>
      <c r="F150" s="31" t="s">
        <v>11844</v>
      </c>
      <c r="G150" s="34"/>
      <c r="H150" s="34"/>
      <c r="I150" s="34"/>
      <c r="J150" s="31" t="s">
        <v>52</v>
      </c>
      <c r="K150" s="33"/>
      <c r="L150" s="34"/>
      <c r="M150" s="34"/>
      <c r="N150" s="31" t="s">
        <v>11849</v>
      </c>
      <c r="O150" s="656" t="s">
        <v>9265</v>
      </c>
      <c r="P150" s="33"/>
      <c r="Q150" s="31" t="s">
        <v>11802</v>
      </c>
      <c r="R150" s="2" t="str">
        <f t="array" ref="R150">xlookup($E150,'Bảng tổng hợp 1'!$B:$B,'Bảng tổng hợp 1'!$B:$B,0)</f>
        <v>L01.35.05</v>
      </c>
    </row>
    <row r="151" hidden="1">
      <c r="A151" s="30">
        <v>146.0</v>
      </c>
      <c r="B151" s="34"/>
      <c r="C151" s="655" t="s">
        <v>10597</v>
      </c>
      <c r="D151" s="31" t="s">
        <v>10596</v>
      </c>
      <c r="E151" s="31" t="s">
        <v>10596</v>
      </c>
      <c r="F151" s="31" t="s">
        <v>11844</v>
      </c>
      <c r="G151" s="34"/>
      <c r="H151" s="34"/>
      <c r="I151" s="34"/>
      <c r="J151" s="31" t="s">
        <v>52</v>
      </c>
      <c r="K151" s="32">
        <v>45407.0</v>
      </c>
      <c r="L151" s="34"/>
      <c r="M151" s="34"/>
      <c r="N151" s="31" t="s">
        <v>11849</v>
      </c>
      <c r="O151" s="656" t="s">
        <v>9265</v>
      </c>
      <c r="P151" s="33"/>
      <c r="Q151" s="31" t="s">
        <v>11802</v>
      </c>
      <c r="R151" s="2">
        <f t="array" ref="R151">xlookup($E151,'Bảng tổng hợp 1'!$B:$B,'Bảng tổng hợp 1'!$B:$B,0)</f>
        <v>0</v>
      </c>
    </row>
    <row r="152" hidden="1">
      <c r="A152" s="30">
        <v>147.0</v>
      </c>
      <c r="B152" s="34"/>
      <c r="C152" s="655" t="s">
        <v>10599</v>
      </c>
      <c r="D152" s="31" t="s">
        <v>10600</v>
      </c>
      <c r="E152" s="31" t="s">
        <v>10600</v>
      </c>
      <c r="F152" s="31" t="s">
        <v>11854</v>
      </c>
      <c r="G152" s="34"/>
      <c r="H152" s="34"/>
      <c r="I152" s="34"/>
      <c r="J152" s="31" t="s">
        <v>10597</v>
      </c>
      <c r="K152" s="32">
        <v>45407.0</v>
      </c>
      <c r="L152" s="34"/>
      <c r="M152" s="34"/>
      <c r="N152" s="31" t="s">
        <v>11849</v>
      </c>
      <c r="O152" s="656" t="s">
        <v>9265</v>
      </c>
      <c r="P152" s="33"/>
      <c r="Q152" s="31" t="s">
        <v>11802</v>
      </c>
      <c r="R152" s="2">
        <f t="array" ref="R152">xlookup($E152,'Bảng tổng hợp 1'!$B:$B,'Bảng tổng hợp 1'!$B:$B,0)</f>
        <v>0</v>
      </c>
    </row>
    <row r="153" hidden="1">
      <c r="A153" s="30">
        <v>148.0</v>
      </c>
      <c r="B153" s="34"/>
      <c r="C153" s="655" t="s">
        <v>10602</v>
      </c>
      <c r="D153" s="31" t="s">
        <v>10603</v>
      </c>
      <c r="E153" s="31" t="s">
        <v>10603</v>
      </c>
      <c r="F153" s="31" t="s">
        <v>11854</v>
      </c>
      <c r="G153" s="34"/>
      <c r="H153" s="34"/>
      <c r="I153" s="34"/>
      <c r="J153" s="31" t="s">
        <v>10597</v>
      </c>
      <c r="K153" s="32">
        <v>45407.0</v>
      </c>
      <c r="L153" s="34"/>
      <c r="M153" s="34"/>
      <c r="N153" s="31" t="s">
        <v>11849</v>
      </c>
      <c r="O153" s="656" t="s">
        <v>9265</v>
      </c>
      <c r="P153" s="33"/>
      <c r="Q153" s="31" t="s">
        <v>11802</v>
      </c>
      <c r="R153" s="2">
        <f t="array" ref="R153">xlookup($E153,'Bảng tổng hợp 1'!$B:$B,'Bảng tổng hợp 1'!$B:$B,0)</f>
        <v>0</v>
      </c>
    </row>
    <row r="154" hidden="1">
      <c r="A154" s="30">
        <v>149.0</v>
      </c>
      <c r="B154" s="34"/>
      <c r="C154" s="655" t="s">
        <v>10605</v>
      </c>
      <c r="D154" s="31" t="s">
        <v>10606</v>
      </c>
      <c r="E154" s="31" t="s">
        <v>10606</v>
      </c>
      <c r="F154" s="31" t="s">
        <v>11854</v>
      </c>
      <c r="G154" s="34"/>
      <c r="H154" s="34"/>
      <c r="I154" s="34"/>
      <c r="J154" s="31" t="s">
        <v>10597</v>
      </c>
      <c r="K154" s="32">
        <v>45407.0</v>
      </c>
      <c r="L154" s="34"/>
      <c r="M154" s="34"/>
      <c r="N154" s="31" t="s">
        <v>11849</v>
      </c>
      <c r="O154" s="656" t="s">
        <v>9265</v>
      </c>
      <c r="P154" s="33"/>
      <c r="Q154" s="31" t="s">
        <v>11802</v>
      </c>
      <c r="R154" s="2">
        <f t="array" ref="R154">xlookup($E154,'Bảng tổng hợp 1'!$B:$B,'Bảng tổng hợp 1'!$B:$B,0)</f>
        <v>0</v>
      </c>
    </row>
    <row r="155" hidden="1">
      <c r="A155" s="30">
        <v>150.0</v>
      </c>
      <c r="B155" s="34"/>
      <c r="C155" s="31" t="s">
        <v>39</v>
      </c>
      <c r="D155" s="31" t="s">
        <v>4881</v>
      </c>
      <c r="E155" s="31" t="str">
        <f>trim(D155)</f>
        <v>L01.39</v>
      </c>
      <c r="F155" s="31" t="s">
        <v>11850</v>
      </c>
      <c r="G155" s="34"/>
      <c r="H155" s="34"/>
      <c r="I155" s="34"/>
      <c r="J155" s="31" t="s">
        <v>453</v>
      </c>
      <c r="K155" s="33"/>
      <c r="L155" s="34"/>
      <c r="M155" s="34"/>
      <c r="N155" s="34"/>
      <c r="O155" s="656" t="s">
        <v>9265</v>
      </c>
      <c r="P155" s="33"/>
      <c r="Q155" s="31" t="s">
        <v>11802</v>
      </c>
      <c r="R155" s="2" t="str">
        <f t="array" ref="R155">xlookup($E155,'Bảng tổng hợp 1'!$B:$B,'Bảng tổng hợp 1'!$B:$B,0)</f>
        <v>L01.39</v>
      </c>
    </row>
    <row r="156" hidden="1">
      <c r="A156" s="30">
        <v>151.0</v>
      </c>
      <c r="B156" s="34"/>
      <c r="C156" s="655" t="s">
        <v>47</v>
      </c>
      <c r="D156" s="31" t="s">
        <v>10554</v>
      </c>
      <c r="E156" s="31" t="s">
        <v>10554</v>
      </c>
      <c r="F156" s="31" t="s">
        <v>11850</v>
      </c>
      <c r="G156" s="34"/>
      <c r="H156" s="34"/>
      <c r="I156" s="34"/>
      <c r="J156" s="31" t="s">
        <v>453</v>
      </c>
      <c r="K156" s="33"/>
      <c r="L156" s="34"/>
      <c r="M156" s="34"/>
      <c r="N156" s="34"/>
      <c r="O156" s="656" t="s">
        <v>9265</v>
      </c>
      <c r="P156" s="33"/>
      <c r="Q156" s="31" t="s">
        <v>11802</v>
      </c>
      <c r="R156" s="2">
        <f t="array" ref="R156">xlookup($E156,'Bảng tổng hợp 1'!$B:$B,'Bảng tổng hợp 1'!$B:$B,0)</f>
        <v>0</v>
      </c>
    </row>
    <row r="157" hidden="1">
      <c r="A157" s="30">
        <v>152.0</v>
      </c>
      <c r="B157" s="34"/>
      <c r="C157" s="655" t="s">
        <v>3397</v>
      </c>
      <c r="D157" s="31" t="s">
        <v>10558</v>
      </c>
      <c r="E157" s="31" t="s">
        <v>10558</v>
      </c>
      <c r="F157" s="31" t="s">
        <v>11844</v>
      </c>
      <c r="G157" s="34"/>
      <c r="H157" s="34"/>
      <c r="I157" s="34"/>
      <c r="J157" s="31" t="s">
        <v>47</v>
      </c>
      <c r="K157" s="33"/>
      <c r="L157" s="34"/>
      <c r="M157" s="34"/>
      <c r="N157" s="34"/>
      <c r="O157" s="656" t="s">
        <v>9265</v>
      </c>
      <c r="P157" s="33"/>
      <c r="Q157" s="31" t="s">
        <v>11802</v>
      </c>
      <c r="R157" s="2">
        <f t="array" ref="R157">xlookup($E157,'Bảng tổng hợp 1'!$B:$B,'Bảng tổng hợp 1'!$B:$B,0)</f>
        <v>0</v>
      </c>
    </row>
    <row r="158" hidden="1">
      <c r="A158" s="30">
        <v>153.0</v>
      </c>
      <c r="B158" s="34"/>
      <c r="C158" s="31" t="s">
        <v>5136</v>
      </c>
      <c r="D158" s="31" t="s">
        <v>5137</v>
      </c>
      <c r="E158" s="31" t="str">
        <f t="shared" ref="E158:E162" si="26">trim(D158)</f>
        <v>L01.36.02.03</v>
      </c>
      <c r="F158" s="31" t="s">
        <v>11851</v>
      </c>
      <c r="G158" s="34"/>
      <c r="H158" s="34"/>
      <c r="I158" s="34"/>
      <c r="J158" s="31" t="s">
        <v>3397</v>
      </c>
      <c r="K158" s="33"/>
      <c r="L158" s="34"/>
      <c r="M158" s="34"/>
      <c r="N158" s="34"/>
      <c r="O158" s="656" t="s">
        <v>9265</v>
      </c>
      <c r="P158" s="33"/>
      <c r="Q158" s="31" t="s">
        <v>11802</v>
      </c>
      <c r="R158" s="2" t="str">
        <f t="array" ref="R158">xlookup($E158,'Bảng tổng hợp 1'!$B:$B,'Bảng tổng hợp 1'!$B:$B,0)</f>
        <v>L01.36.02.03</v>
      </c>
    </row>
    <row r="159" hidden="1">
      <c r="A159" s="30">
        <v>154.0</v>
      </c>
      <c r="B159" s="34"/>
      <c r="C159" s="31" t="s">
        <v>4869</v>
      </c>
      <c r="D159" s="31" t="s">
        <v>4870</v>
      </c>
      <c r="E159" s="31" t="str">
        <f t="shared" si="26"/>
        <v>L01.36.02.04</v>
      </c>
      <c r="F159" s="31" t="s">
        <v>11851</v>
      </c>
      <c r="G159" s="34"/>
      <c r="H159" s="34"/>
      <c r="I159" s="34"/>
      <c r="J159" s="31" t="s">
        <v>3397</v>
      </c>
      <c r="K159" s="33"/>
      <c r="L159" s="34"/>
      <c r="M159" s="34"/>
      <c r="N159" s="34"/>
      <c r="O159" s="656" t="s">
        <v>9265</v>
      </c>
      <c r="P159" s="33"/>
      <c r="Q159" s="31" t="s">
        <v>11802</v>
      </c>
      <c r="R159" s="2" t="str">
        <f t="array" ref="R159">xlookup($E159,'Bảng tổng hợp 1'!$B:$B,'Bảng tổng hợp 1'!$B:$B,0)</f>
        <v>L01.36.02.04</v>
      </c>
    </row>
    <row r="160" hidden="1">
      <c r="A160" s="30">
        <v>155.0</v>
      </c>
      <c r="B160" s="34"/>
      <c r="C160" s="31" t="s">
        <v>3396</v>
      </c>
      <c r="D160" s="31" t="s">
        <v>3398</v>
      </c>
      <c r="E160" s="31" t="str">
        <f t="shared" si="26"/>
        <v>L01.36.02.05</v>
      </c>
      <c r="F160" s="31" t="s">
        <v>11851</v>
      </c>
      <c r="G160" s="34"/>
      <c r="H160" s="34"/>
      <c r="I160" s="34"/>
      <c r="J160" s="31" t="s">
        <v>3397</v>
      </c>
      <c r="K160" s="33"/>
      <c r="L160" s="34"/>
      <c r="M160" s="34"/>
      <c r="N160" s="34"/>
      <c r="O160" s="656" t="s">
        <v>9265</v>
      </c>
      <c r="P160" s="33"/>
      <c r="Q160" s="31" t="s">
        <v>11802</v>
      </c>
      <c r="R160" s="2" t="str">
        <f t="array" ref="R160">xlookup($E160,'Bảng tổng hợp 1'!$B:$B,'Bảng tổng hợp 1'!$B:$B,0)</f>
        <v>L01.36.02.05</v>
      </c>
    </row>
    <row r="161" hidden="1">
      <c r="A161" s="30">
        <v>156.0</v>
      </c>
      <c r="B161" s="34"/>
      <c r="C161" s="31" t="s">
        <v>3619</v>
      </c>
      <c r="D161" s="31" t="s">
        <v>3620</v>
      </c>
      <c r="E161" s="31" t="str">
        <f t="shared" si="26"/>
        <v>L01.36.02.06</v>
      </c>
      <c r="F161" s="31" t="s">
        <v>11854</v>
      </c>
      <c r="G161" s="34"/>
      <c r="H161" s="34"/>
      <c r="I161" s="34"/>
      <c r="J161" s="31" t="s">
        <v>3397</v>
      </c>
      <c r="K161" s="33"/>
      <c r="L161" s="34"/>
      <c r="M161" s="34"/>
      <c r="N161" s="31" t="s">
        <v>11849</v>
      </c>
      <c r="O161" s="656" t="s">
        <v>9265</v>
      </c>
      <c r="P161" s="33"/>
      <c r="Q161" s="31" t="s">
        <v>11802</v>
      </c>
      <c r="R161" s="2" t="str">
        <f t="array" ref="R161">xlookup($E161,'Bảng tổng hợp 1'!$B:$B,'Bảng tổng hợp 1'!$B:$B,0)</f>
        <v>L01.36.02.06</v>
      </c>
    </row>
    <row r="162" hidden="1">
      <c r="A162" s="30">
        <v>157.0</v>
      </c>
      <c r="B162" s="34"/>
      <c r="C162" s="31" t="s">
        <v>6308</v>
      </c>
      <c r="D162" s="31" t="s">
        <v>6309</v>
      </c>
      <c r="E162" s="31" t="str">
        <f t="shared" si="26"/>
        <v>L01.36.01</v>
      </c>
      <c r="F162" s="31" t="s">
        <v>11844</v>
      </c>
      <c r="G162" s="34"/>
      <c r="H162" s="34"/>
      <c r="I162" s="34"/>
      <c r="J162" s="31" t="s">
        <v>47</v>
      </c>
      <c r="K162" s="33"/>
      <c r="L162" s="34"/>
      <c r="M162" s="34"/>
      <c r="N162" s="34"/>
      <c r="O162" s="656" t="s">
        <v>9265</v>
      </c>
      <c r="P162" s="33"/>
      <c r="Q162" s="31" t="s">
        <v>11802</v>
      </c>
      <c r="R162" s="2" t="str">
        <f t="array" ref="R162">xlookup($E162,'Bảng tổng hợp 1'!$B:$B,'Bảng tổng hợp 1'!$B:$B,0)</f>
        <v>L01.36.01</v>
      </c>
    </row>
    <row r="163" hidden="1">
      <c r="A163" s="30">
        <v>158.0</v>
      </c>
      <c r="B163" s="34"/>
      <c r="C163" s="655" t="s">
        <v>4502</v>
      </c>
      <c r="D163" s="31" t="s">
        <v>10575</v>
      </c>
      <c r="E163" s="31" t="s">
        <v>10575</v>
      </c>
      <c r="F163" s="31" t="s">
        <v>11844</v>
      </c>
      <c r="G163" s="34"/>
      <c r="H163" s="34"/>
      <c r="I163" s="34"/>
      <c r="J163" s="31" t="s">
        <v>47</v>
      </c>
      <c r="K163" s="33"/>
      <c r="L163" s="34"/>
      <c r="M163" s="34"/>
      <c r="N163" s="34"/>
      <c r="O163" s="656" t="s">
        <v>9265</v>
      </c>
      <c r="P163" s="33"/>
      <c r="Q163" s="31" t="s">
        <v>11802</v>
      </c>
      <c r="R163" s="2">
        <f t="array" ref="R163">xlookup($E163,'Bảng tổng hợp 1'!$B:$B,'Bảng tổng hợp 1'!$B:$B,0)</f>
        <v>0</v>
      </c>
    </row>
    <row r="164" hidden="1">
      <c r="A164" s="30">
        <v>159.0</v>
      </c>
      <c r="B164" s="34"/>
      <c r="C164" s="31" t="s">
        <v>4864</v>
      </c>
      <c r="D164" s="31" t="s">
        <v>4865</v>
      </c>
      <c r="E164" s="31" t="str">
        <f>trim(D164)</f>
        <v>L01.36.04.02</v>
      </c>
      <c r="F164" s="31" t="s">
        <v>11851</v>
      </c>
      <c r="G164" s="34"/>
      <c r="H164" s="34"/>
      <c r="I164" s="34"/>
      <c r="J164" s="31" t="s">
        <v>4502</v>
      </c>
      <c r="K164" s="33"/>
      <c r="L164" s="34"/>
      <c r="M164" s="34"/>
      <c r="N164" s="34"/>
      <c r="O164" s="656" t="s">
        <v>9265</v>
      </c>
      <c r="P164" s="33"/>
      <c r="Q164" s="31" t="s">
        <v>11802</v>
      </c>
      <c r="R164" s="2" t="str">
        <f t="array" ref="R164">xlookup($E164,'Bảng tổng hợp 1'!$B:$B,'Bảng tổng hợp 1'!$B:$B,0)</f>
        <v>L01.36.04.02</v>
      </c>
    </row>
    <row r="165" hidden="1">
      <c r="A165" s="30">
        <v>160.0</v>
      </c>
      <c r="B165" s="34"/>
      <c r="C165" s="655" t="s">
        <v>11879</v>
      </c>
      <c r="D165" s="31" t="s">
        <v>11880</v>
      </c>
      <c r="E165" s="31" t="s">
        <v>11880</v>
      </c>
      <c r="F165" s="31" t="s">
        <v>11851</v>
      </c>
      <c r="G165" s="34"/>
      <c r="H165" s="34"/>
      <c r="I165" s="34"/>
      <c r="J165" s="31" t="s">
        <v>4502</v>
      </c>
      <c r="K165" s="33"/>
      <c r="L165" s="34"/>
      <c r="M165" s="34"/>
      <c r="N165" s="34"/>
      <c r="O165" s="656" t="s">
        <v>9265</v>
      </c>
      <c r="P165" s="33"/>
      <c r="Q165" s="31" t="s">
        <v>11802</v>
      </c>
      <c r="R165" s="2">
        <f t="array" ref="R165">xlookup($E165,'Bảng tổng hợp 1'!$B:$B,'Bảng tổng hợp 1'!$B:$B,0)</f>
        <v>0</v>
      </c>
    </row>
    <row r="166" hidden="1">
      <c r="A166" s="30">
        <v>161.0</v>
      </c>
      <c r="B166" s="34"/>
      <c r="C166" s="31" t="s">
        <v>4501</v>
      </c>
      <c r="D166" s="31" t="s">
        <v>4503</v>
      </c>
      <c r="E166" s="31" t="str">
        <f>trim(D166)</f>
        <v>L01.36.04.04</v>
      </c>
      <c r="F166" s="31" t="s">
        <v>11851</v>
      </c>
      <c r="G166" s="34"/>
      <c r="H166" s="34"/>
      <c r="I166" s="34"/>
      <c r="J166" s="31" t="s">
        <v>4502</v>
      </c>
      <c r="K166" s="33"/>
      <c r="L166" s="34"/>
      <c r="M166" s="34"/>
      <c r="N166" s="34"/>
      <c r="O166" s="656" t="s">
        <v>9265</v>
      </c>
      <c r="P166" s="33"/>
      <c r="Q166" s="31" t="s">
        <v>11802</v>
      </c>
      <c r="R166" s="2" t="str">
        <f t="array" ref="R166">xlookup($E166,'Bảng tổng hợp 1'!$B:$B,'Bảng tổng hợp 1'!$B:$B,0)</f>
        <v>L01.36.04.04</v>
      </c>
    </row>
    <row r="167" hidden="1">
      <c r="A167" s="30">
        <v>162.0</v>
      </c>
      <c r="B167" s="34"/>
      <c r="C167" s="655" t="s">
        <v>4765</v>
      </c>
      <c r="D167" s="31" t="s">
        <v>10570</v>
      </c>
      <c r="E167" s="31" t="s">
        <v>10570</v>
      </c>
      <c r="F167" s="31" t="s">
        <v>11844</v>
      </c>
      <c r="G167" s="34"/>
      <c r="H167" s="34"/>
      <c r="I167" s="34"/>
      <c r="J167" s="31" t="s">
        <v>47</v>
      </c>
      <c r="K167" s="33"/>
      <c r="L167" s="34"/>
      <c r="M167" s="34"/>
      <c r="N167" s="34"/>
      <c r="O167" s="656" t="s">
        <v>9265</v>
      </c>
      <c r="P167" s="33"/>
      <c r="Q167" s="31" t="s">
        <v>11802</v>
      </c>
      <c r="R167" s="2">
        <f t="array" ref="R167">xlookup($E167,'Bảng tổng hợp 1'!$B:$B,'Bảng tổng hợp 1'!$B:$B,0)</f>
        <v>0</v>
      </c>
    </row>
    <row r="168" hidden="1">
      <c r="A168" s="30">
        <v>163.0</v>
      </c>
      <c r="B168" s="34"/>
      <c r="C168" s="31" t="s">
        <v>4836</v>
      </c>
      <c r="D168" s="31" t="s">
        <v>4837</v>
      </c>
      <c r="E168" s="31" t="str">
        <f t="shared" ref="E168:E169" si="27">trim(D168)</f>
        <v>L01.36.03.03</v>
      </c>
      <c r="F168" s="31" t="s">
        <v>11851</v>
      </c>
      <c r="G168" s="34"/>
      <c r="H168" s="34"/>
      <c r="I168" s="34"/>
      <c r="J168" s="31" t="s">
        <v>4765</v>
      </c>
      <c r="K168" s="33"/>
      <c r="L168" s="34"/>
      <c r="M168" s="34"/>
      <c r="N168" s="34"/>
      <c r="O168" s="656" t="s">
        <v>9265</v>
      </c>
      <c r="P168" s="33"/>
      <c r="Q168" s="31" t="s">
        <v>11802</v>
      </c>
      <c r="R168" s="2" t="str">
        <f t="array" ref="R168">xlookup($E168,'Bảng tổng hợp 1'!$B:$B,'Bảng tổng hợp 1'!$B:$B,0)</f>
        <v>L01.36.03.03</v>
      </c>
    </row>
    <row r="169" hidden="1">
      <c r="A169" s="30">
        <v>164.0</v>
      </c>
      <c r="B169" s="34"/>
      <c r="C169" s="31" t="s">
        <v>4764</v>
      </c>
      <c r="D169" s="31" t="s">
        <v>4766</v>
      </c>
      <c r="E169" s="31" t="str">
        <f t="shared" si="27"/>
        <v>L01.36.03.04</v>
      </c>
      <c r="F169" s="31" t="s">
        <v>11851</v>
      </c>
      <c r="G169" s="34"/>
      <c r="H169" s="34"/>
      <c r="I169" s="34"/>
      <c r="J169" s="31" t="s">
        <v>4765</v>
      </c>
      <c r="K169" s="33"/>
      <c r="L169" s="34"/>
      <c r="M169" s="34"/>
      <c r="N169" s="34"/>
      <c r="O169" s="656" t="s">
        <v>9265</v>
      </c>
      <c r="P169" s="33"/>
      <c r="Q169" s="31" t="s">
        <v>11802</v>
      </c>
      <c r="R169" s="2" t="str">
        <f t="array" ref="R169">xlookup($E169,'Bảng tổng hợp 1'!$B:$B,'Bảng tổng hợp 1'!$B:$B,0)</f>
        <v>L01.36.03.04</v>
      </c>
    </row>
    <row r="170" hidden="1">
      <c r="A170" s="30">
        <v>165.0</v>
      </c>
      <c r="B170" s="34"/>
      <c r="C170" s="655" t="s">
        <v>11881</v>
      </c>
      <c r="D170" s="31" t="s">
        <v>11882</v>
      </c>
      <c r="E170" s="31" t="s">
        <v>11882</v>
      </c>
      <c r="F170" s="31" t="s">
        <v>11851</v>
      </c>
      <c r="G170" s="34"/>
      <c r="H170" s="34"/>
      <c r="I170" s="34"/>
      <c r="J170" s="31" t="s">
        <v>4765</v>
      </c>
      <c r="K170" s="33"/>
      <c r="L170" s="34"/>
      <c r="M170" s="34"/>
      <c r="N170" s="34"/>
      <c r="O170" s="656" t="s">
        <v>9265</v>
      </c>
      <c r="P170" s="33"/>
      <c r="Q170" s="31" t="s">
        <v>11802</v>
      </c>
      <c r="R170" s="2">
        <f t="array" ref="R170">xlookup($E170,'Bảng tổng hợp 1'!$B:$B,'Bảng tổng hợp 1'!$B:$B,0)</f>
        <v>0</v>
      </c>
    </row>
    <row r="171" hidden="1">
      <c r="A171" s="30">
        <v>166.0</v>
      </c>
      <c r="B171" s="34"/>
      <c r="C171" s="655" t="s">
        <v>11883</v>
      </c>
      <c r="D171" s="31" t="s">
        <v>11884</v>
      </c>
      <c r="E171" s="31" t="s">
        <v>11884</v>
      </c>
      <c r="F171" s="31" t="s">
        <v>11851</v>
      </c>
      <c r="G171" s="34"/>
      <c r="H171" s="34"/>
      <c r="I171" s="34"/>
      <c r="J171" s="31" t="s">
        <v>4765</v>
      </c>
      <c r="K171" s="33"/>
      <c r="L171" s="34"/>
      <c r="M171" s="34"/>
      <c r="N171" s="34"/>
      <c r="O171" s="656" t="s">
        <v>9265</v>
      </c>
      <c r="P171" s="33"/>
      <c r="Q171" s="31" t="s">
        <v>11802</v>
      </c>
      <c r="R171" s="2">
        <f t="array" ref="R171">xlookup($E171,'Bảng tổng hợp 1'!$B:$B,'Bảng tổng hợp 1'!$B:$B,0)</f>
        <v>0</v>
      </c>
    </row>
    <row r="172" hidden="1">
      <c r="A172" s="30">
        <v>167.0</v>
      </c>
      <c r="B172" s="34"/>
      <c r="C172" s="655" t="s">
        <v>11885</v>
      </c>
      <c r="D172" s="31" t="s">
        <v>11886</v>
      </c>
      <c r="E172" s="31" t="s">
        <v>11886</v>
      </c>
      <c r="F172" s="31" t="s">
        <v>11851</v>
      </c>
      <c r="G172" s="34"/>
      <c r="H172" s="34"/>
      <c r="I172" s="34"/>
      <c r="J172" s="31" t="s">
        <v>4765</v>
      </c>
      <c r="K172" s="33"/>
      <c r="L172" s="34"/>
      <c r="M172" s="34"/>
      <c r="N172" s="34"/>
      <c r="O172" s="656" t="s">
        <v>9265</v>
      </c>
      <c r="P172" s="33"/>
      <c r="Q172" s="31" t="s">
        <v>11802</v>
      </c>
      <c r="R172" s="2">
        <f t="array" ref="R172">xlookup($E172,'Bảng tổng hợp 1'!$B:$B,'Bảng tổng hợp 1'!$B:$B,0)</f>
        <v>0</v>
      </c>
    </row>
    <row r="173" hidden="1">
      <c r="A173" s="30">
        <v>168.0</v>
      </c>
      <c r="B173" s="34"/>
      <c r="C173" s="655" t="s">
        <v>11887</v>
      </c>
      <c r="D173" s="31" t="s">
        <v>11888</v>
      </c>
      <c r="E173" s="31" t="s">
        <v>11888</v>
      </c>
      <c r="F173" s="31" t="s">
        <v>11851</v>
      </c>
      <c r="G173" s="34"/>
      <c r="H173" s="34"/>
      <c r="I173" s="34"/>
      <c r="J173" s="31" t="s">
        <v>4765</v>
      </c>
      <c r="K173" s="33"/>
      <c r="L173" s="34"/>
      <c r="M173" s="34"/>
      <c r="N173" s="34"/>
      <c r="O173" s="656" t="s">
        <v>9265</v>
      </c>
      <c r="P173" s="33"/>
      <c r="Q173" s="31" t="s">
        <v>11802</v>
      </c>
      <c r="R173" s="2">
        <f t="array" ref="R173">xlookup($E173,'Bảng tổng hợp 1'!$B:$B,'Bảng tổng hợp 1'!$B:$B,0)</f>
        <v>0</v>
      </c>
    </row>
    <row r="174" hidden="1">
      <c r="A174" s="30">
        <v>169.0</v>
      </c>
      <c r="B174" s="34"/>
      <c r="C174" s="31" t="s">
        <v>5038</v>
      </c>
      <c r="D174" s="31" t="s">
        <v>5039</v>
      </c>
      <c r="E174" s="31" t="str">
        <f t="shared" ref="E174:E176" si="28">trim(D174)</f>
        <v>L01.36.05</v>
      </c>
      <c r="F174" s="31" t="s">
        <v>11851</v>
      </c>
      <c r="G174" s="34"/>
      <c r="H174" s="34"/>
      <c r="I174" s="34"/>
      <c r="J174" s="31" t="s">
        <v>47</v>
      </c>
      <c r="K174" s="33"/>
      <c r="L174" s="34"/>
      <c r="M174" s="34"/>
      <c r="N174" s="34"/>
      <c r="O174" s="656" t="s">
        <v>9265</v>
      </c>
      <c r="P174" s="33"/>
      <c r="Q174" s="31" t="s">
        <v>11802</v>
      </c>
      <c r="R174" s="2" t="str">
        <f t="array" ref="R174">xlookup($E174,'Bảng tổng hợp 1'!$B:$B,'Bảng tổng hợp 1'!$B:$B,0)</f>
        <v>L01.36.05</v>
      </c>
    </row>
    <row r="175" hidden="1">
      <c r="A175" s="30">
        <v>170.0</v>
      </c>
      <c r="B175" s="34"/>
      <c r="C175" s="31" t="s">
        <v>4508</v>
      </c>
      <c r="D175" s="31" t="s">
        <v>4509</v>
      </c>
      <c r="E175" s="31" t="str">
        <f t="shared" si="28"/>
        <v>L01.36.06</v>
      </c>
      <c r="F175" s="31" t="s">
        <v>11844</v>
      </c>
      <c r="G175" s="34"/>
      <c r="H175" s="34"/>
      <c r="I175" s="34"/>
      <c r="J175" s="31" t="s">
        <v>47</v>
      </c>
      <c r="K175" s="33"/>
      <c r="L175" s="34"/>
      <c r="M175" s="34"/>
      <c r="N175" s="31" t="s">
        <v>11849</v>
      </c>
      <c r="O175" s="656" t="s">
        <v>9265</v>
      </c>
      <c r="P175" s="33"/>
      <c r="Q175" s="31" t="s">
        <v>11802</v>
      </c>
      <c r="R175" s="2" t="str">
        <f t="array" ref="R175">xlookup($E175,'Bảng tổng hợp 1'!$B:$B,'Bảng tổng hợp 1'!$B:$B,0)</f>
        <v>L01.36.06</v>
      </c>
    </row>
    <row r="176" hidden="1">
      <c r="A176" s="30">
        <v>171.0</v>
      </c>
      <c r="B176" s="34"/>
      <c r="C176" s="31" t="s">
        <v>5282</v>
      </c>
      <c r="D176" s="31" t="s">
        <v>5283</v>
      </c>
      <c r="E176" s="31" t="str">
        <f t="shared" si="28"/>
        <v>L01.36.06.01</v>
      </c>
      <c r="F176" s="31" t="s">
        <v>11854</v>
      </c>
      <c r="G176" s="34"/>
      <c r="H176" s="34"/>
      <c r="I176" s="34"/>
      <c r="J176" s="31" t="s">
        <v>4508</v>
      </c>
      <c r="K176" s="33"/>
      <c r="L176" s="34"/>
      <c r="M176" s="34"/>
      <c r="N176" s="31" t="s">
        <v>11849</v>
      </c>
      <c r="O176" s="656" t="s">
        <v>9265</v>
      </c>
      <c r="P176" s="33"/>
      <c r="Q176" s="31" t="s">
        <v>11802</v>
      </c>
      <c r="R176" s="2" t="str">
        <f t="array" ref="R176">xlookup($E176,'Bảng tổng hợp 1'!$B:$B,'Bảng tổng hợp 1'!$B:$B,0)</f>
        <v>L01.36.06.01</v>
      </c>
    </row>
    <row r="177" hidden="1">
      <c r="A177" s="30">
        <v>172.0</v>
      </c>
      <c r="B177" s="34"/>
      <c r="C177" s="655" t="s">
        <v>11889</v>
      </c>
      <c r="D177" s="31" t="s">
        <v>11890</v>
      </c>
      <c r="E177" s="31" t="s">
        <v>11890</v>
      </c>
      <c r="F177" s="31" t="s">
        <v>11854</v>
      </c>
      <c r="G177" s="34"/>
      <c r="H177" s="34"/>
      <c r="I177" s="34"/>
      <c r="J177" s="31" t="s">
        <v>4508</v>
      </c>
      <c r="K177" s="33"/>
      <c r="L177" s="34"/>
      <c r="M177" s="34"/>
      <c r="N177" s="31" t="s">
        <v>11849</v>
      </c>
      <c r="O177" s="656" t="s">
        <v>9265</v>
      </c>
      <c r="P177" s="33"/>
      <c r="Q177" s="31" t="s">
        <v>11802</v>
      </c>
      <c r="R177" s="2">
        <f t="array" ref="R177">xlookup($E177,'Bảng tổng hợp 1'!$B:$B,'Bảng tổng hợp 1'!$B:$B,0)</f>
        <v>0</v>
      </c>
    </row>
    <row r="178" hidden="1">
      <c r="A178" s="30">
        <v>173.0</v>
      </c>
      <c r="B178" s="34"/>
      <c r="C178" s="655" t="s">
        <v>10568</v>
      </c>
      <c r="D178" s="31" t="s">
        <v>10569</v>
      </c>
      <c r="E178" s="31" t="s">
        <v>10569</v>
      </c>
      <c r="F178" s="31" t="s">
        <v>11854</v>
      </c>
      <c r="G178" s="34"/>
      <c r="H178" s="34"/>
      <c r="I178" s="34"/>
      <c r="J178" s="31" t="s">
        <v>4508</v>
      </c>
      <c r="K178" s="33"/>
      <c r="L178" s="34"/>
      <c r="M178" s="34"/>
      <c r="N178" s="31" t="s">
        <v>11849</v>
      </c>
      <c r="O178" s="656" t="s">
        <v>9265</v>
      </c>
      <c r="P178" s="33"/>
      <c r="Q178" s="31" t="s">
        <v>11802</v>
      </c>
      <c r="R178" s="2">
        <f t="array" ref="R178">xlookup($E178,'Bảng tổng hợp 1'!$B:$B,'Bảng tổng hợp 1'!$B:$B,0)</f>
        <v>0</v>
      </c>
    </row>
    <row r="179" hidden="1">
      <c r="A179" s="30">
        <v>174.0</v>
      </c>
      <c r="B179" s="34"/>
      <c r="C179" s="655" t="s">
        <v>4330</v>
      </c>
      <c r="D179" s="31" t="s">
        <v>10800</v>
      </c>
      <c r="E179" s="31" t="s">
        <v>10800</v>
      </c>
      <c r="F179" s="31" t="s">
        <v>11850</v>
      </c>
      <c r="G179" s="34"/>
      <c r="H179" s="34"/>
      <c r="I179" s="34"/>
      <c r="J179" s="31" t="s">
        <v>453</v>
      </c>
      <c r="K179" s="33"/>
      <c r="L179" s="34"/>
      <c r="M179" s="34"/>
      <c r="N179" s="34"/>
      <c r="O179" s="656" t="s">
        <v>9265</v>
      </c>
      <c r="P179" s="33"/>
      <c r="Q179" s="31" t="s">
        <v>11802</v>
      </c>
      <c r="R179" s="2">
        <f t="array" ref="R179">xlookup($E179,'Bảng tổng hợp 1'!$B:$B,'Bảng tổng hợp 1'!$B:$B,0)</f>
        <v>0</v>
      </c>
    </row>
    <row r="180" hidden="1">
      <c r="A180" s="30">
        <v>175.0</v>
      </c>
      <c r="B180" s="34"/>
      <c r="C180" s="31" t="s">
        <v>4331</v>
      </c>
      <c r="D180" s="31" t="s">
        <v>5728</v>
      </c>
      <c r="E180" s="31" t="str">
        <f t="shared" ref="E180:E182" si="29">trim(D180)</f>
        <v>L01.34.02</v>
      </c>
      <c r="F180" s="31" t="s">
        <v>11844</v>
      </c>
      <c r="G180" s="34"/>
      <c r="H180" s="34"/>
      <c r="I180" s="34"/>
      <c r="J180" s="31" t="s">
        <v>4330</v>
      </c>
      <c r="K180" s="33"/>
      <c r="L180" s="34"/>
      <c r="M180" s="34"/>
      <c r="N180" s="34"/>
      <c r="O180" s="656" t="s">
        <v>9265</v>
      </c>
      <c r="P180" s="33"/>
      <c r="Q180" s="31" t="s">
        <v>11802</v>
      </c>
      <c r="R180" s="2" t="str">
        <f t="array" ref="R180">xlookup($E180,'Bảng tổng hợp 1'!$B:$B,'Bảng tổng hợp 1'!$B:$B,0)</f>
        <v>L01.34.02</v>
      </c>
    </row>
    <row r="181" hidden="1">
      <c r="A181" s="30">
        <v>176.0</v>
      </c>
      <c r="B181" s="34"/>
      <c r="C181" s="31" t="s">
        <v>4329</v>
      </c>
      <c r="D181" s="31" t="s">
        <v>4332</v>
      </c>
      <c r="E181" s="31" t="str">
        <f t="shared" si="29"/>
        <v>L01.34.02.02</v>
      </c>
      <c r="F181" s="31" t="s">
        <v>11851</v>
      </c>
      <c r="G181" s="34"/>
      <c r="H181" s="34"/>
      <c r="I181" s="34"/>
      <c r="J181" s="31" t="s">
        <v>4331</v>
      </c>
      <c r="K181" s="33"/>
      <c r="L181" s="34"/>
      <c r="M181" s="34"/>
      <c r="N181" s="34"/>
      <c r="O181" s="656" t="s">
        <v>9265</v>
      </c>
      <c r="P181" s="33"/>
      <c r="Q181" s="31" t="s">
        <v>11802</v>
      </c>
      <c r="R181" s="2" t="str">
        <f t="array" ref="R181">xlookup($E181,'Bảng tổng hợp 1'!$B:$B,'Bảng tổng hợp 1'!$B:$B,0)</f>
        <v>L01.34.02.02</v>
      </c>
    </row>
    <row r="182" hidden="1">
      <c r="A182" s="30">
        <v>177.0</v>
      </c>
      <c r="B182" s="34"/>
      <c r="C182" s="31" t="s">
        <v>4983</v>
      </c>
      <c r="D182" s="31" t="s">
        <v>4984</v>
      </c>
      <c r="E182" s="31" t="str">
        <f t="shared" si="29"/>
        <v>L01.34.02.01</v>
      </c>
      <c r="F182" s="31" t="s">
        <v>11851</v>
      </c>
      <c r="G182" s="34"/>
      <c r="H182" s="34"/>
      <c r="I182" s="34"/>
      <c r="J182" s="31" t="s">
        <v>4331</v>
      </c>
      <c r="K182" s="33"/>
      <c r="L182" s="34"/>
      <c r="M182" s="34"/>
      <c r="N182" s="34"/>
      <c r="O182" s="656" t="s">
        <v>9265</v>
      </c>
      <c r="P182" s="33"/>
      <c r="Q182" s="31" t="s">
        <v>11802</v>
      </c>
      <c r="R182" s="2" t="str">
        <f t="array" ref="R182">xlookup($E182,'Bảng tổng hợp 1'!$B:$B,'Bảng tổng hợp 1'!$B:$B,0)</f>
        <v>L01.34.02.01</v>
      </c>
    </row>
    <row r="183" hidden="1">
      <c r="A183" s="30">
        <v>178.0</v>
      </c>
      <c r="B183" s="34"/>
      <c r="C183" s="655" t="s">
        <v>11891</v>
      </c>
      <c r="D183" s="31" t="s">
        <v>11892</v>
      </c>
      <c r="E183" s="31" t="s">
        <v>11892</v>
      </c>
      <c r="F183" s="31" t="s">
        <v>11844</v>
      </c>
      <c r="G183" s="34"/>
      <c r="H183" s="34"/>
      <c r="I183" s="34"/>
      <c r="J183" s="31" t="s">
        <v>4330</v>
      </c>
      <c r="K183" s="33"/>
      <c r="L183" s="34"/>
      <c r="M183" s="34"/>
      <c r="N183" s="34"/>
      <c r="O183" s="656" t="s">
        <v>9265</v>
      </c>
      <c r="P183" s="33"/>
      <c r="Q183" s="31" t="s">
        <v>11802</v>
      </c>
      <c r="R183" s="2">
        <f t="array" ref="R183">xlookup($E183,'Bảng tổng hợp 1'!$B:$B,'Bảng tổng hợp 1'!$B:$B,0)</f>
        <v>0</v>
      </c>
    </row>
    <row r="184" hidden="1">
      <c r="A184" s="30">
        <v>179.0</v>
      </c>
      <c r="B184" s="34"/>
      <c r="C184" s="655" t="s">
        <v>11893</v>
      </c>
      <c r="D184" s="31" t="s">
        <v>11894</v>
      </c>
      <c r="E184" s="31" t="s">
        <v>11894</v>
      </c>
      <c r="F184" s="31" t="s">
        <v>11851</v>
      </c>
      <c r="G184" s="34"/>
      <c r="H184" s="34"/>
      <c r="I184" s="34"/>
      <c r="J184" s="31" t="s">
        <v>4330</v>
      </c>
      <c r="K184" s="33"/>
      <c r="L184" s="34"/>
      <c r="M184" s="34"/>
      <c r="N184" s="34"/>
      <c r="O184" s="656" t="s">
        <v>9265</v>
      </c>
      <c r="P184" s="33"/>
      <c r="Q184" s="31" t="s">
        <v>11802</v>
      </c>
      <c r="R184" s="2">
        <f t="array" ref="R184">xlookup($E184,'Bảng tổng hợp 1'!$B:$B,'Bảng tổng hợp 1'!$B:$B,0)</f>
        <v>0</v>
      </c>
    </row>
    <row r="185" hidden="1">
      <c r="A185" s="30">
        <v>180.0</v>
      </c>
      <c r="B185" s="34"/>
      <c r="C185" s="655" t="s">
        <v>2835</v>
      </c>
      <c r="D185" s="31" t="s">
        <v>10808</v>
      </c>
      <c r="E185" s="31" t="s">
        <v>10808</v>
      </c>
      <c r="F185" s="31" t="s">
        <v>11850</v>
      </c>
      <c r="G185" s="34"/>
      <c r="H185" s="34"/>
      <c r="I185" s="34"/>
      <c r="J185" s="31" t="s">
        <v>453</v>
      </c>
      <c r="K185" s="33"/>
      <c r="L185" s="34"/>
      <c r="M185" s="34"/>
      <c r="N185" s="34"/>
      <c r="O185" s="656" t="s">
        <v>9265</v>
      </c>
      <c r="P185" s="33"/>
      <c r="Q185" s="31" t="s">
        <v>11802</v>
      </c>
      <c r="R185" s="2">
        <f t="array" ref="R185">xlookup($E185,'Bảng tổng hợp 1'!$B:$B,'Bảng tổng hợp 1'!$B:$B,0)</f>
        <v>0</v>
      </c>
    </row>
    <row r="186" hidden="1">
      <c r="A186" s="30">
        <v>181.0</v>
      </c>
      <c r="B186" s="34"/>
      <c r="C186" s="655" t="s">
        <v>11895</v>
      </c>
      <c r="D186" s="31" t="s">
        <v>11896</v>
      </c>
      <c r="E186" s="31" t="s">
        <v>11896</v>
      </c>
      <c r="F186" s="31" t="s">
        <v>11844</v>
      </c>
      <c r="G186" s="34"/>
      <c r="H186" s="34"/>
      <c r="I186" s="34"/>
      <c r="J186" s="31" t="s">
        <v>2835</v>
      </c>
      <c r="K186" s="33"/>
      <c r="L186" s="34"/>
      <c r="M186" s="34"/>
      <c r="N186" s="34"/>
      <c r="O186" s="656" t="s">
        <v>9265</v>
      </c>
      <c r="P186" s="33"/>
      <c r="Q186" s="31" t="s">
        <v>11802</v>
      </c>
      <c r="R186" s="2">
        <f t="array" ref="R186">xlookup($E186,'Bảng tổng hợp 1'!$B:$B,'Bảng tổng hợp 1'!$B:$B,0)</f>
        <v>0</v>
      </c>
    </row>
    <row r="187" hidden="1">
      <c r="A187" s="30">
        <v>182.0</v>
      </c>
      <c r="B187" s="34"/>
      <c r="C187" s="655" t="s">
        <v>4612</v>
      </c>
      <c r="D187" s="31" t="s">
        <v>10816</v>
      </c>
      <c r="E187" s="31" t="s">
        <v>10816</v>
      </c>
      <c r="F187" s="31" t="s">
        <v>11844</v>
      </c>
      <c r="G187" s="34"/>
      <c r="H187" s="34"/>
      <c r="I187" s="34"/>
      <c r="J187" s="31" t="s">
        <v>2835</v>
      </c>
      <c r="K187" s="33"/>
      <c r="L187" s="34"/>
      <c r="M187" s="34"/>
      <c r="N187" s="34"/>
      <c r="O187" s="656" t="s">
        <v>9265</v>
      </c>
      <c r="P187" s="33"/>
      <c r="Q187" s="31" t="s">
        <v>11802</v>
      </c>
      <c r="R187" s="2">
        <f t="array" ref="R187">xlookup($E187,'Bảng tổng hợp 1'!$B:$B,'Bảng tổng hợp 1'!$B:$B,0)</f>
        <v>0</v>
      </c>
    </row>
    <row r="188" hidden="1">
      <c r="A188" s="30">
        <v>183.0</v>
      </c>
      <c r="B188" s="34"/>
      <c r="C188" s="31" t="s">
        <v>4611</v>
      </c>
      <c r="D188" s="31" t="s">
        <v>4613</v>
      </c>
      <c r="E188" s="31" t="str">
        <f t="shared" ref="E188:E189" si="30">trim(D188)</f>
        <v>L01.32.03.02</v>
      </c>
      <c r="F188" s="31" t="s">
        <v>11851</v>
      </c>
      <c r="G188" s="34"/>
      <c r="H188" s="34"/>
      <c r="I188" s="34"/>
      <c r="J188" s="31" t="s">
        <v>4612</v>
      </c>
      <c r="K188" s="33"/>
      <c r="L188" s="34"/>
      <c r="M188" s="34"/>
      <c r="N188" s="34"/>
      <c r="O188" s="656" t="s">
        <v>9265</v>
      </c>
      <c r="P188" s="33"/>
      <c r="Q188" s="31" t="s">
        <v>11802</v>
      </c>
      <c r="R188" s="2" t="str">
        <f t="array" ref="R188">xlookup($E188,'Bảng tổng hợp 1'!$B:$B,'Bảng tổng hợp 1'!$B:$B,0)</f>
        <v>L01.32.03.02</v>
      </c>
    </row>
    <row r="189" hidden="1">
      <c r="A189" s="30">
        <v>184.0</v>
      </c>
      <c r="B189" s="34"/>
      <c r="C189" s="31" t="s">
        <v>5091</v>
      </c>
      <c r="D189" s="31" t="s">
        <v>5092</v>
      </c>
      <c r="E189" s="31" t="str">
        <f t="shared" si="30"/>
        <v>L01.32.03.01</v>
      </c>
      <c r="F189" s="31" t="s">
        <v>11851</v>
      </c>
      <c r="G189" s="34"/>
      <c r="H189" s="34"/>
      <c r="I189" s="34"/>
      <c r="J189" s="31" t="s">
        <v>4612</v>
      </c>
      <c r="K189" s="33"/>
      <c r="L189" s="34"/>
      <c r="M189" s="34"/>
      <c r="N189" s="34"/>
      <c r="O189" s="656" t="s">
        <v>9265</v>
      </c>
      <c r="P189" s="33"/>
      <c r="Q189" s="31" t="s">
        <v>11802</v>
      </c>
      <c r="R189" s="2" t="str">
        <f t="array" ref="R189">xlookup($E189,'Bảng tổng hợp 1'!$B:$B,'Bảng tổng hợp 1'!$B:$B,0)</f>
        <v>L01.32.03.01</v>
      </c>
    </row>
    <row r="190" hidden="1">
      <c r="A190" s="30">
        <v>185.0</v>
      </c>
      <c r="B190" s="34"/>
      <c r="C190" s="655" t="s">
        <v>11897</v>
      </c>
      <c r="D190" s="31" t="s">
        <v>11898</v>
      </c>
      <c r="E190" s="31" t="s">
        <v>11898</v>
      </c>
      <c r="F190" s="31" t="s">
        <v>11851</v>
      </c>
      <c r="G190" s="34"/>
      <c r="H190" s="34"/>
      <c r="I190" s="34"/>
      <c r="J190" s="31" t="s">
        <v>4612</v>
      </c>
      <c r="K190" s="33"/>
      <c r="L190" s="34"/>
      <c r="M190" s="34"/>
      <c r="N190" s="34"/>
      <c r="O190" s="656" t="s">
        <v>9265</v>
      </c>
      <c r="P190" s="33"/>
      <c r="Q190" s="31" t="s">
        <v>11802</v>
      </c>
      <c r="R190" s="2">
        <f t="array" ref="R190">xlookup($E190,'Bảng tổng hợp 1'!$B:$B,'Bảng tổng hợp 1'!$B:$B,0)</f>
        <v>0</v>
      </c>
    </row>
    <row r="191" hidden="1">
      <c r="A191" s="30">
        <v>186.0</v>
      </c>
      <c r="B191" s="34"/>
      <c r="C191" s="655" t="s">
        <v>3564</v>
      </c>
      <c r="D191" s="31" t="s">
        <v>10811</v>
      </c>
      <c r="E191" s="31" t="s">
        <v>10811</v>
      </c>
      <c r="F191" s="31" t="s">
        <v>11844</v>
      </c>
      <c r="G191" s="34"/>
      <c r="H191" s="34"/>
      <c r="I191" s="34"/>
      <c r="J191" s="31" t="s">
        <v>2835</v>
      </c>
      <c r="K191" s="33"/>
      <c r="L191" s="34"/>
      <c r="M191" s="34"/>
      <c r="N191" s="34"/>
      <c r="O191" s="656" t="s">
        <v>9265</v>
      </c>
      <c r="P191" s="33"/>
      <c r="Q191" s="31" t="s">
        <v>11802</v>
      </c>
      <c r="R191" s="2">
        <f t="array" ref="R191">xlookup($E191,'Bảng tổng hợp 1'!$B:$B,'Bảng tổng hợp 1'!$B:$B,0)</f>
        <v>0</v>
      </c>
    </row>
    <row r="192" hidden="1">
      <c r="A192" s="30">
        <v>187.0</v>
      </c>
      <c r="B192" s="34"/>
      <c r="C192" s="31" t="s">
        <v>3563</v>
      </c>
      <c r="D192" s="31" t="s">
        <v>3565</v>
      </c>
      <c r="E192" s="31" t="str">
        <f t="shared" ref="E192:E193" si="31">trim(D192)</f>
        <v>L01.32.02.01</v>
      </c>
      <c r="F192" s="31" t="s">
        <v>11851</v>
      </c>
      <c r="G192" s="34"/>
      <c r="H192" s="34"/>
      <c r="I192" s="34"/>
      <c r="J192" s="31" t="s">
        <v>3564</v>
      </c>
      <c r="K192" s="33"/>
      <c r="L192" s="34"/>
      <c r="M192" s="34"/>
      <c r="N192" s="34"/>
      <c r="O192" s="656" t="s">
        <v>9265</v>
      </c>
      <c r="P192" s="33"/>
      <c r="Q192" s="31" t="s">
        <v>11802</v>
      </c>
      <c r="R192" s="2" t="str">
        <f t="array" ref="R192">xlookup($E192,'Bảng tổng hợp 1'!$B:$B,'Bảng tổng hợp 1'!$B:$B,0)</f>
        <v>L01.32.02.01</v>
      </c>
    </row>
    <row r="193" hidden="1">
      <c r="A193" s="30">
        <v>188.0</v>
      </c>
      <c r="B193" s="34"/>
      <c r="C193" s="31" t="s">
        <v>5387</v>
      </c>
      <c r="D193" s="31" t="s">
        <v>5388</v>
      </c>
      <c r="E193" s="31" t="str">
        <f t="shared" si="31"/>
        <v>L01.32.02.02</v>
      </c>
      <c r="F193" s="31" t="s">
        <v>11851</v>
      </c>
      <c r="G193" s="34"/>
      <c r="H193" s="34"/>
      <c r="I193" s="34"/>
      <c r="J193" s="31" t="s">
        <v>3564</v>
      </c>
      <c r="K193" s="33"/>
      <c r="L193" s="34"/>
      <c r="M193" s="34"/>
      <c r="N193" s="34"/>
      <c r="O193" s="656" t="s">
        <v>9265</v>
      </c>
      <c r="P193" s="33"/>
      <c r="Q193" s="31" t="s">
        <v>11802</v>
      </c>
      <c r="R193" s="2" t="str">
        <f t="array" ref="R193">xlookup($E193,'Bảng tổng hợp 1'!$B:$B,'Bảng tổng hợp 1'!$B:$B,0)</f>
        <v>L01.32.02.02</v>
      </c>
    </row>
    <row r="194" hidden="1">
      <c r="A194" s="30">
        <v>189.0</v>
      </c>
      <c r="B194" s="34"/>
      <c r="C194" s="655" t="s">
        <v>11899</v>
      </c>
      <c r="D194" s="31" t="s">
        <v>11900</v>
      </c>
      <c r="E194" s="31" t="s">
        <v>11900</v>
      </c>
      <c r="F194" s="31" t="s">
        <v>11844</v>
      </c>
      <c r="G194" s="34"/>
      <c r="H194" s="34"/>
      <c r="I194" s="34"/>
      <c r="J194" s="31" t="s">
        <v>3564</v>
      </c>
      <c r="K194" s="32">
        <v>45376.0</v>
      </c>
      <c r="L194" s="34"/>
      <c r="M194" s="34"/>
      <c r="N194" s="31" t="s">
        <v>11849</v>
      </c>
      <c r="O194" s="656" t="s">
        <v>9265</v>
      </c>
      <c r="P194" s="33"/>
      <c r="Q194" s="31" t="s">
        <v>11802</v>
      </c>
      <c r="R194" s="2">
        <f t="array" ref="R194">xlookup($E194,'Bảng tổng hợp 1'!$B:$B,'Bảng tổng hợp 1'!$B:$B,0)</f>
        <v>0</v>
      </c>
    </row>
    <row r="195" hidden="1">
      <c r="A195" s="30">
        <v>190.0</v>
      </c>
      <c r="B195" s="34"/>
      <c r="C195" s="655" t="s">
        <v>11901</v>
      </c>
      <c r="D195" s="31" t="s">
        <v>11902</v>
      </c>
      <c r="E195" s="31" t="s">
        <v>11902</v>
      </c>
      <c r="F195" s="31" t="s">
        <v>11851</v>
      </c>
      <c r="G195" s="34"/>
      <c r="H195" s="34"/>
      <c r="I195" s="34"/>
      <c r="J195" s="31" t="s">
        <v>2835</v>
      </c>
      <c r="K195" s="33"/>
      <c r="L195" s="34"/>
      <c r="M195" s="34"/>
      <c r="N195" s="34"/>
      <c r="O195" s="656" t="s">
        <v>9265</v>
      </c>
      <c r="P195" s="33"/>
      <c r="Q195" s="31" t="s">
        <v>11802</v>
      </c>
      <c r="R195" s="2">
        <f t="array" ref="R195">xlookup($E195,'Bảng tổng hợp 1'!$B:$B,'Bảng tổng hợp 1'!$B:$B,0)</f>
        <v>0</v>
      </c>
    </row>
    <row r="196" hidden="1">
      <c r="A196" s="30">
        <v>191.0</v>
      </c>
      <c r="B196" s="34"/>
      <c r="C196" s="655" t="s">
        <v>2836</v>
      </c>
      <c r="D196" s="31" t="s">
        <v>10821</v>
      </c>
      <c r="E196" s="31" t="s">
        <v>10821</v>
      </c>
      <c r="F196" s="31" t="s">
        <v>11844</v>
      </c>
      <c r="G196" s="34"/>
      <c r="H196" s="34"/>
      <c r="I196" s="34"/>
      <c r="J196" s="31" t="s">
        <v>2835</v>
      </c>
      <c r="K196" s="33"/>
      <c r="L196" s="34"/>
      <c r="M196" s="34"/>
      <c r="N196" s="31" t="s">
        <v>11849</v>
      </c>
      <c r="O196" s="656" t="s">
        <v>9265</v>
      </c>
      <c r="P196" s="33"/>
      <c r="Q196" s="31" t="s">
        <v>11802</v>
      </c>
      <c r="R196" s="2">
        <f t="array" ref="R196">xlookup($E196,'Bảng tổng hợp 1'!$B:$B,'Bảng tổng hợp 1'!$B:$B,0)</f>
        <v>0</v>
      </c>
    </row>
    <row r="197" hidden="1">
      <c r="A197" s="30">
        <v>192.0</v>
      </c>
      <c r="B197" s="34"/>
      <c r="C197" s="31" t="s">
        <v>2834</v>
      </c>
      <c r="D197" s="31" t="s">
        <v>2837</v>
      </c>
      <c r="E197" s="31" t="str">
        <f>trim(D197)</f>
        <v>L01.32.05.01</v>
      </c>
      <c r="F197" s="31" t="s">
        <v>11854</v>
      </c>
      <c r="G197" s="34"/>
      <c r="H197" s="34"/>
      <c r="I197" s="34"/>
      <c r="J197" s="31" t="s">
        <v>2836</v>
      </c>
      <c r="K197" s="33"/>
      <c r="L197" s="34"/>
      <c r="M197" s="34"/>
      <c r="N197" s="31" t="s">
        <v>11849</v>
      </c>
      <c r="O197" s="656" t="s">
        <v>9265</v>
      </c>
      <c r="P197" s="33"/>
      <c r="Q197" s="31" t="s">
        <v>11802</v>
      </c>
      <c r="R197" s="2" t="str">
        <f t="array" ref="R197">xlookup($E197,'Bảng tổng hợp 1'!$B:$B,'Bảng tổng hợp 1'!$B:$B,0)</f>
        <v>L01.32.05.01</v>
      </c>
    </row>
    <row r="198" hidden="1">
      <c r="A198" s="30">
        <v>193.0</v>
      </c>
      <c r="B198" s="34"/>
      <c r="C198" s="655" t="s">
        <v>11903</v>
      </c>
      <c r="D198" s="31" t="s">
        <v>11904</v>
      </c>
      <c r="E198" s="31" t="s">
        <v>11904</v>
      </c>
      <c r="F198" s="31" t="s">
        <v>11854</v>
      </c>
      <c r="G198" s="34"/>
      <c r="H198" s="34"/>
      <c r="I198" s="34"/>
      <c r="J198" s="31" t="s">
        <v>2836</v>
      </c>
      <c r="K198" s="33"/>
      <c r="L198" s="34"/>
      <c r="M198" s="34"/>
      <c r="N198" s="31" t="s">
        <v>11849</v>
      </c>
      <c r="O198" s="656" t="s">
        <v>9265</v>
      </c>
      <c r="P198" s="33"/>
      <c r="Q198" s="31" t="s">
        <v>11802</v>
      </c>
      <c r="R198" s="2">
        <f t="array" ref="R198">xlookup($E198,'Bảng tổng hợp 1'!$B:$B,'Bảng tổng hợp 1'!$B:$B,0)</f>
        <v>0</v>
      </c>
    </row>
    <row r="199" hidden="1">
      <c r="A199" s="30">
        <v>194.0</v>
      </c>
      <c r="B199" s="34"/>
      <c r="C199" s="31" t="s">
        <v>2841</v>
      </c>
      <c r="D199" s="31" t="s">
        <v>2842</v>
      </c>
      <c r="E199" s="31" t="str">
        <f t="shared" ref="E199:E200" si="32">trim(D199)</f>
        <v>L01.37</v>
      </c>
      <c r="F199" s="31" t="s">
        <v>11850</v>
      </c>
      <c r="G199" s="34"/>
      <c r="H199" s="34"/>
      <c r="I199" s="34"/>
      <c r="J199" s="31" t="s">
        <v>453</v>
      </c>
      <c r="K199" s="33"/>
      <c r="L199" s="34"/>
      <c r="M199" s="34"/>
      <c r="N199" s="34"/>
      <c r="O199" s="656" t="s">
        <v>9265</v>
      </c>
      <c r="P199" s="33"/>
      <c r="Q199" s="31" t="s">
        <v>11802</v>
      </c>
      <c r="R199" s="2" t="str">
        <f t="array" ref="R199">xlookup($E199,'Bảng tổng hợp 1'!$B:$B,'Bảng tổng hợp 1'!$B:$B,0)</f>
        <v>L01.37</v>
      </c>
    </row>
    <row r="200" hidden="1">
      <c r="A200" s="30">
        <v>195.0</v>
      </c>
      <c r="B200" s="34"/>
      <c r="C200" s="31" t="s">
        <v>40</v>
      </c>
      <c r="D200" s="31" t="s">
        <v>4969</v>
      </c>
      <c r="E200" s="31" t="str">
        <f t="shared" si="32"/>
        <v>L01.38</v>
      </c>
      <c r="F200" s="31" t="s">
        <v>11850</v>
      </c>
      <c r="G200" s="34"/>
      <c r="H200" s="34"/>
      <c r="I200" s="34"/>
      <c r="J200" s="31" t="s">
        <v>453</v>
      </c>
      <c r="K200" s="33"/>
      <c r="L200" s="34"/>
      <c r="M200" s="34"/>
      <c r="N200" s="34"/>
      <c r="O200" s="656" t="s">
        <v>9265</v>
      </c>
      <c r="P200" s="33"/>
      <c r="Q200" s="31" t="s">
        <v>11802</v>
      </c>
      <c r="R200" s="2" t="str">
        <f t="array" ref="R200">xlookup($E200,'Bảng tổng hợp 1'!$B:$B,'Bảng tổng hợp 1'!$B:$B,0)</f>
        <v>L01.38</v>
      </c>
    </row>
    <row r="201" hidden="1">
      <c r="A201" s="30">
        <v>196.0</v>
      </c>
      <c r="B201" s="34"/>
      <c r="C201" s="655" t="s">
        <v>6077</v>
      </c>
      <c r="D201" s="31" t="s">
        <v>10825</v>
      </c>
      <c r="E201" s="31" t="s">
        <v>10825</v>
      </c>
      <c r="F201" s="31" t="s">
        <v>11850</v>
      </c>
      <c r="G201" s="34"/>
      <c r="H201" s="34"/>
      <c r="I201" s="34"/>
      <c r="J201" s="31" t="s">
        <v>453</v>
      </c>
      <c r="K201" s="33"/>
      <c r="L201" s="34"/>
      <c r="M201" s="34"/>
      <c r="N201" s="34"/>
      <c r="O201" s="656" t="s">
        <v>9265</v>
      </c>
      <c r="P201" s="33"/>
      <c r="Q201" s="31" t="s">
        <v>11802</v>
      </c>
      <c r="R201" s="2">
        <f t="array" ref="R201">xlookup($E201,'Bảng tổng hợp 1'!$B:$B,'Bảng tổng hợp 1'!$B:$B,0)</f>
        <v>0</v>
      </c>
    </row>
    <row r="202" hidden="1">
      <c r="A202" s="30">
        <v>197.0</v>
      </c>
      <c r="B202" s="34"/>
      <c r="C202" s="655" t="s">
        <v>11905</v>
      </c>
      <c r="D202" s="31" t="s">
        <v>11906</v>
      </c>
      <c r="E202" s="31" t="s">
        <v>11906</v>
      </c>
      <c r="F202" s="31" t="s">
        <v>11844</v>
      </c>
      <c r="G202" s="34"/>
      <c r="H202" s="34"/>
      <c r="I202" s="34"/>
      <c r="J202" s="31" t="s">
        <v>6077</v>
      </c>
      <c r="K202" s="33"/>
      <c r="L202" s="34"/>
      <c r="M202" s="34"/>
      <c r="N202" s="34"/>
      <c r="O202" s="656" t="s">
        <v>9265</v>
      </c>
      <c r="P202" s="33"/>
      <c r="Q202" s="31" t="s">
        <v>11802</v>
      </c>
      <c r="R202" s="2">
        <f t="array" ref="R202">xlookup($E202,'Bảng tổng hợp 1'!$B:$B,'Bảng tổng hợp 1'!$B:$B,0)</f>
        <v>0</v>
      </c>
    </row>
    <row r="203" hidden="1">
      <c r="A203" s="30">
        <v>198.0</v>
      </c>
      <c r="B203" s="34"/>
      <c r="C203" s="655" t="s">
        <v>11907</v>
      </c>
      <c r="D203" s="31" t="s">
        <v>11908</v>
      </c>
      <c r="E203" s="31" t="s">
        <v>11908</v>
      </c>
      <c r="F203" s="31" t="s">
        <v>11844</v>
      </c>
      <c r="G203" s="34"/>
      <c r="H203" s="34"/>
      <c r="I203" s="34"/>
      <c r="J203" s="31" t="s">
        <v>6077</v>
      </c>
      <c r="K203" s="33"/>
      <c r="L203" s="34"/>
      <c r="M203" s="34"/>
      <c r="N203" s="34"/>
      <c r="O203" s="656" t="s">
        <v>9265</v>
      </c>
      <c r="P203" s="33"/>
      <c r="Q203" s="31" t="s">
        <v>11802</v>
      </c>
      <c r="R203" s="2">
        <f t="array" ref="R203">xlookup($E203,'Bảng tổng hợp 1'!$B:$B,'Bảng tổng hợp 1'!$B:$B,0)</f>
        <v>0</v>
      </c>
    </row>
    <row r="204" hidden="1">
      <c r="A204" s="30">
        <v>199.0</v>
      </c>
      <c r="B204" s="34"/>
      <c r="C204" s="655" t="s">
        <v>11909</v>
      </c>
      <c r="D204" s="31" t="s">
        <v>11910</v>
      </c>
      <c r="E204" s="31" t="s">
        <v>11910</v>
      </c>
      <c r="F204" s="31" t="s">
        <v>11851</v>
      </c>
      <c r="G204" s="34"/>
      <c r="H204" s="34"/>
      <c r="I204" s="34"/>
      <c r="J204" s="31" t="s">
        <v>11907</v>
      </c>
      <c r="K204" s="33"/>
      <c r="L204" s="34"/>
      <c r="M204" s="34"/>
      <c r="N204" s="34"/>
      <c r="O204" s="656" t="s">
        <v>9265</v>
      </c>
      <c r="P204" s="33"/>
      <c r="Q204" s="31" t="s">
        <v>11802</v>
      </c>
      <c r="R204" s="2">
        <f t="array" ref="R204">xlookup($E204,'Bảng tổng hợp 1'!$B:$B,'Bảng tổng hợp 1'!$B:$B,0)</f>
        <v>0</v>
      </c>
    </row>
    <row r="205" hidden="1">
      <c r="A205" s="30">
        <v>200.0</v>
      </c>
      <c r="B205" s="34"/>
      <c r="C205" s="655" t="s">
        <v>11911</v>
      </c>
      <c r="D205" s="31" t="s">
        <v>11912</v>
      </c>
      <c r="E205" s="31" t="s">
        <v>11912</v>
      </c>
      <c r="F205" s="31" t="s">
        <v>11851</v>
      </c>
      <c r="G205" s="34"/>
      <c r="H205" s="34"/>
      <c r="I205" s="34"/>
      <c r="J205" s="31" t="s">
        <v>11907</v>
      </c>
      <c r="K205" s="33"/>
      <c r="L205" s="34"/>
      <c r="M205" s="34"/>
      <c r="N205" s="34"/>
      <c r="O205" s="656" t="s">
        <v>9265</v>
      </c>
      <c r="P205" s="33"/>
      <c r="Q205" s="31" t="s">
        <v>11802</v>
      </c>
      <c r="R205" s="2">
        <f t="array" ref="R205">xlookup($E205,'Bảng tổng hợp 1'!$B:$B,'Bảng tổng hợp 1'!$B:$B,0)</f>
        <v>0</v>
      </c>
    </row>
    <row r="206" hidden="1">
      <c r="A206" s="30">
        <v>201.0</v>
      </c>
      <c r="B206" s="34"/>
      <c r="C206" s="655" t="s">
        <v>6078</v>
      </c>
      <c r="D206" s="31" t="s">
        <v>10827</v>
      </c>
      <c r="E206" s="31" t="s">
        <v>10827</v>
      </c>
      <c r="F206" s="31" t="s">
        <v>11844</v>
      </c>
      <c r="G206" s="34"/>
      <c r="H206" s="34"/>
      <c r="I206" s="34"/>
      <c r="J206" s="31" t="s">
        <v>6077</v>
      </c>
      <c r="K206" s="33"/>
      <c r="L206" s="34"/>
      <c r="M206" s="34"/>
      <c r="N206" s="34"/>
      <c r="O206" s="656" t="s">
        <v>9265</v>
      </c>
      <c r="P206" s="33"/>
      <c r="Q206" s="31" t="s">
        <v>11802</v>
      </c>
      <c r="R206" s="2">
        <f t="array" ref="R206">xlookup($E206,'Bảng tổng hợp 1'!$B:$B,'Bảng tổng hợp 1'!$B:$B,0)</f>
        <v>0</v>
      </c>
    </row>
    <row r="207" hidden="1">
      <c r="A207" s="30">
        <v>202.0</v>
      </c>
      <c r="B207" s="34"/>
      <c r="C207" s="655" t="s">
        <v>11913</v>
      </c>
      <c r="D207" s="31" t="s">
        <v>11914</v>
      </c>
      <c r="E207" s="31" t="s">
        <v>11914</v>
      </c>
      <c r="F207" s="31" t="s">
        <v>11851</v>
      </c>
      <c r="G207" s="34"/>
      <c r="H207" s="34"/>
      <c r="I207" s="34"/>
      <c r="J207" s="31" t="s">
        <v>6078</v>
      </c>
      <c r="K207" s="33"/>
      <c r="L207" s="34"/>
      <c r="M207" s="34"/>
      <c r="N207" s="34"/>
      <c r="O207" s="656" t="s">
        <v>9265</v>
      </c>
      <c r="P207" s="33"/>
      <c r="Q207" s="31" t="s">
        <v>11802</v>
      </c>
      <c r="R207" s="2">
        <f t="array" ref="R207">xlookup($E207,'Bảng tổng hợp 1'!$B:$B,'Bảng tổng hợp 1'!$B:$B,0)</f>
        <v>0</v>
      </c>
    </row>
    <row r="208" hidden="1">
      <c r="A208" s="30">
        <v>203.0</v>
      </c>
      <c r="B208" s="34"/>
      <c r="C208" s="31" t="s">
        <v>6076</v>
      </c>
      <c r="D208" s="31" t="s">
        <v>6079</v>
      </c>
      <c r="E208" s="31" t="str">
        <f>trim(D208)</f>
        <v>L01.31.03.01</v>
      </c>
      <c r="F208" s="31" t="s">
        <v>11851</v>
      </c>
      <c r="G208" s="34"/>
      <c r="H208" s="34"/>
      <c r="I208" s="34"/>
      <c r="J208" s="31" t="s">
        <v>6078</v>
      </c>
      <c r="K208" s="33"/>
      <c r="L208" s="34"/>
      <c r="M208" s="34"/>
      <c r="N208" s="34"/>
      <c r="O208" s="656" t="s">
        <v>9265</v>
      </c>
      <c r="P208" s="33"/>
      <c r="Q208" s="31" t="s">
        <v>11802</v>
      </c>
      <c r="R208" s="2" t="str">
        <f t="array" ref="R208">xlookup($E208,'Bảng tổng hợp 1'!$B:$B,'Bảng tổng hợp 1'!$B:$B,0)</f>
        <v>L01.31.03.01</v>
      </c>
    </row>
    <row r="209" hidden="1">
      <c r="A209" s="30">
        <v>204.0</v>
      </c>
      <c r="B209" s="31" t="s">
        <v>11915</v>
      </c>
      <c r="C209" s="655" t="s">
        <v>576</v>
      </c>
      <c r="D209" s="31" t="s">
        <v>76</v>
      </c>
      <c r="E209" s="31" t="s">
        <v>76</v>
      </c>
      <c r="F209" s="31" t="s">
        <v>11916</v>
      </c>
      <c r="G209" s="34"/>
      <c r="H209" s="34"/>
      <c r="I209" s="34"/>
      <c r="J209" s="31" t="s">
        <v>10527</v>
      </c>
      <c r="K209" s="33"/>
      <c r="L209" s="31" t="s">
        <v>11917</v>
      </c>
      <c r="M209" s="34"/>
      <c r="N209" s="31" t="s">
        <v>11918</v>
      </c>
      <c r="O209" s="656" t="s">
        <v>9265</v>
      </c>
      <c r="P209" s="33"/>
      <c r="Q209" s="31" t="s">
        <v>11802</v>
      </c>
      <c r="R209" s="2">
        <f t="array" ref="R209">xlookup($E209,'Bảng tổng hợp 1'!$B:$B,'Bảng tổng hợp 1'!$B:$B,0)</f>
        <v>0</v>
      </c>
    </row>
    <row r="210" hidden="1">
      <c r="A210" s="30">
        <v>205.0</v>
      </c>
      <c r="B210" s="31" t="s">
        <v>11919</v>
      </c>
      <c r="C210" s="31" t="s">
        <v>9985</v>
      </c>
      <c r="D210" s="31" t="s">
        <v>9986</v>
      </c>
      <c r="E210" s="31" t="str">
        <f t="shared" ref="E210:E219" si="33">trim(D210)</f>
        <v>L02.01</v>
      </c>
      <c r="F210" s="31" t="s">
        <v>11844</v>
      </c>
      <c r="G210" s="34"/>
      <c r="H210" s="34"/>
      <c r="I210" s="34"/>
      <c r="J210" s="31" t="s">
        <v>576</v>
      </c>
      <c r="K210" s="33"/>
      <c r="L210" s="34"/>
      <c r="M210" s="34"/>
      <c r="N210" s="34"/>
      <c r="O210" s="656" t="s">
        <v>9265</v>
      </c>
      <c r="P210" s="33"/>
      <c r="Q210" s="31" t="s">
        <v>11802</v>
      </c>
      <c r="R210" s="2" t="str">
        <f t="array" ref="R210">xlookup($E210,'Bảng tổng hợp 1'!$B:$B,'Bảng tổng hợp 1'!$B:$B,0)</f>
        <v>L02.01</v>
      </c>
    </row>
    <row r="211" hidden="1">
      <c r="A211" s="30">
        <v>206.0</v>
      </c>
      <c r="B211" s="31" t="s">
        <v>11920</v>
      </c>
      <c r="C211" s="31" t="s">
        <v>3239</v>
      </c>
      <c r="D211" s="31" t="s">
        <v>8156</v>
      </c>
      <c r="E211" s="31" t="str">
        <f t="shared" si="33"/>
        <v>L02.11</v>
      </c>
      <c r="F211" s="31" t="s">
        <v>11844</v>
      </c>
      <c r="G211" s="34"/>
      <c r="H211" s="34"/>
      <c r="I211" s="34"/>
      <c r="J211" s="31" t="s">
        <v>576</v>
      </c>
      <c r="K211" s="33"/>
      <c r="L211" s="34"/>
      <c r="M211" s="34"/>
      <c r="N211" s="34"/>
      <c r="O211" s="656" t="s">
        <v>9265</v>
      </c>
      <c r="P211" s="33"/>
      <c r="Q211" s="31" t="s">
        <v>11802</v>
      </c>
      <c r="R211" s="2" t="str">
        <f t="array" ref="R211">xlookup($E211,'Bảng tổng hợp 1'!$B:$B,'Bảng tổng hợp 1'!$B:$B,0)</f>
        <v>L02.11</v>
      </c>
    </row>
    <row r="212" hidden="1">
      <c r="A212" s="30">
        <v>207.0</v>
      </c>
      <c r="B212" s="31" t="s">
        <v>11921</v>
      </c>
      <c r="C212" s="31" t="s">
        <v>3238</v>
      </c>
      <c r="D212" s="31" t="s">
        <v>3240</v>
      </c>
      <c r="E212" s="31" t="str">
        <f t="shared" si="33"/>
        <v>L02.11.01</v>
      </c>
      <c r="F212" s="31" t="s">
        <v>11851</v>
      </c>
      <c r="G212" s="34"/>
      <c r="H212" s="34"/>
      <c r="I212" s="34"/>
      <c r="J212" s="31" t="s">
        <v>3239</v>
      </c>
      <c r="K212" s="33"/>
      <c r="L212" s="34"/>
      <c r="M212" s="34"/>
      <c r="N212" s="34"/>
      <c r="O212" s="656" t="s">
        <v>9265</v>
      </c>
      <c r="P212" s="33"/>
      <c r="Q212" s="31" t="s">
        <v>11802</v>
      </c>
      <c r="R212" s="2" t="str">
        <f t="array" ref="R212">xlookup($E212,'Bảng tổng hợp 1'!$B:$B,'Bảng tổng hợp 1'!$B:$B,0)</f>
        <v>L02.11.01</v>
      </c>
    </row>
    <row r="213" hidden="1">
      <c r="A213" s="30">
        <v>208.0</v>
      </c>
      <c r="B213" s="31" t="s">
        <v>11922</v>
      </c>
      <c r="C213" s="31" t="s">
        <v>7405</v>
      </c>
      <c r="D213" s="31" t="s">
        <v>7406</v>
      </c>
      <c r="E213" s="31" t="str">
        <f t="shared" si="33"/>
        <v>L02.11.02</v>
      </c>
      <c r="F213" s="31" t="s">
        <v>11851</v>
      </c>
      <c r="G213" s="34"/>
      <c r="H213" s="34"/>
      <c r="I213" s="34"/>
      <c r="J213" s="31" t="s">
        <v>3239</v>
      </c>
      <c r="K213" s="33"/>
      <c r="L213" s="34"/>
      <c r="M213" s="34"/>
      <c r="N213" s="34"/>
      <c r="O213" s="656" t="s">
        <v>9265</v>
      </c>
      <c r="P213" s="33"/>
      <c r="Q213" s="31" t="s">
        <v>11802</v>
      </c>
      <c r="R213" s="2" t="str">
        <f t="array" ref="R213">xlookup($E213,'Bảng tổng hợp 1'!$B:$B,'Bảng tổng hợp 1'!$B:$B,0)</f>
        <v>L02.11.02</v>
      </c>
    </row>
    <row r="214" hidden="1">
      <c r="A214" s="30">
        <v>209.0</v>
      </c>
      <c r="B214" s="31" t="s">
        <v>11923</v>
      </c>
      <c r="C214" s="31" t="s">
        <v>2817</v>
      </c>
      <c r="D214" s="31" t="s">
        <v>8233</v>
      </c>
      <c r="E214" s="31" t="str">
        <f t="shared" si="33"/>
        <v>L02.12</v>
      </c>
      <c r="F214" s="31" t="s">
        <v>11844</v>
      </c>
      <c r="G214" s="34"/>
      <c r="H214" s="34"/>
      <c r="I214" s="34"/>
      <c r="J214" s="31" t="s">
        <v>576</v>
      </c>
      <c r="K214" s="33"/>
      <c r="L214" s="34"/>
      <c r="M214" s="34"/>
      <c r="N214" s="34"/>
      <c r="O214" s="656" t="s">
        <v>9265</v>
      </c>
      <c r="P214" s="33"/>
      <c r="Q214" s="31" t="s">
        <v>11802</v>
      </c>
      <c r="R214" s="2" t="str">
        <f t="array" ref="R214">xlookup($E214,'Bảng tổng hợp 1'!$B:$B,'Bảng tổng hợp 1'!$B:$B,0)</f>
        <v>L02.12</v>
      </c>
    </row>
    <row r="215" hidden="1">
      <c r="A215" s="30">
        <v>210.0</v>
      </c>
      <c r="B215" s="31" t="s">
        <v>11924</v>
      </c>
      <c r="C215" s="31" t="s">
        <v>4301</v>
      </c>
      <c r="D215" s="31" t="s">
        <v>4302</v>
      </c>
      <c r="E215" s="31" t="str">
        <f t="shared" si="33"/>
        <v>L02.12.02</v>
      </c>
      <c r="F215" s="31" t="s">
        <v>11851</v>
      </c>
      <c r="G215" s="34"/>
      <c r="H215" s="34"/>
      <c r="I215" s="34"/>
      <c r="J215" s="31" t="s">
        <v>2817</v>
      </c>
      <c r="K215" s="33"/>
      <c r="L215" s="34"/>
      <c r="M215" s="34"/>
      <c r="N215" s="34"/>
      <c r="O215" s="656" t="s">
        <v>9265</v>
      </c>
      <c r="P215" s="33"/>
      <c r="Q215" s="31" t="s">
        <v>11802</v>
      </c>
      <c r="R215" s="2" t="str">
        <f t="array" ref="R215">xlookup($E215,'Bảng tổng hợp 1'!$B:$B,'Bảng tổng hợp 1'!$B:$B,0)</f>
        <v>L02.12.02</v>
      </c>
    </row>
    <row r="216" hidden="1">
      <c r="A216" s="30">
        <v>211.0</v>
      </c>
      <c r="B216" s="31" t="s">
        <v>11925</v>
      </c>
      <c r="C216" s="31" t="s">
        <v>7470</v>
      </c>
      <c r="D216" s="31" t="s">
        <v>7471</v>
      </c>
      <c r="E216" s="31" t="str">
        <f t="shared" si="33"/>
        <v>L02.12.03</v>
      </c>
      <c r="F216" s="31" t="s">
        <v>11851</v>
      </c>
      <c r="G216" s="34"/>
      <c r="H216" s="34"/>
      <c r="I216" s="34"/>
      <c r="J216" s="31" t="s">
        <v>2817</v>
      </c>
      <c r="K216" s="33"/>
      <c r="L216" s="34"/>
      <c r="M216" s="34"/>
      <c r="N216" s="34"/>
      <c r="O216" s="656" t="s">
        <v>9265</v>
      </c>
      <c r="P216" s="33"/>
      <c r="Q216" s="31" t="s">
        <v>11802</v>
      </c>
      <c r="R216" s="2" t="str">
        <f t="array" ref="R216">xlookup($E216,'Bảng tổng hợp 1'!$B:$B,'Bảng tổng hợp 1'!$B:$B,0)</f>
        <v>L02.12.03</v>
      </c>
    </row>
    <row r="217" hidden="1">
      <c r="A217" s="30">
        <v>212.0</v>
      </c>
      <c r="B217" s="31" t="s">
        <v>11926</v>
      </c>
      <c r="C217" s="31" t="s">
        <v>2816</v>
      </c>
      <c r="D217" s="31" t="s">
        <v>2818</v>
      </c>
      <c r="E217" s="31" t="str">
        <f t="shared" si="33"/>
        <v>L02.12.04</v>
      </c>
      <c r="F217" s="31" t="s">
        <v>11851</v>
      </c>
      <c r="G217" s="34"/>
      <c r="H217" s="34"/>
      <c r="I217" s="34"/>
      <c r="J217" s="31" t="s">
        <v>2817</v>
      </c>
      <c r="K217" s="33"/>
      <c r="L217" s="34"/>
      <c r="M217" s="34"/>
      <c r="N217" s="34"/>
      <c r="O217" s="656" t="s">
        <v>9265</v>
      </c>
      <c r="P217" s="33"/>
      <c r="Q217" s="31" t="s">
        <v>11802</v>
      </c>
      <c r="R217" s="2" t="str">
        <f t="array" ref="R217">xlookup($E217,'Bảng tổng hợp 1'!$B:$B,'Bảng tổng hợp 1'!$B:$B,0)</f>
        <v>L02.12.04</v>
      </c>
    </row>
    <row r="218" hidden="1">
      <c r="A218" s="30">
        <v>213.0</v>
      </c>
      <c r="B218" s="31" t="s">
        <v>11927</v>
      </c>
      <c r="C218" s="31" t="s">
        <v>4652</v>
      </c>
      <c r="D218" s="31" t="s">
        <v>4653</v>
      </c>
      <c r="E218" s="31" t="str">
        <f t="shared" si="33"/>
        <v>L02.12.05</v>
      </c>
      <c r="F218" s="31" t="s">
        <v>11851</v>
      </c>
      <c r="G218" s="34"/>
      <c r="H218" s="34"/>
      <c r="I218" s="34"/>
      <c r="J218" s="31" t="s">
        <v>2817</v>
      </c>
      <c r="K218" s="33"/>
      <c r="L218" s="34"/>
      <c r="M218" s="34"/>
      <c r="N218" s="34"/>
      <c r="O218" s="656" t="s">
        <v>9265</v>
      </c>
      <c r="P218" s="33"/>
      <c r="Q218" s="31" t="s">
        <v>11802</v>
      </c>
      <c r="R218" s="2" t="str">
        <f t="array" ref="R218">xlookup($E218,'Bảng tổng hợp 1'!$B:$B,'Bảng tổng hợp 1'!$B:$B,0)</f>
        <v>L02.12.05</v>
      </c>
    </row>
    <row r="219" hidden="1">
      <c r="A219" s="30">
        <v>214.0</v>
      </c>
      <c r="B219" s="31" t="s">
        <v>11928</v>
      </c>
      <c r="C219" s="31" t="s">
        <v>2848</v>
      </c>
      <c r="D219" s="31" t="s">
        <v>2849</v>
      </c>
      <c r="E219" s="31" t="str">
        <f t="shared" si="33"/>
        <v>L02.12.06</v>
      </c>
      <c r="F219" s="31" t="s">
        <v>11851</v>
      </c>
      <c r="G219" s="34"/>
      <c r="H219" s="34"/>
      <c r="I219" s="34"/>
      <c r="J219" s="31" t="s">
        <v>2817</v>
      </c>
      <c r="K219" s="33"/>
      <c r="L219" s="34"/>
      <c r="M219" s="34"/>
      <c r="N219" s="31" t="s">
        <v>11918</v>
      </c>
      <c r="O219" s="656" t="s">
        <v>9265</v>
      </c>
      <c r="P219" s="33"/>
      <c r="Q219" s="31" t="s">
        <v>11802</v>
      </c>
      <c r="R219" s="2" t="str">
        <f t="array" ref="R219">xlookup($E219,'Bảng tổng hợp 1'!$B:$B,'Bảng tổng hợp 1'!$B:$B,0)</f>
        <v>L02.12.06</v>
      </c>
    </row>
    <row r="220" hidden="1">
      <c r="A220" s="30">
        <v>215.0</v>
      </c>
      <c r="B220" s="31" t="s">
        <v>11929</v>
      </c>
      <c r="C220" s="655" t="s">
        <v>11930</v>
      </c>
      <c r="D220" s="31" t="s">
        <v>11931</v>
      </c>
      <c r="E220" s="31" t="s">
        <v>11931</v>
      </c>
      <c r="F220" s="31" t="s">
        <v>11851</v>
      </c>
      <c r="G220" s="34"/>
      <c r="H220" s="34"/>
      <c r="I220" s="34"/>
      <c r="J220" s="31" t="s">
        <v>2817</v>
      </c>
      <c r="K220" s="33"/>
      <c r="L220" s="34"/>
      <c r="M220" s="34"/>
      <c r="N220" s="31" t="s">
        <v>11918</v>
      </c>
      <c r="O220" s="656" t="s">
        <v>9265</v>
      </c>
      <c r="P220" s="33"/>
      <c r="Q220" s="31" t="s">
        <v>11802</v>
      </c>
      <c r="R220" s="2">
        <f t="array" ref="R220">xlookup($E220,'Bảng tổng hợp 1'!$B:$B,'Bảng tổng hợp 1'!$B:$B,0)</f>
        <v>0</v>
      </c>
    </row>
    <row r="221" hidden="1">
      <c r="A221" s="30">
        <v>216.0</v>
      </c>
      <c r="B221" s="31" t="s">
        <v>11932</v>
      </c>
      <c r="C221" s="31" t="s">
        <v>577</v>
      </c>
      <c r="D221" s="31" t="s">
        <v>8080</v>
      </c>
      <c r="E221" s="31" t="str">
        <f t="shared" ref="E221:E222" si="34">trim(D221)</f>
        <v>L02.13</v>
      </c>
      <c r="F221" s="31" t="s">
        <v>11844</v>
      </c>
      <c r="G221" s="34"/>
      <c r="H221" s="34"/>
      <c r="I221" s="34"/>
      <c r="J221" s="31" t="s">
        <v>576</v>
      </c>
      <c r="K221" s="33"/>
      <c r="L221" s="34"/>
      <c r="M221" s="34"/>
      <c r="N221" s="34"/>
      <c r="O221" s="656" t="s">
        <v>9265</v>
      </c>
      <c r="P221" s="33"/>
      <c r="Q221" s="31" t="s">
        <v>11802</v>
      </c>
      <c r="R221" s="2" t="str">
        <f t="array" ref="R221">xlookup($E221,'Bảng tổng hợp 1'!$B:$B,'Bảng tổng hợp 1'!$B:$B,0)</f>
        <v>L02.13</v>
      </c>
    </row>
    <row r="222" hidden="1">
      <c r="A222" s="30">
        <v>217.0</v>
      </c>
      <c r="B222" s="31" t="s">
        <v>11933</v>
      </c>
      <c r="C222" s="31" t="s">
        <v>3325</v>
      </c>
      <c r="D222" s="31" t="s">
        <v>3326</v>
      </c>
      <c r="E222" s="31" t="str">
        <f t="shared" si="34"/>
        <v>L02.13.01</v>
      </c>
      <c r="F222" s="31" t="s">
        <v>11851</v>
      </c>
      <c r="G222" s="34"/>
      <c r="H222" s="34"/>
      <c r="I222" s="34"/>
      <c r="J222" s="31" t="s">
        <v>577</v>
      </c>
      <c r="K222" s="33"/>
      <c r="L222" s="34"/>
      <c r="M222" s="34"/>
      <c r="N222" s="34"/>
      <c r="O222" s="656" t="s">
        <v>9265</v>
      </c>
      <c r="P222" s="33"/>
      <c r="Q222" s="31" t="s">
        <v>11802</v>
      </c>
      <c r="R222" s="2" t="str">
        <f t="array" ref="R222">xlookup($E222,'Bảng tổng hợp 1'!$B:$B,'Bảng tổng hợp 1'!$B:$B,0)</f>
        <v>L02.13.01</v>
      </c>
    </row>
    <row r="223" hidden="1">
      <c r="A223" s="30">
        <v>218.0</v>
      </c>
      <c r="B223" s="31" t="s">
        <v>11934</v>
      </c>
      <c r="C223" s="655" t="s">
        <v>11935</v>
      </c>
      <c r="D223" s="31" t="s">
        <v>11936</v>
      </c>
      <c r="E223" s="31" t="s">
        <v>11936</v>
      </c>
      <c r="F223" s="31" t="s">
        <v>11851</v>
      </c>
      <c r="G223" s="34"/>
      <c r="H223" s="34"/>
      <c r="I223" s="34"/>
      <c r="J223" s="31" t="s">
        <v>577</v>
      </c>
      <c r="K223" s="33"/>
      <c r="L223" s="34"/>
      <c r="M223" s="34"/>
      <c r="N223" s="34"/>
      <c r="O223" s="656" t="s">
        <v>9265</v>
      </c>
      <c r="P223" s="33"/>
      <c r="Q223" s="31" t="s">
        <v>11802</v>
      </c>
      <c r="R223" s="2">
        <f t="array" ref="R223">xlookup($E223,'Bảng tổng hợp 1'!$B:$B,'Bảng tổng hợp 1'!$B:$B,0)</f>
        <v>0</v>
      </c>
    </row>
    <row r="224" hidden="1">
      <c r="A224" s="30">
        <v>219.0</v>
      </c>
      <c r="B224" s="31" t="s">
        <v>11937</v>
      </c>
      <c r="C224" s="31" t="s">
        <v>575</v>
      </c>
      <c r="D224" s="31" t="s">
        <v>578</v>
      </c>
      <c r="E224" s="31" t="str">
        <f t="shared" ref="E224:E239" si="35">trim(D224)</f>
        <v>L02.13.03</v>
      </c>
      <c r="F224" s="31" t="s">
        <v>11851</v>
      </c>
      <c r="G224" s="34"/>
      <c r="H224" s="34"/>
      <c r="I224" s="34"/>
      <c r="J224" s="31" t="s">
        <v>577</v>
      </c>
      <c r="K224" s="33"/>
      <c r="L224" s="34"/>
      <c r="M224" s="34"/>
      <c r="N224" s="34"/>
      <c r="O224" s="656" t="s">
        <v>9265</v>
      </c>
      <c r="P224" s="33"/>
      <c r="Q224" s="31" t="s">
        <v>11802</v>
      </c>
      <c r="R224" s="2" t="str">
        <f t="array" ref="R224">xlookup($E224,'Bảng tổng hợp 1'!$B:$B,'Bảng tổng hợp 1'!$B:$B,0)</f>
        <v>L02.13.03</v>
      </c>
    </row>
    <row r="225" hidden="1">
      <c r="A225" s="30">
        <v>220.0</v>
      </c>
      <c r="B225" s="31" t="s">
        <v>11938</v>
      </c>
      <c r="C225" s="31" t="s">
        <v>3027</v>
      </c>
      <c r="D225" s="31" t="s">
        <v>3028</v>
      </c>
      <c r="E225" s="31" t="str">
        <f t="shared" si="35"/>
        <v>L02.13.04</v>
      </c>
      <c r="F225" s="31" t="s">
        <v>11851</v>
      </c>
      <c r="G225" s="34"/>
      <c r="H225" s="34"/>
      <c r="I225" s="34"/>
      <c r="J225" s="31" t="s">
        <v>577</v>
      </c>
      <c r="K225" s="33"/>
      <c r="L225" s="34"/>
      <c r="M225" s="34"/>
      <c r="N225" s="34"/>
      <c r="O225" s="656" t="s">
        <v>9265</v>
      </c>
      <c r="P225" s="33"/>
      <c r="Q225" s="31" t="s">
        <v>11802</v>
      </c>
      <c r="R225" s="2" t="str">
        <f t="array" ref="R225">xlookup($E225,'Bảng tổng hợp 1'!$B:$B,'Bảng tổng hợp 1'!$B:$B,0)</f>
        <v>L02.13.04</v>
      </c>
    </row>
    <row r="226" hidden="1">
      <c r="A226" s="30">
        <v>221.0</v>
      </c>
      <c r="B226" s="31" t="s">
        <v>11939</v>
      </c>
      <c r="C226" s="31" t="s">
        <v>3313</v>
      </c>
      <c r="D226" s="31" t="s">
        <v>3314</v>
      </c>
      <c r="E226" s="31" t="str">
        <f t="shared" si="35"/>
        <v>L02.13.05</v>
      </c>
      <c r="F226" s="31" t="s">
        <v>11851</v>
      </c>
      <c r="G226" s="34"/>
      <c r="H226" s="34"/>
      <c r="I226" s="34"/>
      <c r="J226" s="31" t="s">
        <v>577</v>
      </c>
      <c r="K226" s="33"/>
      <c r="L226" s="34"/>
      <c r="M226" s="34"/>
      <c r="N226" s="34"/>
      <c r="O226" s="656" t="s">
        <v>9265</v>
      </c>
      <c r="P226" s="33"/>
      <c r="Q226" s="31" t="s">
        <v>11802</v>
      </c>
      <c r="R226" s="2" t="str">
        <f t="array" ref="R226">xlookup($E226,'Bảng tổng hợp 1'!$B:$B,'Bảng tổng hợp 1'!$B:$B,0)</f>
        <v>L02.13.05</v>
      </c>
    </row>
    <row r="227" hidden="1">
      <c r="A227" s="30">
        <v>222.0</v>
      </c>
      <c r="B227" s="31" t="s">
        <v>11940</v>
      </c>
      <c r="C227" s="31" t="s">
        <v>3431</v>
      </c>
      <c r="D227" s="31" t="s">
        <v>8204</v>
      </c>
      <c r="E227" s="31" t="str">
        <f t="shared" si="35"/>
        <v>L02.14</v>
      </c>
      <c r="F227" s="31" t="s">
        <v>11844</v>
      </c>
      <c r="G227" s="34"/>
      <c r="H227" s="34"/>
      <c r="I227" s="34"/>
      <c r="J227" s="31" t="s">
        <v>576</v>
      </c>
      <c r="K227" s="33"/>
      <c r="L227" s="34"/>
      <c r="M227" s="34"/>
      <c r="N227" s="34"/>
      <c r="O227" s="656" t="s">
        <v>9265</v>
      </c>
      <c r="P227" s="33"/>
      <c r="Q227" s="31" t="s">
        <v>11802</v>
      </c>
      <c r="R227" s="2" t="str">
        <f t="array" ref="R227">xlookup($E227,'Bảng tổng hợp 1'!$B:$B,'Bảng tổng hợp 1'!$B:$B,0)</f>
        <v>L02.14</v>
      </c>
    </row>
    <row r="228" hidden="1">
      <c r="A228" s="30">
        <v>223.0</v>
      </c>
      <c r="B228" s="31" t="s">
        <v>11941</v>
      </c>
      <c r="C228" s="31" t="s">
        <v>4719</v>
      </c>
      <c r="D228" s="31" t="s">
        <v>4720</v>
      </c>
      <c r="E228" s="31" t="str">
        <f t="shared" si="35"/>
        <v>L02.14.01</v>
      </c>
      <c r="F228" s="31" t="s">
        <v>11851</v>
      </c>
      <c r="G228" s="34"/>
      <c r="H228" s="34"/>
      <c r="I228" s="34"/>
      <c r="J228" s="31" t="s">
        <v>3431</v>
      </c>
      <c r="K228" s="33"/>
      <c r="L228" s="34"/>
      <c r="M228" s="34"/>
      <c r="N228" s="31" t="s">
        <v>11918</v>
      </c>
      <c r="O228" s="656" t="s">
        <v>9265</v>
      </c>
      <c r="P228" s="33"/>
      <c r="Q228" s="31" t="s">
        <v>11802</v>
      </c>
      <c r="R228" s="2" t="str">
        <f t="array" ref="R228">xlookup($E228,'Bảng tổng hợp 1'!$B:$B,'Bảng tổng hợp 1'!$B:$B,0)</f>
        <v>L02.14.01</v>
      </c>
    </row>
    <row r="229" hidden="1">
      <c r="A229" s="30">
        <v>224.0</v>
      </c>
      <c r="B229" s="31" t="s">
        <v>11942</v>
      </c>
      <c r="C229" s="31" t="s">
        <v>3430</v>
      </c>
      <c r="D229" s="31" t="s">
        <v>3432</v>
      </c>
      <c r="E229" s="31" t="str">
        <f t="shared" si="35"/>
        <v>L02.14.02</v>
      </c>
      <c r="F229" s="31" t="s">
        <v>11851</v>
      </c>
      <c r="G229" s="34"/>
      <c r="H229" s="34"/>
      <c r="I229" s="34"/>
      <c r="J229" s="31" t="s">
        <v>3431</v>
      </c>
      <c r="K229" s="33"/>
      <c r="L229" s="34"/>
      <c r="M229" s="34"/>
      <c r="N229" s="31" t="s">
        <v>11918</v>
      </c>
      <c r="O229" s="656" t="s">
        <v>9265</v>
      </c>
      <c r="P229" s="33"/>
      <c r="Q229" s="31" t="s">
        <v>11802</v>
      </c>
      <c r="R229" s="2" t="str">
        <f t="array" ref="R229">xlookup($E229,'Bảng tổng hợp 1'!$B:$B,'Bảng tổng hợp 1'!$B:$B,0)</f>
        <v>L02.14.02</v>
      </c>
    </row>
    <row r="230" hidden="1">
      <c r="A230" s="30">
        <v>225.0</v>
      </c>
      <c r="B230" s="31" t="s">
        <v>11943</v>
      </c>
      <c r="C230" s="31" t="s">
        <v>2463</v>
      </c>
      <c r="D230" s="31" t="s">
        <v>7335</v>
      </c>
      <c r="E230" s="31" t="str">
        <f t="shared" si="35"/>
        <v>L02.02</v>
      </c>
      <c r="F230" s="31" t="s">
        <v>11844</v>
      </c>
      <c r="G230" s="34"/>
      <c r="H230" s="34"/>
      <c r="I230" s="34"/>
      <c r="J230" s="31" t="s">
        <v>576</v>
      </c>
      <c r="K230" s="33"/>
      <c r="L230" s="31" t="s">
        <v>11944</v>
      </c>
      <c r="M230" s="34"/>
      <c r="N230" s="34"/>
      <c r="O230" s="656" t="s">
        <v>9265</v>
      </c>
      <c r="P230" s="33"/>
      <c r="Q230" s="31" t="s">
        <v>11802</v>
      </c>
      <c r="R230" s="2" t="str">
        <f t="array" ref="R230">xlookup($E230,'Bảng tổng hợp 1'!$B:$B,'Bảng tổng hợp 1'!$B:$B,0)</f>
        <v>L02.02</v>
      </c>
    </row>
    <row r="231" hidden="1">
      <c r="A231" s="30">
        <v>226.0</v>
      </c>
      <c r="B231" s="31" t="s">
        <v>11945</v>
      </c>
      <c r="C231" s="31" t="s">
        <v>2934</v>
      </c>
      <c r="D231" s="31" t="s">
        <v>9760</v>
      </c>
      <c r="E231" s="31" t="str">
        <f t="shared" si="35"/>
        <v>L02.15</v>
      </c>
      <c r="F231" s="31" t="s">
        <v>11844</v>
      </c>
      <c r="G231" s="34"/>
      <c r="H231" s="34"/>
      <c r="I231" s="34"/>
      <c r="J231" s="31" t="s">
        <v>576</v>
      </c>
      <c r="K231" s="33"/>
      <c r="L231" s="34"/>
      <c r="M231" s="34"/>
      <c r="N231" s="31" t="s">
        <v>11918</v>
      </c>
      <c r="O231" s="656" t="s">
        <v>9265</v>
      </c>
      <c r="P231" s="33"/>
      <c r="Q231" s="31" t="s">
        <v>11802</v>
      </c>
      <c r="R231" s="2" t="str">
        <f t="array" ref="R231">xlookup($E231,'Bảng tổng hợp 1'!$B:$B,'Bảng tổng hợp 1'!$B:$B,0)</f>
        <v>L02.15</v>
      </c>
    </row>
    <row r="232" hidden="1">
      <c r="A232" s="30">
        <v>227.0</v>
      </c>
      <c r="B232" s="31" t="s">
        <v>11946</v>
      </c>
      <c r="C232" s="31" t="s">
        <v>2933</v>
      </c>
      <c r="D232" s="31" t="s">
        <v>2935</v>
      </c>
      <c r="E232" s="31" t="str">
        <f t="shared" si="35"/>
        <v>L02.15.01</v>
      </c>
      <c r="F232" s="31" t="s">
        <v>11854</v>
      </c>
      <c r="G232" s="34"/>
      <c r="H232" s="34"/>
      <c r="I232" s="34"/>
      <c r="J232" s="31" t="s">
        <v>2934</v>
      </c>
      <c r="K232" s="33"/>
      <c r="L232" s="34"/>
      <c r="M232" s="34"/>
      <c r="N232" s="31" t="s">
        <v>11918</v>
      </c>
      <c r="O232" s="656" t="s">
        <v>9265</v>
      </c>
      <c r="P232" s="33"/>
      <c r="Q232" s="31" t="s">
        <v>11802</v>
      </c>
      <c r="R232" s="2" t="str">
        <f t="array" ref="R232">xlookup($E232,'Bảng tổng hợp 1'!$B:$B,'Bảng tổng hợp 1'!$B:$B,0)</f>
        <v>L02.15.01</v>
      </c>
    </row>
    <row r="233" hidden="1">
      <c r="A233" s="30">
        <v>228.0</v>
      </c>
      <c r="B233" s="31" t="s">
        <v>11947</v>
      </c>
      <c r="C233" s="31" t="s">
        <v>3598</v>
      </c>
      <c r="D233" s="31" t="s">
        <v>3599</v>
      </c>
      <c r="E233" s="31" t="str">
        <f t="shared" si="35"/>
        <v>L02.15.02</v>
      </c>
      <c r="F233" s="31" t="s">
        <v>11854</v>
      </c>
      <c r="G233" s="34"/>
      <c r="H233" s="34"/>
      <c r="I233" s="34"/>
      <c r="J233" s="31" t="s">
        <v>2934</v>
      </c>
      <c r="K233" s="33"/>
      <c r="L233" s="34"/>
      <c r="M233" s="34"/>
      <c r="N233" s="31" t="s">
        <v>11918</v>
      </c>
      <c r="O233" s="656" t="s">
        <v>9265</v>
      </c>
      <c r="P233" s="33"/>
      <c r="Q233" s="31" t="s">
        <v>11802</v>
      </c>
      <c r="R233" s="2" t="str">
        <f t="array" ref="R233">xlookup($E233,'Bảng tổng hợp 1'!$B:$B,'Bảng tổng hợp 1'!$B:$B,0)</f>
        <v>L02.15.02</v>
      </c>
    </row>
    <row r="234" hidden="1">
      <c r="A234" s="30">
        <v>229.0</v>
      </c>
      <c r="B234" s="31" t="s">
        <v>11948</v>
      </c>
      <c r="C234" s="31" t="s">
        <v>3299</v>
      </c>
      <c r="D234" s="31" t="s">
        <v>3442</v>
      </c>
      <c r="E234" s="31" t="str">
        <f t="shared" si="35"/>
        <v>L02.16</v>
      </c>
      <c r="F234" s="31" t="s">
        <v>11844</v>
      </c>
      <c r="G234" s="34"/>
      <c r="H234" s="34"/>
      <c r="I234" s="34"/>
      <c r="J234" s="31" t="s">
        <v>576</v>
      </c>
      <c r="K234" s="33"/>
      <c r="L234" s="34"/>
      <c r="M234" s="34"/>
      <c r="N234" s="31" t="s">
        <v>11918</v>
      </c>
      <c r="O234" s="656" t="s">
        <v>9265</v>
      </c>
      <c r="P234" s="33"/>
      <c r="Q234" s="31" t="s">
        <v>11802</v>
      </c>
      <c r="R234" s="2" t="str">
        <f t="array" ref="R234">xlookup($E234,'Bảng tổng hợp 1'!$B:$B,'Bảng tổng hợp 1'!$B:$B,0)</f>
        <v>L02.16</v>
      </c>
    </row>
    <row r="235" hidden="1">
      <c r="A235" s="30">
        <v>230.0</v>
      </c>
      <c r="B235" s="31" t="s">
        <v>11949</v>
      </c>
      <c r="C235" s="31" t="s">
        <v>3298</v>
      </c>
      <c r="D235" s="31" t="s">
        <v>3300</v>
      </c>
      <c r="E235" s="31" t="str">
        <f t="shared" si="35"/>
        <v>L02.16.01</v>
      </c>
      <c r="F235" s="31" t="s">
        <v>11854</v>
      </c>
      <c r="G235" s="34"/>
      <c r="H235" s="34"/>
      <c r="I235" s="34"/>
      <c r="J235" s="31" t="s">
        <v>3299</v>
      </c>
      <c r="K235" s="33"/>
      <c r="L235" s="34"/>
      <c r="M235" s="34"/>
      <c r="N235" s="31" t="s">
        <v>11918</v>
      </c>
      <c r="O235" s="656" t="s">
        <v>9265</v>
      </c>
      <c r="P235" s="33"/>
      <c r="Q235" s="31" t="s">
        <v>11802</v>
      </c>
      <c r="R235" s="2" t="str">
        <f t="array" ref="R235">xlookup($E235,'Bảng tổng hợp 1'!$B:$B,'Bảng tổng hợp 1'!$B:$B,0)</f>
        <v>L02.16.01</v>
      </c>
    </row>
    <row r="236" hidden="1">
      <c r="A236" s="30">
        <v>231.0</v>
      </c>
      <c r="B236" s="31" t="s">
        <v>11950</v>
      </c>
      <c r="C236" s="31" t="s">
        <v>3447</v>
      </c>
      <c r="D236" s="31" t="s">
        <v>3448</v>
      </c>
      <c r="E236" s="31" t="str">
        <f t="shared" si="35"/>
        <v>L02.16.02</v>
      </c>
      <c r="F236" s="31" t="s">
        <v>11854</v>
      </c>
      <c r="G236" s="34"/>
      <c r="H236" s="34"/>
      <c r="I236" s="34"/>
      <c r="J236" s="31" t="s">
        <v>3299</v>
      </c>
      <c r="K236" s="33"/>
      <c r="L236" s="34"/>
      <c r="M236" s="34"/>
      <c r="N236" s="31" t="s">
        <v>11918</v>
      </c>
      <c r="O236" s="656" t="s">
        <v>9265</v>
      </c>
      <c r="P236" s="33"/>
      <c r="Q236" s="31" t="s">
        <v>11802</v>
      </c>
      <c r="R236" s="2" t="str">
        <f t="array" ref="R236">xlookup($E236,'Bảng tổng hợp 1'!$B:$B,'Bảng tổng hợp 1'!$B:$B,0)</f>
        <v>L02.16.02</v>
      </c>
    </row>
    <row r="237" hidden="1">
      <c r="A237" s="30">
        <v>232.0</v>
      </c>
      <c r="B237" s="31" t="s">
        <v>11951</v>
      </c>
      <c r="C237" s="31" t="s">
        <v>3257</v>
      </c>
      <c r="D237" s="31" t="s">
        <v>8196</v>
      </c>
      <c r="E237" s="31" t="str">
        <f t="shared" si="35"/>
        <v>L02.17</v>
      </c>
      <c r="F237" s="31" t="s">
        <v>11844</v>
      </c>
      <c r="G237" s="34"/>
      <c r="H237" s="34"/>
      <c r="I237" s="34"/>
      <c r="J237" s="31" t="s">
        <v>576</v>
      </c>
      <c r="K237" s="33"/>
      <c r="L237" s="34"/>
      <c r="M237" s="34"/>
      <c r="N237" s="31" t="s">
        <v>11918</v>
      </c>
      <c r="O237" s="656" t="s">
        <v>9265</v>
      </c>
      <c r="P237" s="33"/>
      <c r="Q237" s="31" t="s">
        <v>11802</v>
      </c>
      <c r="R237" s="2" t="str">
        <f t="array" ref="R237">xlookup($E237,'Bảng tổng hợp 1'!$B:$B,'Bảng tổng hợp 1'!$B:$B,0)</f>
        <v>L02.17</v>
      </c>
    </row>
    <row r="238" hidden="1">
      <c r="A238" s="30">
        <v>233.0</v>
      </c>
      <c r="B238" s="31" t="s">
        <v>11952</v>
      </c>
      <c r="C238" s="31" t="s">
        <v>7512</v>
      </c>
      <c r="D238" s="31" t="s">
        <v>7513</v>
      </c>
      <c r="E238" s="31" t="str">
        <f t="shared" si="35"/>
        <v>L02.17.01</v>
      </c>
      <c r="F238" s="31" t="s">
        <v>11854</v>
      </c>
      <c r="G238" s="34"/>
      <c r="H238" s="34"/>
      <c r="I238" s="34"/>
      <c r="J238" s="31" t="s">
        <v>3257</v>
      </c>
      <c r="K238" s="33"/>
      <c r="L238" s="34"/>
      <c r="M238" s="34"/>
      <c r="N238" s="31" t="s">
        <v>11918</v>
      </c>
      <c r="O238" s="656" t="s">
        <v>9265</v>
      </c>
      <c r="P238" s="33"/>
      <c r="Q238" s="31" t="s">
        <v>11802</v>
      </c>
      <c r="R238" s="2" t="str">
        <f t="array" ref="R238">xlookup($E238,'Bảng tổng hợp 1'!$B:$B,'Bảng tổng hợp 1'!$B:$B,0)</f>
        <v>L02.17.01</v>
      </c>
    </row>
    <row r="239" hidden="1">
      <c r="A239" s="30">
        <v>234.0</v>
      </c>
      <c r="B239" s="31" t="s">
        <v>11953</v>
      </c>
      <c r="C239" s="31" t="s">
        <v>3256</v>
      </c>
      <c r="D239" s="31" t="s">
        <v>3258</v>
      </c>
      <c r="E239" s="31" t="str">
        <f t="shared" si="35"/>
        <v>L02.17.02</v>
      </c>
      <c r="F239" s="31" t="s">
        <v>11854</v>
      </c>
      <c r="G239" s="34"/>
      <c r="H239" s="34"/>
      <c r="I239" s="34"/>
      <c r="J239" s="31" t="s">
        <v>3257</v>
      </c>
      <c r="K239" s="33"/>
      <c r="L239" s="34"/>
      <c r="M239" s="34"/>
      <c r="N239" s="31" t="s">
        <v>11918</v>
      </c>
      <c r="O239" s="656" t="s">
        <v>9265</v>
      </c>
      <c r="P239" s="33"/>
      <c r="Q239" s="31" t="s">
        <v>11802</v>
      </c>
      <c r="R239" s="2" t="str">
        <f t="array" ref="R239">xlookup($E239,'Bảng tổng hợp 1'!$B:$B,'Bảng tổng hợp 1'!$B:$B,0)</f>
        <v>L02.17.02</v>
      </c>
    </row>
    <row r="240" hidden="1">
      <c r="A240" s="30">
        <v>235.0</v>
      </c>
      <c r="B240" s="31" t="s">
        <v>11954</v>
      </c>
      <c r="C240" s="655" t="s">
        <v>303</v>
      </c>
      <c r="D240" s="31" t="s">
        <v>188</v>
      </c>
      <c r="E240" s="31" t="s">
        <v>188</v>
      </c>
      <c r="F240" s="31" t="s">
        <v>11916</v>
      </c>
      <c r="G240" s="34"/>
      <c r="H240" s="34"/>
      <c r="I240" s="34"/>
      <c r="J240" s="31" t="s">
        <v>10527</v>
      </c>
      <c r="K240" s="33"/>
      <c r="L240" s="34"/>
      <c r="M240" s="34"/>
      <c r="N240" s="31" t="s">
        <v>11955</v>
      </c>
      <c r="O240" s="656" t="s">
        <v>9265</v>
      </c>
      <c r="P240" s="33"/>
      <c r="Q240" s="31" t="s">
        <v>11802</v>
      </c>
      <c r="R240" s="2">
        <f t="array" ref="R240">xlookup($E240,'Bảng tổng hợp 1'!$B:$B,'Bảng tổng hợp 1'!$B:$B,0)</f>
        <v>0</v>
      </c>
    </row>
    <row r="241" hidden="1">
      <c r="A241" s="30">
        <v>236.0</v>
      </c>
      <c r="B241" s="31" t="s">
        <v>11956</v>
      </c>
      <c r="C241" s="31" t="s">
        <v>7550</v>
      </c>
      <c r="D241" s="31" t="s">
        <v>9748</v>
      </c>
      <c r="E241" s="31" t="str">
        <f t="shared" ref="E241:E242" si="36">trim(D241)</f>
        <v>L03.01</v>
      </c>
      <c r="F241" s="31" t="s">
        <v>11844</v>
      </c>
      <c r="G241" s="34"/>
      <c r="H241" s="34"/>
      <c r="I241" s="34"/>
      <c r="J241" s="31" t="s">
        <v>303</v>
      </c>
      <c r="K241" s="33"/>
      <c r="L241" s="34"/>
      <c r="M241" s="34"/>
      <c r="N241" s="34"/>
      <c r="O241" s="656" t="s">
        <v>9265</v>
      </c>
      <c r="P241" s="33"/>
      <c r="Q241" s="31" t="s">
        <v>11802</v>
      </c>
      <c r="R241" s="2" t="str">
        <f t="array" ref="R241">xlookup($E241,'Bảng tổng hợp 1'!$B:$B,'Bảng tổng hợp 1'!$B:$B,0)</f>
        <v>L03.01</v>
      </c>
    </row>
    <row r="242" hidden="1">
      <c r="A242" s="30">
        <v>237.0</v>
      </c>
      <c r="B242" s="31" t="s">
        <v>11957</v>
      </c>
      <c r="C242" s="31" t="s">
        <v>226</v>
      </c>
      <c r="D242" s="31" t="s">
        <v>9890</v>
      </c>
      <c r="E242" s="31" t="str">
        <f t="shared" si="36"/>
        <v>L03.12</v>
      </c>
      <c r="F242" s="31" t="s">
        <v>11844</v>
      </c>
      <c r="G242" s="34"/>
      <c r="H242" s="34"/>
      <c r="I242" s="34"/>
      <c r="J242" s="31" t="s">
        <v>303</v>
      </c>
      <c r="K242" s="33"/>
      <c r="L242" s="31" t="s">
        <v>11958</v>
      </c>
      <c r="M242" s="34"/>
      <c r="N242" s="34"/>
      <c r="O242" s="656" t="s">
        <v>9265</v>
      </c>
      <c r="P242" s="33"/>
      <c r="Q242" s="31" t="s">
        <v>11802</v>
      </c>
      <c r="R242" s="2" t="str">
        <f t="array" ref="R242">xlookup($E242,'Bảng tổng hợp 1'!$B:$B,'Bảng tổng hợp 1'!$B:$B,0)</f>
        <v>L03.12</v>
      </c>
    </row>
    <row r="243" hidden="1">
      <c r="A243" s="30">
        <v>238.0</v>
      </c>
      <c r="B243" s="31" t="s">
        <v>11959</v>
      </c>
      <c r="C243" s="655" t="s">
        <v>7381</v>
      </c>
      <c r="D243" s="31" t="s">
        <v>11960</v>
      </c>
      <c r="E243" s="31" t="s">
        <v>11960</v>
      </c>
      <c r="F243" s="31" t="s">
        <v>11844</v>
      </c>
      <c r="G243" s="34"/>
      <c r="H243" s="34"/>
      <c r="I243" s="34"/>
      <c r="J243" s="31" t="s">
        <v>303</v>
      </c>
      <c r="K243" s="33"/>
      <c r="L243" s="31" t="s">
        <v>11958</v>
      </c>
      <c r="M243" s="34"/>
      <c r="N243" s="34"/>
      <c r="O243" s="656" t="s">
        <v>9265</v>
      </c>
      <c r="P243" s="33"/>
      <c r="Q243" s="31" t="s">
        <v>11802</v>
      </c>
      <c r="R243" s="2">
        <f t="array" ref="R243">xlookup($E243,'Bảng tổng hợp 1'!$B:$B,'Bảng tổng hợp 1'!$B:$B,0)</f>
        <v>0</v>
      </c>
    </row>
    <row r="244" hidden="1">
      <c r="A244" s="30">
        <v>239.0</v>
      </c>
      <c r="B244" s="31" t="s">
        <v>11961</v>
      </c>
      <c r="C244" s="31" t="s">
        <v>7219</v>
      </c>
      <c r="D244" s="31" t="s">
        <v>7220</v>
      </c>
      <c r="E244" s="31" t="str">
        <f t="shared" ref="E244:E248" si="37">trim(D244)</f>
        <v>L03.18</v>
      </c>
      <c r="F244" s="31" t="s">
        <v>11844</v>
      </c>
      <c r="G244" s="34"/>
      <c r="H244" s="34"/>
      <c r="I244" s="34"/>
      <c r="J244" s="31" t="s">
        <v>303</v>
      </c>
      <c r="K244" s="33"/>
      <c r="L244" s="31" t="s">
        <v>11962</v>
      </c>
      <c r="M244" s="34"/>
      <c r="N244" s="34"/>
      <c r="O244" s="656" t="s">
        <v>9265</v>
      </c>
      <c r="P244" s="33"/>
      <c r="Q244" s="31" t="s">
        <v>11802</v>
      </c>
      <c r="R244" s="2" t="str">
        <f t="array" ref="R244">xlookup($E244,'Bảng tổng hợp 1'!$B:$B,'Bảng tổng hợp 1'!$B:$B,0)</f>
        <v>L03.18</v>
      </c>
    </row>
    <row r="245" hidden="1">
      <c r="A245" s="30">
        <v>240.0</v>
      </c>
      <c r="B245" s="31" t="s">
        <v>11963</v>
      </c>
      <c r="C245" s="31" t="s">
        <v>2463</v>
      </c>
      <c r="D245" s="31" t="s">
        <v>2868</v>
      </c>
      <c r="E245" s="31" t="str">
        <f t="shared" si="37"/>
        <v>L03.02</v>
      </c>
      <c r="F245" s="31" t="s">
        <v>11844</v>
      </c>
      <c r="G245" s="34"/>
      <c r="H245" s="34"/>
      <c r="I245" s="34"/>
      <c r="J245" s="31" t="s">
        <v>303</v>
      </c>
      <c r="K245" s="33"/>
      <c r="L245" s="31" t="s">
        <v>11964</v>
      </c>
      <c r="M245" s="34"/>
      <c r="N245" s="34"/>
      <c r="O245" s="656" t="s">
        <v>9265</v>
      </c>
      <c r="P245" s="33"/>
      <c r="Q245" s="31" t="s">
        <v>11802</v>
      </c>
      <c r="R245" s="2" t="str">
        <f t="array" ref="R245">xlookup($E245,'Bảng tổng hợp 1'!$B:$B,'Bảng tổng hợp 1'!$B:$B,0)</f>
        <v>L03.02</v>
      </c>
    </row>
    <row r="246" hidden="1">
      <c r="A246" s="30">
        <v>241.0</v>
      </c>
      <c r="B246" s="31" t="s">
        <v>11965</v>
      </c>
      <c r="C246" s="31" t="s">
        <v>228</v>
      </c>
      <c r="D246" s="31" t="s">
        <v>304</v>
      </c>
      <c r="E246" s="31" t="str">
        <f t="shared" si="37"/>
        <v>L03.25</v>
      </c>
      <c r="F246" s="31" t="s">
        <v>11844</v>
      </c>
      <c r="G246" s="34"/>
      <c r="H246" s="34"/>
      <c r="I246" s="34"/>
      <c r="J246" s="31" t="s">
        <v>303</v>
      </c>
      <c r="K246" s="33"/>
      <c r="L246" s="31" t="s">
        <v>11966</v>
      </c>
      <c r="M246" s="34"/>
      <c r="N246" s="34"/>
      <c r="O246" s="656" t="s">
        <v>9265</v>
      </c>
      <c r="P246" s="33"/>
      <c r="Q246" s="31" t="s">
        <v>11802</v>
      </c>
      <c r="R246" s="2" t="str">
        <f t="array" ref="R246">xlookup($E246,'Bảng tổng hợp 1'!$B:$B,'Bảng tổng hợp 1'!$B:$B,0)</f>
        <v>L03.25</v>
      </c>
    </row>
    <row r="247" hidden="1">
      <c r="A247" s="30">
        <v>242.0</v>
      </c>
      <c r="B247" s="31" t="s">
        <v>11967</v>
      </c>
      <c r="C247" s="31" t="s">
        <v>7264</v>
      </c>
      <c r="D247" s="31" t="s">
        <v>7265</v>
      </c>
      <c r="E247" s="31" t="str">
        <f t="shared" si="37"/>
        <v>L03.26</v>
      </c>
      <c r="F247" s="31" t="s">
        <v>11844</v>
      </c>
      <c r="G247" s="34"/>
      <c r="H247" s="34"/>
      <c r="I247" s="34"/>
      <c r="J247" s="31" t="s">
        <v>303</v>
      </c>
      <c r="K247" s="33"/>
      <c r="L247" s="34"/>
      <c r="M247" s="34"/>
      <c r="N247" s="34"/>
      <c r="O247" s="656" t="s">
        <v>9265</v>
      </c>
      <c r="P247" s="33"/>
      <c r="Q247" s="31" t="s">
        <v>11802</v>
      </c>
      <c r="R247" s="2" t="str">
        <f t="array" ref="R247">xlookup($E247,'Bảng tổng hợp 1'!$B:$B,'Bảng tổng hợp 1'!$B:$B,0)</f>
        <v>L03.26</v>
      </c>
    </row>
    <row r="248" hidden="1">
      <c r="A248" s="30">
        <v>243.0</v>
      </c>
      <c r="B248" s="31" t="s">
        <v>11968</v>
      </c>
      <c r="C248" s="31" t="s">
        <v>2978</v>
      </c>
      <c r="D248" s="31" t="s">
        <v>2979</v>
      </c>
      <c r="E248" s="31" t="str">
        <f t="shared" si="37"/>
        <v>L03.27</v>
      </c>
      <c r="F248" s="31" t="s">
        <v>11844</v>
      </c>
      <c r="G248" s="34"/>
      <c r="H248" s="34"/>
      <c r="I248" s="34"/>
      <c r="J248" s="31" t="s">
        <v>303</v>
      </c>
      <c r="K248" s="33"/>
      <c r="L248" s="34"/>
      <c r="M248" s="34"/>
      <c r="N248" s="31" t="s">
        <v>11969</v>
      </c>
      <c r="O248" s="656" t="s">
        <v>9265</v>
      </c>
      <c r="P248" s="33"/>
      <c r="Q248" s="31" t="s">
        <v>11802</v>
      </c>
      <c r="R248" s="2" t="str">
        <f t="array" ref="R248">xlookup($E248,'Bảng tổng hợp 1'!$B:$B,'Bảng tổng hợp 1'!$B:$B,0)</f>
        <v>L03.27</v>
      </c>
    </row>
    <row r="249" hidden="1">
      <c r="A249" s="30">
        <v>244.0</v>
      </c>
      <c r="B249" s="34"/>
      <c r="C249" s="655" t="s">
        <v>174</v>
      </c>
      <c r="D249" s="31" t="s">
        <v>11406</v>
      </c>
      <c r="E249" s="31" t="s">
        <v>11406</v>
      </c>
      <c r="F249" s="31" t="s">
        <v>11844</v>
      </c>
      <c r="G249" s="34"/>
      <c r="H249" s="34"/>
      <c r="I249" s="34"/>
      <c r="J249" s="31" t="s">
        <v>2978</v>
      </c>
      <c r="K249" s="32">
        <v>45413.0</v>
      </c>
      <c r="L249" s="34"/>
      <c r="M249" s="34"/>
      <c r="N249" s="31" t="s">
        <v>11969</v>
      </c>
      <c r="O249" s="656" t="s">
        <v>9265</v>
      </c>
      <c r="P249" s="33"/>
      <c r="Q249" s="31" t="s">
        <v>11802</v>
      </c>
      <c r="R249" s="2">
        <f t="array" ref="R249">xlookup($E249,'Bảng tổng hợp 1'!$B:$B,'Bảng tổng hợp 1'!$B:$B,0)</f>
        <v>0</v>
      </c>
    </row>
    <row r="250" hidden="1">
      <c r="A250" s="30">
        <v>245.0</v>
      </c>
      <c r="B250" s="31" t="s">
        <v>11970</v>
      </c>
      <c r="C250" s="655" t="s">
        <v>3877</v>
      </c>
      <c r="D250" s="31" t="s">
        <v>11388</v>
      </c>
      <c r="E250" s="31" t="s">
        <v>11388</v>
      </c>
      <c r="F250" s="31" t="s">
        <v>11971</v>
      </c>
      <c r="G250" s="34"/>
      <c r="H250" s="34"/>
      <c r="I250" s="34"/>
      <c r="J250" s="31" t="s">
        <v>303</v>
      </c>
      <c r="K250" s="33"/>
      <c r="L250" s="34"/>
      <c r="M250" s="34"/>
      <c r="N250" s="31" t="s">
        <v>11969</v>
      </c>
      <c r="O250" s="656" t="s">
        <v>9265</v>
      </c>
      <c r="P250" s="33"/>
      <c r="Q250" s="31" t="s">
        <v>11802</v>
      </c>
      <c r="R250" s="2">
        <f t="array" ref="R250">xlookup($E250,'Bảng tổng hợp 1'!$B:$B,'Bảng tổng hợp 1'!$B:$B,0)</f>
        <v>0</v>
      </c>
    </row>
    <row r="251" hidden="1">
      <c r="A251" s="30">
        <v>246.0</v>
      </c>
      <c r="B251" s="31" t="s">
        <v>11972</v>
      </c>
      <c r="C251" s="31" t="s">
        <v>9786</v>
      </c>
      <c r="D251" s="31" t="s">
        <v>9787</v>
      </c>
      <c r="E251" s="31" t="str">
        <f t="shared" ref="E251:E259" si="38">trim(D251)</f>
        <v>L03.29.01</v>
      </c>
      <c r="F251" s="31" t="s">
        <v>11851</v>
      </c>
      <c r="G251" s="34"/>
      <c r="H251" s="34"/>
      <c r="I251" s="34"/>
      <c r="J251" s="31" t="s">
        <v>3877</v>
      </c>
      <c r="K251" s="33"/>
      <c r="L251" s="34"/>
      <c r="M251" s="34"/>
      <c r="N251" s="34"/>
      <c r="O251" s="656" t="s">
        <v>9265</v>
      </c>
      <c r="P251" s="33"/>
      <c r="Q251" s="31" t="s">
        <v>11802</v>
      </c>
      <c r="R251" s="2" t="str">
        <f t="array" ref="R251">xlookup($E251,'Bảng tổng hợp 1'!$B:$B,'Bảng tổng hợp 1'!$B:$B,0)</f>
        <v>L03.29.01</v>
      </c>
    </row>
    <row r="252" hidden="1">
      <c r="A252" s="30">
        <v>247.0</v>
      </c>
      <c r="B252" s="31" t="s">
        <v>11970</v>
      </c>
      <c r="C252" s="31" t="s">
        <v>167</v>
      </c>
      <c r="D252" s="31" t="s">
        <v>3878</v>
      </c>
      <c r="E252" s="31" t="str">
        <f t="shared" si="38"/>
        <v>L03.29.02</v>
      </c>
      <c r="F252" s="31" t="s">
        <v>11844</v>
      </c>
      <c r="G252" s="34"/>
      <c r="H252" s="34"/>
      <c r="I252" s="34"/>
      <c r="J252" s="31" t="s">
        <v>3877</v>
      </c>
      <c r="K252" s="33"/>
      <c r="L252" s="34"/>
      <c r="M252" s="34"/>
      <c r="N252" s="34"/>
      <c r="O252" s="656" t="s">
        <v>9265</v>
      </c>
      <c r="P252" s="33"/>
      <c r="Q252" s="31" t="s">
        <v>11802</v>
      </c>
      <c r="R252" s="2" t="str">
        <f t="array" ref="R252">xlookup($E252,'Bảng tổng hợp 1'!$B:$B,'Bảng tổng hợp 1'!$B:$B,0)</f>
        <v>L03.29.02</v>
      </c>
    </row>
    <row r="253" hidden="1">
      <c r="A253" s="30">
        <v>248.0</v>
      </c>
      <c r="B253" s="31" t="s">
        <v>11973</v>
      </c>
      <c r="C253" s="31" t="s">
        <v>4386</v>
      </c>
      <c r="D253" s="31" t="s">
        <v>4387</v>
      </c>
      <c r="E253" s="31" t="str">
        <f t="shared" si="38"/>
        <v>L03.03</v>
      </c>
      <c r="F253" s="31" t="s">
        <v>11844</v>
      </c>
      <c r="G253" s="34"/>
      <c r="H253" s="34"/>
      <c r="I253" s="34"/>
      <c r="J253" s="31" t="s">
        <v>303</v>
      </c>
      <c r="K253" s="33"/>
      <c r="L253" s="31" t="s">
        <v>11974</v>
      </c>
      <c r="M253" s="34"/>
      <c r="N253" s="31" t="s">
        <v>11969</v>
      </c>
      <c r="O253" s="656" t="s">
        <v>9265</v>
      </c>
      <c r="P253" s="33"/>
      <c r="Q253" s="31" t="s">
        <v>11802</v>
      </c>
      <c r="R253" s="2" t="str">
        <f t="array" ref="R253">xlookup($E253,'Bảng tổng hợp 1'!$B:$B,'Bảng tổng hợp 1'!$B:$B,0)</f>
        <v>L03.03</v>
      </c>
    </row>
    <row r="254" hidden="1">
      <c r="A254" s="30">
        <v>249.0</v>
      </c>
      <c r="B254" s="31" t="s">
        <v>11975</v>
      </c>
      <c r="C254" s="31" t="s">
        <v>231</v>
      </c>
      <c r="D254" s="31" t="s">
        <v>4395</v>
      </c>
      <c r="E254" s="31" t="str">
        <f t="shared" si="38"/>
        <v>L03.04</v>
      </c>
      <c r="F254" s="31" t="s">
        <v>11844</v>
      </c>
      <c r="G254" s="34"/>
      <c r="H254" s="34"/>
      <c r="I254" s="34"/>
      <c r="J254" s="31" t="s">
        <v>303</v>
      </c>
      <c r="K254" s="33"/>
      <c r="L254" s="31" t="s">
        <v>11976</v>
      </c>
      <c r="M254" s="34"/>
      <c r="N254" s="34"/>
      <c r="O254" s="656" t="s">
        <v>9265</v>
      </c>
      <c r="P254" s="33"/>
      <c r="Q254" s="31" t="s">
        <v>11802</v>
      </c>
      <c r="R254" s="2" t="str">
        <f t="array" ref="R254">xlookup($E254,'Bảng tổng hợp 1'!$B:$B,'Bảng tổng hợp 1'!$B:$B,0)</f>
        <v>L03.04</v>
      </c>
    </row>
    <row r="255" hidden="1">
      <c r="A255" s="30">
        <v>250.0</v>
      </c>
      <c r="B255" s="31" t="s">
        <v>11977</v>
      </c>
      <c r="C255" s="31" t="s">
        <v>36</v>
      </c>
      <c r="D255" s="31" t="s">
        <v>3014</v>
      </c>
      <c r="E255" s="31" t="str">
        <f t="shared" si="38"/>
        <v>L03.05</v>
      </c>
      <c r="F255" s="31" t="s">
        <v>11844</v>
      </c>
      <c r="G255" s="34"/>
      <c r="H255" s="34"/>
      <c r="I255" s="34"/>
      <c r="J255" s="31" t="s">
        <v>303</v>
      </c>
      <c r="K255" s="33"/>
      <c r="L255" s="31" t="s">
        <v>11958</v>
      </c>
      <c r="M255" s="34"/>
      <c r="N255" s="34"/>
      <c r="O255" s="656" t="s">
        <v>9265</v>
      </c>
      <c r="P255" s="33"/>
      <c r="Q255" s="31" t="s">
        <v>11802</v>
      </c>
      <c r="R255" s="2" t="str">
        <f t="array" ref="R255">xlookup($E255,'Bảng tổng hợp 1'!$B:$B,'Bảng tổng hợp 1'!$B:$B,0)</f>
        <v>L03.05</v>
      </c>
    </row>
    <row r="256" hidden="1">
      <c r="A256" s="30">
        <v>251.0</v>
      </c>
      <c r="B256" s="31" t="s">
        <v>11978</v>
      </c>
      <c r="C256" s="31" t="s">
        <v>223</v>
      </c>
      <c r="D256" s="31" t="s">
        <v>600</v>
      </c>
      <c r="E256" s="31" t="str">
        <f t="shared" si="38"/>
        <v>L03.05.01</v>
      </c>
      <c r="F256" s="31" t="s">
        <v>11854</v>
      </c>
      <c r="G256" s="34"/>
      <c r="H256" s="34"/>
      <c r="I256" s="34"/>
      <c r="J256" s="31" t="s">
        <v>36</v>
      </c>
      <c r="K256" s="33"/>
      <c r="L256" s="34"/>
      <c r="M256" s="34"/>
      <c r="N256" s="31" t="s">
        <v>11918</v>
      </c>
      <c r="O256" s="656" t="s">
        <v>9265</v>
      </c>
      <c r="P256" s="33"/>
      <c r="Q256" s="31" t="s">
        <v>11802</v>
      </c>
      <c r="R256" s="2" t="str">
        <f t="array" ref="R256">xlookup($E256,'Bảng tổng hợp 1'!$B:$B,'Bảng tổng hợp 1'!$B:$B,0)</f>
        <v>L03.05.01</v>
      </c>
    </row>
    <row r="257" hidden="1">
      <c r="A257" s="30">
        <v>252.0</v>
      </c>
      <c r="B257" s="31" t="s">
        <v>11979</v>
      </c>
      <c r="C257" s="31" t="s">
        <v>9691</v>
      </c>
      <c r="D257" s="31" t="s">
        <v>9692</v>
      </c>
      <c r="E257" s="31" t="str">
        <f t="shared" si="38"/>
        <v>L03.07</v>
      </c>
      <c r="F257" s="31" t="s">
        <v>11844</v>
      </c>
      <c r="G257" s="34"/>
      <c r="H257" s="34"/>
      <c r="I257" s="34"/>
      <c r="J257" s="31" t="s">
        <v>303</v>
      </c>
      <c r="K257" s="33"/>
      <c r="L257" s="34"/>
      <c r="M257" s="34"/>
      <c r="N257" s="34"/>
      <c r="O257" s="656" t="s">
        <v>9265</v>
      </c>
      <c r="P257" s="33"/>
      <c r="Q257" s="31" t="s">
        <v>11802</v>
      </c>
      <c r="R257" s="2" t="str">
        <f t="array" ref="R257">xlookup($E257,'Bảng tổng hợp 1'!$B:$B,'Bảng tổng hợp 1'!$B:$B,0)</f>
        <v>L03.07</v>
      </c>
    </row>
    <row r="258" hidden="1">
      <c r="A258" s="30">
        <v>253.0</v>
      </c>
      <c r="B258" s="31" t="s">
        <v>11980</v>
      </c>
      <c r="C258" s="31" t="s">
        <v>9306</v>
      </c>
      <c r="D258" s="31" t="s">
        <v>9307</v>
      </c>
      <c r="E258" s="31" t="str">
        <f t="shared" si="38"/>
        <v>L03.08</v>
      </c>
      <c r="F258" s="31" t="s">
        <v>11844</v>
      </c>
      <c r="G258" s="34"/>
      <c r="H258" s="34"/>
      <c r="I258" s="34"/>
      <c r="J258" s="31" t="s">
        <v>303</v>
      </c>
      <c r="K258" s="33"/>
      <c r="L258" s="34"/>
      <c r="M258" s="34"/>
      <c r="N258" s="34"/>
      <c r="O258" s="656" t="s">
        <v>9265</v>
      </c>
      <c r="P258" s="33"/>
      <c r="Q258" s="31" t="s">
        <v>11802</v>
      </c>
      <c r="R258" s="2" t="str">
        <f t="array" ref="R258">xlookup($E258,'Bảng tổng hợp 1'!$B:$B,'Bảng tổng hợp 1'!$B:$B,0)</f>
        <v>L03.08</v>
      </c>
    </row>
    <row r="259" hidden="1">
      <c r="A259" s="30">
        <v>254.0</v>
      </c>
      <c r="B259" s="31" t="s">
        <v>9755</v>
      </c>
      <c r="C259" s="31" t="s">
        <v>9754</v>
      </c>
      <c r="D259" s="31" t="s">
        <v>9755</v>
      </c>
      <c r="E259" s="31" t="str">
        <f t="shared" si="38"/>
        <v>L03.30</v>
      </c>
      <c r="F259" s="31" t="s">
        <v>11844</v>
      </c>
      <c r="G259" s="34"/>
      <c r="H259" s="34"/>
      <c r="I259" s="34"/>
      <c r="J259" s="31" t="s">
        <v>303</v>
      </c>
      <c r="K259" s="33"/>
      <c r="L259" s="34"/>
      <c r="M259" s="34"/>
      <c r="N259" s="34"/>
      <c r="O259" s="656" t="s">
        <v>9265</v>
      </c>
      <c r="P259" s="33"/>
      <c r="Q259" s="31" t="s">
        <v>11802</v>
      </c>
      <c r="R259" s="2" t="str">
        <f t="array" ref="R259">xlookup($E259,'Bảng tổng hợp 1'!$B:$B,'Bảng tổng hợp 1'!$B:$B,0)</f>
        <v>L03.30</v>
      </c>
    </row>
    <row r="260" hidden="1">
      <c r="A260" s="30">
        <v>255.0</v>
      </c>
      <c r="B260" s="31" t="s">
        <v>11981</v>
      </c>
      <c r="C260" s="655" t="s">
        <v>11982</v>
      </c>
      <c r="D260" s="31" t="s">
        <v>11981</v>
      </c>
      <c r="E260" s="31" t="s">
        <v>11981</v>
      </c>
      <c r="F260" s="31" t="s">
        <v>11844</v>
      </c>
      <c r="G260" s="34"/>
      <c r="H260" s="34"/>
      <c r="I260" s="34"/>
      <c r="J260" s="31" t="s">
        <v>303</v>
      </c>
      <c r="K260" s="33"/>
      <c r="L260" s="34"/>
      <c r="M260" s="34"/>
      <c r="N260" s="34"/>
      <c r="O260" s="656" t="s">
        <v>9265</v>
      </c>
      <c r="P260" s="33"/>
      <c r="Q260" s="31" t="s">
        <v>11802</v>
      </c>
      <c r="R260" s="2">
        <f t="array" ref="R260">xlookup($E260,'Bảng tổng hợp 1'!$B:$B,'Bảng tổng hợp 1'!$B:$B,0)</f>
        <v>0</v>
      </c>
    </row>
    <row r="261" hidden="1">
      <c r="A261" s="30">
        <v>256.0</v>
      </c>
      <c r="B261" s="31" t="s">
        <v>11983</v>
      </c>
      <c r="C261" s="655" t="s">
        <v>11984</v>
      </c>
      <c r="D261" s="31" t="s">
        <v>11983</v>
      </c>
      <c r="E261" s="31" t="s">
        <v>11983</v>
      </c>
      <c r="F261" s="31" t="s">
        <v>11844</v>
      </c>
      <c r="G261" s="34"/>
      <c r="H261" s="34"/>
      <c r="I261" s="34"/>
      <c r="J261" s="31" t="s">
        <v>303</v>
      </c>
      <c r="K261" s="33"/>
      <c r="L261" s="34"/>
      <c r="M261" s="34"/>
      <c r="N261" s="34"/>
      <c r="O261" s="656" t="s">
        <v>9265</v>
      </c>
      <c r="P261" s="33"/>
      <c r="Q261" s="31" t="s">
        <v>11802</v>
      </c>
      <c r="R261" s="2">
        <f t="array" ref="R261">xlookup($E261,'Bảng tổng hợp 1'!$B:$B,'Bảng tổng hợp 1'!$B:$B,0)</f>
        <v>0</v>
      </c>
    </row>
    <row r="262" hidden="1">
      <c r="A262" s="30">
        <v>257.0</v>
      </c>
      <c r="B262" s="31" t="s">
        <v>11985</v>
      </c>
      <c r="C262" s="31" t="s">
        <v>335</v>
      </c>
      <c r="D262" s="31" t="s">
        <v>2710</v>
      </c>
      <c r="E262" s="31" t="str">
        <f>trim(D262)</f>
        <v>L03.34</v>
      </c>
      <c r="F262" s="31" t="s">
        <v>11850</v>
      </c>
      <c r="G262" s="34"/>
      <c r="H262" s="34"/>
      <c r="I262" s="34"/>
      <c r="J262" s="31" t="s">
        <v>303</v>
      </c>
      <c r="K262" s="33"/>
      <c r="L262" s="34"/>
      <c r="M262" s="34"/>
      <c r="N262" s="31" t="s">
        <v>11969</v>
      </c>
      <c r="O262" s="656" t="s">
        <v>9265</v>
      </c>
      <c r="P262" s="33"/>
      <c r="Q262" s="31" t="s">
        <v>11802</v>
      </c>
      <c r="R262" s="2" t="str">
        <f t="array" ref="R262">xlookup($E262,'Bảng tổng hợp 1'!$B:$B,'Bảng tổng hợp 1'!$B:$B,0)</f>
        <v>L03.34</v>
      </c>
    </row>
    <row r="263" hidden="1">
      <c r="A263" s="30">
        <v>258.0</v>
      </c>
      <c r="B263" s="31" t="s">
        <v>11985</v>
      </c>
      <c r="C263" s="655" t="s">
        <v>2499</v>
      </c>
      <c r="D263" s="31" t="s">
        <v>11140</v>
      </c>
      <c r="E263" s="31" t="s">
        <v>11140</v>
      </c>
      <c r="F263" s="31" t="s">
        <v>11844</v>
      </c>
      <c r="G263" s="34"/>
      <c r="H263" s="34"/>
      <c r="I263" s="34"/>
      <c r="J263" s="31" t="s">
        <v>335</v>
      </c>
      <c r="K263" s="33"/>
      <c r="L263" s="34"/>
      <c r="M263" s="34"/>
      <c r="N263" s="31" t="s">
        <v>11969</v>
      </c>
      <c r="O263" s="656" t="s">
        <v>9265</v>
      </c>
      <c r="P263" s="33"/>
      <c r="Q263" s="31" t="s">
        <v>11802</v>
      </c>
      <c r="R263" s="2">
        <f t="array" ref="R263">xlookup($E263,'Bảng tổng hợp 1'!$B:$B,'Bảng tổng hợp 1'!$B:$B,0)</f>
        <v>0</v>
      </c>
    </row>
    <row r="264" hidden="1">
      <c r="A264" s="30">
        <v>259.0</v>
      </c>
      <c r="B264" s="31" t="s">
        <v>11985</v>
      </c>
      <c r="C264" s="31" t="s">
        <v>2550</v>
      </c>
      <c r="D264" s="31" t="s">
        <v>2551</v>
      </c>
      <c r="E264" s="31" t="str">
        <f t="shared" ref="E264:E266" si="39">trim(D264)</f>
        <v>L03.34.02.01</v>
      </c>
      <c r="F264" s="31" t="s">
        <v>11844</v>
      </c>
      <c r="G264" s="34"/>
      <c r="H264" s="34"/>
      <c r="I264" s="34"/>
      <c r="J264" s="31" t="s">
        <v>2499</v>
      </c>
      <c r="K264" s="33"/>
      <c r="L264" s="34"/>
      <c r="M264" s="34"/>
      <c r="N264" s="31" t="s">
        <v>11969</v>
      </c>
      <c r="O264" s="656" t="s">
        <v>9265</v>
      </c>
      <c r="P264" s="33"/>
      <c r="Q264" s="31" t="s">
        <v>11802</v>
      </c>
      <c r="R264" s="2" t="str">
        <f t="array" ref="R264">xlookup($E264,'Bảng tổng hợp 1'!$B:$B,'Bảng tổng hợp 1'!$B:$B,0)</f>
        <v>L03.34.02.01</v>
      </c>
    </row>
    <row r="265" hidden="1">
      <c r="A265" s="30">
        <v>260.0</v>
      </c>
      <c r="B265" s="31" t="s">
        <v>11985</v>
      </c>
      <c r="C265" s="31" t="s">
        <v>2498</v>
      </c>
      <c r="D265" s="31" t="s">
        <v>2500</v>
      </c>
      <c r="E265" s="31" t="str">
        <f t="shared" si="39"/>
        <v>L03.34.02.02</v>
      </c>
      <c r="F265" s="31" t="s">
        <v>11844</v>
      </c>
      <c r="G265" s="34"/>
      <c r="H265" s="34"/>
      <c r="I265" s="34"/>
      <c r="J265" s="31" t="s">
        <v>2499</v>
      </c>
      <c r="K265" s="33"/>
      <c r="L265" s="34"/>
      <c r="M265" s="34"/>
      <c r="N265" s="31" t="s">
        <v>11969</v>
      </c>
      <c r="O265" s="656" t="s">
        <v>9265</v>
      </c>
      <c r="P265" s="33"/>
      <c r="Q265" s="31" t="s">
        <v>11802</v>
      </c>
      <c r="R265" s="2" t="str">
        <f t="array" ref="R265">xlookup($E265,'Bảng tổng hợp 1'!$B:$B,'Bảng tổng hợp 1'!$B:$B,0)</f>
        <v>L03.34.02.02</v>
      </c>
    </row>
    <row r="266" hidden="1">
      <c r="A266" s="30">
        <v>261.0</v>
      </c>
      <c r="B266" s="31" t="s">
        <v>11986</v>
      </c>
      <c r="C266" s="31" t="s">
        <v>3340</v>
      </c>
      <c r="D266" s="31" t="s">
        <v>3341</v>
      </c>
      <c r="E266" s="31" t="str">
        <f t="shared" si="39"/>
        <v>L03.34.02.03</v>
      </c>
      <c r="F266" s="31" t="s">
        <v>11854</v>
      </c>
      <c r="G266" s="34"/>
      <c r="H266" s="34"/>
      <c r="I266" s="34"/>
      <c r="J266" s="31" t="s">
        <v>2499</v>
      </c>
      <c r="K266" s="33"/>
      <c r="L266" s="34"/>
      <c r="M266" s="34"/>
      <c r="N266" s="31" t="s">
        <v>11918</v>
      </c>
      <c r="O266" s="656" t="s">
        <v>9265</v>
      </c>
      <c r="P266" s="33"/>
      <c r="Q266" s="31" t="s">
        <v>11802</v>
      </c>
      <c r="R266" s="2" t="str">
        <f t="array" ref="R266">xlookup($E266,'Bảng tổng hợp 1'!$B:$B,'Bảng tổng hợp 1'!$B:$B,0)</f>
        <v>L03.34.02.03</v>
      </c>
    </row>
    <row r="267" hidden="1">
      <c r="A267" s="30">
        <v>262.0</v>
      </c>
      <c r="B267" s="31" t="s">
        <v>11987</v>
      </c>
      <c r="C267" s="655" t="s">
        <v>2510</v>
      </c>
      <c r="D267" s="31" t="s">
        <v>11988</v>
      </c>
      <c r="E267" s="31" t="s">
        <v>11988</v>
      </c>
      <c r="F267" s="31" t="s">
        <v>11844</v>
      </c>
      <c r="G267" s="34"/>
      <c r="H267" s="34"/>
      <c r="I267" s="34"/>
      <c r="J267" s="31" t="s">
        <v>335</v>
      </c>
      <c r="K267" s="33"/>
      <c r="L267" s="34"/>
      <c r="M267" s="34"/>
      <c r="N267" s="31" t="s">
        <v>11969</v>
      </c>
      <c r="O267" s="656" t="s">
        <v>9265</v>
      </c>
      <c r="P267" s="33"/>
      <c r="Q267" s="31" t="s">
        <v>11802</v>
      </c>
      <c r="R267" s="2">
        <f t="array" ref="R267">xlookup($E267,'Bảng tổng hợp 1'!$B:$B,'Bảng tổng hợp 1'!$B:$B,0)</f>
        <v>0</v>
      </c>
    </row>
    <row r="268" hidden="1">
      <c r="A268" s="30">
        <v>263.0</v>
      </c>
      <c r="B268" s="31" t="s">
        <v>11985</v>
      </c>
      <c r="C268" s="31" t="s">
        <v>2509</v>
      </c>
      <c r="D268" s="31" t="s">
        <v>2511</v>
      </c>
      <c r="E268" s="31" t="str">
        <f>trim(D268)</f>
        <v>L03.34.03.01</v>
      </c>
      <c r="F268" s="31" t="s">
        <v>11844</v>
      </c>
      <c r="G268" s="34"/>
      <c r="H268" s="34"/>
      <c r="I268" s="34"/>
      <c r="J268" s="31" t="s">
        <v>2510</v>
      </c>
      <c r="K268" s="33"/>
      <c r="L268" s="34"/>
      <c r="M268" s="34"/>
      <c r="N268" s="31" t="s">
        <v>11969</v>
      </c>
      <c r="O268" s="656" t="s">
        <v>9265</v>
      </c>
      <c r="P268" s="33"/>
      <c r="Q268" s="31" t="s">
        <v>11802</v>
      </c>
      <c r="R268" s="2" t="str">
        <f t="array" ref="R268">xlookup($E268,'Bảng tổng hợp 1'!$B:$B,'Bảng tổng hợp 1'!$B:$B,0)</f>
        <v>L03.34.03.01</v>
      </c>
    </row>
    <row r="269" hidden="1">
      <c r="A269" s="30">
        <v>264.0</v>
      </c>
      <c r="B269" s="31" t="s">
        <v>11989</v>
      </c>
      <c r="C269" s="655" t="s">
        <v>11990</v>
      </c>
      <c r="D269" s="31" t="s">
        <v>11991</v>
      </c>
      <c r="E269" s="31" t="s">
        <v>11991</v>
      </c>
      <c r="F269" s="31" t="s">
        <v>11854</v>
      </c>
      <c r="G269" s="34"/>
      <c r="H269" s="34"/>
      <c r="I269" s="34"/>
      <c r="J269" s="31" t="s">
        <v>2510</v>
      </c>
      <c r="K269" s="33"/>
      <c r="L269" s="34"/>
      <c r="M269" s="34"/>
      <c r="N269" s="31" t="s">
        <v>11955</v>
      </c>
      <c r="O269" s="656" t="s">
        <v>9265</v>
      </c>
      <c r="P269" s="33"/>
      <c r="Q269" s="31" t="s">
        <v>11802</v>
      </c>
      <c r="R269" s="2">
        <f t="array" ref="R269">xlookup($E269,'Bảng tổng hợp 1'!$B:$B,'Bảng tổng hợp 1'!$B:$B,0)</f>
        <v>0</v>
      </c>
    </row>
    <row r="270" hidden="1">
      <c r="A270" s="30">
        <v>265.0</v>
      </c>
      <c r="B270" s="31" t="s">
        <v>11992</v>
      </c>
      <c r="C270" s="655" t="s">
        <v>1963</v>
      </c>
      <c r="D270" s="31" t="s">
        <v>11150</v>
      </c>
      <c r="E270" s="31" t="s">
        <v>11150</v>
      </c>
      <c r="F270" s="31" t="s">
        <v>11844</v>
      </c>
      <c r="G270" s="34"/>
      <c r="H270" s="34"/>
      <c r="I270" s="34"/>
      <c r="J270" s="31" t="s">
        <v>335</v>
      </c>
      <c r="K270" s="33"/>
      <c r="L270" s="34"/>
      <c r="M270" s="34"/>
      <c r="N270" s="31" t="s">
        <v>11969</v>
      </c>
      <c r="O270" s="656" t="s">
        <v>9265</v>
      </c>
      <c r="P270" s="33"/>
      <c r="Q270" s="31" t="s">
        <v>11802</v>
      </c>
      <c r="R270" s="2">
        <f t="array" ref="R270">xlookup($E270,'Bảng tổng hợp 1'!$B:$B,'Bảng tổng hợp 1'!$B:$B,0)</f>
        <v>0</v>
      </c>
    </row>
    <row r="271" hidden="1">
      <c r="A271" s="30">
        <v>266.0</v>
      </c>
      <c r="B271" s="31" t="s">
        <v>11985</v>
      </c>
      <c r="C271" s="31" t="s">
        <v>1962</v>
      </c>
      <c r="D271" s="31" t="s">
        <v>1964</v>
      </c>
      <c r="E271" s="31" t="str">
        <f t="shared" ref="E271:E272" si="40">trim(D271)</f>
        <v>L03.34.04.01</v>
      </c>
      <c r="F271" s="31" t="s">
        <v>11844</v>
      </c>
      <c r="G271" s="34"/>
      <c r="H271" s="34"/>
      <c r="I271" s="34"/>
      <c r="J271" s="31" t="s">
        <v>1963</v>
      </c>
      <c r="K271" s="33"/>
      <c r="L271" s="34"/>
      <c r="M271" s="34"/>
      <c r="N271" s="31" t="s">
        <v>11969</v>
      </c>
      <c r="O271" s="656" t="s">
        <v>9265</v>
      </c>
      <c r="P271" s="33"/>
      <c r="Q271" s="31" t="s">
        <v>11802</v>
      </c>
      <c r="R271" s="2" t="str">
        <f t="array" ref="R271">xlookup($E271,'Bảng tổng hợp 1'!$B:$B,'Bảng tổng hợp 1'!$B:$B,0)</f>
        <v>L03.34.04.01</v>
      </c>
    </row>
    <row r="272" hidden="1">
      <c r="A272" s="30">
        <v>267.0</v>
      </c>
      <c r="B272" s="31" t="s">
        <v>11993</v>
      </c>
      <c r="C272" s="31" t="s">
        <v>4789</v>
      </c>
      <c r="D272" s="31" t="s">
        <v>4790</v>
      </c>
      <c r="E272" s="31" t="str">
        <f t="shared" si="40"/>
        <v>L03.34.04.02</v>
      </c>
      <c r="F272" s="31" t="s">
        <v>11854</v>
      </c>
      <c r="G272" s="34"/>
      <c r="H272" s="34"/>
      <c r="I272" s="34"/>
      <c r="J272" s="31" t="s">
        <v>1963</v>
      </c>
      <c r="K272" s="33"/>
      <c r="L272" s="34"/>
      <c r="M272" s="34"/>
      <c r="N272" s="31" t="s">
        <v>11955</v>
      </c>
      <c r="O272" s="656" t="s">
        <v>9265</v>
      </c>
      <c r="P272" s="33"/>
      <c r="Q272" s="31" t="s">
        <v>11802</v>
      </c>
      <c r="R272" s="2" t="str">
        <f t="array" ref="R272">xlookup($E272,'Bảng tổng hợp 1'!$B:$B,'Bảng tổng hợp 1'!$B:$B,0)</f>
        <v>L03.34.04.02</v>
      </c>
    </row>
    <row r="273" hidden="1">
      <c r="A273" s="30">
        <v>268.0</v>
      </c>
      <c r="B273" s="31" t="s">
        <v>11994</v>
      </c>
      <c r="C273" s="655" t="s">
        <v>336</v>
      </c>
      <c r="D273" s="31" t="s">
        <v>11995</v>
      </c>
      <c r="E273" s="31" t="s">
        <v>11995</v>
      </c>
      <c r="F273" s="31" t="s">
        <v>11844</v>
      </c>
      <c r="G273" s="34"/>
      <c r="H273" s="34"/>
      <c r="I273" s="34"/>
      <c r="J273" s="31" t="s">
        <v>335</v>
      </c>
      <c r="K273" s="33"/>
      <c r="L273" s="34"/>
      <c r="M273" s="34"/>
      <c r="N273" s="31" t="s">
        <v>11918</v>
      </c>
      <c r="O273" s="656" t="s">
        <v>9265</v>
      </c>
      <c r="P273" s="33"/>
      <c r="Q273" s="31" t="s">
        <v>11802</v>
      </c>
      <c r="R273" s="2">
        <f t="array" ref="R273">xlookup($E273,'Bảng tổng hợp 1'!$B:$B,'Bảng tổng hợp 1'!$B:$B,0)</f>
        <v>0</v>
      </c>
    </row>
    <row r="274" hidden="1">
      <c r="A274" s="30">
        <v>269.0</v>
      </c>
      <c r="B274" s="31" t="s">
        <v>11996</v>
      </c>
      <c r="C274" s="31" t="s">
        <v>148</v>
      </c>
      <c r="D274" s="31" t="s">
        <v>2532</v>
      </c>
      <c r="E274" s="31" t="str">
        <f t="shared" ref="E274:E278" si="41">trim(D274)</f>
        <v>L03.34.07.01</v>
      </c>
      <c r="F274" s="31" t="s">
        <v>11854</v>
      </c>
      <c r="G274" s="34"/>
      <c r="H274" s="34"/>
      <c r="I274" s="34"/>
      <c r="J274" s="31" t="s">
        <v>336</v>
      </c>
      <c r="K274" s="33"/>
      <c r="L274" s="34"/>
      <c r="M274" s="34"/>
      <c r="N274" s="31" t="s">
        <v>11918</v>
      </c>
      <c r="O274" s="656" t="s">
        <v>9265</v>
      </c>
      <c r="P274" s="33"/>
      <c r="Q274" s="31" t="s">
        <v>11802</v>
      </c>
      <c r="R274" s="2" t="str">
        <f t="array" ref="R274">xlookup($E274,'Bảng tổng hợp 1'!$B:$B,'Bảng tổng hợp 1'!$B:$B,0)</f>
        <v>L03.34.07.01</v>
      </c>
    </row>
    <row r="275" hidden="1">
      <c r="A275" s="30">
        <v>270.0</v>
      </c>
      <c r="B275" s="31" t="s">
        <v>11997</v>
      </c>
      <c r="C275" s="31" t="s">
        <v>7685</v>
      </c>
      <c r="D275" s="31" t="s">
        <v>7686</v>
      </c>
      <c r="E275" s="31" t="str">
        <f t="shared" si="41"/>
        <v>L03.34.07.02</v>
      </c>
      <c r="F275" s="31" t="s">
        <v>11854</v>
      </c>
      <c r="G275" s="34"/>
      <c r="H275" s="34"/>
      <c r="I275" s="34"/>
      <c r="J275" s="31" t="s">
        <v>336</v>
      </c>
      <c r="K275" s="33"/>
      <c r="L275" s="34"/>
      <c r="M275" s="34"/>
      <c r="N275" s="31" t="s">
        <v>11918</v>
      </c>
      <c r="O275" s="656" t="s">
        <v>9265</v>
      </c>
      <c r="P275" s="33"/>
      <c r="Q275" s="31" t="s">
        <v>11802</v>
      </c>
      <c r="R275" s="2" t="str">
        <f t="array" ref="R275">xlookup($E275,'Bảng tổng hợp 1'!$B:$B,'Bảng tổng hợp 1'!$B:$B,0)</f>
        <v>L03.34.07.02</v>
      </c>
    </row>
    <row r="276" hidden="1">
      <c r="A276" s="30">
        <v>271.0</v>
      </c>
      <c r="B276" s="31" t="s">
        <v>11998</v>
      </c>
      <c r="C276" s="31" t="s">
        <v>104</v>
      </c>
      <c r="D276" s="31" t="s">
        <v>337</v>
      </c>
      <c r="E276" s="31" t="str">
        <f t="shared" si="41"/>
        <v>L03.34.07.03</v>
      </c>
      <c r="F276" s="31" t="s">
        <v>11854</v>
      </c>
      <c r="G276" s="34"/>
      <c r="H276" s="34"/>
      <c r="I276" s="34"/>
      <c r="J276" s="31" t="s">
        <v>336</v>
      </c>
      <c r="K276" s="33"/>
      <c r="L276" s="34"/>
      <c r="M276" s="34"/>
      <c r="N276" s="31" t="s">
        <v>11918</v>
      </c>
      <c r="O276" s="656" t="s">
        <v>9265</v>
      </c>
      <c r="P276" s="33"/>
      <c r="Q276" s="31" t="s">
        <v>11802</v>
      </c>
      <c r="R276" s="2" t="str">
        <f t="array" ref="R276">xlookup($E276,'Bảng tổng hợp 1'!$B:$B,'Bảng tổng hợp 1'!$B:$B,0)</f>
        <v>L03.34.07.03</v>
      </c>
    </row>
    <row r="277" hidden="1">
      <c r="A277" s="30">
        <v>272.0</v>
      </c>
      <c r="B277" s="31" t="s">
        <v>11999</v>
      </c>
      <c r="C277" s="31" t="s">
        <v>9323</v>
      </c>
      <c r="D277" s="31" t="s">
        <v>9324</v>
      </c>
      <c r="E277" s="31" t="str">
        <f t="shared" si="41"/>
        <v>L03.34.07.04</v>
      </c>
      <c r="F277" s="31" t="s">
        <v>11854</v>
      </c>
      <c r="G277" s="34"/>
      <c r="H277" s="34"/>
      <c r="I277" s="34"/>
      <c r="J277" s="31" t="s">
        <v>336</v>
      </c>
      <c r="K277" s="33"/>
      <c r="L277" s="34"/>
      <c r="M277" s="34"/>
      <c r="N277" s="31" t="s">
        <v>11918</v>
      </c>
      <c r="O277" s="656" t="s">
        <v>9265</v>
      </c>
      <c r="P277" s="33"/>
      <c r="Q277" s="31" t="s">
        <v>11802</v>
      </c>
      <c r="R277" s="2" t="str">
        <f t="array" ref="R277">xlookup($E277,'Bảng tổng hợp 1'!$B:$B,'Bảng tổng hợp 1'!$B:$B,0)</f>
        <v>L03.34.07.04</v>
      </c>
    </row>
    <row r="278" hidden="1">
      <c r="A278" s="30">
        <v>273.0</v>
      </c>
      <c r="B278" s="31" t="s">
        <v>12000</v>
      </c>
      <c r="C278" s="31" t="s">
        <v>9180</v>
      </c>
      <c r="D278" s="31" t="s">
        <v>9181</v>
      </c>
      <c r="E278" s="31" t="str">
        <f t="shared" si="41"/>
        <v>L03.34.07.05</v>
      </c>
      <c r="F278" s="31" t="s">
        <v>11854</v>
      </c>
      <c r="G278" s="34"/>
      <c r="H278" s="34"/>
      <c r="I278" s="34"/>
      <c r="J278" s="31" t="s">
        <v>336</v>
      </c>
      <c r="K278" s="33"/>
      <c r="L278" s="34"/>
      <c r="M278" s="34"/>
      <c r="N278" s="31" t="s">
        <v>11918</v>
      </c>
      <c r="O278" s="656" t="s">
        <v>9265</v>
      </c>
      <c r="P278" s="33"/>
      <c r="Q278" s="31" t="s">
        <v>11802</v>
      </c>
      <c r="R278" s="2" t="str">
        <f t="array" ref="R278">xlookup($E278,'Bảng tổng hợp 1'!$B:$B,'Bảng tổng hợp 1'!$B:$B,0)</f>
        <v>L03.34.07.05</v>
      </c>
    </row>
    <row r="279" hidden="1">
      <c r="A279" s="30">
        <v>274.0</v>
      </c>
      <c r="B279" s="31" t="s">
        <v>12001</v>
      </c>
      <c r="C279" s="655" t="s">
        <v>12002</v>
      </c>
      <c r="D279" s="31" t="s">
        <v>12003</v>
      </c>
      <c r="E279" s="31" t="s">
        <v>12003</v>
      </c>
      <c r="F279" s="31" t="s">
        <v>11854</v>
      </c>
      <c r="G279" s="34"/>
      <c r="H279" s="34"/>
      <c r="I279" s="34"/>
      <c r="J279" s="31" t="s">
        <v>336</v>
      </c>
      <c r="K279" s="33"/>
      <c r="L279" s="34"/>
      <c r="M279" s="34"/>
      <c r="N279" s="31" t="s">
        <v>11918</v>
      </c>
      <c r="O279" s="656" t="s">
        <v>9265</v>
      </c>
      <c r="P279" s="33"/>
      <c r="Q279" s="31" t="s">
        <v>11802</v>
      </c>
      <c r="R279" s="2">
        <f t="array" ref="R279">xlookup($E279,'Bảng tổng hợp 1'!$B:$B,'Bảng tổng hợp 1'!$B:$B,0)</f>
        <v>0</v>
      </c>
    </row>
    <row r="280" hidden="1">
      <c r="A280" s="30">
        <v>275.0</v>
      </c>
      <c r="B280" s="31" t="s">
        <v>12004</v>
      </c>
      <c r="C280" s="31" t="s">
        <v>9317</v>
      </c>
      <c r="D280" s="31" t="s">
        <v>9318</v>
      </c>
      <c r="E280" s="31" t="str">
        <f>trim(D280)</f>
        <v>L03.34.07.07</v>
      </c>
      <c r="F280" s="31" t="s">
        <v>11854</v>
      </c>
      <c r="G280" s="34"/>
      <c r="H280" s="34"/>
      <c r="I280" s="34"/>
      <c r="J280" s="31" t="s">
        <v>336</v>
      </c>
      <c r="K280" s="33"/>
      <c r="L280" s="34"/>
      <c r="M280" s="34"/>
      <c r="N280" s="31" t="s">
        <v>11918</v>
      </c>
      <c r="O280" s="656" t="s">
        <v>9265</v>
      </c>
      <c r="P280" s="33"/>
      <c r="Q280" s="31" t="s">
        <v>11802</v>
      </c>
      <c r="R280" s="2" t="str">
        <f t="array" ref="R280">xlookup($E280,'Bảng tổng hợp 1'!$B:$B,'Bảng tổng hợp 1'!$B:$B,0)</f>
        <v>L03.34.07.07</v>
      </c>
    </row>
    <row r="281" hidden="1">
      <c r="A281" s="30">
        <v>276.0</v>
      </c>
      <c r="B281" s="31" t="s">
        <v>12005</v>
      </c>
      <c r="C281" s="655" t="s">
        <v>2079</v>
      </c>
      <c r="D281" s="31" t="s">
        <v>12006</v>
      </c>
      <c r="E281" s="31" t="s">
        <v>12006</v>
      </c>
      <c r="F281" s="31" t="s">
        <v>11844</v>
      </c>
      <c r="G281" s="34"/>
      <c r="H281" s="34"/>
      <c r="I281" s="34"/>
      <c r="J281" s="31" t="s">
        <v>335</v>
      </c>
      <c r="K281" s="33"/>
      <c r="L281" s="34"/>
      <c r="M281" s="34"/>
      <c r="N281" s="31" t="s">
        <v>11918</v>
      </c>
      <c r="O281" s="656" t="s">
        <v>9265</v>
      </c>
      <c r="P281" s="33"/>
      <c r="Q281" s="31" t="s">
        <v>11802</v>
      </c>
      <c r="R281" s="2">
        <f t="array" ref="R281">xlookup($E281,'Bảng tổng hợp 1'!$B:$B,'Bảng tổng hợp 1'!$B:$B,0)</f>
        <v>0</v>
      </c>
    </row>
    <row r="282" hidden="1">
      <c r="A282" s="30">
        <v>277.0</v>
      </c>
      <c r="B282" s="31" t="s">
        <v>12007</v>
      </c>
      <c r="C282" s="31" t="s">
        <v>4713</v>
      </c>
      <c r="D282" s="31" t="s">
        <v>4714</v>
      </c>
      <c r="E282" s="31" t="str">
        <f>trim(D282)</f>
        <v>L03.34.06.01</v>
      </c>
      <c r="F282" s="31" t="s">
        <v>11854</v>
      </c>
      <c r="G282" s="34"/>
      <c r="H282" s="34"/>
      <c r="I282" s="34"/>
      <c r="J282" s="31" t="s">
        <v>2079</v>
      </c>
      <c r="K282" s="33"/>
      <c r="L282" s="34"/>
      <c r="M282" s="34"/>
      <c r="N282" s="31" t="s">
        <v>11918</v>
      </c>
      <c r="O282" s="656" t="s">
        <v>9265</v>
      </c>
      <c r="P282" s="33"/>
      <c r="Q282" s="31" t="s">
        <v>11802</v>
      </c>
      <c r="R282" s="2" t="str">
        <f t="array" ref="R282">xlookup($E282,'Bảng tổng hợp 1'!$B:$B,'Bảng tổng hợp 1'!$B:$B,0)</f>
        <v>L03.34.06.01</v>
      </c>
    </row>
    <row r="283" hidden="1">
      <c r="A283" s="30">
        <v>278.0</v>
      </c>
      <c r="B283" s="31" t="s">
        <v>12008</v>
      </c>
      <c r="C283" s="655" t="s">
        <v>12009</v>
      </c>
      <c r="D283" s="31" t="s">
        <v>12010</v>
      </c>
      <c r="E283" s="31" t="s">
        <v>12010</v>
      </c>
      <c r="F283" s="31" t="s">
        <v>11854</v>
      </c>
      <c r="G283" s="34"/>
      <c r="H283" s="34"/>
      <c r="I283" s="34"/>
      <c r="J283" s="31" t="s">
        <v>2079</v>
      </c>
      <c r="K283" s="33"/>
      <c r="L283" s="34"/>
      <c r="M283" s="34"/>
      <c r="N283" s="31" t="s">
        <v>11918</v>
      </c>
      <c r="O283" s="656" t="s">
        <v>9265</v>
      </c>
      <c r="P283" s="33"/>
      <c r="Q283" s="31" t="s">
        <v>11802</v>
      </c>
      <c r="R283" s="2">
        <f t="array" ref="R283">xlookup($E283,'Bảng tổng hợp 1'!$B:$B,'Bảng tổng hợp 1'!$B:$B,0)</f>
        <v>0</v>
      </c>
    </row>
    <row r="284" hidden="1">
      <c r="A284" s="30">
        <v>279.0</v>
      </c>
      <c r="B284" s="31" t="s">
        <v>12011</v>
      </c>
      <c r="C284" s="31" t="s">
        <v>8545</v>
      </c>
      <c r="D284" s="31" t="s">
        <v>8546</v>
      </c>
      <c r="E284" s="31" t="str">
        <f>trim(D284)</f>
        <v>L03.34.06.03</v>
      </c>
      <c r="F284" s="31" t="s">
        <v>11854</v>
      </c>
      <c r="G284" s="34"/>
      <c r="H284" s="34"/>
      <c r="I284" s="34"/>
      <c r="J284" s="31" t="s">
        <v>2079</v>
      </c>
      <c r="K284" s="33"/>
      <c r="L284" s="34"/>
      <c r="M284" s="34"/>
      <c r="N284" s="31" t="s">
        <v>11918</v>
      </c>
      <c r="O284" s="656" t="s">
        <v>9265</v>
      </c>
      <c r="P284" s="33"/>
      <c r="Q284" s="31" t="s">
        <v>11802</v>
      </c>
      <c r="R284" s="2" t="str">
        <f t="array" ref="R284">xlookup($E284,'Bảng tổng hợp 1'!$B:$B,'Bảng tổng hợp 1'!$B:$B,0)</f>
        <v>L03.34.06.03</v>
      </c>
    </row>
    <row r="285" hidden="1">
      <c r="A285" s="30">
        <v>280.0</v>
      </c>
      <c r="B285" s="31" t="s">
        <v>12012</v>
      </c>
      <c r="C285" s="655" t="s">
        <v>12013</v>
      </c>
      <c r="D285" s="31" t="s">
        <v>12014</v>
      </c>
      <c r="E285" s="31" t="s">
        <v>12014</v>
      </c>
      <c r="F285" s="31" t="s">
        <v>11854</v>
      </c>
      <c r="G285" s="34"/>
      <c r="H285" s="34"/>
      <c r="I285" s="34"/>
      <c r="J285" s="31" t="s">
        <v>2079</v>
      </c>
      <c r="K285" s="33"/>
      <c r="L285" s="34"/>
      <c r="M285" s="34"/>
      <c r="N285" s="31" t="s">
        <v>11918</v>
      </c>
      <c r="O285" s="656" t="s">
        <v>9265</v>
      </c>
      <c r="P285" s="33"/>
      <c r="Q285" s="31" t="s">
        <v>11802</v>
      </c>
      <c r="R285" s="2">
        <f t="array" ref="R285">xlookup($E285,'Bảng tổng hợp 1'!$B:$B,'Bảng tổng hợp 1'!$B:$B,0)</f>
        <v>0</v>
      </c>
    </row>
    <row r="286" hidden="1">
      <c r="A286" s="30">
        <v>281.0</v>
      </c>
      <c r="B286" s="31" t="s">
        <v>12015</v>
      </c>
      <c r="C286" s="31" t="s">
        <v>140</v>
      </c>
      <c r="D286" s="31" t="s">
        <v>9390</v>
      </c>
      <c r="E286" s="31" t="str">
        <f>trim(D286)</f>
        <v>L03.34.01</v>
      </c>
      <c r="F286" s="31" t="s">
        <v>11844</v>
      </c>
      <c r="G286" s="34"/>
      <c r="H286" s="34"/>
      <c r="I286" s="34"/>
      <c r="J286" s="31" t="s">
        <v>335</v>
      </c>
      <c r="K286" s="33"/>
      <c r="L286" s="34"/>
      <c r="M286" s="34"/>
      <c r="N286" s="31" t="s">
        <v>11969</v>
      </c>
      <c r="O286" s="656" t="s">
        <v>9265</v>
      </c>
      <c r="P286" s="33"/>
      <c r="Q286" s="31" t="s">
        <v>11802</v>
      </c>
      <c r="R286" s="2" t="str">
        <f t="array" ref="R286">xlookup($E286,'Bảng tổng hợp 1'!$B:$B,'Bảng tổng hợp 1'!$B:$B,0)</f>
        <v>L03.34.01</v>
      </c>
    </row>
    <row r="287" hidden="1">
      <c r="A287" s="30">
        <v>282.0</v>
      </c>
      <c r="B287" s="31" t="s">
        <v>11985</v>
      </c>
      <c r="C287" s="655" t="s">
        <v>2608</v>
      </c>
      <c r="D287" s="31" t="s">
        <v>12016</v>
      </c>
      <c r="E287" s="31" t="s">
        <v>12016</v>
      </c>
      <c r="F287" s="31" t="s">
        <v>11844</v>
      </c>
      <c r="G287" s="34"/>
      <c r="H287" s="34"/>
      <c r="I287" s="34"/>
      <c r="J287" s="31" t="s">
        <v>335</v>
      </c>
      <c r="K287" s="33"/>
      <c r="L287" s="34"/>
      <c r="M287" s="34"/>
      <c r="N287" s="31" t="s">
        <v>11969</v>
      </c>
      <c r="O287" s="656" t="s">
        <v>9265</v>
      </c>
      <c r="P287" s="33"/>
      <c r="Q287" s="31" t="s">
        <v>11802</v>
      </c>
      <c r="R287" s="2">
        <f t="array" ref="R287">xlookup($E287,'Bảng tổng hợp 1'!$B:$B,'Bảng tổng hợp 1'!$B:$B,0)</f>
        <v>0</v>
      </c>
    </row>
    <row r="288" hidden="1">
      <c r="A288" s="30">
        <v>283.0</v>
      </c>
      <c r="B288" s="31" t="s">
        <v>11985</v>
      </c>
      <c r="C288" s="31" t="s">
        <v>2607</v>
      </c>
      <c r="D288" s="31" t="s">
        <v>2609</v>
      </c>
      <c r="E288" s="31" t="str">
        <f t="shared" ref="E288:E290" si="42">trim(D288)</f>
        <v>L03.34.05.01</v>
      </c>
      <c r="F288" s="31" t="s">
        <v>11844</v>
      </c>
      <c r="G288" s="34"/>
      <c r="H288" s="34"/>
      <c r="I288" s="34"/>
      <c r="J288" s="31" t="s">
        <v>2608</v>
      </c>
      <c r="K288" s="33"/>
      <c r="L288" s="34"/>
      <c r="M288" s="34"/>
      <c r="N288" s="31" t="s">
        <v>11969</v>
      </c>
      <c r="O288" s="656" t="s">
        <v>9265</v>
      </c>
      <c r="P288" s="33"/>
      <c r="Q288" s="31" t="s">
        <v>11802</v>
      </c>
      <c r="R288" s="2" t="str">
        <f t="array" ref="R288">xlookup($E288,'Bảng tổng hợp 1'!$B:$B,'Bảng tổng hợp 1'!$B:$B,0)</f>
        <v>L03.34.05.01</v>
      </c>
    </row>
    <row r="289" hidden="1">
      <c r="A289" s="30">
        <v>284.0</v>
      </c>
      <c r="B289" s="31" t="s">
        <v>12017</v>
      </c>
      <c r="C289" s="31" t="s">
        <v>9435</v>
      </c>
      <c r="D289" s="31" t="s">
        <v>9436</v>
      </c>
      <c r="E289" s="31" t="str">
        <f t="shared" si="42"/>
        <v>L03.34.05.02</v>
      </c>
      <c r="F289" s="31" t="s">
        <v>11854</v>
      </c>
      <c r="G289" s="34"/>
      <c r="H289" s="34"/>
      <c r="I289" s="34"/>
      <c r="J289" s="31" t="s">
        <v>2608</v>
      </c>
      <c r="K289" s="33"/>
      <c r="L289" s="34"/>
      <c r="M289" s="34"/>
      <c r="N289" s="31" t="s">
        <v>11955</v>
      </c>
      <c r="O289" s="656" t="s">
        <v>9265</v>
      </c>
      <c r="P289" s="33"/>
      <c r="Q289" s="31" t="s">
        <v>11802</v>
      </c>
      <c r="R289" s="2" t="str">
        <f t="array" ref="R289">xlookup($E289,'Bảng tổng hợp 1'!$B:$B,'Bảng tổng hợp 1'!$B:$B,0)</f>
        <v>L03.34.05.02</v>
      </c>
    </row>
    <row r="290" hidden="1">
      <c r="A290" s="30">
        <v>285.0</v>
      </c>
      <c r="B290" s="31" t="s">
        <v>12018</v>
      </c>
      <c r="C290" s="31" t="s">
        <v>2629</v>
      </c>
      <c r="D290" s="31" t="s">
        <v>2630</v>
      </c>
      <c r="E290" s="31" t="str">
        <f t="shared" si="42"/>
        <v>L03.34.08</v>
      </c>
      <c r="F290" s="31" t="s">
        <v>11844</v>
      </c>
      <c r="G290" s="34"/>
      <c r="H290" s="34"/>
      <c r="I290" s="34"/>
      <c r="J290" s="31" t="s">
        <v>335</v>
      </c>
      <c r="K290" s="33"/>
      <c r="L290" s="34"/>
      <c r="M290" s="34"/>
      <c r="N290" s="31" t="s">
        <v>11969</v>
      </c>
      <c r="O290" s="656" t="s">
        <v>9265</v>
      </c>
      <c r="P290" s="33"/>
      <c r="Q290" s="31" t="s">
        <v>11802</v>
      </c>
      <c r="R290" s="2" t="str">
        <f t="array" ref="R290">xlookup($E290,'Bảng tổng hợp 1'!$B:$B,'Bảng tổng hợp 1'!$B:$B,0)</f>
        <v>L03.34.08</v>
      </c>
    </row>
    <row r="291" hidden="1">
      <c r="A291" s="30">
        <v>286.0</v>
      </c>
      <c r="B291" s="34"/>
      <c r="C291" s="655" t="s">
        <v>12019</v>
      </c>
      <c r="D291" s="31" t="s">
        <v>11164</v>
      </c>
      <c r="E291" s="31" t="s">
        <v>11164</v>
      </c>
      <c r="F291" s="31" t="s">
        <v>11854</v>
      </c>
      <c r="G291" s="34"/>
      <c r="H291" s="34"/>
      <c r="I291" s="34"/>
      <c r="J291" s="31" t="s">
        <v>335</v>
      </c>
      <c r="K291" s="33"/>
      <c r="L291" s="34"/>
      <c r="M291" s="34"/>
      <c r="N291" s="31" t="s">
        <v>11969</v>
      </c>
      <c r="O291" s="656" t="s">
        <v>9265</v>
      </c>
      <c r="P291" s="33"/>
      <c r="Q291" s="31" t="s">
        <v>11802</v>
      </c>
      <c r="R291" s="2">
        <f t="array" ref="R291">xlookup($E291,'Bảng tổng hợp 1'!$B:$B,'Bảng tổng hợp 1'!$B:$B,0)</f>
        <v>0</v>
      </c>
    </row>
    <row r="292" hidden="1">
      <c r="A292" s="30">
        <v>287.0</v>
      </c>
      <c r="B292" s="31" t="s">
        <v>12020</v>
      </c>
      <c r="C292" s="31" t="s">
        <v>221</v>
      </c>
      <c r="D292" s="31" t="s">
        <v>9861</v>
      </c>
      <c r="E292" s="31" t="str">
        <f t="shared" ref="E292:E293" si="43">trim(D292)</f>
        <v>L03.36</v>
      </c>
      <c r="F292" s="31" t="s">
        <v>11844</v>
      </c>
      <c r="G292" s="34"/>
      <c r="H292" s="34"/>
      <c r="I292" s="34"/>
      <c r="J292" s="31" t="s">
        <v>303</v>
      </c>
      <c r="K292" s="33"/>
      <c r="L292" s="34"/>
      <c r="M292" s="34"/>
      <c r="N292" s="31" t="s">
        <v>11918</v>
      </c>
      <c r="O292" s="656" t="s">
        <v>9265</v>
      </c>
      <c r="P292" s="33"/>
      <c r="Q292" s="31" t="s">
        <v>11802</v>
      </c>
      <c r="R292" s="2" t="str">
        <f t="array" ref="R292">xlookup($E292,'Bảng tổng hợp 1'!$B:$B,'Bảng tổng hợp 1'!$B:$B,0)</f>
        <v>L03.36</v>
      </c>
    </row>
    <row r="293" hidden="1">
      <c r="A293" s="30">
        <v>288.0</v>
      </c>
      <c r="B293" s="31" t="s">
        <v>12021</v>
      </c>
      <c r="C293" s="31" t="s">
        <v>7381</v>
      </c>
      <c r="D293" s="31" t="s">
        <v>7382</v>
      </c>
      <c r="E293" s="31" t="str">
        <f t="shared" si="43"/>
        <v>L03.36.01</v>
      </c>
      <c r="F293" s="31" t="s">
        <v>11854</v>
      </c>
      <c r="G293" s="34"/>
      <c r="H293" s="34"/>
      <c r="I293" s="34"/>
      <c r="J293" s="31" t="s">
        <v>221</v>
      </c>
      <c r="K293" s="33"/>
      <c r="L293" s="34"/>
      <c r="M293" s="34"/>
      <c r="N293" s="31" t="s">
        <v>11918</v>
      </c>
      <c r="O293" s="656" t="s">
        <v>9265</v>
      </c>
      <c r="P293" s="33"/>
      <c r="Q293" s="31" t="s">
        <v>11802</v>
      </c>
      <c r="R293" s="2" t="str">
        <f t="array" ref="R293">xlookup($E293,'Bảng tổng hợp 1'!$B:$B,'Bảng tổng hợp 1'!$B:$B,0)</f>
        <v>L03.36.01</v>
      </c>
    </row>
    <row r="294" hidden="1">
      <c r="A294" s="30">
        <v>289.0</v>
      </c>
      <c r="B294" s="31" t="s">
        <v>12022</v>
      </c>
      <c r="C294" s="655" t="s">
        <v>12023</v>
      </c>
      <c r="D294" s="31" t="s">
        <v>12024</v>
      </c>
      <c r="E294" s="31" t="s">
        <v>12024</v>
      </c>
      <c r="F294" s="31" t="s">
        <v>11854</v>
      </c>
      <c r="G294" s="34"/>
      <c r="H294" s="34"/>
      <c r="I294" s="34"/>
      <c r="J294" s="31" t="s">
        <v>221</v>
      </c>
      <c r="K294" s="33"/>
      <c r="L294" s="34"/>
      <c r="M294" s="34"/>
      <c r="N294" s="31" t="s">
        <v>11918</v>
      </c>
      <c r="O294" s="656" t="s">
        <v>9265</v>
      </c>
      <c r="P294" s="33"/>
      <c r="Q294" s="31" t="s">
        <v>11802</v>
      </c>
      <c r="R294" s="2">
        <f t="array" ref="R294">xlookup($E294,'Bảng tổng hợp 1'!$B:$B,'Bảng tổng hợp 1'!$B:$B,0)</f>
        <v>0</v>
      </c>
    </row>
    <row r="295" hidden="1">
      <c r="A295" s="30">
        <v>290.0</v>
      </c>
      <c r="B295" s="31" t="s">
        <v>12025</v>
      </c>
      <c r="C295" s="31" t="s">
        <v>2971</v>
      </c>
      <c r="D295" s="31" t="s">
        <v>2972</v>
      </c>
      <c r="E295" s="31" t="str">
        <f t="shared" ref="E295:E297" si="44">trim(D295)</f>
        <v>L03.37</v>
      </c>
      <c r="F295" s="31" t="s">
        <v>11850</v>
      </c>
      <c r="G295" s="34"/>
      <c r="H295" s="34"/>
      <c r="I295" s="34"/>
      <c r="J295" s="31" t="s">
        <v>303</v>
      </c>
      <c r="K295" s="33"/>
      <c r="L295" s="34"/>
      <c r="M295" s="34"/>
      <c r="N295" s="31" t="s">
        <v>11969</v>
      </c>
      <c r="O295" s="656" t="s">
        <v>9265</v>
      </c>
      <c r="P295" s="33"/>
      <c r="Q295" s="31" t="s">
        <v>11802</v>
      </c>
      <c r="R295" s="2" t="str">
        <f t="array" ref="R295">xlookup($E295,'Bảng tổng hợp 1'!$B:$B,'Bảng tổng hợp 1'!$B:$B,0)</f>
        <v>L03.37</v>
      </c>
    </row>
    <row r="296" hidden="1">
      <c r="A296" s="30">
        <v>291.0</v>
      </c>
      <c r="B296" s="31" t="s">
        <v>12026</v>
      </c>
      <c r="C296" s="31" t="s">
        <v>9507</v>
      </c>
      <c r="D296" s="31" t="s">
        <v>9508</v>
      </c>
      <c r="E296" s="31" t="str">
        <f t="shared" si="44"/>
        <v>L03.38</v>
      </c>
      <c r="F296" s="31" t="s">
        <v>11844</v>
      </c>
      <c r="G296" s="34"/>
      <c r="H296" s="34"/>
      <c r="I296" s="34"/>
      <c r="J296" s="31" t="s">
        <v>303</v>
      </c>
      <c r="K296" s="33"/>
      <c r="L296" s="34"/>
      <c r="M296" s="34"/>
      <c r="N296" s="31" t="s">
        <v>11969</v>
      </c>
      <c r="O296" s="656" t="s">
        <v>9265</v>
      </c>
      <c r="P296" s="33"/>
      <c r="Q296" s="31" t="s">
        <v>11802</v>
      </c>
      <c r="R296" s="2" t="str">
        <f t="array" ref="R296">xlookup($E296,'Bảng tổng hợp 1'!$B:$B,'Bảng tổng hợp 1'!$B:$B,0)</f>
        <v>L03.38</v>
      </c>
    </row>
    <row r="297" hidden="1">
      <c r="A297" s="30">
        <v>292.0</v>
      </c>
      <c r="B297" s="31" t="s">
        <v>11120</v>
      </c>
      <c r="C297" s="31" t="s">
        <v>132</v>
      </c>
      <c r="D297" s="31" t="s">
        <v>7135</v>
      </c>
      <c r="E297" s="31" t="str">
        <f t="shared" si="44"/>
        <v>L03.40</v>
      </c>
      <c r="F297" s="31" t="s">
        <v>11850</v>
      </c>
      <c r="G297" s="34"/>
      <c r="H297" s="34"/>
      <c r="I297" s="34"/>
      <c r="J297" s="31" t="s">
        <v>303</v>
      </c>
      <c r="K297" s="33"/>
      <c r="L297" s="34"/>
      <c r="M297" s="34"/>
      <c r="N297" s="31" t="s">
        <v>11918</v>
      </c>
      <c r="O297" s="656" t="s">
        <v>9265</v>
      </c>
      <c r="P297" s="33"/>
      <c r="Q297" s="31" t="s">
        <v>11802</v>
      </c>
      <c r="R297" s="2" t="str">
        <f t="array" ref="R297">xlookup($E297,'Bảng tổng hợp 1'!$B:$B,'Bảng tổng hợp 1'!$B:$B,0)</f>
        <v>L03.40</v>
      </c>
    </row>
    <row r="298" hidden="1">
      <c r="A298" s="30">
        <v>293.0</v>
      </c>
      <c r="B298" s="31" t="s">
        <v>12027</v>
      </c>
      <c r="C298" s="655" t="s">
        <v>346</v>
      </c>
      <c r="D298" s="31" t="s">
        <v>205</v>
      </c>
      <c r="E298" s="31" t="s">
        <v>205</v>
      </c>
      <c r="F298" s="31" t="s">
        <v>11840</v>
      </c>
      <c r="G298" s="34"/>
      <c r="H298" s="34"/>
      <c r="I298" s="34"/>
      <c r="J298" s="31" t="s">
        <v>10527</v>
      </c>
      <c r="K298" s="33"/>
      <c r="L298" s="34"/>
      <c r="M298" s="34"/>
      <c r="N298" s="34"/>
      <c r="O298" s="656" t="s">
        <v>9265</v>
      </c>
      <c r="P298" s="33"/>
      <c r="Q298" s="31" t="s">
        <v>11802</v>
      </c>
      <c r="R298" s="2">
        <f t="array" ref="R298">xlookup($E298,'Bảng tổng hợp 1'!$B:$B,'Bảng tổng hợp 1'!$B:$B,0)</f>
        <v>0</v>
      </c>
    </row>
    <row r="299" hidden="1">
      <c r="A299" s="30">
        <v>294.0</v>
      </c>
      <c r="B299" s="31" t="s">
        <v>12028</v>
      </c>
      <c r="C299" s="31" t="s">
        <v>7550</v>
      </c>
      <c r="D299" s="31" t="s">
        <v>7551</v>
      </c>
      <c r="E299" s="31" t="str">
        <f t="shared" ref="E299:E304" si="45">trim(D299)</f>
        <v>L04.01</v>
      </c>
      <c r="F299" s="31" t="s">
        <v>11844</v>
      </c>
      <c r="G299" s="34"/>
      <c r="H299" s="34"/>
      <c r="I299" s="34"/>
      <c r="J299" s="31" t="s">
        <v>346</v>
      </c>
      <c r="K299" s="33"/>
      <c r="L299" s="34"/>
      <c r="M299" s="34"/>
      <c r="N299" s="34"/>
      <c r="O299" s="656" t="s">
        <v>9265</v>
      </c>
      <c r="P299" s="33"/>
      <c r="Q299" s="31" t="s">
        <v>11802</v>
      </c>
      <c r="R299" s="2" t="str">
        <f t="array" ref="R299">xlookup($E299,'Bảng tổng hợp 1'!$B:$B,'Bảng tổng hợp 1'!$B:$B,0)</f>
        <v>L04.01</v>
      </c>
    </row>
    <row r="300" hidden="1">
      <c r="A300" s="30">
        <v>295.0</v>
      </c>
      <c r="B300" s="31" t="s">
        <v>12029</v>
      </c>
      <c r="C300" s="31" t="s">
        <v>2474</v>
      </c>
      <c r="D300" s="31" t="s">
        <v>8341</v>
      </c>
      <c r="E300" s="31" t="str">
        <f t="shared" si="45"/>
        <v>L04.12</v>
      </c>
      <c r="F300" s="31" t="s">
        <v>11844</v>
      </c>
      <c r="G300" s="34"/>
      <c r="H300" s="34"/>
      <c r="I300" s="34"/>
      <c r="J300" s="31" t="s">
        <v>346</v>
      </c>
      <c r="K300" s="33"/>
      <c r="L300" s="31" t="s">
        <v>12030</v>
      </c>
      <c r="M300" s="34"/>
      <c r="N300" s="34"/>
      <c r="O300" s="656" t="s">
        <v>9265</v>
      </c>
      <c r="P300" s="33"/>
      <c r="Q300" s="31" t="s">
        <v>11802</v>
      </c>
      <c r="R300" s="2" t="str">
        <f t="array" ref="R300">xlookup($E300,'Bảng tổng hợp 1'!$B:$B,'Bảng tổng hợp 1'!$B:$B,0)</f>
        <v>L04.12</v>
      </c>
    </row>
    <row r="301" hidden="1">
      <c r="A301" s="30">
        <v>296.0</v>
      </c>
      <c r="B301" s="31" t="s">
        <v>12031</v>
      </c>
      <c r="C301" s="31" t="s">
        <v>36</v>
      </c>
      <c r="D301" s="31" t="s">
        <v>7593</v>
      </c>
      <c r="E301" s="31" t="str">
        <f t="shared" si="45"/>
        <v>L04.14</v>
      </c>
      <c r="F301" s="31" t="s">
        <v>11844</v>
      </c>
      <c r="G301" s="34"/>
      <c r="H301" s="34"/>
      <c r="I301" s="34"/>
      <c r="J301" s="31" t="s">
        <v>346</v>
      </c>
      <c r="K301" s="33"/>
      <c r="L301" s="31" t="s">
        <v>12032</v>
      </c>
      <c r="M301" s="34"/>
      <c r="N301" s="34"/>
      <c r="O301" s="656" t="s">
        <v>9265</v>
      </c>
      <c r="P301" s="33"/>
      <c r="Q301" s="31" t="s">
        <v>11802</v>
      </c>
      <c r="R301" s="2" t="str">
        <f t="array" ref="R301">xlookup($E301,'Bảng tổng hợp 1'!$B:$B,'Bảng tổng hợp 1'!$B:$B,0)</f>
        <v>L04.14</v>
      </c>
    </row>
    <row r="302" hidden="1">
      <c r="A302" s="30">
        <v>297.0</v>
      </c>
      <c r="B302" s="31" t="s">
        <v>12033</v>
      </c>
      <c r="C302" s="31" t="s">
        <v>38</v>
      </c>
      <c r="D302" s="31" t="s">
        <v>347</v>
      </c>
      <c r="E302" s="31" t="str">
        <f t="shared" si="45"/>
        <v>L04.15</v>
      </c>
      <c r="F302" s="31" t="s">
        <v>11844</v>
      </c>
      <c r="G302" s="34"/>
      <c r="H302" s="34"/>
      <c r="I302" s="34"/>
      <c r="J302" s="31" t="s">
        <v>346</v>
      </c>
      <c r="K302" s="33"/>
      <c r="L302" s="31" t="s">
        <v>12032</v>
      </c>
      <c r="M302" s="34"/>
      <c r="N302" s="34"/>
      <c r="O302" s="656" t="s">
        <v>9265</v>
      </c>
      <c r="P302" s="33"/>
      <c r="Q302" s="31" t="s">
        <v>11802</v>
      </c>
      <c r="R302" s="2" t="str">
        <f t="array" ref="R302">xlookup($E302,'Bảng tổng hợp 1'!$B:$B,'Bảng tổng hợp 1'!$B:$B,0)</f>
        <v>L04.15</v>
      </c>
    </row>
    <row r="303" hidden="1">
      <c r="A303" s="30">
        <v>298.0</v>
      </c>
      <c r="B303" s="31" t="s">
        <v>12034</v>
      </c>
      <c r="C303" s="31" t="s">
        <v>2430</v>
      </c>
      <c r="D303" s="31" t="s">
        <v>3272</v>
      </c>
      <c r="E303" s="31" t="str">
        <f t="shared" si="45"/>
        <v>L04.17</v>
      </c>
      <c r="F303" s="31" t="s">
        <v>11844</v>
      </c>
      <c r="G303" s="34"/>
      <c r="H303" s="34"/>
      <c r="I303" s="34"/>
      <c r="J303" s="31" t="s">
        <v>346</v>
      </c>
      <c r="K303" s="33"/>
      <c r="L303" s="34"/>
      <c r="M303" s="34"/>
      <c r="N303" s="34"/>
      <c r="O303" s="656" t="s">
        <v>9265</v>
      </c>
      <c r="P303" s="33"/>
      <c r="Q303" s="31" t="s">
        <v>11802</v>
      </c>
      <c r="R303" s="2" t="str">
        <f t="array" ref="R303">xlookup($E303,'Bảng tổng hợp 1'!$B:$B,'Bảng tổng hợp 1'!$B:$B,0)</f>
        <v>L04.17</v>
      </c>
    </row>
    <row r="304" hidden="1">
      <c r="A304" s="30">
        <v>299.0</v>
      </c>
      <c r="B304" s="31" t="s">
        <v>12035</v>
      </c>
      <c r="C304" s="31" t="s">
        <v>2463</v>
      </c>
      <c r="D304" s="31" t="s">
        <v>4694</v>
      </c>
      <c r="E304" s="31" t="str">
        <f t="shared" si="45"/>
        <v>L04.02</v>
      </c>
      <c r="F304" s="31" t="s">
        <v>11844</v>
      </c>
      <c r="G304" s="34"/>
      <c r="H304" s="34"/>
      <c r="I304" s="34"/>
      <c r="J304" s="31" t="s">
        <v>346</v>
      </c>
      <c r="K304" s="33"/>
      <c r="L304" s="31" t="s">
        <v>12036</v>
      </c>
      <c r="M304" s="34"/>
      <c r="N304" s="31" t="s">
        <v>11969</v>
      </c>
      <c r="O304" s="656" t="s">
        <v>9265</v>
      </c>
      <c r="P304" s="33"/>
      <c r="Q304" s="31" t="s">
        <v>11802</v>
      </c>
      <c r="R304" s="2" t="str">
        <f t="array" ref="R304">xlookup($E304,'Bảng tổng hợp 1'!$B:$B,'Bảng tổng hợp 1'!$B:$B,0)</f>
        <v>L04.02</v>
      </c>
    </row>
    <row r="305" hidden="1">
      <c r="A305" s="30">
        <v>300.0</v>
      </c>
      <c r="B305" s="31" t="s">
        <v>12037</v>
      </c>
      <c r="C305" s="655" t="s">
        <v>12038</v>
      </c>
      <c r="D305" s="31" t="s">
        <v>12039</v>
      </c>
      <c r="E305" s="31" t="s">
        <v>12039</v>
      </c>
      <c r="F305" s="31" t="s">
        <v>11851</v>
      </c>
      <c r="G305" s="34"/>
      <c r="H305" s="34"/>
      <c r="I305" s="34"/>
      <c r="J305" s="31" t="s">
        <v>2463</v>
      </c>
      <c r="K305" s="33"/>
      <c r="L305" s="31" t="s">
        <v>12040</v>
      </c>
      <c r="M305" s="34"/>
      <c r="N305" s="34"/>
      <c r="O305" s="656" t="s">
        <v>9265</v>
      </c>
      <c r="P305" s="33"/>
      <c r="Q305" s="31" t="s">
        <v>11802</v>
      </c>
      <c r="R305" s="2">
        <f t="array" ref="R305">xlookup($E305,'Bảng tổng hợp 1'!$B:$B,'Bảng tổng hợp 1'!$B:$B,0)</f>
        <v>0</v>
      </c>
    </row>
    <row r="306" hidden="1">
      <c r="A306" s="30">
        <v>301.0</v>
      </c>
      <c r="B306" s="31" t="s">
        <v>12041</v>
      </c>
      <c r="C306" s="655" t="s">
        <v>12042</v>
      </c>
      <c r="D306" s="31" t="s">
        <v>12043</v>
      </c>
      <c r="E306" s="31" t="s">
        <v>12043</v>
      </c>
      <c r="F306" s="31" t="s">
        <v>11844</v>
      </c>
      <c r="G306" s="34"/>
      <c r="H306" s="34"/>
      <c r="I306" s="34"/>
      <c r="J306" s="31" t="s">
        <v>346</v>
      </c>
      <c r="K306" s="33"/>
      <c r="L306" s="34"/>
      <c r="M306" s="34"/>
      <c r="N306" s="34"/>
      <c r="O306" s="656" t="s">
        <v>9265</v>
      </c>
      <c r="P306" s="33"/>
      <c r="Q306" s="31" t="s">
        <v>11802</v>
      </c>
      <c r="R306" s="2">
        <f t="array" ref="R306">xlookup($E306,'Bảng tổng hợp 1'!$B:$B,'Bảng tổng hợp 1'!$B:$B,0)</f>
        <v>0</v>
      </c>
    </row>
    <row r="307" hidden="1">
      <c r="A307" s="30">
        <v>302.0</v>
      </c>
      <c r="B307" s="31" t="s">
        <v>12044</v>
      </c>
      <c r="C307" s="31" t="s">
        <v>1209</v>
      </c>
      <c r="D307" s="31" t="s">
        <v>1210</v>
      </c>
      <c r="E307" s="31" t="str">
        <f>trim(D307)</f>
        <v>L04.27</v>
      </c>
      <c r="F307" s="31" t="s">
        <v>11844</v>
      </c>
      <c r="G307" s="34"/>
      <c r="H307" s="34"/>
      <c r="I307" s="34"/>
      <c r="J307" s="31" t="s">
        <v>346</v>
      </c>
      <c r="K307" s="33"/>
      <c r="L307" s="34"/>
      <c r="M307" s="34"/>
      <c r="N307" s="34"/>
      <c r="O307" s="656" t="s">
        <v>9265</v>
      </c>
      <c r="P307" s="33"/>
      <c r="Q307" s="31" t="s">
        <v>11802</v>
      </c>
      <c r="R307" s="2" t="str">
        <f t="array" ref="R307">xlookup($E307,'Bảng tổng hợp 1'!$B:$B,'Bảng tổng hợp 1'!$B:$B,0)</f>
        <v>L04.27</v>
      </c>
    </row>
    <row r="308" hidden="1">
      <c r="A308" s="30">
        <v>303.0</v>
      </c>
      <c r="B308" s="31" t="s">
        <v>12045</v>
      </c>
      <c r="C308" s="655" t="s">
        <v>12046</v>
      </c>
      <c r="D308" s="31" t="s">
        <v>12047</v>
      </c>
      <c r="E308" s="31" t="s">
        <v>12047</v>
      </c>
      <c r="F308" s="31" t="s">
        <v>11850</v>
      </c>
      <c r="G308" s="34"/>
      <c r="H308" s="34"/>
      <c r="I308" s="34"/>
      <c r="J308" s="31" t="s">
        <v>346</v>
      </c>
      <c r="K308" s="33"/>
      <c r="L308" s="34"/>
      <c r="M308" s="34"/>
      <c r="N308" s="34"/>
      <c r="O308" s="656" t="s">
        <v>9265</v>
      </c>
      <c r="P308" s="33"/>
      <c r="Q308" s="31" t="s">
        <v>11802</v>
      </c>
      <c r="R308" s="2">
        <f t="array" ref="R308">xlookup($E308,'Bảng tổng hợp 1'!$B:$B,'Bảng tổng hợp 1'!$B:$B,0)</f>
        <v>0</v>
      </c>
    </row>
    <row r="309" hidden="1">
      <c r="A309" s="30">
        <v>304.0</v>
      </c>
      <c r="B309" s="31" t="s">
        <v>12048</v>
      </c>
      <c r="C309" s="655" t="s">
        <v>12049</v>
      </c>
      <c r="D309" s="31" t="s">
        <v>12050</v>
      </c>
      <c r="E309" s="31" t="s">
        <v>12050</v>
      </c>
      <c r="F309" s="31" t="s">
        <v>11850</v>
      </c>
      <c r="G309" s="34"/>
      <c r="H309" s="34"/>
      <c r="I309" s="34"/>
      <c r="J309" s="31" t="s">
        <v>12046</v>
      </c>
      <c r="K309" s="33"/>
      <c r="L309" s="34"/>
      <c r="M309" s="34"/>
      <c r="N309" s="34"/>
      <c r="O309" s="656" t="s">
        <v>9265</v>
      </c>
      <c r="P309" s="33"/>
      <c r="Q309" s="31" t="s">
        <v>11802</v>
      </c>
      <c r="R309" s="2">
        <f t="array" ref="R309">xlookup($E309,'Bảng tổng hợp 1'!$B:$B,'Bảng tổng hợp 1'!$B:$B,0)</f>
        <v>0</v>
      </c>
    </row>
    <row r="310" hidden="1">
      <c r="A310" s="30">
        <v>305.0</v>
      </c>
      <c r="B310" s="31" t="s">
        <v>12051</v>
      </c>
      <c r="C310" s="655" t="s">
        <v>12052</v>
      </c>
      <c r="D310" s="31" t="s">
        <v>12053</v>
      </c>
      <c r="E310" s="31" t="s">
        <v>12053</v>
      </c>
      <c r="F310" s="31" t="s">
        <v>11850</v>
      </c>
      <c r="G310" s="34"/>
      <c r="H310" s="34"/>
      <c r="I310" s="34"/>
      <c r="J310" s="31" t="s">
        <v>12046</v>
      </c>
      <c r="K310" s="33"/>
      <c r="L310" s="34"/>
      <c r="M310" s="34"/>
      <c r="N310" s="34"/>
      <c r="O310" s="656" t="s">
        <v>9265</v>
      </c>
      <c r="P310" s="33"/>
      <c r="Q310" s="31" t="s">
        <v>11802</v>
      </c>
      <c r="R310" s="2">
        <f t="array" ref="R310">xlookup($E310,'Bảng tổng hợp 1'!$B:$B,'Bảng tổng hợp 1'!$B:$B,0)</f>
        <v>0</v>
      </c>
    </row>
    <row r="311" hidden="1">
      <c r="A311" s="30">
        <v>306.0</v>
      </c>
      <c r="B311" s="31" t="s">
        <v>12051</v>
      </c>
      <c r="C311" s="655" t="s">
        <v>12054</v>
      </c>
      <c r="D311" s="31" t="s">
        <v>12055</v>
      </c>
      <c r="E311" s="31" t="s">
        <v>12055</v>
      </c>
      <c r="F311" s="31" t="s">
        <v>11850</v>
      </c>
      <c r="G311" s="34"/>
      <c r="H311" s="34"/>
      <c r="I311" s="34"/>
      <c r="J311" s="31" t="s">
        <v>12046</v>
      </c>
      <c r="K311" s="33"/>
      <c r="L311" s="34"/>
      <c r="M311" s="34"/>
      <c r="N311" s="34"/>
      <c r="O311" s="656" t="s">
        <v>9265</v>
      </c>
      <c r="P311" s="33"/>
      <c r="Q311" s="31" t="s">
        <v>11802</v>
      </c>
      <c r="R311" s="2">
        <f t="array" ref="R311">xlookup($E311,'Bảng tổng hợp 1'!$B:$B,'Bảng tổng hợp 1'!$B:$B,0)</f>
        <v>0</v>
      </c>
    </row>
    <row r="312" hidden="1">
      <c r="A312" s="30">
        <v>307.0</v>
      </c>
      <c r="B312" s="31" t="s">
        <v>12056</v>
      </c>
      <c r="C312" s="655" t="s">
        <v>12057</v>
      </c>
      <c r="D312" s="31" t="s">
        <v>12058</v>
      </c>
      <c r="E312" s="31" t="s">
        <v>12058</v>
      </c>
      <c r="F312" s="31" t="s">
        <v>11850</v>
      </c>
      <c r="G312" s="34"/>
      <c r="H312" s="34"/>
      <c r="I312" s="34"/>
      <c r="J312" s="31" t="s">
        <v>12046</v>
      </c>
      <c r="K312" s="33"/>
      <c r="L312" s="34"/>
      <c r="M312" s="34"/>
      <c r="N312" s="34"/>
      <c r="O312" s="656" t="s">
        <v>9265</v>
      </c>
      <c r="P312" s="33"/>
      <c r="Q312" s="31" t="s">
        <v>11802</v>
      </c>
      <c r="R312" s="2">
        <f t="array" ref="R312">xlookup($E312,'Bảng tổng hợp 1'!$B:$B,'Bảng tổng hợp 1'!$B:$B,0)</f>
        <v>0</v>
      </c>
    </row>
    <row r="313" hidden="1">
      <c r="A313" s="30">
        <v>308.0</v>
      </c>
      <c r="B313" s="31" t="s">
        <v>12059</v>
      </c>
      <c r="C313" s="655" t="s">
        <v>12060</v>
      </c>
      <c r="D313" s="31" t="s">
        <v>12061</v>
      </c>
      <c r="E313" s="31" t="s">
        <v>12061</v>
      </c>
      <c r="F313" s="31" t="s">
        <v>11850</v>
      </c>
      <c r="G313" s="34"/>
      <c r="H313" s="34"/>
      <c r="I313" s="34"/>
      <c r="J313" s="31" t="s">
        <v>12046</v>
      </c>
      <c r="K313" s="33"/>
      <c r="L313" s="34"/>
      <c r="M313" s="34"/>
      <c r="N313" s="34"/>
      <c r="O313" s="656" t="s">
        <v>9265</v>
      </c>
      <c r="P313" s="33"/>
      <c r="Q313" s="31" t="s">
        <v>11802</v>
      </c>
      <c r="R313" s="2">
        <f t="array" ref="R313">xlookup($E313,'Bảng tổng hợp 1'!$B:$B,'Bảng tổng hợp 1'!$B:$B,0)</f>
        <v>0</v>
      </c>
    </row>
    <row r="314" hidden="1">
      <c r="A314" s="30">
        <v>309.0</v>
      </c>
      <c r="B314" s="31" t="s">
        <v>12062</v>
      </c>
      <c r="C314" s="655" t="s">
        <v>12063</v>
      </c>
      <c r="D314" s="31" t="s">
        <v>12064</v>
      </c>
      <c r="E314" s="31" t="s">
        <v>12064</v>
      </c>
      <c r="F314" s="31" t="s">
        <v>11850</v>
      </c>
      <c r="G314" s="34"/>
      <c r="H314" s="34"/>
      <c r="I314" s="34"/>
      <c r="J314" s="31" t="s">
        <v>12046</v>
      </c>
      <c r="K314" s="33"/>
      <c r="L314" s="34"/>
      <c r="M314" s="34"/>
      <c r="N314" s="34"/>
      <c r="O314" s="656" t="s">
        <v>9265</v>
      </c>
      <c r="P314" s="33"/>
      <c r="Q314" s="31" t="s">
        <v>11802</v>
      </c>
      <c r="R314" s="2">
        <f t="array" ref="R314">xlookup($E314,'Bảng tổng hợp 1'!$B:$B,'Bảng tổng hợp 1'!$B:$B,0)</f>
        <v>0</v>
      </c>
    </row>
    <row r="315" hidden="1">
      <c r="A315" s="30">
        <v>310.0</v>
      </c>
      <c r="B315" s="31" t="s">
        <v>12065</v>
      </c>
      <c r="C315" s="655" t="s">
        <v>131</v>
      </c>
      <c r="D315" s="31" t="s">
        <v>12066</v>
      </c>
      <c r="E315" s="31" t="s">
        <v>12066</v>
      </c>
      <c r="F315" s="31" t="s">
        <v>11850</v>
      </c>
      <c r="G315" s="34"/>
      <c r="H315" s="34"/>
      <c r="I315" s="34"/>
      <c r="J315" s="31" t="s">
        <v>12046</v>
      </c>
      <c r="K315" s="33"/>
      <c r="L315" s="34"/>
      <c r="M315" s="34"/>
      <c r="N315" s="34"/>
      <c r="O315" s="656" t="s">
        <v>9265</v>
      </c>
      <c r="P315" s="33"/>
      <c r="Q315" s="31" t="s">
        <v>11802</v>
      </c>
      <c r="R315" s="2">
        <f t="array" ref="R315">xlookup($E315,'Bảng tổng hợp 1'!$B:$B,'Bảng tổng hợp 1'!$B:$B,0)</f>
        <v>0</v>
      </c>
    </row>
    <row r="316" hidden="1">
      <c r="A316" s="30">
        <v>311.0</v>
      </c>
      <c r="B316" s="31" t="s">
        <v>12067</v>
      </c>
      <c r="C316" s="655" t="s">
        <v>169</v>
      </c>
      <c r="D316" s="31" t="s">
        <v>12068</v>
      </c>
      <c r="E316" s="31" t="s">
        <v>12068</v>
      </c>
      <c r="F316" s="31" t="s">
        <v>11850</v>
      </c>
      <c r="G316" s="34"/>
      <c r="H316" s="34"/>
      <c r="I316" s="34"/>
      <c r="J316" s="31" t="s">
        <v>12046</v>
      </c>
      <c r="K316" s="33"/>
      <c r="L316" s="34"/>
      <c r="M316" s="34"/>
      <c r="N316" s="34"/>
      <c r="O316" s="656" t="s">
        <v>9265</v>
      </c>
      <c r="P316" s="33"/>
      <c r="Q316" s="31" t="s">
        <v>11802</v>
      </c>
      <c r="R316" s="2">
        <f t="array" ref="R316">xlookup($E316,'Bảng tổng hợp 1'!$B:$B,'Bảng tổng hợp 1'!$B:$B,0)</f>
        <v>0</v>
      </c>
    </row>
    <row r="317" hidden="1">
      <c r="A317" s="30">
        <v>312.0</v>
      </c>
      <c r="B317" s="31" t="s">
        <v>12069</v>
      </c>
      <c r="C317" s="655" t="s">
        <v>112</v>
      </c>
      <c r="D317" s="31" t="s">
        <v>11004</v>
      </c>
      <c r="E317" s="31" t="s">
        <v>11004</v>
      </c>
      <c r="F317" s="31" t="s">
        <v>11850</v>
      </c>
      <c r="G317" s="34"/>
      <c r="H317" s="34"/>
      <c r="I317" s="34"/>
      <c r="J317" s="31" t="s">
        <v>346</v>
      </c>
      <c r="K317" s="33"/>
      <c r="L317" s="34"/>
      <c r="M317" s="34"/>
      <c r="N317" s="34"/>
      <c r="O317" s="656" t="s">
        <v>9265</v>
      </c>
      <c r="P317" s="33"/>
      <c r="Q317" s="31" t="s">
        <v>11802</v>
      </c>
      <c r="R317" s="2">
        <f t="array" ref="R317">xlookup($E317,'Bảng tổng hợp 1'!$B:$B,'Bảng tổng hợp 1'!$B:$B,0)</f>
        <v>0</v>
      </c>
    </row>
    <row r="318" hidden="1">
      <c r="A318" s="30">
        <v>313.0</v>
      </c>
      <c r="B318" s="31" t="s">
        <v>12070</v>
      </c>
      <c r="C318" s="31" t="s">
        <v>113</v>
      </c>
      <c r="D318" s="31" t="s">
        <v>9647</v>
      </c>
      <c r="E318" s="31" t="str">
        <f>trim(D318)</f>
        <v>L04.29.01</v>
      </c>
      <c r="F318" s="31" t="s">
        <v>11844</v>
      </c>
      <c r="G318" s="34"/>
      <c r="H318" s="34"/>
      <c r="I318" s="34"/>
      <c r="J318" s="31" t="s">
        <v>112</v>
      </c>
      <c r="K318" s="33"/>
      <c r="L318" s="34"/>
      <c r="M318" s="34"/>
      <c r="N318" s="34"/>
      <c r="O318" s="656" t="s">
        <v>9265</v>
      </c>
      <c r="P318" s="33"/>
      <c r="Q318" s="31" t="s">
        <v>11802</v>
      </c>
      <c r="R318" s="2" t="str">
        <f t="array" ref="R318">xlookup($E318,'Bảng tổng hợp 1'!$B:$B,'Bảng tổng hợp 1'!$B:$B,0)</f>
        <v>L04.29.01</v>
      </c>
    </row>
    <row r="319" hidden="1">
      <c r="A319" s="30">
        <v>314.0</v>
      </c>
      <c r="B319" s="31" t="s">
        <v>12071</v>
      </c>
      <c r="C319" s="655" t="s">
        <v>12072</v>
      </c>
      <c r="D319" s="31" t="s">
        <v>12073</v>
      </c>
      <c r="E319" s="31" t="s">
        <v>12073</v>
      </c>
      <c r="F319" s="31" t="s">
        <v>11844</v>
      </c>
      <c r="G319" s="34"/>
      <c r="H319" s="34"/>
      <c r="I319" s="34"/>
      <c r="J319" s="31" t="s">
        <v>112</v>
      </c>
      <c r="K319" s="33"/>
      <c r="L319" s="34"/>
      <c r="M319" s="34"/>
      <c r="N319" s="34"/>
      <c r="O319" s="656" t="s">
        <v>9265</v>
      </c>
      <c r="P319" s="33"/>
      <c r="Q319" s="31" t="s">
        <v>11802</v>
      </c>
      <c r="R319" s="2">
        <f t="array" ref="R319">xlookup($E319,'Bảng tổng hợp 1'!$B:$B,'Bảng tổng hợp 1'!$B:$B,0)</f>
        <v>0</v>
      </c>
    </row>
    <row r="320" hidden="1">
      <c r="A320" s="30">
        <v>315.0</v>
      </c>
      <c r="B320" s="31" t="s">
        <v>12074</v>
      </c>
      <c r="C320" s="655" t="s">
        <v>12075</v>
      </c>
      <c r="D320" s="31" t="s">
        <v>12076</v>
      </c>
      <c r="E320" s="31" t="s">
        <v>12076</v>
      </c>
      <c r="F320" s="31" t="s">
        <v>11844</v>
      </c>
      <c r="G320" s="34"/>
      <c r="H320" s="34"/>
      <c r="I320" s="34"/>
      <c r="J320" s="31" t="s">
        <v>112</v>
      </c>
      <c r="K320" s="33"/>
      <c r="L320" s="34"/>
      <c r="M320" s="34"/>
      <c r="N320" s="34"/>
      <c r="O320" s="656" t="s">
        <v>9265</v>
      </c>
      <c r="P320" s="33"/>
      <c r="Q320" s="31" t="s">
        <v>11802</v>
      </c>
      <c r="R320" s="2">
        <f t="array" ref="R320">xlookup($E320,'Bảng tổng hợp 1'!$B:$B,'Bảng tổng hợp 1'!$B:$B,0)</f>
        <v>0</v>
      </c>
    </row>
    <row r="321" hidden="1">
      <c r="A321" s="30">
        <v>316.0</v>
      </c>
      <c r="B321" s="31" t="s">
        <v>12069</v>
      </c>
      <c r="C321" s="31" t="s">
        <v>1260</v>
      </c>
      <c r="D321" s="31" t="s">
        <v>1261</v>
      </c>
      <c r="E321" s="31" t="str">
        <f>trim(D321)</f>
        <v>L04.29.02</v>
      </c>
      <c r="F321" s="31" t="s">
        <v>11844</v>
      </c>
      <c r="G321" s="34"/>
      <c r="H321" s="34"/>
      <c r="I321" s="34"/>
      <c r="J321" s="31" t="s">
        <v>112</v>
      </c>
      <c r="K321" s="33"/>
      <c r="L321" s="34"/>
      <c r="M321" s="34"/>
      <c r="N321" s="34"/>
      <c r="O321" s="656" t="s">
        <v>9265</v>
      </c>
      <c r="P321" s="33"/>
      <c r="Q321" s="31" t="s">
        <v>11802</v>
      </c>
      <c r="R321" s="2" t="str">
        <f t="array" ref="R321">xlookup($E321,'Bảng tổng hợp 1'!$B:$B,'Bảng tổng hợp 1'!$B:$B,0)</f>
        <v>L04.29.02</v>
      </c>
    </row>
    <row r="322" hidden="1">
      <c r="A322" s="30">
        <v>317.0</v>
      </c>
      <c r="B322" s="31" t="s">
        <v>12077</v>
      </c>
      <c r="C322" s="655" t="s">
        <v>2285</v>
      </c>
      <c r="D322" s="31" t="s">
        <v>12078</v>
      </c>
      <c r="E322" s="31" t="s">
        <v>12078</v>
      </c>
      <c r="F322" s="31" t="s">
        <v>11844</v>
      </c>
      <c r="G322" s="34"/>
      <c r="H322" s="34"/>
      <c r="I322" s="34"/>
      <c r="J322" s="31" t="s">
        <v>112</v>
      </c>
      <c r="K322" s="33"/>
      <c r="L322" s="34"/>
      <c r="M322" s="34"/>
      <c r="N322" s="34"/>
      <c r="O322" s="656" t="s">
        <v>9265</v>
      </c>
      <c r="P322" s="33"/>
      <c r="Q322" s="31" t="s">
        <v>11802</v>
      </c>
      <c r="R322" s="2">
        <f t="array" ref="R322">xlookup($E322,'Bảng tổng hợp 1'!$B:$B,'Bảng tổng hợp 1'!$B:$B,0)</f>
        <v>0</v>
      </c>
    </row>
    <row r="323" hidden="1">
      <c r="A323" s="30">
        <v>318.0</v>
      </c>
      <c r="B323" s="31" t="s">
        <v>12069</v>
      </c>
      <c r="C323" s="31" t="s">
        <v>390</v>
      </c>
      <c r="D323" s="31" t="s">
        <v>391</v>
      </c>
      <c r="E323" s="31" t="str">
        <f t="shared" ref="E323:E325" si="46">trim(D323)</f>
        <v>L04.29.04</v>
      </c>
      <c r="F323" s="31" t="s">
        <v>11844</v>
      </c>
      <c r="G323" s="34"/>
      <c r="H323" s="34"/>
      <c r="I323" s="34"/>
      <c r="J323" s="31" t="s">
        <v>112</v>
      </c>
      <c r="K323" s="33"/>
      <c r="L323" s="34"/>
      <c r="M323" s="34"/>
      <c r="N323" s="34"/>
      <c r="O323" s="656" t="s">
        <v>9265</v>
      </c>
      <c r="P323" s="33"/>
      <c r="Q323" s="31" t="s">
        <v>11802</v>
      </c>
      <c r="R323" s="2" t="str">
        <f t="array" ref="R323">xlookup($E323,'Bảng tổng hợp 1'!$B:$B,'Bảng tổng hợp 1'!$B:$B,0)</f>
        <v>L04.29.04</v>
      </c>
    </row>
    <row r="324" hidden="1">
      <c r="A324" s="30">
        <v>319.0</v>
      </c>
      <c r="B324" s="31" t="s">
        <v>12069</v>
      </c>
      <c r="C324" s="31" t="s">
        <v>403</v>
      </c>
      <c r="D324" s="31" t="s">
        <v>404</v>
      </c>
      <c r="E324" s="31" t="str">
        <f t="shared" si="46"/>
        <v>L04.29.05</v>
      </c>
      <c r="F324" s="31" t="s">
        <v>11844</v>
      </c>
      <c r="G324" s="34"/>
      <c r="H324" s="34"/>
      <c r="I324" s="34"/>
      <c r="J324" s="31" t="s">
        <v>112</v>
      </c>
      <c r="K324" s="33"/>
      <c r="L324" s="34"/>
      <c r="M324" s="34"/>
      <c r="N324" s="34"/>
      <c r="O324" s="656" t="s">
        <v>9265</v>
      </c>
      <c r="P324" s="33"/>
      <c r="Q324" s="31" t="s">
        <v>11802</v>
      </c>
      <c r="R324" s="2" t="str">
        <f t="array" ref="R324">xlookup($E324,'Bảng tổng hợp 1'!$B:$B,'Bảng tổng hợp 1'!$B:$B,0)</f>
        <v>L04.29.05</v>
      </c>
    </row>
    <row r="325" hidden="1">
      <c r="A325" s="30">
        <v>320.0</v>
      </c>
      <c r="B325" s="31" t="s">
        <v>12069</v>
      </c>
      <c r="C325" s="31" t="s">
        <v>1130</v>
      </c>
      <c r="D325" s="31" t="s">
        <v>1131</v>
      </c>
      <c r="E325" s="31" t="str">
        <f t="shared" si="46"/>
        <v>L04.29.06</v>
      </c>
      <c r="F325" s="31" t="s">
        <v>11844</v>
      </c>
      <c r="G325" s="34"/>
      <c r="H325" s="34"/>
      <c r="I325" s="34"/>
      <c r="J325" s="31" t="s">
        <v>112</v>
      </c>
      <c r="K325" s="33"/>
      <c r="L325" s="34"/>
      <c r="M325" s="34"/>
      <c r="N325" s="34"/>
      <c r="O325" s="656" t="s">
        <v>9265</v>
      </c>
      <c r="P325" s="33"/>
      <c r="Q325" s="31" t="s">
        <v>11802</v>
      </c>
      <c r="R325" s="2" t="str">
        <f t="array" ref="R325">xlookup($E325,'Bảng tổng hợp 1'!$B:$B,'Bảng tổng hợp 1'!$B:$B,0)</f>
        <v>L04.29.06</v>
      </c>
    </row>
    <row r="326" hidden="1">
      <c r="A326" s="30">
        <v>321.0</v>
      </c>
      <c r="B326" s="31" t="s">
        <v>12079</v>
      </c>
      <c r="C326" s="655" t="s">
        <v>2231</v>
      </c>
      <c r="D326" s="31" t="s">
        <v>12080</v>
      </c>
      <c r="E326" s="31" t="s">
        <v>12080</v>
      </c>
      <c r="F326" s="31" t="s">
        <v>11844</v>
      </c>
      <c r="G326" s="34"/>
      <c r="H326" s="34"/>
      <c r="I326" s="34"/>
      <c r="J326" s="31" t="s">
        <v>112</v>
      </c>
      <c r="K326" s="33"/>
      <c r="L326" s="34"/>
      <c r="M326" s="34"/>
      <c r="N326" s="34"/>
      <c r="O326" s="656" t="s">
        <v>9265</v>
      </c>
      <c r="P326" s="33"/>
      <c r="Q326" s="31" t="s">
        <v>11802</v>
      </c>
      <c r="R326" s="2">
        <f t="array" ref="R326">xlookup($E326,'Bảng tổng hợp 1'!$B:$B,'Bảng tổng hợp 1'!$B:$B,0)</f>
        <v>0</v>
      </c>
    </row>
    <row r="327" hidden="1">
      <c r="A327" s="30">
        <v>322.0</v>
      </c>
      <c r="B327" s="31" t="s">
        <v>12069</v>
      </c>
      <c r="C327" s="31" t="s">
        <v>1139</v>
      </c>
      <c r="D327" s="31" t="s">
        <v>1140</v>
      </c>
      <c r="E327" s="31" t="str">
        <f t="shared" ref="E327:E328" si="47">trim(D327)</f>
        <v>L04.29.08</v>
      </c>
      <c r="F327" s="31" t="s">
        <v>11844</v>
      </c>
      <c r="G327" s="34"/>
      <c r="H327" s="34"/>
      <c r="I327" s="34"/>
      <c r="J327" s="31" t="s">
        <v>112</v>
      </c>
      <c r="K327" s="33"/>
      <c r="L327" s="34"/>
      <c r="M327" s="34"/>
      <c r="N327" s="34"/>
      <c r="O327" s="656" t="s">
        <v>9265</v>
      </c>
      <c r="P327" s="33"/>
      <c r="Q327" s="31" t="s">
        <v>11802</v>
      </c>
      <c r="R327" s="2" t="str">
        <f t="array" ref="R327">xlookup($E327,'Bảng tổng hợp 1'!$B:$B,'Bảng tổng hợp 1'!$B:$B,0)</f>
        <v>L04.29.08</v>
      </c>
    </row>
    <row r="328" hidden="1">
      <c r="A328" s="30">
        <v>323.0</v>
      </c>
      <c r="B328" s="31" t="s">
        <v>12069</v>
      </c>
      <c r="C328" s="31" t="s">
        <v>397</v>
      </c>
      <c r="D328" s="31" t="s">
        <v>398</v>
      </c>
      <c r="E328" s="31" t="str">
        <f t="shared" si="47"/>
        <v>L04.29.09</v>
      </c>
      <c r="F328" s="31" t="s">
        <v>11844</v>
      </c>
      <c r="G328" s="34"/>
      <c r="H328" s="34"/>
      <c r="I328" s="34"/>
      <c r="J328" s="31" t="s">
        <v>112</v>
      </c>
      <c r="K328" s="33"/>
      <c r="L328" s="34"/>
      <c r="M328" s="34"/>
      <c r="N328" s="34"/>
      <c r="O328" s="656" t="s">
        <v>9265</v>
      </c>
      <c r="P328" s="33"/>
      <c r="Q328" s="31" t="s">
        <v>11802</v>
      </c>
      <c r="R328" s="2" t="str">
        <f t="array" ref="R328">xlookup($E328,'Bảng tổng hợp 1'!$B:$B,'Bảng tổng hợp 1'!$B:$B,0)</f>
        <v>L04.29.09</v>
      </c>
    </row>
    <row r="329" hidden="1">
      <c r="A329" s="30">
        <v>324.0</v>
      </c>
      <c r="B329" s="31" t="s">
        <v>12081</v>
      </c>
      <c r="C329" s="655" t="s">
        <v>275</v>
      </c>
      <c r="D329" s="31" t="s">
        <v>11173</v>
      </c>
      <c r="E329" s="31" t="s">
        <v>11173</v>
      </c>
      <c r="F329" s="31" t="s">
        <v>11850</v>
      </c>
      <c r="G329" s="34"/>
      <c r="H329" s="34"/>
      <c r="I329" s="34"/>
      <c r="J329" s="31" t="s">
        <v>346</v>
      </c>
      <c r="K329" s="33"/>
      <c r="L329" s="34"/>
      <c r="M329" s="34"/>
      <c r="N329" s="34"/>
      <c r="O329" s="656" t="s">
        <v>9265</v>
      </c>
      <c r="P329" s="33"/>
      <c r="Q329" s="31" t="s">
        <v>11802</v>
      </c>
      <c r="R329" s="2">
        <f t="array" ref="R329">xlookup($E329,'Bảng tổng hợp 1'!$B:$B,'Bảng tổng hợp 1'!$B:$B,0)</f>
        <v>0</v>
      </c>
    </row>
    <row r="330" hidden="1">
      <c r="A330" s="30">
        <v>325.0</v>
      </c>
      <c r="B330" s="31" t="s">
        <v>12082</v>
      </c>
      <c r="C330" s="31" t="s">
        <v>155</v>
      </c>
      <c r="D330" s="31" t="s">
        <v>7285</v>
      </c>
      <c r="E330" s="31" t="str">
        <f>trim(D330)</f>
        <v>L04.30.00</v>
      </c>
      <c r="F330" s="31" t="s">
        <v>11844</v>
      </c>
      <c r="G330" s="34"/>
      <c r="H330" s="34"/>
      <c r="I330" s="34"/>
      <c r="J330" s="31" t="s">
        <v>275</v>
      </c>
      <c r="K330" s="33"/>
      <c r="L330" s="34"/>
      <c r="M330" s="34"/>
      <c r="N330" s="34"/>
      <c r="O330" s="656" t="s">
        <v>9265</v>
      </c>
      <c r="P330" s="33"/>
      <c r="Q330" s="31" t="s">
        <v>11802</v>
      </c>
      <c r="R330" s="2" t="str">
        <f t="array" ref="R330">xlookup($E330,'Bảng tổng hợp 1'!$B:$B,'Bảng tổng hợp 1'!$B:$B,0)</f>
        <v>L04.30.00</v>
      </c>
    </row>
    <row r="331" hidden="1">
      <c r="A331" s="30">
        <v>326.0</v>
      </c>
      <c r="B331" s="31" t="s">
        <v>12083</v>
      </c>
      <c r="C331" s="655" t="s">
        <v>12042</v>
      </c>
      <c r="D331" s="31" t="s">
        <v>12084</v>
      </c>
      <c r="E331" s="31" t="s">
        <v>12084</v>
      </c>
      <c r="F331" s="31" t="s">
        <v>11844</v>
      </c>
      <c r="G331" s="34"/>
      <c r="H331" s="34"/>
      <c r="I331" s="34"/>
      <c r="J331" s="31" t="s">
        <v>275</v>
      </c>
      <c r="K331" s="33"/>
      <c r="L331" s="34"/>
      <c r="M331" s="34"/>
      <c r="N331" s="34"/>
      <c r="O331" s="656" t="s">
        <v>9265</v>
      </c>
      <c r="P331" s="33"/>
      <c r="Q331" s="31" t="s">
        <v>11802</v>
      </c>
      <c r="R331" s="2">
        <f t="array" ref="R331">xlookup($E331,'Bảng tổng hợp 1'!$B:$B,'Bảng tổng hợp 1'!$B:$B,0)</f>
        <v>0</v>
      </c>
    </row>
    <row r="332" hidden="1">
      <c r="A332" s="30">
        <v>327.0</v>
      </c>
      <c r="B332" s="31" t="s">
        <v>12085</v>
      </c>
      <c r="C332" s="655" t="s">
        <v>12086</v>
      </c>
      <c r="D332" s="31" t="s">
        <v>12087</v>
      </c>
      <c r="E332" s="31" t="s">
        <v>12087</v>
      </c>
      <c r="F332" s="31" t="s">
        <v>11851</v>
      </c>
      <c r="G332" s="34"/>
      <c r="H332" s="34"/>
      <c r="I332" s="34"/>
      <c r="J332" s="31" t="s">
        <v>12042</v>
      </c>
      <c r="K332" s="33"/>
      <c r="L332" s="34"/>
      <c r="M332" s="34"/>
      <c r="N332" s="34"/>
      <c r="O332" s="656" t="s">
        <v>9265</v>
      </c>
      <c r="P332" s="33"/>
      <c r="Q332" s="31" t="s">
        <v>11802</v>
      </c>
      <c r="R332" s="2">
        <f t="array" ref="R332">xlookup($E332,'Bảng tổng hợp 1'!$B:$B,'Bảng tổng hợp 1'!$B:$B,0)</f>
        <v>0</v>
      </c>
    </row>
    <row r="333" hidden="1">
      <c r="A333" s="30">
        <v>328.0</v>
      </c>
      <c r="B333" s="31" t="s">
        <v>12088</v>
      </c>
      <c r="C333" s="655" t="s">
        <v>12089</v>
      </c>
      <c r="D333" s="31" t="s">
        <v>12090</v>
      </c>
      <c r="E333" s="31" t="s">
        <v>12090</v>
      </c>
      <c r="F333" s="31" t="s">
        <v>11851</v>
      </c>
      <c r="G333" s="34"/>
      <c r="H333" s="34"/>
      <c r="I333" s="34"/>
      <c r="J333" s="31" t="s">
        <v>12042</v>
      </c>
      <c r="K333" s="33"/>
      <c r="L333" s="34"/>
      <c r="M333" s="34"/>
      <c r="N333" s="34"/>
      <c r="O333" s="656" t="s">
        <v>9265</v>
      </c>
      <c r="P333" s="33"/>
      <c r="Q333" s="31" t="s">
        <v>11802</v>
      </c>
      <c r="R333" s="2">
        <f t="array" ref="R333">xlookup($E333,'Bảng tổng hợp 1'!$B:$B,'Bảng tổng hợp 1'!$B:$B,0)</f>
        <v>0</v>
      </c>
    </row>
    <row r="334" hidden="1">
      <c r="A334" s="30">
        <v>329.0</v>
      </c>
      <c r="B334" s="31" t="s">
        <v>12091</v>
      </c>
      <c r="C334" s="655" t="s">
        <v>12092</v>
      </c>
      <c r="D334" s="31" t="s">
        <v>12093</v>
      </c>
      <c r="E334" s="31" t="s">
        <v>12093</v>
      </c>
      <c r="F334" s="31" t="s">
        <v>11851</v>
      </c>
      <c r="G334" s="34"/>
      <c r="H334" s="34"/>
      <c r="I334" s="34"/>
      <c r="J334" s="31" t="s">
        <v>12042</v>
      </c>
      <c r="K334" s="33"/>
      <c r="L334" s="34"/>
      <c r="M334" s="34"/>
      <c r="N334" s="34"/>
      <c r="O334" s="656" t="s">
        <v>9265</v>
      </c>
      <c r="P334" s="33"/>
      <c r="Q334" s="31" t="s">
        <v>11802</v>
      </c>
      <c r="R334" s="2">
        <f t="array" ref="R334">xlookup($E334,'Bảng tổng hợp 1'!$B:$B,'Bảng tổng hợp 1'!$B:$B,0)</f>
        <v>0</v>
      </c>
    </row>
    <row r="335" hidden="1">
      <c r="A335" s="30">
        <v>330.0</v>
      </c>
      <c r="B335" s="31" t="s">
        <v>12094</v>
      </c>
      <c r="C335" s="655" t="s">
        <v>12095</v>
      </c>
      <c r="D335" s="31" t="s">
        <v>12096</v>
      </c>
      <c r="E335" s="31" t="s">
        <v>12096</v>
      </c>
      <c r="F335" s="31" t="s">
        <v>11851</v>
      </c>
      <c r="G335" s="34"/>
      <c r="H335" s="34"/>
      <c r="I335" s="34"/>
      <c r="J335" s="31" t="s">
        <v>12042</v>
      </c>
      <c r="K335" s="33"/>
      <c r="L335" s="34"/>
      <c r="M335" s="34"/>
      <c r="N335" s="34"/>
      <c r="O335" s="656" t="s">
        <v>9265</v>
      </c>
      <c r="P335" s="33"/>
      <c r="Q335" s="31" t="s">
        <v>11802</v>
      </c>
      <c r="R335" s="2">
        <f t="array" ref="R335">xlookup($E335,'Bảng tổng hợp 1'!$B:$B,'Bảng tổng hợp 1'!$B:$B,0)</f>
        <v>0</v>
      </c>
    </row>
    <row r="336" hidden="1">
      <c r="A336" s="30">
        <v>331.0</v>
      </c>
      <c r="B336" s="31" t="s">
        <v>12097</v>
      </c>
      <c r="C336" s="31" t="s">
        <v>1067</v>
      </c>
      <c r="D336" s="31" t="s">
        <v>3975</v>
      </c>
      <c r="E336" s="31" t="str">
        <f t="shared" ref="E336:E347" si="48">trim(D336)</f>
        <v>L04.30.10</v>
      </c>
      <c r="F336" s="31" t="s">
        <v>11844</v>
      </c>
      <c r="G336" s="34"/>
      <c r="H336" s="34"/>
      <c r="I336" s="34"/>
      <c r="J336" s="31" t="s">
        <v>275</v>
      </c>
      <c r="K336" s="33"/>
      <c r="L336" s="34"/>
      <c r="M336" s="34"/>
      <c r="N336" s="31" t="s">
        <v>11969</v>
      </c>
      <c r="O336" s="656" t="s">
        <v>9265</v>
      </c>
      <c r="P336" s="33"/>
      <c r="Q336" s="31" t="s">
        <v>11802</v>
      </c>
      <c r="R336" s="2" t="str">
        <f t="array" ref="R336">xlookup($E336,'Bảng tổng hợp 1'!$B:$B,'Bảng tổng hợp 1'!$B:$B,0)</f>
        <v>L04.30.10</v>
      </c>
    </row>
    <row r="337" hidden="1">
      <c r="A337" s="30">
        <v>332.0</v>
      </c>
      <c r="B337" s="31" t="s">
        <v>12081</v>
      </c>
      <c r="C337" s="31" t="s">
        <v>1088</v>
      </c>
      <c r="D337" s="31" t="s">
        <v>1089</v>
      </c>
      <c r="E337" s="31" t="str">
        <f t="shared" si="48"/>
        <v>L04.30.10.01</v>
      </c>
      <c r="F337" s="31" t="s">
        <v>11851</v>
      </c>
      <c r="G337" s="34"/>
      <c r="H337" s="34"/>
      <c r="I337" s="34"/>
      <c r="J337" s="31" t="s">
        <v>1067</v>
      </c>
      <c r="K337" s="33"/>
      <c r="L337" s="34"/>
      <c r="M337" s="34"/>
      <c r="N337" s="31" t="s">
        <v>11969</v>
      </c>
      <c r="O337" s="656" t="s">
        <v>9265</v>
      </c>
      <c r="P337" s="33"/>
      <c r="Q337" s="31" t="s">
        <v>11802</v>
      </c>
      <c r="R337" s="2" t="str">
        <f t="array" ref="R337">xlookup($E337,'Bảng tổng hợp 1'!$B:$B,'Bảng tổng hợp 1'!$B:$B,0)</f>
        <v>L04.30.10.01</v>
      </c>
    </row>
    <row r="338" hidden="1">
      <c r="A338" s="30">
        <v>333.0</v>
      </c>
      <c r="B338" s="31" t="s">
        <v>12081</v>
      </c>
      <c r="C338" s="31" t="s">
        <v>4005</v>
      </c>
      <c r="D338" s="31" t="s">
        <v>4006</v>
      </c>
      <c r="E338" s="31" t="str">
        <f t="shared" si="48"/>
        <v>L04.30.10.02</v>
      </c>
      <c r="F338" s="31" t="s">
        <v>11851</v>
      </c>
      <c r="G338" s="34"/>
      <c r="H338" s="34"/>
      <c r="I338" s="34"/>
      <c r="J338" s="31" t="s">
        <v>1067</v>
      </c>
      <c r="K338" s="33"/>
      <c r="L338" s="34"/>
      <c r="M338" s="34"/>
      <c r="N338" s="31" t="s">
        <v>11969</v>
      </c>
      <c r="O338" s="656" t="s">
        <v>9265</v>
      </c>
      <c r="P338" s="33"/>
      <c r="Q338" s="31" t="s">
        <v>11802</v>
      </c>
      <c r="R338" s="2" t="str">
        <f t="array" ref="R338">xlookup($E338,'Bảng tổng hợp 1'!$B:$B,'Bảng tổng hợp 1'!$B:$B,0)</f>
        <v>L04.30.10.02</v>
      </c>
    </row>
    <row r="339" hidden="1">
      <c r="A339" s="30">
        <v>334.0</v>
      </c>
      <c r="B339" s="31" t="s">
        <v>12081</v>
      </c>
      <c r="C339" s="31" t="s">
        <v>1066</v>
      </c>
      <c r="D339" s="31" t="s">
        <v>1068</v>
      </c>
      <c r="E339" s="31" t="str">
        <f t="shared" si="48"/>
        <v>L04.30.10.03</v>
      </c>
      <c r="F339" s="31" t="s">
        <v>11851</v>
      </c>
      <c r="G339" s="34"/>
      <c r="H339" s="34"/>
      <c r="I339" s="34"/>
      <c r="J339" s="31" t="s">
        <v>1067</v>
      </c>
      <c r="K339" s="33"/>
      <c r="L339" s="34"/>
      <c r="M339" s="34"/>
      <c r="N339" s="31" t="s">
        <v>11969</v>
      </c>
      <c r="O339" s="656" t="s">
        <v>9265</v>
      </c>
      <c r="P339" s="33"/>
      <c r="Q339" s="31" t="s">
        <v>11802</v>
      </c>
      <c r="R339" s="2" t="str">
        <f t="array" ref="R339">xlookup($E339,'Bảng tổng hợp 1'!$B:$B,'Bảng tổng hợp 1'!$B:$B,0)</f>
        <v>L04.30.10.03</v>
      </c>
    </row>
    <row r="340" hidden="1">
      <c r="A340" s="30">
        <v>335.0</v>
      </c>
      <c r="B340" s="31" t="s">
        <v>12081</v>
      </c>
      <c r="C340" s="31" t="s">
        <v>1095</v>
      </c>
      <c r="D340" s="31" t="s">
        <v>1096</v>
      </c>
      <c r="E340" s="31" t="str">
        <f t="shared" si="48"/>
        <v>L04.30.10.04</v>
      </c>
      <c r="F340" s="31" t="s">
        <v>11851</v>
      </c>
      <c r="G340" s="34"/>
      <c r="H340" s="34"/>
      <c r="I340" s="34"/>
      <c r="J340" s="31" t="s">
        <v>1067</v>
      </c>
      <c r="K340" s="33"/>
      <c r="L340" s="34"/>
      <c r="M340" s="34"/>
      <c r="N340" s="31" t="s">
        <v>11969</v>
      </c>
      <c r="O340" s="656" t="s">
        <v>9265</v>
      </c>
      <c r="P340" s="33"/>
      <c r="Q340" s="31" t="s">
        <v>11802</v>
      </c>
      <c r="R340" s="2" t="str">
        <f t="array" ref="R340">xlookup($E340,'Bảng tổng hợp 1'!$B:$B,'Bảng tổng hợp 1'!$B:$B,0)</f>
        <v>L04.30.10.04</v>
      </c>
    </row>
    <row r="341" hidden="1">
      <c r="A341" s="30">
        <v>336.0</v>
      </c>
      <c r="B341" s="31" t="s">
        <v>12081</v>
      </c>
      <c r="C341" s="31" t="s">
        <v>1112</v>
      </c>
      <c r="D341" s="31" t="s">
        <v>1113</v>
      </c>
      <c r="E341" s="31" t="str">
        <f t="shared" si="48"/>
        <v>L04.30.10.05</v>
      </c>
      <c r="F341" s="31" t="s">
        <v>11851</v>
      </c>
      <c r="G341" s="34"/>
      <c r="H341" s="34"/>
      <c r="I341" s="34"/>
      <c r="J341" s="31" t="s">
        <v>1067</v>
      </c>
      <c r="K341" s="33"/>
      <c r="L341" s="34"/>
      <c r="M341" s="34"/>
      <c r="N341" s="31" t="s">
        <v>11969</v>
      </c>
      <c r="O341" s="656" t="s">
        <v>9265</v>
      </c>
      <c r="P341" s="33"/>
      <c r="Q341" s="31" t="s">
        <v>11802</v>
      </c>
      <c r="R341" s="2" t="str">
        <f t="array" ref="R341">xlookup($E341,'Bảng tổng hợp 1'!$B:$B,'Bảng tổng hợp 1'!$B:$B,0)</f>
        <v>L04.30.10.05</v>
      </c>
    </row>
    <row r="342" hidden="1">
      <c r="A342" s="30">
        <v>337.0</v>
      </c>
      <c r="B342" s="31" t="s">
        <v>12081</v>
      </c>
      <c r="C342" s="31" t="s">
        <v>283</v>
      </c>
      <c r="D342" s="31" t="s">
        <v>519</v>
      </c>
      <c r="E342" s="31" t="str">
        <f t="shared" si="48"/>
        <v>L04.30.01</v>
      </c>
      <c r="F342" s="31" t="s">
        <v>11844</v>
      </c>
      <c r="G342" s="34"/>
      <c r="H342" s="34"/>
      <c r="I342" s="34"/>
      <c r="J342" s="31" t="s">
        <v>275</v>
      </c>
      <c r="K342" s="33"/>
      <c r="L342" s="34"/>
      <c r="M342" s="34"/>
      <c r="N342" s="34"/>
      <c r="O342" s="656" t="s">
        <v>9265</v>
      </c>
      <c r="P342" s="33"/>
      <c r="Q342" s="31" t="s">
        <v>11802</v>
      </c>
      <c r="R342" s="2" t="str">
        <f t="array" ref="R342">xlookup($E342,'Bảng tổng hợp 1'!$B:$B,'Bảng tổng hợp 1'!$B:$B,0)</f>
        <v>L04.30.01</v>
      </c>
    </row>
    <row r="343" hidden="1">
      <c r="A343" s="30">
        <v>338.0</v>
      </c>
      <c r="B343" s="31" t="s">
        <v>12081</v>
      </c>
      <c r="C343" s="31" t="s">
        <v>274</v>
      </c>
      <c r="D343" s="31" t="s">
        <v>424</v>
      </c>
      <c r="E343" s="31" t="str">
        <f t="shared" si="48"/>
        <v>L04.30.02</v>
      </c>
      <c r="F343" s="31" t="s">
        <v>11844</v>
      </c>
      <c r="G343" s="34"/>
      <c r="H343" s="34"/>
      <c r="I343" s="34"/>
      <c r="J343" s="31" t="s">
        <v>275</v>
      </c>
      <c r="K343" s="33"/>
      <c r="L343" s="34"/>
      <c r="M343" s="34"/>
      <c r="N343" s="34"/>
      <c r="O343" s="656" t="s">
        <v>9265</v>
      </c>
      <c r="P343" s="33"/>
      <c r="Q343" s="31" t="s">
        <v>11802</v>
      </c>
      <c r="R343" s="2" t="str">
        <f t="array" ref="R343">xlookup($E343,'Bảng tổng hợp 1'!$B:$B,'Bảng tổng hợp 1'!$B:$B,0)</f>
        <v>L04.30.02</v>
      </c>
    </row>
    <row r="344" hidden="1">
      <c r="A344" s="30">
        <v>339.0</v>
      </c>
      <c r="B344" s="31" t="s">
        <v>12081</v>
      </c>
      <c r="C344" s="31" t="s">
        <v>374</v>
      </c>
      <c r="D344" s="31" t="s">
        <v>375</v>
      </c>
      <c r="E344" s="31" t="str">
        <f t="shared" si="48"/>
        <v>L04.30.03</v>
      </c>
      <c r="F344" s="31" t="s">
        <v>11844</v>
      </c>
      <c r="G344" s="34"/>
      <c r="H344" s="34"/>
      <c r="I344" s="34"/>
      <c r="J344" s="31" t="s">
        <v>275</v>
      </c>
      <c r="K344" s="33"/>
      <c r="L344" s="34"/>
      <c r="M344" s="34"/>
      <c r="N344" s="34"/>
      <c r="O344" s="656" t="s">
        <v>9265</v>
      </c>
      <c r="P344" s="33"/>
      <c r="Q344" s="31" t="s">
        <v>11802</v>
      </c>
      <c r="R344" s="2" t="str">
        <f t="array" ref="R344">xlookup($E344,'Bảng tổng hợp 1'!$B:$B,'Bảng tổng hợp 1'!$B:$B,0)</f>
        <v>L04.30.03</v>
      </c>
    </row>
    <row r="345" hidden="1">
      <c r="A345" s="30">
        <v>340.0</v>
      </c>
      <c r="B345" s="31" t="s">
        <v>12081</v>
      </c>
      <c r="C345" s="31" t="s">
        <v>436</v>
      </c>
      <c r="D345" s="31" t="s">
        <v>437</v>
      </c>
      <c r="E345" s="31" t="str">
        <f t="shared" si="48"/>
        <v>L04.30.04</v>
      </c>
      <c r="F345" s="31" t="s">
        <v>11844</v>
      </c>
      <c r="G345" s="34"/>
      <c r="H345" s="34"/>
      <c r="I345" s="34"/>
      <c r="J345" s="31" t="s">
        <v>275</v>
      </c>
      <c r="K345" s="33"/>
      <c r="L345" s="34"/>
      <c r="M345" s="34"/>
      <c r="N345" s="34"/>
      <c r="O345" s="656" t="s">
        <v>9265</v>
      </c>
      <c r="P345" s="33"/>
      <c r="Q345" s="31" t="s">
        <v>11802</v>
      </c>
      <c r="R345" s="2" t="str">
        <f t="array" ref="R345">xlookup($E345,'Bảng tổng hợp 1'!$B:$B,'Bảng tổng hợp 1'!$B:$B,0)</f>
        <v>L04.30.04</v>
      </c>
    </row>
    <row r="346" hidden="1">
      <c r="A346" s="30">
        <v>341.0</v>
      </c>
      <c r="B346" s="31" t="s">
        <v>12081</v>
      </c>
      <c r="C346" s="31" t="s">
        <v>295</v>
      </c>
      <c r="D346" s="31" t="s">
        <v>1033</v>
      </c>
      <c r="E346" s="31" t="str">
        <f t="shared" si="48"/>
        <v>L04.30.05</v>
      </c>
      <c r="F346" s="31" t="s">
        <v>11844</v>
      </c>
      <c r="G346" s="34"/>
      <c r="H346" s="34"/>
      <c r="I346" s="34"/>
      <c r="J346" s="31" t="s">
        <v>275</v>
      </c>
      <c r="K346" s="33"/>
      <c r="L346" s="34"/>
      <c r="M346" s="34"/>
      <c r="N346" s="34"/>
      <c r="O346" s="656" t="s">
        <v>9265</v>
      </c>
      <c r="P346" s="33"/>
      <c r="Q346" s="31" t="s">
        <v>11802</v>
      </c>
      <c r="R346" s="2" t="str">
        <f t="array" ref="R346">xlookup($E346,'Bảng tổng hợp 1'!$B:$B,'Bảng tổng hợp 1'!$B:$B,0)</f>
        <v>L04.30.05</v>
      </c>
    </row>
    <row r="347" hidden="1">
      <c r="A347" s="30">
        <v>342.0</v>
      </c>
      <c r="B347" s="31" t="s">
        <v>12098</v>
      </c>
      <c r="C347" s="31" t="s">
        <v>101</v>
      </c>
      <c r="D347" s="31" t="s">
        <v>507</v>
      </c>
      <c r="E347" s="31" t="str">
        <f t="shared" si="48"/>
        <v>L04.30.06</v>
      </c>
      <c r="F347" s="31" t="s">
        <v>11844</v>
      </c>
      <c r="G347" s="34"/>
      <c r="H347" s="34"/>
      <c r="I347" s="34"/>
      <c r="J347" s="31" t="s">
        <v>275</v>
      </c>
      <c r="K347" s="33"/>
      <c r="L347" s="34"/>
      <c r="M347" s="34"/>
      <c r="N347" s="34"/>
      <c r="O347" s="656" t="s">
        <v>9265</v>
      </c>
      <c r="P347" s="33"/>
      <c r="Q347" s="31" t="s">
        <v>11802</v>
      </c>
      <c r="R347" s="2" t="str">
        <f t="array" ref="R347">xlookup($E347,'Bảng tổng hợp 1'!$B:$B,'Bảng tổng hợp 1'!$B:$B,0)</f>
        <v>L04.30.06</v>
      </c>
    </row>
    <row r="348" hidden="1">
      <c r="A348" s="30">
        <v>343.0</v>
      </c>
      <c r="B348" s="31" t="s">
        <v>12099</v>
      </c>
      <c r="C348" s="655" t="s">
        <v>12100</v>
      </c>
      <c r="D348" s="31" t="s">
        <v>12101</v>
      </c>
      <c r="E348" s="31" t="s">
        <v>12101</v>
      </c>
      <c r="F348" s="31" t="s">
        <v>11851</v>
      </c>
      <c r="G348" s="34"/>
      <c r="H348" s="34"/>
      <c r="I348" s="34"/>
      <c r="J348" s="31" t="s">
        <v>101</v>
      </c>
      <c r="K348" s="33"/>
      <c r="L348" s="34"/>
      <c r="M348" s="34"/>
      <c r="N348" s="34"/>
      <c r="O348" s="656" t="s">
        <v>9265</v>
      </c>
      <c r="P348" s="33"/>
      <c r="Q348" s="31" t="s">
        <v>11802</v>
      </c>
      <c r="R348" s="2">
        <f t="array" ref="R348">xlookup($E348,'Bảng tổng hợp 1'!$B:$B,'Bảng tổng hợp 1'!$B:$B,0)</f>
        <v>0</v>
      </c>
    </row>
    <row r="349" hidden="1">
      <c r="A349" s="30">
        <v>344.0</v>
      </c>
      <c r="B349" s="31" t="s">
        <v>12102</v>
      </c>
      <c r="C349" s="655" t="s">
        <v>12103</v>
      </c>
      <c r="D349" s="31" t="s">
        <v>12104</v>
      </c>
      <c r="E349" s="31" t="s">
        <v>12104</v>
      </c>
      <c r="F349" s="31" t="s">
        <v>11851</v>
      </c>
      <c r="G349" s="34"/>
      <c r="H349" s="34"/>
      <c r="I349" s="34"/>
      <c r="J349" s="31" t="s">
        <v>101</v>
      </c>
      <c r="K349" s="33"/>
      <c r="L349" s="34"/>
      <c r="M349" s="34"/>
      <c r="N349" s="34"/>
      <c r="O349" s="656" t="s">
        <v>9265</v>
      </c>
      <c r="P349" s="33"/>
      <c r="Q349" s="31" t="s">
        <v>11802</v>
      </c>
      <c r="R349" s="2">
        <f t="array" ref="R349">xlookup($E349,'Bảng tổng hợp 1'!$B:$B,'Bảng tổng hợp 1'!$B:$B,0)</f>
        <v>0</v>
      </c>
    </row>
    <row r="350" hidden="1">
      <c r="A350" s="30">
        <v>345.0</v>
      </c>
      <c r="B350" s="31" t="s">
        <v>12105</v>
      </c>
      <c r="C350" s="655" t="s">
        <v>12106</v>
      </c>
      <c r="D350" s="31" t="s">
        <v>12107</v>
      </c>
      <c r="E350" s="31" t="s">
        <v>12107</v>
      </c>
      <c r="F350" s="31" t="s">
        <v>11851</v>
      </c>
      <c r="G350" s="34"/>
      <c r="H350" s="34"/>
      <c r="I350" s="34"/>
      <c r="J350" s="31" t="s">
        <v>101</v>
      </c>
      <c r="K350" s="33"/>
      <c r="L350" s="34"/>
      <c r="M350" s="34"/>
      <c r="N350" s="34"/>
      <c r="O350" s="656" t="s">
        <v>9265</v>
      </c>
      <c r="P350" s="33"/>
      <c r="Q350" s="31" t="s">
        <v>11802</v>
      </c>
      <c r="R350" s="2">
        <f t="array" ref="R350">xlookup($E350,'Bảng tổng hợp 1'!$B:$B,'Bảng tổng hợp 1'!$B:$B,0)</f>
        <v>0</v>
      </c>
    </row>
    <row r="351" hidden="1">
      <c r="A351" s="30">
        <v>346.0</v>
      </c>
      <c r="B351" s="31" t="s">
        <v>12108</v>
      </c>
      <c r="C351" s="655" t="s">
        <v>12109</v>
      </c>
      <c r="D351" s="31" t="s">
        <v>12110</v>
      </c>
      <c r="E351" s="31" t="s">
        <v>12110</v>
      </c>
      <c r="F351" s="31" t="s">
        <v>11851</v>
      </c>
      <c r="G351" s="34"/>
      <c r="H351" s="34"/>
      <c r="I351" s="34"/>
      <c r="J351" s="31" t="s">
        <v>101</v>
      </c>
      <c r="K351" s="33"/>
      <c r="L351" s="34"/>
      <c r="M351" s="34"/>
      <c r="N351" s="34"/>
      <c r="O351" s="656" t="s">
        <v>9265</v>
      </c>
      <c r="P351" s="33"/>
      <c r="Q351" s="31" t="s">
        <v>11802</v>
      </c>
      <c r="R351" s="2">
        <f t="array" ref="R351">xlookup($E351,'Bảng tổng hợp 1'!$B:$B,'Bảng tổng hợp 1'!$B:$B,0)</f>
        <v>0</v>
      </c>
    </row>
    <row r="352" hidden="1">
      <c r="A352" s="30">
        <v>347.0</v>
      </c>
      <c r="B352" s="31" t="s">
        <v>12111</v>
      </c>
      <c r="C352" s="655" t="s">
        <v>12112</v>
      </c>
      <c r="D352" s="31" t="s">
        <v>12113</v>
      </c>
      <c r="E352" s="31" t="s">
        <v>12113</v>
      </c>
      <c r="F352" s="31" t="s">
        <v>11844</v>
      </c>
      <c r="G352" s="34"/>
      <c r="H352" s="34"/>
      <c r="I352" s="34"/>
      <c r="J352" s="31" t="s">
        <v>275</v>
      </c>
      <c r="K352" s="33"/>
      <c r="L352" s="34"/>
      <c r="M352" s="34"/>
      <c r="N352" s="34"/>
      <c r="O352" s="656" t="s">
        <v>9265</v>
      </c>
      <c r="P352" s="33"/>
      <c r="Q352" s="31" t="s">
        <v>11802</v>
      </c>
      <c r="R352" s="2">
        <f t="array" ref="R352">xlookup($E352,'Bảng tổng hợp 1'!$B:$B,'Bảng tổng hợp 1'!$B:$B,0)</f>
        <v>0</v>
      </c>
    </row>
    <row r="353" hidden="1">
      <c r="A353" s="30">
        <v>348.0</v>
      </c>
      <c r="B353" s="31" t="s">
        <v>12114</v>
      </c>
      <c r="C353" s="655" t="s">
        <v>2090</v>
      </c>
      <c r="D353" s="31" t="s">
        <v>12115</v>
      </c>
      <c r="E353" s="31" t="s">
        <v>12115</v>
      </c>
      <c r="F353" s="31" t="s">
        <v>11844</v>
      </c>
      <c r="G353" s="34"/>
      <c r="H353" s="34"/>
      <c r="I353" s="34"/>
      <c r="J353" s="31" t="s">
        <v>275</v>
      </c>
      <c r="K353" s="33"/>
      <c r="L353" s="34"/>
      <c r="M353" s="34"/>
      <c r="N353" s="34"/>
      <c r="O353" s="656" t="s">
        <v>9265</v>
      </c>
      <c r="P353" s="33"/>
      <c r="Q353" s="31" t="s">
        <v>11802</v>
      </c>
      <c r="R353" s="2">
        <f t="array" ref="R353">xlookup($E353,'Bảng tổng hợp 1'!$B:$B,'Bảng tổng hợp 1'!$B:$B,0)</f>
        <v>0</v>
      </c>
    </row>
    <row r="354" hidden="1">
      <c r="A354" s="30">
        <v>349.0</v>
      </c>
      <c r="B354" s="31" t="s">
        <v>12116</v>
      </c>
      <c r="C354" s="31" t="s">
        <v>927</v>
      </c>
      <c r="D354" s="31" t="s">
        <v>4113</v>
      </c>
      <c r="E354" s="31" t="str">
        <f t="shared" ref="E354:E365" si="49">trim(D354)</f>
        <v>L04.30.11</v>
      </c>
      <c r="F354" s="31" t="s">
        <v>11844</v>
      </c>
      <c r="G354" s="34"/>
      <c r="H354" s="34"/>
      <c r="I354" s="34"/>
      <c r="J354" s="31" t="s">
        <v>275</v>
      </c>
      <c r="K354" s="33"/>
      <c r="L354" s="34"/>
      <c r="M354" s="34"/>
      <c r="N354" s="31" t="s">
        <v>11969</v>
      </c>
      <c r="O354" s="656" t="s">
        <v>9265</v>
      </c>
      <c r="P354" s="33"/>
      <c r="Q354" s="31" t="s">
        <v>11802</v>
      </c>
      <c r="R354" s="2" t="str">
        <f t="array" ref="R354">xlookup($E354,'Bảng tổng hợp 1'!$B:$B,'Bảng tổng hợp 1'!$B:$B,0)</f>
        <v>L04.30.11</v>
      </c>
    </row>
    <row r="355" hidden="1">
      <c r="A355" s="30">
        <v>350.0</v>
      </c>
      <c r="B355" s="31" t="s">
        <v>12081</v>
      </c>
      <c r="C355" s="31" t="s">
        <v>926</v>
      </c>
      <c r="D355" s="31" t="s">
        <v>928</v>
      </c>
      <c r="E355" s="31" t="str">
        <f t="shared" si="49"/>
        <v>L04.30.11.01</v>
      </c>
      <c r="F355" s="31" t="s">
        <v>11854</v>
      </c>
      <c r="G355" s="34"/>
      <c r="H355" s="34"/>
      <c r="I355" s="34"/>
      <c r="J355" s="31" t="s">
        <v>927</v>
      </c>
      <c r="K355" s="33"/>
      <c r="L355" s="34"/>
      <c r="M355" s="34"/>
      <c r="N355" s="31" t="s">
        <v>11969</v>
      </c>
      <c r="O355" s="656" t="s">
        <v>9265</v>
      </c>
      <c r="P355" s="33"/>
      <c r="Q355" s="31" t="s">
        <v>11802</v>
      </c>
      <c r="R355" s="2" t="str">
        <f t="array" ref="R355">xlookup($E355,'Bảng tổng hợp 1'!$B:$B,'Bảng tổng hợp 1'!$B:$B,0)</f>
        <v>L04.30.11.01</v>
      </c>
    </row>
    <row r="356" hidden="1">
      <c r="A356" s="30">
        <v>351.0</v>
      </c>
      <c r="B356" s="31" t="s">
        <v>12081</v>
      </c>
      <c r="C356" s="31" t="s">
        <v>3610</v>
      </c>
      <c r="D356" s="31" t="s">
        <v>3611</v>
      </c>
      <c r="E356" s="31" t="str">
        <f t="shared" si="49"/>
        <v>L04.30.11.02</v>
      </c>
      <c r="F356" s="31" t="s">
        <v>11854</v>
      </c>
      <c r="G356" s="34"/>
      <c r="H356" s="34"/>
      <c r="I356" s="34"/>
      <c r="J356" s="31" t="s">
        <v>927</v>
      </c>
      <c r="K356" s="33"/>
      <c r="L356" s="34"/>
      <c r="M356" s="34"/>
      <c r="N356" s="31" t="s">
        <v>11969</v>
      </c>
      <c r="O356" s="656" t="s">
        <v>9265</v>
      </c>
      <c r="P356" s="33"/>
      <c r="Q356" s="31" t="s">
        <v>11802</v>
      </c>
      <c r="R356" s="2" t="str">
        <f t="array" ref="R356">xlookup($E356,'Bảng tổng hợp 1'!$B:$B,'Bảng tổng hợp 1'!$B:$B,0)</f>
        <v>L04.30.11.02</v>
      </c>
    </row>
    <row r="357" hidden="1">
      <c r="A357" s="30">
        <v>352.0</v>
      </c>
      <c r="B357" s="31" t="s">
        <v>12081</v>
      </c>
      <c r="C357" s="31" t="s">
        <v>995</v>
      </c>
      <c r="D357" s="31" t="s">
        <v>996</v>
      </c>
      <c r="E357" s="31" t="str">
        <f t="shared" si="49"/>
        <v>L04.30.11.03</v>
      </c>
      <c r="F357" s="31" t="s">
        <v>11854</v>
      </c>
      <c r="G357" s="34"/>
      <c r="H357" s="34"/>
      <c r="I357" s="34"/>
      <c r="J357" s="31" t="s">
        <v>927</v>
      </c>
      <c r="K357" s="33"/>
      <c r="L357" s="34"/>
      <c r="M357" s="34"/>
      <c r="N357" s="31" t="s">
        <v>11969</v>
      </c>
      <c r="O357" s="656" t="s">
        <v>9265</v>
      </c>
      <c r="P357" s="33"/>
      <c r="Q357" s="31" t="s">
        <v>11802</v>
      </c>
      <c r="R357" s="2" t="str">
        <f t="array" ref="R357">xlookup($E357,'Bảng tổng hợp 1'!$B:$B,'Bảng tổng hợp 1'!$B:$B,0)</f>
        <v>L04.30.11.03</v>
      </c>
    </row>
    <row r="358" hidden="1">
      <c r="A358" s="30">
        <v>353.0</v>
      </c>
      <c r="B358" s="31" t="s">
        <v>12081</v>
      </c>
      <c r="C358" s="31" t="s">
        <v>943</v>
      </c>
      <c r="D358" s="31" t="s">
        <v>944</v>
      </c>
      <c r="E358" s="31" t="str">
        <f t="shared" si="49"/>
        <v>L04.30.11.04</v>
      </c>
      <c r="F358" s="31" t="s">
        <v>11854</v>
      </c>
      <c r="G358" s="34"/>
      <c r="H358" s="34"/>
      <c r="I358" s="34"/>
      <c r="J358" s="31" t="s">
        <v>927</v>
      </c>
      <c r="K358" s="33"/>
      <c r="L358" s="34"/>
      <c r="M358" s="34"/>
      <c r="N358" s="31" t="s">
        <v>11969</v>
      </c>
      <c r="O358" s="656" t="s">
        <v>9265</v>
      </c>
      <c r="P358" s="33"/>
      <c r="Q358" s="31" t="s">
        <v>11802</v>
      </c>
      <c r="R358" s="2" t="str">
        <f t="array" ref="R358">xlookup($E358,'Bảng tổng hợp 1'!$B:$B,'Bảng tổng hợp 1'!$B:$B,0)</f>
        <v>L04.30.11.04</v>
      </c>
    </row>
    <row r="359" hidden="1">
      <c r="A359" s="30">
        <v>354.0</v>
      </c>
      <c r="B359" s="31" t="s">
        <v>12081</v>
      </c>
      <c r="C359" s="31" t="s">
        <v>4013</v>
      </c>
      <c r="D359" s="31" t="s">
        <v>4014</v>
      </c>
      <c r="E359" s="31" t="str">
        <f t="shared" si="49"/>
        <v>L04.30.11.05</v>
      </c>
      <c r="F359" s="31" t="s">
        <v>11854</v>
      </c>
      <c r="G359" s="34"/>
      <c r="H359" s="34"/>
      <c r="I359" s="34"/>
      <c r="J359" s="31" t="s">
        <v>927</v>
      </c>
      <c r="K359" s="33"/>
      <c r="L359" s="34"/>
      <c r="M359" s="34"/>
      <c r="N359" s="31" t="s">
        <v>11969</v>
      </c>
      <c r="O359" s="656" t="s">
        <v>9265</v>
      </c>
      <c r="P359" s="33"/>
      <c r="Q359" s="31" t="s">
        <v>11802</v>
      </c>
      <c r="R359" s="2" t="str">
        <f t="array" ref="R359">xlookup($E359,'Bảng tổng hợp 1'!$B:$B,'Bảng tổng hợp 1'!$B:$B,0)</f>
        <v>L04.30.11.05</v>
      </c>
    </row>
    <row r="360" hidden="1">
      <c r="A360" s="30">
        <v>355.0</v>
      </c>
      <c r="B360" s="31" t="s">
        <v>12117</v>
      </c>
      <c r="C360" s="31" t="s">
        <v>1012</v>
      </c>
      <c r="D360" s="31" t="s">
        <v>1013</v>
      </c>
      <c r="E360" s="31" t="str">
        <f t="shared" si="49"/>
        <v>L04.30.12</v>
      </c>
      <c r="F360" s="31" t="s">
        <v>11844</v>
      </c>
      <c r="G360" s="34"/>
      <c r="H360" s="34"/>
      <c r="I360" s="34"/>
      <c r="J360" s="31" t="s">
        <v>275</v>
      </c>
      <c r="K360" s="33"/>
      <c r="L360" s="34"/>
      <c r="M360" s="34"/>
      <c r="N360" s="31" t="s">
        <v>11969</v>
      </c>
      <c r="O360" s="656" t="s">
        <v>9265</v>
      </c>
      <c r="P360" s="33"/>
      <c r="Q360" s="31" t="s">
        <v>11802</v>
      </c>
      <c r="R360" s="2" t="str">
        <f t="array" ref="R360">xlookup($E360,'Bảng tổng hợp 1'!$B:$B,'Bảng tổng hợp 1'!$B:$B,0)</f>
        <v>L04.30.12</v>
      </c>
    </row>
    <row r="361" hidden="1">
      <c r="A361" s="30">
        <v>356.0</v>
      </c>
      <c r="B361" s="31" t="s">
        <v>12081</v>
      </c>
      <c r="C361" s="31" t="s">
        <v>4211</v>
      </c>
      <c r="D361" s="31" t="s">
        <v>4212</v>
      </c>
      <c r="E361" s="31" t="str">
        <f t="shared" si="49"/>
        <v>L04.30.12.01</v>
      </c>
      <c r="F361" s="31" t="s">
        <v>11854</v>
      </c>
      <c r="G361" s="34"/>
      <c r="H361" s="34"/>
      <c r="I361" s="34"/>
      <c r="J361" s="31" t="s">
        <v>1012</v>
      </c>
      <c r="K361" s="33"/>
      <c r="L361" s="34"/>
      <c r="M361" s="34"/>
      <c r="N361" s="31" t="s">
        <v>11969</v>
      </c>
      <c r="O361" s="656" t="s">
        <v>9265</v>
      </c>
      <c r="P361" s="33"/>
      <c r="Q361" s="31" t="s">
        <v>11802</v>
      </c>
      <c r="R361" s="2" t="str">
        <f t="array" ref="R361">xlookup($E361,'Bảng tổng hợp 1'!$B:$B,'Bảng tổng hợp 1'!$B:$B,0)</f>
        <v>L04.30.12.01</v>
      </c>
    </row>
    <row r="362" hidden="1">
      <c r="A362" s="30">
        <v>357.0</v>
      </c>
      <c r="B362" s="31" t="s">
        <v>12081</v>
      </c>
      <c r="C362" s="31" t="s">
        <v>3956</v>
      </c>
      <c r="D362" s="31" t="s">
        <v>3957</v>
      </c>
      <c r="E362" s="31" t="str">
        <f t="shared" si="49"/>
        <v>L04.30.12.02</v>
      </c>
      <c r="F362" s="31" t="s">
        <v>11854</v>
      </c>
      <c r="G362" s="34"/>
      <c r="H362" s="34"/>
      <c r="I362" s="34"/>
      <c r="J362" s="31" t="s">
        <v>1012</v>
      </c>
      <c r="K362" s="33"/>
      <c r="L362" s="34"/>
      <c r="M362" s="34"/>
      <c r="N362" s="31" t="s">
        <v>11969</v>
      </c>
      <c r="O362" s="656" t="s">
        <v>9265</v>
      </c>
      <c r="P362" s="33"/>
      <c r="Q362" s="31" t="s">
        <v>11802</v>
      </c>
      <c r="R362" s="2" t="str">
        <f t="array" ref="R362">xlookup($E362,'Bảng tổng hợp 1'!$B:$B,'Bảng tổng hợp 1'!$B:$B,0)</f>
        <v>L04.30.12.02</v>
      </c>
    </row>
    <row r="363" hidden="1">
      <c r="A363" s="30">
        <v>358.0</v>
      </c>
      <c r="B363" s="31" t="s">
        <v>12081</v>
      </c>
      <c r="C363" s="31" t="s">
        <v>3231</v>
      </c>
      <c r="D363" s="31" t="s">
        <v>3232</v>
      </c>
      <c r="E363" s="31" t="str">
        <f t="shared" si="49"/>
        <v>L04.30.12.03</v>
      </c>
      <c r="F363" s="31" t="s">
        <v>11854</v>
      </c>
      <c r="G363" s="34"/>
      <c r="H363" s="34"/>
      <c r="I363" s="34"/>
      <c r="J363" s="31" t="s">
        <v>1012</v>
      </c>
      <c r="K363" s="33"/>
      <c r="L363" s="34"/>
      <c r="M363" s="34"/>
      <c r="N363" s="31" t="s">
        <v>11969</v>
      </c>
      <c r="O363" s="656" t="s">
        <v>9265</v>
      </c>
      <c r="P363" s="33"/>
      <c r="Q363" s="31" t="s">
        <v>11802</v>
      </c>
      <c r="R363" s="2" t="str">
        <f t="array" ref="R363">xlookup($E363,'Bảng tổng hợp 1'!$B:$B,'Bảng tổng hợp 1'!$B:$B,0)</f>
        <v>L04.30.12.03</v>
      </c>
    </row>
    <row r="364" hidden="1">
      <c r="A364" s="30">
        <v>359.0</v>
      </c>
      <c r="B364" s="31" t="s">
        <v>12081</v>
      </c>
      <c r="C364" s="31" t="s">
        <v>3936</v>
      </c>
      <c r="D364" s="31" t="s">
        <v>3937</v>
      </c>
      <c r="E364" s="31" t="str">
        <f t="shared" si="49"/>
        <v>L04.30.12.04</v>
      </c>
      <c r="F364" s="31" t="s">
        <v>11854</v>
      </c>
      <c r="G364" s="34"/>
      <c r="H364" s="34"/>
      <c r="I364" s="34"/>
      <c r="J364" s="31" t="s">
        <v>1012</v>
      </c>
      <c r="K364" s="33"/>
      <c r="L364" s="34"/>
      <c r="M364" s="34"/>
      <c r="N364" s="31" t="s">
        <v>11969</v>
      </c>
      <c r="O364" s="656" t="s">
        <v>9265</v>
      </c>
      <c r="P364" s="33"/>
      <c r="Q364" s="31" t="s">
        <v>11802</v>
      </c>
      <c r="R364" s="2" t="str">
        <f t="array" ref="R364">xlookup($E364,'Bảng tổng hợp 1'!$B:$B,'Bảng tổng hợp 1'!$B:$B,0)</f>
        <v>L04.30.12.04</v>
      </c>
    </row>
    <row r="365" hidden="1">
      <c r="A365" s="30">
        <v>360.0</v>
      </c>
      <c r="B365" s="31" t="s">
        <v>12118</v>
      </c>
      <c r="C365" s="31" t="s">
        <v>3820</v>
      </c>
      <c r="D365" s="31" t="s">
        <v>3821</v>
      </c>
      <c r="E365" s="31" t="str">
        <f t="shared" si="49"/>
        <v>L04.30.12.05</v>
      </c>
      <c r="F365" s="31" t="s">
        <v>11854</v>
      </c>
      <c r="G365" s="34"/>
      <c r="H365" s="34"/>
      <c r="I365" s="34"/>
      <c r="J365" s="31" t="s">
        <v>1012</v>
      </c>
      <c r="K365" s="33"/>
      <c r="L365" s="34"/>
      <c r="M365" s="34"/>
      <c r="N365" s="31" t="s">
        <v>11969</v>
      </c>
      <c r="O365" s="656" t="s">
        <v>9265</v>
      </c>
      <c r="P365" s="33"/>
      <c r="Q365" s="31" t="s">
        <v>11802</v>
      </c>
      <c r="R365" s="2" t="str">
        <f t="array" ref="R365">xlookup($E365,'Bảng tổng hợp 1'!$B:$B,'Bảng tổng hợp 1'!$B:$B,0)</f>
        <v>L04.30.12.05</v>
      </c>
    </row>
    <row r="366" hidden="1">
      <c r="A366" s="30">
        <v>361.0</v>
      </c>
      <c r="B366" s="31" t="s">
        <v>12119</v>
      </c>
      <c r="C366" s="655" t="s">
        <v>315</v>
      </c>
      <c r="D366" s="31" t="s">
        <v>10838</v>
      </c>
      <c r="E366" s="31" t="s">
        <v>10838</v>
      </c>
      <c r="F366" s="31" t="s">
        <v>11844</v>
      </c>
      <c r="G366" s="34"/>
      <c r="H366" s="34"/>
      <c r="I366" s="34"/>
      <c r="J366" s="31" t="s">
        <v>346</v>
      </c>
      <c r="K366" s="33"/>
      <c r="L366" s="31" t="s">
        <v>12120</v>
      </c>
      <c r="M366" s="34"/>
      <c r="N366" s="34"/>
      <c r="O366" s="656" t="s">
        <v>9265</v>
      </c>
      <c r="P366" s="33"/>
      <c r="Q366" s="31" t="s">
        <v>11802</v>
      </c>
      <c r="R366" s="2">
        <f t="array" ref="R366">xlookup($E366,'Bảng tổng hợp 1'!$B:$B,'Bảng tổng hợp 1'!$B:$B,0)</f>
        <v>0</v>
      </c>
    </row>
    <row r="367" hidden="1">
      <c r="A367" s="30">
        <v>362.0</v>
      </c>
      <c r="B367" s="31" t="s">
        <v>12121</v>
      </c>
      <c r="C367" s="31" t="s">
        <v>8332</v>
      </c>
      <c r="D367" s="31" t="s">
        <v>8333</v>
      </c>
      <c r="E367" s="31" t="str">
        <f t="shared" ref="E367:E368" si="50">trim(D367)</f>
        <v>L04.03.01</v>
      </c>
      <c r="F367" s="31" t="s">
        <v>11844</v>
      </c>
      <c r="G367" s="34"/>
      <c r="H367" s="34"/>
      <c r="I367" s="34"/>
      <c r="J367" s="31" t="s">
        <v>315</v>
      </c>
      <c r="K367" s="33"/>
      <c r="L367" s="31" t="s">
        <v>12122</v>
      </c>
      <c r="M367" s="34"/>
      <c r="N367" s="34"/>
      <c r="O367" s="656" t="s">
        <v>9265</v>
      </c>
      <c r="P367" s="33"/>
      <c r="Q367" s="31" t="s">
        <v>11802</v>
      </c>
      <c r="R367" s="2" t="str">
        <f t="array" ref="R367">xlookup($E367,'Bảng tổng hợp 1'!$B:$B,'Bảng tổng hợp 1'!$B:$B,0)</f>
        <v>L04.03.01</v>
      </c>
    </row>
    <row r="368" hidden="1">
      <c r="A368" s="30">
        <v>363.0</v>
      </c>
      <c r="B368" s="31" t="s">
        <v>12123</v>
      </c>
      <c r="C368" s="31" t="s">
        <v>1577</v>
      </c>
      <c r="D368" s="31" t="s">
        <v>3697</v>
      </c>
      <c r="E368" s="31" t="str">
        <f t="shared" si="50"/>
        <v>L04.03.16</v>
      </c>
      <c r="F368" s="31" t="s">
        <v>11844</v>
      </c>
      <c r="G368" s="34"/>
      <c r="H368" s="34"/>
      <c r="I368" s="34"/>
      <c r="J368" s="31" t="s">
        <v>315</v>
      </c>
      <c r="K368" s="33"/>
      <c r="L368" s="34"/>
      <c r="M368" s="34"/>
      <c r="N368" s="34"/>
      <c r="O368" s="656" t="s">
        <v>9265</v>
      </c>
      <c r="P368" s="33"/>
      <c r="Q368" s="31" t="s">
        <v>11802</v>
      </c>
      <c r="R368" s="2" t="str">
        <f t="array" ref="R368">xlookup($E368,'Bảng tổng hợp 1'!$B:$B,'Bảng tổng hợp 1'!$B:$B,0)</f>
        <v>L04.03.16</v>
      </c>
    </row>
    <row r="369" hidden="1">
      <c r="A369" s="30">
        <v>364.0</v>
      </c>
      <c r="B369" s="31" t="s">
        <v>12124</v>
      </c>
      <c r="C369" s="655" t="s">
        <v>2439</v>
      </c>
      <c r="D369" s="31" t="s">
        <v>12125</v>
      </c>
      <c r="E369" s="31" t="s">
        <v>12125</v>
      </c>
      <c r="F369" s="31" t="s">
        <v>11851</v>
      </c>
      <c r="G369" s="34"/>
      <c r="H369" s="34"/>
      <c r="I369" s="34"/>
      <c r="J369" s="31" t="s">
        <v>1577</v>
      </c>
      <c r="K369" s="33"/>
      <c r="L369" s="34"/>
      <c r="M369" s="34"/>
      <c r="N369" s="34"/>
      <c r="O369" s="656" t="s">
        <v>9265</v>
      </c>
      <c r="P369" s="33"/>
      <c r="Q369" s="31" t="s">
        <v>11802</v>
      </c>
      <c r="R369" s="2">
        <f t="array" ref="R369">xlookup($E369,'Bảng tổng hợp 1'!$B:$B,'Bảng tổng hợp 1'!$B:$B,0)</f>
        <v>0</v>
      </c>
    </row>
    <row r="370" hidden="1">
      <c r="A370" s="30">
        <v>365.0</v>
      </c>
      <c r="B370" s="31" t="s">
        <v>12119</v>
      </c>
      <c r="C370" s="31" t="s">
        <v>1598</v>
      </c>
      <c r="D370" s="31" t="s">
        <v>1599</v>
      </c>
      <c r="E370" s="31" t="str">
        <f t="shared" ref="E370:E387" si="51">trim(D370)</f>
        <v>L04.03.16.02</v>
      </c>
      <c r="F370" s="31" t="s">
        <v>11851</v>
      </c>
      <c r="G370" s="34"/>
      <c r="H370" s="34"/>
      <c r="I370" s="34"/>
      <c r="J370" s="31" t="s">
        <v>1577</v>
      </c>
      <c r="K370" s="33"/>
      <c r="L370" s="34"/>
      <c r="M370" s="34"/>
      <c r="N370" s="34"/>
      <c r="O370" s="656" t="s">
        <v>9265</v>
      </c>
      <c r="P370" s="33"/>
      <c r="Q370" s="31" t="s">
        <v>11802</v>
      </c>
      <c r="R370" s="2" t="str">
        <f t="array" ref="R370">xlookup($E370,'Bảng tổng hợp 1'!$B:$B,'Bảng tổng hợp 1'!$B:$B,0)</f>
        <v>L04.03.16.02</v>
      </c>
    </row>
    <row r="371" hidden="1">
      <c r="A371" s="30">
        <v>366.0</v>
      </c>
      <c r="B371" s="31" t="s">
        <v>12119</v>
      </c>
      <c r="C371" s="31" t="s">
        <v>1576</v>
      </c>
      <c r="D371" s="31" t="s">
        <v>1578</v>
      </c>
      <c r="E371" s="31" t="str">
        <f t="shared" si="51"/>
        <v>L04.03.16.03</v>
      </c>
      <c r="F371" s="31" t="s">
        <v>11851</v>
      </c>
      <c r="G371" s="34"/>
      <c r="H371" s="34"/>
      <c r="I371" s="34"/>
      <c r="J371" s="31" t="s">
        <v>1577</v>
      </c>
      <c r="K371" s="33"/>
      <c r="L371" s="34"/>
      <c r="M371" s="34"/>
      <c r="N371" s="34"/>
      <c r="O371" s="656" t="s">
        <v>9265</v>
      </c>
      <c r="P371" s="33"/>
      <c r="Q371" s="31" t="s">
        <v>11802</v>
      </c>
      <c r="R371" s="2" t="str">
        <f t="array" ref="R371">xlookup($E371,'Bảng tổng hợp 1'!$B:$B,'Bảng tổng hợp 1'!$B:$B,0)</f>
        <v>L04.03.16.03</v>
      </c>
    </row>
    <row r="372" hidden="1">
      <c r="A372" s="30">
        <v>367.0</v>
      </c>
      <c r="B372" s="31" t="s">
        <v>12126</v>
      </c>
      <c r="C372" s="31" t="s">
        <v>1487</v>
      </c>
      <c r="D372" s="31" t="s">
        <v>3702</v>
      </c>
      <c r="E372" s="31" t="str">
        <f t="shared" si="51"/>
        <v>L04.03.17</v>
      </c>
      <c r="F372" s="31" t="s">
        <v>11844</v>
      </c>
      <c r="G372" s="34"/>
      <c r="H372" s="34"/>
      <c r="I372" s="34"/>
      <c r="J372" s="31" t="s">
        <v>315</v>
      </c>
      <c r="K372" s="33"/>
      <c r="L372" s="34"/>
      <c r="M372" s="34"/>
      <c r="N372" s="34"/>
      <c r="O372" s="656" t="s">
        <v>9265</v>
      </c>
      <c r="P372" s="33"/>
      <c r="Q372" s="31" t="s">
        <v>11802</v>
      </c>
      <c r="R372" s="2" t="str">
        <f t="array" ref="R372">xlookup($E372,'Bảng tổng hợp 1'!$B:$B,'Bảng tổng hợp 1'!$B:$B,0)</f>
        <v>L04.03.17</v>
      </c>
    </row>
    <row r="373" hidden="1">
      <c r="A373" s="30">
        <v>368.0</v>
      </c>
      <c r="B373" s="31" t="s">
        <v>12119</v>
      </c>
      <c r="C373" s="31" t="s">
        <v>1486</v>
      </c>
      <c r="D373" s="31" t="s">
        <v>1488</v>
      </c>
      <c r="E373" s="31" t="str">
        <f t="shared" si="51"/>
        <v>L04.03.17.01</v>
      </c>
      <c r="F373" s="31" t="s">
        <v>11851</v>
      </c>
      <c r="G373" s="34"/>
      <c r="H373" s="34"/>
      <c r="I373" s="34"/>
      <c r="J373" s="31" t="s">
        <v>1487</v>
      </c>
      <c r="K373" s="33"/>
      <c r="L373" s="34"/>
      <c r="M373" s="34"/>
      <c r="N373" s="34"/>
      <c r="O373" s="656" t="s">
        <v>9265</v>
      </c>
      <c r="P373" s="33"/>
      <c r="Q373" s="31" t="s">
        <v>11802</v>
      </c>
      <c r="R373" s="2" t="str">
        <f t="array" ref="R373">xlookup($E373,'Bảng tổng hợp 1'!$B:$B,'Bảng tổng hợp 1'!$B:$B,0)</f>
        <v>L04.03.17.01</v>
      </c>
    </row>
    <row r="374" hidden="1">
      <c r="A374" s="30">
        <v>369.0</v>
      </c>
      <c r="B374" s="31" t="s">
        <v>12119</v>
      </c>
      <c r="C374" s="31" t="s">
        <v>1507</v>
      </c>
      <c r="D374" s="31" t="s">
        <v>1508</v>
      </c>
      <c r="E374" s="31" t="str">
        <f t="shared" si="51"/>
        <v>L04.03.17.02</v>
      </c>
      <c r="F374" s="31" t="s">
        <v>11851</v>
      </c>
      <c r="G374" s="34"/>
      <c r="H374" s="34"/>
      <c r="I374" s="34"/>
      <c r="J374" s="31" t="s">
        <v>1487</v>
      </c>
      <c r="K374" s="33"/>
      <c r="L374" s="34"/>
      <c r="M374" s="34"/>
      <c r="N374" s="34"/>
      <c r="O374" s="656" t="s">
        <v>9265</v>
      </c>
      <c r="P374" s="33"/>
      <c r="Q374" s="31" t="s">
        <v>11802</v>
      </c>
      <c r="R374" s="2" t="str">
        <f t="array" ref="R374">xlookup($E374,'Bảng tổng hợp 1'!$B:$B,'Bảng tổng hợp 1'!$B:$B,0)</f>
        <v>L04.03.17.02</v>
      </c>
    </row>
    <row r="375" hidden="1">
      <c r="A375" s="30">
        <v>370.0</v>
      </c>
      <c r="B375" s="31" t="s">
        <v>12127</v>
      </c>
      <c r="C375" s="31" t="s">
        <v>316</v>
      </c>
      <c r="D375" s="31" t="s">
        <v>3971</v>
      </c>
      <c r="E375" s="31" t="str">
        <f t="shared" si="51"/>
        <v>L04.03.18</v>
      </c>
      <c r="F375" s="31" t="s">
        <v>11844</v>
      </c>
      <c r="G375" s="34"/>
      <c r="H375" s="34"/>
      <c r="I375" s="34"/>
      <c r="J375" s="31" t="s">
        <v>315</v>
      </c>
      <c r="K375" s="33"/>
      <c r="L375" s="34"/>
      <c r="M375" s="34"/>
      <c r="N375" s="34"/>
      <c r="O375" s="656" t="s">
        <v>9265</v>
      </c>
      <c r="P375" s="33"/>
      <c r="Q375" s="31" t="s">
        <v>11802</v>
      </c>
      <c r="R375" s="2" t="str">
        <f t="array" ref="R375">xlookup($E375,'Bảng tổng hợp 1'!$B:$B,'Bảng tổng hợp 1'!$B:$B,0)</f>
        <v>L04.03.18</v>
      </c>
    </row>
    <row r="376" hidden="1">
      <c r="A376" s="30">
        <v>371.0</v>
      </c>
      <c r="B376" s="31" t="s">
        <v>12119</v>
      </c>
      <c r="C376" s="31" t="s">
        <v>314</v>
      </c>
      <c r="D376" s="31" t="s">
        <v>1530</v>
      </c>
      <c r="E376" s="31" t="str">
        <f t="shared" si="51"/>
        <v>L04.03.18.01</v>
      </c>
      <c r="F376" s="31" t="s">
        <v>11851</v>
      </c>
      <c r="G376" s="34"/>
      <c r="H376" s="34"/>
      <c r="I376" s="34"/>
      <c r="J376" s="31" t="s">
        <v>316</v>
      </c>
      <c r="K376" s="33"/>
      <c r="L376" s="34"/>
      <c r="M376" s="34"/>
      <c r="N376" s="34"/>
      <c r="O376" s="656" t="s">
        <v>9265</v>
      </c>
      <c r="P376" s="33"/>
      <c r="Q376" s="31" t="s">
        <v>11802</v>
      </c>
      <c r="R376" s="2" t="str">
        <f t="array" ref="R376">xlookup($E376,'Bảng tổng hợp 1'!$B:$B,'Bảng tổng hợp 1'!$B:$B,0)</f>
        <v>L04.03.18.01</v>
      </c>
    </row>
    <row r="377" hidden="1">
      <c r="A377" s="30">
        <v>372.0</v>
      </c>
      <c r="B377" s="31" t="s">
        <v>12119</v>
      </c>
      <c r="C377" s="31" t="s">
        <v>1501</v>
      </c>
      <c r="D377" s="31" t="s">
        <v>1502</v>
      </c>
      <c r="E377" s="31" t="str">
        <f t="shared" si="51"/>
        <v>L04.03.18.02</v>
      </c>
      <c r="F377" s="31" t="s">
        <v>11851</v>
      </c>
      <c r="G377" s="34"/>
      <c r="H377" s="34"/>
      <c r="I377" s="34"/>
      <c r="J377" s="31" t="s">
        <v>316</v>
      </c>
      <c r="K377" s="33"/>
      <c r="L377" s="34"/>
      <c r="M377" s="34"/>
      <c r="N377" s="34"/>
      <c r="O377" s="656" t="s">
        <v>9265</v>
      </c>
      <c r="P377" s="33"/>
      <c r="Q377" s="31" t="s">
        <v>11802</v>
      </c>
      <c r="R377" s="2" t="str">
        <f t="array" ref="R377">xlookup($E377,'Bảng tổng hợp 1'!$B:$B,'Bảng tổng hợp 1'!$B:$B,0)</f>
        <v>L04.03.18.02</v>
      </c>
    </row>
    <row r="378" hidden="1">
      <c r="A378" s="30">
        <v>373.0</v>
      </c>
      <c r="B378" s="31" t="s">
        <v>12128</v>
      </c>
      <c r="C378" s="31" t="s">
        <v>1493</v>
      </c>
      <c r="D378" s="31" t="s">
        <v>1536</v>
      </c>
      <c r="E378" s="31" t="str">
        <f t="shared" si="51"/>
        <v>L04.03.19</v>
      </c>
      <c r="F378" s="31" t="s">
        <v>11844</v>
      </c>
      <c r="G378" s="34"/>
      <c r="H378" s="34"/>
      <c r="I378" s="34"/>
      <c r="J378" s="31" t="s">
        <v>315</v>
      </c>
      <c r="K378" s="33"/>
      <c r="L378" s="34"/>
      <c r="M378" s="34"/>
      <c r="N378" s="34"/>
      <c r="O378" s="656" t="s">
        <v>9265</v>
      </c>
      <c r="P378" s="33"/>
      <c r="Q378" s="31" t="s">
        <v>11802</v>
      </c>
      <c r="R378" s="2" t="str">
        <f t="array" ref="R378">xlookup($E378,'Bảng tổng hợp 1'!$B:$B,'Bảng tổng hợp 1'!$B:$B,0)</f>
        <v>L04.03.19</v>
      </c>
    </row>
    <row r="379" hidden="1">
      <c r="A379" s="30">
        <v>374.0</v>
      </c>
      <c r="B379" s="31" t="s">
        <v>12119</v>
      </c>
      <c r="C379" s="31" t="s">
        <v>1564</v>
      </c>
      <c r="D379" s="31" t="s">
        <v>1565</v>
      </c>
      <c r="E379" s="31" t="str">
        <f t="shared" si="51"/>
        <v>L04.03.19.01</v>
      </c>
      <c r="F379" s="31" t="s">
        <v>11851</v>
      </c>
      <c r="G379" s="34"/>
      <c r="H379" s="34"/>
      <c r="I379" s="34"/>
      <c r="J379" s="31" t="s">
        <v>1493</v>
      </c>
      <c r="K379" s="33"/>
      <c r="L379" s="34"/>
      <c r="M379" s="34"/>
      <c r="N379" s="34"/>
      <c r="O379" s="656" t="s">
        <v>9265</v>
      </c>
      <c r="P379" s="33"/>
      <c r="Q379" s="31" t="s">
        <v>11802</v>
      </c>
      <c r="R379" s="2" t="str">
        <f t="array" ref="R379">xlookup($E379,'Bảng tổng hợp 1'!$B:$B,'Bảng tổng hợp 1'!$B:$B,0)</f>
        <v>L04.03.19.01</v>
      </c>
    </row>
    <row r="380" hidden="1">
      <c r="A380" s="30">
        <v>375.0</v>
      </c>
      <c r="B380" s="31" t="s">
        <v>12119</v>
      </c>
      <c r="C380" s="31" t="s">
        <v>1525</v>
      </c>
      <c r="D380" s="31" t="s">
        <v>1526</v>
      </c>
      <c r="E380" s="31" t="str">
        <f t="shared" si="51"/>
        <v>L04.03.19.02</v>
      </c>
      <c r="F380" s="31" t="s">
        <v>11851</v>
      </c>
      <c r="G380" s="34"/>
      <c r="H380" s="34"/>
      <c r="I380" s="34"/>
      <c r="J380" s="31" t="s">
        <v>1493</v>
      </c>
      <c r="K380" s="33"/>
      <c r="L380" s="34"/>
      <c r="M380" s="34"/>
      <c r="N380" s="34"/>
      <c r="O380" s="656" t="s">
        <v>9265</v>
      </c>
      <c r="P380" s="33"/>
      <c r="Q380" s="31" t="s">
        <v>11802</v>
      </c>
      <c r="R380" s="2" t="str">
        <f t="array" ref="R380">xlookup($E380,'Bảng tổng hợp 1'!$B:$B,'Bảng tổng hợp 1'!$B:$B,0)</f>
        <v>L04.03.19.02</v>
      </c>
    </row>
    <row r="381" hidden="1">
      <c r="A381" s="30">
        <v>376.0</v>
      </c>
      <c r="B381" s="31" t="s">
        <v>12119</v>
      </c>
      <c r="C381" s="31" t="s">
        <v>1492</v>
      </c>
      <c r="D381" s="31" t="s">
        <v>1494</v>
      </c>
      <c r="E381" s="31" t="str">
        <f t="shared" si="51"/>
        <v>L04.03.19.03</v>
      </c>
      <c r="F381" s="31" t="s">
        <v>11854</v>
      </c>
      <c r="G381" s="34"/>
      <c r="H381" s="34"/>
      <c r="I381" s="34"/>
      <c r="J381" s="31" t="s">
        <v>1493</v>
      </c>
      <c r="K381" s="33"/>
      <c r="L381" s="34"/>
      <c r="M381" s="34"/>
      <c r="N381" s="31" t="s">
        <v>11969</v>
      </c>
      <c r="O381" s="656" t="s">
        <v>9265</v>
      </c>
      <c r="P381" s="33"/>
      <c r="Q381" s="31" t="s">
        <v>11802</v>
      </c>
      <c r="R381" s="2" t="str">
        <f t="array" ref="R381">xlookup($E381,'Bảng tổng hợp 1'!$B:$B,'Bảng tổng hợp 1'!$B:$B,0)</f>
        <v>L04.03.19.03</v>
      </c>
    </row>
    <row r="382" hidden="1">
      <c r="A382" s="30">
        <v>377.0</v>
      </c>
      <c r="B382" s="31" t="s">
        <v>12129</v>
      </c>
      <c r="C382" s="31" t="s">
        <v>1366</v>
      </c>
      <c r="D382" s="31" t="s">
        <v>1550</v>
      </c>
      <c r="E382" s="31" t="str">
        <f t="shared" si="51"/>
        <v>L04.03.20</v>
      </c>
      <c r="F382" s="31" t="s">
        <v>11844</v>
      </c>
      <c r="G382" s="34"/>
      <c r="H382" s="34"/>
      <c r="I382" s="34"/>
      <c r="J382" s="31" t="s">
        <v>315</v>
      </c>
      <c r="K382" s="33"/>
      <c r="L382" s="34"/>
      <c r="M382" s="34"/>
      <c r="N382" s="31" t="s">
        <v>11918</v>
      </c>
      <c r="O382" s="656" t="s">
        <v>9265</v>
      </c>
      <c r="P382" s="33"/>
      <c r="Q382" s="31" t="s">
        <v>11802</v>
      </c>
      <c r="R382" s="2" t="str">
        <f t="array" ref="R382">xlookup($E382,'Bảng tổng hợp 1'!$B:$B,'Bảng tổng hợp 1'!$B:$B,0)</f>
        <v>L04.03.20</v>
      </c>
    </row>
    <row r="383" hidden="1">
      <c r="A383" s="30">
        <v>378.0</v>
      </c>
      <c r="B383" s="31" t="s">
        <v>12130</v>
      </c>
      <c r="C383" s="31" t="s">
        <v>1395</v>
      </c>
      <c r="D383" s="31" t="s">
        <v>1396</v>
      </c>
      <c r="E383" s="31" t="str">
        <f t="shared" si="51"/>
        <v>L04.03.20.01</v>
      </c>
      <c r="F383" s="31" t="s">
        <v>11851</v>
      </c>
      <c r="G383" s="34"/>
      <c r="H383" s="34"/>
      <c r="I383" s="34"/>
      <c r="J383" s="31" t="s">
        <v>1366</v>
      </c>
      <c r="K383" s="33"/>
      <c r="L383" s="34"/>
      <c r="M383" s="34"/>
      <c r="N383" s="31" t="s">
        <v>11918</v>
      </c>
      <c r="O383" s="656" t="s">
        <v>9265</v>
      </c>
      <c r="P383" s="33"/>
      <c r="Q383" s="31" t="s">
        <v>11802</v>
      </c>
      <c r="R383" s="2" t="str">
        <f t="array" ref="R383">xlookup($E383,'Bảng tổng hợp 1'!$B:$B,'Bảng tổng hợp 1'!$B:$B,0)</f>
        <v>L04.03.20.01</v>
      </c>
    </row>
    <row r="384" hidden="1">
      <c r="A384" s="30">
        <v>379.0</v>
      </c>
      <c r="B384" s="31" t="s">
        <v>12131</v>
      </c>
      <c r="C384" s="31" t="s">
        <v>1365</v>
      </c>
      <c r="D384" s="31" t="s">
        <v>1367</v>
      </c>
      <c r="E384" s="31" t="str">
        <f t="shared" si="51"/>
        <v>L04.03.20.02</v>
      </c>
      <c r="F384" s="31" t="s">
        <v>11851</v>
      </c>
      <c r="G384" s="34"/>
      <c r="H384" s="34"/>
      <c r="I384" s="34"/>
      <c r="J384" s="31" t="s">
        <v>1366</v>
      </c>
      <c r="K384" s="33"/>
      <c r="L384" s="34"/>
      <c r="M384" s="34"/>
      <c r="N384" s="31" t="s">
        <v>11918</v>
      </c>
      <c r="O384" s="656" t="s">
        <v>9265</v>
      </c>
      <c r="P384" s="33"/>
      <c r="Q384" s="31" t="s">
        <v>11802</v>
      </c>
      <c r="R384" s="2" t="str">
        <f t="array" ref="R384">xlookup($E384,'Bảng tổng hợp 1'!$B:$B,'Bảng tổng hợp 1'!$B:$B,0)</f>
        <v>L04.03.20.02</v>
      </c>
    </row>
    <row r="385" hidden="1">
      <c r="A385" s="30">
        <v>380.0</v>
      </c>
      <c r="B385" s="31" t="s">
        <v>12132</v>
      </c>
      <c r="C385" s="31" t="s">
        <v>1221</v>
      </c>
      <c r="D385" s="31" t="s">
        <v>1318</v>
      </c>
      <c r="E385" s="31" t="str">
        <f t="shared" si="51"/>
        <v>L04.03.21</v>
      </c>
      <c r="F385" s="31" t="s">
        <v>11844</v>
      </c>
      <c r="G385" s="34"/>
      <c r="H385" s="34"/>
      <c r="I385" s="34"/>
      <c r="J385" s="31" t="s">
        <v>315</v>
      </c>
      <c r="K385" s="33"/>
      <c r="L385" s="34"/>
      <c r="M385" s="34"/>
      <c r="N385" s="31" t="s">
        <v>11918</v>
      </c>
      <c r="O385" s="656" t="s">
        <v>9265</v>
      </c>
      <c r="P385" s="33"/>
      <c r="Q385" s="31" t="s">
        <v>11802</v>
      </c>
      <c r="R385" s="2" t="str">
        <f t="array" ref="R385">xlookup($E385,'Bảng tổng hợp 1'!$B:$B,'Bảng tổng hợp 1'!$B:$B,0)</f>
        <v>L04.03.21</v>
      </c>
    </row>
    <row r="386" hidden="1">
      <c r="A386" s="30">
        <v>381.0</v>
      </c>
      <c r="B386" s="31" t="s">
        <v>12133</v>
      </c>
      <c r="C386" s="31" t="s">
        <v>1323</v>
      </c>
      <c r="D386" s="31" t="s">
        <v>1324</v>
      </c>
      <c r="E386" s="31" t="str">
        <f t="shared" si="51"/>
        <v>L04.03.21.01</v>
      </c>
      <c r="F386" s="31" t="s">
        <v>11851</v>
      </c>
      <c r="G386" s="34"/>
      <c r="H386" s="34"/>
      <c r="I386" s="34"/>
      <c r="J386" s="31" t="s">
        <v>1221</v>
      </c>
      <c r="K386" s="33"/>
      <c r="L386" s="34"/>
      <c r="M386" s="34"/>
      <c r="N386" s="31" t="s">
        <v>11918</v>
      </c>
      <c r="O386" s="656" t="s">
        <v>9265</v>
      </c>
      <c r="P386" s="33"/>
      <c r="Q386" s="31" t="s">
        <v>11802</v>
      </c>
      <c r="R386" s="2" t="str">
        <f t="array" ref="R386">xlookup($E386,'Bảng tổng hợp 1'!$B:$B,'Bảng tổng hợp 1'!$B:$B,0)</f>
        <v>L04.03.21.01</v>
      </c>
    </row>
    <row r="387" hidden="1">
      <c r="A387" s="30">
        <v>382.0</v>
      </c>
      <c r="B387" s="31" t="s">
        <v>12134</v>
      </c>
      <c r="C387" s="31" t="s">
        <v>1220</v>
      </c>
      <c r="D387" s="31" t="s">
        <v>1222</v>
      </c>
      <c r="E387" s="31" t="str">
        <f t="shared" si="51"/>
        <v>L04.03.21.02</v>
      </c>
      <c r="F387" s="31" t="s">
        <v>11851</v>
      </c>
      <c r="G387" s="34"/>
      <c r="H387" s="34"/>
      <c r="I387" s="34"/>
      <c r="J387" s="31" t="s">
        <v>1221</v>
      </c>
      <c r="K387" s="33"/>
      <c r="L387" s="34"/>
      <c r="M387" s="34"/>
      <c r="N387" s="31" t="s">
        <v>11918</v>
      </c>
      <c r="O387" s="656" t="s">
        <v>9265</v>
      </c>
      <c r="P387" s="33"/>
      <c r="Q387" s="31" t="s">
        <v>11802</v>
      </c>
      <c r="R387" s="2" t="str">
        <f t="array" ref="R387">xlookup($E387,'Bảng tổng hợp 1'!$B:$B,'Bảng tổng hợp 1'!$B:$B,0)</f>
        <v>L04.03.21.02</v>
      </c>
    </row>
    <row r="388" hidden="1">
      <c r="A388" s="30">
        <v>383.0</v>
      </c>
      <c r="B388" s="31" t="s">
        <v>12135</v>
      </c>
      <c r="C388" s="655" t="s">
        <v>93</v>
      </c>
      <c r="D388" s="31" t="s">
        <v>10924</v>
      </c>
      <c r="E388" s="31" t="s">
        <v>10924</v>
      </c>
      <c r="F388" s="31" t="s">
        <v>11850</v>
      </c>
      <c r="G388" s="34"/>
      <c r="H388" s="34"/>
      <c r="I388" s="34"/>
      <c r="J388" s="31" t="s">
        <v>346</v>
      </c>
      <c r="K388" s="33"/>
      <c r="L388" s="34"/>
      <c r="M388" s="34"/>
      <c r="N388" s="34"/>
      <c r="O388" s="656" t="s">
        <v>9265</v>
      </c>
      <c r="P388" s="33"/>
      <c r="Q388" s="31" t="s">
        <v>11802</v>
      </c>
      <c r="R388" s="2">
        <f t="array" ref="R388">xlookup($E388,'Bảng tổng hợp 1'!$B:$B,'Bảng tổng hợp 1'!$B:$B,0)</f>
        <v>0</v>
      </c>
    </row>
    <row r="389" hidden="1">
      <c r="A389" s="30">
        <v>384.0</v>
      </c>
      <c r="B389" s="31" t="s">
        <v>12135</v>
      </c>
      <c r="C389" s="31" t="s">
        <v>94</v>
      </c>
      <c r="D389" s="31" t="s">
        <v>1626</v>
      </c>
      <c r="E389" s="31" t="str">
        <f>trim(D389)</f>
        <v>L04.32.00</v>
      </c>
      <c r="F389" s="31" t="s">
        <v>11844</v>
      </c>
      <c r="G389" s="34"/>
      <c r="H389" s="34"/>
      <c r="I389" s="34"/>
      <c r="J389" s="31" t="s">
        <v>93</v>
      </c>
      <c r="K389" s="33"/>
      <c r="L389" s="34"/>
      <c r="M389" s="34"/>
      <c r="N389" s="34"/>
      <c r="O389" s="656" t="s">
        <v>9265</v>
      </c>
      <c r="P389" s="33"/>
      <c r="Q389" s="31" t="s">
        <v>11802</v>
      </c>
      <c r="R389" s="2" t="str">
        <f t="array" ref="R389">xlookup($E389,'Bảng tổng hợp 1'!$B:$B,'Bảng tổng hợp 1'!$B:$B,0)</f>
        <v>L04.32.00</v>
      </c>
    </row>
    <row r="390" hidden="1">
      <c r="A390" s="30">
        <v>385.0</v>
      </c>
      <c r="B390" s="31" t="s">
        <v>12136</v>
      </c>
      <c r="C390" s="655" t="s">
        <v>903</v>
      </c>
      <c r="D390" s="31" t="s">
        <v>10930</v>
      </c>
      <c r="E390" s="31" t="s">
        <v>10930</v>
      </c>
      <c r="F390" s="31" t="s">
        <v>11844</v>
      </c>
      <c r="G390" s="34"/>
      <c r="H390" s="34"/>
      <c r="I390" s="34"/>
      <c r="J390" s="31" t="s">
        <v>93</v>
      </c>
      <c r="K390" s="33"/>
      <c r="L390" s="34"/>
      <c r="M390" s="34"/>
      <c r="N390" s="34"/>
      <c r="O390" s="656" t="s">
        <v>9265</v>
      </c>
      <c r="P390" s="33"/>
      <c r="Q390" s="31" t="s">
        <v>11802</v>
      </c>
      <c r="R390" s="2">
        <f t="array" ref="R390">xlookup($E390,'Bảng tổng hợp 1'!$B:$B,'Bảng tổng hợp 1'!$B:$B,0)</f>
        <v>0</v>
      </c>
    </row>
    <row r="391" hidden="1">
      <c r="A391" s="30">
        <v>386.0</v>
      </c>
      <c r="B391" s="31" t="s">
        <v>12135</v>
      </c>
      <c r="C391" s="31" t="s">
        <v>902</v>
      </c>
      <c r="D391" s="31" t="s">
        <v>904</v>
      </c>
      <c r="E391" s="31" t="str">
        <f>trim(D391)</f>
        <v>L04.32.01.01</v>
      </c>
      <c r="F391" s="31" t="s">
        <v>11844</v>
      </c>
      <c r="G391" s="34"/>
      <c r="H391" s="34"/>
      <c r="I391" s="34"/>
      <c r="J391" s="31" t="s">
        <v>903</v>
      </c>
      <c r="K391" s="33"/>
      <c r="L391" s="34"/>
      <c r="M391" s="34"/>
      <c r="N391" s="34"/>
      <c r="O391" s="656" t="s">
        <v>9265</v>
      </c>
      <c r="P391" s="33"/>
      <c r="Q391" s="31" t="s">
        <v>11802</v>
      </c>
      <c r="R391" s="2" t="str">
        <f t="array" ref="R391">xlookup($E391,'Bảng tổng hợp 1'!$B:$B,'Bảng tổng hợp 1'!$B:$B,0)</f>
        <v>L04.32.01.01</v>
      </c>
    </row>
    <row r="392" hidden="1">
      <c r="A392" s="30">
        <v>387.0</v>
      </c>
      <c r="B392" s="31" t="s">
        <v>12135</v>
      </c>
      <c r="C392" s="655" t="s">
        <v>1991</v>
      </c>
      <c r="D392" s="31" t="s">
        <v>12137</v>
      </c>
      <c r="E392" s="31" t="s">
        <v>12137</v>
      </c>
      <c r="F392" s="31" t="s">
        <v>11844</v>
      </c>
      <c r="G392" s="34"/>
      <c r="H392" s="34"/>
      <c r="I392" s="34"/>
      <c r="J392" s="31" t="s">
        <v>903</v>
      </c>
      <c r="K392" s="33"/>
      <c r="L392" s="34"/>
      <c r="M392" s="34"/>
      <c r="N392" s="34"/>
      <c r="O392" s="656" t="s">
        <v>9265</v>
      </c>
      <c r="P392" s="33"/>
      <c r="Q392" s="31" t="s">
        <v>11802</v>
      </c>
      <c r="R392" s="2">
        <f t="array" ref="R392">xlookup($E392,'Bảng tổng hợp 1'!$B:$B,'Bảng tổng hợp 1'!$B:$B,0)</f>
        <v>0</v>
      </c>
    </row>
    <row r="393" hidden="1">
      <c r="A393" s="30">
        <v>388.0</v>
      </c>
      <c r="B393" s="31" t="s">
        <v>12135</v>
      </c>
      <c r="C393" s="31" t="s">
        <v>914</v>
      </c>
      <c r="D393" s="31" t="s">
        <v>915</v>
      </c>
      <c r="E393" s="31" t="str">
        <f>trim(D393)</f>
        <v>L04.32.01.03</v>
      </c>
      <c r="F393" s="31" t="s">
        <v>11844</v>
      </c>
      <c r="G393" s="34"/>
      <c r="H393" s="34"/>
      <c r="I393" s="34"/>
      <c r="J393" s="31" t="s">
        <v>903</v>
      </c>
      <c r="K393" s="33"/>
      <c r="L393" s="34"/>
      <c r="M393" s="34"/>
      <c r="N393" s="34"/>
      <c r="O393" s="656" t="s">
        <v>9265</v>
      </c>
      <c r="P393" s="33"/>
      <c r="Q393" s="31" t="s">
        <v>11802</v>
      </c>
      <c r="R393" s="2" t="str">
        <f t="array" ref="R393">xlookup($E393,'Bảng tổng hợp 1'!$B:$B,'Bảng tổng hợp 1'!$B:$B,0)</f>
        <v>L04.32.01.03</v>
      </c>
    </row>
    <row r="394" hidden="1">
      <c r="A394" s="30">
        <v>389.0</v>
      </c>
      <c r="B394" s="31" t="s">
        <v>12135</v>
      </c>
      <c r="C394" s="655" t="s">
        <v>12138</v>
      </c>
      <c r="D394" s="31" t="s">
        <v>12139</v>
      </c>
      <c r="E394" s="31" t="s">
        <v>12139</v>
      </c>
      <c r="F394" s="31" t="s">
        <v>11844</v>
      </c>
      <c r="G394" s="34"/>
      <c r="H394" s="34"/>
      <c r="I394" s="34"/>
      <c r="J394" s="31" t="s">
        <v>903</v>
      </c>
      <c r="K394" s="33"/>
      <c r="L394" s="34"/>
      <c r="M394" s="34"/>
      <c r="N394" s="31" t="s">
        <v>11969</v>
      </c>
      <c r="O394" s="656" t="s">
        <v>9265</v>
      </c>
      <c r="P394" s="33"/>
      <c r="Q394" s="31" t="s">
        <v>11802</v>
      </c>
      <c r="R394" s="2">
        <f t="array" ref="R394">xlookup($E394,'Bảng tổng hợp 1'!$B:$B,'Bảng tổng hợp 1'!$B:$B,0)</f>
        <v>0</v>
      </c>
    </row>
    <row r="395" hidden="1">
      <c r="A395" s="30">
        <v>390.0</v>
      </c>
      <c r="B395" s="31" t="s">
        <v>12140</v>
      </c>
      <c r="C395" s="655" t="s">
        <v>366</v>
      </c>
      <c r="D395" s="31" t="s">
        <v>10936</v>
      </c>
      <c r="E395" s="31" t="s">
        <v>10936</v>
      </c>
      <c r="F395" s="31" t="s">
        <v>11844</v>
      </c>
      <c r="G395" s="34"/>
      <c r="H395" s="34"/>
      <c r="I395" s="34"/>
      <c r="J395" s="31" t="s">
        <v>93</v>
      </c>
      <c r="K395" s="33"/>
      <c r="L395" s="34"/>
      <c r="M395" s="34"/>
      <c r="N395" s="34"/>
      <c r="O395" s="656" t="s">
        <v>9265</v>
      </c>
      <c r="P395" s="33"/>
      <c r="Q395" s="31" t="s">
        <v>11802</v>
      </c>
      <c r="R395" s="2">
        <f t="array" ref="R395">xlookup($E395,'Bảng tổng hợp 1'!$B:$B,'Bảng tổng hợp 1'!$B:$B,0)</f>
        <v>0</v>
      </c>
    </row>
    <row r="396" hidden="1">
      <c r="A396" s="30">
        <v>391.0</v>
      </c>
      <c r="B396" s="31" t="s">
        <v>12135</v>
      </c>
      <c r="C396" s="31" t="s">
        <v>365</v>
      </c>
      <c r="D396" s="31" t="s">
        <v>367</v>
      </c>
      <c r="E396" s="31" t="str">
        <f t="shared" ref="E396:E399" si="52">trim(D396)</f>
        <v>L04.32.02.01</v>
      </c>
      <c r="F396" s="31" t="s">
        <v>11844</v>
      </c>
      <c r="G396" s="34"/>
      <c r="H396" s="34"/>
      <c r="I396" s="34"/>
      <c r="J396" s="31" t="s">
        <v>366</v>
      </c>
      <c r="K396" s="33"/>
      <c r="L396" s="34"/>
      <c r="M396" s="34"/>
      <c r="N396" s="34"/>
      <c r="O396" s="656" t="s">
        <v>9265</v>
      </c>
      <c r="P396" s="33"/>
      <c r="Q396" s="31" t="s">
        <v>11802</v>
      </c>
      <c r="R396" s="2" t="str">
        <f t="array" ref="R396">xlookup($E396,'Bảng tổng hợp 1'!$B:$B,'Bảng tổng hợp 1'!$B:$B,0)</f>
        <v>L04.32.02.01</v>
      </c>
    </row>
    <row r="397" hidden="1">
      <c r="A397" s="30">
        <v>392.0</v>
      </c>
      <c r="B397" s="31" t="s">
        <v>12135</v>
      </c>
      <c r="C397" s="31" t="s">
        <v>972</v>
      </c>
      <c r="D397" s="31" t="s">
        <v>973</v>
      </c>
      <c r="E397" s="31" t="str">
        <f t="shared" si="52"/>
        <v>L04.32.02.02</v>
      </c>
      <c r="F397" s="31" t="s">
        <v>11844</v>
      </c>
      <c r="G397" s="34"/>
      <c r="H397" s="34"/>
      <c r="I397" s="34"/>
      <c r="J397" s="31" t="s">
        <v>366</v>
      </c>
      <c r="K397" s="33"/>
      <c r="L397" s="34"/>
      <c r="M397" s="34"/>
      <c r="N397" s="34"/>
      <c r="O397" s="656" t="s">
        <v>9265</v>
      </c>
      <c r="P397" s="33"/>
      <c r="Q397" s="31" t="s">
        <v>11802</v>
      </c>
      <c r="R397" s="2" t="str">
        <f t="array" ref="R397">xlookup($E397,'Bảng tổng hợp 1'!$B:$B,'Bảng tổng hợp 1'!$B:$B,0)</f>
        <v>L04.32.02.02</v>
      </c>
    </row>
    <row r="398" hidden="1">
      <c r="A398" s="30">
        <v>393.0</v>
      </c>
      <c r="B398" s="31" t="s">
        <v>12135</v>
      </c>
      <c r="C398" s="31" t="s">
        <v>889</v>
      </c>
      <c r="D398" s="31" t="s">
        <v>890</v>
      </c>
      <c r="E398" s="31" t="str">
        <f t="shared" si="52"/>
        <v>L04.32.04</v>
      </c>
      <c r="F398" s="31" t="s">
        <v>11844</v>
      </c>
      <c r="G398" s="34"/>
      <c r="H398" s="34"/>
      <c r="I398" s="34"/>
      <c r="J398" s="31" t="s">
        <v>93</v>
      </c>
      <c r="K398" s="33"/>
      <c r="L398" s="34"/>
      <c r="M398" s="34"/>
      <c r="N398" s="31" t="s">
        <v>11969</v>
      </c>
      <c r="O398" s="656" t="s">
        <v>9265</v>
      </c>
      <c r="P398" s="33"/>
      <c r="Q398" s="31" t="s">
        <v>11802</v>
      </c>
      <c r="R398" s="2" t="str">
        <f t="array" ref="R398">xlookup($E398,'Bảng tổng hợp 1'!$B:$B,'Bảng tổng hợp 1'!$B:$B,0)</f>
        <v>L04.32.04</v>
      </c>
    </row>
    <row r="399" hidden="1">
      <c r="A399" s="30">
        <v>394.0</v>
      </c>
      <c r="B399" s="31" t="s">
        <v>12141</v>
      </c>
      <c r="C399" s="31" t="s">
        <v>153</v>
      </c>
      <c r="D399" s="31" t="s">
        <v>958</v>
      </c>
      <c r="E399" s="31" t="str">
        <f t="shared" si="52"/>
        <v>L04.32.05</v>
      </c>
      <c r="F399" s="31" t="s">
        <v>11851</v>
      </c>
      <c r="G399" s="34"/>
      <c r="H399" s="34"/>
      <c r="I399" s="34"/>
      <c r="J399" s="31" t="s">
        <v>93</v>
      </c>
      <c r="K399" s="33"/>
      <c r="L399" s="34"/>
      <c r="M399" s="34"/>
      <c r="N399" s="31" t="s">
        <v>11918</v>
      </c>
      <c r="O399" s="656" t="s">
        <v>9265</v>
      </c>
      <c r="P399" s="33"/>
      <c r="Q399" s="31" t="s">
        <v>11802</v>
      </c>
      <c r="R399" s="2" t="str">
        <f t="array" ref="R399">xlookup($E399,'Bảng tổng hợp 1'!$B:$B,'Bảng tổng hợp 1'!$B:$B,0)</f>
        <v>L04.32.05</v>
      </c>
    </row>
    <row r="400" hidden="1">
      <c r="A400" s="30">
        <v>395.0</v>
      </c>
      <c r="B400" s="31" t="s">
        <v>12142</v>
      </c>
      <c r="C400" s="655" t="s">
        <v>263</v>
      </c>
      <c r="D400" s="31" t="s">
        <v>11021</v>
      </c>
      <c r="E400" s="31" t="s">
        <v>11021</v>
      </c>
      <c r="F400" s="31" t="s">
        <v>11850</v>
      </c>
      <c r="G400" s="34"/>
      <c r="H400" s="34"/>
      <c r="I400" s="34"/>
      <c r="J400" s="31" t="s">
        <v>346</v>
      </c>
      <c r="K400" s="33"/>
      <c r="L400" s="34"/>
      <c r="M400" s="34"/>
      <c r="N400" s="34"/>
      <c r="O400" s="656" t="s">
        <v>9265</v>
      </c>
      <c r="P400" s="33"/>
      <c r="Q400" s="31" t="s">
        <v>11802</v>
      </c>
      <c r="R400" s="2">
        <f t="array" ref="R400">xlookup($E400,'Bảng tổng hợp 1'!$B:$B,'Bảng tổng hợp 1'!$B:$B,0)</f>
        <v>0</v>
      </c>
    </row>
    <row r="401" hidden="1">
      <c r="A401" s="30">
        <v>396.0</v>
      </c>
      <c r="B401" s="31" t="s">
        <v>12143</v>
      </c>
      <c r="C401" s="31" t="s">
        <v>122</v>
      </c>
      <c r="D401" s="31" t="s">
        <v>2663</v>
      </c>
      <c r="E401" s="31" t="str">
        <f>trim(D401)</f>
        <v>L04.33.01</v>
      </c>
      <c r="F401" s="31" t="s">
        <v>11844</v>
      </c>
      <c r="G401" s="34"/>
      <c r="H401" s="34"/>
      <c r="I401" s="34"/>
      <c r="J401" s="31" t="s">
        <v>263</v>
      </c>
      <c r="K401" s="33"/>
      <c r="L401" s="34"/>
      <c r="M401" s="34"/>
      <c r="N401" s="34"/>
      <c r="O401" s="656" t="s">
        <v>9265</v>
      </c>
      <c r="P401" s="33"/>
      <c r="Q401" s="31" t="s">
        <v>11802</v>
      </c>
      <c r="R401" s="2" t="str">
        <f t="array" ref="R401">xlookup($E401,'Bảng tổng hợp 1'!$B:$B,'Bảng tổng hợp 1'!$B:$B,0)</f>
        <v>L04.33.01</v>
      </c>
    </row>
    <row r="402" hidden="1">
      <c r="A402" s="30">
        <v>397.0</v>
      </c>
      <c r="B402" s="31" t="s">
        <v>12144</v>
      </c>
      <c r="C402" s="655" t="s">
        <v>12145</v>
      </c>
      <c r="D402" s="31" t="s">
        <v>12146</v>
      </c>
      <c r="E402" s="31" t="s">
        <v>12146</v>
      </c>
      <c r="F402" s="31" t="s">
        <v>11844</v>
      </c>
      <c r="G402" s="34"/>
      <c r="H402" s="34"/>
      <c r="I402" s="34"/>
      <c r="J402" s="31" t="s">
        <v>263</v>
      </c>
      <c r="K402" s="33"/>
      <c r="L402" s="34"/>
      <c r="M402" s="34"/>
      <c r="N402" s="34"/>
      <c r="O402" s="656" t="s">
        <v>9265</v>
      </c>
      <c r="P402" s="33"/>
      <c r="Q402" s="31" t="s">
        <v>11802</v>
      </c>
      <c r="R402" s="2">
        <f t="array" ref="R402">xlookup($E402,'Bảng tổng hợp 1'!$B:$B,'Bảng tổng hợp 1'!$B:$B,0)</f>
        <v>0</v>
      </c>
    </row>
    <row r="403" hidden="1">
      <c r="A403" s="30">
        <v>398.0</v>
      </c>
      <c r="B403" s="31" t="s">
        <v>12147</v>
      </c>
      <c r="C403" s="655" t="s">
        <v>767</v>
      </c>
      <c r="D403" s="31" t="s">
        <v>12148</v>
      </c>
      <c r="E403" s="31" t="s">
        <v>12148</v>
      </c>
      <c r="F403" s="31" t="s">
        <v>11844</v>
      </c>
      <c r="G403" s="34"/>
      <c r="H403" s="34"/>
      <c r="I403" s="34"/>
      <c r="J403" s="31" t="s">
        <v>263</v>
      </c>
      <c r="K403" s="33"/>
      <c r="L403" s="34"/>
      <c r="M403" s="34"/>
      <c r="N403" s="34"/>
      <c r="O403" s="656" t="s">
        <v>9265</v>
      </c>
      <c r="P403" s="33"/>
      <c r="Q403" s="31" t="s">
        <v>11802</v>
      </c>
      <c r="R403" s="2">
        <f t="array" ref="R403">xlookup($E403,'Bảng tổng hợp 1'!$B:$B,'Bảng tổng hợp 1'!$B:$B,0)</f>
        <v>0</v>
      </c>
    </row>
    <row r="404" hidden="1">
      <c r="A404" s="30">
        <v>399.0</v>
      </c>
      <c r="B404" s="31" t="s">
        <v>12149</v>
      </c>
      <c r="C404" s="655" t="s">
        <v>12150</v>
      </c>
      <c r="D404" s="31" t="s">
        <v>12151</v>
      </c>
      <c r="E404" s="31" t="s">
        <v>12151</v>
      </c>
      <c r="F404" s="31" t="s">
        <v>11844</v>
      </c>
      <c r="G404" s="34"/>
      <c r="H404" s="34"/>
      <c r="I404" s="34"/>
      <c r="J404" s="31" t="s">
        <v>767</v>
      </c>
      <c r="K404" s="33"/>
      <c r="L404" s="34"/>
      <c r="M404" s="34"/>
      <c r="N404" s="34"/>
      <c r="O404" s="656" t="s">
        <v>9265</v>
      </c>
      <c r="P404" s="33"/>
      <c r="Q404" s="31" t="s">
        <v>11802</v>
      </c>
      <c r="R404" s="2">
        <f t="array" ref="R404">xlookup($E404,'Bảng tổng hợp 1'!$B:$B,'Bảng tổng hợp 1'!$B:$B,0)</f>
        <v>0</v>
      </c>
    </row>
    <row r="405" hidden="1">
      <c r="A405" s="30">
        <v>400.0</v>
      </c>
      <c r="B405" s="31" t="s">
        <v>12147</v>
      </c>
      <c r="C405" s="31" t="s">
        <v>766</v>
      </c>
      <c r="D405" s="31" t="s">
        <v>768</v>
      </c>
      <c r="E405" s="31" t="str">
        <f>trim(D405)</f>
        <v>L04.33.05.02</v>
      </c>
      <c r="F405" s="31" t="s">
        <v>11844</v>
      </c>
      <c r="G405" s="34"/>
      <c r="H405" s="34"/>
      <c r="I405" s="34"/>
      <c r="J405" s="31" t="s">
        <v>767</v>
      </c>
      <c r="K405" s="33"/>
      <c r="L405" s="34"/>
      <c r="M405" s="34"/>
      <c r="N405" s="34"/>
      <c r="O405" s="656" t="s">
        <v>9265</v>
      </c>
      <c r="P405" s="33"/>
      <c r="Q405" s="31" t="s">
        <v>11802</v>
      </c>
      <c r="R405" s="2" t="str">
        <f t="array" ref="R405">xlookup($E405,'Bảng tổng hợp 1'!$B:$B,'Bảng tổng hợp 1'!$B:$B,0)</f>
        <v>L04.33.05.02</v>
      </c>
    </row>
    <row r="406" hidden="1">
      <c r="A406" s="30">
        <v>401.0</v>
      </c>
      <c r="B406" s="31" t="s">
        <v>12152</v>
      </c>
      <c r="C406" s="655" t="s">
        <v>12153</v>
      </c>
      <c r="D406" s="31" t="s">
        <v>12154</v>
      </c>
      <c r="E406" s="31" t="s">
        <v>12154</v>
      </c>
      <c r="F406" s="31" t="s">
        <v>11844</v>
      </c>
      <c r="G406" s="34"/>
      <c r="H406" s="34"/>
      <c r="I406" s="34"/>
      <c r="J406" s="31" t="s">
        <v>263</v>
      </c>
      <c r="K406" s="33"/>
      <c r="L406" s="34"/>
      <c r="M406" s="34"/>
      <c r="N406" s="34"/>
      <c r="O406" s="656" t="s">
        <v>9265</v>
      </c>
      <c r="P406" s="33"/>
      <c r="Q406" s="31" t="s">
        <v>11802</v>
      </c>
      <c r="R406" s="2">
        <f t="array" ref="R406">xlookup($E406,'Bảng tổng hợp 1'!$B:$B,'Bảng tổng hợp 1'!$B:$B,0)</f>
        <v>0</v>
      </c>
    </row>
    <row r="407" hidden="1">
      <c r="A407" s="30">
        <v>402.0</v>
      </c>
      <c r="B407" s="31" t="s">
        <v>12155</v>
      </c>
      <c r="C407" s="655" t="s">
        <v>12156</v>
      </c>
      <c r="D407" s="31" t="s">
        <v>12157</v>
      </c>
      <c r="E407" s="31" t="s">
        <v>12157</v>
      </c>
      <c r="F407" s="31" t="s">
        <v>11844</v>
      </c>
      <c r="G407" s="34"/>
      <c r="H407" s="34"/>
      <c r="I407" s="34"/>
      <c r="J407" s="31" t="s">
        <v>12153</v>
      </c>
      <c r="K407" s="33"/>
      <c r="L407" s="34"/>
      <c r="M407" s="34"/>
      <c r="N407" s="34"/>
      <c r="O407" s="656" t="s">
        <v>9265</v>
      </c>
      <c r="P407" s="33"/>
      <c r="Q407" s="31" t="s">
        <v>11802</v>
      </c>
      <c r="R407" s="2">
        <f t="array" ref="R407">xlookup($E407,'Bảng tổng hợp 1'!$B:$B,'Bảng tổng hợp 1'!$B:$B,0)</f>
        <v>0</v>
      </c>
    </row>
    <row r="408" hidden="1">
      <c r="A408" s="30">
        <v>403.0</v>
      </c>
      <c r="B408" s="31" t="s">
        <v>12158</v>
      </c>
      <c r="C408" s="655" t="s">
        <v>12159</v>
      </c>
      <c r="D408" s="31" t="s">
        <v>12160</v>
      </c>
      <c r="E408" s="31" t="s">
        <v>12160</v>
      </c>
      <c r="F408" s="31" t="s">
        <v>11844</v>
      </c>
      <c r="G408" s="34"/>
      <c r="H408" s="34"/>
      <c r="I408" s="34"/>
      <c r="J408" s="31" t="s">
        <v>12153</v>
      </c>
      <c r="K408" s="33"/>
      <c r="L408" s="34"/>
      <c r="M408" s="34"/>
      <c r="N408" s="34"/>
      <c r="O408" s="656" t="s">
        <v>9265</v>
      </c>
      <c r="P408" s="33"/>
      <c r="Q408" s="31" t="s">
        <v>11802</v>
      </c>
      <c r="R408" s="2">
        <f t="array" ref="R408">xlookup($E408,'Bảng tổng hợp 1'!$B:$B,'Bảng tổng hợp 1'!$B:$B,0)</f>
        <v>0</v>
      </c>
    </row>
    <row r="409" hidden="1">
      <c r="A409" s="30">
        <v>404.0</v>
      </c>
      <c r="B409" s="31" t="s">
        <v>12161</v>
      </c>
      <c r="C409" s="655" t="s">
        <v>12162</v>
      </c>
      <c r="D409" s="31" t="s">
        <v>12163</v>
      </c>
      <c r="E409" s="31" t="s">
        <v>12163</v>
      </c>
      <c r="F409" s="31" t="s">
        <v>11844</v>
      </c>
      <c r="G409" s="34"/>
      <c r="H409" s="34"/>
      <c r="I409" s="34"/>
      <c r="J409" s="31" t="s">
        <v>12153</v>
      </c>
      <c r="K409" s="33"/>
      <c r="L409" s="34"/>
      <c r="M409" s="34"/>
      <c r="N409" s="34"/>
      <c r="O409" s="656" t="s">
        <v>9265</v>
      </c>
      <c r="P409" s="33"/>
      <c r="Q409" s="31" t="s">
        <v>11802</v>
      </c>
      <c r="R409" s="2">
        <f t="array" ref="R409">xlookup($E409,'Bảng tổng hợp 1'!$B:$B,'Bảng tổng hợp 1'!$B:$B,0)</f>
        <v>0</v>
      </c>
    </row>
    <row r="410" hidden="1">
      <c r="A410" s="30">
        <v>405.0</v>
      </c>
      <c r="B410" s="31" t="s">
        <v>12164</v>
      </c>
      <c r="C410" s="655" t="s">
        <v>123</v>
      </c>
      <c r="D410" s="31" t="s">
        <v>11025</v>
      </c>
      <c r="E410" s="31" t="s">
        <v>11025</v>
      </c>
      <c r="F410" s="31" t="s">
        <v>11844</v>
      </c>
      <c r="G410" s="34"/>
      <c r="H410" s="34"/>
      <c r="I410" s="34"/>
      <c r="J410" s="31" t="s">
        <v>263</v>
      </c>
      <c r="K410" s="33"/>
      <c r="L410" s="34"/>
      <c r="M410" s="34"/>
      <c r="N410" s="34"/>
      <c r="O410" s="656" t="s">
        <v>9265</v>
      </c>
      <c r="P410" s="33"/>
      <c r="Q410" s="31" t="s">
        <v>11802</v>
      </c>
      <c r="R410" s="2">
        <f t="array" ref="R410">xlookup($E410,'Bảng tổng hợp 1'!$B:$B,'Bảng tổng hợp 1'!$B:$B,0)</f>
        <v>0</v>
      </c>
    </row>
    <row r="411" hidden="1">
      <c r="A411" s="30">
        <v>406.0</v>
      </c>
      <c r="B411" s="31" t="s">
        <v>12164</v>
      </c>
      <c r="C411" s="31" t="s">
        <v>124</v>
      </c>
      <c r="D411" s="31" t="s">
        <v>535</v>
      </c>
      <c r="E411" s="31" t="str">
        <f t="shared" ref="E411:E412" si="53">trim(D411)</f>
        <v>L04.33.02.01</v>
      </c>
      <c r="F411" s="31" t="s">
        <v>11844</v>
      </c>
      <c r="G411" s="34"/>
      <c r="H411" s="34"/>
      <c r="I411" s="34"/>
      <c r="J411" s="31" t="s">
        <v>123</v>
      </c>
      <c r="K411" s="33"/>
      <c r="L411" s="34"/>
      <c r="M411" s="34"/>
      <c r="N411" s="34"/>
      <c r="O411" s="656" t="s">
        <v>9265</v>
      </c>
      <c r="P411" s="33"/>
      <c r="Q411" s="31" t="s">
        <v>11802</v>
      </c>
      <c r="R411" s="2" t="str">
        <f t="array" ref="R411">xlookup($E411,'Bảng tổng hợp 1'!$B:$B,'Bảng tổng hợp 1'!$B:$B,0)</f>
        <v>L04.33.02.01</v>
      </c>
    </row>
    <row r="412" hidden="1">
      <c r="A412" s="30">
        <v>407.0</v>
      </c>
      <c r="B412" s="31" t="s">
        <v>12164</v>
      </c>
      <c r="C412" s="31" t="s">
        <v>125</v>
      </c>
      <c r="D412" s="31" t="s">
        <v>430</v>
      </c>
      <c r="E412" s="31" t="str">
        <f t="shared" si="53"/>
        <v>L04.33.02.02</v>
      </c>
      <c r="F412" s="31" t="s">
        <v>11844</v>
      </c>
      <c r="G412" s="34"/>
      <c r="H412" s="34"/>
      <c r="I412" s="34"/>
      <c r="J412" s="31" t="s">
        <v>123</v>
      </c>
      <c r="K412" s="33"/>
      <c r="L412" s="34"/>
      <c r="M412" s="34"/>
      <c r="N412" s="34"/>
      <c r="O412" s="656" t="s">
        <v>9265</v>
      </c>
      <c r="P412" s="33"/>
      <c r="Q412" s="31" t="s">
        <v>11802</v>
      </c>
      <c r="R412" s="2" t="str">
        <f t="array" ref="R412">xlookup($E412,'Bảng tổng hợp 1'!$B:$B,'Bảng tổng hợp 1'!$B:$B,0)</f>
        <v>L04.33.02.02</v>
      </c>
    </row>
    <row r="413" hidden="1">
      <c r="A413" s="30">
        <v>408.0</v>
      </c>
      <c r="B413" s="31" t="s">
        <v>12165</v>
      </c>
      <c r="C413" s="655" t="s">
        <v>356</v>
      </c>
      <c r="D413" s="31" t="s">
        <v>11030</v>
      </c>
      <c r="E413" s="31" t="s">
        <v>11030</v>
      </c>
      <c r="F413" s="31" t="s">
        <v>11844</v>
      </c>
      <c r="G413" s="34"/>
      <c r="H413" s="34"/>
      <c r="I413" s="34"/>
      <c r="J413" s="31" t="s">
        <v>263</v>
      </c>
      <c r="K413" s="33"/>
      <c r="L413" s="34"/>
      <c r="M413" s="34"/>
      <c r="N413" s="34"/>
      <c r="O413" s="656" t="s">
        <v>9265</v>
      </c>
      <c r="P413" s="33"/>
      <c r="Q413" s="31" t="s">
        <v>11802</v>
      </c>
      <c r="R413" s="2">
        <f t="array" ref="R413">xlookup($E413,'Bảng tổng hợp 1'!$B:$B,'Bảng tổng hợp 1'!$B:$B,0)</f>
        <v>0</v>
      </c>
    </row>
    <row r="414" hidden="1">
      <c r="A414" s="30">
        <v>409.0</v>
      </c>
      <c r="B414" s="31" t="s">
        <v>12165</v>
      </c>
      <c r="C414" s="31" t="s">
        <v>355</v>
      </c>
      <c r="D414" s="31" t="s">
        <v>357</v>
      </c>
      <c r="E414" s="31" t="str">
        <f t="shared" ref="E414:E416" si="54">trim(D414)</f>
        <v>L04.33.03.01</v>
      </c>
      <c r="F414" s="31" t="s">
        <v>11844</v>
      </c>
      <c r="G414" s="34"/>
      <c r="H414" s="34"/>
      <c r="I414" s="34"/>
      <c r="J414" s="31" t="s">
        <v>356</v>
      </c>
      <c r="K414" s="33"/>
      <c r="L414" s="34"/>
      <c r="M414" s="34"/>
      <c r="N414" s="34"/>
      <c r="O414" s="656" t="s">
        <v>9265</v>
      </c>
      <c r="P414" s="33"/>
      <c r="Q414" s="31" t="s">
        <v>11802</v>
      </c>
      <c r="R414" s="2" t="str">
        <f t="array" ref="R414">xlookup($E414,'Bảng tổng hợp 1'!$B:$B,'Bảng tổng hợp 1'!$B:$B,0)</f>
        <v>L04.33.03.01</v>
      </c>
    </row>
    <row r="415" hidden="1">
      <c r="A415" s="30">
        <v>410.0</v>
      </c>
      <c r="B415" s="31" t="s">
        <v>12165</v>
      </c>
      <c r="C415" s="31" t="s">
        <v>547</v>
      </c>
      <c r="D415" s="31" t="s">
        <v>548</v>
      </c>
      <c r="E415" s="31" t="str">
        <f t="shared" si="54"/>
        <v>L04.33.03.02</v>
      </c>
      <c r="F415" s="31" t="s">
        <v>11844</v>
      </c>
      <c r="G415" s="34"/>
      <c r="H415" s="34"/>
      <c r="I415" s="34"/>
      <c r="J415" s="31" t="s">
        <v>356</v>
      </c>
      <c r="K415" s="33"/>
      <c r="L415" s="34"/>
      <c r="M415" s="34"/>
      <c r="N415" s="31" t="s">
        <v>11969</v>
      </c>
      <c r="O415" s="656" t="s">
        <v>9265</v>
      </c>
      <c r="P415" s="33"/>
      <c r="Q415" s="31" t="s">
        <v>11802</v>
      </c>
      <c r="R415" s="2" t="str">
        <f t="array" ref="R415">xlookup($E415,'Bảng tổng hợp 1'!$B:$B,'Bảng tổng hợp 1'!$B:$B,0)</f>
        <v>L04.33.03.02</v>
      </c>
    </row>
    <row r="416" hidden="1">
      <c r="A416" s="30">
        <v>411.0</v>
      </c>
      <c r="B416" s="31" t="s">
        <v>12165</v>
      </c>
      <c r="C416" s="31" t="s">
        <v>540</v>
      </c>
      <c r="D416" s="31" t="s">
        <v>541</v>
      </c>
      <c r="E416" s="31" t="str">
        <f t="shared" si="54"/>
        <v>L04.33.03.03</v>
      </c>
      <c r="F416" s="31" t="s">
        <v>11844</v>
      </c>
      <c r="G416" s="34"/>
      <c r="H416" s="34"/>
      <c r="I416" s="34"/>
      <c r="J416" s="31" t="s">
        <v>356</v>
      </c>
      <c r="K416" s="33"/>
      <c r="L416" s="34"/>
      <c r="M416" s="34"/>
      <c r="N416" s="31" t="s">
        <v>11969</v>
      </c>
      <c r="O416" s="656" t="s">
        <v>9265</v>
      </c>
      <c r="P416" s="33"/>
      <c r="Q416" s="31" t="s">
        <v>11802</v>
      </c>
      <c r="R416" s="2" t="str">
        <f t="array" ref="R416">xlookup($E416,'Bảng tổng hợp 1'!$B:$B,'Bảng tổng hợp 1'!$B:$B,0)</f>
        <v>L04.33.03.03</v>
      </c>
    </row>
    <row r="417" hidden="1">
      <c r="A417" s="30">
        <v>412.0</v>
      </c>
      <c r="B417" s="31" t="s">
        <v>12166</v>
      </c>
      <c r="C417" s="655" t="s">
        <v>11646</v>
      </c>
      <c r="D417" s="31" t="s">
        <v>11645</v>
      </c>
      <c r="E417" s="31" t="s">
        <v>11645</v>
      </c>
      <c r="F417" s="31" t="s">
        <v>11844</v>
      </c>
      <c r="G417" s="34"/>
      <c r="H417" s="34"/>
      <c r="I417" s="34"/>
      <c r="J417" s="31" t="s">
        <v>356</v>
      </c>
      <c r="K417" s="33"/>
      <c r="L417" s="34"/>
      <c r="M417" s="34"/>
      <c r="N417" s="31" t="s">
        <v>11969</v>
      </c>
      <c r="O417" s="656" t="s">
        <v>9265</v>
      </c>
      <c r="P417" s="33"/>
      <c r="Q417" s="31" t="s">
        <v>11802</v>
      </c>
      <c r="R417" s="2">
        <f t="array" ref="R417">xlookup($E417,'Bảng tổng hợp 1'!$B:$B,'Bảng tổng hợp 1'!$B:$B,0)</f>
        <v>0</v>
      </c>
    </row>
    <row r="418" hidden="1">
      <c r="A418" s="30">
        <v>413.0</v>
      </c>
      <c r="B418" s="31" t="s">
        <v>12167</v>
      </c>
      <c r="C418" s="31" t="s">
        <v>130</v>
      </c>
      <c r="D418" s="31" t="s">
        <v>410</v>
      </c>
      <c r="E418" s="31" t="str">
        <f t="shared" ref="E418:E422" si="55">trim(D418)</f>
        <v>L04.33.07</v>
      </c>
      <c r="F418" s="31" t="s">
        <v>11844</v>
      </c>
      <c r="G418" s="34"/>
      <c r="H418" s="34"/>
      <c r="I418" s="34"/>
      <c r="J418" s="31" t="s">
        <v>263</v>
      </c>
      <c r="K418" s="33"/>
      <c r="L418" s="34"/>
      <c r="M418" s="34"/>
      <c r="N418" s="31" t="s">
        <v>11969</v>
      </c>
      <c r="O418" s="656" t="s">
        <v>9265</v>
      </c>
      <c r="P418" s="33"/>
      <c r="Q418" s="31" t="s">
        <v>11802</v>
      </c>
      <c r="R418" s="2" t="str">
        <f t="array" ref="R418">xlookup($E418,'Bảng tổng hợp 1'!$B:$B,'Bảng tổng hợp 1'!$B:$B,0)</f>
        <v>L04.33.07</v>
      </c>
    </row>
    <row r="419" hidden="1">
      <c r="A419" s="30">
        <v>414.0</v>
      </c>
      <c r="B419" s="31" t="s">
        <v>12168</v>
      </c>
      <c r="C419" s="31" t="s">
        <v>747</v>
      </c>
      <c r="D419" s="31" t="s">
        <v>748</v>
      </c>
      <c r="E419" s="31" t="str">
        <f t="shared" si="55"/>
        <v>L04.33.08</v>
      </c>
      <c r="F419" s="31" t="s">
        <v>11844</v>
      </c>
      <c r="G419" s="34"/>
      <c r="H419" s="34"/>
      <c r="I419" s="34"/>
      <c r="J419" s="31" t="s">
        <v>263</v>
      </c>
      <c r="K419" s="33"/>
      <c r="L419" s="34"/>
      <c r="M419" s="34"/>
      <c r="N419" s="31" t="s">
        <v>11969</v>
      </c>
      <c r="O419" s="656" t="s">
        <v>9265</v>
      </c>
      <c r="P419" s="33"/>
      <c r="Q419" s="31" t="s">
        <v>11802</v>
      </c>
      <c r="R419" s="2" t="str">
        <f t="array" ref="R419">xlookup($E419,'Bảng tổng hợp 1'!$B:$B,'Bảng tổng hợp 1'!$B:$B,0)</f>
        <v>L04.33.08</v>
      </c>
    </row>
    <row r="420" hidden="1">
      <c r="A420" s="30">
        <v>415.0</v>
      </c>
      <c r="B420" s="31" t="s">
        <v>12169</v>
      </c>
      <c r="C420" s="31" t="s">
        <v>101</v>
      </c>
      <c r="D420" s="31" t="s">
        <v>4022</v>
      </c>
      <c r="E420" s="31" t="str">
        <f t="shared" si="55"/>
        <v>L04.35</v>
      </c>
      <c r="F420" s="31" t="s">
        <v>11844</v>
      </c>
      <c r="G420" s="34"/>
      <c r="H420" s="34"/>
      <c r="I420" s="34"/>
      <c r="J420" s="31" t="s">
        <v>346</v>
      </c>
      <c r="K420" s="33"/>
      <c r="L420" s="34"/>
      <c r="M420" s="34"/>
      <c r="N420" s="34"/>
      <c r="O420" s="656" t="s">
        <v>9265</v>
      </c>
      <c r="P420" s="33"/>
      <c r="Q420" s="31" t="s">
        <v>11802</v>
      </c>
      <c r="R420" s="2" t="str">
        <f t="array" ref="R420">xlookup($E420,'Bảng tổng hợp 1'!$B:$B,'Bảng tổng hợp 1'!$B:$B,0)</f>
        <v>L04.35</v>
      </c>
    </row>
    <row r="421" hidden="1">
      <c r="A421" s="30">
        <v>416.0</v>
      </c>
      <c r="B421" s="31" t="s">
        <v>12170</v>
      </c>
      <c r="C421" s="31" t="s">
        <v>649</v>
      </c>
      <c r="D421" s="31" t="s">
        <v>650</v>
      </c>
      <c r="E421" s="31" t="str">
        <f t="shared" si="55"/>
        <v>L04.35.01</v>
      </c>
      <c r="F421" s="31" t="s">
        <v>11851</v>
      </c>
      <c r="G421" s="34"/>
      <c r="H421" s="34"/>
      <c r="I421" s="34"/>
      <c r="J421" s="31" t="s">
        <v>101</v>
      </c>
      <c r="K421" s="33"/>
      <c r="L421" s="34"/>
      <c r="M421" s="34"/>
      <c r="N421" s="34"/>
      <c r="O421" s="656" t="s">
        <v>9265</v>
      </c>
      <c r="P421" s="33"/>
      <c r="Q421" s="31" t="s">
        <v>11802</v>
      </c>
      <c r="R421" s="2" t="str">
        <f t="array" ref="R421">xlookup($E421,'Bảng tổng hợp 1'!$B:$B,'Bảng tổng hợp 1'!$B:$B,0)</f>
        <v>L04.35.01</v>
      </c>
    </row>
    <row r="422" hidden="1">
      <c r="A422" s="30">
        <v>417.0</v>
      </c>
      <c r="B422" s="31" t="s">
        <v>12171</v>
      </c>
      <c r="C422" s="31" t="s">
        <v>661</v>
      </c>
      <c r="D422" s="31" t="s">
        <v>662</v>
      </c>
      <c r="E422" s="31" t="str">
        <f t="shared" si="55"/>
        <v>L04.35.02</v>
      </c>
      <c r="F422" s="31" t="s">
        <v>11851</v>
      </c>
      <c r="G422" s="34"/>
      <c r="H422" s="34"/>
      <c r="I422" s="34"/>
      <c r="J422" s="31" t="s">
        <v>101</v>
      </c>
      <c r="K422" s="33"/>
      <c r="L422" s="34"/>
      <c r="M422" s="34"/>
      <c r="N422" s="34"/>
      <c r="O422" s="656" t="s">
        <v>9265</v>
      </c>
      <c r="P422" s="33"/>
      <c r="Q422" s="31" t="s">
        <v>11802</v>
      </c>
      <c r="R422" s="2" t="str">
        <f t="array" ref="R422">xlookup($E422,'Bảng tổng hợp 1'!$B:$B,'Bảng tổng hợp 1'!$B:$B,0)</f>
        <v>L04.35.02</v>
      </c>
    </row>
    <row r="423" hidden="1">
      <c r="A423" s="30">
        <v>418.0</v>
      </c>
      <c r="B423" s="31" t="s">
        <v>12172</v>
      </c>
      <c r="C423" s="655" t="s">
        <v>12173</v>
      </c>
      <c r="D423" s="31" t="s">
        <v>12174</v>
      </c>
      <c r="E423" s="31" t="s">
        <v>12174</v>
      </c>
      <c r="F423" s="31" t="s">
        <v>11850</v>
      </c>
      <c r="G423" s="34"/>
      <c r="H423" s="34"/>
      <c r="I423" s="34"/>
      <c r="J423" s="31" t="s">
        <v>346</v>
      </c>
      <c r="K423" s="33"/>
      <c r="L423" s="34"/>
      <c r="M423" s="34"/>
      <c r="N423" s="31" t="s">
        <v>11969</v>
      </c>
      <c r="O423" s="656" t="s">
        <v>9265</v>
      </c>
      <c r="P423" s="33"/>
      <c r="Q423" s="31" t="s">
        <v>11802</v>
      </c>
      <c r="R423" s="2">
        <f t="array" ref="R423">xlookup($E423,'Bảng tổng hợp 1'!$B:$B,'Bảng tổng hợp 1'!$B:$B,0)</f>
        <v>0</v>
      </c>
    </row>
    <row r="424" hidden="1">
      <c r="A424" s="30">
        <v>419.0</v>
      </c>
      <c r="B424" s="31" t="s">
        <v>12175</v>
      </c>
      <c r="C424" s="655" t="s">
        <v>12176</v>
      </c>
      <c r="D424" s="31" t="s">
        <v>12177</v>
      </c>
      <c r="E424" s="31" t="s">
        <v>12177</v>
      </c>
      <c r="F424" s="31" t="s">
        <v>11844</v>
      </c>
      <c r="G424" s="34"/>
      <c r="H424" s="34"/>
      <c r="I424" s="34"/>
      <c r="J424" s="31" t="s">
        <v>12173</v>
      </c>
      <c r="K424" s="33"/>
      <c r="L424" s="34"/>
      <c r="M424" s="34"/>
      <c r="N424" s="31" t="s">
        <v>11969</v>
      </c>
      <c r="O424" s="656" t="s">
        <v>9265</v>
      </c>
      <c r="P424" s="33"/>
      <c r="Q424" s="31" t="s">
        <v>11802</v>
      </c>
      <c r="R424" s="2">
        <f t="array" ref="R424">xlookup($E424,'Bảng tổng hợp 1'!$B:$B,'Bảng tổng hợp 1'!$B:$B,0)</f>
        <v>0</v>
      </c>
    </row>
    <row r="425" hidden="1">
      <c r="A425" s="30">
        <v>420.0</v>
      </c>
      <c r="B425" s="31" t="s">
        <v>12178</v>
      </c>
      <c r="C425" s="655" t="s">
        <v>889</v>
      </c>
      <c r="D425" s="31" t="s">
        <v>12179</v>
      </c>
      <c r="E425" s="31" t="s">
        <v>12179</v>
      </c>
      <c r="F425" s="31" t="s">
        <v>11844</v>
      </c>
      <c r="G425" s="34"/>
      <c r="H425" s="34"/>
      <c r="I425" s="34"/>
      <c r="J425" s="31" t="s">
        <v>12173</v>
      </c>
      <c r="K425" s="33"/>
      <c r="L425" s="34"/>
      <c r="M425" s="34"/>
      <c r="N425" s="31" t="s">
        <v>11969</v>
      </c>
      <c r="O425" s="656" t="s">
        <v>9265</v>
      </c>
      <c r="P425" s="33"/>
      <c r="Q425" s="31" t="s">
        <v>11802</v>
      </c>
      <c r="R425" s="2">
        <f t="array" ref="R425">xlookup($E425,'Bảng tổng hợp 1'!$B:$B,'Bảng tổng hợp 1'!$B:$B,0)</f>
        <v>0</v>
      </c>
    </row>
    <row r="426" hidden="1">
      <c r="A426" s="30">
        <v>421.0</v>
      </c>
      <c r="B426" s="31" t="s">
        <v>12180</v>
      </c>
      <c r="C426" s="655" t="s">
        <v>12181</v>
      </c>
      <c r="D426" s="31" t="s">
        <v>12182</v>
      </c>
      <c r="E426" s="31" t="s">
        <v>12182</v>
      </c>
      <c r="F426" s="31" t="s">
        <v>11844</v>
      </c>
      <c r="G426" s="34"/>
      <c r="H426" s="34"/>
      <c r="I426" s="34"/>
      <c r="J426" s="31" t="s">
        <v>12173</v>
      </c>
      <c r="K426" s="33"/>
      <c r="L426" s="34"/>
      <c r="M426" s="34"/>
      <c r="N426" s="31" t="s">
        <v>11969</v>
      </c>
      <c r="O426" s="656" t="s">
        <v>9265</v>
      </c>
      <c r="P426" s="33"/>
      <c r="Q426" s="31" t="s">
        <v>11802</v>
      </c>
      <c r="R426" s="2">
        <f t="array" ref="R426">xlookup($E426,'Bảng tổng hợp 1'!$B:$B,'Bảng tổng hợp 1'!$B:$B,0)</f>
        <v>0</v>
      </c>
    </row>
    <row r="427" hidden="1">
      <c r="A427" s="30">
        <v>422.0</v>
      </c>
      <c r="B427" s="31" t="s">
        <v>12183</v>
      </c>
      <c r="C427" s="655" t="s">
        <v>262</v>
      </c>
      <c r="D427" s="31" t="s">
        <v>12184</v>
      </c>
      <c r="E427" s="31" t="s">
        <v>12184</v>
      </c>
      <c r="F427" s="31" t="s">
        <v>11840</v>
      </c>
      <c r="G427" s="34"/>
      <c r="H427" s="34"/>
      <c r="I427" s="34"/>
      <c r="J427" s="31" t="s">
        <v>10527</v>
      </c>
      <c r="K427" s="33"/>
      <c r="L427" s="34"/>
      <c r="M427" s="34"/>
      <c r="N427" s="34"/>
      <c r="O427" s="656" t="s">
        <v>9265</v>
      </c>
      <c r="P427" s="33"/>
      <c r="Q427" s="31" t="s">
        <v>11802</v>
      </c>
      <c r="R427" s="2">
        <f t="array" ref="R427">xlookup($E427,'Bảng tổng hợp 1'!$B:$B,'Bảng tổng hợp 1'!$B:$B,0)</f>
        <v>0</v>
      </c>
    </row>
    <row r="428" hidden="1">
      <c r="A428" s="30">
        <v>423.0</v>
      </c>
      <c r="B428" s="31" t="s">
        <v>12185</v>
      </c>
      <c r="C428" s="31" t="s">
        <v>7601</v>
      </c>
      <c r="D428" s="31" t="s">
        <v>7602</v>
      </c>
      <c r="E428" s="31" t="str">
        <f t="shared" ref="E428:E434" si="56">trim(D428)</f>
        <v>L05.01</v>
      </c>
      <c r="F428" s="31" t="s">
        <v>11844</v>
      </c>
      <c r="G428" s="34"/>
      <c r="H428" s="34"/>
      <c r="I428" s="34"/>
      <c r="J428" s="31" t="s">
        <v>262</v>
      </c>
      <c r="K428" s="33"/>
      <c r="L428" s="34"/>
      <c r="M428" s="34"/>
      <c r="N428" s="34"/>
      <c r="O428" s="656" t="s">
        <v>9265</v>
      </c>
      <c r="P428" s="33"/>
      <c r="Q428" s="31" t="s">
        <v>11802</v>
      </c>
      <c r="R428" s="2" t="str">
        <f t="array" ref="R428">xlookup($E428,'Bảng tổng hợp 1'!$B:$B,'Bảng tổng hợp 1'!$B:$B,0)</f>
        <v>L05.01</v>
      </c>
    </row>
    <row r="429" hidden="1">
      <c r="A429" s="30">
        <v>424.0</v>
      </c>
      <c r="B429" s="31" t="s">
        <v>12186</v>
      </c>
      <c r="C429" s="31" t="s">
        <v>2474</v>
      </c>
      <c r="D429" s="31" t="s">
        <v>2475</v>
      </c>
      <c r="E429" s="31" t="str">
        <f t="shared" si="56"/>
        <v>L05.12</v>
      </c>
      <c r="F429" s="31" t="s">
        <v>11844</v>
      </c>
      <c r="G429" s="34"/>
      <c r="H429" s="34"/>
      <c r="I429" s="34"/>
      <c r="J429" s="31" t="s">
        <v>262</v>
      </c>
      <c r="K429" s="33"/>
      <c r="L429" s="34"/>
      <c r="M429" s="34"/>
      <c r="N429" s="34"/>
      <c r="O429" s="656" t="s">
        <v>9265</v>
      </c>
      <c r="P429" s="33"/>
      <c r="Q429" s="31" t="s">
        <v>11802</v>
      </c>
      <c r="R429" s="2" t="str">
        <f t="array" ref="R429">xlookup($E429,'Bảng tổng hợp 1'!$B:$B,'Bảng tổng hợp 1'!$B:$B,0)</f>
        <v>L05.12</v>
      </c>
    </row>
    <row r="430" hidden="1">
      <c r="A430" s="30">
        <v>425.0</v>
      </c>
      <c r="B430" s="31" t="s">
        <v>12187</v>
      </c>
      <c r="C430" s="31" t="s">
        <v>36</v>
      </c>
      <c r="D430" s="31" t="s">
        <v>2452</v>
      </c>
      <c r="E430" s="31" t="str">
        <f t="shared" si="56"/>
        <v>L05.14</v>
      </c>
      <c r="F430" s="31" t="s">
        <v>11844</v>
      </c>
      <c r="G430" s="34"/>
      <c r="H430" s="34"/>
      <c r="I430" s="34"/>
      <c r="J430" s="31" t="s">
        <v>262</v>
      </c>
      <c r="K430" s="33"/>
      <c r="L430" s="34"/>
      <c r="M430" s="34"/>
      <c r="N430" s="34"/>
      <c r="O430" s="656" t="s">
        <v>9265</v>
      </c>
      <c r="P430" s="33"/>
      <c r="Q430" s="31" t="s">
        <v>11802</v>
      </c>
      <c r="R430" s="2" t="str">
        <f t="array" ref="R430">xlookup($E430,'Bảng tổng hợp 1'!$B:$B,'Bảng tổng hợp 1'!$B:$B,0)</f>
        <v>L05.14</v>
      </c>
    </row>
    <row r="431" hidden="1">
      <c r="A431" s="30">
        <v>426.0</v>
      </c>
      <c r="B431" s="31" t="s">
        <v>12188</v>
      </c>
      <c r="C431" s="31" t="s">
        <v>38</v>
      </c>
      <c r="D431" s="31" t="s">
        <v>2423</v>
      </c>
      <c r="E431" s="31" t="str">
        <f t="shared" si="56"/>
        <v>L05.15</v>
      </c>
      <c r="F431" s="31" t="s">
        <v>11844</v>
      </c>
      <c r="G431" s="34"/>
      <c r="H431" s="34"/>
      <c r="I431" s="34"/>
      <c r="J431" s="31" t="s">
        <v>262</v>
      </c>
      <c r="K431" s="33"/>
      <c r="L431" s="34"/>
      <c r="M431" s="34"/>
      <c r="N431" s="34"/>
      <c r="O431" s="656" t="s">
        <v>9265</v>
      </c>
      <c r="P431" s="33"/>
      <c r="Q431" s="31" t="s">
        <v>11802</v>
      </c>
      <c r="R431" s="2" t="str">
        <f t="array" ref="R431">xlookup($E431,'Bảng tổng hợp 1'!$B:$B,'Bảng tổng hợp 1'!$B:$B,0)</f>
        <v>L05.15</v>
      </c>
    </row>
    <row r="432" hidden="1">
      <c r="A432" s="30">
        <v>427.0</v>
      </c>
      <c r="B432" s="31" t="s">
        <v>12189</v>
      </c>
      <c r="C432" s="31" t="s">
        <v>2430</v>
      </c>
      <c r="D432" s="31" t="s">
        <v>2431</v>
      </c>
      <c r="E432" s="31" t="str">
        <f t="shared" si="56"/>
        <v>L05.17</v>
      </c>
      <c r="F432" s="31" t="s">
        <v>11844</v>
      </c>
      <c r="G432" s="34"/>
      <c r="H432" s="34"/>
      <c r="I432" s="34"/>
      <c r="J432" s="31" t="s">
        <v>262</v>
      </c>
      <c r="K432" s="33"/>
      <c r="L432" s="34"/>
      <c r="M432" s="34"/>
      <c r="N432" s="34"/>
      <c r="O432" s="656" t="s">
        <v>9265</v>
      </c>
      <c r="P432" s="33"/>
      <c r="Q432" s="31" t="s">
        <v>11802</v>
      </c>
      <c r="R432" s="2" t="str">
        <f t="array" ref="R432">xlookup($E432,'Bảng tổng hợp 1'!$B:$B,'Bảng tổng hợp 1'!$B:$B,0)</f>
        <v>L05.17</v>
      </c>
    </row>
    <row r="433" hidden="1">
      <c r="A433" s="30">
        <v>428.0</v>
      </c>
      <c r="B433" s="31" t="s">
        <v>12190</v>
      </c>
      <c r="C433" s="31" t="s">
        <v>2463</v>
      </c>
      <c r="D433" s="31" t="s">
        <v>2464</v>
      </c>
      <c r="E433" s="31" t="str">
        <f t="shared" si="56"/>
        <v>L05.02</v>
      </c>
      <c r="F433" s="31" t="s">
        <v>11844</v>
      </c>
      <c r="G433" s="34"/>
      <c r="H433" s="34"/>
      <c r="I433" s="34"/>
      <c r="J433" s="31" t="s">
        <v>262</v>
      </c>
      <c r="K433" s="33"/>
      <c r="L433" s="34"/>
      <c r="M433" s="34"/>
      <c r="N433" s="31" t="s">
        <v>11969</v>
      </c>
      <c r="O433" s="656" t="s">
        <v>9265</v>
      </c>
      <c r="P433" s="33"/>
      <c r="Q433" s="31" t="s">
        <v>11802</v>
      </c>
      <c r="R433" s="2" t="str">
        <f t="array" ref="R433">xlookup($E433,'Bảng tổng hợp 1'!$B:$B,'Bảng tổng hợp 1'!$B:$B,0)</f>
        <v>L05.02</v>
      </c>
    </row>
    <row r="434" hidden="1">
      <c r="A434" s="30">
        <v>429.0</v>
      </c>
      <c r="B434" s="31" t="s">
        <v>12191</v>
      </c>
      <c r="C434" s="31" t="s">
        <v>1209</v>
      </c>
      <c r="D434" s="31" t="s">
        <v>2305</v>
      </c>
      <c r="E434" s="31" t="str">
        <f t="shared" si="56"/>
        <v>L05.27</v>
      </c>
      <c r="F434" s="31" t="s">
        <v>11844</v>
      </c>
      <c r="G434" s="34"/>
      <c r="H434" s="34"/>
      <c r="I434" s="34"/>
      <c r="J434" s="31" t="s">
        <v>262</v>
      </c>
      <c r="K434" s="33"/>
      <c r="L434" s="34"/>
      <c r="M434" s="34"/>
      <c r="N434" s="34"/>
      <c r="O434" s="656" t="s">
        <v>9265</v>
      </c>
      <c r="P434" s="33"/>
      <c r="Q434" s="31" t="s">
        <v>11802</v>
      </c>
      <c r="R434" s="2" t="str">
        <f t="array" ref="R434">xlookup($E434,'Bảng tổng hợp 1'!$B:$B,'Bảng tổng hợp 1'!$B:$B,0)</f>
        <v>L05.27</v>
      </c>
    </row>
    <row r="435" hidden="1">
      <c r="A435" s="30">
        <v>430.0</v>
      </c>
      <c r="B435" s="31" t="s">
        <v>12192</v>
      </c>
      <c r="C435" s="655" t="s">
        <v>12046</v>
      </c>
      <c r="D435" s="31" t="s">
        <v>12193</v>
      </c>
      <c r="E435" s="31" t="s">
        <v>12193</v>
      </c>
      <c r="F435" s="31" t="s">
        <v>11850</v>
      </c>
      <c r="G435" s="34"/>
      <c r="H435" s="34"/>
      <c r="I435" s="34"/>
      <c r="J435" s="31" t="s">
        <v>262</v>
      </c>
      <c r="K435" s="33"/>
      <c r="L435" s="34"/>
      <c r="M435" s="34"/>
      <c r="N435" s="31" t="s">
        <v>11969</v>
      </c>
      <c r="O435" s="656" t="s">
        <v>9265</v>
      </c>
      <c r="P435" s="33"/>
      <c r="Q435" s="31" t="s">
        <v>11802</v>
      </c>
      <c r="R435" s="2">
        <f t="array" ref="R435">xlookup($E435,'Bảng tổng hợp 1'!$B:$B,'Bảng tổng hợp 1'!$B:$B,0)</f>
        <v>0</v>
      </c>
    </row>
    <row r="436" hidden="1">
      <c r="A436" s="30">
        <v>431.0</v>
      </c>
      <c r="B436" s="31" t="s">
        <v>12194</v>
      </c>
      <c r="C436" s="655" t="s">
        <v>12049</v>
      </c>
      <c r="D436" s="31" t="s">
        <v>12195</v>
      </c>
      <c r="E436" s="31" t="s">
        <v>12195</v>
      </c>
      <c r="F436" s="31" t="s">
        <v>11850</v>
      </c>
      <c r="G436" s="34"/>
      <c r="H436" s="34"/>
      <c r="I436" s="34"/>
      <c r="J436" s="31" t="s">
        <v>12046</v>
      </c>
      <c r="K436" s="33"/>
      <c r="L436" s="34"/>
      <c r="M436" s="34"/>
      <c r="N436" s="34"/>
      <c r="O436" s="656" t="s">
        <v>9265</v>
      </c>
      <c r="P436" s="33"/>
      <c r="Q436" s="31" t="s">
        <v>11802</v>
      </c>
      <c r="R436" s="2">
        <f t="array" ref="R436">xlookup($E436,'Bảng tổng hợp 1'!$B:$B,'Bảng tổng hợp 1'!$B:$B,0)</f>
        <v>0</v>
      </c>
    </row>
    <row r="437" hidden="1">
      <c r="A437" s="30">
        <v>432.0</v>
      </c>
      <c r="B437" s="31" t="s">
        <v>12196</v>
      </c>
      <c r="C437" s="655" t="s">
        <v>169</v>
      </c>
      <c r="D437" s="31" t="s">
        <v>12197</v>
      </c>
      <c r="E437" s="31" t="s">
        <v>12197</v>
      </c>
      <c r="F437" s="31" t="s">
        <v>11850</v>
      </c>
      <c r="G437" s="34"/>
      <c r="H437" s="34"/>
      <c r="I437" s="34"/>
      <c r="J437" s="31" t="s">
        <v>12046</v>
      </c>
      <c r="K437" s="33"/>
      <c r="L437" s="34"/>
      <c r="M437" s="34"/>
      <c r="N437" s="34"/>
      <c r="O437" s="656" t="s">
        <v>9265</v>
      </c>
      <c r="P437" s="33"/>
      <c r="Q437" s="31" t="s">
        <v>11802</v>
      </c>
      <c r="R437" s="2">
        <f t="array" ref="R437">xlookup($E437,'Bảng tổng hợp 1'!$B:$B,'Bảng tổng hợp 1'!$B:$B,0)</f>
        <v>0</v>
      </c>
    </row>
    <row r="438" hidden="1">
      <c r="A438" s="30">
        <v>433.0</v>
      </c>
      <c r="B438" s="31" t="s">
        <v>12198</v>
      </c>
      <c r="C438" s="655" t="s">
        <v>131</v>
      </c>
      <c r="D438" s="31" t="s">
        <v>12199</v>
      </c>
      <c r="E438" s="31" t="s">
        <v>12199</v>
      </c>
      <c r="F438" s="31" t="s">
        <v>11850</v>
      </c>
      <c r="G438" s="34"/>
      <c r="H438" s="34"/>
      <c r="I438" s="34"/>
      <c r="J438" s="31" t="s">
        <v>12046</v>
      </c>
      <c r="K438" s="33"/>
      <c r="L438" s="34"/>
      <c r="M438" s="34"/>
      <c r="N438" s="31" t="s">
        <v>11969</v>
      </c>
      <c r="O438" s="656" t="s">
        <v>9265</v>
      </c>
      <c r="P438" s="33"/>
      <c r="Q438" s="31" t="s">
        <v>11802</v>
      </c>
      <c r="R438" s="2">
        <f t="array" ref="R438">xlookup($E438,'Bảng tổng hợp 1'!$B:$B,'Bảng tổng hợp 1'!$B:$B,0)</f>
        <v>0</v>
      </c>
    </row>
    <row r="439" hidden="1">
      <c r="A439" s="30">
        <v>434.0</v>
      </c>
      <c r="B439" s="31" t="s">
        <v>12200</v>
      </c>
      <c r="C439" s="655" t="s">
        <v>12052</v>
      </c>
      <c r="D439" s="31" t="s">
        <v>12201</v>
      </c>
      <c r="E439" s="31" t="s">
        <v>12201</v>
      </c>
      <c r="F439" s="31" t="s">
        <v>11850</v>
      </c>
      <c r="G439" s="34"/>
      <c r="H439" s="34"/>
      <c r="I439" s="34"/>
      <c r="J439" s="31" t="s">
        <v>12046</v>
      </c>
      <c r="K439" s="33"/>
      <c r="L439" s="34"/>
      <c r="M439" s="34"/>
      <c r="N439" s="31" t="s">
        <v>11969</v>
      </c>
      <c r="O439" s="656" t="s">
        <v>9265</v>
      </c>
      <c r="P439" s="33"/>
      <c r="Q439" s="31" t="s">
        <v>11802</v>
      </c>
      <c r="R439" s="2">
        <f t="array" ref="R439">xlookup($E439,'Bảng tổng hợp 1'!$B:$B,'Bảng tổng hợp 1'!$B:$B,0)</f>
        <v>0</v>
      </c>
    </row>
    <row r="440" hidden="1">
      <c r="A440" s="30">
        <v>435.0</v>
      </c>
      <c r="B440" s="31" t="s">
        <v>12202</v>
      </c>
      <c r="C440" s="655" t="s">
        <v>12054</v>
      </c>
      <c r="D440" s="31" t="s">
        <v>12203</v>
      </c>
      <c r="E440" s="31" t="s">
        <v>12203</v>
      </c>
      <c r="F440" s="31" t="s">
        <v>11850</v>
      </c>
      <c r="G440" s="34"/>
      <c r="H440" s="34"/>
      <c r="I440" s="34"/>
      <c r="J440" s="31" t="s">
        <v>12046</v>
      </c>
      <c r="K440" s="33"/>
      <c r="L440" s="34"/>
      <c r="M440" s="34"/>
      <c r="N440" s="31" t="s">
        <v>11969</v>
      </c>
      <c r="O440" s="656" t="s">
        <v>9265</v>
      </c>
      <c r="P440" s="33"/>
      <c r="Q440" s="31" t="s">
        <v>11802</v>
      </c>
      <c r="R440" s="2">
        <f t="array" ref="R440">xlookup($E440,'Bảng tổng hợp 1'!$B:$B,'Bảng tổng hợp 1'!$B:$B,0)</f>
        <v>0</v>
      </c>
    </row>
    <row r="441" hidden="1">
      <c r="A441" s="30">
        <v>436.0</v>
      </c>
      <c r="B441" s="31" t="s">
        <v>12204</v>
      </c>
      <c r="C441" s="655" t="s">
        <v>12057</v>
      </c>
      <c r="D441" s="31" t="s">
        <v>12205</v>
      </c>
      <c r="E441" s="31" t="s">
        <v>12205</v>
      </c>
      <c r="F441" s="31" t="s">
        <v>11850</v>
      </c>
      <c r="G441" s="34"/>
      <c r="H441" s="34"/>
      <c r="I441" s="34"/>
      <c r="J441" s="31" t="s">
        <v>12046</v>
      </c>
      <c r="K441" s="33"/>
      <c r="L441" s="34"/>
      <c r="M441" s="34"/>
      <c r="N441" s="31" t="s">
        <v>11969</v>
      </c>
      <c r="O441" s="656" t="s">
        <v>9265</v>
      </c>
      <c r="P441" s="33"/>
      <c r="Q441" s="31" t="s">
        <v>11802</v>
      </c>
      <c r="R441" s="2">
        <f t="array" ref="R441">xlookup($E441,'Bảng tổng hợp 1'!$B:$B,'Bảng tổng hợp 1'!$B:$B,0)</f>
        <v>0</v>
      </c>
    </row>
    <row r="442" hidden="1">
      <c r="A442" s="30">
        <v>437.0</v>
      </c>
      <c r="B442" s="31" t="s">
        <v>12206</v>
      </c>
      <c r="C442" s="655" t="s">
        <v>12060</v>
      </c>
      <c r="D442" s="31" t="s">
        <v>12207</v>
      </c>
      <c r="E442" s="31" t="s">
        <v>12207</v>
      </c>
      <c r="F442" s="31" t="s">
        <v>11850</v>
      </c>
      <c r="G442" s="34"/>
      <c r="H442" s="34"/>
      <c r="I442" s="34"/>
      <c r="J442" s="31" t="s">
        <v>12046</v>
      </c>
      <c r="K442" s="33"/>
      <c r="L442" s="34"/>
      <c r="M442" s="34"/>
      <c r="N442" s="31" t="s">
        <v>11969</v>
      </c>
      <c r="O442" s="656" t="s">
        <v>9265</v>
      </c>
      <c r="P442" s="33"/>
      <c r="Q442" s="31" t="s">
        <v>11802</v>
      </c>
      <c r="R442" s="2">
        <f t="array" ref="R442">xlookup($E442,'Bảng tổng hợp 1'!$B:$B,'Bảng tổng hợp 1'!$B:$B,0)</f>
        <v>0</v>
      </c>
    </row>
    <row r="443" hidden="1">
      <c r="A443" s="30">
        <v>438.0</v>
      </c>
      <c r="B443" s="31" t="s">
        <v>12208</v>
      </c>
      <c r="C443" s="655" t="s">
        <v>12063</v>
      </c>
      <c r="D443" s="31" t="s">
        <v>12209</v>
      </c>
      <c r="E443" s="31" t="s">
        <v>12209</v>
      </c>
      <c r="F443" s="31" t="s">
        <v>11850</v>
      </c>
      <c r="G443" s="34"/>
      <c r="H443" s="34"/>
      <c r="I443" s="34"/>
      <c r="J443" s="31" t="s">
        <v>12046</v>
      </c>
      <c r="K443" s="33"/>
      <c r="L443" s="34"/>
      <c r="M443" s="34"/>
      <c r="N443" s="31" t="s">
        <v>11969</v>
      </c>
      <c r="O443" s="656" t="s">
        <v>9265</v>
      </c>
      <c r="P443" s="33"/>
      <c r="Q443" s="31" t="s">
        <v>11802</v>
      </c>
      <c r="R443" s="2">
        <f t="array" ref="R443">xlookup($E443,'Bảng tổng hợp 1'!$B:$B,'Bảng tổng hợp 1'!$B:$B,0)</f>
        <v>0</v>
      </c>
    </row>
    <row r="444" hidden="1">
      <c r="A444" s="30">
        <v>439.0</v>
      </c>
      <c r="B444" s="31" t="s">
        <v>12210</v>
      </c>
      <c r="C444" s="655" t="s">
        <v>12211</v>
      </c>
      <c r="D444" s="31" t="s">
        <v>12212</v>
      </c>
      <c r="E444" s="31" t="s">
        <v>12212</v>
      </c>
      <c r="F444" s="31" t="s">
        <v>11850</v>
      </c>
      <c r="G444" s="34"/>
      <c r="H444" s="34"/>
      <c r="I444" s="34"/>
      <c r="J444" s="31" t="s">
        <v>12046</v>
      </c>
      <c r="K444" s="33"/>
      <c r="L444" s="34"/>
      <c r="M444" s="34"/>
      <c r="N444" s="31" t="s">
        <v>11969</v>
      </c>
      <c r="O444" s="656" t="s">
        <v>9265</v>
      </c>
      <c r="P444" s="33"/>
      <c r="Q444" s="31" t="s">
        <v>11802</v>
      </c>
      <c r="R444" s="2">
        <f t="array" ref="R444">xlookup($E444,'Bảng tổng hợp 1'!$B:$B,'Bảng tổng hợp 1'!$B:$B,0)</f>
        <v>0</v>
      </c>
    </row>
    <row r="445" hidden="1">
      <c r="A445" s="30">
        <v>440.0</v>
      </c>
      <c r="B445" s="31" t="s">
        <v>12213</v>
      </c>
      <c r="C445" s="655" t="s">
        <v>12214</v>
      </c>
      <c r="D445" s="31" t="s">
        <v>12215</v>
      </c>
      <c r="E445" s="31" t="s">
        <v>12215</v>
      </c>
      <c r="F445" s="31" t="s">
        <v>11850</v>
      </c>
      <c r="G445" s="34"/>
      <c r="H445" s="34"/>
      <c r="I445" s="34"/>
      <c r="J445" s="31" t="s">
        <v>12046</v>
      </c>
      <c r="K445" s="33"/>
      <c r="L445" s="34"/>
      <c r="M445" s="34"/>
      <c r="N445" s="31" t="s">
        <v>11969</v>
      </c>
      <c r="O445" s="656" t="s">
        <v>9265</v>
      </c>
      <c r="P445" s="33"/>
      <c r="Q445" s="31" t="s">
        <v>11802</v>
      </c>
      <c r="R445" s="2">
        <f t="array" ref="R445">xlookup($E445,'Bảng tổng hợp 1'!$B:$B,'Bảng tổng hợp 1'!$B:$B,0)</f>
        <v>0</v>
      </c>
    </row>
    <row r="446" hidden="1">
      <c r="A446" s="30">
        <v>441.0</v>
      </c>
      <c r="B446" s="31" t="s">
        <v>12216</v>
      </c>
      <c r="C446" s="655" t="s">
        <v>12217</v>
      </c>
      <c r="D446" s="31" t="s">
        <v>12218</v>
      </c>
      <c r="E446" s="31" t="s">
        <v>12218</v>
      </c>
      <c r="F446" s="31" t="s">
        <v>11850</v>
      </c>
      <c r="G446" s="34"/>
      <c r="H446" s="34"/>
      <c r="I446" s="34"/>
      <c r="J446" s="31" t="s">
        <v>12046</v>
      </c>
      <c r="K446" s="33"/>
      <c r="L446" s="34"/>
      <c r="M446" s="34"/>
      <c r="N446" s="31" t="s">
        <v>11969</v>
      </c>
      <c r="O446" s="656" t="s">
        <v>9265</v>
      </c>
      <c r="P446" s="33"/>
      <c r="Q446" s="31" t="s">
        <v>11802</v>
      </c>
      <c r="R446" s="2">
        <f t="array" ref="R446">xlookup($E446,'Bảng tổng hợp 1'!$B:$B,'Bảng tổng hợp 1'!$B:$B,0)</f>
        <v>0</v>
      </c>
    </row>
    <row r="447" hidden="1">
      <c r="A447" s="30">
        <v>442.0</v>
      </c>
      <c r="B447" s="31" t="s">
        <v>12219</v>
      </c>
      <c r="C447" s="655" t="s">
        <v>2219</v>
      </c>
      <c r="D447" s="31" t="s">
        <v>11043</v>
      </c>
      <c r="E447" s="31" t="s">
        <v>11043</v>
      </c>
      <c r="F447" s="31" t="s">
        <v>11850</v>
      </c>
      <c r="G447" s="34"/>
      <c r="H447" s="34"/>
      <c r="I447" s="34"/>
      <c r="J447" s="31" t="s">
        <v>262</v>
      </c>
      <c r="K447" s="33"/>
      <c r="L447" s="34"/>
      <c r="M447" s="34"/>
      <c r="N447" s="34"/>
      <c r="O447" s="656" t="s">
        <v>9265</v>
      </c>
      <c r="P447" s="33"/>
      <c r="Q447" s="31" t="s">
        <v>11802</v>
      </c>
      <c r="R447" s="2">
        <f t="array" ref="R447">xlookup($E447,'Bảng tổng hợp 1'!$B:$B,'Bảng tổng hợp 1'!$B:$B,0)</f>
        <v>0</v>
      </c>
    </row>
    <row r="448" hidden="1">
      <c r="A448" s="30">
        <v>443.0</v>
      </c>
      <c r="B448" s="31" t="s">
        <v>12220</v>
      </c>
      <c r="C448" s="31" t="s">
        <v>7230</v>
      </c>
      <c r="D448" s="31" t="s">
        <v>7661</v>
      </c>
      <c r="E448" s="31" t="str">
        <f t="shared" ref="E448:E455" si="57">trim(D448)</f>
        <v>L05.29.01</v>
      </c>
      <c r="F448" s="31" t="s">
        <v>11844</v>
      </c>
      <c r="G448" s="34"/>
      <c r="H448" s="34"/>
      <c r="I448" s="34"/>
      <c r="J448" s="31" t="s">
        <v>2219</v>
      </c>
      <c r="K448" s="33"/>
      <c r="L448" s="34"/>
      <c r="M448" s="34"/>
      <c r="N448" s="34"/>
      <c r="O448" s="656" t="s">
        <v>9265</v>
      </c>
      <c r="P448" s="33"/>
      <c r="Q448" s="31" t="s">
        <v>11802</v>
      </c>
      <c r="R448" s="2" t="str">
        <f t="array" ref="R448">xlookup($E448,'Bảng tổng hợp 1'!$B:$B,'Bảng tổng hợp 1'!$B:$B,0)</f>
        <v>L05.29.01</v>
      </c>
    </row>
    <row r="449" hidden="1">
      <c r="A449" s="30">
        <v>444.0</v>
      </c>
      <c r="B449" s="31" t="s">
        <v>12219</v>
      </c>
      <c r="C449" s="31" t="s">
        <v>1260</v>
      </c>
      <c r="D449" s="31" t="s">
        <v>2281</v>
      </c>
      <c r="E449" s="31" t="str">
        <f t="shared" si="57"/>
        <v>L05.29.02</v>
      </c>
      <c r="F449" s="31" t="s">
        <v>11844</v>
      </c>
      <c r="G449" s="34"/>
      <c r="H449" s="34"/>
      <c r="I449" s="34"/>
      <c r="J449" s="31" t="s">
        <v>2219</v>
      </c>
      <c r="K449" s="33"/>
      <c r="L449" s="34"/>
      <c r="M449" s="34"/>
      <c r="N449" s="34"/>
      <c r="O449" s="656" t="s">
        <v>9265</v>
      </c>
      <c r="P449" s="33"/>
      <c r="Q449" s="31" t="s">
        <v>11802</v>
      </c>
      <c r="R449" s="2" t="str">
        <f t="array" ref="R449">xlookup($E449,'Bảng tổng hợp 1'!$B:$B,'Bảng tổng hợp 1'!$B:$B,0)</f>
        <v>L05.29.02</v>
      </c>
    </row>
    <row r="450" hidden="1">
      <c r="A450" s="30">
        <v>445.0</v>
      </c>
      <c r="B450" s="31" t="s">
        <v>12219</v>
      </c>
      <c r="C450" s="31" t="s">
        <v>2285</v>
      </c>
      <c r="D450" s="31" t="s">
        <v>2286</v>
      </c>
      <c r="E450" s="31" t="str">
        <f t="shared" si="57"/>
        <v>L05.29.03</v>
      </c>
      <c r="F450" s="31" t="s">
        <v>11844</v>
      </c>
      <c r="G450" s="34"/>
      <c r="H450" s="34"/>
      <c r="I450" s="34"/>
      <c r="J450" s="31" t="s">
        <v>2219</v>
      </c>
      <c r="K450" s="33"/>
      <c r="L450" s="34"/>
      <c r="M450" s="34"/>
      <c r="N450" s="34"/>
      <c r="O450" s="656" t="s">
        <v>9265</v>
      </c>
      <c r="P450" s="33"/>
      <c r="Q450" s="31" t="s">
        <v>11802</v>
      </c>
      <c r="R450" s="2" t="str">
        <f t="array" ref="R450">xlookup($E450,'Bảng tổng hợp 1'!$B:$B,'Bảng tổng hợp 1'!$B:$B,0)</f>
        <v>L05.29.03</v>
      </c>
    </row>
    <row r="451" hidden="1">
      <c r="A451" s="30">
        <v>446.0</v>
      </c>
      <c r="B451" s="31" t="s">
        <v>12219</v>
      </c>
      <c r="C451" s="31" t="s">
        <v>390</v>
      </c>
      <c r="D451" s="31" t="s">
        <v>2290</v>
      </c>
      <c r="E451" s="31" t="str">
        <f t="shared" si="57"/>
        <v>L05.29.04</v>
      </c>
      <c r="F451" s="31" t="s">
        <v>11844</v>
      </c>
      <c r="G451" s="34"/>
      <c r="H451" s="34"/>
      <c r="I451" s="34"/>
      <c r="J451" s="31" t="s">
        <v>2219</v>
      </c>
      <c r="K451" s="33"/>
      <c r="L451" s="34"/>
      <c r="M451" s="34"/>
      <c r="N451" s="34"/>
      <c r="O451" s="656" t="s">
        <v>9265</v>
      </c>
      <c r="P451" s="33"/>
      <c r="Q451" s="31" t="s">
        <v>11802</v>
      </c>
      <c r="R451" s="2" t="str">
        <f t="array" ref="R451">xlookup($E451,'Bảng tổng hợp 1'!$B:$B,'Bảng tổng hợp 1'!$B:$B,0)</f>
        <v>L05.29.04</v>
      </c>
    </row>
    <row r="452" hidden="1">
      <c r="A452" s="30">
        <v>447.0</v>
      </c>
      <c r="B452" s="31" t="s">
        <v>12219</v>
      </c>
      <c r="C452" s="31" t="s">
        <v>403</v>
      </c>
      <c r="D452" s="31" t="s">
        <v>2227</v>
      </c>
      <c r="E452" s="31" t="str">
        <f t="shared" si="57"/>
        <v>L05.29.05</v>
      </c>
      <c r="F452" s="31" t="s">
        <v>11844</v>
      </c>
      <c r="G452" s="34"/>
      <c r="H452" s="34"/>
      <c r="I452" s="34"/>
      <c r="J452" s="31" t="s">
        <v>2219</v>
      </c>
      <c r="K452" s="33"/>
      <c r="L452" s="34"/>
      <c r="M452" s="34"/>
      <c r="N452" s="34"/>
      <c r="O452" s="656" t="s">
        <v>9265</v>
      </c>
      <c r="P452" s="33"/>
      <c r="Q452" s="31" t="s">
        <v>11802</v>
      </c>
      <c r="R452" s="2" t="str">
        <f t="array" ref="R452">xlookup($E452,'Bảng tổng hợp 1'!$B:$B,'Bảng tổng hợp 1'!$B:$B,0)</f>
        <v>L05.29.05</v>
      </c>
    </row>
    <row r="453" hidden="1">
      <c r="A453" s="30">
        <v>448.0</v>
      </c>
      <c r="B453" s="31" t="s">
        <v>12219</v>
      </c>
      <c r="C453" s="31" t="s">
        <v>1130</v>
      </c>
      <c r="D453" s="31" t="s">
        <v>2236</v>
      </c>
      <c r="E453" s="31" t="str">
        <f t="shared" si="57"/>
        <v>L05.29.06</v>
      </c>
      <c r="F453" s="31" t="s">
        <v>11844</v>
      </c>
      <c r="G453" s="34"/>
      <c r="H453" s="34"/>
      <c r="I453" s="34"/>
      <c r="J453" s="31" t="s">
        <v>2219</v>
      </c>
      <c r="K453" s="33"/>
      <c r="L453" s="34"/>
      <c r="M453" s="34"/>
      <c r="N453" s="34"/>
      <c r="O453" s="656" t="s">
        <v>9265</v>
      </c>
      <c r="P453" s="33"/>
      <c r="Q453" s="31" t="s">
        <v>11802</v>
      </c>
      <c r="R453" s="2" t="str">
        <f t="array" ref="R453">xlookup($E453,'Bảng tổng hợp 1'!$B:$B,'Bảng tổng hợp 1'!$B:$B,0)</f>
        <v>L05.29.06</v>
      </c>
    </row>
    <row r="454" hidden="1">
      <c r="A454" s="30">
        <v>449.0</v>
      </c>
      <c r="B454" s="31" t="s">
        <v>12219</v>
      </c>
      <c r="C454" s="31" t="s">
        <v>2231</v>
      </c>
      <c r="D454" s="31" t="s">
        <v>2232</v>
      </c>
      <c r="E454" s="31" t="str">
        <f t="shared" si="57"/>
        <v>L05.29.07</v>
      </c>
      <c r="F454" s="31" t="s">
        <v>11844</v>
      </c>
      <c r="G454" s="34"/>
      <c r="H454" s="34"/>
      <c r="I454" s="34"/>
      <c r="J454" s="31" t="s">
        <v>2219</v>
      </c>
      <c r="K454" s="33"/>
      <c r="L454" s="34"/>
      <c r="M454" s="34"/>
      <c r="N454" s="34"/>
      <c r="O454" s="656" t="s">
        <v>9265</v>
      </c>
      <c r="P454" s="33"/>
      <c r="Q454" s="31" t="s">
        <v>11802</v>
      </c>
      <c r="R454" s="2" t="str">
        <f t="array" ref="R454">xlookup($E454,'Bảng tổng hợp 1'!$B:$B,'Bảng tổng hợp 1'!$B:$B,0)</f>
        <v>L05.29.07</v>
      </c>
    </row>
    <row r="455" hidden="1">
      <c r="A455" s="30">
        <v>450.0</v>
      </c>
      <c r="B455" s="31" t="s">
        <v>12219</v>
      </c>
      <c r="C455" s="31" t="s">
        <v>1139</v>
      </c>
      <c r="D455" s="31" t="s">
        <v>2220</v>
      </c>
      <c r="E455" s="31" t="str">
        <f t="shared" si="57"/>
        <v>L05.29.08</v>
      </c>
      <c r="F455" s="31" t="s">
        <v>11844</v>
      </c>
      <c r="G455" s="34"/>
      <c r="H455" s="34"/>
      <c r="I455" s="34"/>
      <c r="J455" s="31" t="s">
        <v>2219</v>
      </c>
      <c r="K455" s="33"/>
      <c r="L455" s="34"/>
      <c r="M455" s="34"/>
      <c r="N455" s="34"/>
      <c r="O455" s="656" t="s">
        <v>9265</v>
      </c>
      <c r="P455" s="33"/>
      <c r="Q455" s="31" t="s">
        <v>11802</v>
      </c>
      <c r="R455" s="2" t="str">
        <f t="array" ref="R455">xlookup($E455,'Bảng tổng hợp 1'!$B:$B,'Bảng tổng hợp 1'!$B:$B,0)</f>
        <v>L05.29.08</v>
      </c>
    </row>
    <row r="456" hidden="1">
      <c r="A456" s="30">
        <v>451.0</v>
      </c>
      <c r="B456" s="31" t="s">
        <v>12221</v>
      </c>
      <c r="C456" s="655" t="s">
        <v>397</v>
      </c>
      <c r="D456" s="31" t="s">
        <v>12222</v>
      </c>
      <c r="E456" s="31" t="s">
        <v>12222</v>
      </c>
      <c r="F456" s="31" t="s">
        <v>11844</v>
      </c>
      <c r="G456" s="34"/>
      <c r="H456" s="34"/>
      <c r="I456" s="34"/>
      <c r="J456" s="31" t="s">
        <v>2219</v>
      </c>
      <c r="K456" s="33"/>
      <c r="L456" s="34"/>
      <c r="M456" s="34"/>
      <c r="N456" s="34"/>
      <c r="O456" s="656" t="s">
        <v>9265</v>
      </c>
      <c r="P456" s="33"/>
      <c r="Q456" s="31" t="s">
        <v>11802</v>
      </c>
      <c r="R456" s="2">
        <f t="array" ref="R456">xlookup($E456,'Bảng tổng hợp 1'!$B:$B,'Bảng tổng hợp 1'!$B:$B,0)</f>
        <v>0</v>
      </c>
    </row>
    <row r="457" hidden="1">
      <c r="A457" s="30">
        <v>452.0</v>
      </c>
      <c r="B457" s="31" t="s">
        <v>12223</v>
      </c>
      <c r="C457" s="655" t="s">
        <v>315</v>
      </c>
      <c r="D457" s="31" t="s">
        <v>10871</v>
      </c>
      <c r="E457" s="31" t="s">
        <v>10871</v>
      </c>
      <c r="F457" s="31" t="s">
        <v>11850</v>
      </c>
      <c r="G457" s="34"/>
      <c r="H457" s="34"/>
      <c r="I457" s="34"/>
      <c r="J457" s="31" t="s">
        <v>262</v>
      </c>
      <c r="K457" s="33"/>
      <c r="L457" s="34"/>
      <c r="M457" s="34"/>
      <c r="N457" s="34"/>
      <c r="O457" s="656" t="s">
        <v>9265</v>
      </c>
      <c r="P457" s="33"/>
      <c r="Q457" s="31" t="s">
        <v>11802</v>
      </c>
      <c r="R457" s="2">
        <f t="array" ref="R457">xlookup($E457,'Bảng tổng hợp 1'!$B:$B,'Bảng tổng hợp 1'!$B:$B,0)</f>
        <v>0</v>
      </c>
    </row>
    <row r="458" hidden="1">
      <c r="A458" s="30">
        <v>453.0</v>
      </c>
      <c r="B458" s="31" t="s">
        <v>12224</v>
      </c>
      <c r="C458" s="31" t="s">
        <v>8679</v>
      </c>
      <c r="D458" s="31" t="s">
        <v>8680</v>
      </c>
      <c r="E458" s="31" t="str">
        <f t="shared" ref="E458:E462" si="58">trim(D458)</f>
        <v>L05.03.01</v>
      </c>
      <c r="F458" s="31" t="s">
        <v>11844</v>
      </c>
      <c r="G458" s="34"/>
      <c r="H458" s="34"/>
      <c r="I458" s="34"/>
      <c r="J458" s="31" t="s">
        <v>315</v>
      </c>
      <c r="K458" s="33"/>
      <c r="L458" s="34"/>
      <c r="M458" s="34"/>
      <c r="N458" s="34"/>
      <c r="O458" s="656" t="s">
        <v>9265</v>
      </c>
      <c r="P458" s="33"/>
      <c r="Q458" s="31" t="s">
        <v>11802</v>
      </c>
      <c r="R458" s="2" t="str">
        <f t="array" ref="R458">xlookup($E458,'Bảng tổng hợp 1'!$B:$B,'Bảng tổng hợp 1'!$B:$B,0)</f>
        <v>L05.03.01</v>
      </c>
    </row>
    <row r="459" hidden="1">
      <c r="A459" s="30">
        <v>454.0</v>
      </c>
      <c r="B459" s="31" t="s">
        <v>12225</v>
      </c>
      <c r="C459" s="31" t="s">
        <v>1577</v>
      </c>
      <c r="D459" s="31" t="s">
        <v>8389</v>
      </c>
      <c r="E459" s="31" t="str">
        <f t="shared" si="58"/>
        <v>L05.03.12</v>
      </c>
      <c r="F459" s="31" t="s">
        <v>11844</v>
      </c>
      <c r="G459" s="34"/>
      <c r="H459" s="34"/>
      <c r="I459" s="34"/>
      <c r="J459" s="31" t="s">
        <v>315</v>
      </c>
      <c r="K459" s="33"/>
      <c r="L459" s="34"/>
      <c r="M459" s="34"/>
      <c r="N459" s="34"/>
      <c r="O459" s="656" t="s">
        <v>9265</v>
      </c>
      <c r="P459" s="33"/>
      <c r="Q459" s="31" t="s">
        <v>11802</v>
      </c>
      <c r="R459" s="2" t="str">
        <f t="array" ref="R459">xlookup($E459,'Bảng tổng hợp 1'!$B:$B,'Bảng tổng hợp 1'!$B:$B,0)</f>
        <v>L05.03.12</v>
      </c>
    </row>
    <row r="460" hidden="1">
      <c r="A460" s="30">
        <v>455.0</v>
      </c>
      <c r="B460" s="31" t="s">
        <v>12223</v>
      </c>
      <c r="C460" s="31" t="s">
        <v>2439</v>
      </c>
      <c r="D460" s="31" t="s">
        <v>2440</v>
      </c>
      <c r="E460" s="31" t="str">
        <f t="shared" si="58"/>
        <v>L05.03.12.01</v>
      </c>
      <c r="F460" s="31" t="s">
        <v>11851</v>
      </c>
      <c r="G460" s="34"/>
      <c r="H460" s="34"/>
      <c r="I460" s="34"/>
      <c r="J460" s="31" t="s">
        <v>1577</v>
      </c>
      <c r="K460" s="33"/>
      <c r="L460" s="34"/>
      <c r="M460" s="34"/>
      <c r="N460" s="34"/>
      <c r="O460" s="656" t="s">
        <v>9265</v>
      </c>
      <c r="P460" s="33"/>
      <c r="Q460" s="31" t="s">
        <v>11802</v>
      </c>
      <c r="R460" s="2" t="str">
        <f t="array" ref="R460">xlookup($E460,'Bảng tổng hợp 1'!$B:$B,'Bảng tổng hợp 1'!$B:$B,0)</f>
        <v>L05.03.12.01</v>
      </c>
    </row>
    <row r="461" hidden="1">
      <c r="A461" s="30">
        <v>456.0</v>
      </c>
      <c r="B461" s="31" t="s">
        <v>12223</v>
      </c>
      <c r="C461" s="31" t="s">
        <v>1598</v>
      </c>
      <c r="D461" s="31" t="s">
        <v>8419</v>
      </c>
      <c r="E461" s="31" t="str">
        <f t="shared" si="58"/>
        <v>L05.03.12.02</v>
      </c>
      <c r="F461" s="31" t="s">
        <v>11851</v>
      </c>
      <c r="G461" s="34"/>
      <c r="H461" s="34"/>
      <c r="I461" s="34"/>
      <c r="J461" s="31" t="s">
        <v>1577</v>
      </c>
      <c r="K461" s="33"/>
      <c r="L461" s="34"/>
      <c r="M461" s="34"/>
      <c r="N461" s="34"/>
      <c r="O461" s="656" t="s">
        <v>9265</v>
      </c>
      <c r="P461" s="33"/>
      <c r="Q461" s="31" t="s">
        <v>11802</v>
      </c>
      <c r="R461" s="2" t="str">
        <f t="array" ref="R461">xlookup($E461,'Bảng tổng hợp 1'!$B:$B,'Bảng tổng hợp 1'!$B:$B,0)</f>
        <v>L05.03.12.02</v>
      </c>
    </row>
    <row r="462" hidden="1">
      <c r="A462" s="30">
        <v>457.0</v>
      </c>
      <c r="B462" s="31" t="s">
        <v>12223</v>
      </c>
      <c r="C462" s="31" t="s">
        <v>1576</v>
      </c>
      <c r="D462" s="31" t="s">
        <v>7194</v>
      </c>
      <c r="E462" s="31" t="str">
        <f t="shared" si="58"/>
        <v>L05.03.12.03</v>
      </c>
      <c r="F462" s="31" t="s">
        <v>11851</v>
      </c>
      <c r="G462" s="34"/>
      <c r="H462" s="34"/>
      <c r="I462" s="34"/>
      <c r="J462" s="31" t="s">
        <v>1577</v>
      </c>
      <c r="K462" s="33"/>
      <c r="L462" s="34"/>
      <c r="M462" s="34"/>
      <c r="N462" s="31" t="s">
        <v>11969</v>
      </c>
      <c r="O462" s="656" t="s">
        <v>9265</v>
      </c>
      <c r="P462" s="33"/>
      <c r="Q462" s="31" t="s">
        <v>11802</v>
      </c>
      <c r="R462" s="2" t="str">
        <f t="array" ref="R462">xlookup($E462,'Bảng tổng hợp 1'!$B:$B,'Bảng tổng hợp 1'!$B:$B,0)</f>
        <v>L05.03.12.03</v>
      </c>
    </row>
    <row r="463" hidden="1">
      <c r="A463" s="30">
        <v>458.0</v>
      </c>
      <c r="B463" s="31" t="s">
        <v>12226</v>
      </c>
      <c r="C463" s="655" t="s">
        <v>12227</v>
      </c>
      <c r="D463" s="31" t="s">
        <v>12228</v>
      </c>
      <c r="E463" s="31" t="s">
        <v>12228</v>
      </c>
      <c r="F463" s="31" t="s">
        <v>11844</v>
      </c>
      <c r="G463" s="34"/>
      <c r="H463" s="34"/>
      <c r="I463" s="34"/>
      <c r="J463" s="31" t="s">
        <v>315</v>
      </c>
      <c r="K463" s="33"/>
      <c r="L463" s="34"/>
      <c r="M463" s="34"/>
      <c r="N463" s="34"/>
      <c r="O463" s="656" t="s">
        <v>9265</v>
      </c>
      <c r="P463" s="33"/>
      <c r="Q463" s="31" t="s">
        <v>11802</v>
      </c>
      <c r="R463" s="2">
        <f t="array" ref="R463">xlookup($E463,'Bảng tổng hợp 1'!$B:$B,'Bảng tổng hợp 1'!$B:$B,0)</f>
        <v>0</v>
      </c>
    </row>
    <row r="464" hidden="1">
      <c r="A464" s="30">
        <v>459.0</v>
      </c>
      <c r="B464" s="31" t="s">
        <v>12223</v>
      </c>
      <c r="C464" s="655" t="s">
        <v>12229</v>
      </c>
      <c r="D464" s="31" t="s">
        <v>12230</v>
      </c>
      <c r="E464" s="31" t="s">
        <v>12230</v>
      </c>
      <c r="F464" s="31" t="s">
        <v>11851</v>
      </c>
      <c r="G464" s="34"/>
      <c r="H464" s="34"/>
      <c r="I464" s="34"/>
      <c r="J464" s="31" t="s">
        <v>12227</v>
      </c>
      <c r="K464" s="33"/>
      <c r="L464" s="34"/>
      <c r="M464" s="34"/>
      <c r="N464" s="34"/>
      <c r="O464" s="656" t="s">
        <v>9265</v>
      </c>
      <c r="P464" s="33"/>
      <c r="Q464" s="31" t="s">
        <v>11802</v>
      </c>
      <c r="R464" s="2">
        <f t="array" ref="R464">xlookup($E464,'Bảng tổng hợp 1'!$B:$B,'Bảng tổng hợp 1'!$B:$B,0)</f>
        <v>0</v>
      </c>
    </row>
    <row r="465" hidden="1">
      <c r="A465" s="30">
        <v>460.0</v>
      </c>
      <c r="B465" s="31" t="s">
        <v>12223</v>
      </c>
      <c r="C465" s="655" t="s">
        <v>12231</v>
      </c>
      <c r="D465" s="31" t="s">
        <v>12232</v>
      </c>
      <c r="E465" s="31" t="s">
        <v>12232</v>
      </c>
      <c r="F465" s="31" t="s">
        <v>11851</v>
      </c>
      <c r="G465" s="34"/>
      <c r="H465" s="34"/>
      <c r="I465" s="34"/>
      <c r="J465" s="31" t="s">
        <v>12227</v>
      </c>
      <c r="K465" s="33"/>
      <c r="L465" s="34"/>
      <c r="M465" s="34"/>
      <c r="N465" s="34"/>
      <c r="O465" s="656" t="s">
        <v>9265</v>
      </c>
      <c r="P465" s="33"/>
      <c r="Q465" s="31" t="s">
        <v>11802</v>
      </c>
      <c r="R465" s="2">
        <f t="array" ref="R465">xlookup($E465,'Bảng tổng hợp 1'!$B:$B,'Bảng tổng hợp 1'!$B:$B,0)</f>
        <v>0</v>
      </c>
    </row>
    <row r="466" hidden="1">
      <c r="A466" s="30">
        <v>461.0</v>
      </c>
      <c r="B466" s="31" t="s">
        <v>12233</v>
      </c>
      <c r="C466" s="31" t="s">
        <v>316</v>
      </c>
      <c r="D466" s="31" t="s">
        <v>8724</v>
      </c>
      <c r="E466" s="31" t="str">
        <f t="shared" ref="E466:E474" si="59">trim(D466)</f>
        <v>L05.03.14</v>
      </c>
      <c r="F466" s="31" t="s">
        <v>11844</v>
      </c>
      <c r="G466" s="34"/>
      <c r="H466" s="34"/>
      <c r="I466" s="34"/>
      <c r="J466" s="31" t="s">
        <v>315</v>
      </c>
      <c r="K466" s="33"/>
      <c r="L466" s="34"/>
      <c r="M466" s="34"/>
      <c r="N466" s="34"/>
      <c r="O466" s="656" t="s">
        <v>9265</v>
      </c>
      <c r="P466" s="33"/>
      <c r="Q466" s="31" t="s">
        <v>11802</v>
      </c>
      <c r="R466" s="2" t="str">
        <f t="array" ref="R466">xlookup($E466,'Bảng tổng hợp 1'!$B:$B,'Bảng tổng hợp 1'!$B:$B,0)</f>
        <v>L05.03.14</v>
      </c>
    </row>
    <row r="467" hidden="1">
      <c r="A467" s="30">
        <v>462.0</v>
      </c>
      <c r="B467" s="31" t="s">
        <v>12223</v>
      </c>
      <c r="C467" s="31" t="s">
        <v>1507</v>
      </c>
      <c r="D467" s="31" t="s">
        <v>2390</v>
      </c>
      <c r="E467" s="31" t="str">
        <f t="shared" si="59"/>
        <v>L05.03.14.01</v>
      </c>
      <c r="F467" s="31" t="s">
        <v>11851</v>
      </c>
      <c r="G467" s="34"/>
      <c r="H467" s="34"/>
      <c r="I467" s="34"/>
      <c r="J467" s="31" t="s">
        <v>316</v>
      </c>
      <c r="K467" s="33"/>
      <c r="L467" s="34"/>
      <c r="M467" s="34"/>
      <c r="N467" s="34"/>
      <c r="O467" s="656" t="s">
        <v>9265</v>
      </c>
      <c r="P467" s="33"/>
      <c r="Q467" s="31" t="s">
        <v>11802</v>
      </c>
      <c r="R467" s="2" t="str">
        <f t="array" ref="R467">xlookup($E467,'Bảng tổng hợp 1'!$B:$B,'Bảng tổng hợp 1'!$B:$B,0)</f>
        <v>L05.03.14.01</v>
      </c>
    </row>
    <row r="468" hidden="1">
      <c r="A468" s="30">
        <v>463.0</v>
      </c>
      <c r="B468" s="31" t="s">
        <v>12223</v>
      </c>
      <c r="C468" s="31" t="s">
        <v>314</v>
      </c>
      <c r="D468" s="31" t="s">
        <v>317</v>
      </c>
      <c r="E468" s="31" t="str">
        <f t="shared" si="59"/>
        <v>L05.03.14.02</v>
      </c>
      <c r="F468" s="31" t="s">
        <v>11851</v>
      </c>
      <c r="G468" s="34"/>
      <c r="H468" s="34"/>
      <c r="I468" s="34"/>
      <c r="J468" s="31" t="s">
        <v>316</v>
      </c>
      <c r="K468" s="33"/>
      <c r="L468" s="34"/>
      <c r="M468" s="34"/>
      <c r="N468" s="34"/>
      <c r="O468" s="656" t="s">
        <v>9265</v>
      </c>
      <c r="P468" s="33"/>
      <c r="Q468" s="31" t="s">
        <v>11802</v>
      </c>
      <c r="R468" s="2" t="str">
        <f t="array" ref="R468">xlookup($E468,'Bảng tổng hợp 1'!$B:$B,'Bảng tổng hợp 1'!$B:$B,0)</f>
        <v>L05.03.14.02</v>
      </c>
    </row>
    <row r="469" hidden="1">
      <c r="A469" s="30">
        <v>464.0</v>
      </c>
      <c r="B469" s="31" t="s">
        <v>12223</v>
      </c>
      <c r="C469" s="31" t="s">
        <v>1486</v>
      </c>
      <c r="D469" s="31" t="s">
        <v>2394</v>
      </c>
      <c r="E469" s="31" t="str">
        <f t="shared" si="59"/>
        <v>L05.03.14.03</v>
      </c>
      <c r="F469" s="31" t="s">
        <v>11851</v>
      </c>
      <c r="G469" s="34"/>
      <c r="H469" s="34"/>
      <c r="I469" s="34"/>
      <c r="J469" s="31" t="s">
        <v>316</v>
      </c>
      <c r="K469" s="33"/>
      <c r="L469" s="34"/>
      <c r="M469" s="34"/>
      <c r="N469" s="31" t="s">
        <v>11969</v>
      </c>
      <c r="O469" s="656" t="s">
        <v>9265</v>
      </c>
      <c r="P469" s="33"/>
      <c r="Q469" s="31" t="s">
        <v>11802</v>
      </c>
      <c r="R469" s="2" t="str">
        <f t="array" ref="R469">xlookup($E469,'Bảng tổng hợp 1'!$B:$B,'Bảng tổng hợp 1'!$B:$B,0)</f>
        <v>L05.03.14.03</v>
      </c>
    </row>
    <row r="470" hidden="1">
      <c r="A470" s="30">
        <v>465.0</v>
      </c>
      <c r="B470" s="31" t="s">
        <v>12234</v>
      </c>
      <c r="C470" s="31" t="s">
        <v>86</v>
      </c>
      <c r="D470" s="31" t="s">
        <v>8703</v>
      </c>
      <c r="E470" s="31" t="str">
        <f t="shared" si="59"/>
        <v>L05.03.15</v>
      </c>
      <c r="F470" s="31" t="s">
        <v>11844</v>
      </c>
      <c r="G470" s="34"/>
      <c r="H470" s="34"/>
      <c r="I470" s="34"/>
      <c r="J470" s="31" t="s">
        <v>315</v>
      </c>
      <c r="K470" s="33"/>
      <c r="L470" s="34"/>
      <c r="M470" s="34"/>
      <c r="N470" s="31" t="s">
        <v>11918</v>
      </c>
      <c r="O470" s="656" t="s">
        <v>9265</v>
      </c>
      <c r="P470" s="33"/>
      <c r="Q470" s="31" t="s">
        <v>11802</v>
      </c>
      <c r="R470" s="2" t="str">
        <f t="array" ref="R470">xlookup($E470,'Bảng tổng hợp 1'!$B:$B,'Bảng tổng hợp 1'!$B:$B,0)</f>
        <v>L05.03.15</v>
      </c>
    </row>
    <row r="471" hidden="1">
      <c r="A471" s="30">
        <v>466.0</v>
      </c>
      <c r="B471" s="31" t="s">
        <v>12235</v>
      </c>
      <c r="C471" s="31" t="s">
        <v>1395</v>
      </c>
      <c r="D471" s="31" t="s">
        <v>2386</v>
      </c>
      <c r="E471" s="31" t="str">
        <f t="shared" si="59"/>
        <v>L05.03.15.01</v>
      </c>
      <c r="F471" s="31" t="s">
        <v>11854</v>
      </c>
      <c r="G471" s="34"/>
      <c r="H471" s="34"/>
      <c r="I471" s="34"/>
      <c r="J471" s="31" t="s">
        <v>86</v>
      </c>
      <c r="K471" s="33"/>
      <c r="L471" s="34"/>
      <c r="M471" s="34"/>
      <c r="N471" s="31" t="s">
        <v>11918</v>
      </c>
      <c r="O471" s="656" t="s">
        <v>9265</v>
      </c>
      <c r="P471" s="33"/>
      <c r="Q471" s="31" t="s">
        <v>11802</v>
      </c>
      <c r="R471" s="2" t="str">
        <f t="array" ref="R471">xlookup($E471,'Bảng tổng hợp 1'!$B:$B,'Bảng tổng hợp 1'!$B:$B,0)</f>
        <v>L05.03.15.01</v>
      </c>
    </row>
    <row r="472" hidden="1">
      <c r="A472" s="30">
        <v>467.0</v>
      </c>
      <c r="B472" s="31" t="s">
        <v>12236</v>
      </c>
      <c r="C472" s="31" t="s">
        <v>1365</v>
      </c>
      <c r="D472" s="31" t="s">
        <v>2348</v>
      </c>
      <c r="E472" s="31" t="str">
        <f t="shared" si="59"/>
        <v>L05.03.15.02</v>
      </c>
      <c r="F472" s="31" t="s">
        <v>11854</v>
      </c>
      <c r="G472" s="34"/>
      <c r="H472" s="34"/>
      <c r="I472" s="34"/>
      <c r="J472" s="31" t="s">
        <v>86</v>
      </c>
      <c r="K472" s="33"/>
      <c r="L472" s="34"/>
      <c r="M472" s="34"/>
      <c r="N472" s="31" t="s">
        <v>11918</v>
      </c>
      <c r="O472" s="656" t="s">
        <v>9265</v>
      </c>
      <c r="P472" s="33"/>
      <c r="Q472" s="31" t="s">
        <v>11802</v>
      </c>
      <c r="R472" s="2" t="str">
        <f t="array" ref="R472">xlookup($E472,'Bảng tổng hợp 1'!$B:$B,'Bảng tổng hợp 1'!$B:$B,0)</f>
        <v>L05.03.15.02</v>
      </c>
    </row>
    <row r="473" hidden="1">
      <c r="A473" s="30">
        <v>468.0</v>
      </c>
      <c r="B473" s="31" t="s">
        <v>12237</v>
      </c>
      <c r="C473" s="31" t="s">
        <v>1323</v>
      </c>
      <c r="D473" s="31" t="s">
        <v>2333</v>
      </c>
      <c r="E473" s="31" t="str">
        <f t="shared" si="59"/>
        <v>L05.03.15.03</v>
      </c>
      <c r="F473" s="31" t="s">
        <v>11854</v>
      </c>
      <c r="G473" s="34"/>
      <c r="H473" s="34"/>
      <c r="I473" s="34"/>
      <c r="J473" s="31" t="s">
        <v>86</v>
      </c>
      <c r="K473" s="33"/>
      <c r="L473" s="34"/>
      <c r="M473" s="34"/>
      <c r="N473" s="31" t="s">
        <v>11918</v>
      </c>
      <c r="O473" s="656" t="s">
        <v>9265</v>
      </c>
      <c r="P473" s="33"/>
      <c r="Q473" s="31" t="s">
        <v>11802</v>
      </c>
      <c r="R473" s="2" t="str">
        <f t="array" ref="R473">xlookup($E473,'Bảng tổng hợp 1'!$B:$B,'Bảng tổng hợp 1'!$B:$B,0)</f>
        <v>L05.03.15.03</v>
      </c>
    </row>
    <row r="474" hidden="1">
      <c r="A474" s="30">
        <v>469.0</v>
      </c>
      <c r="B474" s="31" t="s">
        <v>12238</v>
      </c>
      <c r="C474" s="31" t="s">
        <v>1220</v>
      </c>
      <c r="D474" s="31" t="s">
        <v>2359</v>
      </c>
      <c r="E474" s="31" t="str">
        <f t="shared" si="59"/>
        <v>L05.03.15.04</v>
      </c>
      <c r="F474" s="31" t="s">
        <v>11854</v>
      </c>
      <c r="G474" s="34"/>
      <c r="H474" s="34"/>
      <c r="I474" s="34"/>
      <c r="J474" s="31" t="s">
        <v>86</v>
      </c>
      <c r="K474" s="33"/>
      <c r="L474" s="34"/>
      <c r="M474" s="34"/>
      <c r="N474" s="31" t="s">
        <v>11918</v>
      </c>
      <c r="O474" s="656" t="s">
        <v>9265</v>
      </c>
      <c r="P474" s="33"/>
      <c r="Q474" s="31" t="s">
        <v>11802</v>
      </c>
      <c r="R474" s="2" t="str">
        <f t="array" ref="R474">xlookup($E474,'Bảng tổng hợp 1'!$B:$B,'Bảng tổng hợp 1'!$B:$B,0)</f>
        <v>L05.03.15.04</v>
      </c>
    </row>
    <row r="475" hidden="1">
      <c r="A475" s="30">
        <v>470.0</v>
      </c>
      <c r="B475" s="31" t="s">
        <v>12239</v>
      </c>
      <c r="C475" s="655" t="s">
        <v>275</v>
      </c>
      <c r="D475" s="31" t="s">
        <v>11289</v>
      </c>
      <c r="E475" s="31" t="s">
        <v>11289</v>
      </c>
      <c r="F475" s="31" t="s">
        <v>11850</v>
      </c>
      <c r="G475" s="34"/>
      <c r="H475" s="34"/>
      <c r="I475" s="34"/>
      <c r="J475" s="31" t="s">
        <v>262</v>
      </c>
      <c r="K475" s="33"/>
      <c r="L475" s="34"/>
      <c r="M475" s="34"/>
      <c r="N475" s="34"/>
      <c r="O475" s="656" t="s">
        <v>9265</v>
      </c>
      <c r="P475" s="33"/>
      <c r="Q475" s="31" t="s">
        <v>11802</v>
      </c>
      <c r="R475" s="2">
        <f t="array" ref="R475">xlookup($E475,'Bảng tổng hợp 1'!$B:$B,'Bảng tổng hợp 1'!$B:$B,0)</f>
        <v>0</v>
      </c>
    </row>
    <row r="476" hidden="1">
      <c r="A476" s="30">
        <v>471.0</v>
      </c>
      <c r="B476" s="31" t="s">
        <v>12240</v>
      </c>
      <c r="C476" s="31" t="s">
        <v>7230</v>
      </c>
      <c r="D476" s="31" t="s">
        <v>7231</v>
      </c>
      <c r="E476" s="31" t="str">
        <f>trim(D476)</f>
        <v>L05.30.00</v>
      </c>
      <c r="F476" s="31" t="s">
        <v>11844</v>
      </c>
      <c r="G476" s="34"/>
      <c r="H476" s="34"/>
      <c r="I476" s="34"/>
      <c r="J476" s="31" t="s">
        <v>275</v>
      </c>
      <c r="K476" s="33"/>
      <c r="L476" s="34"/>
      <c r="M476" s="34"/>
      <c r="N476" s="34"/>
      <c r="O476" s="656" t="s">
        <v>9265</v>
      </c>
      <c r="P476" s="33"/>
      <c r="Q476" s="31" t="s">
        <v>11802</v>
      </c>
      <c r="R476" s="2" t="str">
        <f t="array" ref="R476">xlookup($E476,'Bảng tổng hợp 1'!$B:$B,'Bảng tổng hợp 1'!$B:$B,0)</f>
        <v>L05.30.00</v>
      </c>
    </row>
    <row r="477" hidden="1">
      <c r="A477" s="30">
        <v>472.0</v>
      </c>
      <c r="B477" s="31" t="s">
        <v>12241</v>
      </c>
      <c r="C477" s="655" t="s">
        <v>12042</v>
      </c>
      <c r="D477" s="31" t="s">
        <v>12242</v>
      </c>
      <c r="E477" s="31" t="s">
        <v>12242</v>
      </c>
      <c r="F477" s="31" t="s">
        <v>11844</v>
      </c>
      <c r="G477" s="34"/>
      <c r="H477" s="34"/>
      <c r="I477" s="34"/>
      <c r="J477" s="31" t="s">
        <v>275</v>
      </c>
      <c r="K477" s="33"/>
      <c r="L477" s="34"/>
      <c r="M477" s="34"/>
      <c r="N477" s="34"/>
      <c r="O477" s="656" t="s">
        <v>9265</v>
      </c>
      <c r="P477" s="33"/>
      <c r="Q477" s="31" t="s">
        <v>11802</v>
      </c>
      <c r="R477" s="2">
        <f t="array" ref="R477">xlookup($E477,'Bảng tổng hợp 1'!$B:$B,'Bảng tổng hợp 1'!$B:$B,0)</f>
        <v>0</v>
      </c>
    </row>
    <row r="478" hidden="1">
      <c r="A478" s="30">
        <v>473.0</v>
      </c>
      <c r="B478" s="31" t="s">
        <v>12243</v>
      </c>
      <c r="C478" s="655" t="s">
        <v>12086</v>
      </c>
      <c r="D478" s="31" t="s">
        <v>12244</v>
      </c>
      <c r="E478" s="31" t="s">
        <v>12244</v>
      </c>
      <c r="F478" s="31" t="s">
        <v>11851</v>
      </c>
      <c r="G478" s="34"/>
      <c r="H478" s="34"/>
      <c r="I478" s="34"/>
      <c r="J478" s="31" t="s">
        <v>12042</v>
      </c>
      <c r="K478" s="33"/>
      <c r="L478" s="34"/>
      <c r="M478" s="34"/>
      <c r="N478" s="34"/>
      <c r="O478" s="656" t="s">
        <v>9265</v>
      </c>
      <c r="P478" s="33"/>
      <c r="Q478" s="31" t="s">
        <v>11802</v>
      </c>
      <c r="R478" s="2">
        <f t="array" ref="R478">xlookup($E478,'Bảng tổng hợp 1'!$B:$B,'Bảng tổng hợp 1'!$B:$B,0)</f>
        <v>0</v>
      </c>
    </row>
    <row r="479" hidden="1">
      <c r="A479" s="30">
        <v>474.0</v>
      </c>
      <c r="B479" s="31" t="s">
        <v>12245</v>
      </c>
      <c r="C479" s="655" t="s">
        <v>12089</v>
      </c>
      <c r="D479" s="31" t="s">
        <v>12246</v>
      </c>
      <c r="E479" s="31" t="s">
        <v>12246</v>
      </c>
      <c r="F479" s="31" t="s">
        <v>11851</v>
      </c>
      <c r="G479" s="34"/>
      <c r="H479" s="34"/>
      <c r="I479" s="34"/>
      <c r="J479" s="31" t="s">
        <v>12042</v>
      </c>
      <c r="K479" s="33"/>
      <c r="L479" s="34"/>
      <c r="M479" s="34"/>
      <c r="N479" s="34"/>
      <c r="O479" s="656" t="s">
        <v>9265</v>
      </c>
      <c r="P479" s="33"/>
      <c r="Q479" s="31" t="s">
        <v>11802</v>
      </c>
      <c r="R479" s="2">
        <f t="array" ref="R479">xlookup($E479,'Bảng tổng hợp 1'!$B:$B,'Bảng tổng hợp 1'!$B:$B,0)</f>
        <v>0</v>
      </c>
    </row>
    <row r="480" hidden="1">
      <c r="A480" s="30">
        <v>475.0</v>
      </c>
      <c r="B480" s="31" t="s">
        <v>12247</v>
      </c>
      <c r="C480" s="655" t="s">
        <v>12092</v>
      </c>
      <c r="D480" s="31" t="s">
        <v>12248</v>
      </c>
      <c r="E480" s="31" t="s">
        <v>12248</v>
      </c>
      <c r="F480" s="31" t="s">
        <v>11851</v>
      </c>
      <c r="G480" s="34"/>
      <c r="H480" s="34"/>
      <c r="I480" s="34"/>
      <c r="J480" s="31" t="s">
        <v>12042</v>
      </c>
      <c r="K480" s="33"/>
      <c r="L480" s="34"/>
      <c r="M480" s="34"/>
      <c r="N480" s="34"/>
      <c r="O480" s="656" t="s">
        <v>9265</v>
      </c>
      <c r="P480" s="33"/>
      <c r="Q480" s="31" t="s">
        <v>11802</v>
      </c>
      <c r="R480" s="2">
        <f t="array" ref="R480">xlookup($E480,'Bảng tổng hợp 1'!$B:$B,'Bảng tổng hợp 1'!$B:$B,0)</f>
        <v>0</v>
      </c>
    </row>
    <row r="481" hidden="1">
      <c r="A481" s="30">
        <v>476.0</v>
      </c>
      <c r="B481" s="31" t="s">
        <v>12249</v>
      </c>
      <c r="C481" s="655" t="s">
        <v>12095</v>
      </c>
      <c r="D481" s="31" t="s">
        <v>12250</v>
      </c>
      <c r="E481" s="31" t="s">
        <v>12250</v>
      </c>
      <c r="F481" s="31" t="s">
        <v>11851</v>
      </c>
      <c r="G481" s="34"/>
      <c r="H481" s="34"/>
      <c r="I481" s="34"/>
      <c r="J481" s="31" t="s">
        <v>12042</v>
      </c>
      <c r="K481" s="33"/>
      <c r="L481" s="34"/>
      <c r="M481" s="34"/>
      <c r="N481" s="34"/>
      <c r="O481" s="656" t="s">
        <v>9265</v>
      </c>
      <c r="P481" s="33"/>
      <c r="Q481" s="31" t="s">
        <v>11802</v>
      </c>
      <c r="R481" s="2">
        <f t="array" ref="R481">xlookup($E481,'Bảng tổng hợp 1'!$B:$B,'Bảng tổng hợp 1'!$B:$B,0)</f>
        <v>0</v>
      </c>
    </row>
    <row r="482" hidden="1">
      <c r="A482" s="30">
        <v>477.0</v>
      </c>
      <c r="B482" s="31" t="s">
        <v>12239</v>
      </c>
      <c r="C482" s="31" t="s">
        <v>2029</v>
      </c>
      <c r="D482" s="31" t="s">
        <v>7466</v>
      </c>
      <c r="E482" s="31" t="str">
        <f t="shared" ref="E482:E499" si="60">trim(D482)</f>
        <v>L05.30.10</v>
      </c>
      <c r="F482" s="31" t="s">
        <v>11844</v>
      </c>
      <c r="G482" s="34"/>
      <c r="H482" s="34"/>
      <c r="I482" s="34"/>
      <c r="J482" s="31" t="s">
        <v>275</v>
      </c>
      <c r="K482" s="33"/>
      <c r="L482" s="34"/>
      <c r="M482" s="34"/>
      <c r="N482" s="34"/>
      <c r="O482" s="656" t="s">
        <v>9265</v>
      </c>
      <c r="P482" s="33"/>
      <c r="Q482" s="31" t="s">
        <v>11802</v>
      </c>
      <c r="R482" s="2" t="str">
        <f t="array" ref="R482">xlookup($E482,'Bảng tổng hợp 1'!$B:$B,'Bảng tổng hợp 1'!$B:$B,0)</f>
        <v>L05.30.10</v>
      </c>
    </row>
    <row r="483" hidden="1">
      <c r="A483" s="30">
        <v>478.0</v>
      </c>
      <c r="B483" s="31" t="s">
        <v>12251</v>
      </c>
      <c r="C483" s="31" t="s">
        <v>1985</v>
      </c>
      <c r="D483" s="31" t="s">
        <v>2070</v>
      </c>
      <c r="E483" s="31" t="str">
        <f t="shared" si="60"/>
        <v>L05.30.10.01</v>
      </c>
      <c r="F483" s="31" t="s">
        <v>11851</v>
      </c>
      <c r="G483" s="34"/>
      <c r="H483" s="34"/>
      <c r="I483" s="34"/>
      <c r="J483" s="31" t="s">
        <v>2029</v>
      </c>
      <c r="K483" s="33"/>
      <c r="L483" s="34"/>
      <c r="M483" s="34"/>
      <c r="N483" s="34"/>
      <c r="O483" s="656" t="s">
        <v>9265</v>
      </c>
      <c r="P483" s="33"/>
      <c r="Q483" s="31" t="s">
        <v>11802</v>
      </c>
      <c r="R483" s="2" t="str">
        <f t="array" ref="R483">xlookup($E483,'Bảng tổng hợp 1'!$B:$B,'Bảng tổng hợp 1'!$B:$B,0)</f>
        <v>L05.30.10.01</v>
      </c>
    </row>
    <row r="484" hidden="1">
      <c r="A484" s="30">
        <v>479.0</v>
      </c>
      <c r="B484" s="31" t="s">
        <v>12239</v>
      </c>
      <c r="C484" s="31" t="s">
        <v>2034</v>
      </c>
      <c r="D484" s="31" t="s">
        <v>8883</v>
      </c>
      <c r="E484" s="31" t="str">
        <f t="shared" si="60"/>
        <v>L05.30.10.02</v>
      </c>
      <c r="F484" s="31" t="s">
        <v>11851</v>
      </c>
      <c r="G484" s="34"/>
      <c r="H484" s="34"/>
      <c r="I484" s="34"/>
      <c r="J484" s="31" t="s">
        <v>2029</v>
      </c>
      <c r="K484" s="33"/>
      <c r="L484" s="34"/>
      <c r="M484" s="34"/>
      <c r="N484" s="34"/>
      <c r="O484" s="656" t="s">
        <v>9265</v>
      </c>
      <c r="P484" s="33"/>
      <c r="Q484" s="31" t="s">
        <v>11802</v>
      </c>
      <c r="R484" s="2" t="str">
        <f t="array" ref="R484">xlookup($E484,'Bảng tổng hợp 1'!$B:$B,'Bảng tổng hợp 1'!$B:$B,0)</f>
        <v>L05.30.10.02</v>
      </c>
    </row>
    <row r="485" hidden="1">
      <c r="A485" s="30">
        <v>480.0</v>
      </c>
      <c r="B485" s="31" t="s">
        <v>12239</v>
      </c>
      <c r="C485" s="31" t="s">
        <v>2051</v>
      </c>
      <c r="D485" s="31" t="s">
        <v>2131</v>
      </c>
      <c r="E485" s="31" t="str">
        <f t="shared" si="60"/>
        <v>L05.30.10.03</v>
      </c>
      <c r="F485" s="31" t="s">
        <v>11851</v>
      </c>
      <c r="G485" s="34"/>
      <c r="H485" s="34"/>
      <c r="I485" s="34"/>
      <c r="J485" s="31" t="s">
        <v>2029</v>
      </c>
      <c r="K485" s="33"/>
      <c r="L485" s="34"/>
      <c r="M485" s="34"/>
      <c r="N485" s="34"/>
      <c r="O485" s="656" t="s">
        <v>9265</v>
      </c>
      <c r="P485" s="33"/>
      <c r="Q485" s="31" t="s">
        <v>11802</v>
      </c>
      <c r="R485" s="2" t="str">
        <f t="array" ref="R485">xlookup($E485,'Bảng tổng hợp 1'!$B:$B,'Bảng tổng hợp 1'!$B:$B,0)</f>
        <v>L05.30.10.03</v>
      </c>
    </row>
    <row r="486" hidden="1">
      <c r="A486" s="30">
        <v>481.0</v>
      </c>
      <c r="B486" s="31" t="s">
        <v>12239</v>
      </c>
      <c r="C486" s="31" t="s">
        <v>2021</v>
      </c>
      <c r="D486" s="31" t="s">
        <v>2030</v>
      </c>
      <c r="E486" s="31" t="str">
        <f t="shared" si="60"/>
        <v>L05.30.10.04</v>
      </c>
      <c r="F486" s="31" t="s">
        <v>11851</v>
      </c>
      <c r="G486" s="34"/>
      <c r="H486" s="34"/>
      <c r="I486" s="34"/>
      <c r="J486" s="31" t="s">
        <v>2029</v>
      </c>
      <c r="K486" s="33"/>
      <c r="L486" s="34"/>
      <c r="M486" s="34"/>
      <c r="N486" s="34"/>
      <c r="O486" s="656" t="s">
        <v>9265</v>
      </c>
      <c r="P486" s="33"/>
      <c r="Q486" s="31" t="s">
        <v>11802</v>
      </c>
      <c r="R486" s="2" t="str">
        <f t="array" ref="R486">xlookup($E486,'Bảng tổng hợp 1'!$B:$B,'Bảng tổng hợp 1'!$B:$B,0)</f>
        <v>L05.30.10.04</v>
      </c>
    </row>
    <row r="487" hidden="1">
      <c r="A487" s="30">
        <v>482.0</v>
      </c>
      <c r="B487" s="31" t="s">
        <v>12239</v>
      </c>
      <c r="C487" s="31" t="s">
        <v>2060</v>
      </c>
      <c r="D487" s="31" t="s">
        <v>8873</v>
      </c>
      <c r="E487" s="31" t="str">
        <f t="shared" si="60"/>
        <v>L05.30.10.05</v>
      </c>
      <c r="F487" s="31" t="s">
        <v>11851</v>
      </c>
      <c r="G487" s="34"/>
      <c r="H487" s="34"/>
      <c r="I487" s="34"/>
      <c r="J487" s="31" t="s">
        <v>2029</v>
      </c>
      <c r="K487" s="33"/>
      <c r="L487" s="34"/>
      <c r="M487" s="34"/>
      <c r="N487" s="34"/>
      <c r="O487" s="656" t="s">
        <v>9265</v>
      </c>
      <c r="P487" s="33"/>
      <c r="Q487" s="31" t="s">
        <v>11802</v>
      </c>
      <c r="R487" s="2" t="str">
        <f t="array" ref="R487">xlookup($E487,'Bảng tổng hợp 1'!$B:$B,'Bảng tổng hợp 1'!$B:$B,0)</f>
        <v>L05.30.10.05</v>
      </c>
    </row>
    <row r="488" hidden="1">
      <c r="A488" s="30">
        <v>483.0</v>
      </c>
      <c r="B488" s="31" t="s">
        <v>12239</v>
      </c>
      <c r="C488" s="31" t="s">
        <v>1986</v>
      </c>
      <c r="D488" s="31" t="s">
        <v>8912</v>
      </c>
      <c r="E488" s="31" t="str">
        <f t="shared" si="60"/>
        <v>L05.30.11</v>
      </c>
      <c r="F488" s="31" t="s">
        <v>11844</v>
      </c>
      <c r="G488" s="34"/>
      <c r="H488" s="34"/>
      <c r="I488" s="34"/>
      <c r="J488" s="31" t="s">
        <v>275</v>
      </c>
      <c r="K488" s="33"/>
      <c r="L488" s="34"/>
      <c r="M488" s="34"/>
      <c r="N488" s="34"/>
      <c r="O488" s="656" t="s">
        <v>9265</v>
      </c>
      <c r="P488" s="33"/>
      <c r="Q488" s="31" t="s">
        <v>11802</v>
      </c>
      <c r="R488" s="2" t="str">
        <f t="array" ref="R488">xlookup($E488,'Bảng tổng hợp 1'!$B:$B,'Bảng tổng hợp 1'!$B:$B,0)</f>
        <v>L05.30.11</v>
      </c>
    </row>
    <row r="489" hidden="1">
      <c r="A489" s="30">
        <v>484.0</v>
      </c>
      <c r="B489" s="31" t="s">
        <v>12252</v>
      </c>
      <c r="C489" s="31" t="s">
        <v>1985</v>
      </c>
      <c r="D489" s="31" t="s">
        <v>1987</v>
      </c>
      <c r="E489" s="31" t="str">
        <f t="shared" si="60"/>
        <v>L05.30.11.01</v>
      </c>
      <c r="F489" s="31" t="s">
        <v>11851</v>
      </c>
      <c r="G489" s="34"/>
      <c r="H489" s="34"/>
      <c r="I489" s="34"/>
      <c r="J489" s="31" t="s">
        <v>1986</v>
      </c>
      <c r="K489" s="33"/>
      <c r="L489" s="34"/>
      <c r="M489" s="34"/>
      <c r="N489" s="34"/>
      <c r="O489" s="656" t="s">
        <v>9265</v>
      </c>
      <c r="P489" s="33"/>
      <c r="Q489" s="31" t="s">
        <v>11802</v>
      </c>
      <c r="R489" s="2" t="str">
        <f t="array" ref="R489">xlookup($E489,'Bảng tổng hợp 1'!$B:$B,'Bảng tổng hợp 1'!$B:$B,0)</f>
        <v>L05.30.11.01</v>
      </c>
    </row>
    <row r="490" hidden="1">
      <c r="A490" s="30">
        <v>485.0</v>
      </c>
      <c r="B490" s="31" t="s">
        <v>12239</v>
      </c>
      <c r="C490" s="31" t="s">
        <v>2034</v>
      </c>
      <c r="D490" s="31" t="s">
        <v>2035</v>
      </c>
      <c r="E490" s="31" t="str">
        <f t="shared" si="60"/>
        <v>L05.30.11.02</v>
      </c>
      <c r="F490" s="31" t="s">
        <v>11851</v>
      </c>
      <c r="G490" s="34"/>
      <c r="H490" s="34"/>
      <c r="I490" s="34"/>
      <c r="J490" s="31" t="s">
        <v>1986</v>
      </c>
      <c r="K490" s="33"/>
      <c r="L490" s="34"/>
      <c r="M490" s="34"/>
      <c r="N490" s="34"/>
      <c r="O490" s="656" t="s">
        <v>9265</v>
      </c>
      <c r="P490" s="33"/>
      <c r="Q490" s="31" t="s">
        <v>11802</v>
      </c>
      <c r="R490" s="2" t="str">
        <f t="array" ref="R490">xlookup($E490,'Bảng tổng hợp 1'!$B:$B,'Bảng tổng hợp 1'!$B:$B,0)</f>
        <v>L05.30.11.02</v>
      </c>
    </row>
    <row r="491" hidden="1">
      <c r="A491" s="30">
        <v>486.0</v>
      </c>
      <c r="B491" s="31" t="s">
        <v>12239</v>
      </c>
      <c r="C491" s="31" t="s">
        <v>2051</v>
      </c>
      <c r="D491" s="31" t="s">
        <v>2052</v>
      </c>
      <c r="E491" s="31" t="str">
        <f t="shared" si="60"/>
        <v>L05.30.11.03</v>
      </c>
      <c r="F491" s="31" t="s">
        <v>11851</v>
      </c>
      <c r="G491" s="34"/>
      <c r="H491" s="34"/>
      <c r="I491" s="34"/>
      <c r="J491" s="31" t="s">
        <v>1986</v>
      </c>
      <c r="K491" s="33"/>
      <c r="L491" s="34"/>
      <c r="M491" s="34"/>
      <c r="N491" s="34"/>
      <c r="O491" s="656" t="s">
        <v>9265</v>
      </c>
      <c r="P491" s="33"/>
      <c r="Q491" s="31" t="s">
        <v>11802</v>
      </c>
      <c r="R491" s="2" t="str">
        <f t="array" ref="R491">xlookup($E491,'Bảng tổng hợp 1'!$B:$B,'Bảng tổng hợp 1'!$B:$B,0)</f>
        <v>L05.30.11.03</v>
      </c>
    </row>
    <row r="492" hidden="1">
      <c r="A492" s="30">
        <v>487.0</v>
      </c>
      <c r="B492" s="31" t="s">
        <v>12239</v>
      </c>
      <c r="C492" s="31" t="s">
        <v>2021</v>
      </c>
      <c r="D492" s="31" t="s">
        <v>2022</v>
      </c>
      <c r="E492" s="31" t="str">
        <f t="shared" si="60"/>
        <v>L05.30.11.04</v>
      </c>
      <c r="F492" s="31" t="s">
        <v>11851</v>
      </c>
      <c r="G492" s="34"/>
      <c r="H492" s="34"/>
      <c r="I492" s="34"/>
      <c r="J492" s="31" t="s">
        <v>1986</v>
      </c>
      <c r="K492" s="33"/>
      <c r="L492" s="34"/>
      <c r="M492" s="34"/>
      <c r="N492" s="34"/>
      <c r="O492" s="656" t="s">
        <v>9265</v>
      </c>
      <c r="P492" s="33"/>
      <c r="Q492" s="31" t="s">
        <v>11802</v>
      </c>
      <c r="R492" s="2" t="str">
        <f t="array" ref="R492">xlookup($E492,'Bảng tổng hợp 1'!$B:$B,'Bảng tổng hợp 1'!$B:$B,0)</f>
        <v>L05.30.11.04</v>
      </c>
    </row>
    <row r="493" hidden="1">
      <c r="A493" s="30">
        <v>488.0</v>
      </c>
      <c r="B493" s="31" t="s">
        <v>12239</v>
      </c>
      <c r="C493" s="31" t="s">
        <v>2060</v>
      </c>
      <c r="D493" s="31" t="s">
        <v>2061</v>
      </c>
      <c r="E493" s="31" t="str">
        <f t="shared" si="60"/>
        <v>L05.30.11.05</v>
      </c>
      <c r="F493" s="31" t="s">
        <v>11851</v>
      </c>
      <c r="G493" s="34"/>
      <c r="H493" s="34"/>
      <c r="I493" s="34"/>
      <c r="J493" s="31" t="s">
        <v>1986</v>
      </c>
      <c r="K493" s="33"/>
      <c r="L493" s="34"/>
      <c r="M493" s="34"/>
      <c r="N493" s="34"/>
      <c r="O493" s="656" t="s">
        <v>9265</v>
      </c>
      <c r="P493" s="33"/>
      <c r="Q493" s="31" t="s">
        <v>11802</v>
      </c>
      <c r="R493" s="2" t="str">
        <f t="array" ref="R493">xlookup($E493,'Bảng tổng hợp 1'!$B:$B,'Bảng tổng hợp 1'!$B:$B,0)</f>
        <v>L05.30.11.05</v>
      </c>
    </row>
    <row r="494" hidden="1">
      <c r="A494" s="30">
        <v>489.0</v>
      </c>
      <c r="B494" s="31" t="s">
        <v>12239</v>
      </c>
      <c r="C494" s="31" t="s">
        <v>283</v>
      </c>
      <c r="D494" s="31" t="s">
        <v>284</v>
      </c>
      <c r="E494" s="31" t="str">
        <f t="shared" si="60"/>
        <v>L05.30.01</v>
      </c>
      <c r="F494" s="31" t="s">
        <v>11844</v>
      </c>
      <c r="G494" s="34"/>
      <c r="H494" s="34"/>
      <c r="I494" s="34"/>
      <c r="J494" s="31" t="s">
        <v>275</v>
      </c>
      <c r="K494" s="33"/>
      <c r="L494" s="34"/>
      <c r="M494" s="34"/>
      <c r="N494" s="34"/>
      <c r="O494" s="656" t="s">
        <v>9265</v>
      </c>
      <c r="P494" s="33"/>
      <c r="Q494" s="31" t="s">
        <v>11802</v>
      </c>
      <c r="R494" s="2" t="str">
        <f t="array" ref="R494">xlookup($E494,'Bảng tổng hợp 1'!$B:$B,'Bảng tổng hợp 1'!$B:$B,0)</f>
        <v>L05.30.01</v>
      </c>
    </row>
    <row r="495" hidden="1">
      <c r="A495" s="30">
        <v>490.0</v>
      </c>
      <c r="B495" s="31" t="s">
        <v>12239</v>
      </c>
      <c r="C495" s="31" t="s">
        <v>274</v>
      </c>
      <c r="D495" s="31" t="s">
        <v>276</v>
      </c>
      <c r="E495" s="31" t="str">
        <f t="shared" si="60"/>
        <v>L05.30.02</v>
      </c>
      <c r="F495" s="31" t="s">
        <v>11844</v>
      </c>
      <c r="G495" s="34"/>
      <c r="H495" s="34"/>
      <c r="I495" s="34"/>
      <c r="J495" s="31" t="s">
        <v>275</v>
      </c>
      <c r="K495" s="33"/>
      <c r="L495" s="34"/>
      <c r="M495" s="34"/>
      <c r="N495" s="34"/>
      <c r="O495" s="656" t="s">
        <v>9265</v>
      </c>
      <c r="P495" s="33"/>
      <c r="Q495" s="31" t="s">
        <v>11802</v>
      </c>
      <c r="R495" s="2" t="str">
        <f t="array" ref="R495">xlookup($E495,'Bảng tổng hợp 1'!$B:$B,'Bảng tổng hợp 1'!$B:$B,0)</f>
        <v>L05.30.02</v>
      </c>
    </row>
    <row r="496" hidden="1">
      <c r="A496" s="30">
        <v>491.0</v>
      </c>
      <c r="B496" s="31" t="s">
        <v>12239</v>
      </c>
      <c r="C496" s="31" t="s">
        <v>374</v>
      </c>
      <c r="D496" s="31" t="s">
        <v>2184</v>
      </c>
      <c r="E496" s="31" t="str">
        <f t="shared" si="60"/>
        <v>L05.30.03</v>
      </c>
      <c r="F496" s="31" t="s">
        <v>11844</v>
      </c>
      <c r="G496" s="34"/>
      <c r="H496" s="34"/>
      <c r="I496" s="34"/>
      <c r="J496" s="31" t="s">
        <v>275</v>
      </c>
      <c r="K496" s="33"/>
      <c r="L496" s="34"/>
      <c r="M496" s="34"/>
      <c r="N496" s="34"/>
      <c r="O496" s="656" t="s">
        <v>9265</v>
      </c>
      <c r="P496" s="33"/>
      <c r="Q496" s="31" t="s">
        <v>11802</v>
      </c>
      <c r="R496" s="2" t="str">
        <f t="array" ref="R496">xlookup($E496,'Bảng tổng hợp 1'!$B:$B,'Bảng tổng hợp 1'!$B:$B,0)</f>
        <v>L05.30.03</v>
      </c>
    </row>
    <row r="497" hidden="1">
      <c r="A497" s="30">
        <v>492.0</v>
      </c>
      <c r="B497" s="31" t="s">
        <v>12239</v>
      </c>
      <c r="C497" s="31" t="s">
        <v>436</v>
      </c>
      <c r="D497" s="31" t="s">
        <v>2147</v>
      </c>
      <c r="E497" s="31" t="str">
        <f t="shared" si="60"/>
        <v>L05.30.04</v>
      </c>
      <c r="F497" s="31" t="s">
        <v>11844</v>
      </c>
      <c r="G497" s="34"/>
      <c r="H497" s="34"/>
      <c r="I497" s="34"/>
      <c r="J497" s="31" t="s">
        <v>275</v>
      </c>
      <c r="K497" s="33"/>
      <c r="L497" s="34"/>
      <c r="M497" s="34"/>
      <c r="N497" s="34"/>
      <c r="O497" s="656" t="s">
        <v>9265</v>
      </c>
      <c r="P497" s="33"/>
      <c r="Q497" s="31" t="s">
        <v>11802</v>
      </c>
      <c r="R497" s="2" t="str">
        <f t="array" ref="R497">xlookup($E497,'Bảng tổng hợp 1'!$B:$B,'Bảng tổng hợp 1'!$B:$B,0)</f>
        <v>L05.30.04</v>
      </c>
    </row>
    <row r="498" hidden="1">
      <c r="A498" s="30">
        <v>493.0</v>
      </c>
      <c r="B498" s="31" t="s">
        <v>12239</v>
      </c>
      <c r="C498" s="31" t="s">
        <v>295</v>
      </c>
      <c r="D498" s="31" t="s">
        <v>296</v>
      </c>
      <c r="E498" s="31" t="str">
        <f t="shared" si="60"/>
        <v>L05.30.05</v>
      </c>
      <c r="F498" s="31" t="s">
        <v>11844</v>
      </c>
      <c r="G498" s="34"/>
      <c r="H498" s="34"/>
      <c r="I498" s="34"/>
      <c r="J498" s="31" t="s">
        <v>275</v>
      </c>
      <c r="K498" s="33"/>
      <c r="L498" s="34"/>
      <c r="M498" s="34"/>
      <c r="N498" s="34"/>
      <c r="O498" s="656" t="s">
        <v>9265</v>
      </c>
      <c r="P498" s="33"/>
      <c r="Q498" s="31" t="s">
        <v>11802</v>
      </c>
      <c r="R498" s="2" t="str">
        <f t="array" ref="R498">xlookup($E498,'Bảng tổng hợp 1'!$B:$B,'Bảng tổng hợp 1'!$B:$B,0)</f>
        <v>L05.30.05</v>
      </c>
    </row>
    <row r="499" hidden="1">
      <c r="A499" s="30">
        <v>494.0</v>
      </c>
      <c r="B499" s="31" t="s">
        <v>12253</v>
      </c>
      <c r="C499" s="31" t="s">
        <v>2079</v>
      </c>
      <c r="D499" s="31" t="s">
        <v>2080</v>
      </c>
      <c r="E499" s="31" t="str">
        <f t="shared" si="60"/>
        <v>L05.30.06</v>
      </c>
      <c r="F499" s="31" t="s">
        <v>11844</v>
      </c>
      <c r="G499" s="34"/>
      <c r="H499" s="34"/>
      <c r="I499" s="34"/>
      <c r="J499" s="31" t="s">
        <v>275</v>
      </c>
      <c r="K499" s="33"/>
      <c r="L499" s="34"/>
      <c r="M499" s="34"/>
      <c r="N499" s="34"/>
      <c r="O499" s="656" t="s">
        <v>9265</v>
      </c>
      <c r="P499" s="33"/>
      <c r="Q499" s="31" t="s">
        <v>11802</v>
      </c>
      <c r="R499" s="2" t="str">
        <f t="array" ref="R499">xlookup($E499,'Bảng tổng hợp 1'!$B:$B,'Bảng tổng hợp 1'!$B:$B,0)</f>
        <v>L05.30.06</v>
      </c>
    </row>
    <row r="500" hidden="1">
      <c r="A500" s="30">
        <v>495.0</v>
      </c>
      <c r="B500" s="31" t="s">
        <v>12254</v>
      </c>
      <c r="C500" s="655" t="s">
        <v>12109</v>
      </c>
      <c r="D500" s="31" t="s">
        <v>12255</v>
      </c>
      <c r="E500" s="31" t="s">
        <v>12255</v>
      </c>
      <c r="F500" s="31" t="s">
        <v>11851</v>
      </c>
      <c r="G500" s="34"/>
      <c r="H500" s="34"/>
      <c r="I500" s="34"/>
      <c r="J500" s="31" t="s">
        <v>2079</v>
      </c>
      <c r="K500" s="33"/>
      <c r="L500" s="34"/>
      <c r="M500" s="34"/>
      <c r="N500" s="34"/>
      <c r="O500" s="656" t="s">
        <v>9265</v>
      </c>
      <c r="P500" s="33"/>
      <c r="Q500" s="31" t="s">
        <v>11802</v>
      </c>
      <c r="R500" s="2">
        <f t="array" ref="R500">xlookup($E500,'Bảng tổng hợp 1'!$B:$B,'Bảng tổng hợp 1'!$B:$B,0)</f>
        <v>0</v>
      </c>
    </row>
    <row r="501" hidden="1">
      <c r="A501" s="30">
        <v>496.0</v>
      </c>
      <c r="B501" s="31" t="s">
        <v>12256</v>
      </c>
      <c r="C501" s="655" t="s">
        <v>12106</v>
      </c>
      <c r="D501" s="31" t="s">
        <v>12257</v>
      </c>
      <c r="E501" s="31" t="s">
        <v>12257</v>
      </c>
      <c r="F501" s="31" t="s">
        <v>11851</v>
      </c>
      <c r="G501" s="34"/>
      <c r="H501" s="34"/>
      <c r="I501" s="34"/>
      <c r="J501" s="31" t="s">
        <v>2079</v>
      </c>
      <c r="K501" s="33"/>
      <c r="L501" s="34"/>
      <c r="M501" s="34"/>
      <c r="N501" s="34"/>
      <c r="O501" s="656" t="s">
        <v>9265</v>
      </c>
      <c r="P501" s="33"/>
      <c r="Q501" s="31" t="s">
        <v>11802</v>
      </c>
      <c r="R501" s="2">
        <f t="array" ref="R501">xlookup($E501,'Bảng tổng hợp 1'!$B:$B,'Bảng tổng hợp 1'!$B:$B,0)</f>
        <v>0</v>
      </c>
    </row>
    <row r="502" hidden="1">
      <c r="A502" s="30">
        <v>497.0</v>
      </c>
      <c r="B502" s="31" t="s">
        <v>12258</v>
      </c>
      <c r="C502" s="655" t="s">
        <v>12100</v>
      </c>
      <c r="D502" s="31" t="s">
        <v>12259</v>
      </c>
      <c r="E502" s="31" t="s">
        <v>12259</v>
      </c>
      <c r="F502" s="31" t="s">
        <v>11851</v>
      </c>
      <c r="G502" s="34"/>
      <c r="H502" s="34"/>
      <c r="I502" s="34"/>
      <c r="J502" s="31" t="s">
        <v>2079</v>
      </c>
      <c r="K502" s="33"/>
      <c r="L502" s="34"/>
      <c r="M502" s="34"/>
      <c r="N502" s="34"/>
      <c r="O502" s="656" t="s">
        <v>9265</v>
      </c>
      <c r="P502" s="33"/>
      <c r="Q502" s="31" t="s">
        <v>11802</v>
      </c>
      <c r="R502" s="2">
        <f t="array" ref="R502">xlookup($E502,'Bảng tổng hợp 1'!$B:$B,'Bảng tổng hợp 1'!$B:$B,0)</f>
        <v>0</v>
      </c>
    </row>
    <row r="503" hidden="1">
      <c r="A503" s="30">
        <v>498.0</v>
      </c>
      <c r="B503" s="31" t="s">
        <v>12260</v>
      </c>
      <c r="C503" s="655" t="s">
        <v>12103</v>
      </c>
      <c r="D503" s="31" t="s">
        <v>12261</v>
      </c>
      <c r="E503" s="31" t="s">
        <v>12261</v>
      </c>
      <c r="F503" s="31" t="s">
        <v>11851</v>
      </c>
      <c r="G503" s="34"/>
      <c r="H503" s="34"/>
      <c r="I503" s="34"/>
      <c r="J503" s="31" t="s">
        <v>2079</v>
      </c>
      <c r="K503" s="33"/>
      <c r="L503" s="34"/>
      <c r="M503" s="34"/>
      <c r="N503" s="34"/>
      <c r="O503" s="656" t="s">
        <v>9265</v>
      </c>
      <c r="P503" s="33"/>
      <c r="Q503" s="31" t="s">
        <v>11802</v>
      </c>
      <c r="R503" s="2">
        <f t="array" ref="R503">xlookup($E503,'Bảng tổng hợp 1'!$B:$B,'Bảng tổng hợp 1'!$B:$B,0)</f>
        <v>0</v>
      </c>
    </row>
    <row r="504" hidden="1">
      <c r="A504" s="30">
        <v>499.0</v>
      </c>
      <c r="B504" s="31" t="s">
        <v>12239</v>
      </c>
      <c r="C504" s="31" t="s">
        <v>2090</v>
      </c>
      <c r="D504" s="31" t="s">
        <v>2091</v>
      </c>
      <c r="E504" s="31" t="str">
        <f>trim(D504)</f>
        <v>L05.30.07</v>
      </c>
      <c r="F504" s="31" t="s">
        <v>11844</v>
      </c>
      <c r="G504" s="34"/>
      <c r="H504" s="34"/>
      <c r="I504" s="34"/>
      <c r="J504" s="31" t="s">
        <v>275</v>
      </c>
      <c r="K504" s="33"/>
      <c r="L504" s="34"/>
      <c r="M504" s="34"/>
      <c r="N504" s="34"/>
      <c r="O504" s="656" t="s">
        <v>9265</v>
      </c>
      <c r="P504" s="33"/>
      <c r="Q504" s="31" t="s">
        <v>11802</v>
      </c>
      <c r="R504" s="2" t="str">
        <f t="array" ref="R504">xlookup($E504,'Bảng tổng hợp 1'!$B:$B,'Bảng tổng hợp 1'!$B:$B,0)</f>
        <v>L05.30.07</v>
      </c>
    </row>
    <row r="505" hidden="1">
      <c r="A505" s="30">
        <v>500.0</v>
      </c>
      <c r="B505" s="31" t="s">
        <v>12262</v>
      </c>
      <c r="C505" s="655" t="s">
        <v>12112</v>
      </c>
      <c r="D505" s="31" t="s">
        <v>12263</v>
      </c>
      <c r="E505" s="31" t="s">
        <v>12263</v>
      </c>
      <c r="F505" s="31" t="s">
        <v>11844</v>
      </c>
      <c r="G505" s="34"/>
      <c r="H505" s="34"/>
      <c r="I505" s="34"/>
      <c r="J505" s="31" t="s">
        <v>275</v>
      </c>
      <c r="K505" s="33"/>
      <c r="L505" s="34"/>
      <c r="M505" s="34"/>
      <c r="N505" s="34"/>
      <c r="O505" s="656" t="s">
        <v>9265</v>
      </c>
      <c r="P505" s="33"/>
      <c r="Q505" s="31" t="s">
        <v>11802</v>
      </c>
      <c r="R505" s="2">
        <f t="array" ref="R505">xlookup($E505,'Bảng tổng hợp 1'!$B:$B,'Bảng tổng hợp 1'!$B:$B,0)</f>
        <v>0</v>
      </c>
    </row>
    <row r="506" hidden="1">
      <c r="A506" s="30">
        <v>501.0</v>
      </c>
      <c r="B506" s="31" t="s">
        <v>12239</v>
      </c>
      <c r="C506" s="655" t="s">
        <v>12264</v>
      </c>
      <c r="D506" s="31" t="s">
        <v>11348</v>
      </c>
      <c r="E506" s="31" t="s">
        <v>11348</v>
      </c>
      <c r="F506" s="31" t="s">
        <v>11844</v>
      </c>
      <c r="G506" s="34"/>
      <c r="H506" s="34"/>
      <c r="I506" s="34"/>
      <c r="J506" s="31" t="s">
        <v>275</v>
      </c>
      <c r="K506" s="32">
        <v>45414.0</v>
      </c>
      <c r="L506" s="34"/>
      <c r="M506" s="34"/>
      <c r="N506" s="31" t="s">
        <v>11969</v>
      </c>
      <c r="O506" s="656" t="s">
        <v>9265</v>
      </c>
      <c r="P506" s="33"/>
      <c r="Q506" s="31" t="s">
        <v>11802</v>
      </c>
      <c r="R506" s="2">
        <f t="array" ref="R506">xlookup($E506,'Bảng tổng hợp 1'!$B:$B,'Bảng tổng hợp 1'!$B:$B,0)</f>
        <v>0</v>
      </c>
    </row>
    <row r="507" hidden="1">
      <c r="A507" s="30">
        <v>502.0</v>
      </c>
      <c r="B507" s="31" t="s">
        <v>12265</v>
      </c>
      <c r="C507" s="655" t="s">
        <v>93</v>
      </c>
      <c r="D507" s="31" t="s">
        <v>10945</v>
      </c>
      <c r="E507" s="31" t="s">
        <v>10945</v>
      </c>
      <c r="F507" s="31" t="s">
        <v>11850</v>
      </c>
      <c r="G507" s="34"/>
      <c r="H507" s="34"/>
      <c r="I507" s="34"/>
      <c r="J507" s="31" t="s">
        <v>262</v>
      </c>
      <c r="K507" s="33"/>
      <c r="L507" s="34"/>
      <c r="M507" s="34"/>
      <c r="N507" s="34"/>
      <c r="O507" s="656" t="s">
        <v>9265</v>
      </c>
      <c r="P507" s="33"/>
      <c r="Q507" s="31" t="s">
        <v>11802</v>
      </c>
      <c r="R507" s="2">
        <f t="array" ref="R507">xlookup($E507,'Bảng tổng hợp 1'!$B:$B,'Bảng tổng hợp 1'!$B:$B,0)</f>
        <v>0</v>
      </c>
    </row>
    <row r="508" hidden="1">
      <c r="A508" s="30">
        <v>503.0</v>
      </c>
      <c r="B508" s="31" t="s">
        <v>12266</v>
      </c>
      <c r="C508" s="31" t="s">
        <v>7230</v>
      </c>
      <c r="D508" s="31" t="s">
        <v>7245</v>
      </c>
      <c r="E508" s="31" t="str">
        <f>trim(D508)</f>
        <v>L05.32.00</v>
      </c>
      <c r="F508" s="31" t="s">
        <v>11844</v>
      </c>
      <c r="G508" s="34"/>
      <c r="H508" s="34"/>
      <c r="I508" s="34"/>
      <c r="J508" s="31" t="s">
        <v>93</v>
      </c>
      <c r="K508" s="33"/>
      <c r="L508" s="34"/>
      <c r="M508" s="34"/>
      <c r="N508" s="34"/>
      <c r="O508" s="656" t="s">
        <v>9265</v>
      </c>
      <c r="P508" s="33"/>
      <c r="Q508" s="31" t="s">
        <v>11802</v>
      </c>
      <c r="R508" s="2" t="str">
        <f t="array" ref="R508">xlookup($E508,'Bảng tổng hợp 1'!$B:$B,'Bảng tổng hợp 1'!$B:$B,0)</f>
        <v>L05.32.00</v>
      </c>
    </row>
    <row r="509" hidden="1">
      <c r="A509" s="30">
        <v>504.0</v>
      </c>
      <c r="B509" s="31" t="s">
        <v>12267</v>
      </c>
      <c r="C509" s="655" t="s">
        <v>1918</v>
      </c>
      <c r="D509" s="31" t="s">
        <v>10949</v>
      </c>
      <c r="E509" s="31" t="s">
        <v>10949</v>
      </c>
      <c r="F509" s="31" t="s">
        <v>11844</v>
      </c>
      <c r="G509" s="34"/>
      <c r="H509" s="34"/>
      <c r="I509" s="34"/>
      <c r="J509" s="31" t="s">
        <v>93</v>
      </c>
      <c r="K509" s="33"/>
      <c r="L509" s="34"/>
      <c r="M509" s="34"/>
      <c r="N509" s="34"/>
      <c r="O509" s="656" t="s">
        <v>9265</v>
      </c>
      <c r="P509" s="33"/>
      <c r="Q509" s="31" t="s">
        <v>11802</v>
      </c>
      <c r="R509" s="2">
        <f t="array" ref="R509">xlookup($E509,'Bảng tổng hợp 1'!$B:$B,'Bảng tổng hợp 1'!$B:$B,0)</f>
        <v>0</v>
      </c>
    </row>
    <row r="510" hidden="1">
      <c r="A510" s="30">
        <v>505.0</v>
      </c>
      <c r="B510" s="31" t="s">
        <v>12267</v>
      </c>
      <c r="C510" s="31" t="s">
        <v>902</v>
      </c>
      <c r="D510" s="31" t="s">
        <v>2005</v>
      </c>
      <c r="E510" s="31" t="str">
        <f t="shared" ref="E510:E512" si="61">trim(D510)</f>
        <v>L05.32.01.01</v>
      </c>
      <c r="F510" s="31" t="s">
        <v>11844</v>
      </c>
      <c r="G510" s="34"/>
      <c r="H510" s="34"/>
      <c r="I510" s="34"/>
      <c r="J510" s="31" t="s">
        <v>1918</v>
      </c>
      <c r="K510" s="33"/>
      <c r="L510" s="34"/>
      <c r="M510" s="34"/>
      <c r="N510" s="34"/>
      <c r="O510" s="656" t="s">
        <v>9265</v>
      </c>
      <c r="P510" s="33"/>
      <c r="Q510" s="31" t="s">
        <v>11802</v>
      </c>
      <c r="R510" s="2" t="str">
        <f t="array" ref="R510">xlookup($E510,'Bảng tổng hợp 1'!$B:$B,'Bảng tổng hợp 1'!$B:$B,0)</f>
        <v>L05.32.01.01</v>
      </c>
    </row>
    <row r="511" hidden="1">
      <c r="A511" s="30">
        <v>506.0</v>
      </c>
      <c r="B511" s="31" t="s">
        <v>12267</v>
      </c>
      <c r="C511" s="31" t="s">
        <v>1991</v>
      </c>
      <c r="D511" s="31" t="s">
        <v>1992</v>
      </c>
      <c r="E511" s="31" t="str">
        <f t="shared" si="61"/>
        <v>L05.32.01.02</v>
      </c>
      <c r="F511" s="31" t="s">
        <v>11844</v>
      </c>
      <c r="G511" s="34"/>
      <c r="H511" s="34"/>
      <c r="I511" s="34"/>
      <c r="J511" s="31" t="s">
        <v>1918</v>
      </c>
      <c r="K511" s="33"/>
      <c r="L511" s="34"/>
      <c r="M511" s="34"/>
      <c r="N511" s="34"/>
      <c r="O511" s="656" t="s">
        <v>9265</v>
      </c>
      <c r="P511" s="33"/>
      <c r="Q511" s="31" t="s">
        <v>11802</v>
      </c>
      <c r="R511" s="2" t="str">
        <f t="array" ref="R511">xlookup($E511,'Bảng tổng hợp 1'!$B:$B,'Bảng tổng hợp 1'!$B:$B,0)</f>
        <v>L05.32.01.02</v>
      </c>
    </row>
    <row r="512" hidden="1">
      <c r="A512" s="30">
        <v>507.0</v>
      </c>
      <c r="B512" s="31" t="s">
        <v>12267</v>
      </c>
      <c r="C512" s="31" t="s">
        <v>914</v>
      </c>
      <c r="D512" s="31" t="s">
        <v>1919</v>
      </c>
      <c r="E512" s="31" t="str">
        <f t="shared" si="61"/>
        <v>L05.32.01.03</v>
      </c>
      <c r="F512" s="31" t="s">
        <v>11844</v>
      </c>
      <c r="G512" s="34"/>
      <c r="H512" s="34"/>
      <c r="I512" s="34"/>
      <c r="J512" s="31" t="s">
        <v>1918</v>
      </c>
      <c r="K512" s="33"/>
      <c r="L512" s="34"/>
      <c r="M512" s="34"/>
      <c r="N512" s="34"/>
      <c r="O512" s="656" t="s">
        <v>9265</v>
      </c>
      <c r="P512" s="33"/>
      <c r="Q512" s="31" t="s">
        <v>11802</v>
      </c>
      <c r="R512" s="2" t="str">
        <f t="array" ref="R512">xlookup($E512,'Bảng tổng hợp 1'!$B:$B,'Bảng tổng hợp 1'!$B:$B,0)</f>
        <v>L05.32.01.03</v>
      </c>
    </row>
    <row r="513" hidden="1">
      <c r="A513" s="30">
        <v>508.0</v>
      </c>
      <c r="B513" s="31" t="s">
        <v>12268</v>
      </c>
      <c r="C513" s="655" t="s">
        <v>12138</v>
      </c>
      <c r="D513" s="31" t="s">
        <v>12269</v>
      </c>
      <c r="E513" s="31" t="s">
        <v>12269</v>
      </c>
      <c r="F513" s="31" t="s">
        <v>11844</v>
      </c>
      <c r="G513" s="34"/>
      <c r="H513" s="34"/>
      <c r="I513" s="34"/>
      <c r="J513" s="31" t="s">
        <v>1918</v>
      </c>
      <c r="K513" s="33"/>
      <c r="L513" s="34"/>
      <c r="M513" s="34"/>
      <c r="N513" s="34"/>
      <c r="O513" s="656" t="s">
        <v>9265</v>
      </c>
      <c r="P513" s="33"/>
      <c r="Q513" s="31" t="s">
        <v>11802</v>
      </c>
      <c r="R513" s="2">
        <f t="array" ref="R513">xlookup($E513,'Bảng tổng hợp 1'!$B:$B,'Bảng tổng hợp 1'!$B:$B,0)</f>
        <v>0</v>
      </c>
    </row>
    <row r="514" hidden="1">
      <c r="A514" s="30">
        <v>509.0</v>
      </c>
      <c r="B514" s="31" t="s">
        <v>12270</v>
      </c>
      <c r="C514" s="655" t="s">
        <v>1912</v>
      </c>
      <c r="D514" s="31" t="s">
        <v>10958</v>
      </c>
      <c r="E514" s="31" t="s">
        <v>10958</v>
      </c>
      <c r="F514" s="31" t="s">
        <v>11844</v>
      </c>
      <c r="G514" s="34"/>
      <c r="H514" s="34"/>
      <c r="I514" s="34"/>
      <c r="J514" s="31" t="s">
        <v>93</v>
      </c>
      <c r="K514" s="33"/>
      <c r="L514" s="34"/>
      <c r="M514" s="34"/>
      <c r="N514" s="34"/>
      <c r="O514" s="656" t="s">
        <v>9265</v>
      </c>
      <c r="P514" s="33"/>
      <c r="Q514" s="31" t="s">
        <v>11802</v>
      </c>
      <c r="R514" s="2">
        <f t="array" ref="R514">xlookup($E514,'Bảng tổng hợp 1'!$B:$B,'Bảng tổng hợp 1'!$B:$B,0)</f>
        <v>0</v>
      </c>
    </row>
    <row r="515" hidden="1">
      <c r="A515" s="30">
        <v>510.0</v>
      </c>
      <c r="B515" s="31" t="s">
        <v>12267</v>
      </c>
      <c r="C515" s="31" t="s">
        <v>365</v>
      </c>
      <c r="D515" s="31" t="s">
        <v>1913</v>
      </c>
      <c r="E515" s="31" t="str">
        <f>trim(D515)</f>
        <v>L05.32.02.01</v>
      </c>
      <c r="F515" s="31" t="s">
        <v>11844</v>
      </c>
      <c r="G515" s="34"/>
      <c r="H515" s="34"/>
      <c r="I515" s="34"/>
      <c r="J515" s="31" t="s">
        <v>1912</v>
      </c>
      <c r="K515" s="33"/>
      <c r="L515" s="34"/>
      <c r="M515" s="34"/>
      <c r="N515" s="34"/>
      <c r="O515" s="656" t="s">
        <v>9265</v>
      </c>
      <c r="P515" s="33"/>
      <c r="Q515" s="31" t="s">
        <v>11802</v>
      </c>
      <c r="R515" s="2" t="str">
        <f t="array" ref="R515">xlookup($E515,'Bảng tổng hợp 1'!$B:$B,'Bảng tổng hợp 1'!$B:$B,0)</f>
        <v>L05.32.02.01</v>
      </c>
    </row>
    <row r="516" hidden="1">
      <c r="A516" s="30">
        <v>511.0</v>
      </c>
      <c r="B516" s="31" t="s">
        <v>12271</v>
      </c>
      <c r="C516" s="655" t="s">
        <v>972</v>
      </c>
      <c r="D516" s="31" t="s">
        <v>12272</v>
      </c>
      <c r="E516" s="31" t="s">
        <v>12272</v>
      </c>
      <c r="F516" s="31" t="s">
        <v>11844</v>
      </c>
      <c r="G516" s="34"/>
      <c r="H516" s="34"/>
      <c r="I516" s="34"/>
      <c r="J516" s="31" t="s">
        <v>1912</v>
      </c>
      <c r="K516" s="33"/>
      <c r="L516" s="34"/>
      <c r="M516" s="34"/>
      <c r="N516" s="34"/>
      <c r="O516" s="656" t="s">
        <v>9265</v>
      </c>
      <c r="P516" s="33"/>
      <c r="Q516" s="31" t="s">
        <v>11802</v>
      </c>
      <c r="R516" s="2">
        <f t="array" ref="R516">xlookup($E516,'Bảng tổng hợp 1'!$B:$B,'Bảng tổng hợp 1'!$B:$B,0)</f>
        <v>0</v>
      </c>
    </row>
    <row r="517" hidden="1">
      <c r="A517" s="30">
        <v>512.0</v>
      </c>
      <c r="B517" s="31" t="s">
        <v>12273</v>
      </c>
      <c r="C517" s="655" t="s">
        <v>12274</v>
      </c>
      <c r="D517" s="31" t="s">
        <v>12275</v>
      </c>
      <c r="E517" s="31" t="s">
        <v>12275</v>
      </c>
      <c r="F517" s="31" t="s">
        <v>11844</v>
      </c>
      <c r="G517" s="34"/>
      <c r="H517" s="34"/>
      <c r="I517" s="34"/>
      <c r="J517" s="31" t="s">
        <v>1912</v>
      </c>
      <c r="K517" s="33"/>
      <c r="L517" s="34"/>
      <c r="M517" s="34"/>
      <c r="N517" s="34"/>
      <c r="O517" s="656" t="s">
        <v>9265</v>
      </c>
      <c r="P517" s="33"/>
      <c r="Q517" s="31" t="s">
        <v>11802</v>
      </c>
      <c r="R517" s="2">
        <f t="array" ref="R517">xlookup($E517,'Bảng tổng hợp 1'!$B:$B,'Bảng tổng hợp 1'!$B:$B,0)</f>
        <v>0</v>
      </c>
    </row>
    <row r="518" hidden="1">
      <c r="A518" s="30">
        <v>513.0</v>
      </c>
      <c r="B518" s="31" t="s">
        <v>12276</v>
      </c>
      <c r="C518" s="31" t="s">
        <v>889</v>
      </c>
      <c r="D518" s="31" t="s">
        <v>1937</v>
      </c>
      <c r="E518" s="31" t="str">
        <f t="shared" ref="E518:E519" si="62">trim(D518)</f>
        <v>L05.32.09</v>
      </c>
      <c r="F518" s="31" t="s">
        <v>11844</v>
      </c>
      <c r="G518" s="34"/>
      <c r="H518" s="34"/>
      <c r="I518" s="34"/>
      <c r="J518" s="31" t="s">
        <v>93</v>
      </c>
      <c r="K518" s="33"/>
      <c r="L518" s="34"/>
      <c r="M518" s="34"/>
      <c r="N518" s="31" t="s">
        <v>11969</v>
      </c>
      <c r="O518" s="656" t="s">
        <v>9265</v>
      </c>
      <c r="P518" s="33"/>
      <c r="Q518" s="31" t="s">
        <v>11802</v>
      </c>
      <c r="R518" s="2" t="str">
        <f t="array" ref="R518">xlookup($E518,'Bảng tổng hợp 1'!$B:$B,'Bảng tổng hợp 1'!$B:$B,0)</f>
        <v>L05.32.09</v>
      </c>
    </row>
    <row r="519" hidden="1">
      <c r="A519" s="30">
        <v>514.0</v>
      </c>
      <c r="B519" s="31" t="s">
        <v>12277</v>
      </c>
      <c r="C519" s="31" t="s">
        <v>153</v>
      </c>
      <c r="D519" s="31" t="s">
        <v>1850</v>
      </c>
      <c r="E519" s="31" t="str">
        <f t="shared" si="62"/>
        <v>L05.32.10</v>
      </c>
      <c r="F519" s="31" t="s">
        <v>11851</v>
      </c>
      <c r="G519" s="34"/>
      <c r="H519" s="34"/>
      <c r="I519" s="34"/>
      <c r="J519" s="31" t="s">
        <v>93</v>
      </c>
      <c r="K519" s="33"/>
      <c r="L519" s="34"/>
      <c r="M519" s="34"/>
      <c r="N519" s="31" t="s">
        <v>11918</v>
      </c>
      <c r="O519" s="656" t="s">
        <v>9265</v>
      </c>
      <c r="P519" s="33"/>
      <c r="Q519" s="31" t="s">
        <v>11802</v>
      </c>
      <c r="R519" s="2" t="str">
        <f t="array" ref="R519">xlookup($E519,'Bảng tổng hợp 1'!$B:$B,'Bảng tổng hợp 1'!$B:$B,0)</f>
        <v>L05.32.10</v>
      </c>
    </row>
    <row r="520" hidden="1">
      <c r="A520" s="30">
        <v>515.0</v>
      </c>
      <c r="B520" s="31" t="s">
        <v>12278</v>
      </c>
      <c r="C520" s="655" t="s">
        <v>263</v>
      </c>
      <c r="D520" s="31" t="s">
        <v>11058</v>
      </c>
      <c r="E520" s="31" t="s">
        <v>11058</v>
      </c>
      <c r="F520" s="31" t="s">
        <v>11850</v>
      </c>
      <c r="G520" s="34"/>
      <c r="H520" s="34"/>
      <c r="I520" s="34"/>
      <c r="J520" s="31" t="s">
        <v>262</v>
      </c>
      <c r="K520" s="33"/>
      <c r="L520" s="34"/>
      <c r="M520" s="34"/>
      <c r="N520" s="34"/>
      <c r="O520" s="656" t="s">
        <v>9265</v>
      </c>
      <c r="P520" s="33"/>
      <c r="Q520" s="31" t="s">
        <v>11802</v>
      </c>
      <c r="R520" s="2">
        <f t="array" ref="R520">xlookup($E520,'Bảng tổng hợp 1'!$B:$B,'Bảng tổng hợp 1'!$B:$B,0)</f>
        <v>0</v>
      </c>
    </row>
    <row r="521" hidden="1">
      <c r="A521" s="30">
        <v>516.0</v>
      </c>
      <c r="B521" s="31" t="s">
        <v>12279</v>
      </c>
      <c r="C521" s="31" t="s">
        <v>7230</v>
      </c>
      <c r="D521" s="31" t="s">
        <v>7241</v>
      </c>
      <c r="E521" s="31" t="str">
        <f>trim(D521)</f>
        <v>L05.33.01</v>
      </c>
      <c r="F521" s="31" t="s">
        <v>11844</v>
      </c>
      <c r="G521" s="34"/>
      <c r="H521" s="34"/>
      <c r="I521" s="34"/>
      <c r="J521" s="31" t="s">
        <v>263</v>
      </c>
      <c r="K521" s="33"/>
      <c r="L521" s="34"/>
      <c r="M521" s="34"/>
      <c r="N521" s="34"/>
      <c r="O521" s="656" t="s">
        <v>9265</v>
      </c>
      <c r="P521" s="33"/>
      <c r="Q521" s="31" t="s">
        <v>11802</v>
      </c>
      <c r="R521" s="2" t="str">
        <f t="array" ref="R521">xlookup($E521,'Bảng tổng hợp 1'!$B:$B,'Bảng tổng hợp 1'!$B:$B,0)</f>
        <v>L05.33.01</v>
      </c>
    </row>
    <row r="522" hidden="1">
      <c r="A522" s="30">
        <v>517.0</v>
      </c>
      <c r="B522" s="31" t="s">
        <v>12280</v>
      </c>
      <c r="C522" s="655" t="s">
        <v>12281</v>
      </c>
      <c r="D522" s="31" t="s">
        <v>12282</v>
      </c>
      <c r="E522" s="31" t="s">
        <v>12282</v>
      </c>
      <c r="F522" s="31" t="s">
        <v>11844</v>
      </c>
      <c r="G522" s="34"/>
      <c r="H522" s="34"/>
      <c r="I522" s="34"/>
      <c r="J522" s="31" t="s">
        <v>263</v>
      </c>
      <c r="K522" s="33"/>
      <c r="L522" s="34"/>
      <c r="M522" s="34"/>
      <c r="N522" s="34"/>
      <c r="O522" s="656" t="s">
        <v>9265</v>
      </c>
      <c r="P522" s="33"/>
      <c r="Q522" s="31" t="s">
        <v>11802</v>
      </c>
      <c r="R522" s="2">
        <f t="array" ref="R522">xlookup($E522,'Bảng tổng hợp 1'!$B:$B,'Bảng tổng hợp 1'!$B:$B,0)</f>
        <v>0</v>
      </c>
    </row>
    <row r="523" hidden="1">
      <c r="A523" s="30">
        <v>518.0</v>
      </c>
      <c r="B523" s="31" t="s">
        <v>12283</v>
      </c>
      <c r="C523" s="655" t="s">
        <v>767</v>
      </c>
      <c r="D523" s="31" t="s">
        <v>12284</v>
      </c>
      <c r="E523" s="31" t="s">
        <v>12284</v>
      </c>
      <c r="F523" s="31" t="s">
        <v>11844</v>
      </c>
      <c r="G523" s="34"/>
      <c r="H523" s="34"/>
      <c r="I523" s="34"/>
      <c r="J523" s="31" t="s">
        <v>263</v>
      </c>
      <c r="K523" s="33"/>
      <c r="L523" s="34"/>
      <c r="M523" s="34"/>
      <c r="N523" s="34"/>
      <c r="O523" s="656" t="s">
        <v>9265</v>
      </c>
      <c r="P523" s="33"/>
      <c r="Q523" s="31" t="s">
        <v>11802</v>
      </c>
      <c r="R523" s="2">
        <f t="array" ref="R523">xlookup($E523,'Bảng tổng hợp 1'!$B:$B,'Bảng tổng hợp 1'!$B:$B,0)</f>
        <v>0</v>
      </c>
    </row>
    <row r="524" hidden="1">
      <c r="A524" s="30">
        <v>519.0</v>
      </c>
      <c r="B524" s="31" t="s">
        <v>12285</v>
      </c>
      <c r="C524" s="655" t="s">
        <v>12286</v>
      </c>
      <c r="D524" s="31" t="s">
        <v>12287</v>
      </c>
      <c r="E524" s="31" t="s">
        <v>12287</v>
      </c>
      <c r="F524" s="31" t="s">
        <v>11844</v>
      </c>
      <c r="G524" s="34"/>
      <c r="H524" s="34"/>
      <c r="I524" s="34"/>
      <c r="J524" s="31" t="s">
        <v>767</v>
      </c>
      <c r="K524" s="33"/>
      <c r="L524" s="34"/>
      <c r="M524" s="34"/>
      <c r="N524" s="34"/>
      <c r="O524" s="656" t="s">
        <v>9265</v>
      </c>
      <c r="P524" s="33"/>
      <c r="Q524" s="31" t="s">
        <v>11802</v>
      </c>
      <c r="R524" s="2">
        <f t="array" ref="R524">xlookup($E524,'Bảng tổng hợp 1'!$B:$B,'Bảng tổng hợp 1'!$B:$B,0)</f>
        <v>0</v>
      </c>
    </row>
    <row r="525" hidden="1">
      <c r="A525" s="30">
        <v>520.0</v>
      </c>
      <c r="B525" s="31" t="s">
        <v>12283</v>
      </c>
      <c r="C525" s="31" t="s">
        <v>1701</v>
      </c>
      <c r="D525" s="31" t="s">
        <v>1702</v>
      </c>
      <c r="E525" s="31" t="str">
        <f>trim(D525)</f>
        <v>L05.33.05.02</v>
      </c>
      <c r="F525" s="31" t="s">
        <v>11844</v>
      </c>
      <c r="G525" s="34"/>
      <c r="H525" s="34"/>
      <c r="I525" s="34"/>
      <c r="J525" s="31" t="s">
        <v>767</v>
      </c>
      <c r="K525" s="33"/>
      <c r="L525" s="34"/>
      <c r="M525" s="34"/>
      <c r="N525" s="34"/>
      <c r="O525" s="656" t="s">
        <v>9265</v>
      </c>
      <c r="P525" s="33"/>
      <c r="Q525" s="31" t="s">
        <v>11802</v>
      </c>
      <c r="R525" s="2" t="str">
        <f t="array" ref="R525">xlookup($E525,'Bảng tổng hợp 1'!$B:$B,'Bảng tổng hợp 1'!$B:$B,0)</f>
        <v>L05.33.05.02</v>
      </c>
    </row>
    <row r="526" hidden="1">
      <c r="A526" s="30">
        <v>521.0</v>
      </c>
      <c r="B526" s="31" t="s">
        <v>12288</v>
      </c>
      <c r="C526" s="655" t="s">
        <v>12153</v>
      </c>
      <c r="D526" s="31" t="s">
        <v>12289</v>
      </c>
      <c r="E526" s="31" t="s">
        <v>12289</v>
      </c>
      <c r="F526" s="31" t="s">
        <v>11844</v>
      </c>
      <c r="G526" s="34"/>
      <c r="H526" s="34"/>
      <c r="I526" s="34"/>
      <c r="J526" s="31" t="s">
        <v>263</v>
      </c>
      <c r="K526" s="33"/>
      <c r="L526" s="34"/>
      <c r="M526" s="34"/>
      <c r="N526" s="34"/>
      <c r="O526" s="656" t="s">
        <v>9265</v>
      </c>
      <c r="P526" s="33"/>
      <c r="Q526" s="31" t="s">
        <v>11802</v>
      </c>
      <c r="R526" s="2">
        <f t="array" ref="R526">xlookup($E526,'Bảng tổng hợp 1'!$B:$B,'Bảng tổng hợp 1'!$B:$B,0)</f>
        <v>0</v>
      </c>
    </row>
    <row r="527" hidden="1">
      <c r="A527" s="30">
        <v>522.0</v>
      </c>
      <c r="B527" s="31" t="s">
        <v>12290</v>
      </c>
      <c r="C527" s="655" t="s">
        <v>12156</v>
      </c>
      <c r="D527" s="31" t="s">
        <v>12291</v>
      </c>
      <c r="E527" s="31" t="s">
        <v>12291</v>
      </c>
      <c r="F527" s="31" t="s">
        <v>11844</v>
      </c>
      <c r="G527" s="34"/>
      <c r="H527" s="34"/>
      <c r="I527" s="34"/>
      <c r="J527" s="31" t="s">
        <v>12153</v>
      </c>
      <c r="K527" s="33"/>
      <c r="L527" s="34"/>
      <c r="M527" s="34"/>
      <c r="N527" s="34"/>
      <c r="O527" s="656" t="s">
        <v>9265</v>
      </c>
      <c r="P527" s="33"/>
      <c r="Q527" s="31" t="s">
        <v>11802</v>
      </c>
      <c r="R527" s="2">
        <f t="array" ref="R527">xlookup($E527,'Bảng tổng hợp 1'!$B:$B,'Bảng tổng hợp 1'!$B:$B,0)</f>
        <v>0</v>
      </c>
    </row>
    <row r="528" hidden="1">
      <c r="A528" s="30">
        <v>523.0</v>
      </c>
      <c r="B528" s="31" t="s">
        <v>12292</v>
      </c>
      <c r="C528" s="655" t="s">
        <v>12159</v>
      </c>
      <c r="D528" s="31" t="s">
        <v>12293</v>
      </c>
      <c r="E528" s="31" t="s">
        <v>12293</v>
      </c>
      <c r="F528" s="31" t="s">
        <v>11844</v>
      </c>
      <c r="G528" s="34"/>
      <c r="H528" s="34"/>
      <c r="I528" s="34"/>
      <c r="J528" s="31" t="s">
        <v>12153</v>
      </c>
      <c r="K528" s="33"/>
      <c r="L528" s="34"/>
      <c r="M528" s="34"/>
      <c r="N528" s="34"/>
      <c r="O528" s="656" t="s">
        <v>9265</v>
      </c>
      <c r="P528" s="33"/>
      <c r="Q528" s="31" t="s">
        <v>11802</v>
      </c>
      <c r="R528" s="2">
        <f t="array" ref="R528">xlookup($E528,'Bảng tổng hợp 1'!$B:$B,'Bảng tổng hợp 1'!$B:$B,0)</f>
        <v>0</v>
      </c>
    </row>
    <row r="529" hidden="1">
      <c r="A529" s="30">
        <v>524.0</v>
      </c>
      <c r="B529" s="31" t="s">
        <v>12294</v>
      </c>
      <c r="C529" s="655" t="s">
        <v>123</v>
      </c>
      <c r="D529" s="31" t="s">
        <v>11062</v>
      </c>
      <c r="E529" s="31" t="s">
        <v>11062</v>
      </c>
      <c r="F529" s="31" t="s">
        <v>11844</v>
      </c>
      <c r="G529" s="34"/>
      <c r="H529" s="34"/>
      <c r="I529" s="34"/>
      <c r="J529" s="31" t="s">
        <v>263</v>
      </c>
      <c r="K529" s="33"/>
      <c r="L529" s="34"/>
      <c r="M529" s="34"/>
      <c r="N529" s="34"/>
      <c r="O529" s="656" t="s">
        <v>9265</v>
      </c>
      <c r="P529" s="33"/>
      <c r="Q529" s="31" t="s">
        <v>11802</v>
      </c>
      <c r="R529" s="2">
        <f t="array" ref="R529">xlookup($E529,'Bảng tổng hợp 1'!$B:$B,'Bảng tổng hợp 1'!$B:$B,0)</f>
        <v>0</v>
      </c>
    </row>
    <row r="530" hidden="1">
      <c r="A530" s="30">
        <v>525.0</v>
      </c>
      <c r="B530" s="31" t="s">
        <v>12294</v>
      </c>
      <c r="C530" s="31" t="s">
        <v>1854</v>
      </c>
      <c r="D530" s="31" t="s">
        <v>1855</v>
      </c>
      <c r="E530" s="31" t="str">
        <f t="shared" ref="E530:E531" si="63">trim(D530)</f>
        <v>L05.33.02.01</v>
      </c>
      <c r="F530" s="31" t="s">
        <v>11844</v>
      </c>
      <c r="G530" s="34"/>
      <c r="H530" s="34"/>
      <c r="I530" s="34"/>
      <c r="J530" s="31" t="s">
        <v>123</v>
      </c>
      <c r="K530" s="33"/>
      <c r="L530" s="34"/>
      <c r="M530" s="34"/>
      <c r="N530" s="34"/>
      <c r="O530" s="656" t="s">
        <v>9265</v>
      </c>
      <c r="P530" s="33"/>
      <c r="Q530" s="31" t="s">
        <v>11802</v>
      </c>
      <c r="R530" s="2" t="str">
        <f t="array" ref="R530">xlookup($E530,'Bảng tổng hợp 1'!$B:$B,'Bảng tổng hợp 1'!$B:$B,0)</f>
        <v>L05.33.02.01</v>
      </c>
    </row>
    <row r="531" hidden="1">
      <c r="A531" s="30">
        <v>526.0</v>
      </c>
      <c r="B531" s="31" t="s">
        <v>12294</v>
      </c>
      <c r="C531" s="31" t="s">
        <v>1862</v>
      </c>
      <c r="D531" s="31" t="s">
        <v>1863</v>
      </c>
      <c r="E531" s="31" t="str">
        <f t="shared" si="63"/>
        <v>L05.33.02.02</v>
      </c>
      <c r="F531" s="31" t="s">
        <v>11844</v>
      </c>
      <c r="G531" s="34"/>
      <c r="H531" s="34"/>
      <c r="I531" s="34"/>
      <c r="J531" s="31" t="s">
        <v>123</v>
      </c>
      <c r="K531" s="33"/>
      <c r="L531" s="34"/>
      <c r="M531" s="34"/>
      <c r="N531" s="34"/>
      <c r="O531" s="656" t="s">
        <v>9265</v>
      </c>
      <c r="P531" s="33"/>
      <c r="Q531" s="31" t="s">
        <v>11802</v>
      </c>
      <c r="R531" s="2" t="str">
        <f t="array" ref="R531">xlookup($E531,'Bảng tổng hợp 1'!$B:$B,'Bảng tổng hợp 1'!$B:$B,0)</f>
        <v>L05.33.02.02</v>
      </c>
    </row>
    <row r="532" hidden="1">
      <c r="A532" s="30">
        <v>527.0</v>
      </c>
      <c r="B532" s="31" t="s">
        <v>12295</v>
      </c>
      <c r="C532" s="655" t="s">
        <v>12296</v>
      </c>
      <c r="D532" s="31" t="s">
        <v>12297</v>
      </c>
      <c r="E532" s="31" t="s">
        <v>12297</v>
      </c>
      <c r="F532" s="31" t="s">
        <v>11844</v>
      </c>
      <c r="G532" s="34"/>
      <c r="H532" s="34"/>
      <c r="I532" s="34"/>
      <c r="J532" s="31" t="s">
        <v>123</v>
      </c>
      <c r="K532" s="33"/>
      <c r="L532" s="34"/>
      <c r="M532" s="34"/>
      <c r="N532" s="31" t="s">
        <v>11969</v>
      </c>
      <c r="O532" s="656" t="s">
        <v>9265</v>
      </c>
      <c r="P532" s="33"/>
      <c r="Q532" s="31" t="s">
        <v>11802</v>
      </c>
      <c r="R532" s="2">
        <f t="array" ref="R532">xlookup($E532,'Bảng tổng hợp 1'!$B:$B,'Bảng tổng hợp 1'!$B:$B,0)</f>
        <v>0</v>
      </c>
    </row>
    <row r="533" hidden="1">
      <c r="A533" s="30">
        <v>528.0</v>
      </c>
      <c r="B533" s="31" t="s">
        <v>12298</v>
      </c>
      <c r="C533" s="655" t="s">
        <v>356</v>
      </c>
      <c r="D533" s="31" t="s">
        <v>11067</v>
      </c>
      <c r="E533" s="31" t="s">
        <v>11067</v>
      </c>
      <c r="F533" s="31" t="s">
        <v>11844</v>
      </c>
      <c r="G533" s="34"/>
      <c r="H533" s="34"/>
      <c r="I533" s="34"/>
      <c r="J533" s="31" t="s">
        <v>263</v>
      </c>
      <c r="K533" s="33"/>
      <c r="L533" s="34"/>
      <c r="M533" s="34"/>
      <c r="N533" s="34"/>
      <c r="O533" s="656" t="s">
        <v>9265</v>
      </c>
      <c r="P533" s="33"/>
      <c r="Q533" s="31" t="s">
        <v>11802</v>
      </c>
      <c r="R533" s="2">
        <f t="array" ref="R533">xlookup($E533,'Bảng tổng hợp 1'!$B:$B,'Bảng tổng hợp 1'!$B:$B,0)</f>
        <v>0</v>
      </c>
    </row>
    <row r="534" hidden="1">
      <c r="A534" s="30">
        <v>529.0</v>
      </c>
      <c r="B534" s="31" t="s">
        <v>12298</v>
      </c>
      <c r="C534" s="31" t="s">
        <v>1780</v>
      </c>
      <c r="D534" s="31" t="s">
        <v>1781</v>
      </c>
      <c r="E534" s="31" t="str">
        <f t="shared" ref="E534:E536" si="64">trim(D534)</f>
        <v>L05.33.03.02</v>
      </c>
      <c r="F534" s="31" t="s">
        <v>11844</v>
      </c>
      <c r="G534" s="34"/>
      <c r="H534" s="34"/>
      <c r="I534" s="34"/>
      <c r="J534" s="31" t="s">
        <v>356</v>
      </c>
      <c r="K534" s="33"/>
      <c r="L534" s="34"/>
      <c r="M534" s="34"/>
      <c r="N534" s="34"/>
      <c r="O534" s="656" t="s">
        <v>9265</v>
      </c>
      <c r="P534" s="33"/>
      <c r="Q534" s="31" t="s">
        <v>11802</v>
      </c>
      <c r="R534" s="2" t="str">
        <f t="array" ref="R534">xlookup($E534,'Bảng tổng hợp 1'!$B:$B,'Bảng tổng hợp 1'!$B:$B,0)</f>
        <v>L05.33.03.02</v>
      </c>
    </row>
    <row r="535" hidden="1">
      <c r="A535" s="30">
        <v>530.0</v>
      </c>
      <c r="B535" s="31" t="s">
        <v>12298</v>
      </c>
      <c r="C535" s="31" t="s">
        <v>1786</v>
      </c>
      <c r="D535" s="31" t="s">
        <v>1787</v>
      </c>
      <c r="E535" s="31" t="str">
        <f t="shared" si="64"/>
        <v>L05.33.03.01</v>
      </c>
      <c r="F535" s="31" t="s">
        <v>11844</v>
      </c>
      <c r="G535" s="34"/>
      <c r="H535" s="34"/>
      <c r="I535" s="34"/>
      <c r="J535" s="31" t="s">
        <v>356</v>
      </c>
      <c r="K535" s="33"/>
      <c r="L535" s="34"/>
      <c r="M535" s="34"/>
      <c r="N535" s="34"/>
      <c r="O535" s="656" t="s">
        <v>9265</v>
      </c>
      <c r="P535" s="33"/>
      <c r="Q535" s="31" t="s">
        <v>11802</v>
      </c>
      <c r="R535" s="2" t="str">
        <f t="array" ref="R535">xlookup($E535,'Bảng tổng hợp 1'!$B:$B,'Bảng tổng hợp 1'!$B:$B,0)</f>
        <v>L05.33.03.01</v>
      </c>
    </row>
    <row r="536" hidden="1">
      <c r="A536" s="30">
        <v>531.0</v>
      </c>
      <c r="B536" s="31" t="s">
        <v>12298</v>
      </c>
      <c r="C536" s="31" t="s">
        <v>1717</v>
      </c>
      <c r="D536" s="31" t="s">
        <v>1718</v>
      </c>
      <c r="E536" s="31" t="str">
        <f t="shared" si="64"/>
        <v>L05.33.03.03</v>
      </c>
      <c r="F536" s="31" t="s">
        <v>11844</v>
      </c>
      <c r="G536" s="34"/>
      <c r="H536" s="34"/>
      <c r="I536" s="34"/>
      <c r="J536" s="31" t="s">
        <v>356</v>
      </c>
      <c r="K536" s="33"/>
      <c r="L536" s="34"/>
      <c r="M536" s="34"/>
      <c r="N536" s="31" t="s">
        <v>11969</v>
      </c>
      <c r="O536" s="656" t="s">
        <v>9265</v>
      </c>
      <c r="P536" s="33"/>
      <c r="Q536" s="31" t="s">
        <v>11802</v>
      </c>
      <c r="R536" s="2" t="str">
        <f t="array" ref="R536">xlookup($E536,'Bảng tổng hợp 1'!$B:$B,'Bảng tổng hợp 1'!$B:$B,0)</f>
        <v>L05.33.03.03</v>
      </c>
    </row>
    <row r="537" hidden="1">
      <c r="A537" s="30">
        <v>532.0</v>
      </c>
      <c r="B537" s="31" t="s">
        <v>12299</v>
      </c>
      <c r="C537" s="655" t="s">
        <v>12300</v>
      </c>
      <c r="D537" s="31" t="s">
        <v>12301</v>
      </c>
      <c r="E537" s="31" t="s">
        <v>12301</v>
      </c>
      <c r="F537" s="31" t="s">
        <v>11844</v>
      </c>
      <c r="G537" s="34"/>
      <c r="H537" s="34"/>
      <c r="I537" s="34"/>
      <c r="J537" s="31" t="s">
        <v>356</v>
      </c>
      <c r="K537" s="33"/>
      <c r="L537" s="34"/>
      <c r="M537" s="34"/>
      <c r="N537" s="31" t="s">
        <v>11969</v>
      </c>
      <c r="O537" s="656" t="s">
        <v>9265</v>
      </c>
      <c r="P537" s="33"/>
      <c r="Q537" s="31" t="s">
        <v>11802</v>
      </c>
      <c r="R537" s="2">
        <f t="array" ref="R537">xlookup($E537,'Bảng tổng hợp 1'!$B:$B,'Bảng tổng hợp 1'!$B:$B,0)</f>
        <v>0</v>
      </c>
    </row>
    <row r="538" hidden="1">
      <c r="A538" s="30">
        <v>533.0</v>
      </c>
      <c r="B538" s="31" t="s">
        <v>12302</v>
      </c>
      <c r="C538" s="31" t="s">
        <v>261</v>
      </c>
      <c r="D538" s="31" t="s">
        <v>264</v>
      </c>
      <c r="E538" s="31" t="str">
        <f t="shared" ref="E538:E539" si="65">trim(D538)</f>
        <v>L05.33.07</v>
      </c>
      <c r="F538" s="31" t="s">
        <v>11844</v>
      </c>
      <c r="G538" s="34"/>
      <c r="H538" s="34"/>
      <c r="I538" s="34"/>
      <c r="J538" s="31" t="s">
        <v>263</v>
      </c>
      <c r="K538" s="33"/>
      <c r="L538" s="34"/>
      <c r="M538" s="34"/>
      <c r="N538" s="31" t="s">
        <v>11969</v>
      </c>
      <c r="O538" s="656" t="s">
        <v>9265</v>
      </c>
      <c r="P538" s="33"/>
      <c r="Q538" s="31" t="s">
        <v>11802</v>
      </c>
      <c r="R538" s="2" t="str">
        <f t="array" ref="R538">xlookup($E538,'Bảng tổng hợp 1'!$B:$B,'Bảng tổng hợp 1'!$B:$B,0)</f>
        <v>L05.33.07</v>
      </c>
    </row>
    <row r="539" hidden="1">
      <c r="A539" s="30">
        <v>534.0</v>
      </c>
      <c r="B539" s="31" t="s">
        <v>12303</v>
      </c>
      <c r="C539" s="31" t="s">
        <v>1693</v>
      </c>
      <c r="D539" s="31" t="s">
        <v>1694</v>
      </c>
      <c r="E539" s="31" t="str">
        <f t="shared" si="65"/>
        <v>L05.33.08</v>
      </c>
      <c r="F539" s="31" t="s">
        <v>11844</v>
      </c>
      <c r="G539" s="34"/>
      <c r="H539" s="34"/>
      <c r="I539" s="34"/>
      <c r="J539" s="31" t="s">
        <v>263</v>
      </c>
      <c r="K539" s="33"/>
      <c r="L539" s="34"/>
      <c r="M539" s="34"/>
      <c r="N539" s="31" t="s">
        <v>11969</v>
      </c>
      <c r="O539" s="656" t="s">
        <v>9265</v>
      </c>
      <c r="P539" s="33"/>
      <c r="Q539" s="31" t="s">
        <v>11802</v>
      </c>
      <c r="R539" s="2" t="str">
        <f t="array" ref="R539">xlookup($E539,'Bảng tổng hợp 1'!$B:$B,'Bảng tổng hợp 1'!$B:$B,0)</f>
        <v>L05.33.08</v>
      </c>
    </row>
    <row r="540" hidden="1">
      <c r="A540" s="30">
        <v>535.0</v>
      </c>
      <c r="B540" s="31" t="s">
        <v>12302</v>
      </c>
      <c r="C540" s="655" t="s">
        <v>11078</v>
      </c>
      <c r="D540" s="31" t="s">
        <v>11077</v>
      </c>
      <c r="E540" s="31" t="s">
        <v>11077</v>
      </c>
      <c r="F540" s="31" t="s">
        <v>11844</v>
      </c>
      <c r="G540" s="34"/>
      <c r="H540" s="34"/>
      <c r="I540" s="34"/>
      <c r="J540" s="31" t="s">
        <v>263</v>
      </c>
      <c r="K540" s="32">
        <v>45414.0</v>
      </c>
      <c r="L540" s="34"/>
      <c r="M540" s="34"/>
      <c r="N540" s="31" t="s">
        <v>11969</v>
      </c>
      <c r="O540" s="656" t="s">
        <v>9265</v>
      </c>
      <c r="P540" s="33"/>
      <c r="Q540" s="31" t="s">
        <v>11802</v>
      </c>
      <c r="R540" s="2">
        <f t="array" ref="R540">xlookup($E540,'Bảng tổng hợp 1'!$B:$B,'Bảng tổng hợp 1'!$B:$B,0)</f>
        <v>0</v>
      </c>
    </row>
    <row r="541" hidden="1">
      <c r="A541" s="30">
        <v>536.0</v>
      </c>
      <c r="B541" s="31" t="s">
        <v>12304</v>
      </c>
      <c r="C541" s="31" t="s">
        <v>101</v>
      </c>
      <c r="D541" s="31" t="s">
        <v>1679</v>
      </c>
      <c r="E541" s="31" t="str">
        <f t="shared" ref="E541:E543" si="66">trim(D541)</f>
        <v>L05.35</v>
      </c>
      <c r="F541" s="31" t="s">
        <v>11844</v>
      </c>
      <c r="G541" s="34"/>
      <c r="H541" s="34"/>
      <c r="I541" s="34"/>
      <c r="J541" s="31" t="s">
        <v>262</v>
      </c>
      <c r="K541" s="33"/>
      <c r="L541" s="34"/>
      <c r="M541" s="34"/>
      <c r="N541" s="34"/>
      <c r="O541" s="656" t="s">
        <v>9265</v>
      </c>
      <c r="P541" s="33"/>
      <c r="Q541" s="31" t="s">
        <v>11802</v>
      </c>
      <c r="R541" s="2" t="str">
        <f t="array" ref="R541">xlookup($E541,'Bảng tổng hợp 1'!$B:$B,'Bảng tổng hợp 1'!$B:$B,0)</f>
        <v>L05.35</v>
      </c>
    </row>
    <row r="542" hidden="1">
      <c r="A542" s="30">
        <v>537.0</v>
      </c>
      <c r="B542" s="31" t="s">
        <v>12305</v>
      </c>
      <c r="C542" s="31" t="s">
        <v>1636</v>
      </c>
      <c r="D542" s="31" t="s">
        <v>1637</v>
      </c>
      <c r="E542" s="31" t="str">
        <f t="shared" si="66"/>
        <v>L05.35.01</v>
      </c>
      <c r="F542" s="31" t="s">
        <v>11851</v>
      </c>
      <c r="G542" s="34"/>
      <c r="H542" s="34"/>
      <c r="I542" s="34"/>
      <c r="J542" s="31" t="s">
        <v>101</v>
      </c>
      <c r="K542" s="33"/>
      <c r="L542" s="34"/>
      <c r="M542" s="34"/>
      <c r="N542" s="34"/>
      <c r="O542" s="656" t="s">
        <v>9265</v>
      </c>
      <c r="P542" s="33"/>
      <c r="Q542" s="31" t="s">
        <v>11802</v>
      </c>
      <c r="R542" s="2" t="str">
        <f t="array" ref="R542">xlookup($E542,'Bảng tổng hợp 1'!$B:$B,'Bảng tổng hợp 1'!$B:$B,0)</f>
        <v>L05.35.01</v>
      </c>
    </row>
    <row r="543" hidden="1">
      <c r="A543" s="30">
        <v>538.0</v>
      </c>
      <c r="B543" s="31" t="s">
        <v>12306</v>
      </c>
      <c r="C543" s="31" t="s">
        <v>1654</v>
      </c>
      <c r="D543" s="31" t="s">
        <v>1655</v>
      </c>
      <c r="E543" s="31" t="str">
        <f t="shared" si="66"/>
        <v>L05.35.02</v>
      </c>
      <c r="F543" s="31" t="s">
        <v>11851</v>
      </c>
      <c r="G543" s="34"/>
      <c r="H543" s="34"/>
      <c r="I543" s="34"/>
      <c r="J543" s="31" t="s">
        <v>101</v>
      </c>
      <c r="K543" s="33"/>
      <c r="L543" s="34"/>
      <c r="M543" s="34"/>
      <c r="N543" s="34"/>
      <c r="O543" s="656" t="s">
        <v>9265</v>
      </c>
      <c r="P543" s="33"/>
      <c r="Q543" s="31" t="s">
        <v>11802</v>
      </c>
      <c r="R543" s="2" t="str">
        <f t="array" ref="R543">xlookup($E543,'Bảng tổng hợp 1'!$B:$B,'Bảng tổng hợp 1'!$B:$B,0)</f>
        <v>L05.35.02</v>
      </c>
    </row>
    <row r="544" hidden="1">
      <c r="A544" s="30">
        <v>539.0</v>
      </c>
      <c r="B544" s="31" t="s">
        <v>12307</v>
      </c>
      <c r="C544" s="655" t="s">
        <v>12308</v>
      </c>
      <c r="D544" s="31" t="s">
        <v>12309</v>
      </c>
      <c r="E544" s="31" t="s">
        <v>12309</v>
      </c>
      <c r="F544" s="31" t="s">
        <v>11851</v>
      </c>
      <c r="G544" s="34"/>
      <c r="H544" s="34"/>
      <c r="I544" s="34"/>
      <c r="J544" s="31" t="s">
        <v>101</v>
      </c>
      <c r="K544" s="33"/>
      <c r="L544" s="34"/>
      <c r="M544" s="34"/>
      <c r="N544" s="34"/>
      <c r="O544" s="656" t="s">
        <v>9265</v>
      </c>
      <c r="P544" s="33"/>
      <c r="Q544" s="31" t="s">
        <v>11802</v>
      </c>
      <c r="R544" s="2">
        <f t="array" ref="R544">xlookup($E544,'Bảng tổng hợp 1'!$B:$B,'Bảng tổng hợp 1'!$B:$B,0)</f>
        <v>0</v>
      </c>
    </row>
    <row r="545" hidden="1">
      <c r="A545" s="30">
        <v>540.0</v>
      </c>
      <c r="B545" s="31" t="s">
        <v>12310</v>
      </c>
      <c r="C545" s="655" t="s">
        <v>12173</v>
      </c>
      <c r="D545" s="31" t="s">
        <v>12311</v>
      </c>
      <c r="E545" s="31" t="s">
        <v>12311</v>
      </c>
      <c r="F545" s="31" t="s">
        <v>11850</v>
      </c>
      <c r="G545" s="34"/>
      <c r="H545" s="34"/>
      <c r="I545" s="34"/>
      <c r="J545" s="31" t="s">
        <v>262</v>
      </c>
      <c r="K545" s="33"/>
      <c r="L545" s="34"/>
      <c r="M545" s="34"/>
      <c r="N545" s="31" t="s">
        <v>11969</v>
      </c>
      <c r="O545" s="656" t="s">
        <v>9265</v>
      </c>
      <c r="P545" s="33"/>
      <c r="Q545" s="31" t="s">
        <v>11802</v>
      </c>
      <c r="R545" s="2">
        <f t="array" ref="R545">xlookup($E545,'Bảng tổng hợp 1'!$B:$B,'Bảng tổng hợp 1'!$B:$B,0)</f>
        <v>0</v>
      </c>
    </row>
    <row r="546" hidden="1">
      <c r="A546" s="30">
        <v>541.0</v>
      </c>
      <c r="B546" s="31" t="s">
        <v>12312</v>
      </c>
      <c r="C546" s="655" t="s">
        <v>12176</v>
      </c>
      <c r="D546" s="31" t="s">
        <v>12313</v>
      </c>
      <c r="E546" s="31" t="s">
        <v>12313</v>
      </c>
      <c r="F546" s="31" t="s">
        <v>11844</v>
      </c>
      <c r="G546" s="34"/>
      <c r="H546" s="34"/>
      <c r="I546" s="34"/>
      <c r="J546" s="31" t="s">
        <v>12173</v>
      </c>
      <c r="K546" s="33"/>
      <c r="L546" s="34"/>
      <c r="M546" s="34"/>
      <c r="N546" s="31" t="s">
        <v>11969</v>
      </c>
      <c r="O546" s="656" t="s">
        <v>9265</v>
      </c>
      <c r="P546" s="33"/>
      <c r="Q546" s="31" t="s">
        <v>11802</v>
      </c>
      <c r="R546" s="2">
        <f t="array" ref="R546">xlookup($E546,'Bảng tổng hợp 1'!$B:$B,'Bảng tổng hợp 1'!$B:$B,0)</f>
        <v>0</v>
      </c>
    </row>
    <row r="547" hidden="1">
      <c r="A547" s="30">
        <v>542.0</v>
      </c>
      <c r="B547" s="31" t="s">
        <v>12314</v>
      </c>
      <c r="C547" s="655" t="s">
        <v>12315</v>
      </c>
      <c r="D547" s="31" t="s">
        <v>12316</v>
      </c>
      <c r="E547" s="31" t="s">
        <v>12316</v>
      </c>
      <c r="F547" s="31" t="s">
        <v>11844</v>
      </c>
      <c r="G547" s="34"/>
      <c r="H547" s="34"/>
      <c r="I547" s="34"/>
      <c r="J547" s="31" t="s">
        <v>12173</v>
      </c>
      <c r="K547" s="33"/>
      <c r="L547" s="34"/>
      <c r="M547" s="34"/>
      <c r="N547" s="31" t="s">
        <v>11969</v>
      </c>
      <c r="O547" s="656" t="s">
        <v>9265</v>
      </c>
      <c r="P547" s="33"/>
      <c r="Q547" s="31" t="s">
        <v>11802</v>
      </c>
      <c r="R547" s="2">
        <f t="array" ref="R547">xlookup($E547,'Bảng tổng hợp 1'!$B:$B,'Bảng tổng hợp 1'!$B:$B,0)</f>
        <v>0</v>
      </c>
    </row>
    <row r="548" hidden="1">
      <c r="A548" s="30">
        <v>543.0</v>
      </c>
      <c r="B548" s="31" t="s">
        <v>12317</v>
      </c>
      <c r="C548" s="655" t="s">
        <v>12318</v>
      </c>
      <c r="D548" s="31" t="s">
        <v>12319</v>
      </c>
      <c r="E548" s="31" t="s">
        <v>12319</v>
      </c>
      <c r="F548" s="31" t="s">
        <v>11844</v>
      </c>
      <c r="G548" s="34"/>
      <c r="H548" s="34"/>
      <c r="I548" s="34"/>
      <c r="J548" s="31" t="s">
        <v>12173</v>
      </c>
      <c r="K548" s="33"/>
      <c r="L548" s="34"/>
      <c r="M548" s="34"/>
      <c r="N548" s="31" t="s">
        <v>11969</v>
      </c>
      <c r="O548" s="656" t="s">
        <v>9265</v>
      </c>
      <c r="P548" s="33"/>
      <c r="Q548" s="31" t="s">
        <v>11802</v>
      </c>
      <c r="R548" s="2">
        <f t="array" ref="R548">xlookup($E548,'Bảng tổng hợp 1'!$B:$B,'Bảng tổng hợp 1'!$B:$B,0)</f>
        <v>0</v>
      </c>
    </row>
    <row r="549" hidden="1">
      <c r="A549" s="30">
        <v>544.0</v>
      </c>
      <c r="B549" s="31" t="s">
        <v>11805</v>
      </c>
      <c r="C549" s="655" t="s">
        <v>2811</v>
      </c>
      <c r="D549" s="31" t="s">
        <v>12320</v>
      </c>
      <c r="E549" s="31" t="s">
        <v>12320</v>
      </c>
      <c r="F549" s="31" t="s">
        <v>11840</v>
      </c>
      <c r="G549" s="34"/>
      <c r="H549" s="34"/>
      <c r="I549" s="34"/>
      <c r="J549" s="31" t="s">
        <v>10527</v>
      </c>
      <c r="K549" s="33"/>
      <c r="L549" s="31" t="s">
        <v>12321</v>
      </c>
      <c r="M549" s="34"/>
      <c r="N549" s="34"/>
      <c r="O549" s="656" t="s">
        <v>9265</v>
      </c>
      <c r="P549" s="33"/>
      <c r="Q549" s="31" t="s">
        <v>11802</v>
      </c>
      <c r="R549" s="2">
        <f t="array" ref="R549">xlookup($E549,'Bảng tổng hợp 1'!$B:$B,'Bảng tổng hợp 1'!$B:$B,0)</f>
        <v>0</v>
      </c>
    </row>
    <row r="550" hidden="1">
      <c r="A550" s="30">
        <v>545.0</v>
      </c>
      <c r="B550" s="31" t="s">
        <v>12322</v>
      </c>
      <c r="C550" s="31" t="s">
        <v>32</v>
      </c>
      <c r="D550" s="31" t="s">
        <v>9531</v>
      </c>
      <c r="E550" s="31" t="str">
        <f>trim(D550)</f>
        <v>L06.01</v>
      </c>
      <c r="F550" s="31" t="s">
        <v>11844</v>
      </c>
      <c r="G550" s="34"/>
      <c r="H550" s="34"/>
      <c r="I550" s="34"/>
      <c r="J550" s="31" t="s">
        <v>2811</v>
      </c>
      <c r="K550" s="33"/>
      <c r="L550" s="31" t="s">
        <v>12321</v>
      </c>
      <c r="M550" s="34"/>
      <c r="N550" s="34"/>
      <c r="O550" s="656" t="s">
        <v>9265</v>
      </c>
      <c r="P550" s="33"/>
      <c r="Q550" s="31" t="s">
        <v>11802</v>
      </c>
      <c r="R550" s="2" t="str">
        <f t="array" ref="R550">xlookup($E550,'Bảng tổng hợp 1'!$B:$B,'Bảng tổng hợp 1'!$B:$B,0)</f>
        <v>L06.01</v>
      </c>
    </row>
    <row r="551" hidden="1">
      <c r="A551" s="30">
        <v>546.0</v>
      </c>
      <c r="B551" s="31" t="s">
        <v>12323</v>
      </c>
      <c r="C551" s="655" t="s">
        <v>2768</v>
      </c>
      <c r="D551" s="31" t="s">
        <v>11081</v>
      </c>
      <c r="E551" s="31" t="s">
        <v>11081</v>
      </c>
      <c r="F551" s="31" t="s">
        <v>11844</v>
      </c>
      <c r="G551" s="34"/>
      <c r="H551" s="34"/>
      <c r="I551" s="34"/>
      <c r="J551" s="31" t="s">
        <v>2811</v>
      </c>
      <c r="K551" s="33"/>
      <c r="L551" s="34"/>
      <c r="M551" s="34"/>
      <c r="N551" s="34"/>
      <c r="O551" s="656" t="s">
        <v>9265</v>
      </c>
      <c r="P551" s="33"/>
      <c r="Q551" s="31" t="s">
        <v>11802</v>
      </c>
      <c r="R551" s="2">
        <f t="array" ref="R551">xlookup($E551,'Bảng tổng hợp 1'!$B:$B,'Bảng tổng hợp 1'!$B:$B,0)</f>
        <v>0</v>
      </c>
    </row>
    <row r="552" hidden="1">
      <c r="A552" s="30">
        <v>547.0</v>
      </c>
      <c r="B552" s="31" t="s">
        <v>12323</v>
      </c>
      <c r="C552" s="31" t="s">
        <v>2767</v>
      </c>
      <c r="D552" s="31" t="s">
        <v>3080</v>
      </c>
      <c r="E552" s="31" t="str">
        <f t="shared" ref="E552:E559" si="67">trim(D552)</f>
        <v>L06.16.01</v>
      </c>
      <c r="F552" s="31" t="s">
        <v>11844</v>
      </c>
      <c r="G552" s="34"/>
      <c r="H552" s="34"/>
      <c r="I552" s="34"/>
      <c r="J552" s="31" t="s">
        <v>2768</v>
      </c>
      <c r="K552" s="33"/>
      <c r="L552" s="34"/>
      <c r="M552" s="34"/>
      <c r="N552" s="31" t="s">
        <v>11969</v>
      </c>
      <c r="O552" s="656" t="s">
        <v>9265</v>
      </c>
      <c r="P552" s="33"/>
      <c r="Q552" s="31" t="s">
        <v>11802</v>
      </c>
      <c r="R552" s="2" t="str">
        <f t="array" ref="R552">xlookup($E552,'Bảng tổng hợp 1'!$B:$B,'Bảng tổng hợp 1'!$B:$B,0)</f>
        <v>L06.16.01</v>
      </c>
    </row>
    <row r="553" hidden="1">
      <c r="A553" s="30">
        <v>548.0</v>
      </c>
      <c r="B553" s="31" t="s">
        <v>12323</v>
      </c>
      <c r="C553" s="31" t="s">
        <v>2858</v>
      </c>
      <c r="D553" s="31" t="s">
        <v>3074</v>
      </c>
      <c r="E553" s="31" t="str">
        <f t="shared" si="67"/>
        <v>L06.16.02</v>
      </c>
      <c r="F553" s="31" t="s">
        <v>11844</v>
      </c>
      <c r="G553" s="34"/>
      <c r="H553" s="34"/>
      <c r="I553" s="34"/>
      <c r="J553" s="31" t="s">
        <v>2768</v>
      </c>
      <c r="K553" s="33"/>
      <c r="L553" s="34"/>
      <c r="M553" s="34"/>
      <c r="N553" s="31" t="s">
        <v>11969</v>
      </c>
      <c r="O553" s="656" t="s">
        <v>9265</v>
      </c>
      <c r="P553" s="33"/>
      <c r="Q553" s="31" t="s">
        <v>11802</v>
      </c>
      <c r="R553" s="2" t="str">
        <f t="array" ref="R553">xlookup($E553,'Bảng tổng hợp 1'!$B:$B,'Bảng tổng hợp 1'!$B:$B,0)</f>
        <v>L06.16.02</v>
      </c>
    </row>
    <row r="554" hidden="1">
      <c r="A554" s="30">
        <v>549.0</v>
      </c>
      <c r="B554" s="31" t="s">
        <v>12324</v>
      </c>
      <c r="C554" s="31" t="s">
        <v>2909</v>
      </c>
      <c r="D554" s="31" t="s">
        <v>8625</v>
      </c>
      <c r="E554" s="31" t="str">
        <f t="shared" si="67"/>
        <v>L06.17</v>
      </c>
      <c r="F554" s="31" t="s">
        <v>11844</v>
      </c>
      <c r="G554" s="34"/>
      <c r="H554" s="34"/>
      <c r="I554" s="34"/>
      <c r="J554" s="31" t="s">
        <v>2811</v>
      </c>
      <c r="K554" s="33"/>
      <c r="L554" s="34"/>
      <c r="M554" s="34"/>
      <c r="N554" s="31" t="s">
        <v>11969</v>
      </c>
      <c r="O554" s="656" t="s">
        <v>9265</v>
      </c>
      <c r="P554" s="33"/>
      <c r="Q554" s="31" t="s">
        <v>11802</v>
      </c>
      <c r="R554" s="2" t="str">
        <f t="array" ref="R554">xlookup($E554,'Bảng tổng hợp 1'!$B:$B,'Bảng tổng hợp 1'!$B:$B,0)</f>
        <v>L06.17</v>
      </c>
    </row>
    <row r="555" hidden="1">
      <c r="A555" s="30">
        <v>550.0</v>
      </c>
      <c r="B555" s="31" t="s">
        <v>12325</v>
      </c>
      <c r="C555" s="31" t="s">
        <v>2908</v>
      </c>
      <c r="D555" s="31" t="s">
        <v>2910</v>
      </c>
      <c r="E555" s="31" t="str">
        <f t="shared" si="67"/>
        <v>L06.17.01</v>
      </c>
      <c r="F555" s="31" t="s">
        <v>11854</v>
      </c>
      <c r="G555" s="34"/>
      <c r="H555" s="34"/>
      <c r="I555" s="34"/>
      <c r="J555" s="31" t="s">
        <v>2909</v>
      </c>
      <c r="K555" s="33"/>
      <c r="L555" s="34"/>
      <c r="M555" s="34"/>
      <c r="N555" s="31" t="s">
        <v>11969</v>
      </c>
      <c r="O555" s="656" t="s">
        <v>9265</v>
      </c>
      <c r="P555" s="33"/>
      <c r="Q555" s="31" t="s">
        <v>11802</v>
      </c>
      <c r="R555" s="2" t="str">
        <f t="array" ref="R555">xlookup($E555,'Bảng tổng hợp 1'!$B:$B,'Bảng tổng hợp 1'!$B:$B,0)</f>
        <v>L06.17.01</v>
      </c>
    </row>
    <row r="556" hidden="1">
      <c r="A556" s="30">
        <v>551.0</v>
      </c>
      <c r="B556" s="31" t="s">
        <v>12326</v>
      </c>
      <c r="C556" s="31" t="s">
        <v>2760</v>
      </c>
      <c r="D556" s="31" t="s">
        <v>7678</v>
      </c>
      <c r="E556" s="31" t="str">
        <f t="shared" si="67"/>
        <v>L06.17.03</v>
      </c>
      <c r="F556" s="31" t="s">
        <v>11854</v>
      </c>
      <c r="G556" s="34"/>
      <c r="H556" s="34"/>
      <c r="I556" s="34"/>
      <c r="J556" s="31" t="s">
        <v>2909</v>
      </c>
      <c r="K556" s="33"/>
      <c r="L556" s="34"/>
      <c r="M556" s="34"/>
      <c r="N556" s="31" t="s">
        <v>11969</v>
      </c>
      <c r="O556" s="656" t="s">
        <v>9265</v>
      </c>
      <c r="P556" s="33"/>
      <c r="Q556" s="31" t="s">
        <v>11802</v>
      </c>
      <c r="R556" s="2" t="str">
        <f t="array" ref="R556">xlookup($E556,'Bảng tổng hợp 1'!$B:$B,'Bảng tổng hợp 1'!$B:$B,0)</f>
        <v>L06.17.03</v>
      </c>
    </row>
    <row r="557" hidden="1">
      <c r="A557" s="30">
        <v>552.0</v>
      </c>
      <c r="B557" s="31" t="s">
        <v>12327</v>
      </c>
      <c r="C557" s="31" t="s">
        <v>326</v>
      </c>
      <c r="D557" s="31" t="s">
        <v>8579</v>
      </c>
      <c r="E557" s="31" t="str">
        <f t="shared" si="67"/>
        <v>L06.18</v>
      </c>
      <c r="F557" s="31" t="s">
        <v>11844</v>
      </c>
      <c r="G557" s="34"/>
      <c r="H557" s="34"/>
      <c r="I557" s="34"/>
      <c r="J557" s="31" t="s">
        <v>2811</v>
      </c>
      <c r="K557" s="33"/>
      <c r="L557" s="34"/>
      <c r="M557" s="34"/>
      <c r="N557" s="34"/>
      <c r="O557" s="656" t="s">
        <v>9265</v>
      </c>
      <c r="P557" s="33"/>
      <c r="Q557" s="31" t="s">
        <v>11802</v>
      </c>
      <c r="R557" s="2" t="str">
        <f t="array" ref="R557">xlookup($E557,'Bảng tổng hợp 1'!$B:$B,'Bảng tổng hợp 1'!$B:$B,0)</f>
        <v>L06.18</v>
      </c>
    </row>
    <row r="558" hidden="1">
      <c r="A558" s="30">
        <v>553.0</v>
      </c>
      <c r="B558" s="31" t="s">
        <v>12328</v>
      </c>
      <c r="C558" s="31" t="s">
        <v>2737</v>
      </c>
      <c r="D558" s="31" t="s">
        <v>3356</v>
      </c>
      <c r="E558" s="31" t="str">
        <f t="shared" si="67"/>
        <v>L06.18.02</v>
      </c>
      <c r="F558" s="31" t="s">
        <v>11851</v>
      </c>
      <c r="G558" s="34"/>
      <c r="H558" s="34"/>
      <c r="I558" s="34"/>
      <c r="J558" s="31" t="s">
        <v>326</v>
      </c>
      <c r="K558" s="33"/>
      <c r="L558" s="34"/>
      <c r="M558" s="34"/>
      <c r="N558" s="34"/>
      <c r="O558" s="656" t="s">
        <v>9265</v>
      </c>
      <c r="P558" s="33"/>
      <c r="Q558" s="31" t="s">
        <v>11802</v>
      </c>
      <c r="R558" s="2" t="str">
        <f t="array" ref="R558">xlookup($E558,'Bảng tổng hợp 1'!$B:$B,'Bảng tổng hợp 1'!$B:$B,0)</f>
        <v>L06.18.02</v>
      </c>
    </row>
    <row r="559" hidden="1">
      <c r="A559" s="30">
        <v>554.0</v>
      </c>
      <c r="B559" s="31" t="s">
        <v>12329</v>
      </c>
      <c r="C559" s="31" t="s">
        <v>324</v>
      </c>
      <c r="D559" s="31" t="s">
        <v>4554</v>
      </c>
      <c r="E559" s="31" t="str">
        <f t="shared" si="67"/>
        <v>L06.18.03</v>
      </c>
      <c r="F559" s="31" t="s">
        <v>11851</v>
      </c>
      <c r="G559" s="34"/>
      <c r="H559" s="34"/>
      <c r="I559" s="34"/>
      <c r="J559" s="31" t="s">
        <v>326</v>
      </c>
      <c r="K559" s="33"/>
      <c r="L559" s="34"/>
      <c r="M559" s="34"/>
      <c r="N559" s="34"/>
      <c r="O559" s="656" t="s">
        <v>9265</v>
      </c>
      <c r="P559" s="33"/>
      <c r="Q559" s="31" t="s">
        <v>11802</v>
      </c>
      <c r="R559" s="2" t="str">
        <f t="array" ref="R559">xlookup($E559,'Bảng tổng hợp 1'!$B:$B,'Bảng tổng hợp 1'!$B:$B,0)</f>
        <v>L06.18.03</v>
      </c>
    </row>
    <row r="560" hidden="1">
      <c r="A560" s="30">
        <v>555.0</v>
      </c>
      <c r="B560" s="31" t="s">
        <v>12330</v>
      </c>
      <c r="C560" s="655" t="s">
        <v>12331</v>
      </c>
      <c r="D560" s="31" t="s">
        <v>12332</v>
      </c>
      <c r="E560" s="31" t="s">
        <v>12332</v>
      </c>
      <c r="F560" s="31" t="s">
        <v>11851</v>
      </c>
      <c r="G560" s="34"/>
      <c r="H560" s="34"/>
      <c r="I560" s="34"/>
      <c r="J560" s="31" t="s">
        <v>326</v>
      </c>
      <c r="K560" s="33"/>
      <c r="L560" s="34"/>
      <c r="M560" s="34"/>
      <c r="N560" s="34"/>
      <c r="O560" s="656" t="s">
        <v>9265</v>
      </c>
      <c r="P560" s="33"/>
      <c r="Q560" s="31" t="s">
        <v>11802</v>
      </c>
      <c r="R560" s="2">
        <f t="array" ref="R560">xlookup($E560,'Bảng tổng hợp 1'!$B:$B,'Bảng tổng hợp 1'!$B:$B,0)</f>
        <v>0</v>
      </c>
    </row>
    <row r="561" hidden="1">
      <c r="A561" s="30">
        <v>556.0</v>
      </c>
      <c r="B561" s="31" t="s">
        <v>12333</v>
      </c>
      <c r="C561" s="31" t="s">
        <v>8612</v>
      </c>
      <c r="D561" s="31" t="s">
        <v>8613</v>
      </c>
      <c r="E561" s="31" t="str">
        <f>trim(D561)</f>
        <v>L06.18.05</v>
      </c>
      <c r="F561" s="31" t="s">
        <v>11851</v>
      </c>
      <c r="G561" s="34"/>
      <c r="H561" s="34"/>
      <c r="I561" s="34"/>
      <c r="J561" s="31" t="s">
        <v>326</v>
      </c>
      <c r="K561" s="33"/>
      <c r="L561" s="34"/>
      <c r="M561" s="34"/>
      <c r="N561" s="34"/>
      <c r="O561" s="656" t="s">
        <v>9265</v>
      </c>
      <c r="P561" s="33"/>
      <c r="Q561" s="31" t="s">
        <v>11802</v>
      </c>
      <c r="R561" s="2" t="str">
        <f t="array" ref="R561">xlookup($E561,'Bảng tổng hợp 1'!$B:$B,'Bảng tổng hợp 1'!$B:$B,0)</f>
        <v>L06.18.05</v>
      </c>
    </row>
    <row r="562" hidden="1">
      <c r="A562" s="30">
        <v>557.0</v>
      </c>
      <c r="B562" s="31" t="s">
        <v>12334</v>
      </c>
      <c r="C562" s="655" t="s">
        <v>1985</v>
      </c>
      <c r="D562" s="31" t="s">
        <v>12335</v>
      </c>
      <c r="E562" s="31" t="s">
        <v>12335</v>
      </c>
      <c r="F562" s="31" t="s">
        <v>11851</v>
      </c>
      <c r="G562" s="34"/>
      <c r="H562" s="34"/>
      <c r="I562" s="34"/>
      <c r="J562" s="31" t="s">
        <v>326</v>
      </c>
      <c r="K562" s="33"/>
      <c r="L562" s="34"/>
      <c r="M562" s="34"/>
      <c r="N562" s="34"/>
      <c r="O562" s="656" t="s">
        <v>9265</v>
      </c>
      <c r="P562" s="33"/>
      <c r="Q562" s="31" t="s">
        <v>11802</v>
      </c>
      <c r="R562" s="2">
        <f t="array" ref="R562">xlookup($E562,'Bảng tổng hợp 1'!$B:$B,'Bảng tổng hợp 1'!$B:$B,0)</f>
        <v>0</v>
      </c>
    </row>
    <row r="563" hidden="1">
      <c r="A563" s="30">
        <v>558.0</v>
      </c>
      <c r="B563" s="31" t="s">
        <v>12336</v>
      </c>
      <c r="C563" s="655" t="s">
        <v>11095</v>
      </c>
      <c r="D563" s="31" t="s">
        <v>11094</v>
      </c>
      <c r="E563" s="31" t="s">
        <v>11094</v>
      </c>
      <c r="F563" s="31" t="s">
        <v>11854</v>
      </c>
      <c r="G563" s="34"/>
      <c r="H563" s="34"/>
      <c r="I563" s="34"/>
      <c r="J563" s="31" t="s">
        <v>326</v>
      </c>
      <c r="K563" s="33"/>
      <c r="L563" s="34"/>
      <c r="M563" s="34"/>
      <c r="N563" s="31" t="s">
        <v>11969</v>
      </c>
      <c r="O563" s="656" t="s">
        <v>9265</v>
      </c>
      <c r="P563" s="33"/>
      <c r="Q563" s="31" t="s">
        <v>11802</v>
      </c>
      <c r="R563" s="2">
        <f t="array" ref="R563">xlookup($E563,'Bảng tổng hợp 1'!$B:$B,'Bảng tổng hợp 1'!$B:$B,0)</f>
        <v>0</v>
      </c>
    </row>
    <row r="564" hidden="1">
      <c r="A564" s="30">
        <v>559.0</v>
      </c>
      <c r="B564" s="31" t="s">
        <v>12337</v>
      </c>
      <c r="C564" s="655" t="s">
        <v>153</v>
      </c>
      <c r="D564" s="31" t="s">
        <v>12338</v>
      </c>
      <c r="E564" s="31" t="s">
        <v>12338</v>
      </c>
      <c r="F564" s="31" t="s">
        <v>11851</v>
      </c>
      <c r="G564" s="34"/>
      <c r="H564" s="34"/>
      <c r="I564" s="34"/>
      <c r="J564" s="31" t="s">
        <v>2811</v>
      </c>
      <c r="K564" s="33"/>
      <c r="L564" s="34"/>
      <c r="M564" s="34"/>
      <c r="N564" s="34"/>
      <c r="O564" s="656" t="s">
        <v>9265</v>
      </c>
      <c r="P564" s="33"/>
      <c r="Q564" s="31" t="s">
        <v>11802</v>
      </c>
      <c r="R564" s="2">
        <f t="array" ref="R564">xlookup($E564,'Bảng tổng hợp 1'!$B:$B,'Bảng tổng hợp 1'!$B:$B,0)</f>
        <v>0</v>
      </c>
    </row>
    <row r="565" hidden="1">
      <c r="A565" s="30">
        <v>560.0</v>
      </c>
      <c r="B565" s="31" t="s">
        <v>12339</v>
      </c>
      <c r="C565" s="31" t="s">
        <v>1636</v>
      </c>
      <c r="D565" s="31" t="s">
        <v>7253</v>
      </c>
      <c r="E565" s="31" t="str">
        <f t="shared" ref="E565:E567" si="68">trim(D565)</f>
        <v>L06.19.02</v>
      </c>
      <c r="F565" s="31" t="s">
        <v>11851</v>
      </c>
      <c r="G565" s="34"/>
      <c r="H565" s="34"/>
      <c r="I565" s="34"/>
      <c r="J565" s="31" t="s">
        <v>153</v>
      </c>
      <c r="K565" s="33"/>
      <c r="L565" s="34"/>
      <c r="M565" s="34"/>
      <c r="N565" s="34"/>
      <c r="O565" s="656" t="s">
        <v>9265</v>
      </c>
      <c r="P565" s="33"/>
      <c r="Q565" s="31" t="s">
        <v>11802</v>
      </c>
      <c r="R565" s="2" t="str">
        <f t="array" ref="R565">xlookup($E565,'Bảng tổng hợp 1'!$B:$B,'Bảng tổng hợp 1'!$B:$B,0)</f>
        <v>L06.19.02</v>
      </c>
    </row>
    <row r="566" hidden="1">
      <c r="A566" s="30">
        <v>561.0</v>
      </c>
      <c r="B566" s="31" t="s">
        <v>12340</v>
      </c>
      <c r="C566" s="31" t="s">
        <v>2781</v>
      </c>
      <c r="D566" s="31" t="s">
        <v>7597</v>
      </c>
      <c r="E566" s="31" t="str">
        <f t="shared" si="68"/>
        <v>L06.19.03</v>
      </c>
      <c r="F566" s="31" t="s">
        <v>11851</v>
      </c>
      <c r="G566" s="34"/>
      <c r="H566" s="34"/>
      <c r="I566" s="34"/>
      <c r="J566" s="31" t="s">
        <v>153</v>
      </c>
      <c r="K566" s="33"/>
      <c r="L566" s="34"/>
      <c r="M566" s="34"/>
      <c r="N566" s="34"/>
      <c r="O566" s="656" t="s">
        <v>9265</v>
      </c>
      <c r="P566" s="33"/>
      <c r="Q566" s="31" t="s">
        <v>11802</v>
      </c>
      <c r="R566" s="2" t="str">
        <f t="array" ref="R566">xlookup($E566,'Bảng tổng hợp 1'!$B:$B,'Bảng tổng hợp 1'!$B:$B,0)</f>
        <v>L06.19.03</v>
      </c>
    </row>
    <row r="567" hidden="1">
      <c r="A567" s="30">
        <v>562.0</v>
      </c>
      <c r="B567" s="31" t="s">
        <v>12341</v>
      </c>
      <c r="C567" s="31" t="s">
        <v>8508</v>
      </c>
      <c r="D567" s="31" t="s">
        <v>8529</v>
      </c>
      <c r="E567" s="31" t="str">
        <f t="shared" si="68"/>
        <v>L06.19.04</v>
      </c>
      <c r="F567" s="31" t="s">
        <v>11851</v>
      </c>
      <c r="G567" s="34"/>
      <c r="H567" s="34"/>
      <c r="I567" s="34"/>
      <c r="J567" s="31" t="s">
        <v>153</v>
      </c>
      <c r="K567" s="33"/>
      <c r="L567" s="34"/>
      <c r="M567" s="34"/>
      <c r="N567" s="34"/>
      <c r="O567" s="656" t="s">
        <v>9265</v>
      </c>
      <c r="P567" s="33"/>
      <c r="Q567" s="31" t="s">
        <v>11802</v>
      </c>
      <c r="R567" s="2" t="str">
        <f t="array" ref="R567">xlookup($E567,'Bảng tổng hợp 1'!$B:$B,'Bảng tổng hợp 1'!$B:$B,0)</f>
        <v>L06.19.04</v>
      </c>
    </row>
    <row r="568" hidden="1">
      <c r="A568" s="30">
        <v>563.0</v>
      </c>
      <c r="B568" s="31" t="s">
        <v>12342</v>
      </c>
      <c r="C568" s="655" t="s">
        <v>12343</v>
      </c>
      <c r="D568" s="31" t="s">
        <v>12344</v>
      </c>
      <c r="E568" s="31" t="s">
        <v>12344</v>
      </c>
      <c r="F568" s="31" t="s">
        <v>11851</v>
      </c>
      <c r="G568" s="34"/>
      <c r="H568" s="34"/>
      <c r="I568" s="34"/>
      <c r="J568" s="31" t="s">
        <v>2811</v>
      </c>
      <c r="K568" s="33"/>
      <c r="L568" s="34"/>
      <c r="M568" s="34"/>
      <c r="N568" s="34"/>
      <c r="O568" s="656" t="s">
        <v>9265</v>
      </c>
      <c r="P568" s="33"/>
      <c r="Q568" s="31" t="s">
        <v>11802</v>
      </c>
      <c r="R568" s="2">
        <f t="array" ref="R568">xlookup($E568,'Bảng tổng hợp 1'!$B:$B,'Bảng tổng hợp 1'!$B:$B,0)</f>
        <v>0</v>
      </c>
    </row>
    <row r="569" hidden="1">
      <c r="A569" s="30">
        <v>564.0</v>
      </c>
      <c r="B569" s="31" t="s">
        <v>12345</v>
      </c>
      <c r="C569" s="655" t="s">
        <v>12346</v>
      </c>
      <c r="D569" s="31" t="s">
        <v>12347</v>
      </c>
      <c r="E569" s="31" t="s">
        <v>12347</v>
      </c>
      <c r="F569" s="31" t="s">
        <v>11851</v>
      </c>
      <c r="G569" s="34"/>
      <c r="H569" s="34"/>
      <c r="I569" s="34"/>
      <c r="J569" s="31" t="s">
        <v>12343</v>
      </c>
      <c r="K569" s="33"/>
      <c r="L569" s="34"/>
      <c r="M569" s="34"/>
      <c r="N569" s="34"/>
      <c r="O569" s="656" t="s">
        <v>9265</v>
      </c>
      <c r="P569" s="33"/>
      <c r="Q569" s="31" t="s">
        <v>11802</v>
      </c>
      <c r="R569" s="2">
        <f t="array" ref="R569">xlookup($E569,'Bảng tổng hợp 1'!$B:$B,'Bảng tổng hợp 1'!$B:$B,0)</f>
        <v>0</v>
      </c>
    </row>
    <row r="570" hidden="1">
      <c r="A570" s="30">
        <v>565.0</v>
      </c>
      <c r="B570" s="31" t="s">
        <v>12348</v>
      </c>
      <c r="C570" s="655" t="s">
        <v>12349</v>
      </c>
      <c r="D570" s="31" t="s">
        <v>12350</v>
      </c>
      <c r="E570" s="31" t="s">
        <v>12350</v>
      </c>
      <c r="F570" s="31" t="s">
        <v>11851</v>
      </c>
      <c r="G570" s="34"/>
      <c r="H570" s="34"/>
      <c r="I570" s="34"/>
      <c r="J570" s="31" t="s">
        <v>12343</v>
      </c>
      <c r="K570" s="33"/>
      <c r="L570" s="34"/>
      <c r="M570" s="34"/>
      <c r="N570" s="34"/>
      <c r="O570" s="656" t="s">
        <v>9265</v>
      </c>
      <c r="P570" s="33"/>
      <c r="Q570" s="31" t="s">
        <v>11802</v>
      </c>
      <c r="R570" s="2">
        <f t="array" ref="R570">xlookup($E570,'Bảng tổng hợp 1'!$B:$B,'Bảng tổng hợp 1'!$B:$B,0)</f>
        <v>0</v>
      </c>
    </row>
    <row r="571" hidden="1">
      <c r="A571" s="30">
        <v>566.0</v>
      </c>
      <c r="B571" s="31" t="s">
        <v>12351</v>
      </c>
      <c r="C571" s="655" t="s">
        <v>12352</v>
      </c>
      <c r="D571" s="31" t="s">
        <v>12353</v>
      </c>
      <c r="E571" s="31" t="s">
        <v>12353</v>
      </c>
      <c r="F571" s="31" t="s">
        <v>11851</v>
      </c>
      <c r="G571" s="34"/>
      <c r="H571" s="34"/>
      <c r="I571" s="34"/>
      <c r="J571" s="31" t="s">
        <v>12343</v>
      </c>
      <c r="K571" s="33"/>
      <c r="L571" s="34"/>
      <c r="M571" s="34"/>
      <c r="N571" s="34"/>
      <c r="O571" s="656" t="s">
        <v>9265</v>
      </c>
      <c r="P571" s="33"/>
      <c r="Q571" s="31" t="s">
        <v>11802</v>
      </c>
      <c r="R571" s="2">
        <f t="array" ref="R571">xlookup($E571,'Bảng tổng hợp 1'!$B:$B,'Bảng tổng hợp 1'!$B:$B,0)</f>
        <v>0</v>
      </c>
    </row>
    <row r="572" hidden="1">
      <c r="A572" s="30">
        <v>567.0</v>
      </c>
      <c r="B572" s="31" t="s">
        <v>12354</v>
      </c>
      <c r="C572" s="31" t="s">
        <v>2463</v>
      </c>
      <c r="D572" s="31" t="s">
        <v>3645</v>
      </c>
      <c r="E572" s="31" t="str">
        <f t="shared" ref="E572:E575" si="69">trim(D572)</f>
        <v>L06.02</v>
      </c>
      <c r="F572" s="31" t="s">
        <v>11844</v>
      </c>
      <c r="G572" s="34"/>
      <c r="H572" s="34"/>
      <c r="I572" s="34"/>
      <c r="J572" s="31" t="s">
        <v>2811</v>
      </c>
      <c r="K572" s="33"/>
      <c r="L572" s="34"/>
      <c r="M572" s="34"/>
      <c r="N572" s="31" t="s">
        <v>11969</v>
      </c>
      <c r="O572" s="656" t="s">
        <v>9265</v>
      </c>
      <c r="P572" s="33"/>
      <c r="Q572" s="31" t="s">
        <v>11802</v>
      </c>
      <c r="R572" s="2" t="str">
        <f t="array" ref="R572">xlookup($E572,'Bảng tổng hợp 1'!$B:$B,'Bảng tổng hợp 1'!$B:$B,0)</f>
        <v>L06.02</v>
      </c>
    </row>
    <row r="573" hidden="1">
      <c r="A573" s="30">
        <v>568.0</v>
      </c>
      <c r="B573" s="31" t="s">
        <v>12355</v>
      </c>
      <c r="C573" s="31" t="s">
        <v>2797</v>
      </c>
      <c r="D573" s="31" t="s">
        <v>9177</v>
      </c>
      <c r="E573" s="31" t="str">
        <f t="shared" si="69"/>
        <v>L06.03</v>
      </c>
      <c r="F573" s="31" t="s">
        <v>11916</v>
      </c>
      <c r="G573" s="34"/>
      <c r="H573" s="34"/>
      <c r="I573" s="34"/>
      <c r="J573" s="31" t="s">
        <v>2811</v>
      </c>
      <c r="K573" s="33"/>
      <c r="L573" s="34"/>
      <c r="M573" s="34"/>
      <c r="N573" s="34"/>
      <c r="O573" s="656" t="s">
        <v>9265</v>
      </c>
      <c r="P573" s="33"/>
      <c r="Q573" s="31" t="s">
        <v>11802</v>
      </c>
      <c r="R573" s="2" t="str">
        <f t="array" ref="R573">xlookup($E573,'Bảng tổng hợp 1'!$B:$B,'Bảng tổng hợp 1'!$B:$B,0)</f>
        <v>L06.03</v>
      </c>
    </row>
    <row r="574" hidden="1">
      <c r="A574" s="30">
        <v>569.0</v>
      </c>
      <c r="B574" s="31" t="s">
        <v>12355</v>
      </c>
      <c r="C574" s="31" t="s">
        <v>7532</v>
      </c>
      <c r="D574" s="31" t="s">
        <v>7533</v>
      </c>
      <c r="E574" s="31" t="str">
        <f t="shared" si="69"/>
        <v>L06.03.01</v>
      </c>
      <c r="F574" s="31" t="s">
        <v>11851</v>
      </c>
      <c r="G574" s="34"/>
      <c r="H574" s="34"/>
      <c r="I574" s="34"/>
      <c r="J574" s="31" t="s">
        <v>2797</v>
      </c>
      <c r="K574" s="33"/>
      <c r="L574" s="34"/>
      <c r="M574" s="34"/>
      <c r="N574" s="34"/>
      <c r="O574" s="656" t="s">
        <v>9265</v>
      </c>
      <c r="P574" s="33"/>
      <c r="Q574" s="31" t="s">
        <v>11802</v>
      </c>
      <c r="R574" s="2" t="str">
        <f t="array" ref="R574">xlookup($E574,'Bảng tổng hợp 1'!$B:$B,'Bảng tổng hợp 1'!$B:$B,0)</f>
        <v>L06.03.01</v>
      </c>
    </row>
    <row r="575" hidden="1">
      <c r="A575" s="30">
        <v>570.0</v>
      </c>
      <c r="B575" s="31" t="s">
        <v>12355</v>
      </c>
      <c r="C575" s="31" t="s">
        <v>3068</v>
      </c>
      <c r="D575" s="31" t="s">
        <v>3069</v>
      </c>
      <c r="E575" s="31" t="str">
        <f t="shared" si="69"/>
        <v>L06.03.06</v>
      </c>
      <c r="F575" s="31" t="s">
        <v>11851</v>
      </c>
      <c r="G575" s="34"/>
      <c r="H575" s="34"/>
      <c r="I575" s="34"/>
      <c r="J575" s="31" t="s">
        <v>2797</v>
      </c>
      <c r="K575" s="33"/>
      <c r="L575" s="34"/>
      <c r="M575" s="34"/>
      <c r="N575" s="34"/>
      <c r="O575" s="656" t="s">
        <v>9265</v>
      </c>
      <c r="P575" s="33"/>
      <c r="Q575" s="31" t="s">
        <v>11802</v>
      </c>
      <c r="R575" s="2" t="str">
        <f t="array" ref="R575">xlookup($E575,'Bảng tổng hợp 1'!$B:$B,'Bảng tổng hợp 1'!$B:$B,0)</f>
        <v>L06.03.06</v>
      </c>
    </row>
    <row r="576" hidden="1">
      <c r="A576" s="30">
        <v>571.0</v>
      </c>
      <c r="B576" s="31" t="s">
        <v>12356</v>
      </c>
      <c r="C576" s="655" t="s">
        <v>12357</v>
      </c>
      <c r="D576" s="31" t="s">
        <v>12358</v>
      </c>
      <c r="E576" s="31" t="s">
        <v>12358</v>
      </c>
      <c r="F576" s="31" t="s">
        <v>11844</v>
      </c>
      <c r="G576" s="34"/>
      <c r="H576" s="34"/>
      <c r="I576" s="34"/>
      <c r="J576" s="31" t="s">
        <v>2811</v>
      </c>
      <c r="K576" s="33"/>
      <c r="L576" s="34"/>
      <c r="M576" s="34"/>
      <c r="N576" s="31" t="s">
        <v>11969</v>
      </c>
      <c r="O576" s="656" t="s">
        <v>9265</v>
      </c>
      <c r="P576" s="33"/>
      <c r="Q576" s="31" t="s">
        <v>11802</v>
      </c>
      <c r="R576" s="2">
        <f t="array" ref="R576">xlookup($E576,'Bảng tổng hợp 1'!$B:$B,'Bảng tổng hợp 1'!$B:$B,0)</f>
        <v>0</v>
      </c>
    </row>
    <row r="577" hidden="1">
      <c r="A577" s="30">
        <v>572.0</v>
      </c>
      <c r="B577" s="31" t="s">
        <v>12359</v>
      </c>
      <c r="C577" s="31" t="s">
        <v>4559</v>
      </c>
      <c r="D577" s="31" t="s">
        <v>4560</v>
      </c>
      <c r="E577" s="31" t="str">
        <f t="shared" ref="E577:E578" si="70">trim(D577)</f>
        <v>L06.22</v>
      </c>
      <c r="F577" s="31" t="s">
        <v>11854</v>
      </c>
      <c r="G577" s="34"/>
      <c r="H577" s="34"/>
      <c r="I577" s="34"/>
      <c r="J577" s="31" t="s">
        <v>2811</v>
      </c>
      <c r="K577" s="33"/>
      <c r="L577" s="34"/>
      <c r="M577" s="34"/>
      <c r="N577" s="31" t="s">
        <v>11969</v>
      </c>
      <c r="O577" s="656" t="s">
        <v>9265</v>
      </c>
      <c r="P577" s="33"/>
      <c r="Q577" s="31" t="s">
        <v>11802</v>
      </c>
      <c r="R577" s="2" t="str">
        <f t="array" ref="R577">xlookup($E577,'Bảng tổng hợp 1'!$B:$B,'Bảng tổng hợp 1'!$B:$B,0)</f>
        <v>L06.22</v>
      </c>
    </row>
    <row r="578" hidden="1">
      <c r="A578" s="30">
        <v>573.0</v>
      </c>
      <c r="B578" s="31" t="s">
        <v>12360</v>
      </c>
      <c r="C578" s="31" t="s">
        <v>2810</v>
      </c>
      <c r="D578" s="31" t="s">
        <v>2812</v>
      </c>
      <c r="E578" s="31" t="str">
        <f t="shared" si="70"/>
        <v>L06.23</v>
      </c>
      <c r="F578" s="31" t="s">
        <v>11854</v>
      </c>
      <c r="G578" s="34"/>
      <c r="H578" s="34"/>
      <c r="I578" s="34"/>
      <c r="J578" s="31" t="s">
        <v>2811</v>
      </c>
      <c r="K578" s="33"/>
      <c r="L578" s="34"/>
      <c r="M578" s="34"/>
      <c r="N578" s="31" t="s">
        <v>11969</v>
      </c>
      <c r="O578" s="656" t="s">
        <v>9265</v>
      </c>
      <c r="P578" s="33"/>
      <c r="Q578" s="31" t="s">
        <v>11802</v>
      </c>
      <c r="R578" s="2" t="str">
        <f t="array" ref="R578">xlookup($E578,'Bảng tổng hợp 1'!$B:$B,'Bảng tổng hợp 1'!$B:$B,0)</f>
        <v>L06.23</v>
      </c>
    </row>
    <row r="579" hidden="1">
      <c r="A579" s="30">
        <v>574.0</v>
      </c>
      <c r="B579" s="31" t="s">
        <v>11800</v>
      </c>
      <c r="C579" s="655" t="s">
        <v>2732</v>
      </c>
      <c r="D579" s="31" t="s">
        <v>12361</v>
      </c>
      <c r="E579" s="31" t="s">
        <v>12361</v>
      </c>
      <c r="F579" s="31" t="s">
        <v>11840</v>
      </c>
      <c r="G579" s="34"/>
      <c r="H579" s="34"/>
      <c r="I579" s="34"/>
      <c r="J579" s="31" t="s">
        <v>10527</v>
      </c>
      <c r="K579" s="33"/>
      <c r="L579" s="31" t="s">
        <v>12362</v>
      </c>
      <c r="M579" s="34"/>
      <c r="N579" s="34"/>
      <c r="O579" s="656" t="s">
        <v>9265</v>
      </c>
      <c r="P579" s="33"/>
      <c r="Q579" s="31" t="s">
        <v>11802</v>
      </c>
      <c r="R579" s="2">
        <f t="array" ref="R579">xlookup($E579,'Bảng tổng hợp 1'!$B:$B,'Bảng tổng hợp 1'!$B:$B,0)</f>
        <v>0</v>
      </c>
    </row>
    <row r="580" hidden="1">
      <c r="A580" s="30">
        <v>575.0</v>
      </c>
      <c r="B580" s="31" t="s">
        <v>12363</v>
      </c>
      <c r="C580" s="31" t="s">
        <v>32</v>
      </c>
      <c r="D580" s="31" t="s">
        <v>9866</v>
      </c>
      <c r="E580" s="31" t="str">
        <f>trim(D580)</f>
        <v>L07.01</v>
      </c>
      <c r="F580" s="31" t="s">
        <v>11844</v>
      </c>
      <c r="G580" s="34"/>
      <c r="H580" s="34"/>
      <c r="I580" s="34"/>
      <c r="J580" s="31" t="s">
        <v>2732</v>
      </c>
      <c r="K580" s="33"/>
      <c r="L580" s="31" t="s">
        <v>12364</v>
      </c>
      <c r="M580" s="34"/>
      <c r="N580" s="34"/>
      <c r="O580" s="656" t="s">
        <v>9265</v>
      </c>
      <c r="P580" s="33"/>
      <c r="Q580" s="31" t="s">
        <v>11802</v>
      </c>
      <c r="R580" s="2" t="str">
        <f t="array" ref="R580">xlookup($E580,'Bảng tổng hợp 1'!$B:$B,'Bảng tổng hợp 1'!$B:$B,0)</f>
        <v>L07.01</v>
      </c>
    </row>
    <row r="581" hidden="1">
      <c r="A581" s="30">
        <v>576.0</v>
      </c>
      <c r="B581" s="31" t="s">
        <v>12365</v>
      </c>
      <c r="C581" s="655" t="s">
        <v>2768</v>
      </c>
      <c r="D581" s="31" t="s">
        <v>12366</v>
      </c>
      <c r="E581" s="31" t="s">
        <v>12366</v>
      </c>
      <c r="F581" s="31" t="s">
        <v>11844</v>
      </c>
      <c r="G581" s="34"/>
      <c r="H581" s="34"/>
      <c r="I581" s="34"/>
      <c r="J581" s="31" t="s">
        <v>2732</v>
      </c>
      <c r="K581" s="33"/>
      <c r="L581" s="34"/>
      <c r="M581" s="34"/>
      <c r="N581" s="31" t="s">
        <v>11969</v>
      </c>
      <c r="O581" s="656" t="s">
        <v>9265</v>
      </c>
      <c r="P581" s="33"/>
      <c r="Q581" s="31" t="s">
        <v>11802</v>
      </c>
      <c r="R581" s="2">
        <f t="array" ref="R581">xlookup($E581,'Bảng tổng hợp 1'!$B:$B,'Bảng tổng hợp 1'!$B:$B,0)</f>
        <v>0</v>
      </c>
    </row>
    <row r="582" hidden="1">
      <c r="A582" s="30">
        <v>577.0</v>
      </c>
      <c r="B582" s="31" t="s">
        <v>12367</v>
      </c>
      <c r="C582" s="655" t="s">
        <v>2767</v>
      </c>
      <c r="D582" s="31" t="s">
        <v>12368</v>
      </c>
      <c r="E582" s="31" t="s">
        <v>12368</v>
      </c>
      <c r="F582" s="31" t="s">
        <v>11854</v>
      </c>
      <c r="G582" s="34"/>
      <c r="H582" s="34"/>
      <c r="I582" s="34"/>
      <c r="J582" s="31" t="s">
        <v>2768</v>
      </c>
      <c r="K582" s="33"/>
      <c r="L582" s="34"/>
      <c r="M582" s="34"/>
      <c r="N582" s="31" t="s">
        <v>11969</v>
      </c>
      <c r="O582" s="656" t="s">
        <v>9265</v>
      </c>
      <c r="P582" s="33"/>
      <c r="Q582" s="31" t="s">
        <v>11802</v>
      </c>
      <c r="R582" s="2">
        <f t="array" ref="R582">xlookup($E582,'Bảng tổng hợp 1'!$B:$B,'Bảng tổng hợp 1'!$B:$B,0)</f>
        <v>0</v>
      </c>
    </row>
    <row r="583" hidden="1">
      <c r="A583" s="30">
        <v>578.0</v>
      </c>
      <c r="B583" s="31" t="s">
        <v>12365</v>
      </c>
      <c r="C583" s="31" t="s">
        <v>2858</v>
      </c>
      <c r="D583" s="31" t="s">
        <v>2859</v>
      </c>
      <c r="E583" s="31" t="str">
        <f t="shared" ref="E583:E586" si="71">trim(D583)</f>
        <v>L07.16.02</v>
      </c>
      <c r="F583" s="31" t="s">
        <v>11844</v>
      </c>
      <c r="G583" s="34"/>
      <c r="H583" s="34"/>
      <c r="I583" s="34"/>
      <c r="J583" s="31" t="s">
        <v>2768</v>
      </c>
      <c r="K583" s="33"/>
      <c r="L583" s="34"/>
      <c r="M583" s="34"/>
      <c r="N583" s="31" t="s">
        <v>11969</v>
      </c>
      <c r="O583" s="656" t="s">
        <v>9265</v>
      </c>
      <c r="P583" s="33"/>
      <c r="Q583" s="31" t="s">
        <v>11802</v>
      </c>
      <c r="R583" s="2" t="str">
        <f t="array" ref="R583">xlookup($E583,'Bảng tổng hợp 1'!$B:$B,'Bảng tổng hợp 1'!$B:$B,0)</f>
        <v>L07.16.02</v>
      </c>
    </row>
    <row r="584" hidden="1">
      <c r="A584" s="30">
        <v>579.0</v>
      </c>
      <c r="B584" s="31" t="s">
        <v>12369</v>
      </c>
      <c r="C584" s="31" t="s">
        <v>326</v>
      </c>
      <c r="D584" s="31" t="s">
        <v>9032</v>
      </c>
      <c r="E584" s="31" t="str">
        <f t="shared" si="71"/>
        <v>L07.18</v>
      </c>
      <c r="F584" s="31" t="s">
        <v>11844</v>
      </c>
      <c r="G584" s="34"/>
      <c r="H584" s="34"/>
      <c r="I584" s="34"/>
      <c r="J584" s="31" t="s">
        <v>2732</v>
      </c>
      <c r="K584" s="33"/>
      <c r="L584" s="34"/>
      <c r="M584" s="34"/>
      <c r="N584" s="34"/>
      <c r="O584" s="656" t="s">
        <v>9265</v>
      </c>
      <c r="P584" s="33"/>
      <c r="Q584" s="31" t="s">
        <v>11802</v>
      </c>
      <c r="R584" s="2" t="str">
        <f t="array" ref="R584">xlookup($E584,'Bảng tổng hợp 1'!$B:$B,'Bảng tổng hợp 1'!$B:$B,0)</f>
        <v>L07.18</v>
      </c>
    </row>
    <row r="585" hidden="1">
      <c r="A585" s="30">
        <v>580.0</v>
      </c>
      <c r="B585" s="31" t="s">
        <v>12370</v>
      </c>
      <c r="C585" s="31" t="s">
        <v>2737</v>
      </c>
      <c r="D585" s="31" t="s">
        <v>2738</v>
      </c>
      <c r="E585" s="31" t="str">
        <f t="shared" si="71"/>
        <v>L07.18.02</v>
      </c>
      <c r="F585" s="31" t="s">
        <v>11851</v>
      </c>
      <c r="G585" s="34"/>
      <c r="H585" s="34"/>
      <c r="I585" s="34"/>
      <c r="J585" s="31" t="s">
        <v>326</v>
      </c>
      <c r="K585" s="33"/>
      <c r="L585" s="34"/>
      <c r="M585" s="34"/>
      <c r="N585" s="34"/>
      <c r="O585" s="656" t="s">
        <v>9265</v>
      </c>
      <c r="P585" s="33"/>
      <c r="Q585" s="31" t="s">
        <v>11802</v>
      </c>
      <c r="R585" s="2" t="str">
        <f t="array" ref="R585">xlookup($E585,'Bảng tổng hợp 1'!$B:$B,'Bảng tổng hợp 1'!$B:$B,0)</f>
        <v>L07.18.02</v>
      </c>
    </row>
    <row r="586" hidden="1">
      <c r="A586" s="30">
        <v>581.0</v>
      </c>
      <c r="B586" s="31" t="s">
        <v>12371</v>
      </c>
      <c r="C586" s="31" t="s">
        <v>324</v>
      </c>
      <c r="D586" s="31" t="s">
        <v>2733</v>
      </c>
      <c r="E586" s="31" t="str">
        <f t="shared" si="71"/>
        <v>L07.18.03</v>
      </c>
      <c r="F586" s="31" t="s">
        <v>11851</v>
      </c>
      <c r="G586" s="34"/>
      <c r="H586" s="34"/>
      <c r="I586" s="34"/>
      <c r="J586" s="31" t="s">
        <v>326</v>
      </c>
      <c r="K586" s="33"/>
      <c r="L586" s="34"/>
      <c r="M586" s="34"/>
      <c r="N586" s="34"/>
      <c r="O586" s="656" t="s">
        <v>9265</v>
      </c>
      <c r="P586" s="33"/>
      <c r="Q586" s="31" t="s">
        <v>11802</v>
      </c>
      <c r="R586" s="2" t="str">
        <f t="array" ref="R586">xlookup($E586,'Bảng tổng hợp 1'!$B:$B,'Bảng tổng hợp 1'!$B:$B,0)</f>
        <v>L07.18.03</v>
      </c>
    </row>
    <row r="587" hidden="1">
      <c r="A587" s="30">
        <v>582.0</v>
      </c>
      <c r="B587" s="31" t="s">
        <v>12372</v>
      </c>
      <c r="C587" s="655" t="s">
        <v>12331</v>
      </c>
      <c r="D587" s="31" t="s">
        <v>12373</v>
      </c>
      <c r="E587" s="31" t="s">
        <v>12373</v>
      </c>
      <c r="F587" s="31" t="s">
        <v>11851</v>
      </c>
      <c r="G587" s="34"/>
      <c r="H587" s="34"/>
      <c r="I587" s="34"/>
      <c r="J587" s="31" t="s">
        <v>326</v>
      </c>
      <c r="K587" s="33"/>
      <c r="L587" s="34"/>
      <c r="M587" s="34"/>
      <c r="N587" s="34"/>
      <c r="O587" s="656" t="s">
        <v>9265</v>
      </c>
      <c r="P587" s="33"/>
      <c r="Q587" s="31" t="s">
        <v>11802</v>
      </c>
      <c r="R587" s="2">
        <f t="array" ref="R587">xlookup($E587,'Bảng tổng hợp 1'!$B:$B,'Bảng tổng hợp 1'!$B:$B,0)</f>
        <v>0</v>
      </c>
    </row>
    <row r="588" hidden="1">
      <c r="A588" s="30">
        <v>583.0</v>
      </c>
      <c r="B588" s="31" t="s">
        <v>12374</v>
      </c>
      <c r="C588" s="31" t="s">
        <v>9058</v>
      </c>
      <c r="D588" s="31" t="s">
        <v>9059</v>
      </c>
      <c r="E588" s="31" t="str">
        <f>trim(D588)</f>
        <v>L07.18.05</v>
      </c>
      <c r="F588" s="31" t="s">
        <v>11851</v>
      </c>
      <c r="G588" s="34"/>
      <c r="H588" s="34"/>
      <c r="I588" s="34"/>
      <c r="J588" s="31" t="s">
        <v>326</v>
      </c>
      <c r="K588" s="33"/>
      <c r="L588" s="34"/>
      <c r="M588" s="34"/>
      <c r="N588" s="34"/>
      <c r="O588" s="656" t="s">
        <v>9265</v>
      </c>
      <c r="P588" s="33"/>
      <c r="Q588" s="31" t="s">
        <v>11802</v>
      </c>
      <c r="R588" s="2" t="str">
        <f t="array" ref="R588">xlookup($E588,'Bảng tổng hợp 1'!$B:$B,'Bảng tổng hợp 1'!$B:$B,0)</f>
        <v>L07.18.05</v>
      </c>
    </row>
    <row r="589" hidden="1">
      <c r="A589" s="30">
        <v>584.0</v>
      </c>
      <c r="B589" s="31" t="s">
        <v>12375</v>
      </c>
      <c r="C589" s="655" t="s">
        <v>1985</v>
      </c>
      <c r="D589" s="31" t="s">
        <v>12376</v>
      </c>
      <c r="E589" s="31" t="s">
        <v>12376</v>
      </c>
      <c r="F589" s="31" t="s">
        <v>11851</v>
      </c>
      <c r="G589" s="34"/>
      <c r="H589" s="34"/>
      <c r="I589" s="34"/>
      <c r="J589" s="31" t="s">
        <v>326</v>
      </c>
      <c r="K589" s="33"/>
      <c r="L589" s="34"/>
      <c r="M589" s="34"/>
      <c r="N589" s="34"/>
      <c r="O589" s="656" t="s">
        <v>9265</v>
      </c>
      <c r="P589" s="33"/>
      <c r="Q589" s="31" t="s">
        <v>11802</v>
      </c>
      <c r="R589" s="2">
        <f t="array" ref="R589">xlookup($E589,'Bảng tổng hợp 1'!$B:$B,'Bảng tổng hợp 1'!$B:$B,0)</f>
        <v>0</v>
      </c>
    </row>
    <row r="590" hidden="1">
      <c r="A590" s="30">
        <v>585.0</v>
      </c>
      <c r="B590" s="31" t="s">
        <v>12369</v>
      </c>
      <c r="C590" s="655" t="s">
        <v>11095</v>
      </c>
      <c r="D590" s="31" t="s">
        <v>12377</v>
      </c>
      <c r="E590" s="31" t="s">
        <v>12377</v>
      </c>
      <c r="F590" s="31" t="s">
        <v>11854</v>
      </c>
      <c r="G590" s="34"/>
      <c r="H590" s="34"/>
      <c r="I590" s="34"/>
      <c r="J590" s="31" t="s">
        <v>326</v>
      </c>
      <c r="K590" s="33"/>
      <c r="L590" s="34"/>
      <c r="M590" s="34"/>
      <c r="N590" s="31" t="s">
        <v>11969</v>
      </c>
      <c r="O590" s="656" t="s">
        <v>9265</v>
      </c>
      <c r="P590" s="33"/>
      <c r="Q590" s="31" t="s">
        <v>11802</v>
      </c>
      <c r="R590" s="2">
        <f t="array" ref="R590">xlookup($E590,'Bảng tổng hợp 1'!$B:$B,'Bảng tổng hợp 1'!$B:$B,0)</f>
        <v>0</v>
      </c>
    </row>
    <row r="591" hidden="1">
      <c r="A591" s="30">
        <v>586.0</v>
      </c>
      <c r="B591" s="31" t="s">
        <v>12378</v>
      </c>
      <c r="C591" s="31" t="s">
        <v>153</v>
      </c>
      <c r="D591" s="31" t="s">
        <v>9108</v>
      </c>
      <c r="E591" s="31" t="str">
        <f t="shared" ref="E591:E594" si="72">trim(D591)</f>
        <v>L07.19</v>
      </c>
      <c r="F591" s="31" t="s">
        <v>11851</v>
      </c>
      <c r="G591" s="34"/>
      <c r="H591" s="34"/>
      <c r="I591" s="34"/>
      <c r="J591" s="31" t="s">
        <v>2732</v>
      </c>
      <c r="K591" s="33"/>
      <c r="L591" s="34"/>
      <c r="M591" s="34"/>
      <c r="N591" s="34"/>
      <c r="O591" s="656" t="s">
        <v>9265</v>
      </c>
      <c r="P591" s="33"/>
      <c r="Q591" s="31" t="s">
        <v>11802</v>
      </c>
      <c r="R591" s="2" t="str">
        <f t="array" ref="R591">xlookup($E591,'Bảng tổng hợp 1'!$B:$B,'Bảng tổng hợp 1'!$B:$B,0)</f>
        <v>L07.19</v>
      </c>
    </row>
    <row r="592" hidden="1">
      <c r="A592" s="30">
        <v>587.0</v>
      </c>
      <c r="B592" s="31" t="s">
        <v>12379</v>
      </c>
      <c r="C592" s="31" t="s">
        <v>1636</v>
      </c>
      <c r="D592" s="31" t="s">
        <v>7710</v>
      </c>
      <c r="E592" s="31" t="str">
        <f t="shared" si="72"/>
        <v>L07.19.02</v>
      </c>
      <c r="F592" s="31" t="s">
        <v>11851</v>
      </c>
      <c r="G592" s="34"/>
      <c r="H592" s="34"/>
      <c r="I592" s="34"/>
      <c r="J592" s="31" t="s">
        <v>153</v>
      </c>
      <c r="K592" s="33"/>
      <c r="L592" s="34"/>
      <c r="M592" s="34"/>
      <c r="N592" s="34"/>
      <c r="O592" s="656" t="s">
        <v>9265</v>
      </c>
      <c r="P592" s="33"/>
      <c r="Q592" s="31" t="s">
        <v>11802</v>
      </c>
      <c r="R592" s="2" t="str">
        <f t="array" ref="R592">xlookup($E592,'Bảng tổng hợp 1'!$B:$B,'Bảng tổng hợp 1'!$B:$B,0)</f>
        <v>L07.19.02</v>
      </c>
    </row>
    <row r="593" hidden="1">
      <c r="A593" s="30">
        <v>588.0</v>
      </c>
      <c r="B593" s="31" t="s">
        <v>12380</v>
      </c>
      <c r="C593" s="31" t="s">
        <v>2781</v>
      </c>
      <c r="D593" s="31" t="s">
        <v>8991</v>
      </c>
      <c r="E593" s="31" t="str">
        <f t="shared" si="72"/>
        <v>L07.19.03</v>
      </c>
      <c r="F593" s="31" t="s">
        <v>11851</v>
      </c>
      <c r="G593" s="34"/>
      <c r="H593" s="34"/>
      <c r="I593" s="34"/>
      <c r="J593" s="31" t="s">
        <v>153</v>
      </c>
      <c r="K593" s="33"/>
      <c r="L593" s="34"/>
      <c r="M593" s="34"/>
      <c r="N593" s="34"/>
      <c r="O593" s="656" t="s">
        <v>9265</v>
      </c>
      <c r="P593" s="33"/>
      <c r="Q593" s="31" t="s">
        <v>11802</v>
      </c>
      <c r="R593" s="2" t="str">
        <f t="array" ref="R593">xlookup($E593,'Bảng tổng hợp 1'!$B:$B,'Bảng tổng hợp 1'!$B:$B,0)</f>
        <v>L07.19.03</v>
      </c>
    </row>
    <row r="594" hidden="1">
      <c r="A594" s="30">
        <v>589.0</v>
      </c>
      <c r="B594" s="31" t="s">
        <v>12381</v>
      </c>
      <c r="C594" s="31" t="s">
        <v>8508</v>
      </c>
      <c r="D594" s="31" t="s">
        <v>8509</v>
      </c>
      <c r="E594" s="31" t="str">
        <f t="shared" si="72"/>
        <v>L07.19.04</v>
      </c>
      <c r="F594" s="31" t="s">
        <v>11851</v>
      </c>
      <c r="G594" s="34"/>
      <c r="H594" s="34"/>
      <c r="I594" s="34"/>
      <c r="J594" s="31" t="s">
        <v>153</v>
      </c>
      <c r="K594" s="33"/>
      <c r="L594" s="34"/>
      <c r="M594" s="34"/>
      <c r="N594" s="34"/>
      <c r="O594" s="656" t="s">
        <v>9265</v>
      </c>
      <c r="P594" s="33"/>
      <c r="Q594" s="31" t="s">
        <v>11802</v>
      </c>
      <c r="R594" s="2" t="str">
        <f t="array" ref="R594">xlookup($E594,'Bảng tổng hợp 1'!$B:$B,'Bảng tổng hợp 1'!$B:$B,0)</f>
        <v>L07.19.04</v>
      </c>
    </row>
    <row r="595" hidden="1">
      <c r="A595" s="30">
        <v>590.0</v>
      </c>
      <c r="B595" s="31" t="s">
        <v>12382</v>
      </c>
      <c r="C595" s="655" t="s">
        <v>12383</v>
      </c>
      <c r="D595" s="31" t="s">
        <v>12384</v>
      </c>
      <c r="E595" s="31" t="s">
        <v>12384</v>
      </c>
      <c r="F595" s="31" t="s">
        <v>11851</v>
      </c>
      <c r="G595" s="34"/>
      <c r="H595" s="34"/>
      <c r="I595" s="34"/>
      <c r="J595" s="31" t="s">
        <v>2732</v>
      </c>
      <c r="K595" s="33"/>
      <c r="L595" s="34"/>
      <c r="M595" s="34"/>
      <c r="N595" s="34"/>
      <c r="O595" s="656" t="s">
        <v>9265</v>
      </c>
      <c r="P595" s="33"/>
      <c r="Q595" s="31" t="s">
        <v>11802</v>
      </c>
      <c r="R595" s="2">
        <f t="array" ref="R595">xlookup($E595,'Bảng tổng hợp 1'!$B:$B,'Bảng tổng hợp 1'!$B:$B,0)</f>
        <v>0</v>
      </c>
    </row>
    <row r="596" hidden="1">
      <c r="A596" s="30">
        <v>591.0</v>
      </c>
      <c r="B596" s="31" t="s">
        <v>12385</v>
      </c>
      <c r="C596" s="655" t="s">
        <v>12346</v>
      </c>
      <c r="D596" s="31" t="s">
        <v>12386</v>
      </c>
      <c r="E596" s="31" t="s">
        <v>12386</v>
      </c>
      <c r="F596" s="31" t="s">
        <v>11851</v>
      </c>
      <c r="G596" s="34"/>
      <c r="H596" s="34"/>
      <c r="I596" s="34"/>
      <c r="J596" s="31" t="s">
        <v>12383</v>
      </c>
      <c r="K596" s="33"/>
      <c r="L596" s="34"/>
      <c r="M596" s="34"/>
      <c r="N596" s="34"/>
      <c r="O596" s="656" t="s">
        <v>9265</v>
      </c>
      <c r="P596" s="33"/>
      <c r="Q596" s="31" t="s">
        <v>11802</v>
      </c>
      <c r="R596" s="2">
        <f t="array" ref="R596">xlookup($E596,'Bảng tổng hợp 1'!$B:$B,'Bảng tổng hợp 1'!$B:$B,0)</f>
        <v>0</v>
      </c>
    </row>
    <row r="597" hidden="1">
      <c r="A597" s="30">
        <v>592.0</v>
      </c>
      <c r="B597" s="31" t="s">
        <v>12387</v>
      </c>
      <c r="C597" s="655" t="s">
        <v>12349</v>
      </c>
      <c r="D597" s="31" t="s">
        <v>12388</v>
      </c>
      <c r="E597" s="31" t="s">
        <v>12388</v>
      </c>
      <c r="F597" s="31" t="s">
        <v>11851</v>
      </c>
      <c r="G597" s="34"/>
      <c r="H597" s="34"/>
      <c r="I597" s="34"/>
      <c r="J597" s="31" t="s">
        <v>12383</v>
      </c>
      <c r="K597" s="33"/>
      <c r="L597" s="34"/>
      <c r="M597" s="34"/>
      <c r="N597" s="34"/>
      <c r="O597" s="656" t="s">
        <v>9265</v>
      </c>
      <c r="P597" s="33"/>
      <c r="Q597" s="31" t="s">
        <v>11802</v>
      </c>
      <c r="R597" s="2">
        <f t="array" ref="R597">xlookup($E597,'Bảng tổng hợp 1'!$B:$B,'Bảng tổng hợp 1'!$B:$B,0)</f>
        <v>0</v>
      </c>
    </row>
    <row r="598" hidden="1">
      <c r="A598" s="30">
        <v>593.0</v>
      </c>
      <c r="B598" s="31" t="s">
        <v>12389</v>
      </c>
      <c r="C598" s="655" t="s">
        <v>12352</v>
      </c>
      <c r="D598" s="31" t="s">
        <v>12390</v>
      </c>
      <c r="E598" s="31" t="s">
        <v>12390</v>
      </c>
      <c r="F598" s="31" t="s">
        <v>11851</v>
      </c>
      <c r="G598" s="34"/>
      <c r="H598" s="34"/>
      <c r="I598" s="34"/>
      <c r="J598" s="31" t="s">
        <v>12383</v>
      </c>
      <c r="K598" s="33"/>
      <c r="L598" s="34"/>
      <c r="M598" s="34"/>
      <c r="N598" s="34"/>
      <c r="O598" s="656" t="s">
        <v>9265</v>
      </c>
      <c r="P598" s="33"/>
      <c r="Q598" s="31" t="s">
        <v>11802</v>
      </c>
      <c r="R598" s="2">
        <f t="array" ref="R598">xlookup($E598,'Bảng tổng hợp 1'!$B:$B,'Bảng tổng hợp 1'!$B:$B,0)</f>
        <v>0</v>
      </c>
    </row>
    <row r="599" hidden="1">
      <c r="A599" s="30">
        <v>594.0</v>
      </c>
      <c r="B599" s="31" t="s">
        <v>12391</v>
      </c>
      <c r="C599" s="31" t="s">
        <v>2463</v>
      </c>
      <c r="D599" s="31" t="s">
        <v>4549</v>
      </c>
      <c r="E599" s="31" t="str">
        <f>trim(D599)</f>
        <v>L07.02</v>
      </c>
      <c r="F599" s="31" t="s">
        <v>11916</v>
      </c>
      <c r="G599" s="34"/>
      <c r="H599" s="34"/>
      <c r="I599" s="34"/>
      <c r="J599" s="31" t="s">
        <v>2732</v>
      </c>
      <c r="K599" s="33"/>
      <c r="L599" s="34"/>
      <c r="M599" s="34"/>
      <c r="N599" s="31" t="s">
        <v>11969</v>
      </c>
      <c r="O599" s="656" t="s">
        <v>9265</v>
      </c>
      <c r="P599" s="33"/>
      <c r="Q599" s="31" t="s">
        <v>11802</v>
      </c>
      <c r="R599" s="2" t="str">
        <f t="array" ref="R599">xlookup($E599,'Bảng tổng hợp 1'!$B:$B,'Bảng tổng hợp 1'!$B:$B,0)</f>
        <v>L07.02</v>
      </c>
    </row>
    <row r="600" hidden="1">
      <c r="A600" s="30">
        <v>595.0</v>
      </c>
      <c r="B600" s="31" t="s">
        <v>12392</v>
      </c>
      <c r="C600" s="655" t="s">
        <v>2797</v>
      </c>
      <c r="D600" s="31" t="s">
        <v>10904</v>
      </c>
      <c r="E600" s="31" t="s">
        <v>10904</v>
      </c>
      <c r="F600" s="31" t="s">
        <v>11844</v>
      </c>
      <c r="G600" s="34"/>
      <c r="H600" s="34"/>
      <c r="I600" s="34"/>
      <c r="J600" s="31" t="s">
        <v>2732</v>
      </c>
      <c r="K600" s="33"/>
      <c r="L600" s="34"/>
      <c r="M600" s="34"/>
      <c r="N600" s="34"/>
      <c r="O600" s="656" t="s">
        <v>9265</v>
      </c>
      <c r="P600" s="33"/>
      <c r="Q600" s="31" t="s">
        <v>11802</v>
      </c>
      <c r="R600" s="2">
        <f t="array" ref="R600">xlookup($E600,'Bảng tổng hợp 1'!$B:$B,'Bảng tổng hợp 1'!$B:$B,0)</f>
        <v>0</v>
      </c>
    </row>
    <row r="601" hidden="1">
      <c r="A601" s="30">
        <v>596.0</v>
      </c>
      <c r="B601" s="31" t="s">
        <v>12393</v>
      </c>
      <c r="C601" s="31" t="s">
        <v>2796</v>
      </c>
      <c r="D601" s="31" t="s">
        <v>2798</v>
      </c>
      <c r="E601" s="31" t="str">
        <f t="shared" ref="E601:E605" si="73">trim(D601)</f>
        <v>L07.03.01</v>
      </c>
      <c r="F601" s="31" t="s">
        <v>11851</v>
      </c>
      <c r="G601" s="34"/>
      <c r="H601" s="34"/>
      <c r="I601" s="34"/>
      <c r="J601" s="31" t="s">
        <v>2797</v>
      </c>
      <c r="K601" s="33"/>
      <c r="L601" s="34"/>
      <c r="M601" s="34"/>
      <c r="N601" s="34"/>
      <c r="O601" s="656" t="s">
        <v>9265</v>
      </c>
      <c r="P601" s="33"/>
      <c r="Q601" s="31" t="s">
        <v>11802</v>
      </c>
      <c r="R601" s="2" t="str">
        <f t="array" ref="R601">xlookup($E601,'Bảng tổng hợp 1'!$B:$B,'Bảng tổng hợp 1'!$B:$B,0)</f>
        <v>L07.03.01</v>
      </c>
    </row>
    <row r="602" hidden="1">
      <c r="A602" s="30">
        <v>597.0</v>
      </c>
      <c r="B602" s="31" t="s">
        <v>12392</v>
      </c>
      <c r="C602" s="31" t="s">
        <v>81</v>
      </c>
      <c r="D602" s="31" t="s">
        <v>7439</v>
      </c>
      <c r="E602" s="31" t="str">
        <f t="shared" si="73"/>
        <v>L07.03.02</v>
      </c>
      <c r="F602" s="31" t="s">
        <v>11851</v>
      </c>
      <c r="G602" s="34"/>
      <c r="H602" s="34"/>
      <c r="I602" s="34"/>
      <c r="J602" s="31" t="s">
        <v>2797</v>
      </c>
      <c r="K602" s="33"/>
      <c r="L602" s="34"/>
      <c r="M602" s="34"/>
      <c r="N602" s="34"/>
      <c r="O602" s="656" t="s">
        <v>9265</v>
      </c>
      <c r="P602" s="33"/>
      <c r="Q602" s="31" t="s">
        <v>11802</v>
      </c>
      <c r="R602" s="2" t="str">
        <f t="array" ref="R602">xlookup($E602,'Bảng tổng hợp 1'!$B:$B,'Bảng tổng hợp 1'!$B:$B,0)</f>
        <v>L07.03.02</v>
      </c>
    </row>
    <row r="603" hidden="1">
      <c r="A603" s="30">
        <v>598.0</v>
      </c>
      <c r="B603" s="31" t="s">
        <v>12394</v>
      </c>
      <c r="C603" s="31" t="s">
        <v>2761</v>
      </c>
      <c r="D603" s="31" t="s">
        <v>9079</v>
      </c>
      <c r="E603" s="31" t="str">
        <f t="shared" si="73"/>
        <v>L07.17</v>
      </c>
      <c r="F603" s="31" t="s">
        <v>11844</v>
      </c>
      <c r="G603" s="34"/>
      <c r="H603" s="34"/>
      <c r="I603" s="34"/>
      <c r="J603" s="31" t="s">
        <v>2732</v>
      </c>
      <c r="K603" s="33"/>
      <c r="L603" s="34"/>
      <c r="M603" s="34"/>
      <c r="N603" s="31" t="s">
        <v>11969</v>
      </c>
      <c r="O603" s="656" t="s">
        <v>9265</v>
      </c>
      <c r="P603" s="33"/>
      <c r="Q603" s="31" t="s">
        <v>11802</v>
      </c>
      <c r="R603" s="2" t="str">
        <f t="array" ref="R603">xlookup($E603,'Bảng tổng hợp 1'!$B:$B,'Bảng tổng hợp 1'!$B:$B,0)</f>
        <v>L07.17</v>
      </c>
    </row>
    <row r="604" hidden="1">
      <c r="A604" s="30">
        <v>599.0</v>
      </c>
      <c r="B604" s="31" t="s">
        <v>12395</v>
      </c>
      <c r="C604" s="31" t="s">
        <v>2908</v>
      </c>
      <c r="D604" s="31" t="s">
        <v>7611</v>
      </c>
      <c r="E604" s="31" t="str">
        <f t="shared" si="73"/>
        <v>L07.17.01</v>
      </c>
      <c r="F604" s="31" t="s">
        <v>11854</v>
      </c>
      <c r="G604" s="34"/>
      <c r="H604" s="34"/>
      <c r="I604" s="34"/>
      <c r="J604" s="31" t="s">
        <v>2761</v>
      </c>
      <c r="K604" s="33"/>
      <c r="L604" s="34"/>
      <c r="M604" s="34"/>
      <c r="N604" s="31" t="s">
        <v>11969</v>
      </c>
      <c r="O604" s="656" t="s">
        <v>9265</v>
      </c>
      <c r="P604" s="33"/>
      <c r="Q604" s="31" t="s">
        <v>11802</v>
      </c>
      <c r="R604" s="2" t="str">
        <f t="array" ref="R604">xlookup($E604,'Bảng tổng hợp 1'!$B:$B,'Bảng tổng hợp 1'!$B:$B,0)</f>
        <v>L07.17.01</v>
      </c>
    </row>
    <row r="605" hidden="1">
      <c r="A605" s="30">
        <v>600.0</v>
      </c>
      <c r="B605" s="31" t="s">
        <v>12396</v>
      </c>
      <c r="C605" s="31" t="s">
        <v>2760</v>
      </c>
      <c r="D605" s="31" t="s">
        <v>7444</v>
      </c>
      <c r="E605" s="31" t="str">
        <f t="shared" si="73"/>
        <v>L07.17.03</v>
      </c>
      <c r="F605" s="31" t="s">
        <v>11854</v>
      </c>
      <c r="G605" s="34"/>
      <c r="H605" s="34"/>
      <c r="I605" s="34"/>
      <c r="J605" s="31" t="s">
        <v>2761</v>
      </c>
      <c r="K605" s="33"/>
      <c r="L605" s="34"/>
      <c r="M605" s="34"/>
      <c r="N605" s="31" t="s">
        <v>11969</v>
      </c>
      <c r="O605" s="656" t="s">
        <v>9265</v>
      </c>
      <c r="P605" s="33"/>
      <c r="Q605" s="31" t="s">
        <v>11802</v>
      </c>
      <c r="R605" s="2" t="str">
        <f t="array" ref="R605">xlookup($E605,'Bảng tổng hợp 1'!$B:$B,'Bảng tổng hợp 1'!$B:$B,0)</f>
        <v>L07.17.03</v>
      </c>
    </row>
    <row r="606" hidden="1">
      <c r="A606" s="30">
        <v>601.0</v>
      </c>
      <c r="B606" s="31" t="s">
        <v>12397</v>
      </c>
      <c r="C606" s="655" t="s">
        <v>12357</v>
      </c>
      <c r="D606" s="31" t="s">
        <v>12398</v>
      </c>
      <c r="E606" s="31" t="s">
        <v>12398</v>
      </c>
      <c r="F606" s="31" t="s">
        <v>11844</v>
      </c>
      <c r="G606" s="34"/>
      <c r="H606" s="34"/>
      <c r="I606" s="34"/>
      <c r="J606" s="31" t="s">
        <v>2732</v>
      </c>
      <c r="K606" s="33"/>
      <c r="L606" s="34"/>
      <c r="M606" s="34"/>
      <c r="N606" s="31" t="s">
        <v>11969</v>
      </c>
      <c r="O606" s="656" t="s">
        <v>9265</v>
      </c>
      <c r="P606" s="33"/>
      <c r="Q606" s="31" t="s">
        <v>11802</v>
      </c>
      <c r="R606" s="2">
        <f t="array" ref="R606">xlookup($E606,'Bảng tổng hợp 1'!$B:$B,'Bảng tổng hợp 1'!$B:$B,0)</f>
        <v>0</v>
      </c>
    </row>
    <row r="607" hidden="1">
      <c r="A607" s="30">
        <v>602.0</v>
      </c>
      <c r="B607" s="31" t="s">
        <v>12399</v>
      </c>
      <c r="C607" s="31" t="s">
        <v>2791</v>
      </c>
      <c r="D607" s="31" t="s">
        <v>9085</v>
      </c>
      <c r="E607" s="31" t="str">
        <f t="shared" ref="E607:E608" si="74">trim(D607)</f>
        <v>L07.22</v>
      </c>
      <c r="F607" s="31" t="s">
        <v>11854</v>
      </c>
      <c r="G607" s="34"/>
      <c r="H607" s="34"/>
      <c r="I607" s="34"/>
      <c r="J607" s="31" t="s">
        <v>2732</v>
      </c>
      <c r="K607" s="33"/>
      <c r="L607" s="34"/>
      <c r="M607" s="34"/>
      <c r="N607" s="31" t="s">
        <v>11969</v>
      </c>
      <c r="O607" s="656" t="s">
        <v>9265</v>
      </c>
      <c r="P607" s="33"/>
      <c r="Q607" s="31" t="s">
        <v>11802</v>
      </c>
      <c r="R607" s="2" t="str">
        <f t="array" ref="R607">xlookup($E607,'Bảng tổng hợp 1'!$B:$B,'Bảng tổng hợp 1'!$B:$B,0)</f>
        <v>L07.22</v>
      </c>
    </row>
    <row r="608" hidden="1">
      <c r="A608" s="30">
        <v>603.0</v>
      </c>
      <c r="B608" s="31" t="s">
        <v>12400</v>
      </c>
      <c r="C608" s="31" t="s">
        <v>2810</v>
      </c>
      <c r="D608" s="31" t="s">
        <v>2964</v>
      </c>
      <c r="E608" s="31" t="str">
        <f t="shared" si="74"/>
        <v>L07.23</v>
      </c>
      <c r="F608" s="31" t="s">
        <v>11851</v>
      </c>
      <c r="G608" s="34"/>
      <c r="H608" s="34"/>
      <c r="I608" s="34"/>
      <c r="J608" s="31" t="s">
        <v>2732</v>
      </c>
      <c r="K608" s="33"/>
      <c r="L608" s="34"/>
      <c r="M608" s="34"/>
      <c r="N608" s="31" t="s">
        <v>11969</v>
      </c>
      <c r="O608" s="656" t="s">
        <v>9265</v>
      </c>
      <c r="P608" s="33"/>
      <c r="Q608" s="31" t="s">
        <v>11802</v>
      </c>
      <c r="R608" s="2" t="str">
        <f t="array" ref="R608">xlookup($E608,'Bảng tổng hợp 1'!$B:$B,'Bảng tổng hợp 1'!$B:$B,0)</f>
        <v>L07.23</v>
      </c>
    </row>
    <row r="609" hidden="1">
      <c r="A609" s="30">
        <v>604.0</v>
      </c>
      <c r="B609" s="31" t="s">
        <v>11803</v>
      </c>
      <c r="C609" s="655" t="s">
        <v>325</v>
      </c>
      <c r="D609" s="31" t="s">
        <v>12401</v>
      </c>
      <c r="E609" s="31" t="s">
        <v>12401</v>
      </c>
      <c r="F609" s="31" t="s">
        <v>11840</v>
      </c>
      <c r="G609" s="34"/>
      <c r="H609" s="34"/>
      <c r="I609" s="34"/>
      <c r="J609" s="31" t="s">
        <v>10527</v>
      </c>
      <c r="K609" s="33"/>
      <c r="L609" s="34"/>
      <c r="M609" s="34"/>
      <c r="N609" s="34"/>
      <c r="O609" s="656" t="s">
        <v>9265</v>
      </c>
      <c r="P609" s="33"/>
      <c r="Q609" s="31" t="s">
        <v>11802</v>
      </c>
      <c r="R609" s="2">
        <f t="array" ref="R609">xlookup($E609,'Bảng tổng hợp 1'!$B:$B,'Bảng tổng hợp 1'!$B:$B,0)</f>
        <v>0</v>
      </c>
    </row>
    <row r="610" hidden="1">
      <c r="A610" s="30">
        <v>605.0</v>
      </c>
      <c r="B610" s="31" t="s">
        <v>12402</v>
      </c>
      <c r="C610" s="31" t="s">
        <v>32</v>
      </c>
      <c r="D610" s="31" t="s">
        <v>7280</v>
      </c>
      <c r="E610" s="31" t="str">
        <f>trim(D610)</f>
        <v>L08.01</v>
      </c>
      <c r="F610" s="31" t="s">
        <v>11844</v>
      </c>
      <c r="G610" s="34"/>
      <c r="H610" s="34"/>
      <c r="I610" s="34"/>
      <c r="J610" s="31" t="s">
        <v>325</v>
      </c>
      <c r="K610" s="33"/>
      <c r="L610" s="34"/>
      <c r="M610" s="34"/>
      <c r="N610" s="34"/>
      <c r="O610" s="656" t="s">
        <v>9265</v>
      </c>
      <c r="P610" s="33"/>
      <c r="Q610" s="31" t="s">
        <v>11802</v>
      </c>
      <c r="R610" s="2" t="str">
        <f t="array" ref="R610">xlookup($E610,'Bảng tổng hợp 1'!$B:$B,'Bảng tổng hợp 1'!$B:$B,0)</f>
        <v>L08.01</v>
      </c>
    </row>
    <row r="611" hidden="1">
      <c r="A611" s="30">
        <v>606.0</v>
      </c>
      <c r="B611" s="31" t="s">
        <v>12403</v>
      </c>
      <c r="C611" s="655" t="s">
        <v>12404</v>
      </c>
      <c r="D611" s="31" t="s">
        <v>12405</v>
      </c>
      <c r="E611" s="31" t="s">
        <v>12405</v>
      </c>
      <c r="F611" s="31" t="s">
        <v>11844</v>
      </c>
      <c r="G611" s="34"/>
      <c r="H611" s="34"/>
      <c r="I611" s="34"/>
      <c r="J611" s="31" t="s">
        <v>325</v>
      </c>
      <c r="K611" s="33"/>
      <c r="L611" s="34"/>
      <c r="M611" s="34"/>
      <c r="N611" s="31" t="s">
        <v>11969</v>
      </c>
      <c r="O611" s="656" t="s">
        <v>9265</v>
      </c>
      <c r="P611" s="33"/>
      <c r="Q611" s="31" t="s">
        <v>11802</v>
      </c>
      <c r="R611" s="2">
        <f t="array" ref="R611">xlookup($E611,'Bảng tổng hợp 1'!$B:$B,'Bảng tổng hợp 1'!$B:$B,0)</f>
        <v>0</v>
      </c>
    </row>
    <row r="612" hidden="1">
      <c r="A612" s="30">
        <v>607.0</v>
      </c>
      <c r="B612" s="31" t="s">
        <v>12406</v>
      </c>
      <c r="C612" s="655" t="s">
        <v>2768</v>
      </c>
      <c r="D612" s="31" t="s">
        <v>12407</v>
      </c>
      <c r="E612" s="31" t="s">
        <v>12407</v>
      </c>
      <c r="F612" s="31" t="s">
        <v>11844</v>
      </c>
      <c r="G612" s="34"/>
      <c r="H612" s="34"/>
      <c r="I612" s="34"/>
      <c r="J612" s="31" t="s">
        <v>325</v>
      </c>
      <c r="K612" s="33"/>
      <c r="L612" s="34"/>
      <c r="M612" s="34"/>
      <c r="N612" s="34"/>
      <c r="O612" s="656" t="s">
        <v>9265</v>
      </c>
      <c r="P612" s="33"/>
      <c r="Q612" s="31" t="s">
        <v>11802</v>
      </c>
      <c r="R612" s="2">
        <f t="array" ref="R612">xlookup($E612,'Bảng tổng hợp 1'!$B:$B,'Bảng tổng hợp 1'!$B:$B,0)</f>
        <v>0</v>
      </c>
    </row>
    <row r="613" hidden="1">
      <c r="A613" s="30">
        <v>608.0</v>
      </c>
      <c r="B613" s="31" t="s">
        <v>12406</v>
      </c>
      <c r="C613" s="31" t="s">
        <v>2767</v>
      </c>
      <c r="D613" s="31" t="s">
        <v>2769</v>
      </c>
      <c r="E613" s="31" t="str">
        <f>trim(D613)</f>
        <v>L08.16.01</v>
      </c>
      <c r="F613" s="31" t="s">
        <v>11844</v>
      </c>
      <c r="G613" s="34"/>
      <c r="H613" s="34"/>
      <c r="I613" s="34"/>
      <c r="J613" s="31" t="s">
        <v>2768</v>
      </c>
      <c r="K613" s="33"/>
      <c r="L613" s="34"/>
      <c r="M613" s="34"/>
      <c r="N613" s="31" t="s">
        <v>11969</v>
      </c>
      <c r="O613" s="656" t="s">
        <v>9265</v>
      </c>
      <c r="P613" s="33"/>
      <c r="Q613" s="31" t="s">
        <v>11802</v>
      </c>
      <c r="R613" s="2" t="str">
        <f t="array" ref="R613">xlookup($E613,'Bảng tổng hợp 1'!$B:$B,'Bảng tổng hợp 1'!$B:$B,0)</f>
        <v>L08.16.01</v>
      </c>
    </row>
    <row r="614" hidden="1">
      <c r="A614" s="30">
        <v>609.0</v>
      </c>
      <c r="B614" s="31" t="s">
        <v>12408</v>
      </c>
      <c r="C614" s="655" t="s">
        <v>2858</v>
      </c>
      <c r="D614" s="31" t="s">
        <v>12409</v>
      </c>
      <c r="E614" s="31" t="s">
        <v>12409</v>
      </c>
      <c r="F614" s="31" t="s">
        <v>11844</v>
      </c>
      <c r="G614" s="34"/>
      <c r="H614" s="34"/>
      <c r="I614" s="34"/>
      <c r="J614" s="31" t="s">
        <v>2768</v>
      </c>
      <c r="K614" s="33"/>
      <c r="L614" s="34"/>
      <c r="M614" s="34"/>
      <c r="N614" s="31" t="s">
        <v>11969</v>
      </c>
      <c r="O614" s="656" t="s">
        <v>9265</v>
      </c>
      <c r="P614" s="33"/>
      <c r="Q614" s="31" t="s">
        <v>11802</v>
      </c>
      <c r="R614" s="2">
        <f t="array" ref="R614">xlookup($E614,'Bảng tổng hợp 1'!$B:$B,'Bảng tổng hợp 1'!$B:$B,0)</f>
        <v>0</v>
      </c>
    </row>
    <row r="615" hidden="1">
      <c r="A615" s="30">
        <v>610.0</v>
      </c>
      <c r="B615" s="31" t="s">
        <v>12410</v>
      </c>
      <c r="C615" s="31" t="s">
        <v>2761</v>
      </c>
      <c r="D615" s="31" t="s">
        <v>3361</v>
      </c>
      <c r="E615" s="31" t="str">
        <f t="shared" ref="E615:E620" si="75">trim(D615)</f>
        <v>L08.17</v>
      </c>
      <c r="F615" s="31" t="s">
        <v>11844</v>
      </c>
      <c r="G615" s="34"/>
      <c r="H615" s="34"/>
      <c r="I615" s="34"/>
      <c r="J615" s="31" t="s">
        <v>325</v>
      </c>
      <c r="K615" s="33"/>
      <c r="L615" s="34"/>
      <c r="M615" s="34"/>
      <c r="N615" s="31" t="s">
        <v>11969</v>
      </c>
      <c r="O615" s="656" t="s">
        <v>9265</v>
      </c>
      <c r="P615" s="33"/>
      <c r="Q615" s="31" t="s">
        <v>11802</v>
      </c>
      <c r="R615" s="2" t="str">
        <f t="array" ref="R615">xlookup($E615,'Bảng tổng hợp 1'!$B:$B,'Bảng tổng hợp 1'!$B:$B,0)</f>
        <v>L08.17</v>
      </c>
    </row>
    <row r="616" hidden="1">
      <c r="A616" s="30">
        <v>611.0</v>
      </c>
      <c r="B616" s="31" t="s">
        <v>12411</v>
      </c>
      <c r="C616" s="31" t="s">
        <v>2908</v>
      </c>
      <c r="D616" s="31" t="s">
        <v>3407</v>
      </c>
      <c r="E616" s="31" t="str">
        <f t="shared" si="75"/>
        <v>L08.17.01</v>
      </c>
      <c r="F616" s="31" t="s">
        <v>11854</v>
      </c>
      <c r="G616" s="34"/>
      <c r="H616" s="34"/>
      <c r="I616" s="34"/>
      <c r="J616" s="31" t="s">
        <v>2761</v>
      </c>
      <c r="K616" s="33"/>
      <c r="L616" s="34"/>
      <c r="M616" s="34"/>
      <c r="N616" s="31" t="s">
        <v>11969</v>
      </c>
      <c r="O616" s="656" t="s">
        <v>9265</v>
      </c>
      <c r="P616" s="33"/>
      <c r="Q616" s="31" t="s">
        <v>11802</v>
      </c>
      <c r="R616" s="2" t="str">
        <f t="array" ref="R616">xlookup($E616,'Bảng tổng hợp 1'!$B:$B,'Bảng tổng hợp 1'!$B:$B,0)</f>
        <v>L08.17.01</v>
      </c>
    </row>
    <row r="617" hidden="1">
      <c r="A617" s="30">
        <v>612.0</v>
      </c>
      <c r="B617" s="31" t="s">
        <v>12412</v>
      </c>
      <c r="C617" s="31" t="s">
        <v>2760</v>
      </c>
      <c r="D617" s="31" t="s">
        <v>2762</v>
      </c>
      <c r="E617" s="31" t="str">
        <f t="shared" si="75"/>
        <v>L08.17.03</v>
      </c>
      <c r="F617" s="31" t="s">
        <v>11854</v>
      </c>
      <c r="G617" s="34"/>
      <c r="H617" s="34"/>
      <c r="I617" s="34"/>
      <c r="J617" s="31" t="s">
        <v>2761</v>
      </c>
      <c r="K617" s="33"/>
      <c r="L617" s="34"/>
      <c r="M617" s="34"/>
      <c r="N617" s="31" t="s">
        <v>11969</v>
      </c>
      <c r="O617" s="656" t="s">
        <v>9265</v>
      </c>
      <c r="P617" s="33"/>
      <c r="Q617" s="31" t="s">
        <v>11802</v>
      </c>
      <c r="R617" s="2" t="str">
        <f t="array" ref="R617">xlookup($E617,'Bảng tổng hợp 1'!$B:$B,'Bảng tổng hợp 1'!$B:$B,0)</f>
        <v>L08.17.03</v>
      </c>
    </row>
    <row r="618" hidden="1">
      <c r="A618" s="30">
        <v>613.0</v>
      </c>
      <c r="B618" s="31" t="s">
        <v>12413</v>
      </c>
      <c r="C618" s="31" t="s">
        <v>326</v>
      </c>
      <c r="D618" s="31" t="s">
        <v>7434</v>
      </c>
      <c r="E618" s="31" t="str">
        <f t="shared" si="75"/>
        <v>L08.18</v>
      </c>
      <c r="F618" s="31" t="s">
        <v>11844</v>
      </c>
      <c r="G618" s="34"/>
      <c r="H618" s="34"/>
      <c r="I618" s="34"/>
      <c r="J618" s="31" t="s">
        <v>325</v>
      </c>
      <c r="K618" s="33"/>
      <c r="L618" s="34"/>
      <c r="M618" s="34"/>
      <c r="N618" s="34"/>
      <c r="O618" s="656" t="s">
        <v>9265</v>
      </c>
      <c r="P618" s="33"/>
      <c r="Q618" s="31" t="s">
        <v>11802</v>
      </c>
      <c r="R618" s="2" t="str">
        <f t="array" ref="R618">xlookup($E618,'Bảng tổng hợp 1'!$B:$B,'Bảng tổng hợp 1'!$B:$B,0)</f>
        <v>L08.18</v>
      </c>
    </row>
    <row r="619" hidden="1">
      <c r="A619" s="30">
        <v>614.0</v>
      </c>
      <c r="B619" s="31" t="s">
        <v>12414</v>
      </c>
      <c r="C619" s="31" t="s">
        <v>2737</v>
      </c>
      <c r="D619" s="31" t="s">
        <v>2755</v>
      </c>
      <c r="E619" s="31" t="str">
        <f t="shared" si="75"/>
        <v>L08.18.02</v>
      </c>
      <c r="F619" s="31" t="s">
        <v>11851</v>
      </c>
      <c r="G619" s="34"/>
      <c r="H619" s="34"/>
      <c r="I619" s="34"/>
      <c r="J619" s="31" t="s">
        <v>326</v>
      </c>
      <c r="K619" s="33"/>
      <c r="L619" s="34"/>
      <c r="M619" s="34"/>
      <c r="N619" s="34"/>
      <c r="O619" s="656" t="s">
        <v>9265</v>
      </c>
      <c r="P619" s="33"/>
      <c r="Q619" s="31" t="s">
        <v>11802</v>
      </c>
      <c r="R619" s="2" t="str">
        <f t="array" ref="R619">xlookup($E619,'Bảng tổng hợp 1'!$B:$B,'Bảng tổng hợp 1'!$B:$B,0)</f>
        <v>L08.18.02</v>
      </c>
    </row>
    <row r="620" hidden="1">
      <c r="A620" s="30">
        <v>615.0</v>
      </c>
      <c r="B620" s="31" t="s">
        <v>12415</v>
      </c>
      <c r="C620" s="31" t="s">
        <v>324</v>
      </c>
      <c r="D620" s="31" t="s">
        <v>327</v>
      </c>
      <c r="E620" s="31" t="str">
        <f t="shared" si="75"/>
        <v>L08.18.03</v>
      </c>
      <c r="F620" s="31" t="s">
        <v>11851</v>
      </c>
      <c r="G620" s="34"/>
      <c r="H620" s="34"/>
      <c r="I620" s="34"/>
      <c r="J620" s="31" t="s">
        <v>326</v>
      </c>
      <c r="K620" s="33"/>
      <c r="L620" s="34"/>
      <c r="M620" s="34"/>
      <c r="N620" s="34"/>
      <c r="O620" s="656" t="s">
        <v>9265</v>
      </c>
      <c r="P620" s="33"/>
      <c r="Q620" s="31" t="s">
        <v>11802</v>
      </c>
      <c r="R620" s="2" t="str">
        <f t="array" ref="R620">xlookup($E620,'Bảng tổng hợp 1'!$B:$B,'Bảng tổng hợp 1'!$B:$B,0)</f>
        <v>L08.18.03</v>
      </c>
    </row>
    <row r="621" hidden="1">
      <c r="A621" s="30">
        <v>616.0</v>
      </c>
      <c r="B621" s="31" t="s">
        <v>12416</v>
      </c>
      <c r="C621" s="655" t="s">
        <v>12331</v>
      </c>
      <c r="D621" s="31" t="s">
        <v>12417</v>
      </c>
      <c r="E621" s="31" t="s">
        <v>12417</v>
      </c>
      <c r="F621" s="31" t="s">
        <v>11851</v>
      </c>
      <c r="G621" s="34"/>
      <c r="H621" s="34"/>
      <c r="I621" s="34"/>
      <c r="J621" s="31" t="s">
        <v>326</v>
      </c>
      <c r="K621" s="33"/>
      <c r="L621" s="34"/>
      <c r="M621" s="34"/>
      <c r="N621" s="34"/>
      <c r="O621" s="656" t="s">
        <v>9265</v>
      </c>
      <c r="P621" s="33"/>
      <c r="Q621" s="31" t="s">
        <v>11802</v>
      </c>
      <c r="R621" s="2">
        <f t="array" ref="R621">xlookup($E621,'Bảng tổng hợp 1'!$B:$B,'Bảng tổng hợp 1'!$B:$B,0)</f>
        <v>0</v>
      </c>
    </row>
    <row r="622" hidden="1">
      <c r="A622" s="30">
        <v>617.0</v>
      </c>
      <c r="B622" s="31" t="s">
        <v>12418</v>
      </c>
      <c r="C622" s="31" t="s">
        <v>3638</v>
      </c>
      <c r="D622" s="31" t="s">
        <v>3639</v>
      </c>
      <c r="E622" s="31" t="str">
        <f>trim(D622)</f>
        <v>L08.18.05</v>
      </c>
      <c r="F622" s="31" t="s">
        <v>11851</v>
      </c>
      <c r="G622" s="34"/>
      <c r="H622" s="34"/>
      <c r="I622" s="34"/>
      <c r="J622" s="31" t="s">
        <v>326</v>
      </c>
      <c r="K622" s="33"/>
      <c r="L622" s="34"/>
      <c r="M622" s="34"/>
      <c r="N622" s="34"/>
      <c r="O622" s="656" t="s">
        <v>9265</v>
      </c>
      <c r="P622" s="33"/>
      <c r="Q622" s="31" t="s">
        <v>11802</v>
      </c>
      <c r="R622" s="2" t="str">
        <f t="array" ref="R622">xlookup($E622,'Bảng tổng hợp 1'!$B:$B,'Bảng tổng hợp 1'!$B:$B,0)</f>
        <v>L08.18.05</v>
      </c>
    </row>
    <row r="623" hidden="1">
      <c r="A623" s="30">
        <v>618.0</v>
      </c>
      <c r="B623" s="31" t="s">
        <v>12419</v>
      </c>
      <c r="C623" s="655" t="s">
        <v>12420</v>
      </c>
      <c r="D623" s="31" t="s">
        <v>12421</v>
      </c>
      <c r="E623" s="31" t="s">
        <v>12421</v>
      </c>
      <c r="F623" s="31" t="s">
        <v>11851</v>
      </c>
      <c r="G623" s="34"/>
      <c r="H623" s="34"/>
      <c r="I623" s="34"/>
      <c r="J623" s="31" t="s">
        <v>326</v>
      </c>
      <c r="K623" s="33"/>
      <c r="L623" s="34"/>
      <c r="M623" s="34"/>
      <c r="N623" s="34"/>
      <c r="O623" s="656" t="s">
        <v>9265</v>
      </c>
      <c r="P623" s="33"/>
      <c r="Q623" s="31" t="s">
        <v>11802</v>
      </c>
      <c r="R623" s="2">
        <f t="array" ref="R623">xlookup($E623,'Bảng tổng hợp 1'!$B:$B,'Bảng tổng hợp 1'!$B:$B,0)</f>
        <v>0</v>
      </c>
    </row>
    <row r="624" hidden="1">
      <c r="A624" s="30">
        <v>619.0</v>
      </c>
      <c r="B624" s="31" t="s">
        <v>12422</v>
      </c>
      <c r="C624" s="655" t="s">
        <v>11095</v>
      </c>
      <c r="D624" s="31" t="s">
        <v>12423</v>
      </c>
      <c r="E624" s="31" t="s">
        <v>12423</v>
      </c>
      <c r="F624" s="31" t="s">
        <v>11854</v>
      </c>
      <c r="G624" s="34"/>
      <c r="H624" s="34"/>
      <c r="I624" s="34"/>
      <c r="J624" s="31" t="s">
        <v>326</v>
      </c>
      <c r="K624" s="33"/>
      <c r="L624" s="34"/>
      <c r="M624" s="34"/>
      <c r="N624" s="31" t="s">
        <v>11969</v>
      </c>
      <c r="O624" s="656" t="s">
        <v>9265</v>
      </c>
      <c r="P624" s="33"/>
      <c r="Q624" s="31" t="s">
        <v>11802</v>
      </c>
      <c r="R624" s="2">
        <f t="array" ref="R624">xlookup($E624,'Bảng tổng hợp 1'!$B:$B,'Bảng tổng hợp 1'!$B:$B,0)</f>
        <v>0</v>
      </c>
    </row>
    <row r="625" hidden="1">
      <c r="A625" s="30">
        <v>620.0</v>
      </c>
      <c r="B625" s="31" t="s">
        <v>12424</v>
      </c>
      <c r="C625" s="31" t="s">
        <v>153</v>
      </c>
      <c r="D625" s="31" t="s">
        <v>2777</v>
      </c>
      <c r="E625" s="31" t="str">
        <f t="shared" ref="E625:E627" si="76">trim(D625)</f>
        <v>L08.19</v>
      </c>
      <c r="F625" s="31" t="s">
        <v>11851</v>
      </c>
      <c r="G625" s="34"/>
      <c r="H625" s="34"/>
      <c r="I625" s="34"/>
      <c r="J625" s="31" t="s">
        <v>325</v>
      </c>
      <c r="K625" s="33"/>
      <c r="L625" s="34"/>
      <c r="M625" s="34"/>
      <c r="N625" s="34"/>
      <c r="O625" s="656" t="s">
        <v>9265</v>
      </c>
      <c r="P625" s="33"/>
      <c r="Q625" s="31" t="s">
        <v>11802</v>
      </c>
      <c r="R625" s="2" t="str">
        <f t="array" ref="R625">xlookup($E625,'Bảng tổng hợp 1'!$B:$B,'Bảng tổng hợp 1'!$B:$B,0)</f>
        <v>L08.19</v>
      </c>
    </row>
    <row r="626" hidden="1">
      <c r="A626" s="30">
        <v>621.0</v>
      </c>
      <c r="B626" s="31" t="s">
        <v>12425</v>
      </c>
      <c r="C626" s="31" t="s">
        <v>1636</v>
      </c>
      <c r="D626" s="31" t="s">
        <v>2787</v>
      </c>
      <c r="E626" s="31" t="str">
        <f t="shared" si="76"/>
        <v>L08.19.02</v>
      </c>
      <c r="F626" s="31" t="s">
        <v>11851</v>
      </c>
      <c r="G626" s="34"/>
      <c r="H626" s="34"/>
      <c r="I626" s="34"/>
      <c r="J626" s="31" t="s">
        <v>153</v>
      </c>
      <c r="K626" s="33"/>
      <c r="L626" s="34"/>
      <c r="M626" s="34"/>
      <c r="N626" s="34"/>
      <c r="O626" s="656" t="s">
        <v>9265</v>
      </c>
      <c r="P626" s="33"/>
      <c r="Q626" s="31" t="s">
        <v>11802</v>
      </c>
      <c r="R626" s="2" t="str">
        <f t="array" ref="R626">xlookup($E626,'Bảng tổng hợp 1'!$B:$B,'Bảng tổng hợp 1'!$B:$B,0)</f>
        <v>L08.19.02</v>
      </c>
    </row>
    <row r="627" hidden="1">
      <c r="A627" s="30">
        <v>622.0</v>
      </c>
      <c r="B627" s="31" t="s">
        <v>12426</v>
      </c>
      <c r="C627" s="31" t="s">
        <v>2781</v>
      </c>
      <c r="D627" s="31" t="s">
        <v>2782</v>
      </c>
      <c r="E627" s="31" t="str">
        <f t="shared" si="76"/>
        <v>L08.19.03</v>
      </c>
      <c r="F627" s="31" t="s">
        <v>11851</v>
      </c>
      <c r="G627" s="34"/>
      <c r="H627" s="34"/>
      <c r="I627" s="34"/>
      <c r="J627" s="31" t="s">
        <v>153</v>
      </c>
      <c r="K627" s="33"/>
      <c r="L627" s="34"/>
      <c r="M627" s="34"/>
      <c r="N627" s="34"/>
      <c r="O627" s="656" t="s">
        <v>9265</v>
      </c>
      <c r="P627" s="33"/>
      <c r="Q627" s="31" t="s">
        <v>11802</v>
      </c>
      <c r="R627" s="2" t="str">
        <f t="array" ref="R627">xlookup($E627,'Bảng tổng hợp 1'!$B:$B,'Bảng tổng hợp 1'!$B:$B,0)</f>
        <v>L08.19.03</v>
      </c>
    </row>
    <row r="628" hidden="1">
      <c r="A628" s="30">
        <v>623.0</v>
      </c>
      <c r="B628" s="31" t="s">
        <v>12427</v>
      </c>
      <c r="C628" s="655" t="s">
        <v>8508</v>
      </c>
      <c r="D628" s="31" t="s">
        <v>12428</v>
      </c>
      <c r="E628" s="31" t="s">
        <v>12428</v>
      </c>
      <c r="F628" s="31" t="s">
        <v>11851</v>
      </c>
      <c r="G628" s="34"/>
      <c r="H628" s="34"/>
      <c r="I628" s="34"/>
      <c r="J628" s="31" t="s">
        <v>153</v>
      </c>
      <c r="K628" s="33"/>
      <c r="L628" s="34"/>
      <c r="M628" s="34"/>
      <c r="N628" s="34"/>
      <c r="O628" s="656" t="s">
        <v>9265</v>
      </c>
      <c r="P628" s="33"/>
      <c r="Q628" s="31" t="s">
        <v>11802</v>
      </c>
      <c r="R628" s="2">
        <f t="array" ref="R628">xlookup($E628,'Bảng tổng hợp 1'!$B:$B,'Bảng tổng hợp 1'!$B:$B,0)</f>
        <v>0</v>
      </c>
    </row>
    <row r="629" hidden="1">
      <c r="A629" s="30">
        <v>624.0</v>
      </c>
      <c r="B629" s="31" t="s">
        <v>12429</v>
      </c>
      <c r="C629" s="655" t="s">
        <v>12343</v>
      </c>
      <c r="D629" s="31" t="s">
        <v>12430</v>
      </c>
      <c r="E629" s="31" t="s">
        <v>12430</v>
      </c>
      <c r="F629" s="31" t="s">
        <v>11851</v>
      </c>
      <c r="G629" s="34"/>
      <c r="H629" s="34"/>
      <c r="I629" s="34"/>
      <c r="J629" s="31" t="s">
        <v>325</v>
      </c>
      <c r="K629" s="33"/>
      <c r="L629" s="34"/>
      <c r="M629" s="34"/>
      <c r="N629" s="34"/>
      <c r="O629" s="656" t="s">
        <v>9265</v>
      </c>
      <c r="P629" s="33"/>
      <c r="Q629" s="31" t="s">
        <v>11802</v>
      </c>
      <c r="R629" s="2">
        <f t="array" ref="R629">xlookup($E629,'Bảng tổng hợp 1'!$B:$B,'Bảng tổng hợp 1'!$B:$B,0)</f>
        <v>0</v>
      </c>
    </row>
    <row r="630" hidden="1">
      <c r="A630" s="30">
        <v>625.0</v>
      </c>
      <c r="B630" s="31" t="s">
        <v>12431</v>
      </c>
      <c r="C630" s="655" t="s">
        <v>12346</v>
      </c>
      <c r="D630" s="31" t="s">
        <v>12432</v>
      </c>
      <c r="E630" s="31" t="s">
        <v>12432</v>
      </c>
      <c r="F630" s="31" t="s">
        <v>11851</v>
      </c>
      <c r="G630" s="34"/>
      <c r="H630" s="34"/>
      <c r="I630" s="34"/>
      <c r="J630" s="31" t="s">
        <v>12343</v>
      </c>
      <c r="K630" s="33"/>
      <c r="L630" s="34"/>
      <c r="M630" s="34"/>
      <c r="N630" s="34"/>
      <c r="O630" s="656" t="s">
        <v>9265</v>
      </c>
      <c r="P630" s="33"/>
      <c r="Q630" s="31" t="s">
        <v>11802</v>
      </c>
      <c r="R630" s="2">
        <f t="array" ref="R630">xlookup($E630,'Bảng tổng hợp 1'!$B:$B,'Bảng tổng hợp 1'!$B:$B,0)</f>
        <v>0</v>
      </c>
    </row>
    <row r="631" hidden="1">
      <c r="A631" s="30">
        <v>626.0</v>
      </c>
      <c r="B631" s="31" t="s">
        <v>12433</v>
      </c>
      <c r="C631" s="655" t="s">
        <v>12349</v>
      </c>
      <c r="D631" s="31" t="s">
        <v>12434</v>
      </c>
      <c r="E631" s="31" t="s">
        <v>12434</v>
      </c>
      <c r="F631" s="31" t="s">
        <v>11851</v>
      </c>
      <c r="G631" s="34"/>
      <c r="H631" s="34"/>
      <c r="I631" s="34"/>
      <c r="J631" s="31" t="s">
        <v>12343</v>
      </c>
      <c r="K631" s="33"/>
      <c r="L631" s="34"/>
      <c r="M631" s="34"/>
      <c r="N631" s="34"/>
      <c r="O631" s="656" t="s">
        <v>9265</v>
      </c>
      <c r="P631" s="33"/>
      <c r="Q631" s="31" t="s">
        <v>11802</v>
      </c>
      <c r="R631" s="2">
        <f t="array" ref="R631">xlookup($E631,'Bảng tổng hợp 1'!$B:$B,'Bảng tổng hợp 1'!$B:$B,0)</f>
        <v>0</v>
      </c>
    </row>
    <row r="632" hidden="1">
      <c r="A632" s="30">
        <v>627.0</v>
      </c>
      <c r="B632" s="31" t="s">
        <v>12435</v>
      </c>
      <c r="C632" s="655" t="s">
        <v>12352</v>
      </c>
      <c r="D632" s="31" t="s">
        <v>12436</v>
      </c>
      <c r="E632" s="31" t="s">
        <v>12436</v>
      </c>
      <c r="F632" s="31" t="s">
        <v>11851</v>
      </c>
      <c r="G632" s="34"/>
      <c r="H632" s="34"/>
      <c r="I632" s="34"/>
      <c r="J632" s="31" t="s">
        <v>12343</v>
      </c>
      <c r="K632" s="33"/>
      <c r="L632" s="34"/>
      <c r="M632" s="34"/>
      <c r="N632" s="34"/>
      <c r="O632" s="656" t="s">
        <v>9265</v>
      </c>
      <c r="P632" s="33"/>
      <c r="Q632" s="31" t="s">
        <v>11802</v>
      </c>
      <c r="R632" s="2">
        <f t="array" ref="R632">xlookup($E632,'Bảng tổng hợp 1'!$B:$B,'Bảng tổng hợp 1'!$B:$B,0)</f>
        <v>0</v>
      </c>
    </row>
    <row r="633" hidden="1">
      <c r="A633" s="30">
        <v>628.0</v>
      </c>
      <c r="B633" s="31" t="s">
        <v>12437</v>
      </c>
      <c r="C633" s="31" t="s">
        <v>2463</v>
      </c>
      <c r="D633" s="31" t="s">
        <v>7565</v>
      </c>
      <c r="E633" s="31" t="str">
        <f t="shared" ref="E633:E636" si="77">trim(D633)</f>
        <v>L08.02</v>
      </c>
      <c r="F633" s="31" t="s">
        <v>11844</v>
      </c>
      <c r="G633" s="34"/>
      <c r="H633" s="34"/>
      <c r="I633" s="34"/>
      <c r="J633" s="31" t="s">
        <v>325</v>
      </c>
      <c r="K633" s="33"/>
      <c r="L633" s="34"/>
      <c r="M633" s="34"/>
      <c r="N633" s="31" t="s">
        <v>11969</v>
      </c>
      <c r="O633" s="656" t="s">
        <v>9265</v>
      </c>
      <c r="P633" s="33"/>
      <c r="Q633" s="31" t="s">
        <v>11802</v>
      </c>
      <c r="R633" s="2" t="str">
        <f t="array" ref="R633">xlookup($E633,'Bảng tổng hợp 1'!$B:$B,'Bảng tổng hợp 1'!$B:$B,0)</f>
        <v>L08.02</v>
      </c>
    </row>
    <row r="634" hidden="1">
      <c r="A634" s="30">
        <v>629.0</v>
      </c>
      <c r="B634" s="31" t="s">
        <v>12438</v>
      </c>
      <c r="C634" s="31" t="s">
        <v>2797</v>
      </c>
      <c r="D634" s="31" t="s">
        <v>9621</v>
      </c>
      <c r="E634" s="31" t="str">
        <f t="shared" si="77"/>
        <v>L08.03</v>
      </c>
      <c r="F634" s="31" t="s">
        <v>11844</v>
      </c>
      <c r="G634" s="34"/>
      <c r="H634" s="34"/>
      <c r="I634" s="34"/>
      <c r="J634" s="31" t="s">
        <v>325</v>
      </c>
      <c r="K634" s="33"/>
      <c r="L634" s="31" t="s">
        <v>12439</v>
      </c>
      <c r="M634" s="34"/>
      <c r="N634" s="34"/>
      <c r="O634" s="656" t="s">
        <v>9265</v>
      </c>
      <c r="P634" s="33"/>
      <c r="Q634" s="31" t="s">
        <v>11802</v>
      </c>
      <c r="R634" s="2" t="str">
        <f t="array" ref="R634">xlookup($E634,'Bảng tổng hợp 1'!$B:$B,'Bảng tổng hợp 1'!$B:$B,0)</f>
        <v>L08.03</v>
      </c>
    </row>
    <row r="635" hidden="1">
      <c r="A635" s="30">
        <v>630.0</v>
      </c>
      <c r="B635" s="31" t="s">
        <v>12438</v>
      </c>
      <c r="C635" s="31" t="s">
        <v>7298</v>
      </c>
      <c r="D635" s="31" t="s">
        <v>7299</v>
      </c>
      <c r="E635" s="31" t="str">
        <f t="shared" si="77"/>
        <v>L08.03.01</v>
      </c>
      <c r="F635" s="31" t="s">
        <v>11851</v>
      </c>
      <c r="G635" s="34"/>
      <c r="H635" s="34"/>
      <c r="I635" s="34"/>
      <c r="J635" s="31" t="s">
        <v>2797</v>
      </c>
      <c r="K635" s="33"/>
      <c r="L635" s="34"/>
      <c r="M635" s="34"/>
      <c r="N635" s="34"/>
      <c r="O635" s="656" t="s">
        <v>9265</v>
      </c>
      <c r="P635" s="33"/>
      <c r="Q635" s="31" t="s">
        <v>11802</v>
      </c>
      <c r="R635" s="2" t="str">
        <f t="array" ref="R635">xlookup($E635,'Bảng tổng hợp 1'!$B:$B,'Bảng tổng hợp 1'!$B:$B,0)</f>
        <v>L08.03.01</v>
      </c>
    </row>
    <row r="636" hidden="1">
      <c r="A636" s="30">
        <v>631.0</v>
      </c>
      <c r="B636" s="31" t="s">
        <v>12438</v>
      </c>
      <c r="C636" s="31" t="s">
        <v>3588</v>
      </c>
      <c r="D636" s="31" t="s">
        <v>3589</v>
      </c>
      <c r="E636" s="31" t="str">
        <f t="shared" si="77"/>
        <v>L08.03.02</v>
      </c>
      <c r="F636" s="31" t="s">
        <v>11851</v>
      </c>
      <c r="G636" s="34"/>
      <c r="H636" s="34"/>
      <c r="I636" s="34"/>
      <c r="J636" s="31" t="s">
        <v>2797</v>
      </c>
      <c r="K636" s="33"/>
      <c r="L636" s="31" t="s">
        <v>12440</v>
      </c>
      <c r="M636" s="34"/>
      <c r="N636" s="34"/>
      <c r="O636" s="656" t="s">
        <v>9265</v>
      </c>
      <c r="P636" s="33"/>
      <c r="Q636" s="31" t="s">
        <v>11802</v>
      </c>
      <c r="R636" s="2" t="str">
        <f t="array" ref="R636">xlookup($E636,'Bảng tổng hợp 1'!$B:$B,'Bảng tổng hợp 1'!$B:$B,0)</f>
        <v>L08.03.02</v>
      </c>
    </row>
    <row r="637" hidden="1">
      <c r="A637" s="30">
        <v>632.0</v>
      </c>
      <c r="B637" s="31" t="s">
        <v>12441</v>
      </c>
      <c r="C637" s="655" t="s">
        <v>12357</v>
      </c>
      <c r="D637" s="31" t="s">
        <v>12442</v>
      </c>
      <c r="E637" s="31" t="s">
        <v>12442</v>
      </c>
      <c r="F637" s="31" t="s">
        <v>11844</v>
      </c>
      <c r="G637" s="34"/>
      <c r="H637" s="34"/>
      <c r="I637" s="34"/>
      <c r="J637" s="31" t="s">
        <v>325</v>
      </c>
      <c r="K637" s="33"/>
      <c r="L637" s="34"/>
      <c r="M637" s="34"/>
      <c r="N637" s="31" t="s">
        <v>11969</v>
      </c>
      <c r="O637" s="656" t="s">
        <v>9265</v>
      </c>
      <c r="P637" s="33"/>
      <c r="Q637" s="31" t="s">
        <v>11802</v>
      </c>
      <c r="R637" s="2">
        <f t="array" ref="R637">xlookup($E637,'Bảng tổng hợp 1'!$B:$B,'Bảng tổng hợp 1'!$B:$B,0)</f>
        <v>0</v>
      </c>
    </row>
    <row r="638" hidden="1">
      <c r="A638" s="30">
        <v>633.0</v>
      </c>
      <c r="B638" s="31" t="s">
        <v>12443</v>
      </c>
      <c r="C638" s="31" t="s">
        <v>2791</v>
      </c>
      <c r="D638" s="31" t="s">
        <v>2792</v>
      </c>
      <c r="E638" s="31" t="str">
        <f t="shared" ref="E638:E639" si="78">trim(D638)</f>
        <v>L08.22</v>
      </c>
      <c r="F638" s="31" t="s">
        <v>11854</v>
      </c>
      <c r="G638" s="34"/>
      <c r="H638" s="34"/>
      <c r="I638" s="34"/>
      <c r="J638" s="31" t="s">
        <v>325</v>
      </c>
      <c r="K638" s="33"/>
      <c r="L638" s="34"/>
      <c r="M638" s="34"/>
      <c r="N638" s="31" t="s">
        <v>11969</v>
      </c>
      <c r="O638" s="656" t="s">
        <v>9265</v>
      </c>
      <c r="P638" s="33"/>
      <c r="Q638" s="31" t="s">
        <v>11802</v>
      </c>
      <c r="R638" s="2" t="str">
        <f t="array" ref="R638">xlookup($E638,'Bảng tổng hợp 1'!$B:$B,'Bảng tổng hợp 1'!$B:$B,0)</f>
        <v>L08.22</v>
      </c>
    </row>
    <row r="639" hidden="1">
      <c r="A639" s="30">
        <v>634.0</v>
      </c>
      <c r="B639" s="31" t="s">
        <v>12444</v>
      </c>
      <c r="C639" s="31" t="s">
        <v>2810</v>
      </c>
      <c r="D639" s="31" t="s">
        <v>7631</v>
      </c>
      <c r="E639" s="31" t="str">
        <f t="shared" si="78"/>
        <v>L08.23</v>
      </c>
      <c r="F639" s="31" t="s">
        <v>11854</v>
      </c>
      <c r="G639" s="34"/>
      <c r="H639" s="34"/>
      <c r="I639" s="34"/>
      <c r="J639" s="31" t="s">
        <v>325</v>
      </c>
      <c r="K639" s="33"/>
      <c r="L639" s="34"/>
      <c r="M639" s="34"/>
      <c r="N639" s="31" t="s">
        <v>11969</v>
      </c>
      <c r="O639" s="656" t="s">
        <v>9265</v>
      </c>
      <c r="P639" s="33"/>
      <c r="Q639" s="31" t="s">
        <v>11802</v>
      </c>
      <c r="R639" s="2" t="str">
        <f t="array" ref="R639">xlookup($E639,'Bảng tổng hợp 1'!$B:$B,'Bảng tổng hợp 1'!$B:$B,0)</f>
        <v>L08.23</v>
      </c>
    </row>
    <row r="640" hidden="1">
      <c r="A640" s="30">
        <v>635.0</v>
      </c>
      <c r="B640" s="31" t="s">
        <v>11814</v>
      </c>
      <c r="C640" s="655" t="s">
        <v>4727</v>
      </c>
      <c r="D640" s="31" t="s">
        <v>12445</v>
      </c>
      <c r="E640" s="31" t="s">
        <v>12445</v>
      </c>
      <c r="F640" s="31" t="s">
        <v>11850</v>
      </c>
      <c r="G640" s="34"/>
      <c r="H640" s="34"/>
      <c r="I640" s="34"/>
      <c r="J640" s="31" t="s">
        <v>10527</v>
      </c>
      <c r="K640" s="33"/>
      <c r="L640" s="34"/>
      <c r="M640" s="34"/>
      <c r="N640" s="34"/>
      <c r="O640" s="656" t="s">
        <v>9265</v>
      </c>
      <c r="P640" s="33"/>
      <c r="Q640" s="31" t="s">
        <v>11802</v>
      </c>
      <c r="R640" s="2">
        <f t="array" ref="R640">xlookup($E640,'Bảng tổng hợp 1'!$B:$B,'Bảng tổng hợp 1'!$B:$B,0)</f>
        <v>0</v>
      </c>
    </row>
    <row r="641" hidden="1">
      <c r="A641" s="30">
        <v>636.0</v>
      </c>
      <c r="B641" s="31" t="s">
        <v>12446</v>
      </c>
      <c r="C641" s="31" t="s">
        <v>8493</v>
      </c>
      <c r="D641" s="31" t="s">
        <v>8494</v>
      </c>
      <c r="E641" s="31" t="str">
        <f>trim(D641)</f>
        <v>L09.05</v>
      </c>
      <c r="F641" s="31" t="s">
        <v>11844</v>
      </c>
      <c r="G641" s="34"/>
      <c r="H641" s="34"/>
      <c r="I641" s="34"/>
      <c r="J641" s="31" t="s">
        <v>4727</v>
      </c>
      <c r="K641" s="33"/>
      <c r="L641" s="34"/>
      <c r="M641" s="34"/>
      <c r="N641" s="34"/>
      <c r="O641" s="656" t="s">
        <v>9265</v>
      </c>
      <c r="P641" s="33"/>
      <c r="Q641" s="31" t="s">
        <v>11802</v>
      </c>
      <c r="R641" s="2" t="str">
        <f t="array" ref="R641">xlookup($E641,'Bảng tổng hợp 1'!$B:$B,'Bảng tổng hợp 1'!$B:$B,0)</f>
        <v>L09.05</v>
      </c>
    </row>
    <row r="642">
      <c r="A642" s="30">
        <v>637.0</v>
      </c>
      <c r="B642" s="31" t="s">
        <v>12447</v>
      </c>
      <c r="C642" s="655" t="s">
        <v>12448</v>
      </c>
      <c r="D642" s="31" t="s">
        <v>11570</v>
      </c>
      <c r="E642" s="31" t="s">
        <v>11570</v>
      </c>
      <c r="F642" s="31" t="s">
        <v>11844</v>
      </c>
      <c r="G642" s="34"/>
      <c r="H642" s="34"/>
      <c r="I642" s="34"/>
      <c r="J642" s="31" t="s">
        <v>4727</v>
      </c>
      <c r="K642" s="33"/>
      <c r="L642" s="34"/>
      <c r="M642" s="34"/>
      <c r="N642" s="34"/>
      <c r="O642" s="656" t="s">
        <v>9265</v>
      </c>
      <c r="P642" s="33"/>
      <c r="Q642" s="31" t="s">
        <v>11802</v>
      </c>
      <c r="R642" s="2">
        <f t="array" ref="R642">xlookup($E642,'Bảng tổng hợp 1'!$B:$B,'Bảng tổng hợp 1'!$B:$B,0)</f>
        <v>0</v>
      </c>
    </row>
    <row r="643" hidden="1">
      <c r="A643" s="30">
        <v>638.0</v>
      </c>
      <c r="B643" s="31" t="s">
        <v>12449</v>
      </c>
      <c r="C643" s="31" t="s">
        <v>9462</v>
      </c>
      <c r="D643" s="31" t="s">
        <v>9463</v>
      </c>
      <c r="E643" s="31" t="str">
        <f>trim(D643)</f>
        <v>L09.07</v>
      </c>
      <c r="F643" s="31" t="s">
        <v>11844</v>
      </c>
      <c r="G643" s="34"/>
      <c r="H643" s="34"/>
      <c r="I643" s="34"/>
      <c r="J643" s="31" t="s">
        <v>4727</v>
      </c>
      <c r="K643" s="33"/>
      <c r="L643" s="34"/>
      <c r="M643" s="34"/>
      <c r="N643" s="34"/>
      <c r="O643" s="656" t="s">
        <v>9265</v>
      </c>
      <c r="P643" s="33"/>
      <c r="Q643" s="31" t="s">
        <v>11802</v>
      </c>
      <c r="R643" s="2" t="str">
        <f t="array" ref="R643">xlookup($E643,'Bảng tổng hợp 1'!$B:$B,'Bảng tổng hợp 1'!$B:$B,0)</f>
        <v>L09.07</v>
      </c>
    </row>
    <row r="644">
      <c r="A644" s="30">
        <v>639.0</v>
      </c>
      <c r="B644" s="31" t="s">
        <v>12450</v>
      </c>
      <c r="C644" s="655" t="s">
        <v>12451</v>
      </c>
      <c r="D644" s="31" t="s">
        <v>12450</v>
      </c>
      <c r="E644" s="31" t="s">
        <v>12450</v>
      </c>
      <c r="F644" s="31" t="s">
        <v>11844</v>
      </c>
      <c r="G644" s="34"/>
      <c r="H644" s="34"/>
      <c r="I644" s="34"/>
      <c r="J644" s="31" t="s">
        <v>4727</v>
      </c>
      <c r="K644" s="33"/>
      <c r="L644" s="34"/>
      <c r="M644" s="34"/>
      <c r="N644" s="34"/>
      <c r="O644" s="656" t="s">
        <v>9265</v>
      </c>
      <c r="P644" s="33"/>
      <c r="Q644" s="31" t="s">
        <v>11802</v>
      </c>
      <c r="R644" s="2">
        <f t="array" ref="R644">xlookup($E644,'Bảng tổng hợp 1'!$B:$B,'Bảng tổng hợp 1'!$B:$B,0)</f>
        <v>0</v>
      </c>
    </row>
    <row r="645" hidden="1">
      <c r="A645" s="30">
        <v>640.0</v>
      </c>
      <c r="B645" s="31" t="s">
        <v>4728</v>
      </c>
      <c r="C645" s="31" t="s">
        <v>4726</v>
      </c>
      <c r="D645" s="31" t="s">
        <v>4728</v>
      </c>
      <c r="E645" s="31" t="str">
        <f>trim(D645)</f>
        <v>L09.09</v>
      </c>
      <c r="F645" s="31" t="s">
        <v>11844</v>
      </c>
      <c r="G645" s="34"/>
      <c r="H645" s="34"/>
      <c r="I645" s="34"/>
      <c r="J645" s="31" t="s">
        <v>4727</v>
      </c>
      <c r="K645" s="33"/>
      <c r="L645" s="34"/>
      <c r="M645" s="34"/>
      <c r="N645" s="34"/>
      <c r="O645" s="656" t="s">
        <v>9265</v>
      </c>
      <c r="P645" s="33"/>
      <c r="Q645" s="31" t="s">
        <v>11802</v>
      </c>
      <c r="R645" s="2" t="str">
        <f t="array" ref="R645">xlookup($E645,'Bảng tổng hợp 1'!$B:$B,'Bảng tổng hợp 1'!$B:$B,0)</f>
        <v>L09.09</v>
      </c>
    </row>
    <row r="646" hidden="1">
      <c r="A646" s="30">
        <v>641.0</v>
      </c>
      <c r="B646" s="31" t="s">
        <v>74</v>
      </c>
      <c r="C646" s="655" t="s">
        <v>2924</v>
      </c>
      <c r="D646" s="31" t="s">
        <v>11791</v>
      </c>
      <c r="E646" s="31" t="s">
        <v>11791</v>
      </c>
      <c r="F646" s="31" t="s">
        <v>11850</v>
      </c>
      <c r="G646" s="34"/>
      <c r="H646" s="34"/>
      <c r="I646" s="34"/>
      <c r="J646" s="31" t="s">
        <v>10527</v>
      </c>
      <c r="K646" s="33"/>
      <c r="L646" s="34"/>
      <c r="M646" s="34"/>
      <c r="N646" s="34"/>
      <c r="O646" s="656" t="s">
        <v>9265</v>
      </c>
      <c r="P646" s="33"/>
      <c r="Q646" s="31" t="s">
        <v>11802</v>
      </c>
      <c r="R646" s="2">
        <f t="array" ref="R646">xlookup($E646,'Bảng tổng hợp 1'!$B:$B,'Bảng tổng hợp 1'!$B:$B,0)</f>
        <v>0</v>
      </c>
    </row>
    <row r="647" hidden="1">
      <c r="A647" s="30">
        <v>642.0</v>
      </c>
      <c r="B647" s="31" t="s">
        <v>12452</v>
      </c>
      <c r="C647" s="31" t="s">
        <v>155</v>
      </c>
      <c r="D647" s="31" t="s">
        <v>9830</v>
      </c>
      <c r="E647" s="31" t="str">
        <f t="shared" ref="E647:E648" si="79">trim(D647)</f>
        <v>L10.01</v>
      </c>
      <c r="F647" s="31" t="s">
        <v>11844</v>
      </c>
      <c r="G647" s="34"/>
      <c r="H647" s="34"/>
      <c r="I647" s="34"/>
      <c r="J647" s="31" t="s">
        <v>2924</v>
      </c>
      <c r="K647" s="33"/>
      <c r="L647" s="34"/>
      <c r="M647" s="34"/>
      <c r="N647" s="31" t="s">
        <v>11918</v>
      </c>
      <c r="O647" s="656" t="s">
        <v>9265</v>
      </c>
      <c r="P647" s="33"/>
      <c r="Q647" s="31" t="s">
        <v>11802</v>
      </c>
      <c r="R647" s="2" t="str">
        <f t="array" ref="R647">xlookup($E647,'Bảng tổng hợp 1'!$B:$B,'Bảng tổng hợp 1'!$B:$B,0)</f>
        <v>L10.01</v>
      </c>
    </row>
    <row r="648" hidden="1">
      <c r="A648" s="30">
        <v>643.0</v>
      </c>
      <c r="B648" s="31" t="s">
        <v>12453</v>
      </c>
      <c r="C648" s="31" t="s">
        <v>75</v>
      </c>
      <c r="D648" s="31" t="s">
        <v>3093</v>
      </c>
      <c r="E648" s="31" t="str">
        <f t="shared" si="79"/>
        <v>L10.02</v>
      </c>
      <c r="F648" s="31" t="s">
        <v>11844</v>
      </c>
      <c r="G648" s="34"/>
      <c r="H648" s="34"/>
      <c r="I648" s="34"/>
      <c r="J648" s="31" t="s">
        <v>2924</v>
      </c>
      <c r="K648" s="33"/>
      <c r="L648" s="34"/>
      <c r="M648" s="34"/>
      <c r="N648" s="31" t="s">
        <v>11849</v>
      </c>
      <c r="O648" s="656" t="s">
        <v>9265</v>
      </c>
      <c r="P648" s="33"/>
      <c r="Q648" s="31" t="s">
        <v>11802</v>
      </c>
      <c r="R648" s="2" t="str">
        <f t="array" ref="R648">xlookup($E648,'Bảng tổng hợp 1'!$B:$B,'Bảng tổng hợp 1'!$B:$B,0)</f>
        <v>L10.02</v>
      </c>
    </row>
    <row r="649" hidden="1">
      <c r="A649" s="30">
        <v>644.0</v>
      </c>
      <c r="B649" s="31" t="s">
        <v>12454</v>
      </c>
      <c r="C649" s="655" t="s">
        <v>3100</v>
      </c>
      <c r="D649" s="31" t="s">
        <v>11590</v>
      </c>
      <c r="E649" s="31" t="s">
        <v>11590</v>
      </c>
      <c r="F649" s="31" t="s">
        <v>11844</v>
      </c>
      <c r="G649" s="34"/>
      <c r="H649" s="34"/>
      <c r="I649" s="34"/>
      <c r="J649" s="31" t="s">
        <v>75</v>
      </c>
      <c r="K649" s="33"/>
      <c r="L649" s="34"/>
      <c r="M649" s="34"/>
      <c r="N649" s="31" t="s">
        <v>12455</v>
      </c>
      <c r="O649" s="656" t="s">
        <v>9265</v>
      </c>
      <c r="P649" s="33"/>
      <c r="Q649" s="31" t="s">
        <v>11802</v>
      </c>
      <c r="R649" s="2">
        <f t="array" ref="R649">xlookup($E649,'Bảng tổng hợp 1'!$B:$B,'Bảng tổng hợp 1'!$B:$B,0)</f>
        <v>0</v>
      </c>
    </row>
    <row r="650" hidden="1">
      <c r="A650" s="30">
        <v>645.0</v>
      </c>
      <c r="B650" s="31" t="s">
        <v>12454</v>
      </c>
      <c r="C650" s="31" t="s">
        <v>3099</v>
      </c>
      <c r="D650" s="31" t="s">
        <v>3101</v>
      </c>
      <c r="E650" s="31" t="str">
        <f>trim(D650)</f>
        <v>L10.02.01.01</v>
      </c>
      <c r="F650" s="31" t="s">
        <v>11854</v>
      </c>
      <c r="G650" s="34"/>
      <c r="H650" s="34"/>
      <c r="I650" s="34"/>
      <c r="J650" s="31" t="s">
        <v>3100</v>
      </c>
      <c r="K650" s="33"/>
      <c r="L650" s="34"/>
      <c r="M650" s="34"/>
      <c r="N650" s="31" t="s">
        <v>12455</v>
      </c>
      <c r="O650" s="656" t="s">
        <v>9265</v>
      </c>
      <c r="P650" s="33"/>
      <c r="Q650" s="31" t="s">
        <v>11802</v>
      </c>
      <c r="R650" s="2" t="str">
        <f t="array" ref="R650">xlookup($E650,'Bảng tổng hợp 1'!$B:$B,'Bảng tổng hợp 1'!$B:$B,0)</f>
        <v>L10.02.01.01</v>
      </c>
    </row>
    <row r="651" hidden="1">
      <c r="A651" s="30">
        <v>646.0</v>
      </c>
      <c r="B651" s="31" t="s">
        <v>12456</v>
      </c>
      <c r="C651" s="655" t="s">
        <v>3086</v>
      </c>
      <c r="D651" s="31" t="s">
        <v>12457</v>
      </c>
      <c r="E651" s="31" t="s">
        <v>12457</v>
      </c>
      <c r="F651" s="31" t="s">
        <v>11844</v>
      </c>
      <c r="G651" s="34"/>
      <c r="H651" s="34"/>
      <c r="I651" s="34"/>
      <c r="J651" s="31" t="s">
        <v>75</v>
      </c>
      <c r="K651" s="33"/>
      <c r="L651" s="34"/>
      <c r="M651" s="34"/>
      <c r="N651" s="31" t="s">
        <v>12455</v>
      </c>
      <c r="O651" s="656" t="s">
        <v>9265</v>
      </c>
      <c r="P651" s="33"/>
      <c r="Q651" s="31" t="s">
        <v>11802</v>
      </c>
      <c r="R651" s="2">
        <f t="array" ref="R651">xlookup($E651,'Bảng tổng hợp 1'!$B:$B,'Bảng tổng hợp 1'!$B:$B,0)</f>
        <v>0</v>
      </c>
    </row>
    <row r="652" hidden="1">
      <c r="A652" s="30">
        <v>647.0</v>
      </c>
      <c r="B652" s="31" t="s">
        <v>12458</v>
      </c>
      <c r="C652" s="31" t="s">
        <v>3085</v>
      </c>
      <c r="D652" s="31" t="s">
        <v>3087</v>
      </c>
      <c r="E652" s="31" t="str">
        <f t="shared" ref="E652:E653" si="80">trim(D652)</f>
        <v>L10.02.02.01</v>
      </c>
      <c r="F652" s="31" t="s">
        <v>11854</v>
      </c>
      <c r="G652" s="34"/>
      <c r="H652" s="34"/>
      <c r="I652" s="34"/>
      <c r="J652" s="31" t="s">
        <v>3086</v>
      </c>
      <c r="K652" s="33"/>
      <c r="L652" s="34"/>
      <c r="M652" s="34"/>
      <c r="N652" s="31" t="s">
        <v>12455</v>
      </c>
      <c r="O652" s="656" t="s">
        <v>9265</v>
      </c>
      <c r="P652" s="33"/>
      <c r="Q652" s="31" t="s">
        <v>11802</v>
      </c>
      <c r="R652" s="2" t="str">
        <f t="array" ref="R652">xlookup($E652,'Bảng tổng hợp 1'!$B:$B,'Bảng tổng hợp 1'!$B:$B,0)</f>
        <v>L10.02.02.01</v>
      </c>
    </row>
    <row r="653" hidden="1">
      <c r="A653" s="30">
        <v>648.0</v>
      </c>
      <c r="B653" s="31" t="s">
        <v>12459</v>
      </c>
      <c r="C653" s="31" t="s">
        <v>3133</v>
      </c>
      <c r="D653" s="31" t="s">
        <v>3134</v>
      </c>
      <c r="E653" s="31" t="str">
        <f t="shared" si="80"/>
        <v>L10.02.02.02</v>
      </c>
      <c r="F653" s="31" t="s">
        <v>11854</v>
      </c>
      <c r="G653" s="34"/>
      <c r="H653" s="34"/>
      <c r="I653" s="34"/>
      <c r="J653" s="31" t="s">
        <v>3086</v>
      </c>
      <c r="K653" s="33"/>
      <c r="L653" s="34"/>
      <c r="M653" s="34"/>
      <c r="N653" s="31" t="s">
        <v>12455</v>
      </c>
      <c r="O653" s="656" t="s">
        <v>9265</v>
      </c>
      <c r="P653" s="33"/>
      <c r="Q653" s="31" t="s">
        <v>11802</v>
      </c>
      <c r="R653" s="2" t="str">
        <f t="array" ref="R653">xlookup($E653,'Bảng tổng hợp 1'!$B:$B,'Bảng tổng hợp 1'!$B:$B,0)</f>
        <v>L10.02.02.02</v>
      </c>
    </row>
    <row r="654" hidden="1">
      <c r="A654" s="30">
        <v>649.0</v>
      </c>
      <c r="B654" s="31" t="s">
        <v>12460</v>
      </c>
      <c r="C654" s="655" t="s">
        <v>12461</v>
      </c>
      <c r="D654" s="31" t="s">
        <v>12462</v>
      </c>
      <c r="E654" s="31" t="s">
        <v>12462</v>
      </c>
      <c r="F654" s="31" t="s">
        <v>11854</v>
      </c>
      <c r="G654" s="34"/>
      <c r="H654" s="34"/>
      <c r="I654" s="34"/>
      <c r="J654" s="31" t="s">
        <v>75</v>
      </c>
      <c r="K654" s="33"/>
      <c r="L654" s="34"/>
      <c r="M654" s="34"/>
      <c r="N654" s="31" t="s">
        <v>11849</v>
      </c>
      <c r="O654" s="656" t="s">
        <v>9265</v>
      </c>
      <c r="P654" s="33"/>
      <c r="Q654" s="31" t="s">
        <v>11802</v>
      </c>
      <c r="R654" s="2">
        <f t="array" ref="R654">xlookup($E654,'Bảng tổng hợp 1'!$B:$B,'Bảng tổng hợp 1'!$B:$B,0)</f>
        <v>0</v>
      </c>
    </row>
    <row r="655" hidden="1">
      <c r="A655" s="30">
        <v>650.0</v>
      </c>
      <c r="B655" s="31" t="s">
        <v>12463</v>
      </c>
      <c r="C655" s="655" t="s">
        <v>187</v>
      </c>
      <c r="D655" s="31" t="s">
        <v>12464</v>
      </c>
      <c r="E655" s="31" t="s">
        <v>12464</v>
      </c>
      <c r="F655" s="31" t="s">
        <v>11844</v>
      </c>
      <c r="G655" s="34"/>
      <c r="H655" s="34"/>
      <c r="I655" s="34"/>
      <c r="J655" s="31" t="s">
        <v>2924</v>
      </c>
      <c r="K655" s="33"/>
      <c r="L655" s="34"/>
      <c r="M655" s="34"/>
      <c r="N655" s="31" t="s">
        <v>11969</v>
      </c>
      <c r="O655" s="656" t="s">
        <v>9265</v>
      </c>
      <c r="P655" s="33"/>
      <c r="Q655" s="31" t="s">
        <v>11802</v>
      </c>
      <c r="R655" s="2">
        <f t="array" ref="R655">xlookup($E655,'Bảng tổng hợp 1'!$B:$B,'Bảng tổng hợp 1'!$B:$B,0)</f>
        <v>0</v>
      </c>
    </row>
    <row r="656" hidden="1">
      <c r="A656" s="30">
        <v>651.0</v>
      </c>
      <c r="B656" s="31" t="s">
        <v>12465</v>
      </c>
      <c r="C656" s="655" t="s">
        <v>12466</v>
      </c>
      <c r="D656" s="31" t="s">
        <v>12467</v>
      </c>
      <c r="E656" s="31" t="s">
        <v>12467</v>
      </c>
      <c r="F656" s="31" t="s">
        <v>11854</v>
      </c>
      <c r="G656" s="34"/>
      <c r="H656" s="34"/>
      <c r="I656" s="34"/>
      <c r="J656" s="31" t="s">
        <v>187</v>
      </c>
      <c r="K656" s="33"/>
      <c r="L656" s="34"/>
      <c r="M656" s="34"/>
      <c r="N656" s="31" t="s">
        <v>11969</v>
      </c>
      <c r="O656" s="656" t="s">
        <v>9265</v>
      </c>
      <c r="P656" s="33"/>
      <c r="Q656" s="31" t="s">
        <v>11802</v>
      </c>
      <c r="R656" s="2">
        <f t="array" ref="R656">xlookup($E656,'Bảng tổng hợp 1'!$B:$B,'Bảng tổng hợp 1'!$B:$B,0)</f>
        <v>0</v>
      </c>
    </row>
    <row r="657" hidden="1">
      <c r="A657" s="30">
        <v>652.0</v>
      </c>
      <c r="B657" s="31" t="s">
        <v>12468</v>
      </c>
      <c r="C657" s="31" t="s">
        <v>8293</v>
      </c>
      <c r="D657" s="31" t="s">
        <v>8294</v>
      </c>
      <c r="E657" s="31" t="str">
        <f t="shared" ref="E657:E660" si="81">trim(D657)</f>
        <v>L10.03.02</v>
      </c>
      <c r="F657" s="31" t="s">
        <v>11854</v>
      </c>
      <c r="G657" s="34"/>
      <c r="H657" s="34"/>
      <c r="I657" s="34"/>
      <c r="J657" s="31" t="s">
        <v>187</v>
      </c>
      <c r="K657" s="33"/>
      <c r="L657" s="34"/>
      <c r="M657" s="34"/>
      <c r="N657" s="31" t="s">
        <v>11969</v>
      </c>
      <c r="O657" s="656" t="s">
        <v>9265</v>
      </c>
      <c r="P657" s="33"/>
      <c r="Q657" s="31" t="s">
        <v>11802</v>
      </c>
      <c r="R657" s="2" t="str">
        <f t="array" ref="R657">xlookup($E657,'Bảng tổng hợp 1'!$B:$B,'Bảng tổng hợp 1'!$B:$B,0)</f>
        <v>L10.03.02</v>
      </c>
    </row>
    <row r="658" hidden="1">
      <c r="A658" s="30">
        <v>653.0</v>
      </c>
      <c r="B658" s="31" t="s">
        <v>12469</v>
      </c>
      <c r="C658" s="31" t="s">
        <v>3112</v>
      </c>
      <c r="D658" s="31" t="s">
        <v>3113</v>
      </c>
      <c r="E658" s="31" t="str">
        <f t="shared" si="81"/>
        <v>L10.03.03</v>
      </c>
      <c r="F658" s="31" t="s">
        <v>11854</v>
      </c>
      <c r="G658" s="34"/>
      <c r="H658" s="34"/>
      <c r="I658" s="34"/>
      <c r="J658" s="31" t="s">
        <v>187</v>
      </c>
      <c r="K658" s="33"/>
      <c r="L658" s="34"/>
      <c r="M658" s="34"/>
      <c r="N658" s="31" t="s">
        <v>11969</v>
      </c>
      <c r="O658" s="656" t="s">
        <v>9265</v>
      </c>
      <c r="P658" s="33"/>
      <c r="Q658" s="31" t="s">
        <v>11802</v>
      </c>
      <c r="R658" s="2" t="str">
        <f t="array" ref="R658">xlookup($E658,'Bảng tổng hợp 1'!$B:$B,'Bảng tổng hợp 1'!$B:$B,0)</f>
        <v>L10.03.03</v>
      </c>
    </row>
    <row r="659" hidden="1">
      <c r="A659" s="30">
        <v>654.0</v>
      </c>
      <c r="B659" s="31" t="s">
        <v>12470</v>
      </c>
      <c r="C659" s="31" t="s">
        <v>34</v>
      </c>
      <c r="D659" s="31" t="s">
        <v>2925</v>
      </c>
      <c r="E659" s="31" t="str">
        <f t="shared" si="81"/>
        <v>L10.04</v>
      </c>
      <c r="F659" s="31" t="s">
        <v>11844</v>
      </c>
      <c r="G659" s="34"/>
      <c r="H659" s="34"/>
      <c r="I659" s="34"/>
      <c r="J659" s="31" t="s">
        <v>2924</v>
      </c>
      <c r="K659" s="33"/>
      <c r="L659" s="34"/>
      <c r="M659" s="34"/>
      <c r="N659" s="31" t="s">
        <v>11955</v>
      </c>
      <c r="O659" s="656" t="s">
        <v>9265</v>
      </c>
      <c r="P659" s="33"/>
      <c r="Q659" s="31" t="s">
        <v>11802</v>
      </c>
      <c r="R659" s="2" t="str">
        <f t="array" ref="R659">xlookup($E659,'Bảng tổng hợp 1'!$B:$B,'Bảng tổng hợp 1'!$B:$B,0)</f>
        <v>L10.04</v>
      </c>
    </row>
    <row r="660" hidden="1">
      <c r="A660" s="30">
        <v>655.0</v>
      </c>
      <c r="B660" s="31" t="s">
        <v>7480</v>
      </c>
      <c r="C660" s="31" t="s">
        <v>232</v>
      </c>
      <c r="D660" s="31" t="s">
        <v>7479</v>
      </c>
      <c r="E660" s="31" t="str">
        <f t="shared" si="81"/>
        <v>L10.05</v>
      </c>
      <c r="F660" s="31" t="s">
        <v>11844</v>
      </c>
      <c r="G660" s="34"/>
      <c r="H660" s="34"/>
      <c r="I660" s="34"/>
      <c r="J660" s="31" t="s">
        <v>2924</v>
      </c>
      <c r="K660" s="33"/>
      <c r="L660" s="34"/>
      <c r="M660" s="34"/>
      <c r="N660" s="31" t="s">
        <v>11955</v>
      </c>
      <c r="O660" s="656" t="s">
        <v>9265</v>
      </c>
      <c r="P660" s="33"/>
      <c r="Q660" s="31" t="s">
        <v>11802</v>
      </c>
      <c r="R660" s="2" t="str">
        <f t="array" ref="R660">xlookup($E660,'Bảng tổng hợp 1'!$B:$B,'Bảng tổng hợp 1'!$B:$B,0)</f>
        <v>L10.05</v>
      </c>
    </row>
    <row r="661">
      <c r="C661" s="657"/>
    </row>
    <row r="662">
      <c r="C662" s="657"/>
    </row>
    <row r="663">
      <c r="C663" s="657"/>
    </row>
    <row r="664">
      <c r="C664" s="657"/>
    </row>
    <row r="665">
      <c r="C665" s="657"/>
    </row>
    <row r="666">
      <c r="C666" s="657"/>
    </row>
    <row r="667">
      <c r="C667" s="657"/>
    </row>
    <row r="668">
      <c r="C668" s="657"/>
    </row>
    <row r="669">
      <c r="C669" s="657"/>
    </row>
    <row r="670">
      <c r="C670" s="657"/>
    </row>
    <row r="671">
      <c r="C671" s="657"/>
    </row>
    <row r="672">
      <c r="C672" s="657"/>
    </row>
    <row r="673">
      <c r="C673" s="657"/>
    </row>
    <row r="674">
      <c r="C674" s="657"/>
    </row>
    <row r="675">
      <c r="C675" s="657"/>
    </row>
    <row r="676">
      <c r="C676" s="657"/>
    </row>
    <row r="677">
      <c r="C677" s="657"/>
    </row>
    <row r="678">
      <c r="C678" s="657"/>
    </row>
    <row r="679">
      <c r="C679" s="657"/>
    </row>
    <row r="680">
      <c r="C680" s="657"/>
    </row>
    <row r="681">
      <c r="C681" s="657"/>
    </row>
    <row r="682">
      <c r="C682" s="657"/>
    </row>
    <row r="683">
      <c r="C683" s="657"/>
    </row>
    <row r="684">
      <c r="C684" s="657"/>
    </row>
    <row r="685">
      <c r="C685" s="657"/>
    </row>
    <row r="686">
      <c r="C686" s="657"/>
    </row>
    <row r="687">
      <c r="C687" s="657"/>
    </row>
    <row r="688">
      <c r="C688" s="657"/>
    </row>
    <row r="689">
      <c r="C689" s="657"/>
    </row>
    <row r="690">
      <c r="C690" s="657"/>
    </row>
    <row r="691">
      <c r="C691" s="657"/>
    </row>
    <row r="692">
      <c r="C692" s="657"/>
    </row>
    <row r="693">
      <c r="C693" s="657"/>
    </row>
    <row r="694">
      <c r="C694" s="657"/>
    </row>
    <row r="695">
      <c r="C695" s="657"/>
    </row>
    <row r="696">
      <c r="C696" s="657"/>
    </row>
    <row r="697">
      <c r="C697" s="657"/>
    </row>
    <row r="698">
      <c r="C698" s="657"/>
    </row>
    <row r="699">
      <c r="C699" s="657"/>
    </row>
    <row r="700">
      <c r="C700" s="657"/>
    </row>
    <row r="701">
      <c r="C701" s="657"/>
    </row>
    <row r="702">
      <c r="C702" s="657"/>
    </row>
    <row r="703">
      <c r="C703" s="657"/>
    </row>
    <row r="704">
      <c r="C704" s="657"/>
    </row>
    <row r="705">
      <c r="C705" s="657"/>
    </row>
    <row r="706">
      <c r="C706" s="657"/>
    </row>
    <row r="707">
      <c r="C707" s="657"/>
    </row>
    <row r="708">
      <c r="C708" s="657"/>
    </row>
    <row r="709">
      <c r="C709" s="657"/>
    </row>
    <row r="710">
      <c r="C710" s="657"/>
    </row>
    <row r="711">
      <c r="C711" s="657"/>
    </row>
    <row r="712">
      <c r="C712" s="657"/>
    </row>
    <row r="713">
      <c r="C713" s="657"/>
    </row>
    <row r="714">
      <c r="C714" s="657"/>
    </row>
    <row r="715">
      <c r="C715" s="657"/>
    </row>
    <row r="716">
      <c r="C716" s="657"/>
    </row>
    <row r="717">
      <c r="C717" s="657"/>
    </row>
    <row r="718">
      <c r="C718" s="657"/>
    </row>
    <row r="719">
      <c r="C719" s="657"/>
    </row>
    <row r="720">
      <c r="C720" s="657"/>
    </row>
    <row r="721">
      <c r="C721" s="657"/>
    </row>
    <row r="722">
      <c r="C722" s="657"/>
    </row>
    <row r="723">
      <c r="C723" s="657"/>
    </row>
    <row r="724">
      <c r="C724" s="657"/>
    </row>
    <row r="725">
      <c r="C725" s="657"/>
    </row>
    <row r="726">
      <c r="C726" s="657"/>
    </row>
    <row r="727">
      <c r="C727" s="657"/>
    </row>
    <row r="728">
      <c r="C728" s="657"/>
    </row>
    <row r="729">
      <c r="C729" s="657"/>
    </row>
    <row r="730">
      <c r="C730" s="657"/>
    </row>
    <row r="731">
      <c r="C731" s="657"/>
    </row>
    <row r="732">
      <c r="C732" s="657"/>
    </row>
    <row r="733">
      <c r="C733" s="657"/>
    </row>
    <row r="734">
      <c r="C734" s="657"/>
    </row>
    <row r="735">
      <c r="C735" s="657"/>
    </row>
    <row r="736">
      <c r="C736" s="657"/>
    </row>
    <row r="737">
      <c r="C737" s="657"/>
    </row>
    <row r="738">
      <c r="C738" s="657"/>
    </row>
    <row r="739">
      <c r="C739" s="657"/>
    </row>
    <row r="740">
      <c r="C740" s="657"/>
    </row>
    <row r="741">
      <c r="C741" s="657"/>
    </row>
    <row r="742">
      <c r="C742" s="657"/>
    </row>
    <row r="743">
      <c r="C743" s="657"/>
    </row>
    <row r="744">
      <c r="C744" s="657"/>
    </row>
    <row r="745">
      <c r="C745" s="657"/>
    </row>
    <row r="746">
      <c r="C746" s="657"/>
    </row>
    <row r="747">
      <c r="C747" s="657"/>
    </row>
    <row r="748">
      <c r="C748" s="657"/>
    </row>
    <row r="749">
      <c r="C749" s="657"/>
    </row>
    <row r="750">
      <c r="C750" s="657"/>
    </row>
    <row r="751">
      <c r="C751" s="657"/>
    </row>
    <row r="752">
      <c r="C752" s="657"/>
    </row>
    <row r="753">
      <c r="C753" s="657"/>
    </row>
    <row r="754">
      <c r="C754" s="657"/>
    </row>
    <row r="755">
      <c r="C755" s="657"/>
    </row>
    <row r="756">
      <c r="C756" s="657"/>
    </row>
    <row r="757">
      <c r="C757" s="657"/>
    </row>
    <row r="758">
      <c r="C758" s="657"/>
    </row>
    <row r="759">
      <c r="C759" s="657"/>
    </row>
    <row r="760">
      <c r="C760" s="657"/>
    </row>
    <row r="761">
      <c r="C761" s="657"/>
    </row>
    <row r="762">
      <c r="C762" s="657"/>
    </row>
    <row r="763">
      <c r="C763" s="657"/>
    </row>
    <row r="764">
      <c r="C764" s="657"/>
    </row>
    <row r="765">
      <c r="C765" s="657"/>
    </row>
    <row r="766">
      <c r="C766" s="657"/>
    </row>
    <row r="767">
      <c r="C767" s="657"/>
    </row>
    <row r="768">
      <c r="C768" s="657"/>
    </row>
    <row r="769">
      <c r="C769" s="657"/>
    </row>
    <row r="770">
      <c r="C770" s="657"/>
    </row>
    <row r="771">
      <c r="C771" s="657"/>
    </row>
    <row r="772">
      <c r="C772" s="657"/>
    </row>
    <row r="773">
      <c r="C773" s="657"/>
    </row>
    <row r="774">
      <c r="C774" s="657"/>
    </row>
    <row r="775">
      <c r="C775" s="657"/>
    </row>
    <row r="776">
      <c r="C776" s="657"/>
    </row>
    <row r="777">
      <c r="C777" s="657"/>
    </row>
    <row r="778">
      <c r="C778" s="657"/>
    </row>
    <row r="779">
      <c r="C779" s="657"/>
    </row>
    <row r="780">
      <c r="C780" s="657"/>
    </row>
    <row r="781">
      <c r="C781" s="657"/>
    </row>
    <row r="782">
      <c r="C782" s="657"/>
    </row>
    <row r="783">
      <c r="C783" s="657"/>
    </row>
    <row r="784">
      <c r="C784" s="657"/>
    </row>
    <row r="785">
      <c r="C785" s="657"/>
    </row>
    <row r="786">
      <c r="C786" s="657"/>
    </row>
    <row r="787">
      <c r="C787" s="657"/>
    </row>
    <row r="788">
      <c r="C788" s="657"/>
    </row>
    <row r="789">
      <c r="C789" s="657"/>
    </row>
    <row r="790">
      <c r="C790" s="657"/>
    </row>
    <row r="791">
      <c r="C791" s="657"/>
    </row>
    <row r="792">
      <c r="C792" s="657"/>
    </row>
    <row r="793">
      <c r="C793" s="657"/>
    </row>
    <row r="794">
      <c r="C794" s="657"/>
    </row>
    <row r="795">
      <c r="C795" s="657"/>
    </row>
    <row r="796">
      <c r="C796" s="657"/>
    </row>
    <row r="797">
      <c r="C797" s="657"/>
    </row>
    <row r="798">
      <c r="C798" s="657"/>
    </row>
    <row r="799">
      <c r="C799" s="657"/>
    </row>
    <row r="800">
      <c r="C800" s="657"/>
    </row>
    <row r="801">
      <c r="C801" s="657"/>
    </row>
    <row r="802">
      <c r="C802" s="657"/>
    </row>
    <row r="803">
      <c r="C803" s="657"/>
    </row>
    <row r="804">
      <c r="C804" s="657"/>
    </row>
    <row r="805">
      <c r="C805" s="657"/>
    </row>
    <row r="806">
      <c r="C806" s="657"/>
    </row>
    <row r="807">
      <c r="C807" s="657"/>
    </row>
    <row r="808">
      <c r="C808" s="657"/>
    </row>
    <row r="809">
      <c r="C809" s="657"/>
    </row>
    <row r="810">
      <c r="C810" s="657"/>
    </row>
    <row r="811">
      <c r="C811" s="657"/>
    </row>
    <row r="812">
      <c r="C812" s="657"/>
    </row>
    <row r="813">
      <c r="C813" s="657"/>
    </row>
    <row r="814">
      <c r="C814" s="657"/>
    </row>
    <row r="815">
      <c r="C815" s="657"/>
    </row>
    <row r="816">
      <c r="C816" s="657"/>
    </row>
    <row r="817">
      <c r="C817" s="657"/>
    </row>
    <row r="818">
      <c r="C818" s="657"/>
    </row>
    <row r="819">
      <c r="C819" s="657"/>
    </row>
    <row r="820">
      <c r="C820" s="657"/>
    </row>
    <row r="821">
      <c r="C821" s="657"/>
    </row>
    <row r="822">
      <c r="C822" s="657"/>
    </row>
    <row r="823">
      <c r="C823" s="657"/>
    </row>
    <row r="824">
      <c r="C824" s="657"/>
    </row>
    <row r="825">
      <c r="C825" s="657"/>
    </row>
    <row r="826">
      <c r="C826" s="657"/>
    </row>
    <row r="827">
      <c r="C827" s="657"/>
    </row>
    <row r="828">
      <c r="C828" s="657"/>
    </row>
    <row r="829">
      <c r="C829" s="657"/>
    </row>
    <row r="830">
      <c r="C830" s="657"/>
    </row>
    <row r="831">
      <c r="C831" s="657"/>
    </row>
    <row r="832">
      <c r="C832" s="657"/>
    </row>
    <row r="833">
      <c r="C833" s="657"/>
    </row>
    <row r="834">
      <c r="C834" s="657"/>
    </row>
    <row r="835">
      <c r="C835" s="657"/>
    </row>
    <row r="836">
      <c r="C836" s="657"/>
    </row>
    <row r="837">
      <c r="C837" s="657"/>
    </row>
    <row r="838">
      <c r="C838" s="657"/>
    </row>
    <row r="839">
      <c r="C839" s="657"/>
    </row>
    <row r="840">
      <c r="C840" s="657"/>
    </row>
    <row r="841">
      <c r="C841" s="657"/>
    </row>
    <row r="842">
      <c r="C842" s="657"/>
    </row>
    <row r="843">
      <c r="C843" s="657"/>
    </row>
    <row r="844">
      <c r="C844" s="657"/>
    </row>
    <row r="845">
      <c r="C845" s="657"/>
    </row>
    <row r="846">
      <c r="C846" s="657"/>
    </row>
    <row r="847">
      <c r="C847" s="657"/>
    </row>
    <row r="848">
      <c r="C848" s="657"/>
    </row>
    <row r="849">
      <c r="C849" s="657"/>
    </row>
    <row r="850">
      <c r="C850" s="657"/>
    </row>
    <row r="851">
      <c r="C851" s="657"/>
    </row>
    <row r="852">
      <c r="C852" s="657"/>
    </row>
    <row r="853">
      <c r="C853" s="657"/>
    </row>
    <row r="854">
      <c r="C854" s="657"/>
    </row>
    <row r="855">
      <c r="C855" s="657"/>
    </row>
    <row r="856">
      <c r="C856" s="657"/>
    </row>
    <row r="857">
      <c r="C857" s="657"/>
    </row>
    <row r="858">
      <c r="C858" s="657"/>
    </row>
    <row r="859">
      <c r="C859" s="657"/>
    </row>
    <row r="860">
      <c r="C860" s="657"/>
    </row>
    <row r="861">
      <c r="C861" s="657"/>
    </row>
    <row r="862">
      <c r="C862" s="657"/>
    </row>
    <row r="863">
      <c r="C863" s="657"/>
    </row>
    <row r="864">
      <c r="C864" s="657"/>
    </row>
    <row r="865">
      <c r="C865" s="657"/>
    </row>
    <row r="866">
      <c r="C866" s="657"/>
    </row>
    <row r="867">
      <c r="C867" s="657"/>
    </row>
    <row r="868">
      <c r="C868" s="657"/>
    </row>
    <row r="869">
      <c r="C869" s="657"/>
    </row>
    <row r="870">
      <c r="C870" s="657"/>
    </row>
    <row r="871">
      <c r="C871" s="657"/>
    </row>
    <row r="872">
      <c r="C872" s="657"/>
    </row>
    <row r="873">
      <c r="C873" s="657"/>
    </row>
    <row r="874">
      <c r="C874" s="657"/>
    </row>
    <row r="875">
      <c r="C875" s="657"/>
    </row>
    <row r="876">
      <c r="C876" s="657"/>
    </row>
    <row r="877">
      <c r="C877" s="657"/>
    </row>
    <row r="878">
      <c r="C878" s="657"/>
    </row>
    <row r="879">
      <c r="C879" s="657"/>
    </row>
    <row r="880">
      <c r="C880" s="657"/>
    </row>
    <row r="881">
      <c r="C881" s="657"/>
    </row>
    <row r="882">
      <c r="C882" s="657"/>
    </row>
    <row r="883">
      <c r="C883" s="657"/>
    </row>
    <row r="884">
      <c r="C884" s="657"/>
    </row>
    <row r="885">
      <c r="C885" s="657"/>
    </row>
    <row r="886">
      <c r="C886" s="657"/>
    </row>
    <row r="887">
      <c r="C887" s="657"/>
    </row>
    <row r="888">
      <c r="C888" s="657"/>
    </row>
    <row r="889">
      <c r="C889" s="657"/>
    </row>
    <row r="890">
      <c r="C890" s="657"/>
    </row>
    <row r="891">
      <c r="C891" s="657"/>
    </row>
    <row r="892">
      <c r="C892" s="657"/>
    </row>
    <row r="893">
      <c r="C893" s="657"/>
    </row>
    <row r="894">
      <c r="C894" s="657"/>
    </row>
    <row r="895">
      <c r="C895" s="657"/>
    </row>
    <row r="896">
      <c r="C896" s="657"/>
    </row>
    <row r="897">
      <c r="C897" s="657"/>
    </row>
    <row r="898">
      <c r="C898" s="657"/>
    </row>
    <row r="899">
      <c r="C899" s="657"/>
    </row>
    <row r="900">
      <c r="C900" s="657"/>
    </row>
    <row r="901">
      <c r="C901" s="657"/>
    </row>
    <row r="902">
      <c r="C902" s="657"/>
    </row>
    <row r="903">
      <c r="C903" s="657"/>
    </row>
    <row r="904">
      <c r="C904" s="657"/>
    </row>
    <row r="905">
      <c r="C905" s="657"/>
    </row>
    <row r="906">
      <c r="C906" s="657"/>
    </row>
    <row r="907">
      <c r="C907" s="657"/>
    </row>
    <row r="908">
      <c r="C908" s="657"/>
    </row>
    <row r="909">
      <c r="C909" s="657"/>
    </row>
    <row r="910">
      <c r="C910" s="657"/>
    </row>
    <row r="911">
      <c r="C911" s="657"/>
    </row>
    <row r="912">
      <c r="C912" s="657"/>
    </row>
    <row r="913">
      <c r="C913" s="657"/>
    </row>
    <row r="914">
      <c r="C914" s="657"/>
    </row>
    <row r="915">
      <c r="C915" s="657"/>
    </row>
    <row r="916">
      <c r="C916" s="657"/>
    </row>
    <row r="917">
      <c r="C917" s="657"/>
    </row>
    <row r="918">
      <c r="C918" s="657"/>
    </row>
    <row r="919">
      <c r="C919" s="657"/>
    </row>
    <row r="920">
      <c r="C920" s="657"/>
    </row>
    <row r="921">
      <c r="C921" s="657"/>
    </row>
    <row r="922">
      <c r="C922" s="657"/>
    </row>
    <row r="923">
      <c r="C923" s="657"/>
    </row>
    <row r="924">
      <c r="C924" s="657"/>
    </row>
    <row r="925">
      <c r="C925" s="657"/>
    </row>
    <row r="926">
      <c r="C926" s="657"/>
    </row>
    <row r="927">
      <c r="C927" s="657"/>
    </row>
    <row r="928">
      <c r="C928" s="657"/>
    </row>
    <row r="929">
      <c r="C929" s="657"/>
    </row>
    <row r="930">
      <c r="C930" s="657"/>
    </row>
    <row r="931">
      <c r="C931" s="657"/>
    </row>
    <row r="932">
      <c r="C932" s="657"/>
    </row>
    <row r="933">
      <c r="C933" s="657"/>
    </row>
    <row r="934">
      <c r="C934" s="657"/>
    </row>
    <row r="935">
      <c r="C935" s="657"/>
    </row>
    <row r="936">
      <c r="C936" s="657"/>
    </row>
    <row r="937">
      <c r="C937" s="657"/>
    </row>
    <row r="938">
      <c r="C938" s="657"/>
    </row>
    <row r="939">
      <c r="C939" s="657"/>
    </row>
    <row r="940">
      <c r="C940" s="657"/>
    </row>
    <row r="941">
      <c r="C941" s="657"/>
    </row>
    <row r="942">
      <c r="C942" s="657"/>
    </row>
    <row r="943">
      <c r="C943" s="657"/>
    </row>
    <row r="944">
      <c r="C944" s="657"/>
    </row>
    <row r="945">
      <c r="C945" s="657"/>
    </row>
    <row r="946">
      <c r="C946" s="657"/>
    </row>
    <row r="947">
      <c r="C947" s="657"/>
    </row>
    <row r="948">
      <c r="C948" s="657"/>
    </row>
    <row r="949">
      <c r="C949" s="657"/>
    </row>
    <row r="950">
      <c r="C950" s="657"/>
    </row>
    <row r="951">
      <c r="C951" s="657"/>
    </row>
    <row r="952">
      <c r="C952" s="657"/>
    </row>
    <row r="953">
      <c r="C953" s="657"/>
    </row>
    <row r="954">
      <c r="C954" s="657"/>
    </row>
    <row r="955">
      <c r="C955" s="657"/>
    </row>
    <row r="956">
      <c r="C956" s="657"/>
    </row>
    <row r="957">
      <c r="C957" s="657"/>
    </row>
    <row r="958">
      <c r="C958" s="657"/>
    </row>
    <row r="959">
      <c r="C959" s="657"/>
    </row>
    <row r="960">
      <c r="C960" s="657"/>
    </row>
    <row r="961">
      <c r="C961" s="657"/>
    </row>
    <row r="962">
      <c r="C962" s="657"/>
    </row>
    <row r="963">
      <c r="C963" s="657"/>
    </row>
    <row r="964">
      <c r="C964" s="657"/>
    </row>
    <row r="965">
      <c r="C965" s="657"/>
    </row>
    <row r="966">
      <c r="C966" s="657"/>
    </row>
    <row r="967">
      <c r="C967" s="657"/>
    </row>
    <row r="968">
      <c r="C968" s="657"/>
    </row>
    <row r="969">
      <c r="C969" s="657"/>
    </row>
    <row r="970">
      <c r="C970" s="657"/>
    </row>
    <row r="971">
      <c r="C971" s="657"/>
    </row>
    <row r="972">
      <c r="C972" s="657"/>
    </row>
    <row r="973">
      <c r="C973" s="657"/>
    </row>
    <row r="974">
      <c r="C974" s="657"/>
    </row>
    <row r="975">
      <c r="C975" s="657"/>
    </row>
    <row r="976">
      <c r="C976" s="657"/>
    </row>
    <row r="977">
      <c r="C977" s="657"/>
    </row>
    <row r="978">
      <c r="C978" s="657"/>
    </row>
    <row r="979">
      <c r="C979" s="657"/>
    </row>
    <row r="980">
      <c r="C980" s="657"/>
    </row>
    <row r="981">
      <c r="C981" s="657"/>
    </row>
    <row r="982">
      <c r="C982" s="657"/>
    </row>
    <row r="983">
      <c r="C983" s="657"/>
    </row>
    <row r="984">
      <c r="C984" s="657"/>
    </row>
    <row r="985">
      <c r="C985" s="657"/>
    </row>
    <row r="986">
      <c r="C986" s="657"/>
    </row>
    <row r="987">
      <c r="C987" s="657"/>
    </row>
    <row r="988">
      <c r="C988" s="657"/>
    </row>
    <row r="989">
      <c r="C989" s="657"/>
    </row>
    <row r="990">
      <c r="C990" s="657"/>
    </row>
    <row r="991">
      <c r="C991" s="657"/>
    </row>
    <row r="992">
      <c r="C992" s="657"/>
    </row>
    <row r="993">
      <c r="C993" s="657"/>
    </row>
    <row r="994">
      <c r="C994" s="657"/>
    </row>
    <row r="995">
      <c r="C995" s="657"/>
    </row>
    <row r="996">
      <c r="C996" s="657"/>
    </row>
    <row r="997">
      <c r="C997" s="657"/>
    </row>
    <row r="998">
      <c r="C998" s="657"/>
    </row>
    <row r="999">
      <c r="C999" s="657"/>
    </row>
    <row r="1000">
      <c r="C1000" s="657"/>
    </row>
  </sheetData>
  <autoFilter ref="$A$5:$R$660">
    <filterColumn colId="17">
      <filters>
        <filter val="0"/>
      </filters>
    </filterColumn>
    <filterColumn colId="9">
      <filters>
        <filter val="Sản phẩm AMIS HRM MISA"/>
        <filter val="Phòng KD giải pháp bán lẻ"/>
        <filter val="Sản phẩm Customize"/>
        <filter val="Khối KD GP HDDT"/>
        <filter val="Phòng KD bán thêm 01"/>
        <filter val="Phòng Triển khai &amp; CSKH"/>
        <filter val="Phòng Kinh doanh Hành chính sự nghiệp"/>
        <filter val="Phòng KD bán thêm 02"/>
        <filter val="Phòng KD bán thêm 03"/>
        <filter val="Nhóm Chăm sóc khách hàng"/>
        <filter val="Văn phòng Sản xuất"/>
        <filter val="Sản phẩm QLTS.VN"/>
        <filter val="Trung tâm Tư vấn &amp; Hỗ trợ khách hàng"/>
        <filter val="KHỐI KD CUKCUK"/>
        <filter val="Sản phẩm AMIS Platform Core"/>
        <filter val="Phòng Tư vấn MISA 04"/>
        <filter val="Viện Đổi mới doanh nghiệp"/>
        <filter val="Phòng KD Giải pháp bán lẻ"/>
        <filter val="Sản phẩm MISA meInvoice"/>
        <filter val="Sản phẩm MISA meInvoice - Xăng dầu"/>
        <filter val="Sản phẩm iVAN"/>
        <filter val="Phòng KD HCSN 04"/>
        <filter val="Phòng Tư vấn MISA 01"/>
        <filter val="Phòng KD HCSN 03"/>
        <filter val="Phòng KD HCSN 02"/>
        <filter val="Khối KD Ký điện tử"/>
        <filter val="Sản phẩm AMIS Kế toán (HKD)"/>
        <filter val="Sản phẩm Automation Support"/>
        <filter val="Phòng Quan hệ cộng đồng"/>
        <filter val="Sản phẩm eShop (TTVN)"/>
        <filter val="Sản phẩm AMIS Operation"/>
        <filter val="Khối KD GPKT DN"/>
        <filter val="Sản phẩm AMIS Quản lý Tài sản"/>
        <filter val="Sản phẩm AMIS CRM (KH)"/>
        <filter val="Trung tâm KD GP DN lớn"/>
        <filter val="Sản phẩm AMIS CRM (MISA)"/>
        <filter val="Sản phẩm JETPAY"/>
        <filter val="Sản phẩm MISA MIMOSA Online"/>
        <filter val="Sản phẩm AMIS C&amp;B"/>
        <filter val="Phòng Triển khai &amp; CSKH 01"/>
        <filter val="Phòng Triển khai &amp; CSKH 02"/>
        <filter val="Sản phẩm MISA Bamboo Online"/>
        <filter val="KHỐI KD eShop"/>
        <filter val="Phòng CS 03"/>
        <filter val="Phòng CS 02"/>
        <filter val="Phòng CS 01"/>
        <filter val="Sản phẩm MISA eSign"/>
        <filter val="Trung tâm KD Giải pháp KTDN"/>
        <filter val="Sản phẩm AMIS TMS"/>
        <filter val="Phòng KD bán thêm 1"/>
        <filter val="Phòng KD bán thêm 2"/>
        <filter val="Sản phẩm Quản lý ngân sách (BUMAS)"/>
        <filter val="Sản phẩm CukCuk (TTVN)"/>
        <filter val="Sản phẩm MISA Lending"/>
        <filter val="Sản phẩm AMIS Đánh giá"/>
        <filter val="Sản phẩm MISA ASP"/>
        <filter val="Sản phẩm MISA QLCB"/>
        <filter val="Sản phẩm Mimosa.NET"/>
        <filter val="Sản phẩm MISA EMIS"/>
        <filter val="Sản phẩm MISA SalaGov"/>
        <filter val="Phòng chuyển giao"/>
      </filters>
    </filterColumn>
  </autoFil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6FF"/>
    <pageSetUpPr/>
  </sheetPr>
  <sheetViews>
    <sheetView showGridLines="0" workbookViewId="0">
      <pane xSplit="15.0" ySplit="5.0" topLeftCell="P6" activePane="bottomRight" state="frozen"/>
      <selection activeCell="P1" sqref="P1" pane="topRight"/>
      <selection activeCell="A6" sqref="A6" pane="bottomLeft"/>
      <selection activeCell="P6" sqref="P6" pane="bottomRight"/>
    </sheetView>
  </sheetViews>
  <sheetFormatPr customHeight="1" defaultColWidth="11.22" defaultRowHeight="15.0" outlineLevelRow="1"/>
  <cols>
    <col customWidth="1" min="1" max="1" width="14.67"/>
    <col customWidth="1" min="2" max="2" width="10.33"/>
    <col customWidth="1" min="3" max="4" width="6.0"/>
    <col customWidth="1" min="5" max="5" width="5.0"/>
    <col customWidth="1" min="6" max="6" width="10.44"/>
    <col customWidth="1" min="7" max="7" width="5.0"/>
    <col customWidth="1" min="8" max="8" width="28.0"/>
    <col customWidth="1" min="9" max="9" width="6.22"/>
    <col customWidth="1" min="10" max="10" width="28.78"/>
    <col customWidth="1" min="11" max="11" width="5.0"/>
    <col customWidth="1" min="12" max="12" width="31.11"/>
    <col customWidth="1" min="13" max="13" width="4.78"/>
    <col customWidth="1" min="14" max="14" width="17.44"/>
    <col customWidth="1" min="15" max="15" width="15.67"/>
    <col customWidth="1" min="16" max="16" width="17.44"/>
    <col customWidth="1" min="17" max="17" width="16.0"/>
    <col customWidth="1" min="18" max="18" width="10.0"/>
    <col customWidth="1" min="19" max="19" width="24.56"/>
    <col customWidth="1" min="20" max="20" width="24.78"/>
    <col customWidth="1" min="21" max="21" width="26.11"/>
    <col customWidth="1" min="22" max="22" width="34.78"/>
    <col customWidth="1" min="23" max="23" width="20.67"/>
    <col customWidth="1" min="24" max="28" width="8.56"/>
  </cols>
  <sheetData>
    <row r="1" ht="15.75" customHeight="1">
      <c r="H1" s="37"/>
      <c r="I1" s="38"/>
      <c r="J1" s="37"/>
      <c r="N1" s="37"/>
    </row>
    <row r="2" ht="15.75" customHeight="1">
      <c r="A2" s="15" t="s">
        <v>10482</v>
      </c>
      <c r="H2" s="37"/>
      <c r="I2" s="38"/>
      <c r="J2" s="37"/>
      <c r="N2" s="37"/>
    </row>
    <row r="3" ht="15.75" customHeight="1">
      <c r="H3" s="37"/>
      <c r="I3" s="38"/>
      <c r="N3" s="37"/>
    </row>
    <row r="4" ht="25.5" customHeight="1">
      <c r="A4" s="39" t="s">
        <v>10483</v>
      </c>
      <c r="B4" s="40"/>
      <c r="C4" s="39" t="s">
        <v>10484</v>
      </c>
      <c r="D4" s="40"/>
      <c r="E4" s="39" t="s">
        <v>10485</v>
      </c>
      <c r="F4" s="40"/>
      <c r="G4" s="39" t="s">
        <v>10486</v>
      </c>
      <c r="H4" s="40"/>
      <c r="I4" s="39" t="s">
        <v>10487</v>
      </c>
      <c r="J4" s="40"/>
      <c r="K4" s="39" t="s">
        <v>10488</v>
      </c>
      <c r="L4" s="40"/>
      <c r="M4" s="39" t="s">
        <v>10489</v>
      </c>
      <c r="N4" s="40"/>
      <c r="O4" s="42" t="s">
        <v>10490</v>
      </c>
      <c r="P4" s="84" t="s">
        <v>10521</v>
      </c>
      <c r="Q4" s="84" t="s">
        <v>10522</v>
      </c>
      <c r="R4" s="658" t="s">
        <v>10491</v>
      </c>
      <c r="S4" s="44"/>
      <c r="T4" s="44"/>
      <c r="U4" s="44"/>
      <c r="V4" s="40"/>
      <c r="W4" s="88" t="s">
        <v>10523</v>
      </c>
      <c r="X4" s="91"/>
      <c r="Y4" s="91"/>
      <c r="Z4" s="91"/>
      <c r="AA4" s="91"/>
      <c r="AB4" s="91"/>
    </row>
    <row r="5" ht="15.75" customHeight="1">
      <c r="A5" s="42" t="s">
        <v>8</v>
      </c>
      <c r="B5" s="42" t="s">
        <v>9</v>
      </c>
      <c r="C5" s="42" t="s">
        <v>10</v>
      </c>
      <c r="D5" s="42" t="s">
        <v>11</v>
      </c>
      <c r="E5" s="42" t="s">
        <v>12</v>
      </c>
      <c r="F5" s="42" t="s">
        <v>13</v>
      </c>
      <c r="G5" s="42" t="s">
        <v>14</v>
      </c>
      <c r="H5" s="42" t="s">
        <v>15</v>
      </c>
      <c r="I5" s="42" t="s">
        <v>16</v>
      </c>
      <c r="J5" s="42" t="s">
        <v>17</v>
      </c>
      <c r="K5" s="42" t="s">
        <v>18</v>
      </c>
      <c r="L5" s="42" t="s">
        <v>19</v>
      </c>
      <c r="M5" s="42" t="s">
        <v>20</v>
      </c>
      <c r="N5" s="42" t="s">
        <v>21</v>
      </c>
      <c r="O5" s="42" t="s">
        <v>10492</v>
      </c>
      <c r="P5" s="94"/>
      <c r="Q5" s="94"/>
      <c r="R5" s="45" t="s">
        <v>10492</v>
      </c>
      <c r="S5" s="45" t="s">
        <v>242</v>
      </c>
      <c r="T5" s="45" t="s">
        <v>243</v>
      </c>
      <c r="U5" s="45" t="s">
        <v>244</v>
      </c>
      <c r="V5" s="45" t="s">
        <v>256</v>
      </c>
      <c r="W5" s="93"/>
      <c r="X5" s="91"/>
      <c r="Y5" s="91"/>
      <c r="Z5" s="91"/>
      <c r="AA5" s="91"/>
      <c r="AB5" s="91"/>
    </row>
    <row r="6" ht="15.75" customHeight="1">
      <c r="A6" s="46" t="s">
        <v>22</v>
      </c>
      <c r="B6" s="47" t="s">
        <v>23</v>
      </c>
      <c r="C6" s="47"/>
      <c r="D6" s="47"/>
      <c r="E6" s="47"/>
      <c r="F6" s="47"/>
      <c r="G6" s="48"/>
      <c r="H6" s="49"/>
      <c r="I6" s="48"/>
      <c r="J6" s="48"/>
      <c r="K6" s="48"/>
      <c r="L6" s="48"/>
      <c r="M6" s="48"/>
      <c r="N6" s="49"/>
      <c r="O6" s="48"/>
      <c r="P6" s="96"/>
      <c r="Q6" s="96"/>
      <c r="R6" s="96"/>
      <c r="S6" s="96"/>
      <c r="T6" s="96"/>
      <c r="U6" s="96"/>
      <c r="V6" s="96"/>
      <c r="W6" s="96"/>
      <c r="X6" s="91"/>
      <c r="Y6" s="91"/>
      <c r="Z6" s="91"/>
      <c r="AA6" s="91"/>
      <c r="AB6" s="91"/>
    </row>
    <row r="7" ht="15.75" customHeight="1">
      <c r="A7" s="659" t="s">
        <v>12471</v>
      </c>
      <c r="B7" s="47"/>
      <c r="C7" s="47"/>
      <c r="D7" s="47"/>
      <c r="E7" s="47"/>
      <c r="F7" s="47"/>
      <c r="G7" s="48"/>
      <c r="H7" s="49"/>
      <c r="I7" s="48"/>
      <c r="J7" s="48"/>
      <c r="K7" s="48"/>
      <c r="L7" s="48"/>
      <c r="M7" s="48"/>
      <c r="N7" s="49"/>
      <c r="O7" s="48"/>
      <c r="P7" s="96"/>
      <c r="Q7" s="96"/>
      <c r="R7" s="96"/>
      <c r="S7" s="96"/>
      <c r="T7" s="96"/>
      <c r="U7" s="96"/>
      <c r="V7" s="96"/>
      <c r="W7" s="96"/>
      <c r="X7" s="91"/>
      <c r="Y7" s="91"/>
      <c r="Z7" s="91"/>
      <c r="AA7" s="91"/>
      <c r="AB7" s="91"/>
    </row>
    <row r="8" ht="15.75" customHeight="1">
      <c r="A8" s="659" t="s">
        <v>220</v>
      </c>
      <c r="B8" s="47"/>
      <c r="C8" s="47"/>
      <c r="D8" s="47"/>
      <c r="E8" s="47"/>
      <c r="F8" s="47"/>
      <c r="G8" s="48"/>
      <c r="H8" s="49"/>
      <c r="I8" s="48"/>
      <c r="J8" s="48"/>
      <c r="K8" s="48"/>
      <c r="L8" s="48"/>
      <c r="M8" s="48"/>
      <c r="N8" s="49"/>
      <c r="O8" s="48"/>
      <c r="P8" s="96"/>
      <c r="Q8" s="96"/>
      <c r="R8" s="96"/>
      <c r="S8" s="96"/>
      <c r="T8" s="96"/>
      <c r="U8" s="96"/>
      <c r="V8" s="96"/>
      <c r="W8" s="96"/>
      <c r="X8" s="91"/>
      <c r="Y8" s="91"/>
      <c r="Z8" s="91"/>
      <c r="AA8" s="91"/>
      <c r="AB8" s="91"/>
    </row>
    <row r="9" ht="15.75" customHeight="1">
      <c r="A9" s="659"/>
      <c r="B9" s="47"/>
      <c r="C9" s="47"/>
      <c r="D9" s="47"/>
      <c r="E9" s="47"/>
      <c r="F9" s="47"/>
      <c r="G9" s="48"/>
      <c r="H9" s="49"/>
      <c r="I9" s="48"/>
      <c r="J9" s="48"/>
      <c r="K9" s="48"/>
      <c r="L9" s="48"/>
      <c r="M9" s="48"/>
      <c r="N9" s="49"/>
      <c r="O9" s="48"/>
      <c r="P9" s="96"/>
      <c r="Q9" s="96"/>
      <c r="R9" s="96"/>
      <c r="S9" s="96"/>
      <c r="T9" s="96"/>
      <c r="U9" s="96"/>
      <c r="V9" s="96"/>
      <c r="W9" s="96"/>
      <c r="X9" s="91"/>
      <c r="Y9" s="91"/>
      <c r="Z9" s="91"/>
      <c r="AA9" s="91"/>
      <c r="AB9" s="91"/>
    </row>
    <row r="10" ht="15.75" customHeight="1">
      <c r="A10" s="659"/>
      <c r="B10" s="47"/>
      <c r="C10" s="47"/>
      <c r="D10" s="47"/>
      <c r="E10" s="47"/>
      <c r="F10" s="47"/>
      <c r="G10" s="48"/>
      <c r="H10" s="49"/>
      <c r="I10" s="48"/>
      <c r="J10" s="48"/>
      <c r="K10" s="48"/>
      <c r="L10" s="48"/>
      <c r="M10" s="48"/>
      <c r="N10" s="49"/>
      <c r="O10" s="48"/>
      <c r="P10" s="96"/>
      <c r="Q10" s="96"/>
      <c r="R10" s="96"/>
      <c r="S10" s="96"/>
      <c r="T10" s="96"/>
      <c r="U10" s="96"/>
      <c r="V10" s="96"/>
      <c r="W10" s="96"/>
      <c r="X10" s="91"/>
      <c r="Y10" s="91"/>
      <c r="Z10" s="91"/>
      <c r="AA10" s="91"/>
      <c r="AB10" s="91"/>
    </row>
    <row r="11" ht="15.75" customHeight="1">
      <c r="A11" s="659" t="s">
        <v>221</v>
      </c>
      <c r="B11" s="47"/>
      <c r="C11" s="47"/>
      <c r="D11" s="47"/>
      <c r="E11" s="47"/>
      <c r="F11" s="47"/>
      <c r="G11" s="48"/>
      <c r="H11" s="49"/>
      <c r="I11" s="48"/>
      <c r="J11" s="48"/>
      <c r="K11" s="48"/>
      <c r="L11" s="48"/>
      <c r="M11" s="48"/>
      <c r="N11" s="49"/>
      <c r="O11" s="48"/>
      <c r="P11" s="96"/>
      <c r="Q11" s="96"/>
      <c r="R11" s="96"/>
      <c r="S11" s="96"/>
      <c r="T11" s="96"/>
      <c r="U11" s="96"/>
      <c r="V11" s="96"/>
      <c r="W11" s="96"/>
      <c r="X11" s="91"/>
      <c r="Y11" s="91"/>
      <c r="Z11" s="91"/>
      <c r="AA11" s="91"/>
      <c r="AB11" s="91"/>
    </row>
    <row r="12" ht="15.75" customHeight="1">
      <c r="A12" s="233" t="s">
        <v>12472</v>
      </c>
      <c r="B12" s="47"/>
      <c r="C12" s="47"/>
      <c r="D12" s="47"/>
      <c r="E12" s="47"/>
      <c r="F12" s="47"/>
      <c r="G12" s="48"/>
      <c r="H12" s="49"/>
      <c r="I12" s="48"/>
      <c r="J12" s="48"/>
      <c r="K12" s="48"/>
      <c r="L12" s="48"/>
      <c r="M12" s="48"/>
      <c r="N12" s="49"/>
      <c r="O12" s="48"/>
      <c r="P12" s="96"/>
      <c r="Q12" s="96"/>
      <c r="R12" s="96"/>
      <c r="S12" s="96"/>
      <c r="T12" s="96"/>
      <c r="U12" s="96"/>
      <c r="V12" s="96"/>
      <c r="W12" s="96"/>
      <c r="X12" s="91"/>
      <c r="Y12" s="91"/>
      <c r="Z12" s="91"/>
      <c r="AA12" s="91"/>
      <c r="AB12" s="91"/>
    </row>
    <row r="13" ht="15.75" customHeight="1" outlineLevel="1">
      <c r="A13" s="178" t="s">
        <v>25</v>
      </c>
      <c r="B13" s="178" t="s">
        <v>26</v>
      </c>
      <c r="C13" s="64" t="s">
        <v>27</v>
      </c>
      <c r="D13" s="180"/>
      <c r="E13" s="64" t="s">
        <v>27</v>
      </c>
      <c r="F13" s="180"/>
      <c r="G13" s="64" t="s">
        <v>27</v>
      </c>
      <c r="H13" s="70"/>
      <c r="I13" s="64" t="s">
        <v>27</v>
      </c>
      <c r="J13" s="58"/>
      <c r="K13" s="64" t="s">
        <v>27</v>
      </c>
      <c r="L13" s="70"/>
      <c r="M13" s="64" t="s">
        <v>46</v>
      </c>
      <c r="N13" s="70" t="s">
        <v>10496</v>
      </c>
      <c r="O13" s="58" t="str">
        <f t="shared" ref="O13:O179" si="1">A13&amp;"."&amp;C13&amp;"."&amp;E13&amp;"."&amp;G13&amp;"."&amp;I13&amp;"."&amp;K13&amp;"."&amp;M13</f>
        <v>L01.00.00.00.00.00.07</v>
      </c>
      <c r="P13" s="185" t="s">
        <v>453</v>
      </c>
      <c r="Q13" s="186" t="s">
        <v>12473</v>
      </c>
      <c r="R13" s="185"/>
      <c r="S13" s="186"/>
      <c r="T13" s="186"/>
      <c r="U13" s="189"/>
      <c r="V13" s="189"/>
      <c r="W13" s="189"/>
      <c r="X13" s="193"/>
      <c r="Y13" s="193"/>
      <c r="Z13" s="193"/>
      <c r="AA13" s="193"/>
      <c r="AB13" s="193"/>
    </row>
    <row r="14" ht="15.75" customHeight="1" outlineLevel="1">
      <c r="A14" s="180" t="s">
        <v>25</v>
      </c>
      <c r="B14" s="180" t="s">
        <v>26</v>
      </c>
      <c r="C14" s="64" t="s">
        <v>27</v>
      </c>
      <c r="D14" s="64" t="s">
        <v>4</v>
      </c>
      <c r="E14" s="71" t="s">
        <v>27</v>
      </c>
      <c r="F14" s="64" t="s">
        <v>4</v>
      </c>
      <c r="G14" s="64" t="s">
        <v>29</v>
      </c>
      <c r="H14" s="70" t="s">
        <v>31</v>
      </c>
      <c r="I14" s="255" t="s">
        <v>27</v>
      </c>
      <c r="J14" s="58"/>
      <c r="K14" s="64" t="s">
        <v>27</v>
      </c>
      <c r="L14" s="660" t="s">
        <v>4</v>
      </c>
      <c r="M14" s="64" t="s">
        <v>46</v>
      </c>
      <c r="N14" s="70" t="s">
        <v>10496</v>
      </c>
      <c r="O14" s="58" t="str">
        <f t="shared" si="1"/>
        <v>L01.00.00.01.00.00.07</v>
      </c>
      <c r="P14" s="185" t="str">
        <f>H14</f>
        <v>Văn phòng sản xuất</v>
      </c>
      <c r="Q14" s="186" t="s">
        <v>12474</v>
      </c>
      <c r="R14" s="185" t="s">
        <v>10537</v>
      </c>
      <c r="S14" s="186" t="s">
        <v>2717</v>
      </c>
      <c r="T14" s="186" t="s">
        <v>10538</v>
      </c>
      <c r="U14" s="189"/>
      <c r="V14" s="189"/>
      <c r="W14" s="189"/>
      <c r="X14" s="193"/>
      <c r="Y14" s="193"/>
      <c r="Z14" s="193"/>
      <c r="AA14" s="193"/>
      <c r="AB14" s="193"/>
    </row>
    <row r="15" ht="15.75" customHeight="1" outlineLevel="1">
      <c r="A15" s="51" t="s">
        <v>25</v>
      </c>
      <c r="B15" s="51" t="s">
        <v>26</v>
      </c>
      <c r="C15" s="52" t="s">
        <v>27</v>
      </c>
      <c r="D15" s="52" t="s">
        <v>4</v>
      </c>
      <c r="E15" s="53" t="s">
        <v>27</v>
      </c>
      <c r="F15" s="52" t="s">
        <v>4</v>
      </c>
      <c r="G15" s="52" t="s">
        <v>29</v>
      </c>
      <c r="H15" s="54" t="s">
        <v>31</v>
      </c>
      <c r="I15" s="52" t="s">
        <v>29</v>
      </c>
      <c r="J15" s="55" t="s">
        <v>32</v>
      </c>
      <c r="K15" s="52" t="s">
        <v>27</v>
      </c>
      <c r="L15" s="56" t="s">
        <v>4</v>
      </c>
      <c r="M15" s="52" t="s">
        <v>46</v>
      </c>
      <c r="N15" s="54" t="s">
        <v>10496</v>
      </c>
      <c r="O15" s="55" t="str">
        <f t="shared" si="1"/>
        <v>L01.00.00.01.01.00.07</v>
      </c>
      <c r="P15" s="169" t="str">
        <f>J15</f>
        <v>Ban Giám đốc Văn phòng</v>
      </c>
      <c r="Q15" s="169" t="s">
        <v>12474</v>
      </c>
      <c r="R15" s="169" t="s">
        <v>6789</v>
      </c>
      <c r="S15" s="169" t="s">
        <v>2717</v>
      </c>
      <c r="T15" s="169" t="s">
        <v>10538</v>
      </c>
      <c r="U15" s="96"/>
      <c r="V15" s="96"/>
      <c r="W15" s="96"/>
      <c r="X15" s="91"/>
      <c r="Y15" s="91"/>
      <c r="Z15" s="91"/>
      <c r="AA15" s="91"/>
      <c r="AB15" s="91"/>
    </row>
    <row r="16" ht="15.75" customHeight="1" outlineLevel="1">
      <c r="A16" s="51" t="s">
        <v>25</v>
      </c>
      <c r="B16" s="51" t="s">
        <v>26</v>
      </c>
      <c r="C16" s="52" t="s">
        <v>27</v>
      </c>
      <c r="D16" s="52" t="s">
        <v>4</v>
      </c>
      <c r="E16" s="53" t="s">
        <v>27</v>
      </c>
      <c r="F16" s="52" t="s">
        <v>4</v>
      </c>
      <c r="G16" s="52" t="s">
        <v>29</v>
      </c>
      <c r="H16" s="54" t="s">
        <v>31</v>
      </c>
      <c r="I16" s="52" t="s">
        <v>33</v>
      </c>
      <c r="J16" s="55" t="s">
        <v>34</v>
      </c>
      <c r="K16" s="52" t="s">
        <v>27</v>
      </c>
      <c r="L16" s="56" t="s">
        <v>4</v>
      </c>
      <c r="M16" s="52" t="s">
        <v>46</v>
      </c>
      <c r="N16" s="54" t="s">
        <v>10496</v>
      </c>
      <c r="O16" s="55" t="str">
        <f t="shared" si="1"/>
        <v>L01.00.00.01.02.00.07</v>
      </c>
      <c r="P16" s="169" t="str">
        <f t="shared" ref="P16:P121" si="2">if(L16&lt;&gt;"-",L16,if(AND(L16="-",J16&lt;&gt;"-"),J16,if(AND(J16="-",H16&lt;&gt;"-"),H16,"NA")))</f>
        <v>Phòng HCTH</v>
      </c>
      <c r="Q16" s="186" t="s">
        <v>12474</v>
      </c>
      <c r="R16" s="169" t="s">
        <v>5165</v>
      </c>
      <c r="S16" s="169" t="s">
        <v>2717</v>
      </c>
      <c r="T16" s="169" t="s">
        <v>10541</v>
      </c>
      <c r="U16" s="96"/>
      <c r="V16" s="96"/>
      <c r="W16" s="96"/>
      <c r="X16" s="91"/>
      <c r="Y16" s="91"/>
      <c r="Z16" s="91"/>
      <c r="AA16" s="91"/>
      <c r="AB16" s="91"/>
    </row>
    <row r="17" ht="15.75" customHeight="1" outlineLevel="1">
      <c r="A17" s="51" t="s">
        <v>25</v>
      </c>
      <c r="B17" s="51" t="s">
        <v>26</v>
      </c>
      <c r="C17" s="51" t="s">
        <v>27</v>
      </c>
      <c r="D17" s="52" t="s">
        <v>4</v>
      </c>
      <c r="E17" s="53" t="s">
        <v>27</v>
      </c>
      <c r="F17" s="52" t="s">
        <v>4</v>
      </c>
      <c r="G17" s="52" t="s">
        <v>29</v>
      </c>
      <c r="H17" s="54" t="s">
        <v>31</v>
      </c>
      <c r="I17" s="52" t="s">
        <v>35</v>
      </c>
      <c r="J17" s="55" t="s">
        <v>36</v>
      </c>
      <c r="K17" s="52" t="s">
        <v>27</v>
      </c>
      <c r="L17" s="56" t="s">
        <v>4</v>
      </c>
      <c r="M17" s="52" t="s">
        <v>46</v>
      </c>
      <c r="N17" s="54" t="s">
        <v>10496</v>
      </c>
      <c r="O17" s="55" t="str">
        <f t="shared" si="1"/>
        <v>L01.00.00.01.03.00.07</v>
      </c>
      <c r="P17" s="169" t="str">
        <f t="shared" si="2"/>
        <v>Phòng Quan hệ cộng đồng</v>
      </c>
      <c r="Q17" s="186" t="s">
        <v>12474</v>
      </c>
      <c r="R17" s="169" t="s">
        <v>6126</v>
      </c>
      <c r="S17" s="169" t="s">
        <v>2717</v>
      </c>
      <c r="T17" s="169" t="s">
        <v>10543</v>
      </c>
      <c r="U17" s="96"/>
      <c r="V17" s="96"/>
      <c r="W17" s="96"/>
      <c r="X17" s="91"/>
      <c r="Y17" s="91"/>
      <c r="Z17" s="91"/>
      <c r="AA17" s="91"/>
      <c r="AB17" s="91"/>
    </row>
    <row r="18" ht="15.75" customHeight="1" outlineLevel="1">
      <c r="A18" s="51" t="s">
        <v>25</v>
      </c>
      <c r="B18" s="51" t="s">
        <v>26</v>
      </c>
      <c r="C18" s="51" t="s">
        <v>27</v>
      </c>
      <c r="D18" s="52" t="s">
        <v>4</v>
      </c>
      <c r="E18" s="53" t="s">
        <v>27</v>
      </c>
      <c r="F18" s="52" t="s">
        <v>4</v>
      </c>
      <c r="G18" s="52" t="s">
        <v>29</v>
      </c>
      <c r="H18" s="54" t="s">
        <v>31</v>
      </c>
      <c r="I18" s="52" t="s">
        <v>37</v>
      </c>
      <c r="J18" s="55" t="s">
        <v>38</v>
      </c>
      <c r="K18" s="52" t="s">
        <v>27</v>
      </c>
      <c r="L18" s="56" t="s">
        <v>4</v>
      </c>
      <c r="M18" s="52" t="s">
        <v>46</v>
      </c>
      <c r="N18" s="54" t="s">
        <v>10496</v>
      </c>
      <c r="O18" s="55" t="str">
        <f t="shared" si="1"/>
        <v>L01.00.00.01.04.00.07</v>
      </c>
      <c r="P18" s="169" t="str">
        <f t="shared" si="2"/>
        <v>Phòng Quản trị nguồn nhân lực</v>
      </c>
      <c r="Q18" s="186" t="s">
        <v>12474</v>
      </c>
      <c r="R18" s="169" t="s">
        <v>2718</v>
      </c>
      <c r="S18" s="169" t="s">
        <v>2717</v>
      </c>
      <c r="T18" s="169" t="s">
        <v>10545</v>
      </c>
      <c r="U18" s="96"/>
      <c r="V18" s="96"/>
      <c r="W18" s="96"/>
      <c r="X18" s="91"/>
      <c r="Y18" s="91"/>
      <c r="Z18" s="91"/>
      <c r="AA18" s="91"/>
      <c r="AB18" s="91"/>
    </row>
    <row r="19" ht="15.75" customHeight="1" outlineLevel="1">
      <c r="A19" s="51" t="s">
        <v>25</v>
      </c>
      <c r="B19" s="51" t="s">
        <v>26</v>
      </c>
      <c r="C19" s="51" t="s">
        <v>27</v>
      </c>
      <c r="D19" s="52" t="s">
        <v>4</v>
      </c>
      <c r="E19" s="53" t="s">
        <v>27</v>
      </c>
      <c r="F19" s="52" t="s">
        <v>4</v>
      </c>
      <c r="G19" s="52" t="s">
        <v>33</v>
      </c>
      <c r="H19" s="54" t="s">
        <v>39</v>
      </c>
      <c r="I19" s="52" t="s">
        <v>27</v>
      </c>
      <c r="J19" s="52" t="s">
        <v>4</v>
      </c>
      <c r="K19" s="52" t="s">
        <v>27</v>
      </c>
      <c r="L19" s="56" t="s">
        <v>4</v>
      </c>
      <c r="M19" s="52" t="s">
        <v>46</v>
      </c>
      <c r="N19" s="54" t="s">
        <v>10496</v>
      </c>
      <c r="O19" s="55" t="str">
        <f t="shared" si="1"/>
        <v>L01.00.00.02.00.00.07</v>
      </c>
      <c r="P19" s="169" t="str">
        <f t="shared" si="2"/>
        <v>Phòng Đảm bảo chất lượng</v>
      </c>
      <c r="Q19" s="227" t="s">
        <v>12473</v>
      </c>
      <c r="R19" s="96" t="s">
        <v>4881</v>
      </c>
      <c r="S19" s="96" t="s">
        <v>453</v>
      </c>
      <c r="T19" s="96" t="s">
        <v>39</v>
      </c>
      <c r="U19" s="96"/>
      <c r="V19" s="96"/>
      <c r="W19" s="96"/>
      <c r="X19" s="91"/>
      <c r="Y19" s="91"/>
      <c r="Z19" s="91"/>
      <c r="AA19" s="91"/>
      <c r="AB19" s="91"/>
    </row>
    <row r="20" ht="15.75" customHeight="1" outlineLevel="1">
      <c r="A20" s="51" t="s">
        <v>25</v>
      </c>
      <c r="B20" s="51" t="s">
        <v>26</v>
      </c>
      <c r="C20" s="51" t="s">
        <v>27</v>
      </c>
      <c r="D20" s="52" t="s">
        <v>4</v>
      </c>
      <c r="E20" s="53" t="s">
        <v>27</v>
      </c>
      <c r="F20" s="52" t="s">
        <v>4</v>
      </c>
      <c r="G20" s="52" t="s">
        <v>35</v>
      </c>
      <c r="H20" s="54" t="s">
        <v>40</v>
      </c>
      <c r="I20" s="52" t="s">
        <v>27</v>
      </c>
      <c r="J20" s="52" t="s">
        <v>4</v>
      </c>
      <c r="K20" s="52" t="s">
        <v>27</v>
      </c>
      <c r="L20" s="56" t="s">
        <v>4</v>
      </c>
      <c r="M20" s="52" t="s">
        <v>46</v>
      </c>
      <c r="N20" s="54" t="s">
        <v>10496</v>
      </c>
      <c r="O20" s="55" t="str">
        <f t="shared" si="1"/>
        <v>L01.00.00.03.00.00.07</v>
      </c>
      <c r="P20" s="169" t="str">
        <f t="shared" si="2"/>
        <v>Phòng Quản trị hệ thống</v>
      </c>
      <c r="Q20" s="227" t="s">
        <v>12473</v>
      </c>
      <c r="R20" s="96" t="s">
        <v>4969</v>
      </c>
      <c r="S20" s="96" t="s">
        <v>453</v>
      </c>
      <c r="T20" s="96" t="s">
        <v>40</v>
      </c>
      <c r="U20" s="96"/>
      <c r="V20" s="96"/>
      <c r="W20" s="96"/>
      <c r="X20" s="91"/>
      <c r="Y20" s="91"/>
      <c r="Z20" s="91"/>
      <c r="AA20" s="91"/>
      <c r="AB20" s="91"/>
    </row>
    <row r="21" ht="15.75" customHeight="1" outlineLevel="1">
      <c r="A21" s="51" t="s">
        <v>25</v>
      </c>
      <c r="B21" s="51" t="s">
        <v>26</v>
      </c>
      <c r="C21" s="51" t="s">
        <v>27</v>
      </c>
      <c r="D21" s="52" t="s">
        <v>4</v>
      </c>
      <c r="E21" s="53" t="s">
        <v>27</v>
      </c>
      <c r="F21" s="52" t="s">
        <v>4</v>
      </c>
      <c r="G21" s="52" t="s">
        <v>37</v>
      </c>
      <c r="H21" s="54" t="s">
        <v>41</v>
      </c>
      <c r="I21" s="52" t="s">
        <v>27</v>
      </c>
      <c r="J21" s="52" t="s">
        <v>4</v>
      </c>
      <c r="K21" s="52" t="s">
        <v>27</v>
      </c>
      <c r="L21" s="56" t="s">
        <v>4</v>
      </c>
      <c r="M21" s="52" t="s">
        <v>46</v>
      </c>
      <c r="N21" s="54" t="s">
        <v>10496</v>
      </c>
      <c r="O21" s="55" t="str">
        <f t="shared" si="1"/>
        <v>L01.00.00.04.00.00.07</v>
      </c>
      <c r="P21" s="169" t="str">
        <f t="shared" si="2"/>
        <v>Phòng Hỗ trợ kỹ thuật</v>
      </c>
      <c r="Q21" s="169" t="s">
        <v>12473</v>
      </c>
      <c r="R21" s="169" t="s">
        <v>623</v>
      </c>
      <c r="S21" s="169" t="s">
        <v>453</v>
      </c>
      <c r="T21" s="169" t="s">
        <v>10549</v>
      </c>
      <c r="U21" s="96"/>
      <c r="V21" s="96"/>
      <c r="W21" s="96"/>
      <c r="X21" s="91"/>
      <c r="Y21" s="91"/>
      <c r="Z21" s="91"/>
      <c r="AA21" s="91"/>
      <c r="AB21" s="91"/>
    </row>
    <row r="22" ht="15.75" customHeight="1" outlineLevel="1">
      <c r="A22" s="51" t="s">
        <v>25</v>
      </c>
      <c r="B22" s="51" t="s">
        <v>26</v>
      </c>
      <c r="C22" s="51" t="s">
        <v>27</v>
      </c>
      <c r="D22" s="52" t="s">
        <v>4</v>
      </c>
      <c r="E22" s="53" t="s">
        <v>27</v>
      </c>
      <c r="F22" s="52" t="s">
        <v>4</v>
      </c>
      <c r="G22" s="52" t="s">
        <v>42</v>
      </c>
      <c r="H22" s="54" t="s">
        <v>43</v>
      </c>
      <c r="I22" s="52" t="s">
        <v>27</v>
      </c>
      <c r="J22" s="52" t="s">
        <v>4</v>
      </c>
      <c r="K22" s="52" t="s">
        <v>27</v>
      </c>
      <c r="L22" s="56" t="s">
        <v>4</v>
      </c>
      <c r="M22" s="52" t="s">
        <v>46</v>
      </c>
      <c r="N22" s="54" t="s">
        <v>10496</v>
      </c>
      <c r="O22" s="55" t="str">
        <f t="shared" si="1"/>
        <v>L01.00.00.05.00.00.07</v>
      </c>
      <c r="P22" s="169" t="str">
        <f t="shared" si="2"/>
        <v>Ban Phát triển đối tác</v>
      </c>
      <c r="Q22" s="169" t="s">
        <v>12473</v>
      </c>
      <c r="R22" s="169" t="s">
        <v>6164</v>
      </c>
      <c r="S22" s="169" t="s">
        <v>453</v>
      </c>
      <c r="T22" s="169" t="s">
        <v>10551</v>
      </c>
      <c r="U22" s="96"/>
      <c r="V22" s="96"/>
      <c r="W22" s="96"/>
      <c r="X22" s="91"/>
      <c r="Y22" s="91"/>
      <c r="Z22" s="91"/>
      <c r="AA22" s="91"/>
      <c r="AB22" s="91"/>
    </row>
    <row r="23" ht="15.75" customHeight="1" outlineLevel="1">
      <c r="A23" s="51" t="s">
        <v>25</v>
      </c>
      <c r="B23" s="51" t="s">
        <v>26</v>
      </c>
      <c r="C23" s="51" t="s">
        <v>27</v>
      </c>
      <c r="D23" s="52" t="s">
        <v>4</v>
      </c>
      <c r="E23" s="53" t="s">
        <v>27</v>
      </c>
      <c r="F23" s="52" t="s">
        <v>4</v>
      </c>
      <c r="G23" s="52" t="s">
        <v>44</v>
      </c>
      <c r="H23" s="54" t="s">
        <v>45</v>
      </c>
      <c r="I23" s="52" t="s">
        <v>27</v>
      </c>
      <c r="J23" s="52" t="s">
        <v>4</v>
      </c>
      <c r="K23" s="52" t="s">
        <v>27</v>
      </c>
      <c r="L23" s="56" t="s">
        <v>4</v>
      </c>
      <c r="M23" s="52" t="s">
        <v>46</v>
      </c>
      <c r="N23" s="54" t="s">
        <v>10496</v>
      </c>
      <c r="O23" s="55" t="str">
        <f t="shared" si="1"/>
        <v>L01.00.00.06.00.00.07</v>
      </c>
      <c r="P23" s="169" t="str">
        <f t="shared" si="2"/>
        <v>Ban Nghiên cứu Thị trường &amp; Sản phẩm</v>
      </c>
      <c r="Q23" s="227" t="s">
        <v>12473</v>
      </c>
      <c r="R23" s="96" t="s">
        <v>2842</v>
      </c>
      <c r="S23" s="96" t="s">
        <v>453</v>
      </c>
      <c r="T23" s="96" t="s">
        <v>2841</v>
      </c>
      <c r="U23" s="96"/>
      <c r="V23" s="96"/>
      <c r="W23" s="96"/>
      <c r="X23" s="91"/>
      <c r="Y23" s="91"/>
      <c r="Z23" s="91"/>
      <c r="AA23" s="91"/>
      <c r="AB23" s="91"/>
    </row>
    <row r="24" ht="15.75" customHeight="1" outlineLevel="1">
      <c r="A24" s="51" t="s">
        <v>25</v>
      </c>
      <c r="B24" s="57" t="s">
        <v>26</v>
      </c>
      <c r="C24" s="51" t="s">
        <v>27</v>
      </c>
      <c r="D24" s="52" t="s">
        <v>4</v>
      </c>
      <c r="E24" s="53" t="s">
        <v>27</v>
      </c>
      <c r="F24" s="52" t="s">
        <v>4</v>
      </c>
      <c r="G24" s="52" t="s">
        <v>46</v>
      </c>
      <c r="H24" s="661" t="s">
        <v>47</v>
      </c>
      <c r="I24" s="250" t="s">
        <v>27</v>
      </c>
      <c r="J24" s="52" t="s">
        <v>4</v>
      </c>
      <c r="K24" s="52" t="s">
        <v>27</v>
      </c>
      <c r="L24" s="56" t="s">
        <v>4</v>
      </c>
      <c r="M24" s="52" t="s">
        <v>46</v>
      </c>
      <c r="N24" s="54" t="s">
        <v>10496</v>
      </c>
      <c r="O24" s="55" t="str">
        <f t="shared" si="1"/>
        <v>L01.00.00.07.00.00.07</v>
      </c>
      <c r="P24" s="169" t="str">
        <f t="shared" si="2"/>
        <v>Ban Công nghệ thông tin</v>
      </c>
      <c r="Q24" s="227" t="s">
        <v>12473</v>
      </c>
      <c r="R24" s="97" t="s">
        <v>10554</v>
      </c>
      <c r="S24" s="96" t="s">
        <v>453</v>
      </c>
      <c r="T24" s="96" t="s">
        <v>47</v>
      </c>
      <c r="U24" s="96"/>
      <c r="V24" s="96"/>
      <c r="W24" s="96"/>
      <c r="X24" s="91"/>
      <c r="Y24" s="91"/>
      <c r="Z24" s="91"/>
      <c r="AA24" s="91"/>
      <c r="AB24" s="91"/>
    </row>
    <row r="25" ht="15.75" customHeight="1" outlineLevel="1">
      <c r="A25" s="51" t="s">
        <v>25</v>
      </c>
      <c r="B25" s="57" t="s">
        <v>26</v>
      </c>
      <c r="C25" s="51" t="s">
        <v>27</v>
      </c>
      <c r="D25" s="52" t="s">
        <v>4</v>
      </c>
      <c r="E25" s="53" t="s">
        <v>27</v>
      </c>
      <c r="F25" s="52" t="s">
        <v>4</v>
      </c>
      <c r="G25" s="52" t="s">
        <v>46</v>
      </c>
      <c r="H25" s="54" t="s">
        <v>47</v>
      </c>
      <c r="I25" s="52" t="s">
        <v>29</v>
      </c>
      <c r="J25" s="55" t="s">
        <v>48</v>
      </c>
      <c r="K25" s="52" t="s">
        <v>27</v>
      </c>
      <c r="L25" s="56" t="s">
        <v>4</v>
      </c>
      <c r="M25" s="52" t="s">
        <v>46</v>
      </c>
      <c r="N25" s="54" t="s">
        <v>10496</v>
      </c>
      <c r="O25" s="55" t="str">
        <f t="shared" si="1"/>
        <v>L01.00.00.07.01.00.07</v>
      </c>
      <c r="P25" s="169" t="str">
        <f t="shared" si="2"/>
        <v>Ban giám đốc - Ban CNTT</v>
      </c>
      <c r="Q25" s="227" t="s">
        <v>12475</v>
      </c>
      <c r="R25" s="96" t="s">
        <v>6309</v>
      </c>
      <c r="S25" s="96" t="s">
        <v>453</v>
      </c>
      <c r="T25" s="96" t="s">
        <v>47</v>
      </c>
      <c r="U25" s="96" t="s">
        <v>6308</v>
      </c>
      <c r="V25" s="96"/>
      <c r="W25" s="96"/>
      <c r="X25" s="91"/>
      <c r="Y25" s="91"/>
      <c r="Z25" s="91"/>
      <c r="AA25" s="91"/>
      <c r="AB25" s="91"/>
    </row>
    <row r="26" ht="15.75" customHeight="1" outlineLevel="1">
      <c r="A26" s="51" t="s">
        <v>25</v>
      </c>
      <c r="B26" s="57" t="s">
        <v>26</v>
      </c>
      <c r="C26" s="51" t="s">
        <v>27</v>
      </c>
      <c r="D26" s="52" t="s">
        <v>4</v>
      </c>
      <c r="E26" s="53" t="s">
        <v>27</v>
      </c>
      <c r="F26" s="52" t="s">
        <v>4</v>
      </c>
      <c r="G26" s="52" t="s">
        <v>46</v>
      </c>
      <c r="H26" s="54" t="s">
        <v>47</v>
      </c>
      <c r="I26" s="52" t="s">
        <v>33</v>
      </c>
      <c r="J26" s="662" t="s">
        <v>3397</v>
      </c>
      <c r="K26" s="250" t="s">
        <v>27</v>
      </c>
      <c r="L26" s="56" t="s">
        <v>4</v>
      </c>
      <c r="M26" s="52" t="s">
        <v>46</v>
      </c>
      <c r="N26" s="54" t="s">
        <v>10496</v>
      </c>
      <c r="O26" s="55" t="str">
        <f t="shared" si="1"/>
        <v>L01.00.00.07.02.00.07</v>
      </c>
      <c r="P26" s="169" t="str">
        <f t="shared" si="2"/>
        <v>Sản phẩm Automation Support</v>
      </c>
      <c r="Q26" s="227" t="s">
        <v>12475</v>
      </c>
      <c r="R26" s="97" t="s">
        <v>10558</v>
      </c>
      <c r="S26" s="96" t="s">
        <v>453</v>
      </c>
      <c r="T26" s="96" t="s">
        <v>47</v>
      </c>
      <c r="U26" s="96" t="s">
        <v>3397</v>
      </c>
      <c r="V26" s="96"/>
      <c r="W26" s="96"/>
      <c r="X26" s="91"/>
      <c r="Y26" s="91"/>
      <c r="Z26" s="91"/>
      <c r="AA26" s="91"/>
      <c r="AB26" s="91"/>
    </row>
    <row r="27" ht="15.75" customHeight="1" outlineLevel="1">
      <c r="A27" s="51" t="s">
        <v>25</v>
      </c>
      <c r="B27" s="57" t="s">
        <v>26</v>
      </c>
      <c r="C27" s="51" t="s">
        <v>27</v>
      </c>
      <c r="D27" s="52" t="s">
        <v>4</v>
      </c>
      <c r="E27" s="53" t="s">
        <v>27</v>
      </c>
      <c r="F27" s="52" t="s">
        <v>4</v>
      </c>
      <c r="G27" s="52" t="s">
        <v>46</v>
      </c>
      <c r="H27" s="54" t="s">
        <v>47</v>
      </c>
      <c r="I27" s="52" t="s">
        <v>33</v>
      </c>
      <c r="J27" s="96" t="s">
        <v>3397</v>
      </c>
      <c r="K27" s="250" t="s">
        <v>29</v>
      </c>
      <c r="L27" s="96" t="s">
        <v>5136</v>
      </c>
      <c r="M27" s="52" t="s">
        <v>46</v>
      </c>
      <c r="N27" s="54" t="s">
        <v>10496</v>
      </c>
      <c r="O27" s="55" t="str">
        <f t="shared" si="1"/>
        <v>L01.00.00.07.02.01.07</v>
      </c>
      <c r="P27" s="169" t="str">
        <f t="shared" si="2"/>
        <v>Dự án MISA Order</v>
      </c>
      <c r="Q27" s="227" t="s">
        <v>12476</v>
      </c>
      <c r="R27" s="96" t="s">
        <v>5137</v>
      </c>
      <c r="S27" s="96" t="s">
        <v>453</v>
      </c>
      <c r="T27" s="96" t="s">
        <v>47</v>
      </c>
      <c r="U27" s="96" t="s">
        <v>3397</v>
      </c>
      <c r="V27" s="96" t="s">
        <v>5136</v>
      </c>
      <c r="W27" s="96"/>
      <c r="X27" s="91"/>
      <c r="Y27" s="91"/>
      <c r="Z27" s="91"/>
      <c r="AA27" s="91"/>
      <c r="AB27" s="91"/>
    </row>
    <row r="28" ht="15.75" customHeight="1" outlineLevel="1">
      <c r="A28" s="51" t="s">
        <v>25</v>
      </c>
      <c r="B28" s="57" t="s">
        <v>26</v>
      </c>
      <c r="C28" s="51" t="s">
        <v>27</v>
      </c>
      <c r="D28" s="52" t="s">
        <v>4</v>
      </c>
      <c r="E28" s="53" t="s">
        <v>27</v>
      </c>
      <c r="F28" s="52" t="s">
        <v>4</v>
      </c>
      <c r="G28" s="52" t="s">
        <v>46</v>
      </c>
      <c r="H28" s="54" t="s">
        <v>47</v>
      </c>
      <c r="I28" s="52" t="s">
        <v>33</v>
      </c>
      <c r="J28" s="96" t="s">
        <v>3397</v>
      </c>
      <c r="K28" s="170" t="s">
        <v>33</v>
      </c>
      <c r="L28" s="96" t="s">
        <v>4869</v>
      </c>
      <c r="M28" s="52" t="s">
        <v>46</v>
      </c>
      <c r="N28" s="54" t="s">
        <v>10496</v>
      </c>
      <c r="O28" s="55" t="str">
        <f t="shared" si="1"/>
        <v>L01.00.00.07.02.02.07</v>
      </c>
      <c r="P28" s="169" t="str">
        <f t="shared" si="2"/>
        <v>Dự án MISA SUMAN</v>
      </c>
      <c r="Q28" s="227" t="s">
        <v>12476</v>
      </c>
      <c r="R28" s="96" t="s">
        <v>4870</v>
      </c>
      <c r="S28" s="96" t="s">
        <v>453</v>
      </c>
      <c r="T28" s="96" t="s">
        <v>47</v>
      </c>
      <c r="U28" s="96" t="s">
        <v>3397</v>
      </c>
      <c r="V28" s="96" t="s">
        <v>4869</v>
      </c>
      <c r="W28" s="96"/>
      <c r="X28" s="91"/>
      <c r="Y28" s="91"/>
      <c r="Z28" s="91"/>
      <c r="AA28" s="91"/>
      <c r="AB28" s="91"/>
    </row>
    <row r="29" ht="15.75" customHeight="1" outlineLevel="1">
      <c r="A29" s="51" t="s">
        <v>25</v>
      </c>
      <c r="B29" s="57" t="s">
        <v>26</v>
      </c>
      <c r="C29" s="51" t="s">
        <v>27</v>
      </c>
      <c r="D29" s="52" t="s">
        <v>4</v>
      </c>
      <c r="E29" s="53" t="s">
        <v>27</v>
      </c>
      <c r="F29" s="52" t="s">
        <v>4</v>
      </c>
      <c r="G29" s="52" t="s">
        <v>46</v>
      </c>
      <c r="H29" s="54" t="s">
        <v>47</v>
      </c>
      <c r="I29" s="52" t="s">
        <v>33</v>
      </c>
      <c r="J29" s="96" t="s">
        <v>3397</v>
      </c>
      <c r="K29" s="170" t="s">
        <v>35</v>
      </c>
      <c r="L29" s="96" t="s">
        <v>3396</v>
      </c>
      <c r="M29" s="52" t="s">
        <v>46</v>
      </c>
      <c r="N29" s="54" t="s">
        <v>10496</v>
      </c>
      <c r="O29" s="55" t="str">
        <f t="shared" si="1"/>
        <v>L01.00.00.07.02.03.07</v>
      </c>
      <c r="P29" s="169" t="str">
        <f t="shared" si="2"/>
        <v>[Automation Support] Nhóm Phân tích và Thiết kế</v>
      </c>
      <c r="Q29" s="227" t="s">
        <v>12476</v>
      </c>
      <c r="R29" s="96" t="s">
        <v>3398</v>
      </c>
      <c r="S29" s="96" t="s">
        <v>453</v>
      </c>
      <c r="T29" s="96" t="s">
        <v>47</v>
      </c>
      <c r="U29" s="96" t="s">
        <v>3397</v>
      </c>
      <c r="V29" s="96" t="s">
        <v>3396</v>
      </c>
      <c r="W29" s="96"/>
      <c r="X29" s="91"/>
      <c r="Y29" s="91"/>
      <c r="Z29" s="91"/>
      <c r="AA29" s="91"/>
      <c r="AB29" s="91"/>
    </row>
    <row r="30" ht="15.75" customHeight="1" outlineLevel="1">
      <c r="A30" s="51" t="s">
        <v>25</v>
      </c>
      <c r="B30" s="57" t="s">
        <v>26</v>
      </c>
      <c r="C30" s="51" t="s">
        <v>27</v>
      </c>
      <c r="D30" s="52" t="s">
        <v>4</v>
      </c>
      <c r="E30" s="53" t="s">
        <v>27</v>
      </c>
      <c r="F30" s="52" t="s">
        <v>4</v>
      </c>
      <c r="G30" s="52" t="s">
        <v>46</v>
      </c>
      <c r="H30" s="54" t="s">
        <v>47</v>
      </c>
      <c r="I30" s="52" t="s">
        <v>33</v>
      </c>
      <c r="J30" s="96" t="s">
        <v>3397</v>
      </c>
      <c r="K30" s="170" t="s">
        <v>37</v>
      </c>
      <c r="L30" s="96" t="s">
        <v>3619</v>
      </c>
      <c r="M30" s="52" t="s">
        <v>46</v>
      </c>
      <c r="N30" s="54" t="s">
        <v>10496</v>
      </c>
      <c r="O30" s="55" t="str">
        <f t="shared" si="1"/>
        <v>L01.00.00.07.02.04.07</v>
      </c>
      <c r="P30" s="169" t="str">
        <f t="shared" si="2"/>
        <v>Dự án MISA Automation Support</v>
      </c>
      <c r="Q30" s="227" t="s">
        <v>12476</v>
      </c>
      <c r="R30" s="96" t="s">
        <v>3620</v>
      </c>
      <c r="S30" s="96" t="s">
        <v>453</v>
      </c>
      <c r="T30" s="96" t="s">
        <v>47</v>
      </c>
      <c r="U30" s="96" t="s">
        <v>3397</v>
      </c>
      <c r="V30" s="96" t="s">
        <v>3619</v>
      </c>
      <c r="W30" s="96"/>
      <c r="X30" s="91"/>
      <c r="Y30" s="91"/>
      <c r="Z30" s="91"/>
      <c r="AA30" s="91"/>
      <c r="AB30" s="91"/>
    </row>
    <row r="31" ht="15.75" customHeight="1" outlineLevel="1">
      <c r="A31" s="51" t="s">
        <v>25</v>
      </c>
      <c r="B31" s="57" t="s">
        <v>26</v>
      </c>
      <c r="C31" s="51" t="s">
        <v>27</v>
      </c>
      <c r="D31" s="52" t="s">
        <v>4</v>
      </c>
      <c r="E31" s="53" t="s">
        <v>27</v>
      </c>
      <c r="F31" s="52" t="s">
        <v>4</v>
      </c>
      <c r="G31" s="52" t="s">
        <v>46</v>
      </c>
      <c r="H31" s="54" t="s">
        <v>47</v>
      </c>
      <c r="I31" s="250" t="s">
        <v>35</v>
      </c>
      <c r="J31" s="662" t="s">
        <v>4508</v>
      </c>
      <c r="K31" s="52" t="s">
        <v>27</v>
      </c>
      <c r="L31" s="56" t="s">
        <v>4</v>
      </c>
      <c r="M31" s="52" t="s">
        <v>46</v>
      </c>
      <c r="N31" s="54" t="s">
        <v>10496</v>
      </c>
      <c r="O31" s="55" t="str">
        <f t="shared" si="1"/>
        <v>L01.00.00.07.03.00.07</v>
      </c>
      <c r="P31" s="169" t="str">
        <f t="shared" si="2"/>
        <v>Sản phẩm Automation Marketing</v>
      </c>
      <c r="Q31" s="227" t="s">
        <v>12475</v>
      </c>
      <c r="R31" s="96" t="s">
        <v>4509</v>
      </c>
      <c r="S31" s="96" t="s">
        <v>453</v>
      </c>
      <c r="T31" s="96" t="s">
        <v>47</v>
      </c>
      <c r="U31" s="96" t="s">
        <v>4508</v>
      </c>
      <c r="V31" s="96"/>
      <c r="W31" s="96"/>
      <c r="X31" s="91"/>
      <c r="Y31" s="91"/>
      <c r="Z31" s="91"/>
      <c r="AA31" s="91"/>
      <c r="AB31" s="91"/>
    </row>
    <row r="32" ht="15.75" customHeight="1" outlineLevel="1">
      <c r="A32" s="51" t="s">
        <v>25</v>
      </c>
      <c r="B32" s="57" t="s">
        <v>26</v>
      </c>
      <c r="C32" s="51" t="s">
        <v>27</v>
      </c>
      <c r="D32" s="52" t="s">
        <v>4</v>
      </c>
      <c r="E32" s="53" t="s">
        <v>27</v>
      </c>
      <c r="F32" s="52" t="s">
        <v>4</v>
      </c>
      <c r="G32" s="52" t="s">
        <v>46</v>
      </c>
      <c r="H32" s="54" t="s">
        <v>47</v>
      </c>
      <c r="I32" s="250" t="s">
        <v>35</v>
      </c>
      <c r="J32" s="96" t="s">
        <v>4508</v>
      </c>
      <c r="K32" s="250" t="s">
        <v>29</v>
      </c>
      <c r="L32" s="96" t="s">
        <v>5282</v>
      </c>
      <c r="M32" s="52" t="s">
        <v>46</v>
      </c>
      <c r="N32" s="54" t="s">
        <v>10496</v>
      </c>
      <c r="O32" s="55" t="str">
        <f t="shared" si="1"/>
        <v>L01.00.00.07.03.01.07</v>
      </c>
      <c r="P32" s="169" t="str">
        <f t="shared" si="2"/>
        <v>Dự án Websites</v>
      </c>
      <c r="Q32" s="227" t="s">
        <v>12477</v>
      </c>
      <c r="R32" s="96" t="s">
        <v>5283</v>
      </c>
      <c r="S32" s="96" t="s">
        <v>453</v>
      </c>
      <c r="T32" s="96" t="s">
        <v>47</v>
      </c>
      <c r="U32" s="96" t="s">
        <v>4508</v>
      </c>
      <c r="V32" s="96" t="s">
        <v>5282</v>
      </c>
      <c r="W32" s="96"/>
      <c r="X32" s="91"/>
      <c r="Y32" s="91"/>
      <c r="Z32" s="91"/>
      <c r="AA32" s="91"/>
      <c r="AB32" s="91"/>
    </row>
    <row r="33" ht="15.75" customHeight="1" outlineLevel="1">
      <c r="A33" s="51" t="s">
        <v>25</v>
      </c>
      <c r="B33" s="57" t="s">
        <v>26</v>
      </c>
      <c r="C33" s="51" t="s">
        <v>27</v>
      </c>
      <c r="D33" s="52" t="s">
        <v>4</v>
      </c>
      <c r="E33" s="53" t="s">
        <v>27</v>
      </c>
      <c r="F33" s="52" t="s">
        <v>4</v>
      </c>
      <c r="G33" s="52" t="s">
        <v>46</v>
      </c>
      <c r="H33" s="54" t="s">
        <v>47</v>
      </c>
      <c r="I33" s="250" t="s">
        <v>37</v>
      </c>
      <c r="J33" s="662" t="s">
        <v>4765</v>
      </c>
      <c r="K33" s="250" t="s">
        <v>27</v>
      </c>
      <c r="L33" s="56" t="s">
        <v>4</v>
      </c>
      <c r="M33" s="52" t="s">
        <v>46</v>
      </c>
      <c r="N33" s="54" t="s">
        <v>10496</v>
      </c>
      <c r="O33" s="55" t="str">
        <f t="shared" si="1"/>
        <v>L01.00.00.07.04.00.07</v>
      </c>
      <c r="P33" s="169" t="str">
        <f t="shared" si="2"/>
        <v>Sản phẩm Automation Sales</v>
      </c>
      <c r="Q33" s="227" t="s">
        <v>12475</v>
      </c>
      <c r="R33" s="97" t="s">
        <v>10570</v>
      </c>
      <c r="S33" s="96" t="s">
        <v>453</v>
      </c>
      <c r="T33" s="96" t="s">
        <v>47</v>
      </c>
      <c r="U33" s="96" t="s">
        <v>4765</v>
      </c>
      <c r="V33" s="96"/>
      <c r="W33" s="96"/>
      <c r="X33" s="91"/>
      <c r="Y33" s="91"/>
      <c r="Z33" s="91"/>
      <c r="AA33" s="91"/>
      <c r="AB33" s="91"/>
    </row>
    <row r="34" ht="15.75" customHeight="1" outlineLevel="1">
      <c r="A34" s="51" t="s">
        <v>25</v>
      </c>
      <c r="B34" s="57" t="s">
        <v>26</v>
      </c>
      <c r="C34" s="51" t="s">
        <v>27</v>
      </c>
      <c r="D34" s="52" t="s">
        <v>4</v>
      </c>
      <c r="E34" s="53" t="s">
        <v>27</v>
      </c>
      <c r="F34" s="52" t="s">
        <v>4</v>
      </c>
      <c r="G34" s="52" t="s">
        <v>46</v>
      </c>
      <c r="H34" s="54" t="s">
        <v>47</v>
      </c>
      <c r="I34" s="250" t="s">
        <v>37</v>
      </c>
      <c r="J34" s="96" t="s">
        <v>4765</v>
      </c>
      <c r="K34" s="250" t="s">
        <v>29</v>
      </c>
      <c r="L34" s="96" t="s">
        <v>4836</v>
      </c>
      <c r="M34" s="52" t="s">
        <v>46</v>
      </c>
      <c r="N34" s="54" t="s">
        <v>10496</v>
      </c>
      <c r="O34" s="55" t="str">
        <f t="shared" si="1"/>
        <v>L01.00.00.07.04.01.07</v>
      </c>
      <c r="P34" s="169" t="str">
        <f t="shared" si="2"/>
        <v>Dự án MISA Automation Sales</v>
      </c>
      <c r="Q34" s="227" t="s">
        <v>12478</v>
      </c>
      <c r="R34" s="96" t="s">
        <v>4837</v>
      </c>
      <c r="S34" s="96" t="s">
        <v>453</v>
      </c>
      <c r="T34" s="96" t="s">
        <v>47</v>
      </c>
      <c r="U34" s="96" t="s">
        <v>4765</v>
      </c>
      <c r="V34" s="96" t="s">
        <v>4836</v>
      </c>
      <c r="W34" s="96"/>
      <c r="X34" s="91"/>
      <c r="Y34" s="91"/>
      <c r="Z34" s="91"/>
      <c r="AA34" s="91"/>
      <c r="AB34" s="91"/>
    </row>
    <row r="35" ht="15.75" customHeight="1" outlineLevel="1">
      <c r="A35" s="51" t="s">
        <v>25</v>
      </c>
      <c r="B35" s="57" t="s">
        <v>26</v>
      </c>
      <c r="C35" s="51" t="s">
        <v>27</v>
      </c>
      <c r="D35" s="52" t="s">
        <v>4</v>
      </c>
      <c r="E35" s="53" t="s">
        <v>27</v>
      </c>
      <c r="F35" s="52" t="s">
        <v>4</v>
      </c>
      <c r="G35" s="52" t="s">
        <v>46</v>
      </c>
      <c r="H35" s="54" t="s">
        <v>47</v>
      </c>
      <c r="I35" s="250" t="s">
        <v>37</v>
      </c>
      <c r="J35" s="96" t="s">
        <v>4765</v>
      </c>
      <c r="K35" s="170" t="s">
        <v>33</v>
      </c>
      <c r="L35" s="96" t="s">
        <v>4764</v>
      </c>
      <c r="M35" s="52" t="s">
        <v>46</v>
      </c>
      <c r="N35" s="54" t="s">
        <v>10496</v>
      </c>
      <c r="O35" s="55" t="str">
        <f t="shared" si="1"/>
        <v>L01.00.00.07.04.02.07</v>
      </c>
      <c r="P35" s="169" t="str">
        <f t="shared" si="2"/>
        <v>[Automation Sales] Nhóm Phân tích và Thiết kế</v>
      </c>
      <c r="Q35" s="227" t="s">
        <v>12478</v>
      </c>
      <c r="R35" s="96" t="s">
        <v>4766</v>
      </c>
      <c r="S35" s="96" t="s">
        <v>453</v>
      </c>
      <c r="T35" s="96" t="s">
        <v>47</v>
      </c>
      <c r="U35" s="96" t="s">
        <v>4765</v>
      </c>
      <c r="V35" s="96" t="s">
        <v>4764</v>
      </c>
      <c r="W35" s="96"/>
      <c r="X35" s="91"/>
      <c r="Y35" s="91"/>
      <c r="Z35" s="91"/>
      <c r="AA35" s="91"/>
      <c r="AB35" s="91"/>
    </row>
    <row r="36" ht="15.75" customHeight="1" outlineLevel="1">
      <c r="A36" s="51" t="s">
        <v>25</v>
      </c>
      <c r="B36" s="57" t="s">
        <v>26</v>
      </c>
      <c r="C36" s="51" t="s">
        <v>27</v>
      </c>
      <c r="D36" s="52" t="s">
        <v>4</v>
      </c>
      <c r="E36" s="53" t="s">
        <v>27</v>
      </c>
      <c r="F36" s="52" t="s">
        <v>4</v>
      </c>
      <c r="G36" s="52" t="s">
        <v>46</v>
      </c>
      <c r="H36" s="54" t="s">
        <v>47</v>
      </c>
      <c r="I36" s="250" t="s">
        <v>42</v>
      </c>
      <c r="J36" s="662" t="s">
        <v>4502</v>
      </c>
      <c r="K36" s="250" t="s">
        <v>27</v>
      </c>
      <c r="L36" s="663" t="s">
        <v>4</v>
      </c>
      <c r="M36" s="52" t="s">
        <v>46</v>
      </c>
      <c r="N36" s="54" t="s">
        <v>10496</v>
      </c>
      <c r="O36" s="55" t="str">
        <f t="shared" si="1"/>
        <v>L01.00.00.07.05.00.07</v>
      </c>
      <c r="P36" s="169" t="str">
        <f t="shared" si="2"/>
        <v>Sản phẩm Data Analytics</v>
      </c>
      <c r="Q36" s="227" t="s">
        <v>12475</v>
      </c>
      <c r="R36" s="97" t="s">
        <v>10575</v>
      </c>
      <c r="S36" s="96" t="s">
        <v>453</v>
      </c>
      <c r="T36" s="96" t="s">
        <v>47</v>
      </c>
      <c r="U36" s="96" t="s">
        <v>4502</v>
      </c>
      <c r="V36" s="96"/>
      <c r="W36" s="96"/>
      <c r="X36" s="91"/>
      <c r="Y36" s="91"/>
      <c r="Z36" s="91"/>
      <c r="AA36" s="91"/>
      <c r="AB36" s="91"/>
    </row>
    <row r="37" ht="15.75" customHeight="1" outlineLevel="1">
      <c r="A37" s="51" t="s">
        <v>25</v>
      </c>
      <c r="B37" s="57" t="s">
        <v>26</v>
      </c>
      <c r="C37" s="51" t="s">
        <v>27</v>
      </c>
      <c r="D37" s="52" t="s">
        <v>4</v>
      </c>
      <c r="E37" s="53" t="s">
        <v>27</v>
      </c>
      <c r="F37" s="52" t="s">
        <v>4</v>
      </c>
      <c r="G37" s="52" t="s">
        <v>46</v>
      </c>
      <c r="H37" s="54" t="s">
        <v>47</v>
      </c>
      <c r="I37" s="250" t="s">
        <v>42</v>
      </c>
      <c r="J37" s="96" t="s">
        <v>4502</v>
      </c>
      <c r="K37" s="250" t="s">
        <v>29</v>
      </c>
      <c r="L37" s="96" t="s">
        <v>4864</v>
      </c>
      <c r="M37" s="52" t="s">
        <v>46</v>
      </c>
      <c r="N37" s="54" t="s">
        <v>10496</v>
      </c>
      <c r="O37" s="55" t="str">
        <f t="shared" si="1"/>
        <v>L01.00.00.07.05.01.07</v>
      </c>
      <c r="P37" s="169" t="str">
        <f t="shared" si="2"/>
        <v>Dự án MISA Customer Profile</v>
      </c>
      <c r="Q37" s="227" t="s">
        <v>12479</v>
      </c>
      <c r="R37" s="96" t="s">
        <v>4865</v>
      </c>
      <c r="S37" s="96" t="s">
        <v>453</v>
      </c>
      <c r="T37" s="96" t="s">
        <v>47</v>
      </c>
      <c r="U37" s="96" t="s">
        <v>4502</v>
      </c>
      <c r="V37" s="96" t="s">
        <v>4864</v>
      </c>
      <c r="W37" s="96"/>
      <c r="X37" s="91"/>
      <c r="Y37" s="91"/>
      <c r="Z37" s="91"/>
      <c r="AA37" s="91"/>
      <c r="AB37" s="91"/>
    </row>
    <row r="38" ht="15.75" customHeight="1" outlineLevel="1">
      <c r="A38" s="51" t="s">
        <v>25</v>
      </c>
      <c r="B38" s="57" t="s">
        <v>26</v>
      </c>
      <c r="C38" s="51" t="s">
        <v>27</v>
      </c>
      <c r="D38" s="52" t="s">
        <v>4</v>
      </c>
      <c r="E38" s="53" t="s">
        <v>27</v>
      </c>
      <c r="F38" s="52" t="s">
        <v>4</v>
      </c>
      <c r="G38" s="52" t="s">
        <v>46</v>
      </c>
      <c r="H38" s="54" t="s">
        <v>47</v>
      </c>
      <c r="I38" s="250" t="s">
        <v>42</v>
      </c>
      <c r="J38" s="96" t="s">
        <v>4502</v>
      </c>
      <c r="K38" s="170" t="s">
        <v>33</v>
      </c>
      <c r="L38" s="96" t="s">
        <v>4501</v>
      </c>
      <c r="M38" s="52" t="s">
        <v>46</v>
      </c>
      <c r="N38" s="54" t="s">
        <v>10496</v>
      </c>
      <c r="O38" s="55" t="str">
        <f t="shared" si="1"/>
        <v>L01.00.00.07.05.02.07</v>
      </c>
      <c r="P38" s="169" t="str">
        <f t="shared" si="2"/>
        <v>[Data Analytics] Nhóm Phân tích và Thiết kế</v>
      </c>
      <c r="Q38" s="227" t="s">
        <v>12479</v>
      </c>
      <c r="R38" s="96" t="s">
        <v>4503</v>
      </c>
      <c r="S38" s="96" t="s">
        <v>453</v>
      </c>
      <c r="T38" s="96" t="s">
        <v>47</v>
      </c>
      <c r="U38" s="96" t="s">
        <v>4502</v>
      </c>
      <c r="V38" s="96" t="s">
        <v>4501</v>
      </c>
      <c r="W38" s="96"/>
      <c r="X38" s="91"/>
      <c r="Y38" s="91"/>
      <c r="Z38" s="91"/>
      <c r="AA38" s="91"/>
      <c r="AB38" s="91"/>
    </row>
    <row r="39" ht="15.75" customHeight="1" outlineLevel="1">
      <c r="A39" s="51" t="s">
        <v>25</v>
      </c>
      <c r="B39" s="57" t="s">
        <v>26</v>
      </c>
      <c r="C39" s="51" t="s">
        <v>27</v>
      </c>
      <c r="D39" s="52" t="s">
        <v>4</v>
      </c>
      <c r="E39" s="53" t="s">
        <v>27</v>
      </c>
      <c r="F39" s="52" t="s">
        <v>4</v>
      </c>
      <c r="G39" s="52" t="s">
        <v>46</v>
      </c>
      <c r="H39" s="54" t="s">
        <v>47</v>
      </c>
      <c r="I39" s="250" t="s">
        <v>44</v>
      </c>
      <c r="J39" s="96" t="s">
        <v>5038</v>
      </c>
      <c r="K39" s="52" t="s">
        <v>27</v>
      </c>
      <c r="L39" s="56" t="s">
        <v>4</v>
      </c>
      <c r="M39" s="52" t="s">
        <v>46</v>
      </c>
      <c r="N39" s="54" t="s">
        <v>10496</v>
      </c>
      <c r="O39" s="55" t="str">
        <f t="shared" si="1"/>
        <v>L01.00.00.07.06.00.07</v>
      </c>
      <c r="P39" s="169" t="str">
        <f t="shared" si="2"/>
        <v>Nhóm chuyên gia Ban CNTT</v>
      </c>
      <c r="Q39" s="227" t="s">
        <v>12475</v>
      </c>
      <c r="R39" s="96" t="s">
        <v>5039</v>
      </c>
      <c r="S39" s="96" t="s">
        <v>453</v>
      </c>
      <c r="T39" s="96" t="s">
        <v>47</v>
      </c>
      <c r="U39" s="96" t="s">
        <v>5038</v>
      </c>
      <c r="V39" s="96"/>
      <c r="W39" s="96"/>
      <c r="X39" s="91"/>
      <c r="Y39" s="91"/>
      <c r="Z39" s="91"/>
      <c r="AA39" s="91"/>
      <c r="AB39" s="91"/>
    </row>
    <row r="40" ht="15.75" customHeight="1" outlineLevel="1">
      <c r="A40" s="51" t="s">
        <v>25</v>
      </c>
      <c r="B40" s="57" t="s">
        <v>26</v>
      </c>
      <c r="C40" s="51" t="s">
        <v>27</v>
      </c>
      <c r="D40" s="52" t="s">
        <v>4</v>
      </c>
      <c r="E40" s="53" t="s">
        <v>27</v>
      </c>
      <c r="F40" s="52" t="s">
        <v>4</v>
      </c>
      <c r="G40" s="52" t="s">
        <v>49</v>
      </c>
      <c r="H40" s="54" t="s">
        <v>50</v>
      </c>
      <c r="I40" s="52" t="s">
        <v>27</v>
      </c>
      <c r="J40" s="52" t="s">
        <v>4</v>
      </c>
      <c r="K40" s="52" t="s">
        <v>27</v>
      </c>
      <c r="L40" s="56" t="s">
        <v>4</v>
      </c>
      <c r="M40" s="52" t="s">
        <v>46</v>
      </c>
      <c r="N40" s="54" t="s">
        <v>10496</v>
      </c>
      <c r="O40" s="55" t="str">
        <f t="shared" si="1"/>
        <v>L01.00.00.08.00.00.07</v>
      </c>
      <c r="P40" s="169" t="str">
        <f t="shared" si="2"/>
        <v>Ban An Ninh thông tin</v>
      </c>
      <c r="Q40" s="169" t="s">
        <v>12480</v>
      </c>
      <c r="R40" s="169" t="s">
        <v>588</v>
      </c>
      <c r="S40" s="169" t="s">
        <v>453</v>
      </c>
      <c r="T40" s="169" t="s">
        <v>10581</v>
      </c>
      <c r="U40" s="96"/>
      <c r="V40" s="96"/>
      <c r="W40" s="96"/>
      <c r="X40" s="91"/>
      <c r="Y40" s="91"/>
      <c r="Z40" s="91"/>
      <c r="AA40" s="91"/>
      <c r="AB40" s="91"/>
    </row>
    <row r="41" ht="15.75" customHeight="1" outlineLevel="1">
      <c r="A41" s="51" t="s">
        <v>25</v>
      </c>
      <c r="B41" s="57" t="s">
        <v>26</v>
      </c>
      <c r="C41" s="51" t="s">
        <v>27</v>
      </c>
      <c r="D41" s="52" t="s">
        <v>4</v>
      </c>
      <c r="E41" s="53" t="s">
        <v>27</v>
      </c>
      <c r="F41" s="52" t="s">
        <v>4</v>
      </c>
      <c r="G41" s="52" t="s">
        <v>51</v>
      </c>
      <c r="H41" s="661" t="s">
        <v>52</v>
      </c>
      <c r="I41" s="250" t="s">
        <v>27</v>
      </c>
      <c r="J41" s="664" t="s">
        <v>4</v>
      </c>
      <c r="K41" s="52" t="s">
        <v>27</v>
      </c>
      <c r="L41" s="56" t="s">
        <v>4</v>
      </c>
      <c r="M41" s="52" t="s">
        <v>46</v>
      </c>
      <c r="N41" s="54" t="s">
        <v>10496</v>
      </c>
      <c r="O41" s="55" t="str">
        <f t="shared" si="1"/>
        <v>L01.00.00.09.00.00.07</v>
      </c>
      <c r="P41" s="169" t="str">
        <f t="shared" si="2"/>
        <v>Viện Công nghệ</v>
      </c>
      <c r="Q41" s="227" t="s">
        <v>12473</v>
      </c>
      <c r="R41" s="97" t="s">
        <v>10583</v>
      </c>
      <c r="S41" s="96" t="s">
        <v>453</v>
      </c>
      <c r="T41" s="96" t="s">
        <v>52</v>
      </c>
      <c r="U41" s="96"/>
      <c r="V41" s="96"/>
      <c r="W41" s="96"/>
      <c r="X41" s="91"/>
      <c r="Y41" s="91"/>
      <c r="Z41" s="91"/>
      <c r="AA41" s="91"/>
      <c r="AB41" s="91"/>
    </row>
    <row r="42" ht="15.75" customHeight="1" outlineLevel="1">
      <c r="A42" s="51" t="s">
        <v>25</v>
      </c>
      <c r="B42" s="57" t="s">
        <v>26</v>
      </c>
      <c r="C42" s="51" t="s">
        <v>27</v>
      </c>
      <c r="D42" s="52" t="s">
        <v>4</v>
      </c>
      <c r="E42" s="53" t="s">
        <v>27</v>
      </c>
      <c r="F42" s="52" t="s">
        <v>4</v>
      </c>
      <c r="G42" s="52" t="s">
        <v>51</v>
      </c>
      <c r="H42" s="54" t="s">
        <v>52</v>
      </c>
      <c r="I42" s="52" t="s">
        <v>29</v>
      </c>
      <c r="J42" s="55" t="s">
        <v>53</v>
      </c>
      <c r="K42" s="52" t="s">
        <v>27</v>
      </c>
      <c r="L42" s="56" t="s">
        <v>4</v>
      </c>
      <c r="M42" s="52" t="s">
        <v>46</v>
      </c>
      <c r="N42" s="54" t="s">
        <v>10496</v>
      </c>
      <c r="O42" s="55" t="str">
        <f t="shared" si="1"/>
        <v>L01.00.00.09.01.00.07</v>
      </c>
      <c r="P42" s="169" t="str">
        <f t="shared" si="2"/>
        <v>Ban Giám đốc Viện</v>
      </c>
      <c r="Q42" s="227" t="s">
        <v>12481</v>
      </c>
      <c r="R42" s="96" t="s">
        <v>6947</v>
      </c>
      <c r="S42" s="96" t="s">
        <v>453</v>
      </c>
      <c r="T42" s="96" t="s">
        <v>52</v>
      </c>
      <c r="U42" s="96" t="s">
        <v>6946</v>
      </c>
      <c r="V42" s="96"/>
      <c r="W42" s="96"/>
      <c r="X42" s="91"/>
      <c r="Y42" s="91"/>
      <c r="Z42" s="91"/>
      <c r="AA42" s="91"/>
      <c r="AB42" s="91"/>
    </row>
    <row r="43" ht="15.75" customHeight="1" outlineLevel="1">
      <c r="A43" s="51" t="s">
        <v>25</v>
      </c>
      <c r="B43" s="57" t="s">
        <v>26</v>
      </c>
      <c r="C43" s="51" t="s">
        <v>27</v>
      </c>
      <c r="D43" s="52" t="s">
        <v>4</v>
      </c>
      <c r="E43" s="53" t="s">
        <v>27</v>
      </c>
      <c r="F43" s="52" t="s">
        <v>4</v>
      </c>
      <c r="G43" s="52" t="s">
        <v>51</v>
      </c>
      <c r="H43" s="54" t="s">
        <v>52</v>
      </c>
      <c r="I43" s="52" t="s">
        <v>33</v>
      </c>
      <c r="J43" s="55" t="s">
        <v>54</v>
      </c>
      <c r="K43" s="52" t="s">
        <v>27</v>
      </c>
      <c r="L43" s="663" t="s">
        <v>4</v>
      </c>
      <c r="M43" s="52" t="s">
        <v>46</v>
      </c>
      <c r="N43" s="54" t="s">
        <v>10496</v>
      </c>
      <c r="O43" s="55" t="str">
        <f t="shared" si="1"/>
        <v>L01.00.00.09.02.00.07</v>
      </c>
      <c r="P43" s="169" t="str">
        <f t="shared" si="2"/>
        <v>Phòng Nghiên cứu công nghệ</v>
      </c>
      <c r="Q43" s="227" t="s">
        <v>12481</v>
      </c>
      <c r="R43" s="96" t="s">
        <v>3267</v>
      </c>
      <c r="S43" s="96" t="s">
        <v>453</v>
      </c>
      <c r="T43" s="96" t="s">
        <v>52</v>
      </c>
      <c r="U43" s="96" t="s">
        <v>638</v>
      </c>
      <c r="V43" s="96"/>
      <c r="W43" s="96"/>
      <c r="X43" s="91"/>
      <c r="Y43" s="91"/>
      <c r="Z43" s="91"/>
      <c r="AA43" s="91"/>
      <c r="AB43" s="91"/>
    </row>
    <row r="44" ht="15.75" customHeight="1" outlineLevel="1">
      <c r="A44" s="51" t="s">
        <v>25</v>
      </c>
      <c r="B44" s="57" t="s">
        <v>26</v>
      </c>
      <c r="C44" s="51" t="s">
        <v>27</v>
      </c>
      <c r="D44" s="52" t="s">
        <v>4</v>
      </c>
      <c r="E44" s="53" t="s">
        <v>27</v>
      </c>
      <c r="F44" s="52" t="s">
        <v>4</v>
      </c>
      <c r="G44" s="52" t="s">
        <v>51</v>
      </c>
      <c r="H44" s="54" t="s">
        <v>52</v>
      </c>
      <c r="I44" s="52" t="s">
        <v>33</v>
      </c>
      <c r="J44" s="55" t="s">
        <v>54</v>
      </c>
      <c r="K44" s="51" t="s">
        <v>29</v>
      </c>
      <c r="L44" s="96" t="s">
        <v>637</v>
      </c>
      <c r="M44" s="52" t="s">
        <v>46</v>
      </c>
      <c r="N44" s="54" t="s">
        <v>10496</v>
      </c>
      <c r="O44" s="55" t="str">
        <f t="shared" si="1"/>
        <v>L01.00.00.09.02.01.07</v>
      </c>
      <c r="P44" s="169" t="str">
        <f t="shared" si="2"/>
        <v>Dự án AI</v>
      </c>
      <c r="Q44" s="227" t="s">
        <v>12482</v>
      </c>
      <c r="R44" s="96" t="s">
        <v>639</v>
      </c>
      <c r="S44" s="96" t="s">
        <v>453</v>
      </c>
      <c r="T44" s="96" t="s">
        <v>52</v>
      </c>
      <c r="U44" s="96" t="s">
        <v>638</v>
      </c>
      <c r="V44" s="96" t="s">
        <v>637</v>
      </c>
      <c r="W44" s="96"/>
      <c r="X44" s="91"/>
      <c r="Y44" s="91"/>
      <c r="Z44" s="91"/>
      <c r="AA44" s="91"/>
      <c r="AB44" s="91"/>
    </row>
    <row r="45" ht="15.75" customHeight="1" outlineLevel="1">
      <c r="A45" s="51" t="s">
        <v>25</v>
      </c>
      <c r="B45" s="57" t="s">
        <v>26</v>
      </c>
      <c r="C45" s="51" t="s">
        <v>27</v>
      </c>
      <c r="D45" s="52" t="s">
        <v>4</v>
      </c>
      <c r="E45" s="53" t="s">
        <v>27</v>
      </c>
      <c r="F45" s="52" t="s">
        <v>4</v>
      </c>
      <c r="G45" s="52" t="s">
        <v>51</v>
      </c>
      <c r="H45" s="54" t="s">
        <v>52</v>
      </c>
      <c r="I45" s="52" t="s">
        <v>33</v>
      </c>
      <c r="J45" s="55" t="s">
        <v>54</v>
      </c>
      <c r="K45" s="51" t="s">
        <v>33</v>
      </c>
      <c r="L45" s="96" t="s">
        <v>9467</v>
      </c>
      <c r="M45" s="52" t="s">
        <v>46</v>
      </c>
      <c r="N45" s="54" t="s">
        <v>10496</v>
      </c>
      <c r="O45" s="55" t="str">
        <f t="shared" si="1"/>
        <v>L01.00.00.09.02.02.07</v>
      </c>
      <c r="P45" s="169" t="str">
        <f t="shared" si="2"/>
        <v>[AI] Nhóm Phân tích và Thiết kế</v>
      </c>
      <c r="Q45" s="227" t="s">
        <v>12482</v>
      </c>
      <c r="R45" s="96" t="s">
        <v>9468</v>
      </c>
      <c r="S45" s="96" t="s">
        <v>453</v>
      </c>
      <c r="T45" s="96" t="s">
        <v>52</v>
      </c>
      <c r="U45" s="96" t="s">
        <v>638</v>
      </c>
      <c r="V45" s="96" t="s">
        <v>9467</v>
      </c>
      <c r="W45" s="96"/>
      <c r="X45" s="91"/>
      <c r="Y45" s="91"/>
      <c r="Z45" s="91"/>
      <c r="AA45" s="91"/>
      <c r="AB45" s="91"/>
    </row>
    <row r="46" ht="15.75" customHeight="1" outlineLevel="1">
      <c r="A46" s="51" t="s">
        <v>25</v>
      </c>
      <c r="B46" s="57" t="s">
        <v>26</v>
      </c>
      <c r="C46" s="51" t="s">
        <v>27</v>
      </c>
      <c r="D46" s="52" t="s">
        <v>4</v>
      </c>
      <c r="E46" s="53" t="s">
        <v>27</v>
      </c>
      <c r="F46" s="52" t="s">
        <v>4</v>
      </c>
      <c r="G46" s="52" t="s">
        <v>51</v>
      </c>
      <c r="H46" s="54" t="s">
        <v>52</v>
      </c>
      <c r="I46" s="52" t="s">
        <v>35</v>
      </c>
      <c r="J46" s="96" t="s">
        <v>2874</v>
      </c>
      <c r="K46" s="52" t="s">
        <v>27</v>
      </c>
      <c r="L46" s="56" t="s">
        <v>4</v>
      </c>
      <c r="M46" s="52" t="s">
        <v>46</v>
      </c>
      <c r="N46" s="54" t="s">
        <v>10496</v>
      </c>
      <c r="O46" s="55" t="str">
        <f t="shared" si="1"/>
        <v>L01.00.00.09.03.00.07</v>
      </c>
      <c r="P46" s="169" t="str">
        <f t="shared" si="2"/>
        <v>Dự án MISA Core Project</v>
      </c>
      <c r="Q46" s="227" t="s">
        <v>12481</v>
      </c>
      <c r="R46" s="96" t="s">
        <v>2875</v>
      </c>
      <c r="S46" s="96" t="s">
        <v>453</v>
      </c>
      <c r="T46" s="96" t="s">
        <v>52</v>
      </c>
      <c r="U46" s="96" t="s">
        <v>2874</v>
      </c>
      <c r="V46" s="96"/>
      <c r="W46" s="96"/>
      <c r="X46" s="91"/>
      <c r="Y46" s="91"/>
      <c r="Z46" s="91"/>
      <c r="AA46" s="91"/>
      <c r="AB46" s="91"/>
    </row>
    <row r="47" ht="15.75" customHeight="1" outlineLevel="1">
      <c r="A47" s="51" t="s">
        <v>25</v>
      </c>
      <c r="B47" s="57" t="s">
        <v>26</v>
      </c>
      <c r="C47" s="51" t="s">
        <v>27</v>
      </c>
      <c r="D47" s="52" t="s">
        <v>4</v>
      </c>
      <c r="E47" s="53" t="s">
        <v>27</v>
      </c>
      <c r="F47" s="52" t="s">
        <v>4</v>
      </c>
      <c r="G47" s="52" t="s">
        <v>51</v>
      </c>
      <c r="H47" s="54" t="s">
        <v>52</v>
      </c>
      <c r="I47" s="250" t="s">
        <v>37</v>
      </c>
      <c r="J47" s="96" t="s">
        <v>3549</v>
      </c>
      <c r="K47" s="52" t="s">
        <v>27</v>
      </c>
      <c r="L47" s="56" t="s">
        <v>4</v>
      </c>
      <c r="M47" s="52" t="s">
        <v>46</v>
      </c>
      <c r="N47" s="54" t="s">
        <v>10496</v>
      </c>
      <c r="O47" s="55" t="str">
        <f t="shared" si="1"/>
        <v>L01.00.00.09.04.00.07</v>
      </c>
      <c r="P47" s="169" t="str">
        <f t="shared" si="2"/>
        <v>Dự án giám sát</v>
      </c>
      <c r="Q47" s="227" t="s">
        <v>12481</v>
      </c>
      <c r="R47" s="96" t="s">
        <v>3550</v>
      </c>
      <c r="S47" s="96" t="s">
        <v>453</v>
      </c>
      <c r="T47" s="96" t="s">
        <v>52</v>
      </c>
      <c r="U47" s="96" t="s">
        <v>3549</v>
      </c>
      <c r="V47" s="96"/>
      <c r="W47" s="96"/>
      <c r="X47" s="91"/>
      <c r="Y47" s="91"/>
      <c r="Z47" s="91"/>
      <c r="AA47" s="91"/>
      <c r="AB47" s="91"/>
    </row>
    <row r="48" ht="15.75" customHeight="1" outlineLevel="1">
      <c r="A48" s="51" t="s">
        <v>25</v>
      </c>
      <c r="B48" s="51" t="s">
        <v>26</v>
      </c>
      <c r="C48" s="51" t="s">
        <v>27</v>
      </c>
      <c r="D48" s="52" t="s">
        <v>4</v>
      </c>
      <c r="E48" s="53" t="s">
        <v>27</v>
      </c>
      <c r="F48" s="52" t="s">
        <v>4</v>
      </c>
      <c r="G48" s="52" t="s">
        <v>55</v>
      </c>
      <c r="H48" s="662" t="s">
        <v>454</v>
      </c>
      <c r="I48" s="250" t="s">
        <v>27</v>
      </c>
      <c r="J48" s="665" t="s">
        <v>4</v>
      </c>
      <c r="K48" s="52" t="s">
        <v>27</v>
      </c>
      <c r="L48" s="56" t="s">
        <v>4</v>
      </c>
      <c r="M48" s="52" t="s">
        <v>46</v>
      </c>
      <c r="N48" s="54" t="s">
        <v>10496</v>
      </c>
      <c r="O48" s="55" t="str">
        <f t="shared" si="1"/>
        <v>L01.00.00.10.00.00.07</v>
      </c>
      <c r="P48" s="169" t="str">
        <f t="shared" si="2"/>
        <v>Khối sản phẩm Doanh nghiệp</v>
      </c>
      <c r="Q48" s="227" t="s">
        <v>12473</v>
      </c>
      <c r="R48" s="97" t="s">
        <v>10608</v>
      </c>
      <c r="S48" s="96" t="s">
        <v>453</v>
      </c>
      <c r="T48" s="96" t="s">
        <v>454</v>
      </c>
      <c r="U48" s="96"/>
      <c r="V48" s="96"/>
      <c r="W48" s="96"/>
      <c r="X48" s="91"/>
      <c r="Y48" s="91"/>
      <c r="Z48" s="91"/>
      <c r="AA48" s="91"/>
      <c r="AB48" s="91"/>
    </row>
    <row r="49" ht="15.75" customHeight="1" outlineLevel="1">
      <c r="A49" s="51" t="s">
        <v>25</v>
      </c>
      <c r="B49" s="51" t="s">
        <v>26</v>
      </c>
      <c r="C49" s="51" t="s">
        <v>27</v>
      </c>
      <c r="D49" s="52" t="s">
        <v>4</v>
      </c>
      <c r="E49" s="53" t="s">
        <v>27</v>
      </c>
      <c r="F49" s="52" t="s">
        <v>4</v>
      </c>
      <c r="G49" s="52" t="s">
        <v>55</v>
      </c>
      <c r="H49" s="96" t="s">
        <v>454</v>
      </c>
      <c r="I49" s="52" t="s">
        <v>29</v>
      </c>
      <c r="J49" s="666" t="s">
        <v>4671</v>
      </c>
      <c r="K49" s="52" t="s">
        <v>27</v>
      </c>
      <c r="L49" s="56" t="s">
        <v>4</v>
      </c>
      <c r="M49" s="52" t="s">
        <v>46</v>
      </c>
      <c r="N49" s="54" t="s">
        <v>10496</v>
      </c>
      <c r="O49" s="55" t="str">
        <f t="shared" si="1"/>
        <v>L01.00.00.10.01.00.07</v>
      </c>
      <c r="P49" s="169" t="str">
        <f t="shared" si="2"/>
        <v>Ban Giám đốc Khối SP Doanh nghiệp</v>
      </c>
      <c r="Q49" s="227" t="s">
        <v>12483</v>
      </c>
      <c r="R49" s="96" t="s">
        <v>4672</v>
      </c>
      <c r="S49" s="96" t="s">
        <v>453</v>
      </c>
      <c r="T49" s="96" t="s">
        <v>454</v>
      </c>
      <c r="U49" s="96" t="s">
        <v>4671</v>
      </c>
      <c r="V49" s="96"/>
      <c r="W49" s="96"/>
      <c r="X49" s="91"/>
      <c r="Y49" s="91"/>
      <c r="Z49" s="91"/>
      <c r="AA49" s="91"/>
      <c r="AB49" s="91"/>
    </row>
    <row r="50" ht="15.75" customHeight="1" outlineLevel="1">
      <c r="A50" s="51" t="s">
        <v>25</v>
      </c>
      <c r="B50" s="51" t="s">
        <v>26</v>
      </c>
      <c r="C50" s="51" t="s">
        <v>27</v>
      </c>
      <c r="D50" s="52" t="s">
        <v>4</v>
      </c>
      <c r="E50" s="53" t="s">
        <v>27</v>
      </c>
      <c r="F50" s="52" t="s">
        <v>4</v>
      </c>
      <c r="G50" s="52" t="s">
        <v>55</v>
      </c>
      <c r="H50" s="96" t="s">
        <v>454</v>
      </c>
      <c r="I50" s="62" t="s">
        <v>33</v>
      </c>
      <c r="J50" s="96" t="s">
        <v>3163</v>
      </c>
      <c r="K50" s="52" t="s">
        <v>27</v>
      </c>
      <c r="L50" s="56" t="s">
        <v>4</v>
      </c>
      <c r="M50" s="52" t="s">
        <v>46</v>
      </c>
      <c r="N50" s="54" t="s">
        <v>10496</v>
      </c>
      <c r="O50" s="55" t="str">
        <f t="shared" si="1"/>
        <v>L01.00.00.10.02.00.07</v>
      </c>
      <c r="P50" s="169" t="str">
        <f t="shared" si="2"/>
        <v>Dự án Automation Test</v>
      </c>
      <c r="Q50" s="227" t="s">
        <v>12483</v>
      </c>
      <c r="R50" s="96" t="s">
        <v>3164</v>
      </c>
      <c r="S50" s="96" t="s">
        <v>453</v>
      </c>
      <c r="T50" s="96" t="s">
        <v>454</v>
      </c>
      <c r="U50" s="96" t="s">
        <v>3163</v>
      </c>
      <c r="V50" s="96"/>
      <c r="W50" s="96"/>
      <c r="X50" s="91"/>
      <c r="Y50" s="91"/>
      <c r="Z50" s="91"/>
      <c r="AA50" s="91"/>
      <c r="AB50" s="91"/>
    </row>
    <row r="51" ht="15.75" customHeight="1" outlineLevel="1">
      <c r="A51" s="51" t="s">
        <v>25</v>
      </c>
      <c r="B51" s="51" t="s">
        <v>26</v>
      </c>
      <c r="C51" s="51" t="s">
        <v>27</v>
      </c>
      <c r="D51" s="52" t="s">
        <v>4</v>
      </c>
      <c r="E51" s="53" t="s">
        <v>27</v>
      </c>
      <c r="F51" s="52" t="s">
        <v>4</v>
      </c>
      <c r="G51" s="52" t="s">
        <v>55</v>
      </c>
      <c r="H51" s="96" t="s">
        <v>454</v>
      </c>
      <c r="I51" s="325" t="s">
        <v>35</v>
      </c>
      <c r="J51" s="96" t="s">
        <v>4917</v>
      </c>
      <c r="K51" s="52" t="s">
        <v>27</v>
      </c>
      <c r="L51" s="56" t="s">
        <v>4</v>
      </c>
      <c r="M51" s="52" t="s">
        <v>46</v>
      </c>
      <c r="N51" s="54" t="s">
        <v>10496</v>
      </c>
      <c r="O51" s="55" t="str">
        <f t="shared" si="1"/>
        <v>L01.00.00.10.03.00.07</v>
      </c>
      <c r="P51" s="169" t="str">
        <f t="shared" si="2"/>
        <v>Nhóm chuyên gia Khối SP Doanh nghiệp</v>
      </c>
      <c r="Q51" s="227" t="s">
        <v>12483</v>
      </c>
      <c r="R51" s="96" t="s">
        <v>4918</v>
      </c>
      <c r="S51" s="96" t="s">
        <v>453</v>
      </c>
      <c r="T51" s="96" t="s">
        <v>454</v>
      </c>
      <c r="U51" s="96" t="s">
        <v>4917</v>
      </c>
      <c r="V51" s="96"/>
      <c r="W51" s="96"/>
      <c r="X51" s="91"/>
      <c r="Y51" s="91"/>
      <c r="Z51" s="91"/>
      <c r="AA51" s="91"/>
      <c r="AB51" s="91"/>
    </row>
    <row r="52" ht="15.75" customHeight="1" outlineLevel="1">
      <c r="A52" s="51" t="s">
        <v>25</v>
      </c>
      <c r="B52" s="51" t="s">
        <v>26</v>
      </c>
      <c r="C52" s="51" t="s">
        <v>27</v>
      </c>
      <c r="D52" s="52" t="s">
        <v>4</v>
      </c>
      <c r="E52" s="53" t="s">
        <v>27</v>
      </c>
      <c r="F52" s="52" t="s">
        <v>4</v>
      </c>
      <c r="G52" s="52" t="s">
        <v>55</v>
      </c>
      <c r="H52" s="96" t="s">
        <v>454</v>
      </c>
      <c r="I52" s="325" t="s">
        <v>37</v>
      </c>
      <c r="J52" s="662" t="s">
        <v>58</v>
      </c>
      <c r="K52" s="250" t="s">
        <v>27</v>
      </c>
      <c r="L52" s="663" t="s">
        <v>4</v>
      </c>
      <c r="M52" s="52" t="s">
        <v>46</v>
      </c>
      <c r="N52" s="54" t="s">
        <v>10496</v>
      </c>
      <c r="O52" s="55" t="str">
        <f t="shared" si="1"/>
        <v>L01.00.00.10.04.00.07</v>
      </c>
      <c r="P52" s="169" t="str">
        <f t="shared" si="2"/>
        <v>Sản phẩm MISA meInvoice - Xăng dầu</v>
      </c>
      <c r="Q52" s="227" t="s">
        <v>12483</v>
      </c>
      <c r="R52" s="97" t="s">
        <v>10614</v>
      </c>
      <c r="S52" s="96" t="s">
        <v>453</v>
      </c>
      <c r="T52" s="96" t="s">
        <v>454</v>
      </c>
      <c r="U52" s="96" t="s">
        <v>58</v>
      </c>
      <c r="V52" s="96"/>
      <c r="W52" s="96"/>
      <c r="X52" s="91"/>
      <c r="Y52" s="91"/>
      <c r="Z52" s="91"/>
      <c r="AA52" s="91"/>
      <c r="AB52" s="91"/>
    </row>
    <row r="53" ht="15.75" customHeight="1" outlineLevel="1">
      <c r="A53" s="51" t="s">
        <v>25</v>
      </c>
      <c r="B53" s="51" t="s">
        <v>26</v>
      </c>
      <c r="C53" s="51" t="s">
        <v>27</v>
      </c>
      <c r="D53" s="52" t="s">
        <v>4</v>
      </c>
      <c r="E53" s="53" t="s">
        <v>27</v>
      </c>
      <c r="F53" s="52" t="s">
        <v>4</v>
      </c>
      <c r="G53" s="52" t="s">
        <v>55</v>
      </c>
      <c r="H53" s="96" t="s">
        <v>454</v>
      </c>
      <c r="I53" s="325" t="s">
        <v>37</v>
      </c>
      <c r="J53" s="96" t="s">
        <v>58</v>
      </c>
      <c r="K53" s="250" t="s">
        <v>29</v>
      </c>
      <c r="L53" s="96" t="s">
        <v>60</v>
      </c>
      <c r="M53" s="52" t="s">
        <v>46</v>
      </c>
      <c r="N53" s="54" t="s">
        <v>10496</v>
      </c>
      <c r="O53" s="55" t="str">
        <f t="shared" si="1"/>
        <v>L01.00.00.10.04.01.07</v>
      </c>
      <c r="P53" s="169" t="str">
        <f t="shared" si="2"/>
        <v>Dự án MISA meInvoice - Xăng dầu</v>
      </c>
      <c r="Q53" s="227" t="s">
        <v>12484</v>
      </c>
      <c r="R53" s="96" t="s">
        <v>464</v>
      </c>
      <c r="S53" s="96" t="s">
        <v>453</v>
      </c>
      <c r="T53" s="96" t="s">
        <v>454</v>
      </c>
      <c r="U53" s="96" t="s">
        <v>58</v>
      </c>
      <c r="V53" s="96" t="s">
        <v>60</v>
      </c>
      <c r="W53" s="96"/>
      <c r="X53" s="91"/>
      <c r="Y53" s="91"/>
      <c r="Z53" s="91"/>
      <c r="AA53" s="91"/>
      <c r="AB53" s="91"/>
    </row>
    <row r="54" ht="15.75" customHeight="1" outlineLevel="1">
      <c r="A54" s="51" t="s">
        <v>25</v>
      </c>
      <c r="B54" s="51" t="s">
        <v>26</v>
      </c>
      <c r="C54" s="51" t="s">
        <v>27</v>
      </c>
      <c r="D54" s="52" t="s">
        <v>4</v>
      </c>
      <c r="E54" s="53" t="s">
        <v>27</v>
      </c>
      <c r="F54" s="52" t="s">
        <v>4</v>
      </c>
      <c r="G54" s="52" t="s">
        <v>55</v>
      </c>
      <c r="H54" s="96" t="s">
        <v>454</v>
      </c>
      <c r="I54" s="325" t="s">
        <v>37</v>
      </c>
      <c r="J54" s="96" t="s">
        <v>58</v>
      </c>
      <c r="K54" s="170" t="s">
        <v>33</v>
      </c>
      <c r="L54" s="96" t="s">
        <v>59</v>
      </c>
      <c r="M54" s="52" t="s">
        <v>46</v>
      </c>
      <c r="N54" s="54" t="s">
        <v>10496</v>
      </c>
      <c r="O54" s="55" t="str">
        <f t="shared" si="1"/>
        <v>L01.00.00.10.04.02.07</v>
      </c>
      <c r="P54" s="169" t="str">
        <f t="shared" si="2"/>
        <v>[meInvoice - Xăng dầu] Nhóm Phân tích &amp; Thiết kế</v>
      </c>
      <c r="Q54" s="227" t="s">
        <v>12484</v>
      </c>
      <c r="R54" s="96" t="s">
        <v>455</v>
      </c>
      <c r="S54" s="96" t="s">
        <v>453</v>
      </c>
      <c r="T54" s="96" t="s">
        <v>454</v>
      </c>
      <c r="U54" s="96" t="s">
        <v>58</v>
      </c>
      <c r="V54" s="96" t="s">
        <v>59</v>
      </c>
      <c r="W54" s="96"/>
      <c r="X54" s="91"/>
      <c r="Y54" s="91"/>
      <c r="Z54" s="91"/>
      <c r="AA54" s="91"/>
      <c r="AB54" s="91"/>
    </row>
    <row r="55" ht="15.75" customHeight="1" outlineLevel="1">
      <c r="A55" s="51" t="s">
        <v>25</v>
      </c>
      <c r="B55" s="51" t="s">
        <v>26</v>
      </c>
      <c r="C55" s="51" t="s">
        <v>27</v>
      </c>
      <c r="D55" s="52" t="s">
        <v>4</v>
      </c>
      <c r="E55" s="53" t="s">
        <v>27</v>
      </c>
      <c r="F55" s="52" t="s">
        <v>4</v>
      </c>
      <c r="G55" s="52" t="s">
        <v>55</v>
      </c>
      <c r="H55" s="96" t="s">
        <v>454</v>
      </c>
      <c r="I55" s="325" t="s">
        <v>42</v>
      </c>
      <c r="J55" s="662" t="s">
        <v>3217</v>
      </c>
      <c r="K55" s="250" t="s">
        <v>27</v>
      </c>
      <c r="L55" s="663" t="s">
        <v>4</v>
      </c>
      <c r="M55" s="52" t="s">
        <v>46</v>
      </c>
      <c r="N55" s="54" t="s">
        <v>10496</v>
      </c>
      <c r="O55" s="55" t="str">
        <f t="shared" si="1"/>
        <v>L01.00.00.10.05.00.07</v>
      </c>
      <c r="P55" s="169" t="str">
        <f t="shared" si="2"/>
        <v>Sản phẩm AMIS C&amp;B</v>
      </c>
      <c r="Q55" s="227" t="s">
        <v>12483</v>
      </c>
      <c r="R55" s="97" t="s">
        <v>10619</v>
      </c>
      <c r="S55" s="96" t="s">
        <v>453</v>
      </c>
      <c r="T55" s="96" t="s">
        <v>454</v>
      </c>
      <c r="U55" s="96" t="s">
        <v>3217</v>
      </c>
      <c r="V55" s="96" t="s">
        <v>4991</v>
      </c>
      <c r="W55" s="96"/>
      <c r="X55" s="91"/>
      <c r="Y55" s="91"/>
      <c r="Z55" s="91"/>
      <c r="AA55" s="91"/>
      <c r="AB55" s="91"/>
    </row>
    <row r="56" ht="15.75" customHeight="1" outlineLevel="1">
      <c r="A56" s="51" t="s">
        <v>25</v>
      </c>
      <c r="B56" s="51" t="s">
        <v>26</v>
      </c>
      <c r="C56" s="51" t="s">
        <v>27</v>
      </c>
      <c r="D56" s="52" t="s">
        <v>4</v>
      </c>
      <c r="E56" s="53" t="s">
        <v>27</v>
      </c>
      <c r="F56" s="52" t="s">
        <v>4</v>
      </c>
      <c r="G56" s="52" t="s">
        <v>55</v>
      </c>
      <c r="H56" s="96" t="s">
        <v>454</v>
      </c>
      <c r="I56" s="325" t="s">
        <v>42</v>
      </c>
      <c r="J56" s="96" t="s">
        <v>3217</v>
      </c>
      <c r="K56" s="250" t="s">
        <v>29</v>
      </c>
      <c r="L56" s="96" t="s">
        <v>4991</v>
      </c>
      <c r="M56" s="52" t="s">
        <v>46</v>
      </c>
      <c r="N56" s="54" t="s">
        <v>10496</v>
      </c>
      <c r="O56" s="55" t="str">
        <f t="shared" si="1"/>
        <v>L01.00.00.10.05.01.07</v>
      </c>
      <c r="P56" s="169" t="str">
        <f t="shared" si="2"/>
        <v>Dự án AMIS C&amp;B</v>
      </c>
      <c r="Q56" s="227" t="s">
        <v>12485</v>
      </c>
      <c r="R56" s="96" t="s">
        <v>4992</v>
      </c>
      <c r="S56" s="96" t="s">
        <v>453</v>
      </c>
      <c r="T56" s="96" t="s">
        <v>454</v>
      </c>
      <c r="U56" s="96" t="s">
        <v>3217</v>
      </c>
      <c r="V56" s="96" t="s">
        <v>4991</v>
      </c>
      <c r="W56" s="96"/>
      <c r="X56" s="91"/>
      <c r="Y56" s="91"/>
      <c r="Z56" s="91"/>
      <c r="AA56" s="91"/>
      <c r="AB56" s="91"/>
    </row>
    <row r="57" ht="15.75" customHeight="1" outlineLevel="1">
      <c r="A57" s="51" t="s">
        <v>25</v>
      </c>
      <c r="B57" s="51" t="s">
        <v>26</v>
      </c>
      <c r="C57" s="51" t="s">
        <v>27</v>
      </c>
      <c r="D57" s="52" t="s">
        <v>4</v>
      </c>
      <c r="E57" s="53" t="s">
        <v>27</v>
      </c>
      <c r="F57" s="52" t="s">
        <v>4</v>
      </c>
      <c r="G57" s="52" t="s">
        <v>55</v>
      </c>
      <c r="H57" s="96" t="s">
        <v>454</v>
      </c>
      <c r="I57" s="325" t="s">
        <v>42</v>
      </c>
      <c r="J57" s="96" t="s">
        <v>3217</v>
      </c>
      <c r="K57" s="170" t="s">
        <v>33</v>
      </c>
      <c r="L57" s="96" t="s">
        <v>3216</v>
      </c>
      <c r="M57" s="52" t="s">
        <v>46</v>
      </c>
      <c r="N57" s="54" t="s">
        <v>10496</v>
      </c>
      <c r="O57" s="55" t="str">
        <f t="shared" si="1"/>
        <v>L01.00.00.10.05.02.07</v>
      </c>
      <c r="P57" s="169" t="str">
        <f t="shared" si="2"/>
        <v>[C&amp;B] Nhóm Phân tích &amp; Thiết kế</v>
      </c>
      <c r="Q57" s="227" t="s">
        <v>12485</v>
      </c>
      <c r="R57" s="96" t="s">
        <v>3218</v>
      </c>
      <c r="S57" s="96" t="s">
        <v>453</v>
      </c>
      <c r="T57" s="96" t="s">
        <v>454</v>
      </c>
      <c r="U57" s="96" t="s">
        <v>3217</v>
      </c>
      <c r="V57" s="96" t="s">
        <v>3216</v>
      </c>
      <c r="W57" s="96"/>
      <c r="X57" s="91"/>
      <c r="Y57" s="91"/>
      <c r="Z57" s="91"/>
      <c r="AA57" s="91"/>
      <c r="AB57" s="91"/>
    </row>
    <row r="58" ht="15.75" customHeight="1" outlineLevel="1">
      <c r="A58" s="51" t="s">
        <v>25</v>
      </c>
      <c r="B58" s="51" t="s">
        <v>26</v>
      </c>
      <c r="C58" s="51" t="s">
        <v>27</v>
      </c>
      <c r="D58" s="52" t="s">
        <v>4</v>
      </c>
      <c r="E58" s="53" t="s">
        <v>27</v>
      </c>
      <c r="F58" s="52" t="s">
        <v>4</v>
      </c>
      <c r="G58" s="52" t="s">
        <v>55</v>
      </c>
      <c r="H58" s="96" t="s">
        <v>454</v>
      </c>
      <c r="I58" s="325" t="s">
        <v>44</v>
      </c>
      <c r="J58" s="662" t="s">
        <v>3604</v>
      </c>
      <c r="K58" s="250" t="s">
        <v>27</v>
      </c>
      <c r="L58" s="663" t="s">
        <v>4</v>
      </c>
      <c r="M58" s="52" t="s">
        <v>46</v>
      </c>
      <c r="N58" s="54" t="s">
        <v>10496</v>
      </c>
      <c r="O58" s="55" t="str">
        <f t="shared" si="1"/>
        <v>L01.00.00.10.06.00.07</v>
      </c>
      <c r="P58" s="169" t="str">
        <f t="shared" si="2"/>
        <v>Sản phẩm AMIS Đánh giá</v>
      </c>
      <c r="Q58" s="227" t="s">
        <v>12483</v>
      </c>
      <c r="R58" s="97" t="s">
        <v>10624</v>
      </c>
      <c r="S58" s="96" t="s">
        <v>453</v>
      </c>
      <c r="T58" s="96" t="s">
        <v>454</v>
      </c>
      <c r="U58" s="96" t="s">
        <v>3604</v>
      </c>
      <c r="V58" s="96"/>
      <c r="W58" s="96"/>
      <c r="X58" s="91"/>
      <c r="Y58" s="91"/>
      <c r="Z58" s="91"/>
      <c r="AA58" s="91"/>
      <c r="AB58" s="91"/>
    </row>
    <row r="59" ht="15.75" customHeight="1" outlineLevel="1">
      <c r="A59" s="51" t="s">
        <v>25</v>
      </c>
      <c r="B59" s="51" t="s">
        <v>26</v>
      </c>
      <c r="C59" s="51" t="s">
        <v>27</v>
      </c>
      <c r="D59" s="52" t="s">
        <v>4</v>
      </c>
      <c r="E59" s="53" t="s">
        <v>27</v>
      </c>
      <c r="F59" s="52" t="s">
        <v>4</v>
      </c>
      <c r="G59" s="52" t="s">
        <v>55</v>
      </c>
      <c r="H59" s="96" t="s">
        <v>454</v>
      </c>
      <c r="I59" s="325" t="s">
        <v>44</v>
      </c>
      <c r="J59" s="96" t="s">
        <v>3604</v>
      </c>
      <c r="K59" s="250" t="s">
        <v>29</v>
      </c>
      <c r="L59" s="96" t="s">
        <v>3603</v>
      </c>
      <c r="M59" s="52" t="s">
        <v>46</v>
      </c>
      <c r="N59" s="54" t="s">
        <v>10496</v>
      </c>
      <c r="O59" s="55" t="str">
        <f t="shared" si="1"/>
        <v>L01.00.00.10.06.01.07</v>
      </c>
      <c r="P59" s="169" t="str">
        <f t="shared" si="2"/>
        <v>Dự án AMIS Đánh giá</v>
      </c>
      <c r="Q59" s="227" t="s">
        <v>12486</v>
      </c>
      <c r="R59" s="96" t="s">
        <v>3605</v>
      </c>
      <c r="S59" s="96" t="s">
        <v>453</v>
      </c>
      <c r="T59" s="96" t="s">
        <v>454</v>
      </c>
      <c r="U59" s="96" t="s">
        <v>3604</v>
      </c>
      <c r="V59" s="96" t="s">
        <v>3603</v>
      </c>
      <c r="W59" s="96"/>
      <c r="X59" s="91"/>
      <c r="Y59" s="91"/>
      <c r="Z59" s="91"/>
      <c r="AA59" s="91"/>
      <c r="AB59" s="91"/>
    </row>
    <row r="60" ht="15.75" customHeight="1" outlineLevel="1">
      <c r="A60" s="51" t="s">
        <v>25</v>
      </c>
      <c r="B60" s="51" t="s">
        <v>26</v>
      </c>
      <c r="C60" s="51" t="s">
        <v>27</v>
      </c>
      <c r="D60" s="52" t="s">
        <v>4</v>
      </c>
      <c r="E60" s="53" t="s">
        <v>27</v>
      </c>
      <c r="F60" s="52" t="s">
        <v>4</v>
      </c>
      <c r="G60" s="52" t="s">
        <v>55</v>
      </c>
      <c r="H60" s="96" t="s">
        <v>454</v>
      </c>
      <c r="I60" s="325" t="s">
        <v>44</v>
      </c>
      <c r="J60" s="96" t="s">
        <v>3604</v>
      </c>
      <c r="K60" s="170" t="s">
        <v>33</v>
      </c>
      <c r="L60" s="96" t="s">
        <v>10214</v>
      </c>
      <c r="M60" s="52" t="s">
        <v>46</v>
      </c>
      <c r="N60" s="54" t="s">
        <v>10496</v>
      </c>
      <c r="O60" s="55" t="str">
        <f t="shared" si="1"/>
        <v>L01.00.00.10.06.02.07</v>
      </c>
      <c r="P60" s="169" t="str">
        <f t="shared" si="2"/>
        <v>[AMIS Đánh giá] Nhóm Phân tích &amp; Thiết kế</v>
      </c>
      <c r="Q60" s="227" t="s">
        <v>12486</v>
      </c>
      <c r="R60" s="96" t="s">
        <v>10215</v>
      </c>
      <c r="S60" s="96" t="s">
        <v>453</v>
      </c>
      <c r="T60" s="96" t="s">
        <v>454</v>
      </c>
      <c r="U60" s="96" t="s">
        <v>3604</v>
      </c>
      <c r="V60" s="96" t="s">
        <v>10214</v>
      </c>
      <c r="W60" s="96"/>
      <c r="X60" s="91"/>
      <c r="Y60" s="91"/>
      <c r="Z60" s="91"/>
      <c r="AA60" s="91"/>
      <c r="AB60" s="91"/>
    </row>
    <row r="61" ht="15.75" customHeight="1" outlineLevel="1">
      <c r="A61" s="51" t="s">
        <v>25</v>
      </c>
      <c r="B61" s="51" t="s">
        <v>26</v>
      </c>
      <c r="C61" s="51" t="s">
        <v>27</v>
      </c>
      <c r="D61" s="52" t="s">
        <v>4</v>
      </c>
      <c r="E61" s="53" t="s">
        <v>27</v>
      </c>
      <c r="F61" s="52" t="s">
        <v>4</v>
      </c>
      <c r="G61" s="52" t="s">
        <v>55</v>
      </c>
      <c r="H61" s="96" t="s">
        <v>454</v>
      </c>
      <c r="I61" s="325" t="s">
        <v>46</v>
      </c>
      <c r="J61" s="662" t="s">
        <v>3041</v>
      </c>
      <c r="K61" s="250" t="s">
        <v>27</v>
      </c>
      <c r="L61" s="663" t="s">
        <v>4</v>
      </c>
      <c r="M61" s="52" t="s">
        <v>46</v>
      </c>
      <c r="N61" s="54" t="s">
        <v>10496</v>
      </c>
      <c r="O61" s="55" t="str">
        <f t="shared" si="1"/>
        <v>L01.00.00.10.07.00.07</v>
      </c>
      <c r="P61" s="169" t="str">
        <f t="shared" si="2"/>
        <v>Sản phẩm AMIS HRM MISA</v>
      </c>
      <c r="Q61" s="227" t="s">
        <v>12483</v>
      </c>
      <c r="R61" s="97" t="s">
        <v>10629</v>
      </c>
      <c r="S61" s="96" t="s">
        <v>453</v>
      </c>
      <c r="T61" s="96" t="s">
        <v>454</v>
      </c>
      <c r="U61" s="96" t="s">
        <v>3041</v>
      </c>
      <c r="V61" s="96"/>
      <c r="W61" s="96"/>
      <c r="X61" s="91"/>
      <c r="Y61" s="91"/>
      <c r="Z61" s="91"/>
      <c r="AA61" s="91"/>
      <c r="AB61" s="91"/>
    </row>
    <row r="62" ht="15.75" customHeight="1" outlineLevel="1">
      <c r="A62" s="51" t="s">
        <v>25</v>
      </c>
      <c r="B62" s="51" t="s">
        <v>26</v>
      </c>
      <c r="C62" s="51" t="s">
        <v>27</v>
      </c>
      <c r="D62" s="52" t="s">
        <v>4</v>
      </c>
      <c r="E62" s="53" t="s">
        <v>27</v>
      </c>
      <c r="F62" s="52" t="s">
        <v>4</v>
      </c>
      <c r="G62" s="52" t="s">
        <v>55</v>
      </c>
      <c r="H62" s="96" t="s">
        <v>454</v>
      </c>
      <c r="I62" s="325" t="s">
        <v>46</v>
      </c>
      <c r="J62" s="96" t="s">
        <v>3041</v>
      </c>
      <c r="K62" s="250" t="s">
        <v>29</v>
      </c>
      <c r="L62" s="96" t="s">
        <v>5747</v>
      </c>
      <c r="M62" s="52" t="s">
        <v>46</v>
      </c>
      <c r="N62" s="54" t="s">
        <v>10496</v>
      </c>
      <c r="O62" s="55" t="str">
        <f t="shared" si="1"/>
        <v>L01.00.00.10.07.01.07</v>
      </c>
      <c r="P62" s="169" t="str">
        <f t="shared" si="2"/>
        <v>Dự án AMIS HRM MISA</v>
      </c>
      <c r="Q62" s="227" t="s">
        <v>12487</v>
      </c>
      <c r="R62" s="96" t="s">
        <v>5748</v>
      </c>
      <c r="S62" s="96" t="s">
        <v>453</v>
      </c>
      <c r="T62" s="96" t="s">
        <v>454</v>
      </c>
      <c r="U62" s="96" t="s">
        <v>3041</v>
      </c>
      <c r="V62" s="96" t="s">
        <v>5747</v>
      </c>
      <c r="W62" s="96"/>
      <c r="X62" s="91"/>
      <c r="Y62" s="91"/>
      <c r="Z62" s="91"/>
      <c r="AA62" s="91"/>
      <c r="AB62" s="91"/>
    </row>
    <row r="63" ht="15.75" customHeight="1" outlineLevel="1">
      <c r="A63" s="51" t="s">
        <v>25</v>
      </c>
      <c r="B63" s="51" t="s">
        <v>26</v>
      </c>
      <c r="C63" s="51" t="s">
        <v>27</v>
      </c>
      <c r="D63" s="52" t="s">
        <v>4</v>
      </c>
      <c r="E63" s="53" t="s">
        <v>27</v>
      </c>
      <c r="F63" s="52" t="s">
        <v>4</v>
      </c>
      <c r="G63" s="52" t="s">
        <v>55</v>
      </c>
      <c r="H63" s="96" t="s">
        <v>454</v>
      </c>
      <c r="I63" s="325" t="s">
        <v>46</v>
      </c>
      <c r="J63" s="96" t="s">
        <v>3041</v>
      </c>
      <c r="K63" s="170" t="s">
        <v>33</v>
      </c>
      <c r="L63" s="96" t="s">
        <v>3040</v>
      </c>
      <c r="M63" s="52" t="s">
        <v>46</v>
      </c>
      <c r="N63" s="54" t="s">
        <v>10496</v>
      </c>
      <c r="O63" s="55" t="str">
        <f t="shared" si="1"/>
        <v>L01.00.00.10.07.02.07</v>
      </c>
      <c r="P63" s="169" t="str">
        <f t="shared" si="2"/>
        <v>[AMIS HRM MISA] Nhóm Phân tích &amp; Thiết kế</v>
      </c>
      <c r="Q63" s="227" t="s">
        <v>12487</v>
      </c>
      <c r="R63" s="96" t="s">
        <v>3042</v>
      </c>
      <c r="S63" s="96" t="s">
        <v>453</v>
      </c>
      <c r="T63" s="96" t="s">
        <v>454</v>
      </c>
      <c r="U63" s="96" t="s">
        <v>3041</v>
      </c>
      <c r="V63" s="96" t="s">
        <v>3040</v>
      </c>
      <c r="W63" s="96"/>
      <c r="X63" s="91"/>
      <c r="Y63" s="91"/>
      <c r="Z63" s="91"/>
      <c r="AA63" s="91"/>
      <c r="AB63" s="91"/>
    </row>
    <row r="64" ht="15.75" customHeight="1" outlineLevel="1">
      <c r="A64" s="51" t="s">
        <v>25</v>
      </c>
      <c r="B64" s="51" t="s">
        <v>26</v>
      </c>
      <c r="C64" s="51" t="s">
        <v>27</v>
      </c>
      <c r="D64" s="52" t="s">
        <v>4</v>
      </c>
      <c r="E64" s="53" t="s">
        <v>27</v>
      </c>
      <c r="F64" s="52" t="s">
        <v>4</v>
      </c>
      <c r="G64" s="52" t="s">
        <v>55</v>
      </c>
      <c r="H64" s="96" t="s">
        <v>454</v>
      </c>
      <c r="I64" s="325" t="s">
        <v>49</v>
      </c>
      <c r="J64" s="96" t="s">
        <v>2676</v>
      </c>
      <c r="K64" s="215" t="s">
        <v>29</v>
      </c>
      <c r="L64" s="443"/>
      <c r="M64" s="52" t="s">
        <v>46</v>
      </c>
      <c r="N64" s="54" t="s">
        <v>10496</v>
      </c>
      <c r="O64" s="55" t="str">
        <f t="shared" si="1"/>
        <v>L01.00.00.10.08.01.07</v>
      </c>
      <c r="P64" s="169" t="str">
        <f t="shared" si="2"/>
        <v/>
      </c>
      <c r="Q64" s="227" t="s">
        <v>12483</v>
      </c>
      <c r="R64" s="96" t="s">
        <v>5297</v>
      </c>
      <c r="S64" s="96" t="s">
        <v>453</v>
      </c>
      <c r="T64" s="96" t="s">
        <v>454</v>
      </c>
      <c r="U64" s="96" t="s">
        <v>2676</v>
      </c>
      <c r="V64" s="96"/>
      <c r="W64" s="96"/>
      <c r="X64" s="91"/>
      <c r="Y64" s="91"/>
      <c r="Z64" s="91"/>
      <c r="AA64" s="91"/>
      <c r="AB64" s="91"/>
    </row>
    <row r="65" ht="15.75" customHeight="1" outlineLevel="1">
      <c r="A65" s="51" t="s">
        <v>25</v>
      </c>
      <c r="B65" s="51" t="s">
        <v>26</v>
      </c>
      <c r="C65" s="51" t="s">
        <v>27</v>
      </c>
      <c r="D65" s="52" t="s">
        <v>4</v>
      </c>
      <c r="E65" s="53" t="s">
        <v>27</v>
      </c>
      <c r="F65" s="52" t="s">
        <v>4</v>
      </c>
      <c r="G65" s="52" t="s">
        <v>55</v>
      </c>
      <c r="H65" s="96" t="s">
        <v>454</v>
      </c>
      <c r="I65" s="325" t="s">
        <v>49</v>
      </c>
      <c r="J65" s="96" t="s">
        <v>2676</v>
      </c>
      <c r="K65" s="216" t="s">
        <v>33</v>
      </c>
      <c r="L65" s="443" t="s">
        <v>2675</v>
      </c>
      <c r="M65" s="52" t="s">
        <v>46</v>
      </c>
      <c r="N65" s="54" t="s">
        <v>10496</v>
      </c>
      <c r="O65" s="55" t="str">
        <f t="shared" si="1"/>
        <v>L01.00.00.10.08.02.07</v>
      </c>
      <c r="P65" s="169" t="str">
        <f t="shared" si="2"/>
        <v>Dự án AMIS Operation</v>
      </c>
      <c r="Q65" s="227" t="s">
        <v>12488</v>
      </c>
      <c r="R65" s="96" t="s">
        <v>2677</v>
      </c>
      <c r="S65" s="96" t="s">
        <v>453</v>
      </c>
      <c r="T65" s="96" t="s">
        <v>454</v>
      </c>
      <c r="U65" s="96" t="s">
        <v>2676</v>
      </c>
      <c r="V65" s="96" t="s">
        <v>2675</v>
      </c>
      <c r="W65" s="96"/>
      <c r="X65" s="91"/>
      <c r="Y65" s="91"/>
      <c r="Z65" s="91"/>
      <c r="AA65" s="91"/>
      <c r="AB65" s="91"/>
    </row>
    <row r="66" ht="15.75" customHeight="1" outlineLevel="1">
      <c r="A66" s="51" t="s">
        <v>25</v>
      </c>
      <c r="B66" s="51" t="s">
        <v>26</v>
      </c>
      <c r="C66" s="51" t="s">
        <v>27</v>
      </c>
      <c r="D66" s="52" t="s">
        <v>4</v>
      </c>
      <c r="E66" s="53" t="s">
        <v>27</v>
      </c>
      <c r="F66" s="52" t="s">
        <v>4</v>
      </c>
      <c r="G66" s="52" t="s">
        <v>55</v>
      </c>
      <c r="H66" s="96" t="s">
        <v>454</v>
      </c>
      <c r="I66" s="325" t="s">
        <v>49</v>
      </c>
      <c r="J66" s="96" t="s">
        <v>2676</v>
      </c>
      <c r="K66" s="216" t="s">
        <v>35</v>
      </c>
      <c r="L66" s="443" t="s">
        <v>5173</v>
      </c>
      <c r="M66" s="52" t="s">
        <v>46</v>
      </c>
      <c r="N66" s="54" t="s">
        <v>10496</v>
      </c>
      <c r="O66" s="55" t="str">
        <f t="shared" si="1"/>
        <v>L01.00.00.10.08.03.07</v>
      </c>
      <c r="P66" s="169" t="str">
        <f t="shared" si="2"/>
        <v>[AMIS Operation] Nhóm Phân tích &amp; Thiết kế</v>
      </c>
      <c r="Q66" s="227" t="s">
        <v>12488</v>
      </c>
      <c r="R66" s="96" t="s">
        <v>5174</v>
      </c>
      <c r="S66" s="96" t="s">
        <v>453</v>
      </c>
      <c r="T66" s="96" t="s">
        <v>454</v>
      </c>
      <c r="U66" s="96" t="s">
        <v>2676</v>
      </c>
      <c r="V66" s="96" t="s">
        <v>5173</v>
      </c>
      <c r="W66" s="96"/>
      <c r="X66" s="91"/>
      <c r="Y66" s="91"/>
      <c r="Z66" s="91"/>
      <c r="AA66" s="91"/>
      <c r="AB66" s="91"/>
    </row>
    <row r="67" ht="15.75" customHeight="1" outlineLevel="1">
      <c r="A67" s="51" t="s">
        <v>25</v>
      </c>
      <c r="B67" s="51" t="s">
        <v>26</v>
      </c>
      <c r="C67" s="51" t="s">
        <v>27</v>
      </c>
      <c r="D67" s="52" t="s">
        <v>4</v>
      </c>
      <c r="E67" s="53" t="s">
        <v>27</v>
      </c>
      <c r="F67" s="52" t="s">
        <v>4</v>
      </c>
      <c r="G67" s="52" t="s">
        <v>55</v>
      </c>
      <c r="H67" s="96" t="s">
        <v>454</v>
      </c>
      <c r="I67" s="325" t="s">
        <v>51</v>
      </c>
      <c r="J67" s="662" t="s">
        <v>5107</v>
      </c>
      <c r="K67" s="250" t="s">
        <v>27</v>
      </c>
      <c r="L67" s="254" t="s">
        <v>4</v>
      </c>
      <c r="M67" s="52" t="s">
        <v>46</v>
      </c>
      <c r="N67" s="54" t="s">
        <v>10496</v>
      </c>
      <c r="O67" s="55" t="str">
        <f t="shared" si="1"/>
        <v>L01.00.00.10.09.00.07</v>
      </c>
      <c r="P67" s="169" t="str">
        <f t="shared" si="2"/>
        <v>Sản phẩm AMIS TMS</v>
      </c>
      <c r="Q67" s="227" t="s">
        <v>12483</v>
      </c>
      <c r="R67" s="97" t="s">
        <v>10638</v>
      </c>
      <c r="S67" s="96" t="s">
        <v>453</v>
      </c>
      <c r="T67" s="96" t="s">
        <v>454</v>
      </c>
      <c r="U67" s="96" t="s">
        <v>5107</v>
      </c>
      <c r="V67" s="96"/>
      <c r="W67" s="96"/>
      <c r="X67" s="91"/>
      <c r="Y67" s="91"/>
      <c r="Z67" s="91"/>
      <c r="AA67" s="91"/>
      <c r="AB67" s="91"/>
    </row>
    <row r="68" ht="15.75" customHeight="1" outlineLevel="1">
      <c r="A68" s="51" t="s">
        <v>25</v>
      </c>
      <c r="B68" s="51" t="s">
        <v>26</v>
      </c>
      <c r="C68" s="51" t="s">
        <v>27</v>
      </c>
      <c r="D68" s="52" t="s">
        <v>4</v>
      </c>
      <c r="E68" s="53" t="s">
        <v>27</v>
      </c>
      <c r="F68" s="52" t="s">
        <v>4</v>
      </c>
      <c r="G68" s="52" t="s">
        <v>55</v>
      </c>
      <c r="H68" s="96" t="s">
        <v>454</v>
      </c>
      <c r="I68" s="325" t="s">
        <v>51</v>
      </c>
      <c r="J68" s="96" t="s">
        <v>5107</v>
      </c>
      <c r="K68" s="250" t="s">
        <v>29</v>
      </c>
      <c r="L68" s="96" t="s">
        <v>5106</v>
      </c>
      <c r="M68" s="52" t="s">
        <v>46</v>
      </c>
      <c r="N68" s="54" t="s">
        <v>10496</v>
      </c>
      <c r="O68" s="55" t="str">
        <f t="shared" si="1"/>
        <v>L01.00.00.10.09.01.07</v>
      </c>
      <c r="P68" s="169" t="str">
        <f t="shared" si="2"/>
        <v>Dự án AMIS TMS</v>
      </c>
      <c r="Q68" s="227" t="s">
        <v>12489</v>
      </c>
      <c r="R68" s="96" t="s">
        <v>5108</v>
      </c>
      <c r="S68" s="96" t="s">
        <v>453</v>
      </c>
      <c r="T68" s="96" t="s">
        <v>454</v>
      </c>
      <c r="U68" s="96" t="s">
        <v>5107</v>
      </c>
      <c r="V68" s="96" t="s">
        <v>5106</v>
      </c>
      <c r="W68" s="96"/>
      <c r="X68" s="91"/>
      <c r="Y68" s="91"/>
      <c r="Z68" s="91"/>
      <c r="AA68" s="91"/>
      <c r="AB68" s="91"/>
    </row>
    <row r="69" ht="15.75" customHeight="1" outlineLevel="1">
      <c r="A69" s="51" t="s">
        <v>25</v>
      </c>
      <c r="B69" s="51" t="s">
        <v>26</v>
      </c>
      <c r="C69" s="51" t="s">
        <v>27</v>
      </c>
      <c r="D69" s="52" t="s">
        <v>4</v>
      </c>
      <c r="E69" s="53" t="s">
        <v>27</v>
      </c>
      <c r="F69" s="52" t="s">
        <v>4</v>
      </c>
      <c r="G69" s="52" t="s">
        <v>55</v>
      </c>
      <c r="H69" s="96" t="s">
        <v>454</v>
      </c>
      <c r="I69" s="325" t="s">
        <v>51</v>
      </c>
      <c r="J69" s="96" t="s">
        <v>5107</v>
      </c>
      <c r="K69" s="170" t="s">
        <v>33</v>
      </c>
      <c r="L69" s="96" t="s">
        <v>5604</v>
      </c>
      <c r="M69" s="52" t="s">
        <v>46</v>
      </c>
      <c r="N69" s="54" t="s">
        <v>10496</v>
      </c>
      <c r="O69" s="55" t="str">
        <f t="shared" si="1"/>
        <v>L01.00.00.10.09.02.07</v>
      </c>
      <c r="P69" s="169" t="str">
        <f t="shared" si="2"/>
        <v>[AMIS TMS] Nhóm Phân tích &amp; Thiết kế</v>
      </c>
      <c r="Q69" s="227" t="s">
        <v>12489</v>
      </c>
      <c r="R69" s="96" t="s">
        <v>5605</v>
      </c>
      <c r="S69" s="96" t="s">
        <v>453</v>
      </c>
      <c r="T69" s="96" t="s">
        <v>454</v>
      </c>
      <c r="U69" s="96" t="s">
        <v>5107</v>
      </c>
      <c r="V69" s="96" t="s">
        <v>5604</v>
      </c>
      <c r="W69" s="96"/>
      <c r="X69" s="91"/>
      <c r="Y69" s="91"/>
      <c r="Z69" s="91"/>
      <c r="AA69" s="91"/>
      <c r="AB69" s="91"/>
    </row>
    <row r="70" ht="15.75" customHeight="1" outlineLevel="1">
      <c r="A70" s="51" t="s">
        <v>25</v>
      </c>
      <c r="B70" s="51" t="s">
        <v>26</v>
      </c>
      <c r="C70" s="51" t="s">
        <v>27</v>
      </c>
      <c r="D70" s="52" t="s">
        <v>4</v>
      </c>
      <c r="E70" s="53" t="s">
        <v>27</v>
      </c>
      <c r="F70" s="52" t="s">
        <v>4</v>
      </c>
      <c r="G70" s="52" t="s">
        <v>55</v>
      </c>
      <c r="H70" s="96" t="s">
        <v>454</v>
      </c>
      <c r="I70" s="325" t="s">
        <v>55</v>
      </c>
      <c r="J70" s="667" t="s">
        <v>3048</v>
      </c>
      <c r="K70" s="250" t="s">
        <v>27</v>
      </c>
      <c r="L70" s="254" t="s">
        <v>4</v>
      </c>
      <c r="M70" s="52" t="s">
        <v>46</v>
      </c>
      <c r="N70" s="54" t="s">
        <v>10496</v>
      </c>
      <c r="O70" s="55" t="str">
        <f t="shared" si="1"/>
        <v>L01.00.00.10.10.00.07</v>
      </c>
      <c r="P70" s="169" t="str">
        <f t="shared" si="2"/>
        <v>Sản phẩm AMIS.VN Mobile</v>
      </c>
      <c r="Q70" s="227" t="s">
        <v>12483</v>
      </c>
      <c r="R70" s="97" t="s">
        <v>10643</v>
      </c>
      <c r="S70" s="96" t="s">
        <v>453</v>
      </c>
      <c r="T70" s="96" t="s">
        <v>454</v>
      </c>
      <c r="U70" s="96" t="s">
        <v>3048</v>
      </c>
      <c r="V70" s="96"/>
      <c r="W70" s="96"/>
      <c r="X70" s="91"/>
      <c r="Y70" s="91"/>
      <c r="Z70" s="91"/>
      <c r="AA70" s="91"/>
      <c r="AB70" s="91"/>
    </row>
    <row r="71" ht="15.75" customHeight="1" outlineLevel="1">
      <c r="A71" s="51" t="s">
        <v>25</v>
      </c>
      <c r="B71" s="51" t="s">
        <v>26</v>
      </c>
      <c r="C71" s="51" t="s">
        <v>27</v>
      </c>
      <c r="D71" s="52" t="s">
        <v>4</v>
      </c>
      <c r="E71" s="53" t="s">
        <v>27</v>
      </c>
      <c r="F71" s="52" t="s">
        <v>4</v>
      </c>
      <c r="G71" s="52" t="s">
        <v>55</v>
      </c>
      <c r="H71" s="96" t="s">
        <v>454</v>
      </c>
      <c r="I71" s="325" t="s">
        <v>55</v>
      </c>
      <c r="J71" s="443" t="s">
        <v>3048</v>
      </c>
      <c r="K71" s="250" t="s">
        <v>29</v>
      </c>
      <c r="L71" s="96" t="s">
        <v>3047</v>
      </c>
      <c r="M71" s="52" t="s">
        <v>46</v>
      </c>
      <c r="N71" s="54" t="s">
        <v>10496</v>
      </c>
      <c r="O71" s="55" t="str">
        <f t="shared" si="1"/>
        <v>L01.00.00.10.10.01.07</v>
      </c>
      <c r="P71" s="169" t="str">
        <f t="shared" si="2"/>
        <v>Dự án AMIS.VN Mobile</v>
      </c>
      <c r="Q71" s="227" t="s">
        <v>12490</v>
      </c>
      <c r="R71" s="96" t="s">
        <v>3049</v>
      </c>
      <c r="S71" s="96" t="s">
        <v>453</v>
      </c>
      <c r="T71" s="96" t="s">
        <v>454</v>
      </c>
      <c r="U71" s="96" t="s">
        <v>3048</v>
      </c>
      <c r="V71" s="96" t="s">
        <v>3047</v>
      </c>
      <c r="W71" s="96"/>
      <c r="X71" s="91"/>
      <c r="Y71" s="91"/>
      <c r="Z71" s="91"/>
      <c r="AA71" s="91"/>
      <c r="AB71" s="91"/>
    </row>
    <row r="72" ht="15.75" customHeight="1" outlineLevel="1">
      <c r="A72" s="51" t="s">
        <v>25</v>
      </c>
      <c r="B72" s="51" t="s">
        <v>26</v>
      </c>
      <c r="C72" s="51" t="s">
        <v>27</v>
      </c>
      <c r="D72" s="52" t="s">
        <v>4</v>
      </c>
      <c r="E72" s="53" t="s">
        <v>27</v>
      </c>
      <c r="F72" s="52" t="s">
        <v>4</v>
      </c>
      <c r="G72" s="52" t="s">
        <v>55</v>
      </c>
      <c r="H72" s="96" t="s">
        <v>454</v>
      </c>
      <c r="I72" s="325" t="s">
        <v>61</v>
      </c>
      <c r="J72" s="96" t="s">
        <v>2682</v>
      </c>
      <c r="K72" s="52" t="s">
        <v>27</v>
      </c>
      <c r="L72" s="254" t="s">
        <v>4</v>
      </c>
      <c r="M72" s="52" t="s">
        <v>46</v>
      </c>
      <c r="N72" s="54" t="s">
        <v>10496</v>
      </c>
      <c r="O72" s="55" t="str">
        <f t="shared" si="1"/>
        <v>L01.00.00.10.11.00.07</v>
      </c>
      <c r="P72" s="169" t="str">
        <f t="shared" si="2"/>
        <v>Sản phẩm iVAN</v>
      </c>
      <c r="Q72" s="227" t="s">
        <v>12483</v>
      </c>
      <c r="R72" s="96" t="s">
        <v>5025</v>
      </c>
      <c r="S72" s="96" t="s">
        <v>453</v>
      </c>
      <c r="T72" s="96" t="s">
        <v>454</v>
      </c>
      <c r="U72" s="96" t="s">
        <v>2682</v>
      </c>
      <c r="V72" s="96"/>
      <c r="W72" s="96"/>
      <c r="X72" s="91"/>
      <c r="Y72" s="91"/>
      <c r="Z72" s="91"/>
      <c r="AA72" s="91"/>
      <c r="AB72" s="91"/>
    </row>
    <row r="73" ht="15.75" customHeight="1" outlineLevel="1">
      <c r="A73" s="51" t="s">
        <v>25</v>
      </c>
      <c r="B73" s="51" t="s">
        <v>26</v>
      </c>
      <c r="C73" s="51" t="s">
        <v>27</v>
      </c>
      <c r="D73" s="52" t="s">
        <v>4</v>
      </c>
      <c r="E73" s="53" t="s">
        <v>27</v>
      </c>
      <c r="F73" s="52" t="s">
        <v>4</v>
      </c>
      <c r="G73" s="52" t="s">
        <v>55</v>
      </c>
      <c r="H73" s="96" t="s">
        <v>454</v>
      </c>
      <c r="I73" s="325" t="s">
        <v>61</v>
      </c>
      <c r="J73" s="96" t="s">
        <v>2682</v>
      </c>
      <c r="K73" s="250" t="s">
        <v>29</v>
      </c>
      <c r="L73" s="96" t="s">
        <v>2681</v>
      </c>
      <c r="M73" s="52" t="s">
        <v>46</v>
      </c>
      <c r="N73" s="54" t="s">
        <v>10496</v>
      </c>
      <c r="O73" s="55" t="str">
        <f t="shared" si="1"/>
        <v>L01.00.00.10.11.01.07</v>
      </c>
      <c r="P73" s="169" t="str">
        <f t="shared" si="2"/>
        <v>Dự án iVAN</v>
      </c>
      <c r="Q73" s="227" t="s">
        <v>12491</v>
      </c>
      <c r="R73" s="96" t="s">
        <v>2683</v>
      </c>
      <c r="S73" s="96" t="s">
        <v>453</v>
      </c>
      <c r="T73" s="96" t="s">
        <v>454</v>
      </c>
      <c r="U73" s="96" t="s">
        <v>2682</v>
      </c>
      <c r="V73" s="96" t="s">
        <v>2681</v>
      </c>
      <c r="W73" s="96"/>
      <c r="X73" s="91"/>
      <c r="Y73" s="91"/>
      <c r="Z73" s="91"/>
      <c r="AA73" s="91"/>
      <c r="AB73" s="91"/>
    </row>
    <row r="74" ht="15.75" customHeight="1" outlineLevel="1">
      <c r="A74" s="51" t="s">
        <v>25</v>
      </c>
      <c r="B74" s="51" t="s">
        <v>26</v>
      </c>
      <c r="C74" s="51" t="s">
        <v>27</v>
      </c>
      <c r="D74" s="52" t="s">
        <v>4</v>
      </c>
      <c r="E74" s="53" t="s">
        <v>27</v>
      </c>
      <c r="F74" s="52" t="s">
        <v>4</v>
      </c>
      <c r="G74" s="52" t="s">
        <v>55</v>
      </c>
      <c r="H74" s="96" t="s">
        <v>454</v>
      </c>
      <c r="I74" s="325" t="s">
        <v>61</v>
      </c>
      <c r="J74" s="96" t="s">
        <v>2682</v>
      </c>
      <c r="K74" s="170" t="s">
        <v>33</v>
      </c>
      <c r="L74" s="96" t="s">
        <v>5492</v>
      </c>
      <c r="M74" s="52" t="s">
        <v>46</v>
      </c>
      <c r="N74" s="54" t="s">
        <v>10496</v>
      </c>
      <c r="O74" s="55" t="str">
        <f t="shared" si="1"/>
        <v>L01.00.00.10.11.02.07</v>
      </c>
      <c r="P74" s="169" t="str">
        <f t="shared" si="2"/>
        <v>[iVAN] Nhóm Phân tích &amp; Thiết kế</v>
      </c>
      <c r="Q74" s="227" t="s">
        <v>12491</v>
      </c>
      <c r="R74" s="96" t="s">
        <v>5493</v>
      </c>
      <c r="S74" s="96" t="s">
        <v>453</v>
      </c>
      <c r="T74" s="96" t="s">
        <v>454</v>
      </c>
      <c r="U74" s="96" t="s">
        <v>2682</v>
      </c>
      <c r="V74" s="96" t="s">
        <v>5492</v>
      </c>
      <c r="W74" s="96"/>
      <c r="X74" s="91"/>
      <c r="Y74" s="91"/>
      <c r="Z74" s="91"/>
      <c r="AA74" s="91"/>
      <c r="AB74" s="91"/>
    </row>
    <row r="75" ht="15.75" customHeight="1" outlineLevel="1">
      <c r="A75" s="51" t="s">
        <v>25</v>
      </c>
      <c r="B75" s="51" t="s">
        <v>26</v>
      </c>
      <c r="C75" s="51" t="s">
        <v>27</v>
      </c>
      <c r="D75" s="52" t="s">
        <v>4</v>
      </c>
      <c r="E75" s="53" t="s">
        <v>27</v>
      </c>
      <c r="F75" s="52" t="s">
        <v>4</v>
      </c>
      <c r="G75" s="52" t="s">
        <v>55</v>
      </c>
      <c r="H75" s="96" t="s">
        <v>454</v>
      </c>
      <c r="I75" s="325" t="s">
        <v>64</v>
      </c>
      <c r="J75" s="662" t="s">
        <v>3188</v>
      </c>
      <c r="K75" s="250" t="s">
        <v>27</v>
      </c>
      <c r="L75" s="254" t="s">
        <v>4</v>
      </c>
      <c r="M75" s="52" t="s">
        <v>46</v>
      </c>
      <c r="N75" s="54" t="s">
        <v>10496</v>
      </c>
      <c r="O75" s="55" t="str">
        <f t="shared" si="1"/>
        <v>L01.00.00.10.12.00.07</v>
      </c>
      <c r="P75" s="169" t="str">
        <f t="shared" si="2"/>
        <v>Sản phẩm AMIS Kế toán</v>
      </c>
      <c r="Q75" s="227" t="s">
        <v>12483</v>
      </c>
      <c r="R75" s="97" t="s">
        <v>10651</v>
      </c>
      <c r="S75" s="96" t="s">
        <v>453</v>
      </c>
      <c r="T75" s="96" t="s">
        <v>454</v>
      </c>
      <c r="U75" s="96" t="s">
        <v>3188</v>
      </c>
      <c r="V75" s="96" t="s">
        <v>3419</v>
      </c>
      <c r="W75" s="96"/>
      <c r="X75" s="91"/>
      <c r="Y75" s="91"/>
      <c r="Z75" s="91"/>
      <c r="AA75" s="91"/>
      <c r="AB75" s="91"/>
    </row>
    <row r="76" ht="15.75" customHeight="1" outlineLevel="1">
      <c r="A76" s="51" t="s">
        <v>25</v>
      </c>
      <c r="B76" s="51" t="s">
        <v>26</v>
      </c>
      <c r="C76" s="51" t="s">
        <v>27</v>
      </c>
      <c r="D76" s="52" t="s">
        <v>4</v>
      </c>
      <c r="E76" s="53" t="s">
        <v>27</v>
      </c>
      <c r="F76" s="52" t="s">
        <v>4</v>
      </c>
      <c r="G76" s="52" t="s">
        <v>55</v>
      </c>
      <c r="H76" s="96" t="s">
        <v>454</v>
      </c>
      <c r="I76" s="325" t="s">
        <v>64</v>
      </c>
      <c r="J76" s="96" t="s">
        <v>3188</v>
      </c>
      <c r="K76" s="250" t="s">
        <v>29</v>
      </c>
      <c r="L76" s="96" t="s">
        <v>3419</v>
      </c>
      <c r="M76" s="52" t="s">
        <v>46</v>
      </c>
      <c r="N76" s="54" t="s">
        <v>10496</v>
      </c>
      <c r="O76" s="55" t="str">
        <f t="shared" si="1"/>
        <v>L01.00.00.10.12.01.07</v>
      </c>
      <c r="P76" s="169" t="str">
        <f t="shared" si="2"/>
        <v>Dự án AMIS Kế toán</v>
      </c>
      <c r="Q76" s="227" t="s">
        <v>12492</v>
      </c>
      <c r="R76" s="96" t="s">
        <v>3420</v>
      </c>
      <c r="S76" s="96" t="s">
        <v>453</v>
      </c>
      <c r="T76" s="96" t="s">
        <v>454</v>
      </c>
      <c r="U76" s="96" t="s">
        <v>3188</v>
      </c>
      <c r="V76" s="96" t="s">
        <v>3419</v>
      </c>
      <c r="W76" s="96"/>
      <c r="X76" s="91"/>
      <c r="Y76" s="91"/>
      <c r="Z76" s="91"/>
      <c r="AA76" s="91"/>
      <c r="AB76" s="91"/>
    </row>
    <row r="77" ht="15.75" customHeight="1" outlineLevel="1">
      <c r="A77" s="51" t="s">
        <v>25</v>
      </c>
      <c r="B77" s="51" t="s">
        <v>26</v>
      </c>
      <c r="C77" s="51" t="s">
        <v>27</v>
      </c>
      <c r="D77" s="52" t="s">
        <v>4</v>
      </c>
      <c r="E77" s="53" t="s">
        <v>27</v>
      </c>
      <c r="F77" s="52" t="s">
        <v>4</v>
      </c>
      <c r="G77" s="52" t="s">
        <v>55</v>
      </c>
      <c r="H77" s="96" t="s">
        <v>454</v>
      </c>
      <c r="I77" s="325" t="s">
        <v>64</v>
      </c>
      <c r="J77" s="96" t="s">
        <v>3188</v>
      </c>
      <c r="K77" s="170" t="s">
        <v>33</v>
      </c>
      <c r="L77" s="96" t="s">
        <v>3187</v>
      </c>
      <c r="M77" s="52" t="s">
        <v>46</v>
      </c>
      <c r="N77" s="54" t="s">
        <v>10496</v>
      </c>
      <c r="O77" s="55" t="str">
        <f t="shared" si="1"/>
        <v>L01.00.00.10.12.02.07</v>
      </c>
      <c r="P77" s="169" t="str">
        <f t="shared" si="2"/>
        <v>[AMIS Kế toán] Nhóm Phân tích &amp; Thiết kế</v>
      </c>
      <c r="Q77" s="227" t="s">
        <v>12492</v>
      </c>
      <c r="R77" s="96" t="s">
        <v>3189</v>
      </c>
      <c r="S77" s="96" t="s">
        <v>453</v>
      </c>
      <c r="T77" s="96" t="s">
        <v>454</v>
      </c>
      <c r="U77" s="96" t="s">
        <v>3188</v>
      </c>
      <c r="V77" s="96" t="s">
        <v>3187</v>
      </c>
      <c r="W77" s="96"/>
      <c r="X77" s="91"/>
      <c r="Y77" s="91"/>
      <c r="Z77" s="91"/>
      <c r="AA77" s="91"/>
      <c r="AB77" s="91"/>
    </row>
    <row r="78" ht="15.75" customHeight="1" outlineLevel="1">
      <c r="A78" s="51" t="s">
        <v>25</v>
      </c>
      <c r="B78" s="51" t="s">
        <v>26</v>
      </c>
      <c r="C78" s="51" t="s">
        <v>27</v>
      </c>
      <c r="D78" s="52" t="s">
        <v>4</v>
      </c>
      <c r="E78" s="53" t="s">
        <v>27</v>
      </c>
      <c r="F78" s="52" t="s">
        <v>4</v>
      </c>
      <c r="G78" s="52" t="s">
        <v>55</v>
      </c>
      <c r="H78" s="96" t="s">
        <v>454</v>
      </c>
      <c r="I78" s="325" t="s">
        <v>67</v>
      </c>
      <c r="J78" s="662" t="s">
        <v>5599</v>
      </c>
      <c r="K78" s="250" t="s">
        <v>27</v>
      </c>
      <c r="L78" s="254" t="s">
        <v>4</v>
      </c>
      <c r="M78" s="52" t="s">
        <v>46</v>
      </c>
      <c r="N78" s="54" t="s">
        <v>10496</v>
      </c>
      <c r="O78" s="55" t="str">
        <f t="shared" si="1"/>
        <v>L01.00.00.10.13.00.07</v>
      </c>
      <c r="P78" s="169" t="str">
        <f t="shared" si="2"/>
        <v>Sản phẩm AMIS Mua hàng</v>
      </c>
      <c r="Q78" s="227" t="s">
        <v>12483</v>
      </c>
      <c r="R78" s="97" t="s">
        <v>10656</v>
      </c>
      <c r="S78" s="96" t="s">
        <v>453</v>
      </c>
      <c r="T78" s="96" t="s">
        <v>454</v>
      </c>
      <c r="U78" s="96" t="s">
        <v>5599</v>
      </c>
      <c r="V78" s="96" t="s">
        <v>5598</v>
      </c>
      <c r="W78" s="96"/>
      <c r="X78" s="91"/>
      <c r="Y78" s="91"/>
      <c r="Z78" s="91"/>
      <c r="AA78" s="91"/>
      <c r="AB78" s="91"/>
    </row>
    <row r="79" ht="15.75" customHeight="1" outlineLevel="1">
      <c r="A79" s="51" t="s">
        <v>25</v>
      </c>
      <c r="B79" s="51" t="s">
        <v>26</v>
      </c>
      <c r="C79" s="51" t="s">
        <v>27</v>
      </c>
      <c r="D79" s="52" t="s">
        <v>4</v>
      </c>
      <c r="E79" s="53" t="s">
        <v>27</v>
      </c>
      <c r="F79" s="52" t="s">
        <v>4</v>
      </c>
      <c r="G79" s="52" t="s">
        <v>55</v>
      </c>
      <c r="H79" s="96" t="s">
        <v>454</v>
      </c>
      <c r="I79" s="325" t="s">
        <v>67</v>
      </c>
      <c r="J79" s="96" t="s">
        <v>5599</v>
      </c>
      <c r="K79" s="250" t="s">
        <v>29</v>
      </c>
      <c r="L79" s="96" t="s">
        <v>5598</v>
      </c>
      <c r="M79" s="52" t="s">
        <v>46</v>
      </c>
      <c r="N79" s="54" t="s">
        <v>10496</v>
      </c>
      <c r="O79" s="55" t="str">
        <f t="shared" si="1"/>
        <v>L01.00.00.10.13.01.07</v>
      </c>
      <c r="P79" s="169" t="str">
        <f t="shared" si="2"/>
        <v>[AMIS Mua hàng] Nhóm Phân tích &amp; Thiết kế</v>
      </c>
      <c r="Q79" s="227" t="s">
        <v>12493</v>
      </c>
      <c r="R79" s="96" t="s">
        <v>5600</v>
      </c>
      <c r="S79" s="96" t="s">
        <v>453</v>
      </c>
      <c r="T79" s="96" t="s">
        <v>454</v>
      </c>
      <c r="U79" s="96" t="s">
        <v>5599</v>
      </c>
      <c r="V79" s="96" t="s">
        <v>5598</v>
      </c>
      <c r="W79" s="96"/>
      <c r="X79" s="91"/>
      <c r="Y79" s="91"/>
      <c r="Z79" s="91"/>
      <c r="AA79" s="91"/>
      <c r="AB79" s="91"/>
    </row>
    <row r="80" ht="15.75" customHeight="1" outlineLevel="1">
      <c r="A80" s="51" t="s">
        <v>25</v>
      </c>
      <c r="B80" s="51" t="s">
        <v>26</v>
      </c>
      <c r="C80" s="51" t="s">
        <v>27</v>
      </c>
      <c r="D80" s="52" t="s">
        <v>4</v>
      </c>
      <c r="E80" s="53" t="s">
        <v>27</v>
      </c>
      <c r="F80" s="52" t="s">
        <v>4</v>
      </c>
      <c r="G80" s="52" t="s">
        <v>55</v>
      </c>
      <c r="H80" s="96" t="s">
        <v>454</v>
      </c>
      <c r="I80" s="325" t="s">
        <v>69</v>
      </c>
      <c r="J80" s="96" t="s">
        <v>4823</v>
      </c>
      <c r="K80" s="52" t="s">
        <v>27</v>
      </c>
      <c r="L80" s="254" t="s">
        <v>4</v>
      </c>
      <c r="M80" s="52" t="s">
        <v>46</v>
      </c>
      <c r="N80" s="54" t="s">
        <v>10496</v>
      </c>
      <c r="O80" s="55" t="str">
        <f t="shared" si="1"/>
        <v>L01.00.00.10.14.00.07</v>
      </c>
      <c r="P80" s="169" t="str">
        <f t="shared" si="2"/>
        <v>Sản phẩm MISA meInvoice</v>
      </c>
      <c r="Q80" s="227" t="s">
        <v>12483</v>
      </c>
      <c r="R80" s="96" t="s">
        <v>5410</v>
      </c>
      <c r="S80" s="96" t="s">
        <v>453</v>
      </c>
      <c r="T80" s="96" t="s">
        <v>454</v>
      </c>
      <c r="U80" s="96" t="s">
        <v>4823</v>
      </c>
      <c r="V80" s="96"/>
      <c r="W80" s="96"/>
      <c r="X80" s="91"/>
      <c r="Y80" s="91"/>
      <c r="Z80" s="91"/>
      <c r="AA80" s="91"/>
      <c r="AB80" s="91"/>
    </row>
    <row r="81" ht="15.75" customHeight="1" outlineLevel="1">
      <c r="A81" s="51" t="s">
        <v>25</v>
      </c>
      <c r="B81" s="51" t="s">
        <v>26</v>
      </c>
      <c r="C81" s="51" t="s">
        <v>27</v>
      </c>
      <c r="D81" s="52" t="s">
        <v>4</v>
      </c>
      <c r="E81" s="53" t="s">
        <v>27</v>
      </c>
      <c r="F81" s="52" t="s">
        <v>4</v>
      </c>
      <c r="G81" s="52" t="s">
        <v>55</v>
      </c>
      <c r="H81" s="96" t="s">
        <v>454</v>
      </c>
      <c r="I81" s="325" t="s">
        <v>69</v>
      </c>
      <c r="J81" s="96" t="s">
        <v>4823</v>
      </c>
      <c r="K81" s="250" t="s">
        <v>29</v>
      </c>
      <c r="L81" s="96" t="s">
        <v>5124</v>
      </c>
      <c r="M81" s="52" t="s">
        <v>46</v>
      </c>
      <c r="N81" s="54" t="s">
        <v>10496</v>
      </c>
      <c r="O81" s="55" t="str">
        <f t="shared" si="1"/>
        <v>L01.00.00.10.14.01.07</v>
      </c>
      <c r="P81" s="169" t="str">
        <f t="shared" si="2"/>
        <v>Dự án MISA meInvoice Desktop</v>
      </c>
      <c r="Q81" s="227" t="s">
        <v>12494</v>
      </c>
      <c r="R81" s="96" t="s">
        <v>5125</v>
      </c>
      <c r="S81" s="96" t="s">
        <v>453</v>
      </c>
      <c r="T81" s="96" t="s">
        <v>454</v>
      </c>
      <c r="U81" s="96" t="s">
        <v>4823</v>
      </c>
      <c r="V81" s="96" t="s">
        <v>5124</v>
      </c>
      <c r="W81" s="96"/>
      <c r="X81" s="91"/>
      <c r="Y81" s="91"/>
      <c r="Z81" s="91"/>
      <c r="AA81" s="91"/>
      <c r="AB81" s="91"/>
    </row>
    <row r="82" ht="15.75" customHeight="1" outlineLevel="1">
      <c r="A82" s="51" t="s">
        <v>25</v>
      </c>
      <c r="B82" s="51" t="s">
        <v>26</v>
      </c>
      <c r="C82" s="51" t="s">
        <v>27</v>
      </c>
      <c r="D82" s="52" t="s">
        <v>4</v>
      </c>
      <c r="E82" s="53" t="s">
        <v>27</v>
      </c>
      <c r="F82" s="52" t="s">
        <v>4</v>
      </c>
      <c r="G82" s="52" t="s">
        <v>55</v>
      </c>
      <c r="H82" s="96" t="s">
        <v>454</v>
      </c>
      <c r="I82" s="325" t="s">
        <v>69</v>
      </c>
      <c r="J82" s="96" t="s">
        <v>4823</v>
      </c>
      <c r="K82" s="170" t="s">
        <v>33</v>
      </c>
      <c r="L82" s="96" t="s">
        <v>4895</v>
      </c>
      <c r="M82" s="52" t="s">
        <v>46</v>
      </c>
      <c r="N82" s="54" t="s">
        <v>10496</v>
      </c>
      <c r="O82" s="55" t="str">
        <f t="shared" si="1"/>
        <v>L01.00.00.10.14.02.07</v>
      </c>
      <c r="P82" s="169" t="str">
        <f t="shared" si="2"/>
        <v>Dự án MISA invoiceBot</v>
      </c>
      <c r="Q82" s="227" t="s">
        <v>12494</v>
      </c>
      <c r="R82" s="96" t="s">
        <v>4896</v>
      </c>
      <c r="S82" s="96" t="s">
        <v>453</v>
      </c>
      <c r="T82" s="96" t="s">
        <v>454</v>
      </c>
      <c r="U82" s="96" t="s">
        <v>4823</v>
      </c>
      <c r="V82" s="96" t="s">
        <v>4895</v>
      </c>
      <c r="W82" s="96"/>
      <c r="X82" s="91"/>
      <c r="Y82" s="91"/>
      <c r="Z82" s="91"/>
      <c r="AA82" s="91"/>
      <c r="AB82" s="91"/>
    </row>
    <row r="83" ht="15.75" customHeight="1" outlineLevel="1">
      <c r="A83" s="51" t="s">
        <v>25</v>
      </c>
      <c r="B83" s="51" t="s">
        <v>26</v>
      </c>
      <c r="C83" s="51" t="s">
        <v>27</v>
      </c>
      <c r="D83" s="52" t="s">
        <v>4</v>
      </c>
      <c r="E83" s="53" t="s">
        <v>27</v>
      </c>
      <c r="F83" s="52" t="s">
        <v>4</v>
      </c>
      <c r="G83" s="52" t="s">
        <v>55</v>
      </c>
      <c r="H83" s="96" t="s">
        <v>454</v>
      </c>
      <c r="I83" s="325" t="s">
        <v>69</v>
      </c>
      <c r="J83" s="96" t="s">
        <v>4823</v>
      </c>
      <c r="K83" s="170" t="s">
        <v>35</v>
      </c>
      <c r="L83" s="96" t="s">
        <v>5118</v>
      </c>
      <c r="M83" s="52" t="s">
        <v>46</v>
      </c>
      <c r="N83" s="54" t="s">
        <v>10496</v>
      </c>
      <c r="O83" s="55" t="str">
        <f t="shared" si="1"/>
        <v>L01.00.00.10.14.03.07</v>
      </c>
      <c r="P83" s="169" t="str">
        <f t="shared" si="2"/>
        <v>[MISA meInvoice] Nhóm Phân tích &amp; Thiết kế</v>
      </c>
      <c r="Q83" s="227" t="s">
        <v>12494</v>
      </c>
      <c r="R83" s="96" t="s">
        <v>5119</v>
      </c>
      <c r="S83" s="96" t="s">
        <v>453</v>
      </c>
      <c r="T83" s="96" t="s">
        <v>454</v>
      </c>
      <c r="U83" s="96" t="s">
        <v>4823</v>
      </c>
      <c r="V83" s="96" t="s">
        <v>5118</v>
      </c>
      <c r="W83" s="96"/>
      <c r="X83" s="91"/>
      <c r="Y83" s="91"/>
      <c r="Z83" s="91"/>
      <c r="AA83" s="91"/>
      <c r="AB83" s="91"/>
    </row>
    <row r="84" ht="15.75" customHeight="1" outlineLevel="1">
      <c r="A84" s="51" t="s">
        <v>25</v>
      </c>
      <c r="B84" s="51" t="s">
        <v>26</v>
      </c>
      <c r="C84" s="51" t="s">
        <v>27</v>
      </c>
      <c r="D84" s="52" t="s">
        <v>4</v>
      </c>
      <c r="E84" s="53" t="s">
        <v>27</v>
      </c>
      <c r="F84" s="52" t="s">
        <v>4</v>
      </c>
      <c r="G84" s="52" t="s">
        <v>55</v>
      </c>
      <c r="H84" s="96" t="s">
        <v>454</v>
      </c>
      <c r="I84" s="325" t="s">
        <v>69</v>
      </c>
      <c r="J84" s="96" t="s">
        <v>4823</v>
      </c>
      <c r="K84" s="170" t="s">
        <v>37</v>
      </c>
      <c r="L84" s="96" t="s">
        <v>4822</v>
      </c>
      <c r="M84" s="52" t="s">
        <v>46</v>
      </c>
      <c r="N84" s="54" t="s">
        <v>10496</v>
      </c>
      <c r="O84" s="55" t="str">
        <f t="shared" si="1"/>
        <v>L01.00.00.10.14.04.07</v>
      </c>
      <c r="P84" s="169" t="str">
        <f t="shared" si="2"/>
        <v>Dự án MISA meInvoice</v>
      </c>
      <c r="Q84" s="227" t="s">
        <v>12494</v>
      </c>
      <c r="R84" s="96" t="s">
        <v>4824</v>
      </c>
      <c r="S84" s="96" t="s">
        <v>453</v>
      </c>
      <c r="T84" s="96" t="s">
        <v>454</v>
      </c>
      <c r="U84" s="96" t="s">
        <v>4823</v>
      </c>
      <c r="V84" s="96" t="s">
        <v>4822</v>
      </c>
      <c r="W84" s="96"/>
      <c r="X84" s="91"/>
      <c r="Y84" s="91"/>
      <c r="Z84" s="91"/>
      <c r="AA84" s="91"/>
      <c r="AB84" s="91"/>
    </row>
    <row r="85" ht="15.75" customHeight="1" outlineLevel="1">
      <c r="A85" s="51" t="s">
        <v>25</v>
      </c>
      <c r="B85" s="51" t="s">
        <v>26</v>
      </c>
      <c r="C85" s="51" t="s">
        <v>27</v>
      </c>
      <c r="D85" s="52" t="s">
        <v>4</v>
      </c>
      <c r="E85" s="53" t="s">
        <v>27</v>
      </c>
      <c r="F85" s="52" t="s">
        <v>4</v>
      </c>
      <c r="G85" s="52" t="s">
        <v>55</v>
      </c>
      <c r="H85" s="96" t="s">
        <v>454</v>
      </c>
      <c r="I85" s="325" t="s">
        <v>71</v>
      </c>
      <c r="J85" s="662" t="s">
        <v>2903</v>
      </c>
      <c r="K85" s="250" t="s">
        <v>27</v>
      </c>
      <c r="L85" s="254" t="s">
        <v>4</v>
      </c>
      <c r="M85" s="52" t="s">
        <v>46</v>
      </c>
      <c r="N85" s="54" t="s">
        <v>10496</v>
      </c>
      <c r="O85" s="55" t="str">
        <f t="shared" si="1"/>
        <v>L01.00.00.10.15.00.07</v>
      </c>
      <c r="P85" s="169" t="str">
        <f t="shared" si="2"/>
        <v>Sản phẩm AMIS CRM (KH)</v>
      </c>
      <c r="Q85" s="227" t="s">
        <v>12483</v>
      </c>
      <c r="R85" s="97" t="s">
        <v>10666</v>
      </c>
      <c r="S85" s="96" t="s">
        <v>453</v>
      </c>
      <c r="T85" s="96" t="s">
        <v>454</v>
      </c>
      <c r="U85" s="96" t="s">
        <v>2903</v>
      </c>
      <c r="V85" s="96"/>
      <c r="W85" s="96"/>
      <c r="X85" s="91"/>
      <c r="Y85" s="91"/>
      <c r="Z85" s="91"/>
      <c r="AA85" s="91"/>
      <c r="AB85" s="91"/>
    </row>
    <row r="86" ht="15.75" customHeight="1" outlineLevel="1">
      <c r="A86" s="51" t="s">
        <v>25</v>
      </c>
      <c r="B86" s="51" t="s">
        <v>26</v>
      </c>
      <c r="C86" s="51" t="s">
        <v>27</v>
      </c>
      <c r="D86" s="52" t="s">
        <v>4</v>
      </c>
      <c r="E86" s="53" t="s">
        <v>27</v>
      </c>
      <c r="F86" s="52" t="s">
        <v>4</v>
      </c>
      <c r="G86" s="52" t="s">
        <v>55</v>
      </c>
      <c r="H86" s="96" t="s">
        <v>454</v>
      </c>
      <c r="I86" s="325" t="s">
        <v>71</v>
      </c>
      <c r="J86" s="96" t="s">
        <v>2903</v>
      </c>
      <c r="K86" s="250" t="s">
        <v>29</v>
      </c>
      <c r="L86" s="96" t="s">
        <v>2902</v>
      </c>
      <c r="M86" s="52" t="s">
        <v>46</v>
      </c>
      <c r="N86" s="54" t="s">
        <v>10496</v>
      </c>
      <c r="O86" s="55" t="str">
        <f t="shared" si="1"/>
        <v>L01.00.00.10.15.01.07</v>
      </c>
      <c r="P86" s="169" t="str">
        <f t="shared" si="2"/>
        <v>Dự án AMIS CRM (KH)</v>
      </c>
      <c r="Q86" s="227" t="s">
        <v>12495</v>
      </c>
      <c r="R86" s="96" t="s">
        <v>2904</v>
      </c>
      <c r="S86" s="96" t="s">
        <v>453</v>
      </c>
      <c r="T86" s="96" t="s">
        <v>454</v>
      </c>
      <c r="U86" s="96" t="s">
        <v>2903</v>
      </c>
      <c r="V86" s="96" t="s">
        <v>2902</v>
      </c>
      <c r="W86" s="96"/>
      <c r="X86" s="91"/>
      <c r="Y86" s="91"/>
      <c r="Z86" s="91"/>
      <c r="AA86" s="91"/>
      <c r="AB86" s="91"/>
    </row>
    <row r="87" ht="15.75" customHeight="1" outlineLevel="1">
      <c r="A87" s="51" t="s">
        <v>25</v>
      </c>
      <c r="B87" s="51" t="s">
        <v>26</v>
      </c>
      <c r="C87" s="51" t="s">
        <v>27</v>
      </c>
      <c r="D87" s="52" t="s">
        <v>4</v>
      </c>
      <c r="E87" s="53" t="s">
        <v>27</v>
      </c>
      <c r="F87" s="52" t="s">
        <v>4</v>
      </c>
      <c r="G87" s="52" t="s">
        <v>55</v>
      </c>
      <c r="H87" s="96" t="s">
        <v>454</v>
      </c>
      <c r="I87" s="325" t="s">
        <v>71</v>
      </c>
      <c r="J87" s="96" t="s">
        <v>2903</v>
      </c>
      <c r="K87" s="170" t="s">
        <v>33</v>
      </c>
      <c r="L87" s="96" t="s">
        <v>4953</v>
      </c>
      <c r="M87" s="52" t="s">
        <v>46</v>
      </c>
      <c r="N87" s="54" t="s">
        <v>10496</v>
      </c>
      <c r="O87" s="55" t="str">
        <f t="shared" si="1"/>
        <v>L01.00.00.10.15.02.07</v>
      </c>
      <c r="P87" s="169" t="str">
        <f t="shared" si="2"/>
        <v>[AMIS CRM KH] Nhóm Phân tích &amp; Thiết kế</v>
      </c>
      <c r="Q87" s="227" t="s">
        <v>12495</v>
      </c>
      <c r="R87" s="96" t="s">
        <v>4954</v>
      </c>
      <c r="S87" s="96" t="s">
        <v>453</v>
      </c>
      <c r="T87" s="96" t="s">
        <v>454</v>
      </c>
      <c r="U87" s="96" t="s">
        <v>2903</v>
      </c>
      <c r="V87" s="96" t="s">
        <v>4953</v>
      </c>
      <c r="W87" s="96"/>
      <c r="X87" s="91"/>
      <c r="Y87" s="91"/>
      <c r="Z87" s="91"/>
      <c r="AA87" s="91"/>
      <c r="AB87" s="91"/>
    </row>
    <row r="88" ht="15.75" customHeight="1" outlineLevel="1">
      <c r="A88" s="51" t="s">
        <v>25</v>
      </c>
      <c r="B88" s="51" t="s">
        <v>26</v>
      </c>
      <c r="C88" s="51" t="s">
        <v>27</v>
      </c>
      <c r="D88" s="52" t="s">
        <v>4</v>
      </c>
      <c r="E88" s="53" t="s">
        <v>27</v>
      </c>
      <c r="F88" s="52" t="s">
        <v>4</v>
      </c>
      <c r="G88" s="52" t="s">
        <v>55</v>
      </c>
      <c r="H88" s="96" t="s">
        <v>454</v>
      </c>
      <c r="I88" s="325" t="s">
        <v>10671</v>
      </c>
      <c r="J88" s="96" t="s">
        <v>4777</v>
      </c>
      <c r="K88" s="52" t="s">
        <v>27</v>
      </c>
      <c r="L88" s="254" t="s">
        <v>4</v>
      </c>
      <c r="M88" s="52" t="s">
        <v>46</v>
      </c>
      <c r="N88" s="54" t="s">
        <v>10496</v>
      </c>
      <c r="O88" s="55" t="str">
        <f t="shared" si="1"/>
        <v>L01.00.00.10.16.00.07</v>
      </c>
      <c r="P88" s="169" t="str">
        <f t="shared" si="2"/>
        <v>Sản phẩm MISA eSign</v>
      </c>
      <c r="Q88" s="227" t="s">
        <v>12483</v>
      </c>
      <c r="R88" s="96" t="s">
        <v>4778</v>
      </c>
      <c r="S88" s="96" t="s">
        <v>453</v>
      </c>
      <c r="T88" s="96" t="s">
        <v>454</v>
      </c>
      <c r="U88" s="96" t="s">
        <v>4777</v>
      </c>
      <c r="V88" s="96"/>
      <c r="W88" s="96"/>
      <c r="X88" s="91"/>
      <c r="Y88" s="91"/>
      <c r="Z88" s="91"/>
      <c r="AA88" s="91"/>
      <c r="AB88" s="91"/>
    </row>
    <row r="89" ht="15.75" customHeight="1" outlineLevel="1">
      <c r="A89" s="51" t="s">
        <v>25</v>
      </c>
      <c r="B89" s="51" t="s">
        <v>26</v>
      </c>
      <c r="C89" s="51" t="s">
        <v>27</v>
      </c>
      <c r="D89" s="52" t="s">
        <v>4</v>
      </c>
      <c r="E89" s="53" t="s">
        <v>27</v>
      </c>
      <c r="F89" s="52" t="s">
        <v>4</v>
      </c>
      <c r="G89" s="52" t="s">
        <v>55</v>
      </c>
      <c r="H89" s="96" t="s">
        <v>454</v>
      </c>
      <c r="I89" s="325" t="s">
        <v>10671</v>
      </c>
      <c r="J89" s="96" t="s">
        <v>4777</v>
      </c>
      <c r="K89" s="250" t="s">
        <v>29</v>
      </c>
      <c r="L89" s="96" t="s">
        <v>5506</v>
      </c>
      <c r="M89" s="52" t="s">
        <v>46</v>
      </c>
      <c r="N89" s="54" t="s">
        <v>10496</v>
      </c>
      <c r="O89" s="55" t="str">
        <f t="shared" si="1"/>
        <v>L01.00.00.10.16.01.07</v>
      </c>
      <c r="P89" s="169" t="str">
        <f t="shared" si="2"/>
        <v>Dự án MISA eSign</v>
      </c>
      <c r="Q89" s="227" t="s">
        <v>12496</v>
      </c>
      <c r="R89" s="96" t="s">
        <v>5507</v>
      </c>
      <c r="S89" s="96" t="s">
        <v>453</v>
      </c>
      <c r="T89" s="96" t="s">
        <v>454</v>
      </c>
      <c r="U89" s="96" t="s">
        <v>4777</v>
      </c>
      <c r="V89" s="96" t="s">
        <v>5506</v>
      </c>
      <c r="W89" s="96"/>
      <c r="X89" s="91"/>
      <c r="Y89" s="91"/>
      <c r="Z89" s="91"/>
      <c r="AA89" s="91"/>
      <c r="AB89" s="91"/>
    </row>
    <row r="90" ht="15.75" customHeight="1" outlineLevel="1">
      <c r="A90" s="51" t="s">
        <v>25</v>
      </c>
      <c r="B90" s="51" t="s">
        <v>26</v>
      </c>
      <c r="C90" s="51" t="s">
        <v>27</v>
      </c>
      <c r="D90" s="52" t="s">
        <v>4</v>
      </c>
      <c r="E90" s="53" t="s">
        <v>27</v>
      </c>
      <c r="F90" s="52" t="s">
        <v>4</v>
      </c>
      <c r="G90" s="52" t="s">
        <v>55</v>
      </c>
      <c r="H90" s="96" t="s">
        <v>454</v>
      </c>
      <c r="I90" s="325" t="s">
        <v>10671</v>
      </c>
      <c r="J90" s="96" t="s">
        <v>4777</v>
      </c>
      <c r="K90" s="170" t="s">
        <v>33</v>
      </c>
      <c r="L90" s="96" t="s">
        <v>5734</v>
      </c>
      <c r="M90" s="52" t="s">
        <v>46</v>
      </c>
      <c r="N90" s="54" t="s">
        <v>10496</v>
      </c>
      <c r="O90" s="55" t="str">
        <f t="shared" si="1"/>
        <v>L01.00.00.10.16.02.07</v>
      </c>
      <c r="P90" s="169" t="str">
        <f t="shared" si="2"/>
        <v>Dự án MISA eSign Mobile</v>
      </c>
      <c r="Q90" s="227" t="s">
        <v>12496</v>
      </c>
      <c r="R90" s="96" t="s">
        <v>5735</v>
      </c>
      <c r="S90" s="96" t="s">
        <v>453</v>
      </c>
      <c r="T90" s="96" t="s">
        <v>454</v>
      </c>
      <c r="U90" s="96" t="s">
        <v>4777</v>
      </c>
      <c r="V90" s="96" t="s">
        <v>5734</v>
      </c>
      <c r="W90" s="96"/>
      <c r="X90" s="91"/>
      <c r="Y90" s="91"/>
      <c r="Z90" s="91"/>
      <c r="AA90" s="91"/>
      <c r="AB90" s="91"/>
    </row>
    <row r="91" ht="15.75" customHeight="1" outlineLevel="1">
      <c r="A91" s="51" t="s">
        <v>25</v>
      </c>
      <c r="B91" s="51" t="s">
        <v>26</v>
      </c>
      <c r="C91" s="51" t="s">
        <v>27</v>
      </c>
      <c r="D91" s="52" t="s">
        <v>4</v>
      </c>
      <c r="E91" s="53" t="s">
        <v>27</v>
      </c>
      <c r="F91" s="52" t="s">
        <v>4</v>
      </c>
      <c r="G91" s="52" t="s">
        <v>55</v>
      </c>
      <c r="H91" s="96" t="s">
        <v>454</v>
      </c>
      <c r="I91" s="325" t="s">
        <v>10671</v>
      </c>
      <c r="J91" s="96" t="s">
        <v>4777</v>
      </c>
      <c r="K91" s="170" t="s">
        <v>35</v>
      </c>
      <c r="L91" s="96" t="s">
        <v>5705</v>
      </c>
      <c r="M91" s="52" t="s">
        <v>46</v>
      </c>
      <c r="N91" s="54" t="s">
        <v>10496</v>
      </c>
      <c r="O91" s="55" t="str">
        <f t="shared" si="1"/>
        <v>L01.00.00.10.16.03.07</v>
      </c>
      <c r="P91" s="169" t="str">
        <f t="shared" si="2"/>
        <v>[MISA eSign] Nhóm Phân tích và Thiết kế</v>
      </c>
      <c r="Q91" s="227" t="s">
        <v>12496</v>
      </c>
      <c r="R91" s="96" t="s">
        <v>5706</v>
      </c>
      <c r="S91" s="96" t="s">
        <v>453</v>
      </c>
      <c r="T91" s="96" t="s">
        <v>454</v>
      </c>
      <c r="U91" s="96" t="s">
        <v>4777</v>
      </c>
      <c r="V91" s="96" t="s">
        <v>5705</v>
      </c>
      <c r="W91" s="96"/>
      <c r="X91" s="91"/>
      <c r="Y91" s="91"/>
      <c r="Z91" s="91"/>
      <c r="AA91" s="91"/>
      <c r="AB91" s="91"/>
    </row>
    <row r="92" ht="15.75" customHeight="1" outlineLevel="1">
      <c r="A92" s="51" t="s">
        <v>25</v>
      </c>
      <c r="B92" s="51" t="s">
        <v>26</v>
      </c>
      <c r="C92" s="51" t="s">
        <v>27</v>
      </c>
      <c r="D92" s="52" t="s">
        <v>4</v>
      </c>
      <c r="E92" s="53" t="s">
        <v>27</v>
      </c>
      <c r="F92" s="52" t="s">
        <v>4</v>
      </c>
      <c r="G92" s="52" t="s">
        <v>55</v>
      </c>
      <c r="H92" s="96" t="s">
        <v>454</v>
      </c>
      <c r="I92" s="325" t="s">
        <v>10677</v>
      </c>
      <c r="J92" s="96" t="s">
        <v>2669</v>
      </c>
      <c r="K92" s="52" t="s">
        <v>27</v>
      </c>
      <c r="L92" s="254" t="s">
        <v>4</v>
      </c>
      <c r="M92" s="52" t="s">
        <v>46</v>
      </c>
      <c r="N92" s="54" t="s">
        <v>10496</v>
      </c>
      <c r="O92" s="55" t="str">
        <f t="shared" si="1"/>
        <v>L01.00.00.10.17.00.07</v>
      </c>
      <c r="P92" s="169" t="str">
        <f t="shared" si="2"/>
        <v>Sản phẩm AMIS weSign</v>
      </c>
      <c r="Q92" s="227" t="s">
        <v>12483</v>
      </c>
      <c r="R92" s="97" t="s">
        <v>10678</v>
      </c>
      <c r="S92" s="96" t="s">
        <v>453</v>
      </c>
      <c r="T92" s="96" t="s">
        <v>454</v>
      </c>
      <c r="U92" s="96" t="s">
        <v>2669</v>
      </c>
      <c r="V92" s="96"/>
      <c r="W92" s="96"/>
      <c r="X92" s="91"/>
      <c r="Y92" s="91"/>
      <c r="Z92" s="91"/>
      <c r="AA92" s="91"/>
      <c r="AB92" s="91"/>
    </row>
    <row r="93" ht="15.75" customHeight="1" outlineLevel="1">
      <c r="A93" s="51" t="s">
        <v>25</v>
      </c>
      <c r="B93" s="51" t="s">
        <v>26</v>
      </c>
      <c r="C93" s="51" t="s">
        <v>27</v>
      </c>
      <c r="D93" s="52" t="s">
        <v>4</v>
      </c>
      <c r="E93" s="53" t="s">
        <v>27</v>
      </c>
      <c r="F93" s="52" t="s">
        <v>4</v>
      </c>
      <c r="G93" s="52" t="s">
        <v>55</v>
      </c>
      <c r="H93" s="96" t="s">
        <v>454</v>
      </c>
      <c r="I93" s="325" t="s">
        <v>10677</v>
      </c>
      <c r="J93" s="96" t="s">
        <v>2669</v>
      </c>
      <c r="K93" s="250" t="s">
        <v>29</v>
      </c>
      <c r="L93" s="96" t="s">
        <v>2668</v>
      </c>
      <c r="M93" s="52" t="s">
        <v>46</v>
      </c>
      <c r="N93" s="54" t="s">
        <v>10496</v>
      </c>
      <c r="O93" s="55" t="str">
        <f t="shared" si="1"/>
        <v>L01.00.00.10.17.01.07</v>
      </c>
      <c r="P93" s="169" t="str">
        <f t="shared" si="2"/>
        <v>Dự án AMIS weSign</v>
      </c>
      <c r="Q93" s="227" t="s">
        <v>12497</v>
      </c>
      <c r="R93" s="96" t="s">
        <v>2670</v>
      </c>
      <c r="S93" s="96" t="s">
        <v>453</v>
      </c>
      <c r="T93" s="96" t="s">
        <v>454</v>
      </c>
      <c r="U93" s="96" t="s">
        <v>2669</v>
      </c>
      <c r="V93" s="96" t="s">
        <v>2668</v>
      </c>
      <c r="W93" s="96"/>
      <c r="X93" s="91"/>
      <c r="Y93" s="91"/>
      <c r="Z93" s="91"/>
      <c r="AA93" s="91"/>
      <c r="AB93" s="91"/>
    </row>
    <row r="94" ht="15.75" customHeight="1" outlineLevel="1">
      <c r="A94" s="51" t="s">
        <v>25</v>
      </c>
      <c r="B94" s="51" t="s">
        <v>26</v>
      </c>
      <c r="C94" s="51" t="s">
        <v>27</v>
      </c>
      <c r="D94" s="52" t="s">
        <v>4</v>
      </c>
      <c r="E94" s="53" t="s">
        <v>27</v>
      </c>
      <c r="F94" s="52" t="s">
        <v>4</v>
      </c>
      <c r="G94" s="52" t="s">
        <v>55</v>
      </c>
      <c r="H94" s="96" t="s">
        <v>454</v>
      </c>
      <c r="I94" s="325" t="s">
        <v>10677</v>
      </c>
      <c r="J94" s="96" t="s">
        <v>2669</v>
      </c>
      <c r="K94" s="170" t="s">
        <v>33</v>
      </c>
      <c r="L94" s="96" t="s">
        <v>6002</v>
      </c>
      <c r="M94" s="52" t="s">
        <v>46</v>
      </c>
      <c r="N94" s="54" t="s">
        <v>10496</v>
      </c>
      <c r="O94" s="55" t="str">
        <f t="shared" si="1"/>
        <v>L01.00.00.10.17.02.07</v>
      </c>
      <c r="P94" s="169" t="str">
        <f t="shared" si="2"/>
        <v>[AMIS weSign] Nhóm Phân tích và Thiết kế</v>
      </c>
      <c r="Q94" s="227" t="s">
        <v>12497</v>
      </c>
      <c r="R94" s="96" t="s">
        <v>6003</v>
      </c>
      <c r="S94" s="96" t="s">
        <v>453</v>
      </c>
      <c r="T94" s="96" t="s">
        <v>454</v>
      </c>
      <c r="U94" s="96" t="s">
        <v>2669</v>
      </c>
      <c r="V94" s="96" t="s">
        <v>6002</v>
      </c>
      <c r="W94" s="96"/>
      <c r="X94" s="91"/>
      <c r="Y94" s="91"/>
      <c r="Z94" s="91"/>
      <c r="AA94" s="91"/>
      <c r="AB94" s="91"/>
    </row>
    <row r="95" ht="15.75" customHeight="1" outlineLevel="1">
      <c r="A95" s="51" t="s">
        <v>25</v>
      </c>
      <c r="B95" s="51" t="s">
        <v>26</v>
      </c>
      <c r="C95" s="51" t="s">
        <v>27</v>
      </c>
      <c r="D95" s="52" t="s">
        <v>4</v>
      </c>
      <c r="E95" s="53" t="s">
        <v>27</v>
      </c>
      <c r="F95" s="52" t="s">
        <v>4</v>
      </c>
      <c r="G95" s="52" t="s">
        <v>55</v>
      </c>
      <c r="H95" s="96" t="s">
        <v>454</v>
      </c>
      <c r="I95" s="325" t="s">
        <v>10683</v>
      </c>
      <c r="J95" s="96" t="s">
        <v>3569</v>
      </c>
      <c r="K95" s="52" t="s">
        <v>27</v>
      </c>
      <c r="L95" s="56" t="s">
        <v>4</v>
      </c>
      <c r="M95" s="52" t="s">
        <v>46</v>
      </c>
      <c r="N95" s="54" t="s">
        <v>10496</v>
      </c>
      <c r="O95" s="55" t="str">
        <f t="shared" si="1"/>
        <v>L01.00.00.10.18.00.07</v>
      </c>
      <c r="P95" s="169" t="str">
        <f t="shared" si="2"/>
        <v>Sản phẩm QTKD Mobile</v>
      </c>
      <c r="Q95" s="227" t="s">
        <v>12483</v>
      </c>
      <c r="R95" s="96" t="s">
        <v>3570</v>
      </c>
      <c r="S95" s="96" t="s">
        <v>453</v>
      </c>
      <c r="T95" s="96" t="s">
        <v>454</v>
      </c>
      <c r="U95" s="96" t="s">
        <v>3569</v>
      </c>
      <c r="V95" s="96"/>
      <c r="W95" s="96"/>
      <c r="X95" s="91"/>
      <c r="Y95" s="91"/>
      <c r="Z95" s="91"/>
      <c r="AA95" s="91"/>
      <c r="AB95" s="91"/>
    </row>
    <row r="96" ht="15.75" customHeight="1" outlineLevel="1">
      <c r="A96" s="51" t="s">
        <v>25</v>
      </c>
      <c r="B96" s="51" t="s">
        <v>26</v>
      </c>
      <c r="C96" s="51" t="s">
        <v>27</v>
      </c>
      <c r="D96" s="52" t="s">
        <v>4</v>
      </c>
      <c r="E96" s="53" t="s">
        <v>27</v>
      </c>
      <c r="F96" s="52" t="s">
        <v>4</v>
      </c>
      <c r="G96" s="52" t="s">
        <v>55</v>
      </c>
      <c r="H96" s="96" t="s">
        <v>454</v>
      </c>
      <c r="I96" s="325" t="s">
        <v>10685</v>
      </c>
      <c r="J96" s="662" t="s">
        <v>3378</v>
      </c>
      <c r="K96" s="52" t="s">
        <v>27</v>
      </c>
      <c r="L96" s="663" t="s">
        <v>4</v>
      </c>
      <c r="M96" s="52" t="s">
        <v>46</v>
      </c>
      <c r="N96" s="54" t="s">
        <v>10496</v>
      </c>
      <c r="O96" s="55" t="str">
        <f t="shared" si="1"/>
        <v>L01.00.00.10.19.00.07</v>
      </c>
      <c r="P96" s="169" t="str">
        <f t="shared" si="2"/>
        <v>Sản phẩm Customize</v>
      </c>
      <c r="Q96" s="227" t="s">
        <v>12483</v>
      </c>
      <c r="R96" s="97" t="s">
        <v>10686</v>
      </c>
      <c r="S96" s="96" t="s">
        <v>453</v>
      </c>
      <c r="T96" s="96" t="s">
        <v>454</v>
      </c>
      <c r="U96" s="96" t="s">
        <v>3378</v>
      </c>
      <c r="V96" s="96" t="s">
        <v>3377</v>
      </c>
      <c r="W96" s="96"/>
      <c r="X96" s="91"/>
      <c r="Y96" s="91"/>
      <c r="Z96" s="91"/>
      <c r="AA96" s="91"/>
      <c r="AB96" s="91"/>
    </row>
    <row r="97" ht="15.75" customHeight="1" outlineLevel="1">
      <c r="A97" s="51" t="s">
        <v>25</v>
      </c>
      <c r="B97" s="51" t="s">
        <v>26</v>
      </c>
      <c r="C97" s="51" t="s">
        <v>27</v>
      </c>
      <c r="D97" s="52" t="s">
        <v>4</v>
      </c>
      <c r="E97" s="53" t="s">
        <v>27</v>
      </c>
      <c r="F97" s="52" t="s">
        <v>4</v>
      </c>
      <c r="G97" s="52" t="s">
        <v>55</v>
      </c>
      <c r="H97" s="96" t="s">
        <v>454</v>
      </c>
      <c r="I97" s="325" t="s">
        <v>10685</v>
      </c>
      <c r="J97" s="96" t="s">
        <v>3378</v>
      </c>
      <c r="K97" s="250" t="s">
        <v>29</v>
      </c>
      <c r="L97" s="96" t="s">
        <v>3377</v>
      </c>
      <c r="M97" s="52" t="s">
        <v>46</v>
      </c>
      <c r="N97" s="54" t="s">
        <v>10496</v>
      </c>
      <c r="O97" s="55" t="str">
        <f t="shared" si="1"/>
        <v>L01.00.00.10.19.01.07</v>
      </c>
      <c r="P97" s="169" t="str">
        <f t="shared" si="2"/>
        <v>Dự án chuyển đổi kế toán MISA</v>
      </c>
      <c r="Q97" s="227" t="s">
        <v>12498</v>
      </c>
      <c r="R97" s="96" t="s">
        <v>3379</v>
      </c>
      <c r="S97" s="96" t="s">
        <v>453</v>
      </c>
      <c r="T97" s="96" t="s">
        <v>454</v>
      </c>
      <c r="U97" s="96" t="s">
        <v>3378</v>
      </c>
      <c r="V97" s="96" t="s">
        <v>3377</v>
      </c>
      <c r="W97" s="96"/>
      <c r="X97" s="91"/>
      <c r="Y97" s="91"/>
      <c r="Z97" s="91"/>
      <c r="AA97" s="91"/>
      <c r="AB97" s="91"/>
    </row>
    <row r="98" ht="15.75" customHeight="1" outlineLevel="1">
      <c r="A98" s="51" t="s">
        <v>25</v>
      </c>
      <c r="B98" s="51" t="s">
        <v>26</v>
      </c>
      <c r="C98" s="51" t="s">
        <v>27</v>
      </c>
      <c r="D98" s="52" t="s">
        <v>4</v>
      </c>
      <c r="E98" s="53" t="s">
        <v>27</v>
      </c>
      <c r="F98" s="52" t="s">
        <v>4</v>
      </c>
      <c r="G98" s="52" t="s">
        <v>55</v>
      </c>
      <c r="H98" s="96" t="s">
        <v>454</v>
      </c>
      <c r="I98" s="325" t="s">
        <v>10685</v>
      </c>
      <c r="J98" s="96" t="s">
        <v>3378</v>
      </c>
      <c r="K98" s="170" t="s">
        <v>33</v>
      </c>
      <c r="L98" s="96" t="s">
        <v>4420</v>
      </c>
      <c r="M98" s="52" t="s">
        <v>46</v>
      </c>
      <c r="N98" s="54" t="s">
        <v>10496</v>
      </c>
      <c r="O98" s="55" t="str">
        <f t="shared" si="1"/>
        <v>L01.00.00.10.19.02.07</v>
      </c>
      <c r="P98" s="169" t="str">
        <f t="shared" si="2"/>
        <v>Dự án Customize KH DN lớn</v>
      </c>
      <c r="Q98" s="227" t="s">
        <v>12498</v>
      </c>
      <c r="R98" s="96" t="s">
        <v>4421</v>
      </c>
      <c r="S98" s="96" t="s">
        <v>453</v>
      </c>
      <c r="T98" s="96" t="s">
        <v>454</v>
      </c>
      <c r="U98" s="96" t="s">
        <v>3378</v>
      </c>
      <c r="V98" s="96" t="s">
        <v>4420</v>
      </c>
      <c r="W98" s="96"/>
      <c r="X98" s="91"/>
      <c r="Y98" s="91"/>
      <c r="Z98" s="91"/>
      <c r="AA98" s="91"/>
      <c r="AB98" s="91"/>
    </row>
    <row r="99" ht="15.75" customHeight="1" outlineLevel="1">
      <c r="A99" s="51" t="s">
        <v>25</v>
      </c>
      <c r="B99" s="51" t="s">
        <v>26</v>
      </c>
      <c r="C99" s="51" t="s">
        <v>27</v>
      </c>
      <c r="D99" s="52" t="s">
        <v>4</v>
      </c>
      <c r="E99" s="53" t="s">
        <v>27</v>
      </c>
      <c r="F99" s="52" t="s">
        <v>4</v>
      </c>
      <c r="G99" s="52" t="s">
        <v>55</v>
      </c>
      <c r="H99" s="96" t="s">
        <v>454</v>
      </c>
      <c r="I99" s="325" t="s">
        <v>10691</v>
      </c>
      <c r="J99" s="662" t="s">
        <v>4597</v>
      </c>
      <c r="K99" s="250" t="s">
        <v>27</v>
      </c>
      <c r="L99" s="663" t="s">
        <v>4</v>
      </c>
      <c r="M99" s="52" t="s">
        <v>46</v>
      </c>
      <c r="N99" s="54" t="s">
        <v>10496</v>
      </c>
      <c r="O99" s="55" t="str">
        <f t="shared" si="1"/>
        <v>L01.00.00.10.20.00.07</v>
      </c>
      <c r="P99" s="169" t="str">
        <f t="shared" si="2"/>
        <v>Sản phẩm AMIS CRM (MISA)</v>
      </c>
      <c r="Q99" s="227" t="s">
        <v>12483</v>
      </c>
      <c r="R99" s="97" t="s">
        <v>10692</v>
      </c>
      <c r="S99" s="96" t="s">
        <v>453</v>
      </c>
      <c r="T99" s="96" t="s">
        <v>454</v>
      </c>
      <c r="U99" s="96" t="s">
        <v>4597</v>
      </c>
      <c r="V99" s="96" t="s">
        <v>4596</v>
      </c>
      <c r="W99" s="96"/>
      <c r="X99" s="91"/>
      <c r="Y99" s="91"/>
      <c r="Z99" s="91"/>
      <c r="AA99" s="91"/>
      <c r="AB99" s="91"/>
    </row>
    <row r="100" ht="15.75" customHeight="1" outlineLevel="1">
      <c r="A100" s="51" t="s">
        <v>25</v>
      </c>
      <c r="B100" s="51" t="s">
        <v>26</v>
      </c>
      <c r="C100" s="51" t="s">
        <v>27</v>
      </c>
      <c r="D100" s="52" t="s">
        <v>4</v>
      </c>
      <c r="E100" s="53" t="s">
        <v>27</v>
      </c>
      <c r="F100" s="52" t="s">
        <v>4</v>
      </c>
      <c r="G100" s="52" t="s">
        <v>55</v>
      </c>
      <c r="H100" s="96" t="s">
        <v>454</v>
      </c>
      <c r="I100" s="325" t="s">
        <v>10691</v>
      </c>
      <c r="J100" s="96" t="s">
        <v>4597</v>
      </c>
      <c r="K100" s="250" t="s">
        <v>29</v>
      </c>
      <c r="L100" s="96" t="s">
        <v>4596</v>
      </c>
      <c r="M100" s="52" t="s">
        <v>46</v>
      </c>
      <c r="N100" s="54" t="s">
        <v>10496</v>
      </c>
      <c r="O100" s="55" t="str">
        <f t="shared" si="1"/>
        <v>L01.00.00.10.20.01.07</v>
      </c>
      <c r="P100" s="169" t="str">
        <f t="shared" si="2"/>
        <v>Dự án AMIS CRM (MISA)</v>
      </c>
      <c r="Q100" s="227" t="s">
        <v>12499</v>
      </c>
      <c r="R100" s="96" t="s">
        <v>4598</v>
      </c>
      <c r="S100" s="96" t="s">
        <v>453</v>
      </c>
      <c r="T100" s="96" t="s">
        <v>454</v>
      </c>
      <c r="U100" s="96" t="s">
        <v>4597</v>
      </c>
      <c r="V100" s="96" t="s">
        <v>4596</v>
      </c>
      <c r="W100" s="96"/>
      <c r="X100" s="91"/>
      <c r="Y100" s="91"/>
      <c r="Z100" s="91"/>
      <c r="AA100" s="91"/>
      <c r="AB100" s="91"/>
    </row>
    <row r="101" ht="15.75" customHeight="1" outlineLevel="1">
      <c r="A101" s="51" t="s">
        <v>25</v>
      </c>
      <c r="B101" s="51" t="s">
        <v>26</v>
      </c>
      <c r="C101" s="51" t="s">
        <v>27</v>
      </c>
      <c r="D101" s="52" t="s">
        <v>4</v>
      </c>
      <c r="E101" s="53" t="s">
        <v>27</v>
      </c>
      <c r="F101" s="52" t="s">
        <v>4</v>
      </c>
      <c r="G101" s="52" t="s">
        <v>55</v>
      </c>
      <c r="H101" s="96" t="s">
        <v>454</v>
      </c>
      <c r="I101" s="325" t="s">
        <v>10691</v>
      </c>
      <c r="J101" s="96" t="s">
        <v>4597</v>
      </c>
      <c r="K101" s="170" t="s">
        <v>33</v>
      </c>
      <c r="L101" s="96" t="s">
        <v>6639</v>
      </c>
      <c r="M101" s="52" t="s">
        <v>46</v>
      </c>
      <c r="N101" s="54" t="s">
        <v>10496</v>
      </c>
      <c r="O101" s="55" t="str">
        <f t="shared" si="1"/>
        <v>L01.00.00.10.20.02.07</v>
      </c>
      <c r="P101" s="169" t="str">
        <f t="shared" si="2"/>
        <v>[AMIS CRM MISA] Nhóm Phân tích &amp; Thiết kế</v>
      </c>
      <c r="Q101" s="227" t="s">
        <v>12499</v>
      </c>
      <c r="R101" s="96" t="s">
        <v>6640</v>
      </c>
      <c r="S101" s="96" t="s">
        <v>453</v>
      </c>
      <c r="T101" s="96" t="s">
        <v>454</v>
      </c>
      <c r="U101" s="96" t="s">
        <v>4597</v>
      </c>
      <c r="V101" s="96" t="s">
        <v>6639</v>
      </c>
      <c r="W101" s="96"/>
      <c r="X101" s="91"/>
      <c r="Y101" s="91"/>
      <c r="Z101" s="91"/>
      <c r="AA101" s="91"/>
      <c r="AB101" s="91"/>
    </row>
    <row r="102" ht="15.75" customHeight="1" outlineLevel="1">
      <c r="A102" s="51" t="s">
        <v>25</v>
      </c>
      <c r="B102" s="51" t="s">
        <v>26</v>
      </c>
      <c r="C102" s="51" t="s">
        <v>27</v>
      </c>
      <c r="D102" s="52" t="s">
        <v>4</v>
      </c>
      <c r="E102" s="53" t="s">
        <v>27</v>
      </c>
      <c r="F102" s="52" t="s">
        <v>4</v>
      </c>
      <c r="G102" s="52" t="s">
        <v>55</v>
      </c>
      <c r="H102" s="96" t="s">
        <v>454</v>
      </c>
      <c r="I102" s="325" t="s">
        <v>10697</v>
      </c>
      <c r="J102" s="662" t="s">
        <v>5228</v>
      </c>
      <c r="K102" s="250" t="s">
        <v>27</v>
      </c>
      <c r="L102" s="663" t="s">
        <v>4</v>
      </c>
      <c r="M102" s="52" t="s">
        <v>46</v>
      </c>
      <c r="N102" s="54" t="s">
        <v>10496</v>
      </c>
      <c r="O102" s="55" t="str">
        <f t="shared" si="1"/>
        <v>L01.00.00.10.21.00.07</v>
      </c>
      <c r="P102" s="169" t="str">
        <f t="shared" si="2"/>
        <v>Sản phẩm AMIS Quản lý Tài sản</v>
      </c>
      <c r="Q102" s="227" t="s">
        <v>12483</v>
      </c>
      <c r="R102" s="97" t="s">
        <v>10698</v>
      </c>
      <c r="S102" s="96" t="s">
        <v>453</v>
      </c>
      <c r="T102" s="96" t="s">
        <v>454</v>
      </c>
      <c r="U102" s="96" t="s">
        <v>5228</v>
      </c>
      <c r="V102" s="96" t="s">
        <v>6809</v>
      </c>
      <c r="W102" s="96"/>
      <c r="X102" s="91"/>
      <c r="Y102" s="91"/>
      <c r="Z102" s="91"/>
      <c r="AA102" s="91"/>
      <c r="AB102" s="91"/>
    </row>
    <row r="103" ht="15.75" customHeight="1" outlineLevel="1">
      <c r="A103" s="51" t="s">
        <v>25</v>
      </c>
      <c r="B103" s="51" t="s">
        <v>26</v>
      </c>
      <c r="C103" s="51" t="s">
        <v>27</v>
      </c>
      <c r="D103" s="52" t="s">
        <v>4</v>
      </c>
      <c r="E103" s="53" t="s">
        <v>27</v>
      </c>
      <c r="F103" s="52" t="s">
        <v>4</v>
      </c>
      <c r="G103" s="52" t="s">
        <v>55</v>
      </c>
      <c r="H103" s="96" t="s">
        <v>454</v>
      </c>
      <c r="I103" s="325" t="s">
        <v>10697</v>
      </c>
      <c r="J103" s="96" t="s">
        <v>5228</v>
      </c>
      <c r="K103" s="250" t="s">
        <v>29</v>
      </c>
      <c r="L103" s="96" t="s">
        <v>6809</v>
      </c>
      <c r="M103" s="52" t="s">
        <v>46</v>
      </c>
      <c r="N103" s="54" t="s">
        <v>10496</v>
      </c>
      <c r="O103" s="55" t="str">
        <f t="shared" si="1"/>
        <v>L01.00.00.10.21.01.07</v>
      </c>
      <c r="P103" s="169" t="str">
        <f t="shared" si="2"/>
        <v>Dự án AMIS Quản lý Tài sản</v>
      </c>
      <c r="Q103" s="227" t="s">
        <v>12500</v>
      </c>
      <c r="R103" s="96" t="s">
        <v>6810</v>
      </c>
      <c r="S103" s="96" t="s">
        <v>453</v>
      </c>
      <c r="T103" s="96" t="s">
        <v>454</v>
      </c>
      <c r="U103" s="96" t="s">
        <v>5228</v>
      </c>
      <c r="V103" s="96" t="s">
        <v>6809</v>
      </c>
      <c r="W103" s="96"/>
      <c r="X103" s="91"/>
      <c r="Y103" s="91"/>
      <c r="Z103" s="91"/>
      <c r="AA103" s="91"/>
      <c r="AB103" s="91"/>
    </row>
    <row r="104" ht="15.75" customHeight="1" outlineLevel="1">
      <c r="A104" s="51" t="s">
        <v>25</v>
      </c>
      <c r="B104" s="51" t="s">
        <v>26</v>
      </c>
      <c r="C104" s="51" t="s">
        <v>27</v>
      </c>
      <c r="D104" s="52" t="s">
        <v>4</v>
      </c>
      <c r="E104" s="53" t="s">
        <v>27</v>
      </c>
      <c r="F104" s="52" t="s">
        <v>4</v>
      </c>
      <c r="G104" s="52" t="s">
        <v>55</v>
      </c>
      <c r="H104" s="96" t="s">
        <v>454</v>
      </c>
      <c r="I104" s="325" t="s">
        <v>10697</v>
      </c>
      <c r="J104" s="96" t="s">
        <v>5228</v>
      </c>
      <c r="K104" s="170" t="s">
        <v>33</v>
      </c>
      <c r="L104" s="96" t="s">
        <v>5227</v>
      </c>
      <c r="M104" s="52" t="s">
        <v>46</v>
      </c>
      <c r="N104" s="54" t="s">
        <v>10496</v>
      </c>
      <c r="O104" s="55" t="str">
        <f t="shared" si="1"/>
        <v>L01.00.00.10.21.02.07</v>
      </c>
      <c r="P104" s="169" t="str">
        <f t="shared" si="2"/>
        <v>[AMIS QLTS] Nhóm Phân tích &amp; Thiết kế</v>
      </c>
      <c r="Q104" s="227" t="s">
        <v>12500</v>
      </c>
      <c r="R104" s="96" t="s">
        <v>5229</v>
      </c>
      <c r="S104" s="96" t="s">
        <v>453</v>
      </c>
      <c r="T104" s="96" t="s">
        <v>454</v>
      </c>
      <c r="U104" s="96" t="s">
        <v>5228</v>
      </c>
      <c r="V104" s="96" t="s">
        <v>5227</v>
      </c>
      <c r="W104" s="96"/>
      <c r="X104" s="91"/>
      <c r="Y104" s="91"/>
      <c r="Z104" s="91"/>
      <c r="AA104" s="91"/>
      <c r="AB104" s="91"/>
    </row>
    <row r="105" ht="15.75" customHeight="1" outlineLevel="1">
      <c r="A105" s="51" t="s">
        <v>25</v>
      </c>
      <c r="B105" s="51" t="s">
        <v>26</v>
      </c>
      <c r="C105" s="51" t="s">
        <v>27</v>
      </c>
      <c r="D105" s="52" t="s">
        <v>4</v>
      </c>
      <c r="E105" s="53" t="s">
        <v>27</v>
      </c>
      <c r="F105" s="52" t="s">
        <v>4</v>
      </c>
      <c r="G105" s="52" t="s">
        <v>55</v>
      </c>
      <c r="H105" s="96" t="s">
        <v>454</v>
      </c>
      <c r="I105" s="325" t="s">
        <v>10703</v>
      </c>
      <c r="J105" s="96" t="s">
        <v>474</v>
      </c>
      <c r="K105" s="250" t="s">
        <v>27</v>
      </c>
      <c r="L105" s="254" t="s">
        <v>4</v>
      </c>
      <c r="M105" s="52" t="s">
        <v>46</v>
      </c>
      <c r="N105" s="54" t="s">
        <v>10496</v>
      </c>
      <c r="O105" s="55" t="str">
        <f t="shared" si="1"/>
        <v>L01.00.00.10.22.00.07</v>
      </c>
      <c r="P105" s="169" t="str">
        <f t="shared" si="2"/>
        <v>Sản phẩm AMIS Platform Core</v>
      </c>
      <c r="Q105" s="227" t="s">
        <v>12483</v>
      </c>
      <c r="R105" s="96" t="s">
        <v>475</v>
      </c>
      <c r="S105" s="96" t="s">
        <v>453</v>
      </c>
      <c r="T105" s="96" t="s">
        <v>454</v>
      </c>
      <c r="U105" s="96" t="s">
        <v>474</v>
      </c>
      <c r="V105" s="96" t="s">
        <v>473</v>
      </c>
      <c r="W105" s="96"/>
      <c r="X105" s="91"/>
      <c r="Y105" s="91"/>
      <c r="Z105" s="91"/>
      <c r="AA105" s="91"/>
      <c r="AB105" s="91"/>
    </row>
    <row r="106" ht="15.75" customHeight="1" outlineLevel="1">
      <c r="A106" s="51" t="s">
        <v>25</v>
      </c>
      <c r="B106" s="51" t="s">
        <v>26</v>
      </c>
      <c r="C106" s="51" t="s">
        <v>27</v>
      </c>
      <c r="D106" s="52" t="s">
        <v>4</v>
      </c>
      <c r="E106" s="53" t="s">
        <v>27</v>
      </c>
      <c r="F106" s="52" t="s">
        <v>4</v>
      </c>
      <c r="G106" s="52" t="s">
        <v>55</v>
      </c>
      <c r="H106" s="96" t="s">
        <v>454</v>
      </c>
      <c r="I106" s="325" t="s">
        <v>10703</v>
      </c>
      <c r="J106" s="96" t="s">
        <v>474</v>
      </c>
      <c r="K106" s="250" t="s">
        <v>29</v>
      </c>
      <c r="L106" s="96" t="s">
        <v>473</v>
      </c>
      <c r="M106" s="52" t="s">
        <v>46</v>
      </c>
      <c r="N106" s="54" t="s">
        <v>10496</v>
      </c>
      <c r="O106" s="55" t="str">
        <f t="shared" si="1"/>
        <v>L01.00.00.10.22.01.07</v>
      </c>
      <c r="P106" s="169" t="str">
        <f t="shared" si="2"/>
        <v>Dự án AMIS Platform Core</v>
      </c>
      <c r="Q106" s="227" t="s">
        <v>12501</v>
      </c>
      <c r="R106" s="96" t="s">
        <v>475</v>
      </c>
      <c r="S106" s="96" t="s">
        <v>453</v>
      </c>
      <c r="T106" s="96" t="s">
        <v>454</v>
      </c>
      <c r="U106" s="96" t="s">
        <v>474</v>
      </c>
      <c r="V106" s="96" t="s">
        <v>473</v>
      </c>
      <c r="W106" s="96"/>
      <c r="X106" s="91"/>
      <c r="Y106" s="91"/>
      <c r="Z106" s="91"/>
      <c r="AA106" s="91"/>
      <c r="AB106" s="91"/>
    </row>
    <row r="107" ht="15.75" customHeight="1" outlineLevel="1">
      <c r="A107" s="51" t="s">
        <v>25</v>
      </c>
      <c r="B107" s="51" t="s">
        <v>26</v>
      </c>
      <c r="C107" s="51" t="s">
        <v>27</v>
      </c>
      <c r="D107" s="52" t="s">
        <v>4</v>
      </c>
      <c r="E107" s="53" t="s">
        <v>27</v>
      </c>
      <c r="F107" s="52" t="s">
        <v>4</v>
      </c>
      <c r="G107" s="52" t="s">
        <v>55</v>
      </c>
      <c r="H107" s="96" t="s">
        <v>454</v>
      </c>
      <c r="I107" s="325" t="s">
        <v>10703</v>
      </c>
      <c r="J107" s="96" t="s">
        <v>474</v>
      </c>
      <c r="K107" s="170" t="s">
        <v>33</v>
      </c>
      <c r="L107" s="96" t="s">
        <v>483</v>
      </c>
      <c r="M107" s="52" t="s">
        <v>46</v>
      </c>
      <c r="N107" s="54" t="s">
        <v>10496</v>
      </c>
      <c r="O107" s="55" t="str">
        <f t="shared" si="1"/>
        <v>L01.00.00.10.22.02.07</v>
      </c>
      <c r="P107" s="169" t="str">
        <f t="shared" si="2"/>
        <v>[AMIS Platform Core] Nhóm Phân tích &amp; Thiết kế</v>
      </c>
      <c r="Q107" s="227" t="s">
        <v>12501</v>
      </c>
      <c r="R107" s="96" t="s">
        <v>484</v>
      </c>
      <c r="S107" s="96" t="s">
        <v>453</v>
      </c>
      <c r="T107" s="96" t="s">
        <v>454</v>
      </c>
      <c r="U107" s="96" t="s">
        <v>474</v>
      </c>
      <c r="V107" s="96" t="s">
        <v>483</v>
      </c>
      <c r="W107" s="96"/>
      <c r="X107" s="91"/>
      <c r="Y107" s="91"/>
      <c r="Z107" s="91"/>
      <c r="AA107" s="91"/>
      <c r="AB107" s="91"/>
    </row>
    <row r="108" ht="15.75" customHeight="1" outlineLevel="1">
      <c r="A108" s="51" t="s">
        <v>25</v>
      </c>
      <c r="B108" s="51" t="s">
        <v>26</v>
      </c>
      <c r="C108" s="51" t="s">
        <v>27</v>
      </c>
      <c r="D108" s="52" t="s">
        <v>4</v>
      </c>
      <c r="E108" s="53" t="s">
        <v>27</v>
      </c>
      <c r="F108" s="52" t="s">
        <v>4</v>
      </c>
      <c r="G108" s="52" t="s">
        <v>61</v>
      </c>
      <c r="H108" s="662" t="s">
        <v>607</v>
      </c>
      <c r="I108" s="250" t="s">
        <v>27</v>
      </c>
      <c r="J108" s="668" t="s">
        <v>4</v>
      </c>
      <c r="K108" s="52" t="s">
        <v>27</v>
      </c>
      <c r="L108" s="56" t="s">
        <v>4</v>
      </c>
      <c r="M108" s="52" t="s">
        <v>46</v>
      </c>
      <c r="N108" s="54" t="s">
        <v>10496</v>
      </c>
      <c r="O108" s="55" t="str">
        <f t="shared" si="1"/>
        <v>L01.00.00.11.00.00.07</v>
      </c>
      <c r="P108" s="169" t="str">
        <f t="shared" si="2"/>
        <v>Khối sản phẩm Hành chính sự nghiệp</v>
      </c>
      <c r="Q108" s="227" t="s">
        <v>12473</v>
      </c>
      <c r="R108" s="97" t="s">
        <v>10709</v>
      </c>
      <c r="S108" s="96" t="s">
        <v>453</v>
      </c>
      <c r="T108" s="96" t="s">
        <v>607</v>
      </c>
      <c r="U108" s="96" t="s">
        <v>63</v>
      </c>
      <c r="V108" s="96"/>
      <c r="W108" s="96"/>
      <c r="X108" s="91"/>
      <c r="Y108" s="91"/>
      <c r="Z108" s="91"/>
      <c r="AA108" s="91"/>
      <c r="AB108" s="91"/>
    </row>
    <row r="109" ht="15.75" customHeight="1" outlineLevel="1">
      <c r="A109" s="51" t="s">
        <v>25</v>
      </c>
      <c r="B109" s="51" t="s">
        <v>26</v>
      </c>
      <c r="C109" s="51" t="s">
        <v>27</v>
      </c>
      <c r="D109" s="52" t="s">
        <v>4</v>
      </c>
      <c r="E109" s="53" t="s">
        <v>27</v>
      </c>
      <c r="F109" s="52" t="s">
        <v>4</v>
      </c>
      <c r="G109" s="52" t="s">
        <v>61</v>
      </c>
      <c r="H109" s="96" t="s">
        <v>607</v>
      </c>
      <c r="I109" s="52" t="s">
        <v>29</v>
      </c>
      <c r="J109" s="61" t="s">
        <v>63</v>
      </c>
      <c r="K109" s="52" t="s">
        <v>27</v>
      </c>
      <c r="L109" s="56" t="s">
        <v>4</v>
      </c>
      <c r="M109" s="52" t="s">
        <v>46</v>
      </c>
      <c r="N109" s="54" t="s">
        <v>10496</v>
      </c>
      <c r="O109" s="55" t="str">
        <f t="shared" si="1"/>
        <v>L01.00.00.11.01.00.07</v>
      </c>
      <c r="P109" s="169" t="str">
        <f t="shared" si="2"/>
        <v>Ban Giám đốc Khối SP HCSN</v>
      </c>
      <c r="Q109" s="227" t="s">
        <v>12502</v>
      </c>
      <c r="R109" s="96" t="s">
        <v>4997</v>
      </c>
      <c r="S109" s="96" t="s">
        <v>453</v>
      </c>
      <c r="T109" s="96" t="s">
        <v>607</v>
      </c>
      <c r="U109" s="96" t="s">
        <v>63</v>
      </c>
      <c r="V109" s="96"/>
      <c r="W109" s="96"/>
      <c r="X109" s="91"/>
      <c r="Y109" s="91"/>
      <c r="Z109" s="91"/>
      <c r="AA109" s="91"/>
      <c r="AB109" s="91"/>
    </row>
    <row r="110" ht="15.75" customHeight="1" outlineLevel="1">
      <c r="A110" s="51" t="s">
        <v>25</v>
      </c>
      <c r="B110" s="51" t="s">
        <v>26</v>
      </c>
      <c r="C110" s="51" t="s">
        <v>27</v>
      </c>
      <c r="D110" s="52" t="s">
        <v>4</v>
      </c>
      <c r="E110" s="53" t="s">
        <v>27</v>
      </c>
      <c r="F110" s="52" t="s">
        <v>4</v>
      </c>
      <c r="G110" s="52" t="s">
        <v>61</v>
      </c>
      <c r="H110" s="96" t="s">
        <v>607</v>
      </c>
      <c r="I110" s="62" t="s">
        <v>33</v>
      </c>
      <c r="J110" s="96" t="s">
        <v>4415</v>
      </c>
      <c r="K110" s="250" t="s">
        <v>27</v>
      </c>
      <c r="L110" s="663" t="s">
        <v>4</v>
      </c>
      <c r="M110" s="52" t="s">
        <v>46</v>
      </c>
      <c r="N110" s="54" t="s">
        <v>10496</v>
      </c>
      <c r="O110" s="55" t="str">
        <f t="shared" si="1"/>
        <v>L01.00.00.11.02.00.07</v>
      </c>
      <c r="P110" s="169" t="str">
        <f t="shared" si="2"/>
        <v>Sản phẩm MISA MIMOSA Online</v>
      </c>
      <c r="Q110" s="227" t="s">
        <v>12502</v>
      </c>
      <c r="R110" s="97" t="s">
        <v>10712</v>
      </c>
      <c r="S110" s="96" t="s">
        <v>453</v>
      </c>
      <c r="T110" s="96" t="s">
        <v>607</v>
      </c>
      <c r="U110" s="96" t="s">
        <v>4415</v>
      </c>
      <c r="V110" s="96" t="s">
        <v>4414</v>
      </c>
      <c r="W110" s="96"/>
      <c r="X110" s="91"/>
      <c r="Y110" s="91"/>
      <c r="Z110" s="91"/>
      <c r="AA110" s="91"/>
      <c r="AB110" s="91"/>
    </row>
    <row r="111" ht="15.75" customHeight="1" outlineLevel="1">
      <c r="A111" s="51" t="s">
        <v>25</v>
      </c>
      <c r="B111" s="51" t="s">
        <v>26</v>
      </c>
      <c r="C111" s="51" t="s">
        <v>27</v>
      </c>
      <c r="D111" s="52" t="s">
        <v>4</v>
      </c>
      <c r="E111" s="53" t="s">
        <v>27</v>
      </c>
      <c r="F111" s="52" t="s">
        <v>4</v>
      </c>
      <c r="G111" s="52" t="s">
        <v>61</v>
      </c>
      <c r="H111" s="96" t="s">
        <v>607</v>
      </c>
      <c r="I111" s="62" t="s">
        <v>33</v>
      </c>
      <c r="J111" s="96" t="s">
        <v>4415</v>
      </c>
      <c r="K111" s="250" t="s">
        <v>29</v>
      </c>
      <c r="L111" s="96" t="s">
        <v>4414</v>
      </c>
      <c r="M111" s="52" t="s">
        <v>46</v>
      </c>
      <c r="N111" s="54" t="s">
        <v>10496</v>
      </c>
      <c r="O111" s="55" t="str">
        <f t="shared" si="1"/>
        <v>L01.00.00.11.02.01.07</v>
      </c>
      <c r="P111" s="169" t="str">
        <f t="shared" si="2"/>
        <v>Dự án MISA MIMOSA Online</v>
      </c>
      <c r="Q111" s="227" t="s">
        <v>12503</v>
      </c>
      <c r="R111" s="96" t="s">
        <v>4416</v>
      </c>
      <c r="S111" s="96" t="s">
        <v>453</v>
      </c>
      <c r="T111" s="96" t="s">
        <v>607</v>
      </c>
      <c r="U111" s="96" t="s">
        <v>4415</v>
      </c>
      <c r="V111" s="96" t="s">
        <v>4414</v>
      </c>
      <c r="W111" s="96"/>
      <c r="X111" s="91"/>
      <c r="Y111" s="91"/>
      <c r="Z111" s="91"/>
      <c r="AA111" s="91"/>
      <c r="AB111" s="91"/>
    </row>
    <row r="112" ht="15.75" customHeight="1" outlineLevel="1">
      <c r="A112" s="51" t="s">
        <v>25</v>
      </c>
      <c r="B112" s="51" t="s">
        <v>26</v>
      </c>
      <c r="C112" s="51" t="s">
        <v>27</v>
      </c>
      <c r="D112" s="52" t="s">
        <v>4</v>
      </c>
      <c r="E112" s="53" t="s">
        <v>27</v>
      </c>
      <c r="F112" s="52" t="s">
        <v>4</v>
      </c>
      <c r="G112" s="52" t="s">
        <v>61</v>
      </c>
      <c r="H112" s="96" t="s">
        <v>607</v>
      </c>
      <c r="I112" s="62" t="s">
        <v>33</v>
      </c>
      <c r="J112" s="96" t="s">
        <v>4415</v>
      </c>
      <c r="K112" s="170" t="s">
        <v>33</v>
      </c>
      <c r="L112" s="96" t="s">
        <v>6181</v>
      </c>
      <c r="M112" s="52" t="s">
        <v>46</v>
      </c>
      <c r="N112" s="54" t="s">
        <v>10496</v>
      </c>
      <c r="O112" s="55" t="str">
        <f t="shared" si="1"/>
        <v>L01.00.00.11.02.02.07</v>
      </c>
      <c r="P112" s="169" t="str">
        <f t="shared" si="2"/>
        <v>[MIMOSA Online] Nhóm Phân tích và Thiết kế</v>
      </c>
      <c r="Q112" s="227" t="s">
        <v>12503</v>
      </c>
      <c r="R112" s="96" t="s">
        <v>6182</v>
      </c>
      <c r="S112" s="96" t="s">
        <v>453</v>
      </c>
      <c r="T112" s="96" t="s">
        <v>607</v>
      </c>
      <c r="U112" s="96" t="s">
        <v>4415</v>
      </c>
      <c r="V112" s="96" t="s">
        <v>6181</v>
      </c>
      <c r="W112" s="96"/>
      <c r="X112" s="91"/>
      <c r="Y112" s="91"/>
      <c r="Z112" s="91"/>
      <c r="AA112" s="91"/>
      <c r="AB112" s="91"/>
    </row>
    <row r="113" ht="15.75" customHeight="1" outlineLevel="1">
      <c r="A113" s="51" t="s">
        <v>25</v>
      </c>
      <c r="B113" s="51" t="s">
        <v>26</v>
      </c>
      <c r="C113" s="51" t="s">
        <v>27</v>
      </c>
      <c r="D113" s="52" t="s">
        <v>4</v>
      </c>
      <c r="E113" s="53" t="s">
        <v>27</v>
      </c>
      <c r="F113" s="52" t="s">
        <v>4</v>
      </c>
      <c r="G113" s="52" t="s">
        <v>61</v>
      </c>
      <c r="H113" s="96" t="s">
        <v>607</v>
      </c>
      <c r="I113" s="325" t="s">
        <v>35</v>
      </c>
      <c r="J113" s="96" t="s">
        <v>5009</v>
      </c>
      <c r="K113" s="250" t="s">
        <v>27</v>
      </c>
      <c r="L113" s="663" t="s">
        <v>4</v>
      </c>
      <c r="M113" s="52" t="s">
        <v>46</v>
      </c>
      <c r="N113" s="54" t="s">
        <v>10496</v>
      </c>
      <c r="O113" s="55" t="str">
        <f t="shared" si="1"/>
        <v>L01.00.00.11.03.00.07</v>
      </c>
      <c r="P113" s="169" t="str">
        <f t="shared" si="2"/>
        <v>Sản phẩm Mimosa.NET</v>
      </c>
      <c r="Q113" s="227" t="s">
        <v>12502</v>
      </c>
      <c r="R113" s="97" t="s">
        <v>10717</v>
      </c>
      <c r="S113" s="96" t="s">
        <v>453</v>
      </c>
      <c r="T113" s="96" t="s">
        <v>607</v>
      </c>
      <c r="U113" s="96" t="s">
        <v>5009</v>
      </c>
      <c r="V113" s="96" t="s">
        <v>5008</v>
      </c>
      <c r="W113" s="96"/>
      <c r="X113" s="91"/>
      <c r="Y113" s="91"/>
      <c r="Z113" s="91"/>
      <c r="AA113" s="91"/>
      <c r="AB113" s="91"/>
    </row>
    <row r="114" ht="15.75" customHeight="1" outlineLevel="1">
      <c r="A114" s="51" t="s">
        <v>25</v>
      </c>
      <c r="B114" s="51" t="s">
        <v>26</v>
      </c>
      <c r="C114" s="51" t="s">
        <v>27</v>
      </c>
      <c r="D114" s="52" t="s">
        <v>4</v>
      </c>
      <c r="E114" s="53" t="s">
        <v>27</v>
      </c>
      <c r="F114" s="52" t="s">
        <v>4</v>
      </c>
      <c r="G114" s="52" t="s">
        <v>61</v>
      </c>
      <c r="H114" s="96" t="s">
        <v>607</v>
      </c>
      <c r="I114" s="325" t="s">
        <v>35</v>
      </c>
      <c r="J114" s="96" t="s">
        <v>5009</v>
      </c>
      <c r="K114" s="250" t="s">
        <v>29</v>
      </c>
      <c r="L114" s="96" t="s">
        <v>5008</v>
      </c>
      <c r="M114" s="52" t="s">
        <v>46</v>
      </c>
      <c r="N114" s="54" t="s">
        <v>10496</v>
      </c>
      <c r="O114" s="55" t="str">
        <f t="shared" si="1"/>
        <v>L01.00.00.11.03.01.07</v>
      </c>
      <c r="P114" s="169" t="str">
        <f t="shared" si="2"/>
        <v>Dự án Mimosa.NET</v>
      </c>
      <c r="Q114" s="227" t="s">
        <v>12504</v>
      </c>
      <c r="R114" s="96" t="s">
        <v>5010</v>
      </c>
      <c r="S114" s="96" t="s">
        <v>453</v>
      </c>
      <c r="T114" s="96" t="s">
        <v>607</v>
      </c>
      <c r="U114" s="96" t="s">
        <v>5009</v>
      </c>
      <c r="V114" s="96" t="s">
        <v>5008</v>
      </c>
      <c r="W114" s="96"/>
      <c r="X114" s="91"/>
      <c r="Y114" s="91"/>
      <c r="Z114" s="91"/>
      <c r="AA114" s="91"/>
      <c r="AB114" s="91"/>
    </row>
    <row r="115" ht="15.75" customHeight="1" outlineLevel="1">
      <c r="A115" s="51" t="s">
        <v>25</v>
      </c>
      <c r="B115" s="51" t="s">
        <v>26</v>
      </c>
      <c r="C115" s="51" t="s">
        <v>27</v>
      </c>
      <c r="D115" s="52" t="s">
        <v>4</v>
      </c>
      <c r="E115" s="53" t="s">
        <v>27</v>
      </c>
      <c r="F115" s="52" t="s">
        <v>4</v>
      </c>
      <c r="G115" s="52" t="s">
        <v>61</v>
      </c>
      <c r="H115" s="96" t="s">
        <v>607</v>
      </c>
      <c r="I115" s="325" t="s">
        <v>35</v>
      </c>
      <c r="J115" s="96" t="s">
        <v>5009</v>
      </c>
      <c r="K115" s="170" t="s">
        <v>33</v>
      </c>
      <c r="L115" s="96" t="s">
        <v>10047</v>
      </c>
      <c r="M115" s="52" t="s">
        <v>46</v>
      </c>
      <c r="N115" s="54" t="s">
        <v>10496</v>
      </c>
      <c r="O115" s="55" t="str">
        <f t="shared" si="1"/>
        <v>L01.00.00.11.03.02.07</v>
      </c>
      <c r="P115" s="169" t="str">
        <f t="shared" si="2"/>
        <v>[MIMOSA] Nhóm Phân tích &amp; Thiết kế</v>
      </c>
      <c r="Q115" s="227" t="s">
        <v>12504</v>
      </c>
      <c r="R115" s="96" t="s">
        <v>10048</v>
      </c>
      <c r="S115" s="96" t="s">
        <v>453</v>
      </c>
      <c r="T115" s="96" t="s">
        <v>607</v>
      </c>
      <c r="U115" s="96" t="s">
        <v>5009</v>
      </c>
      <c r="V115" s="96" t="s">
        <v>10047</v>
      </c>
      <c r="W115" s="96"/>
      <c r="X115" s="91"/>
      <c r="Y115" s="91"/>
      <c r="Z115" s="91"/>
      <c r="AA115" s="91"/>
      <c r="AB115" s="91"/>
    </row>
    <row r="116" ht="15.75" customHeight="1" outlineLevel="1">
      <c r="A116" s="51" t="s">
        <v>25</v>
      </c>
      <c r="B116" s="51" t="s">
        <v>26</v>
      </c>
      <c r="C116" s="51" t="s">
        <v>27</v>
      </c>
      <c r="D116" s="52" t="s">
        <v>4</v>
      </c>
      <c r="E116" s="53" t="s">
        <v>27</v>
      </c>
      <c r="F116" s="52" t="s">
        <v>4</v>
      </c>
      <c r="G116" s="52" t="s">
        <v>61</v>
      </c>
      <c r="H116" s="96" t="s">
        <v>607</v>
      </c>
      <c r="I116" s="325" t="s">
        <v>37</v>
      </c>
      <c r="J116" s="96" t="s">
        <v>4380</v>
      </c>
      <c r="K116" s="250" t="s">
        <v>27</v>
      </c>
      <c r="L116" s="96"/>
      <c r="M116" s="52" t="s">
        <v>46</v>
      </c>
      <c r="N116" s="54" t="s">
        <v>10496</v>
      </c>
      <c r="O116" s="55" t="str">
        <f t="shared" si="1"/>
        <v>L01.00.00.11.04.00.07</v>
      </c>
      <c r="P116" s="169" t="str">
        <f t="shared" si="2"/>
        <v/>
      </c>
      <c r="Q116" s="227" t="s">
        <v>12502</v>
      </c>
      <c r="R116" s="96" t="s">
        <v>5429</v>
      </c>
      <c r="S116" s="96" t="s">
        <v>453</v>
      </c>
      <c r="T116" s="96" t="s">
        <v>607</v>
      </c>
      <c r="U116" s="96" t="s">
        <v>4380</v>
      </c>
      <c r="V116" s="96"/>
      <c r="W116" s="96"/>
      <c r="X116" s="91"/>
      <c r="Y116" s="91"/>
      <c r="Z116" s="91"/>
      <c r="AA116" s="91"/>
      <c r="AB116" s="91"/>
    </row>
    <row r="117" ht="15.75" customHeight="1" outlineLevel="1">
      <c r="A117" s="51" t="s">
        <v>25</v>
      </c>
      <c r="B117" s="51" t="s">
        <v>26</v>
      </c>
      <c r="C117" s="51" t="s">
        <v>27</v>
      </c>
      <c r="D117" s="52" t="s">
        <v>4</v>
      </c>
      <c r="E117" s="53" t="s">
        <v>27</v>
      </c>
      <c r="F117" s="52" t="s">
        <v>4</v>
      </c>
      <c r="G117" s="52" t="s">
        <v>61</v>
      </c>
      <c r="H117" s="96" t="s">
        <v>607</v>
      </c>
      <c r="I117" s="325" t="s">
        <v>37</v>
      </c>
      <c r="J117" s="96" t="s">
        <v>4380</v>
      </c>
      <c r="K117" s="170" t="s">
        <v>29</v>
      </c>
      <c r="L117" s="96" t="s">
        <v>4379</v>
      </c>
      <c r="M117" s="52" t="s">
        <v>46</v>
      </c>
      <c r="N117" s="54" t="s">
        <v>10496</v>
      </c>
      <c r="O117" s="55" t="str">
        <f t="shared" si="1"/>
        <v>L01.00.00.11.04.01.07</v>
      </c>
      <c r="P117" s="169" t="str">
        <f t="shared" si="2"/>
        <v>Dự án MISA Bamboo Online</v>
      </c>
      <c r="Q117" s="227" t="s">
        <v>12505</v>
      </c>
      <c r="R117" s="96" t="s">
        <v>4381</v>
      </c>
      <c r="S117" s="96" t="s">
        <v>453</v>
      </c>
      <c r="T117" s="96" t="s">
        <v>607</v>
      </c>
      <c r="U117" s="96" t="s">
        <v>4380</v>
      </c>
      <c r="V117" s="96" t="s">
        <v>4379</v>
      </c>
      <c r="W117" s="96"/>
      <c r="X117" s="91"/>
      <c r="Y117" s="91"/>
      <c r="Z117" s="91"/>
      <c r="AA117" s="91"/>
      <c r="AB117" s="91"/>
    </row>
    <row r="118" ht="15.75" customHeight="1" outlineLevel="1">
      <c r="A118" s="51" t="s">
        <v>25</v>
      </c>
      <c r="B118" s="51" t="s">
        <v>26</v>
      </c>
      <c r="C118" s="51" t="s">
        <v>27</v>
      </c>
      <c r="D118" s="52" t="s">
        <v>4</v>
      </c>
      <c r="E118" s="53" t="s">
        <v>27</v>
      </c>
      <c r="F118" s="52" t="s">
        <v>4</v>
      </c>
      <c r="G118" s="52" t="s">
        <v>61</v>
      </c>
      <c r="H118" s="96" t="s">
        <v>607</v>
      </c>
      <c r="I118" s="325" t="s">
        <v>37</v>
      </c>
      <c r="J118" s="96" t="s">
        <v>4380</v>
      </c>
      <c r="K118" s="170" t="s">
        <v>33</v>
      </c>
      <c r="L118" s="96" t="s">
        <v>5620</v>
      </c>
      <c r="M118" s="52" t="s">
        <v>46</v>
      </c>
      <c r="N118" s="54" t="s">
        <v>10496</v>
      </c>
      <c r="O118" s="55" t="str">
        <f t="shared" si="1"/>
        <v>L01.00.00.11.04.02.07</v>
      </c>
      <c r="P118" s="169" t="str">
        <f t="shared" si="2"/>
        <v>[Bamboo Online] Nhóm Phân tích &amp; Thiết kế</v>
      </c>
      <c r="Q118" s="227" t="s">
        <v>12505</v>
      </c>
      <c r="R118" s="96" t="s">
        <v>5621</v>
      </c>
      <c r="S118" s="96" t="s">
        <v>453</v>
      </c>
      <c r="T118" s="96" t="s">
        <v>607</v>
      </c>
      <c r="U118" s="96" t="s">
        <v>4380</v>
      </c>
      <c r="V118" s="96" t="s">
        <v>5620</v>
      </c>
      <c r="W118" s="96"/>
      <c r="X118" s="91"/>
      <c r="Y118" s="91"/>
      <c r="Z118" s="91"/>
      <c r="AA118" s="91"/>
      <c r="AB118" s="91"/>
    </row>
    <row r="119" ht="15.75" customHeight="1" outlineLevel="1">
      <c r="A119" s="51" t="s">
        <v>25</v>
      </c>
      <c r="B119" s="51" t="s">
        <v>26</v>
      </c>
      <c r="C119" s="51" t="s">
        <v>27</v>
      </c>
      <c r="D119" s="52" t="s">
        <v>4</v>
      </c>
      <c r="E119" s="53" t="s">
        <v>27</v>
      </c>
      <c r="F119" s="52" t="s">
        <v>4</v>
      </c>
      <c r="G119" s="52" t="s">
        <v>61</v>
      </c>
      <c r="H119" s="96" t="s">
        <v>607</v>
      </c>
      <c r="I119" s="325" t="s">
        <v>42</v>
      </c>
      <c r="J119" s="96" t="s">
        <v>2697</v>
      </c>
      <c r="K119" s="250" t="s">
        <v>27</v>
      </c>
      <c r="L119" s="254" t="s">
        <v>4</v>
      </c>
      <c r="M119" s="52" t="s">
        <v>46</v>
      </c>
      <c r="N119" s="54" t="s">
        <v>10496</v>
      </c>
      <c r="O119" s="55" t="str">
        <f t="shared" si="1"/>
        <v>L01.00.00.11.05.00.07</v>
      </c>
      <c r="P119" s="169" t="str">
        <f t="shared" si="2"/>
        <v>Sản phẩm Quản lý ngân sách (BUMAS)</v>
      </c>
      <c r="Q119" s="227" t="s">
        <v>12502</v>
      </c>
      <c r="R119" s="97" t="s">
        <v>10726</v>
      </c>
      <c r="S119" s="96" t="s">
        <v>453</v>
      </c>
      <c r="T119" s="96" t="s">
        <v>607</v>
      </c>
      <c r="U119" s="96" t="s">
        <v>2697</v>
      </c>
      <c r="V119" s="96" t="s">
        <v>2696</v>
      </c>
      <c r="W119" s="96"/>
      <c r="X119" s="91"/>
      <c r="Y119" s="91"/>
      <c r="Z119" s="91"/>
      <c r="AA119" s="91"/>
      <c r="AB119" s="91"/>
    </row>
    <row r="120" ht="15.75" customHeight="1" outlineLevel="1">
      <c r="A120" s="51" t="s">
        <v>25</v>
      </c>
      <c r="B120" s="51" t="s">
        <v>26</v>
      </c>
      <c r="C120" s="51" t="s">
        <v>27</v>
      </c>
      <c r="D120" s="52" t="s">
        <v>4</v>
      </c>
      <c r="E120" s="53" t="s">
        <v>27</v>
      </c>
      <c r="F120" s="52" t="s">
        <v>4</v>
      </c>
      <c r="G120" s="52" t="s">
        <v>61</v>
      </c>
      <c r="H120" s="96" t="s">
        <v>607</v>
      </c>
      <c r="I120" s="325" t="s">
        <v>42</v>
      </c>
      <c r="J120" s="96" t="s">
        <v>2697</v>
      </c>
      <c r="K120" s="170" t="s">
        <v>29</v>
      </c>
      <c r="L120" s="96" t="s">
        <v>2696</v>
      </c>
      <c r="M120" s="52" t="s">
        <v>46</v>
      </c>
      <c r="N120" s="54" t="s">
        <v>10496</v>
      </c>
      <c r="O120" s="55" t="str">
        <f t="shared" si="1"/>
        <v>L01.00.00.11.05.01.07</v>
      </c>
      <c r="P120" s="169" t="str">
        <f t="shared" si="2"/>
        <v>Dự án Quản lý ngân sách nhà nước BUMAS Địa phương</v>
      </c>
      <c r="Q120" s="227" t="s">
        <v>12506</v>
      </c>
      <c r="R120" s="96" t="s">
        <v>2698</v>
      </c>
      <c r="S120" s="96" t="s">
        <v>453</v>
      </c>
      <c r="T120" s="96" t="s">
        <v>607</v>
      </c>
      <c r="U120" s="96" t="s">
        <v>2697</v>
      </c>
      <c r="V120" s="96" t="s">
        <v>2696</v>
      </c>
      <c r="W120" s="96"/>
      <c r="X120" s="91"/>
      <c r="Y120" s="91"/>
      <c r="Z120" s="91"/>
      <c r="AA120" s="91"/>
      <c r="AB120" s="91"/>
    </row>
    <row r="121" ht="15.75" customHeight="1" outlineLevel="1">
      <c r="A121" s="51" t="s">
        <v>25</v>
      </c>
      <c r="B121" s="51" t="s">
        <v>26</v>
      </c>
      <c r="C121" s="51" t="s">
        <v>27</v>
      </c>
      <c r="D121" s="52" t="s">
        <v>4</v>
      </c>
      <c r="E121" s="53" t="s">
        <v>27</v>
      </c>
      <c r="F121" s="52" t="s">
        <v>4</v>
      </c>
      <c r="G121" s="52" t="s">
        <v>61</v>
      </c>
      <c r="H121" s="96" t="s">
        <v>607</v>
      </c>
      <c r="I121" s="325" t="s">
        <v>42</v>
      </c>
      <c r="J121" s="96" t="s">
        <v>2697</v>
      </c>
      <c r="K121" s="170" t="s">
        <v>33</v>
      </c>
      <c r="L121" s="96" t="s">
        <v>4446</v>
      </c>
      <c r="M121" s="52" t="s">
        <v>46</v>
      </c>
      <c r="N121" s="54" t="s">
        <v>10496</v>
      </c>
      <c r="O121" s="55" t="str">
        <f t="shared" si="1"/>
        <v>L01.00.00.11.05.02.07</v>
      </c>
      <c r="P121" s="169" t="str">
        <f t="shared" si="2"/>
        <v>[BUMAS Địa phương] Nhóm Phân tích &amp; Thiết kế</v>
      </c>
      <c r="Q121" s="227" t="s">
        <v>12506</v>
      </c>
      <c r="R121" s="96" t="s">
        <v>4447</v>
      </c>
      <c r="S121" s="96" t="s">
        <v>453</v>
      </c>
      <c r="T121" s="96" t="s">
        <v>607</v>
      </c>
      <c r="U121" s="96" t="s">
        <v>2697</v>
      </c>
      <c r="V121" s="96" t="s">
        <v>4446</v>
      </c>
      <c r="W121" s="96"/>
      <c r="X121" s="91"/>
      <c r="Y121" s="91"/>
      <c r="Z121" s="91"/>
      <c r="AA121" s="91"/>
      <c r="AB121" s="91"/>
    </row>
    <row r="122" ht="15.75" customHeight="1" outlineLevel="1">
      <c r="A122" s="51" t="s">
        <v>25</v>
      </c>
      <c r="B122" s="51" t="s">
        <v>26</v>
      </c>
      <c r="C122" s="51" t="s">
        <v>27</v>
      </c>
      <c r="D122" s="52" t="s">
        <v>4</v>
      </c>
      <c r="E122" s="53" t="s">
        <v>27</v>
      </c>
      <c r="F122" s="52" t="s">
        <v>4</v>
      </c>
      <c r="G122" s="52" t="s">
        <v>61</v>
      </c>
      <c r="H122" s="96" t="s">
        <v>607</v>
      </c>
      <c r="I122" s="325" t="s">
        <v>44</v>
      </c>
      <c r="J122" s="662" t="s">
        <v>4927</v>
      </c>
      <c r="K122" s="250" t="s">
        <v>27</v>
      </c>
      <c r="L122" s="254" t="s">
        <v>4</v>
      </c>
      <c r="M122" s="52" t="s">
        <v>46</v>
      </c>
      <c r="N122" s="54" t="s">
        <v>10496</v>
      </c>
      <c r="O122" s="55" t="str">
        <f t="shared" si="1"/>
        <v>L01.00.00.11.06.00.07</v>
      </c>
      <c r="P122" s="169" t="s">
        <v>4926</v>
      </c>
      <c r="Q122" s="227" t="s">
        <v>12502</v>
      </c>
      <c r="R122" s="97" t="s">
        <v>10731</v>
      </c>
      <c r="S122" s="96" t="s">
        <v>453</v>
      </c>
      <c r="T122" s="96" t="s">
        <v>607</v>
      </c>
      <c r="U122" s="96" t="s">
        <v>4927</v>
      </c>
      <c r="V122" s="96" t="s">
        <v>4926</v>
      </c>
      <c r="W122" s="96"/>
      <c r="X122" s="91"/>
      <c r="Y122" s="91"/>
      <c r="Z122" s="91"/>
      <c r="AA122" s="91"/>
      <c r="AB122" s="91"/>
    </row>
    <row r="123" ht="15.75" customHeight="1" outlineLevel="1">
      <c r="A123" s="51" t="s">
        <v>25</v>
      </c>
      <c r="B123" s="51" t="s">
        <v>26</v>
      </c>
      <c r="C123" s="51" t="s">
        <v>27</v>
      </c>
      <c r="D123" s="52" t="s">
        <v>4</v>
      </c>
      <c r="E123" s="53" t="s">
        <v>27</v>
      </c>
      <c r="F123" s="52" t="s">
        <v>4</v>
      </c>
      <c r="G123" s="52" t="s">
        <v>61</v>
      </c>
      <c r="H123" s="96" t="s">
        <v>607</v>
      </c>
      <c r="I123" s="325" t="s">
        <v>44</v>
      </c>
      <c r="J123" s="96" t="s">
        <v>4927</v>
      </c>
      <c r="K123" s="170" t="s">
        <v>29</v>
      </c>
      <c r="L123" s="96" t="s">
        <v>4926</v>
      </c>
      <c r="M123" s="52" t="s">
        <v>46</v>
      </c>
      <c r="N123" s="54" t="s">
        <v>10496</v>
      </c>
      <c r="O123" s="55" t="str">
        <f t="shared" si="1"/>
        <v>L01.00.00.11.06.01.07</v>
      </c>
      <c r="P123" s="169" t="str">
        <f t="shared" ref="P123:P518" si="3">if(L123&lt;&gt;"-",L123,if(AND(L123="-",J123&lt;&gt;"-"),J123,if(AND(J123="-",H123&lt;&gt;"-"),H123,"NA")))</f>
        <v>Dự án Tổng hợp báo cáo tài chính HCSN (LEKIMA)</v>
      </c>
      <c r="Q123" s="227" t="s">
        <v>12507</v>
      </c>
      <c r="R123" s="96" t="s">
        <v>4928</v>
      </c>
      <c r="S123" s="96" t="s">
        <v>453</v>
      </c>
      <c r="T123" s="96" t="s">
        <v>607</v>
      </c>
      <c r="U123" s="96" t="s">
        <v>4927</v>
      </c>
      <c r="V123" s="96" t="s">
        <v>4926</v>
      </c>
      <c r="W123" s="96"/>
      <c r="X123" s="91"/>
      <c r="Y123" s="91"/>
      <c r="Z123" s="91"/>
      <c r="AA123" s="91"/>
      <c r="AB123" s="91"/>
    </row>
    <row r="124" ht="15.75" customHeight="1" outlineLevel="1">
      <c r="A124" s="51" t="s">
        <v>25</v>
      </c>
      <c r="B124" s="51" t="s">
        <v>26</v>
      </c>
      <c r="C124" s="51" t="s">
        <v>27</v>
      </c>
      <c r="D124" s="52" t="s">
        <v>4</v>
      </c>
      <c r="E124" s="53" t="s">
        <v>27</v>
      </c>
      <c r="F124" s="52" t="s">
        <v>4</v>
      </c>
      <c r="G124" s="52" t="s">
        <v>61</v>
      </c>
      <c r="H124" s="96" t="s">
        <v>607</v>
      </c>
      <c r="I124" s="325" t="s">
        <v>46</v>
      </c>
      <c r="J124" s="96" t="s">
        <v>3035</v>
      </c>
      <c r="K124" s="250" t="s">
        <v>27</v>
      </c>
      <c r="L124" s="254" t="s">
        <v>4</v>
      </c>
      <c r="M124" s="52" t="s">
        <v>46</v>
      </c>
      <c r="N124" s="54" t="s">
        <v>10496</v>
      </c>
      <c r="O124" s="55" t="str">
        <f t="shared" si="1"/>
        <v>L01.00.00.11.07.00.07</v>
      </c>
      <c r="P124" s="169" t="str">
        <f t="shared" si="3"/>
        <v>Sản phẩm MISA QLCB</v>
      </c>
      <c r="Q124" s="227" t="s">
        <v>12502</v>
      </c>
      <c r="R124" s="96" t="s">
        <v>4698</v>
      </c>
      <c r="S124" s="96" t="s">
        <v>453</v>
      </c>
      <c r="T124" s="96" t="s">
        <v>607</v>
      </c>
      <c r="U124" s="96" t="s">
        <v>3035</v>
      </c>
      <c r="V124" s="96"/>
      <c r="W124" s="96"/>
      <c r="X124" s="91"/>
      <c r="Y124" s="91"/>
      <c r="Z124" s="91"/>
      <c r="AA124" s="91"/>
      <c r="AB124" s="91"/>
    </row>
    <row r="125" ht="15.75" customHeight="1" outlineLevel="1">
      <c r="A125" s="51" t="s">
        <v>25</v>
      </c>
      <c r="B125" s="51" t="s">
        <v>26</v>
      </c>
      <c r="C125" s="51" t="s">
        <v>27</v>
      </c>
      <c r="D125" s="52" t="s">
        <v>4</v>
      </c>
      <c r="E125" s="53" t="s">
        <v>27</v>
      </c>
      <c r="F125" s="52" t="s">
        <v>4</v>
      </c>
      <c r="G125" s="52" t="s">
        <v>61</v>
      </c>
      <c r="H125" s="96" t="s">
        <v>607</v>
      </c>
      <c r="I125" s="325" t="s">
        <v>46</v>
      </c>
      <c r="J125" s="96" t="s">
        <v>3035</v>
      </c>
      <c r="K125" s="170" t="s">
        <v>29</v>
      </c>
      <c r="L125" s="96" t="s">
        <v>5499</v>
      </c>
      <c r="M125" s="52" t="s">
        <v>46</v>
      </c>
      <c r="N125" s="54" t="s">
        <v>10496</v>
      </c>
      <c r="O125" s="55" t="str">
        <f t="shared" si="1"/>
        <v>L01.00.00.11.07.01.07</v>
      </c>
      <c r="P125" s="169" t="str">
        <f t="shared" si="3"/>
        <v>Dự án MISA QLCB</v>
      </c>
      <c r="Q125" s="227" t="s">
        <v>12508</v>
      </c>
      <c r="R125" s="96" t="s">
        <v>5500</v>
      </c>
      <c r="S125" s="96" t="s">
        <v>453</v>
      </c>
      <c r="T125" s="96" t="s">
        <v>607</v>
      </c>
      <c r="U125" s="96" t="s">
        <v>3035</v>
      </c>
      <c r="V125" s="96" t="s">
        <v>5499</v>
      </c>
      <c r="W125" s="96"/>
      <c r="X125" s="91"/>
      <c r="Y125" s="91"/>
      <c r="Z125" s="91"/>
      <c r="AA125" s="91"/>
      <c r="AB125" s="91"/>
    </row>
    <row r="126" ht="15.75" customHeight="1" outlineLevel="1">
      <c r="A126" s="51" t="s">
        <v>25</v>
      </c>
      <c r="B126" s="51" t="s">
        <v>26</v>
      </c>
      <c r="C126" s="51" t="s">
        <v>27</v>
      </c>
      <c r="D126" s="52" t="s">
        <v>4</v>
      </c>
      <c r="E126" s="53" t="s">
        <v>27</v>
      </c>
      <c r="F126" s="52" t="s">
        <v>4</v>
      </c>
      <c r="G126" s="52" t="s">
        <v>61</v>
      </c>
      <c r="H126" s="96" t="s">
        <v>607</v>
      </c>
      <c r="I126" s="325" t="s">
        <v>46</v>
      </c>
      <c r="J126" s="96" t="s">
        <v>3035</v>
      </c>
      <c r="K126" s="170" t="s">
        <v>33</v>
      </c>
      <c r="L126" s="96" t="s">
        <v>3034</v>
      </c>
      <c r="M126" s="52" t="s">
        <v>46</v>
      </c>
      <c r="N126" s="54" t="s">
        <v>10496</v>
      </c>
      <c r="O126" s="55" t="str">
        <f t="shared" si="1"/>
        <v>L01.00.00.11.07.02.07</v>
      </c>
      <c r="P126" s="169" t="str">
        <f t="shared" si="3"/>
        <v>[MISA QLCB] Nhóm Phân tích &amp; Thiết kế</v>
      </c>
      <c r="Q126" s="227" t="s">
        <v>12508</v>
      </c>
      <c r="R126" s="96" t="s">
        <v>3036</v>
      </c>
      <c r="S126" s="96" t="s">
        <v>453</v>
      </c>
      <c r="T126" s="96" t="s">
        <v>607</v>
      </c>
      <c r="U126" s="96" t="s">
        <v>3035</v>
      </c>
      <c r="V126" s="96" t="s">
        <v>3034</v>
      </c>
      <c r="W126" s="96"/>
      <c r="X126" s="91"/>
      <c r="Y126" s="91"/>
      <c r="Z126" s="91"/>
      <c r="AA126" s="91"/>
      <c r="AB126" s="91"/>
    </row>
    <row r="127" ht="15.75" customHeight="1" outlineLevel="1">
      <c r="A127" s="51" t="s">
        <v>25</v>
      </c>
      <c r="B127" s="51" t="s">
        <v>26</v>
      </c>
      <c r="C127" s="51" t="s">
        <v>27</v>
      </c>
      <c r="D127" s="52" t="s">
        <v>4</v>
      </c>
      <c r="E127" s="53" t="s">
        <v>27</v>
      </c>
      <c r="F127" s="52" t="s">
        <v>4</v>
      </c>
      <c r="G127" s="52" t="s">
        <v>61</v>
      </c>
      <c r="H127" s="96" t="s">
        <v>607</v>
      </c>
      <c r="I127" s="325" t="s">
        <v>49</v>
      </c>
      <c r="J127" s="96" t="s">
        <v>5626</v>
      </c>
      <c r="K127" s="250" t="s">
        <v>27</v>
      </c>
      <c r="L127" s="254" t="s">
        <v>4</v>
      </c>
      <c r="M127" s="52" t="s">
        <v>46</v>
      </c>
      <c r="N127" s="54" t="s">
        <v>10496</v>
      </c>
      <c r="O127" s="55" t="str">
        <f t="shared" si="1"/>
        <v>L01.00.00.11.08.00.07</v>
      </c>
      <c r="P127" s="169" t="str">
        <f t="shared" si="3"/>
        <v>Sản phẩm MISA TaskGo</v>
      </c>
      <c r="Q127" s="227" t="s">
        <v>12502</v>
      </c>
      <c r="R127" s="97" t="s">
        <v>10739</v>
      </c>
      <c r="S127" s="96" t="s">
        <v>453</v>
      </c>
      <c r="T127" s="96" t="s">
        <v>607</v>
      </c>
      <c r="U127" s="96" t="s">
        <v>5626</v>
      </c>
      <c r="V127" s="96" t="s">
        <v>5625</v>
      </c>
      <c r="W127" s="96"/>
      <c r="X127" s="91"/>
      <c r="Y127" s="91"/>
      <c r="Z127" s="91"/>
      <c r="AA127" s="91"/>
      <c r="AB127" s="91"/>
    </row>
    <row r="128" ht="15.75" customHeight="1" outlineLevel="1">
      <c r="A128" s="51" t="s">
        <v>25</v>
      </c>
      <c r="B128" s="51" t="s">
        <v>26</v>
      </c>
      <c r="C128" s="51" t="s">
        <v>27</v>
      </c>
      <c r="D128" s="52" t="s">
        <v>4</v>
      </c>
      <c r="E128" s="53" t="s">
        <v>27</v>
      </c>
      <c r="F128" s="52" t="s">
        <v>4</v>
      </c>
      <c r="G128" s="52" t="s">
        <v>61</v>
      </c>
      <c r="H128" s="96" t="s">
        <v>607</v>
      </c>
      <c r="I128" s="325" t="s">
        <v>49</v>
      </c>
      <c r="J128" s="96" t="s">
        <v>5626</v>
      </c>
      <c r="K128" s="170" t="s">
        <v>29</v>
      </c>
      <c r="L128" s="96" t="s">
        <v>5625</v>
      </c>
      <c r="M128" s="52" t="s">
        <v>46</v>
      </c>
      <c r="N128" s="54" t="s">
        <v>10496</v>
      </c>
      <c r="O128" s="55" t="str">
        <f t="shared" si="1"/>
        <v>L01.00.00.11.08.01.07</v>
      </c>
      <c r="P128" s="169" t="str">
        <f t="shared" si="3"/>
        <v>Dự án MISA TaskGo</v>
      </c>
      <c r="Q128" s="227" t="s">
        <v>12509</v>
      </c>
      <c r="R128" s="96" t="s">
        <v>5627</v>
      </c>
      <c r="S128" s="96" t="s">
        <v>453</v>
      </c>
      <c r="T128" s="96" t="s">
        <v>607</v>
      </c>
      <c r="U128" s="96" t="s">
        <v>5626</v>
      </c>
      <c r="V128" s="96" t="s">
        <v>5625</v>
      </c>
      <c r="W128" s="96"/>
      <c r="X128" s="91"/>
      <c r="Y128" s="91"/>
      <c r="Z128" s="91"/>
      <c r="AA128" s="91"/>
      <c r="AB128" s="91"/>
    </row>
    <row r="129" ht="15.75" customHeight="1" outlineLevel="1">
      <c r="A129" s="51" t="s">
        <v>25</v>
      </c>
      <c r="B129" s="51" t="s">
        <v>26</v>
      </c>
      <c r="C129" s="51" t="s">
        <v>27</v>
      </c>
      <c r="D129" s="52" t="s">
        <v>4</v>
      </c>
      <c r="E129" s="53" t="s">
        <v>27</v>
      </c>
      <c r="F129" s="52" t="s">
        <v>4</v>
      </c>
      <c r="G129" s="52" t="s">
        <v>61</v>
      </c>
      <c r="H129" s="96" t="s">
        <v>607</v>
      </c>
      <c r="I129" s="325" t="s">
        <v>49</v>
      </c>
      <c r="J129" s="96" t="s">
        <v>5626</v>
      </c>
      <c r="K129" s="170" t="s">
        <v>33</v>
      </c>
      <c r="L129" s="96" t="s">
        <v>6093</v>
      </c>
      <c r="M129" s="52" t="s">
        <v>46</v>
      </c>
      <c r="N129" s="54" t="s">
        <v>10496</v>
      </c>
      <c r="O129" s="55" t="str">
        <f t="shared" si="1"/>
        <v>L01.00.00.11.08.02.07</v>
      </c>
      <c r="P129" s="169" t="str">
        <f t="shared" si="3"/>
        <v>Dự án MISA TaskGo 2</v>
      </c>
      <c r="Q129" s="227" t="s">
        <v>12509</v>
      </c>
      <c r="R129" s="96" t="s">
        <v>6094</v>
      </c>
      <c r="S129" s="96" t="s">
        <v>453</v>
      </c>
      <c r="T129" s="96" t="s">
        <v>607</v>
      </c>
      <c r="U129" s="96" t="s">
        <v>5626</v>
      </c>
      <c r="V129" s="96" t="s">
        <v>6093</v>
      </c>
      <c r="W129" s="96"/>
      <c r="X129" s="91"/>
      <c r="Y129" s="91"/>
      <c r="Z129" s="91"/>
      <c r="AA129" s="91"/>
      <c r="AB129" s="91"/>
    </row>
    <row r="130" ht="15.75" customHeight="1" outlineLevel="1">
      <c r="A130" s="51" t="s">
        <v>25</v>
      </c>
      <c r="B130" s="51" t="s">
        <v>26</v>
      </c>
      <c r="C130" s="51" t="s">
        <v>27</v>
      </c>
      <c r="D130" s="52" t="s">
        <v>4</v>
      </c>
      <c r="E130" s="53" t="s">
        <v>27</v>
      </c>
      <c r="F130" s="52" t="s">
        <v>4</v>
      </c>
      <c r="G130" s="52" t="s">
        <v>61</v>
      </c>
      <c r="H130" s="96" t="s">
        <v>607</v>
      </c>
      <c r="I130" s="325" t="s">
        <v>51</v>
      </c>
      <c r="J130" s="662" t="s">
        <v>4856</v>
      </c>
      <c r="K130" s="250" t="s">
        <v>27</v>
      </c>
      <c r="L130" s="254" t="s">
        <v>4</v>
      </c>
      <c r="M130" s="52" t="s">
        <v>46</v>
      </c>
      <c r="N130" s="54" t="s">
        <v>10496</v>
      </c>
      <c r="O130" s="55" t="str">
        <f t="shared" si="1"/>
        <v>L01.00.00.11.09.00.07</v>
      </c>
      <c r="P130" s="169" t="str">
        <f t="shared" si="3"/>
        <v>Sản phẩm MISA CeGov</v>
      </c>
      <c r="Q130" s="227" t="s">
        <v>12502</v>
      </c>
      <c r="R130" s="96" t="s">
        <v>4857</v>
      </c>
      <c r="S130" s="96" t="s">
        <v>453</v>
      </c>
      <c r="T130" s="96" t="s">
        <v>607</v>
      </c>
      <c r="U130" s="96" t="s">
        <v>4856</v>
      </c>
      <c r="V130" s="96" t="s">
        <v>4855</v>
      </c>
      <c r="W130" s="96"/>
      <c r="X130" s="91"/>
      <c r="Y130" s="91"/>
      <c r="Z130" s="91"/>
      <c r="AA130" s="91"/>
      <c r="AB130" s="91"/>
    </row>
    <row r="131" ht="15.75" customHeight="1" outlineLevel="1">
      <c r="A131" s="51" t="s">
        <v>25</v>
      </c>
      <c r="B131" s="51" t="s">
        <v>26</v>
      </c>
      <c r="C131" s="51" t="s">
        <v>27</v>
      </c>
      <c r="D131" s="52" t="s">
        <v>4</v>
      </c>
      <c r="E131" s="53" t="s">
        <v>27</v>
      </c>
      <c r="F131" s="52" t="s">
        <v>4</v>
      </c>
      <c r="G131" s="52" t="s">
        <v>61</v>
      </c>
      <c r="H131" s="96" t="s">
        <v>607</v>
      </c>
      <c r="I131" s="325" t="s">
        <v>51</v>
      </c>
      <c r="J131" s="96" t="s">
        <v>4856</v>
      </c>
      <c r="K131" s="250" t="s">
        <v>29</v>
      </c>
      <c r="L131" s="96" t="s">
        <v>4855</v>
      </c>
      <c r="M131" s="52" t="s">
        <v>46</v>
      </c>
      <c r="N131" s="54" t="s">
        <v>10496</v>
      </c>
      <c r="O131" s="55" t="str">
        <f t="shared" si="1"/>
        <v>L01.00.00.11.09.01.07</v>
      </c>
      <c r="P131" s="169" t="str">
        <f t="shared" si="3"/>
        <v>Dự án MISA CeGov</v>
      </c>
      <c r="Q131" s="227" t="s">
        <v>12510</v>
      </c>
      <c r="R131" s="96" t="s">
        <v>4857</v>
      </c>
      <c r="S131" s="96" t="s">
        <v>453</v>
      </c>
      <c r="T131" s="96" t="s">
        <v>607</v>
      </c>
      <c r="U131" s="96" t="s">
        <v>4856</v>
      </c>
      <c r="V131" s="96" t="s">
        <v>4855</v>
      </c>
      <c r="W131" s="96"/>
      <c r="X131" s="91"/>
      <c r="Y131" s="91"/>
      <c r="Z131" s="91"/>
      <c r="AA131" s="91"/>
      <c r="AB131" s="91"/>
    </row>
    <row r="132" ht="15.75" customHeight="1" outlineLevel="1">
      <c r="A132" s="51" t="s">
        <v>25</v>
      </c>
      <c r="B132" s="51" t="s">
        <v>26</v>
      </c>
      <c r="C132" s="51" t="s">
        <v>27</v>
      </c>
      <c r="D132" s="52" t="s">
        <v>4</v>
      </c>
      <c r="E132" s="53" t="s">
        <v>27</v>
      </c>
      <c r="F132" s="52" t="s">
        <v>4</v>
      </c>
      <c r="G132" s="52" t="s">
        <v>61</v>
      </c>
      <c r="H132" s="96" t="s">
        <v>607</v>
      </c>
      <c r="I132" s="325" t="s">
        <v>55</v>
      </c>
      <c r="J132" s="96" t="s">
        <v>3247</v>
      </c>
      <c r="K132" s="52" t="s">
        <v>27</v>
      </c>
      <c r="L132" s="254" t="s">
        <v>4</v>
      </c>
      <c r="M132" s="52" t="s">
        <v>46</v>
      </c>
      <c r="N132" s="54" t="s">
        <v>10496</v>
      </c>
      <c r="O132" s="55" t="str">
        <f t="shared" si="1"/>
        <v>L01.00.00.11.10.00.07</v>
      </c>
      <c r="P132" s="169" t="str">
        <f t="shared" si="3"/>
        <v>Sản phẩm QLTS.VN</v>
      </c>
      <c r="Q132" s="227" t="s">
        <v>12502</v>
      </c>
      <c r="R132" s="96" t="s">
        <v>10432</v>
      </c>
      <c r="S132" s="96" t="s">
        <v>453</v>
      </c>
      <c r="T132" s="96" t="s">
        <v>607</v>
      </c>
      <c r="U132" s="96" t="s">
        <v>3247</v>
      </c>
      <c r="V132" s="96"/>
      <c r="W132" s="96"/>
      <c r="X132" s="91"/>
      <c r="Y132" s="91"/>
      <c r="Z132" s="91"/>
      <c r="AA132" s="91"/>
      <c r="AB132" s="91"/>
    </row>
    <row r="133" ht="15.75" customHeight="1" outlineLevel="1">
      <c r="A133" s="51" t="s">
        <v>25</v>
      </c>
      <c r="B133" s="51" t="s">
        <v>26</v>
      </c>
      <c r="C133" s="51" t="s">
        <v>27</v>
      </c>
      <c r="D133" s="52" t="s">
        <v>4</v>
      </c>
      <c r="E133" s="53" t="s">
        <v>27</v>
      </c>
      <c r="F133" s="52" t="s">
        <v>4</v>
      </c>
      <c r="G133" s="52" t="s">
        <v>61</v>
      </c>
      <c r="H133" s="96" t="s">
        <v>607</v>
      </c>
      <c r="I133" s="325" t="s">
        <v>55</v>
      </c>
      <c r="J133" s="96" t="s">
        <v>3247</v>
      </c>
      <c r="K133" s="51" t="s">
        <v>29</v>
      </c>
      <c r="L133" s="96" t="s">
        <v>3246</v>
      </c>
      <c r="M133" s="52" t="s">
        <v>46</v>
      </c>
      <c r="N133" s="54" t="s">
        <v>10496</v>
      </c>
      <c r="O133" s="55" t="str">
        <f t="shared" si="1"/>
        <v>L01.00.00.11.10.01.07</v>
      </c>
      <c r="P133" s="169" t="str">
        <f t="shared" si="3"/>
        <v>Dự án QLTS.VN</v>
      </c>
      <c r="Q133" s="227" t="s">
        <v>12511</v>
      </c>
      <c r="R133" s="96" t="s">
        <v>3248</v>
      </c>
      <c r="S133" s="96" t="s">
        <v>453</v>
      </c>
      <c r="T133" s="96" t="s">
        <v>607</v>
      </c>
      <c r="U133" s="96" t="s">
        <v>3247</v>
      </c>
      <c r="V133" s="96" t="s">
        <v>3246</v>
      </c>
      <c r="W133" s="96"/>
      <c r="X133" s="91"/>
      <c r="Y133" s="91"/>
      <c r="Z133" s="91"/>
      <c r="AA133" s="91"/>
      <c r="AB133" s="91"/>
    </row>
    <row r="134" ht="15.75" customHeight="1" outlineLevel="1">
      <c r="A134" s="51" t="s">
        <v>25</v>
      </c>
      <c r="B134" s="51" t="s">
        <v>26</v>
      </c>
      <c r="C134" s="51" t="s">
        <v>27</v>
      </c>
      <c r="D134" s="52" t="s">
        <v>4</v>
      </c>
      <c r="E134" s="53" t="s">
        <v>27</v>
      </c>
      <c r="F134" s="52" t="s">
        <v>4</v>
      </c>
      <c r="G134" s="52" t="s">
        <v>61</v>
      </c>
      <c r="H134" s="96" t="s">
        <v>607</v>
      </c>
      <c r="I134" s="325" t="s">
        <v>55</v>
      </c>
      <c r="J134" s="96" t="s">
        <v>3247</v>
      </c>
      <c r="K134" s="51" t="s">
        <v>33</v>
      </c>
      <c r="L134" s="96" t="s">
        <v>3388</v>
      </c>
      <c r="M134" s="52" t="s">
        <v>46</v>
      </c>
      <c r="N134" s="54" t="s">
        <v>10496</v>
      </c>
      <c r="O134" s="55" t="str">
        <f t="shared" si="1"/>
        <v>L01.00.00.11.10.02.07</v>
      </c>
      <c r="P134" s="169" t="str">
        <f t="shared" si="3"/>
        <v>[QLTS] Nhóm Phân tích &amp; Thiết kế</v>
      </c>
      <c r="Q134" s="227" t="s">
        <v>12511</v>
      </c>
      <c r="R134" s="96" t="s">
        <v>3389</v>
      </c>
      <c r="S134" s="96" t="s">
        <v>453</v>
      </c>
      <c r="T134" s="96" t="s">
        <v>607</v>
      </c>
      <c r="U134" s="96" t="s">
        <v>3247</v>
      </c>
      <c r="V134" s="96" t="s">
        <v>3388</v>
      </c>
      <c r="W134" s="96"/>
      <c r="X134" s="91"/>
      <c r="Y134" s="91"/>
      <c r="Z134" s="91"/>
      <c r="AA134" s="91"/>
      <c r="AB134" s="91"/>
    </row>
    <row r="135" ht="15.75" customHeight="1" outlineLevel="1">
      <c r="A135" s="51" t="s">
        <v>25</v>
      </c>
      <c r="B135" s="51" t="s">
        <v>26</v>
      </c>
      <c r="C135" s="51" t="s">
        <v>27</v>
      </c>
      <c r="D135" s="52" t="s">
        <v>4</v>
      </c>
      <c r="E135" s="53" t="s">
        <v>27</v>
      </c>
      <c r="F135" s="52" t="s">
        <v>4</v>
      </c>
      <c r="G135" s="52" t="s">
        <v>61</v>
      </c>
      <c r="H135" s="96" t="s">
        <v>607</v>
      </c>
      <c r="I135" s="669" t="s">
        <v>61</v>
      </c>
      <c r="J135" s="662" t="s">
        <v>608</v>
      </c>
      <c r="K135" s="52" t="s">
        <v>27</v>
      </c>
      <c r="L135" s="254" t="s">
        <v>4</v>
      </c>
      <c r="M135" s="52" t="s">
        <v>46</v>
      </c>
      <c r="N135" s="54" t="s">
        <v>10496</v>
      </c>
      <c r="O135" s="55" t="str">
        <f t="shared" si="1"/>
        <v>L01.00.00.11.11.00.07</v>
      </c>
      <c r="P135" s="169" t="str">
        <f t="shared" si="3"/>
        <v>Sản phẩm MISA SalaGov</v>
      </c>
      <c r="Q135" s="227" t="s">
        <v>12502</v>
      </c>
      <c r="R135" s="97" t="s">
        <v>10752</v>
      </c>
      <c r="S135" s="96" t="s">
        <v>453</v>
      </c>
      <c r="T135" s="96" t="s">
        <v>607</v>
      </c>
      <c r="U135" s="96" t="s">
        <v>608</v>
      </c>
      <c r="V135" s="96" t="s">
        <v>606</v>
      </c>
      <c r="W135" s="96"/>
      <c r="X135" s="91"/>
      <c r="Y135" s="91"/>
      <c r="Z135" s="91"/>
      <c r="AA135" s="91"/>
      <c r="AB135" s="91"/>
    </row>
    <row r="136" ht="15.75" customHeight="1" outlineLevel="1">
      <c r="A136" s="51" t="s">
        <v>25</v>
      </c>
      <c r="B136" s="51" t="s">
        <v>26</v>
      </c>
      <c r="C136" s="51" t="s">
        <v>27</v>
      </c>
      <c r="D136" s="52" t="s">
        <v>4</v>
      </c>
      <c r="E136" s="53" t="s">
        <v>27</v>
      </c>
      <c r="F136" s="52" t="s">
        <v>4</v>
      </c>
      <c r="G136" s="52" t="s">
        <v>61</v>
      </c>
      <c r="H136" s="96" t="s">
        <v>607</v>
      </c>
      <c r="I136" s="669" t="s">
        <v>61</v>
      </c>
      <c r="J136" s="96" t="s">
        <v>608</v>
      </c>
      <c r="K136" s="51" t="s">
        <v>29</v>
      </c>
      <c r="L136" s="96" t="s">
        <v>606</v>
      </c>
      <c r="M136" s="52" t="s">
        <v>46</v>
      </c>
      <c r="N136" s="54" t="s">
        <v>10496</v>
      </c>
      <c r="O136" s="55" t="str">
        <f t="shared" si="1"/>
        <v>L01.00.00.11.11.01.07</v>
      </c>
      <c r="P136" s="169" t="str">
        <f t="shared" si="3"/>
        <v>Dự án MISA SalaGov</v>
      </c>
      <c r="Q136" s="227" t="s">
        <v>12512</v>
      </c>
      <c r="R136" s="96" t="s">
        <v>609</v>
      </c>
      <c r="S136" s="96" t="s">
        <v>453</v>
      </c>
      <c r="T136" s="96" t="s">
        <v>607</v>
      </c>
      <c r="U136" s="96" t="s">
        <v>608</v>
      </c>
      <c r="V136" s="96" t="s">
        <v>606</v>
      </c>
      <c r="W136" s="96"/>
      <c r="X136" s="91"/>
      <c r="Y136" s="91"/>
      <c r="Z136" s="91"/>
      <c r="AA136" s="91"/>
      <c r="AB136" s="91"/>
    </row>
    <row r="137" ht="15.75" customHeight="1" outlineLevel="1">
      <c r="A137" s="670" t="s">
        <v>25</v>
      </c>
      <c r="B137" s="670" t="s">
        <v>26</v>
      </c>
      <c r="C137" s="670" t="s">
        <v>27</v>
      </c>
      <c r="D137" s="671" t="s">
        <v>4</v>
      </c>
      <c r="E137" s="672" t="s">
        <v>27</v>
      </c>
      <c r="F137" s="671" t="s">
        <v>4</v>
      </c>
      <c r="G137" s="671" t="s">
        <v>61</v>
      </c>
      <c r="H137" s="673" t="s">
        <v>607</v>
      </c>
      <c r="I137" s="674" t="s">
        <v>61</v>
      </c>
      <c r="J137" s="673" t="s">
        <v>608</v>
      </c>
      <c r="K137" s="670" t="s">
        <v>33</v>
      </c>
      <c r="L137" s="673" t="s">
        <v>3425</v>
      </c>
      <c r="M137" s="671" t="s">
        <v>46</v>
      </c>
      <c r="N137" s="675" t="s">
        <v>10496</v>
      </c>
      <c r="O137" s="676" t="str">
        <f t="shared" si="1"/>
        <v>L01.00.00.11.11.02.07</v>
      </c>
      <c r="P137" s="677" t="str">
        <f t="shared" si="3"/>
        <v>[SalaGov] Nhóm Phân tích &amp; Thiết kế</v>
      </c>
      <c r="Q137" s="678" t="s">
        <v>12512</v>
      </c>
      <c r="R137" s="673" t="s">
        <v>3426</v>
      </c>
      <c r="S137" s="673" t="s">
        <v>453</v>
      </c>
      <c r="T137" s="673" t="s">
        <v>607</v>
      </c>
      <c r="U137" s="673" t="s">
        <v>608</v>
      </c>
      <c r="V137" s="673" t="s">
        <v>3425</v>
      </c>
      <c r="W137" s="673"/>
      <c r="X137" s="679"/>
      <c r="Y137" s="679"/>
      <c r="Z137" s="679"/>
      <c r="AA137" s="679"/>
      <c r="AB137" s="679"/>
    </row>
    <row r="138" ht="15.75" customHeight="1" outlineLevel="1">
      <c r="A138" s="51" t="s">
        <v>25</v>
      </c>
      <c r="B138" s="51" t="s">
        <v>26</v>
      </c>
      <c r="C138" s="51" t="s">
        <v>27</v>
      </c>
      <c r="D138" s="52" t="s">
        <v>4</v>
      </c>
      <c r="E138" s="53" t="s">
        <v>27</v>
      </c>
      <c r="F138" s="52" t="s">
        <v>4</v>
      </c>
      <c r="G138" s="52" t="s">
        <v>61</v>
      </c>
      <c r="H138" s="96" t="s">
        <v>607</v>
      </c>
      <c r="I138" s="669" t="s">
        <v>64</v>
      </c>
      <c r="J138" s="96" t="s">
        <v>5207</v>
      </c>
      <c r="K138" s="52" t="s">
        <v>27</v>
      </c>
      <c r="L138" s="56" t="s">
        <v>4</v>
      </c>
      <c r="M138" s="52" t="s">
        <v>46</v>
      </c>
      <c r="N138" s="54" t="s">
        <v>10496</v>
      </c>
      <c r="O138" s="55" t="str">
        <f t="shared" si="1"/>
        <v>L01.00.00.11.12.00.07</v>
      </c>
      <c r="P138" s="169" t="str">
        <f t="shared" si="3"/>
        <v>Nhóm chuyên gia Khối SP HCSN</v>
      </c>
      <c r="Q138" s="96"/>
      <c r="R138" s="96" t="s">
        <v>5208</v>
      </c>
      <c r="S138" s="96" t="s">
        <v>453</v>
      </c>
      <c r="T138" s="96" t="s">
        <v>607</v>
      </c>
      <c r="U138" s="96" t="s">
        <v>5207</v>
      </c>
      <c r="V138" s="96"/>
      <c r="W138" s="96"/>
      <c r="X138" s="91"/>
      <c r="Y138" s="91"/>
      <c r="Z138" s="91"/>
      <c r="AA138" s="91"/>
      <c r="AB138" s="91"/>
    </row>
    <row r="139" ht="15.75" customHeight="1" outlineLevel="1">
      <c r="A139" s="51" t="s">
        <v>25</v>
      </c>
      <c r="B139" s="51" t="s">
        <v>26</v>
      </c>
      <c r="C139" s="51" t="s">
        <v>27</v>
      </c>
      <c r="D139" s="52" t="s">
        <v>4</v>
      </c>
      <c r="E139" s="53" t="s">
        <v>27</v>
      </c>
      <c r="F139" s="52" t="s">
        <v>4</v>
      </c>
      <c r="G139" s="52" t="s">
        <v>61</v>
      </c>
      <c r="H139" s="96" t="s">
        <v>607</v>
      </c>
      <c r="I139" s="669" t="s">
        <v>67</v>
      </c>
      <c r="J139" s="662" t="s">
        <v>6890</v>
      </c>
      <c r="K139" s="52" t="s">
        <v>27</v>
      </c>
      <c r="L139" s="663" t="s">
        <v>4</v>
      </c>
      <c r="M139" s="52" t="s">
        <v>46</v>
      </c>
      <c r="N139" s="54" t="s">
        <v>10496</v>
      </c>
      <c r="O139" s="55" t="str">
        <f t="shared" si="1"/>
        <v>L01.00.00.11.13.00.07</v>
      </c>
      <c r="P139" s="169" t="str">
        <f t="shared" si="3"/>
        <v>Sản phẩm MISA Panda Online</v>
      </c>
      <c r="Q139" s="96"/>
      <c r="R139" s="97" t="s">
        <v>10758</v>
      </c>
      <c r="S139" s="96" t="s">
        <v>453</v>
      </c>
      <c r="T139" s="96" t="s">
        <v>607</v>
      </c>
      <c r="U139" s="96" t="s">
        <v>6890</v>
      </c>
      <c r="V139" s="96" t="s">
        <v>6889</v>
      </c>
      <c r="W139" s="96"/>
      <c r="X139" s="91"/>
      <c r="Y139" s="91"/>
      <c r="Z139" s="91"/>
      <c r="AA139" s="91"/>
      <c r="AB139" s="91"/>
    </row>
    <row r="140" ht="15.75" customHeight="1" outlineLevel="1">
      <c r="A140" s="51" t="s">
        <v>25</v>
      </c>
      <c r="B140" s="51" t="s">
        <v>26</v>
      </c>
      <c r="C140" s="51" t="s">
        <v>27</v>
      </c>
      <c r="D140" s="52" t="s">
        <v>4</v>
      </c>
      <c r="E140" s="53" t="s">
        <v>27</v>
      </c>
      <c r="F140" s="52" t="s">
        <v>4</v>
      </c>
      <c r="G140" s="52" t="s">
        <v>61</v>
      </c>
      <c r="H140" s="96" t="s">
        <v>607</v>
      </c>
      <c r="I140" s="669" t="s">
        <v>67</v>
      </c>
      <c r="J140" s="96" t="s">
        <v>6890</v>
      </c>
      <c r="K140" s="51" t="s">
        <v>29</v>
      </c>
      <c r="L140" s="96" t="s">
        <v>6889</v>
      </c>
      <c r="M140" s="52" t="s">
        <v>46</v>
      </c>
      <c r="N140" s="54" t="s">
        <v>10496</v>
      </c>
      <c r="O140" s="55" t="str">
        <f t="shared" si="1"/>
        <v>L01.00.00.11.13.01.07</v>
      </c>
      <c r="P140" s="169" t="str">
        <f t="shared" si="3"/>
        <v>[MISA Panda Online] Nhóm Phân tích &amp; Thiết kế</v>
      </c>
      <c r="Q140" s="96"/>
      <c r="R140" s="96" t="s">
        <v>6891</v>
      </c>
      <c r="S140" s="96" t="s">
        <v>453</v>
      </c>
      <c r="T140" s="96" t="s">
        <v>607</v>
      </c>
      <c r="U140" s="96" t="s">
        <v>6890</v>
      </c>
      <c r="V140" s="96" t="s">
        <v>6889</v>
      </c>
      <c r="W140" s="96"/>
      <c r="X140" s="91"/>
      <c r="Y140" s="91"/>
      <c r="Z140" s="91"/>
      <c r="AA140" s="91"/>
      <c r="AB140" s="91"/>
    </row>
    <row r="141" ht="15.75" customHeight="1" outlineLevel="1">
      <c r="A141" s="51" t="s">
        <v>25</v>
      </c>
      <c r="B141" s="51" t="s">
        <v>26</v>
      </c>
      <c r="C141" s="51" t="s">
        <v>27</v>
      </c>
      <c r="D141" s="52" t="s">
        <v>4</v>
      </c>
      <c r="E141" s="53" t="s">
        <v>27</v>
      </c>
      <c r="F141" s="52" t="s">
        <v>4</v>
      </c>
      <c r="G141" s="52" t="s">
        <v>64</v>
      </c>
      <c r="H141" s="680" t="s">
        <v>10765</v>
      </c>
      <c r="I141" s="250" t="s">
        <v>27</v>
      </c>
      <c r="J141" s="665" t="s">
        <v>4</v>
      </c>
      <c r="K141" s="52" t="s">
        <v>27</v>
      </c>
      <c r="L141" s="56" t="s">
        <v>4</v>
      </c>
      <c r="M141" s="52" t="s">
        <v>46</v>
      </c>
      <c r="N141" s="54" t="s">
        <v>10496</v>
      </c>
      <c r="O141" s="55" t="str">
        <f t="shared" si="1"/>
        <v>L01.00.00.12.00.00.07</v>
      </c>
      <c r="P141" s="169" t="str">
        <f t="shared" si="3"/>
        <v>Khối sản phẩm Bán lẻ</v>
      </c>
      <c r="Q141" s="96"/>
      <c r="R141" s="97" t="s">
        <v>10766</v>
      </c>
      <c r="S141" s="96" t="s">
        <v>453</v>
      </c>
      <c r="T141" s="96" t="s">
        <v>566</v>
      </c>
      <c r="U141" s="96"/>
      <c r="V141" s="96"/>
      <c r="W141" s="96"/>
      <c r="X141" s="91"/>
      <c r="Y141" s="91"/>
      <c r="Z141" s="91"/>
      <c r="AA141" s="91"/>
      <c r="AB141" s="91"/>
    </row>
    <row r="142" ht="15.75" customHeight="1" outlineLevel="1">
      <c r="A142" s="51" t="s">
        <v>25</v>
      </c>
      <c r="B142" s="51" t="s">
        <v>26</v>
      </c>
      <c r="C142" s="51" t="s">
        <v>27</v>
      </c>
      <c r="D142" s="52" t="s">
        <v>4</v>
      </c>
      <c r="E142" s="53" t="s">
        <v>27</v>
      </c>
      <c r="F142" s="52" t="s">
        <v>4</v>
      </c>
      <c r="G142" s="52" t="s">
        <v>64</v>
      </c>
      <c r="H142" s="681" t="s">
        <v>10765</v>
      </c>
      <c r="I142" s="52" t="s">
        <v>29</v>
      </c>
      <c r="J142" s="61" t="s">
        <v>66</v>
      </c>
      <c r="K142" s="52" t="s">
        <v>27</v>
      </c>
      <c r="L142" s="56" t="s">
        <v>4</v>
      </c>
      <c r="M142" s="52" t="s">
        <v>46</v>
      </c>
      <c r="N142" s="54" t="s">
        <v>10496</v>
      </c>
      <c r="O142" s="55" t="str">
        <f t="shared" si="1"/>
        <v>L01.00.00.12.01.00.07</v>
      </c>
      <c r="P142" s="169" t="str">
        <f t="shared" si="3"/>
        <v>Ban giám đốc Khối SP Bán lẻ</v>
      </c>
      <c r="Q142" s="96"/>
      <c r="R142" s="96" t="s">
        <v>10335</v>
      </c>
      <c r="S142" s="96" t="s">
        <v>453</v>
      </c>
      <c r="T142" s="96" t="s">
        <v>566</v>
      </c>
      <c r="U142" s="96" t="s">
        <v>10334</v>
      </c>
      <c r="V142" s="96"/>
      <c r="W142" s="96"/>
      <c r="X142" s="91"/>
      <c r="Y142" s="91"/>
      <c r="Z142" s="91"/>
      <c r="AA142" s="91"/>
      <c r="AB142" s="91"/>
    </row>
    <row r="143" ht="15.75" customHeight="1" outlineLevel="1">
      <c r="A143" s="51" t="s">
        <v>25</v>
      </c>
      <c r="B143" s="51" t="s">
        <v>26</v>
      </c>
      <c r="C143" s="51" t="s">
        <v>27</v>
      </c>
      <c r="D143" s="52" t="s">
        <v>4</v>
      </c>
      <c r="E143" s="53" t="s">
        <v>27</v>
      </c>
      <c r="F143" s="52" t="s">
        <v>4</v>
      </c>
      <c r="G143" s="52" t="s">
        <v>64</v>
      </c>
      <c r="H143" s="681" t="s">
        <v>10765</v>
      </c>
      <c r="I143" s="62" t="s">
        <v>33</v>
      </c>
      <c r="J143" s="662" t="s">
        <v>2888</v>
      </c>
      <c r="K143" s="52" t="s">
        <v>27</v>
      </c>
      <c r="L143" s="663" t="s">
        <v>4</v>
      </c>
      <c r="M143" s="52" t="s">
        <v>46</v>
      </c>
      <c r="N143" s="54" t="s">
        <v>10496</v>
      </c>
      <c r="O143" s="55" t="str">
        <f t="shared" si="1"/>
        <v>L01.00.00.12.02.00.07</v>
      </c>
      <c r="P143" s="169" t="str">
        <f t="shared" si="3"/>
        <v>Sản phẩm CukCuk (TTVN)</v>
      </c>
      <c r="Q143" s="96"/>
      <c r="R143" s="97" t="s">
        <v>10770</v>
      </c>
      <c r="S143" s="96" t="s">
        <v>453</v>
      </c>
      <c r="T143" s="96" t="s">
        <v>566</v>
      </c>
      <c r="U143" s="96" t="s">
        <v>2888</v>
      </c>
      <c r="V143" s="96"/>
      <c r="W143" s="96"/>
      <c r="X143" s="91"/>
      <c r="Y143" s="91"/>
      <c r="Z143" s="91"/>
      <c r="AA143" s="91"/>
      <c r="AB143" s="91"/>
    </row>
    <row r="144" ht="15.75" customHeight="1" outlineLevel="1">
      <c r="A144" s="51" t="s">
        <v>25</v>
      </c>
      <c r="B144" s="51" t="s">
        <v>26</v>
      </c>
      <c r="C144" s="51" t="s">
        <v>27</v>
      </c>
      <c r="D144" s="52" t="s">
        <v>4</v>
      </c>
      <c r="E144" s="53" t="s">
        <v>27</v>
      </c>
      <c r="F144" s="52" t="s">
        <v>4</v>
      </c>
      <c r="G144" s="52" t="s">
        <v>64</v>
      </c>
      <c r="H144" s="681" t="s">
        <v>10765</v>
      </c>
      <c r="I144" s="62" t="s">
        <v>33</v>
      </c>
      <c r="J144" s="96" t="s">
        <v>2888</v>
      </c>
      <c r="K144" s="51" t="s">
        <v>29</v>
      </c>
      <c r="L144" s="96" t="s">
        <v>2893</v>
      </c>
      <c r="M144" s="52" t="s">
        <v>46</v>
      </c>
      <c r="N144" s="54" t="s">
        <v>10496</v>
      </c>
      <c r="O144" s="55" t="str">
        <f t="shared" si="1"/>
        <v>L01.00.00.12.02.01.07</v>
      </c>
      <c r="P144" s="169" t="str">
        <f t="shared" si="3"/>
        <v>Dự án Cukcuk W&amp;D (TTVN)</v>
      </c>
      <c r="Q144" s="96"/>
      <c r="R144" s="96" t="s">
        <v>2894</v>
      </c>
      <c r="S144" s="96" t="s">
        <v>453</v>
      </c>
      <c r="T144" s="96" t="s">
        <v>566</v>
      </c>
      <c r="U144" s="96" t="s">
        <v>2888</v>
      </c>
      <c r="V144" s="96" t="s">
        <v>2893</v>
      </c>
      <c r="W144" s="96"/>
      <c r="X144" s="91"/>
      <c r="Y144" s="91"/>
      <c r="Z144" s="91"/>
      <c r="AA144" s="91"/>
      <c r="AB144" s="91"/>
    </row>
    <row r="145" ht="15.75" customHeight="1" outlineLevel="1">
      <c r="A145" s="51" t="s">
        <v>25</v>
      </c>
      <c r="B145" s="51" t="s">
        <v>26</v>
      </c>
      <c r="C145" s="51" t="s">
        <v>27</v>
      </c>
      <c r="D145" s="52" t="s">
        <v>4</v>
      </c>
      <c r="E145" s="53" t="s">
        <v>27</v>
      </c>
      <c r="F145" s="52" t="s">
        <v>4</v>
      </c>
      <c r="G145" s="52" t="s">
        <v>64</v>
      </c>
      <c r="H145" s="681" t="s">
        <v>10765</v>
      </c>
      <c r="I145" s="62" t="s">
        <v>33</v>
      </c>
      <c r="J145" s="96" t="s">
        <v>2888</v>
      </c>
      <c r="K145" s="51" t="s">
        <v>33</v>
      </c>
      <c r="L145" s="96" t="s">
        <v>4466</v>
      </c>
      <c r="M145" s="52" t="s">
        <v>46</v>
      </c>
      <c r="N145" s="54" t="s">
        <v>10496</v>
      </c>
      <c r="O145" s="55" t="str">
        <f t="shared" si="1"/>
        <v>L01.00.00.12.02.02.07</v>
      </c>
      <c r="P145" s="169" t="str">
        <f t="shared" si="3"/>
        <v>Dự án CukCuk Mobile TTVN</v>
      </c>
      <c r="Q145" s="96"/>
      <c r="R145" s="96" t="s">
        <v>4467</v>
      </c>
      <c r="S145" s="96" t="s">
        <v>453</v>
      </c>
      <c r="T145" s="96" t="s">
        <v>566</v>
      </c>
      <c r="U145" s="96" t="s">
        <v>2888</v>
      </c>
      <c r="V145" s="96" t="s">
        <v>4466</v>
      </c>
      <c r="W145" s="96"/>
      <c r="X145" s="91"/>
      <c r="Y145" s="91"/>
      <c r="Z145" s="91"/>
      <c r="AA145" s="91"/>
      <c r="AB145" s="91"/>
    </row>
    <row r="146" ht="15.75" customHeight="1" outlineLevel="1">
      <c r="A146" s="51" t="s">
        <v>25</v>
      </c>
      <c r="B146" s="51" t="s">
        <v>26</v>
      </c>
      <c r="C146" s="51" t="s">
        <v>27</v>
      </c>
      <c r="D146" s="52" t="s">
        <v>4</v>
      </c>
      <c r="E146" s="53" t="s">
        <v>27</v>
      </c>
      <c r="F146" s="52" t="s">
        <v>4</v>
      </c>
      <c r="G146" s="52" t="s">
        <v>64</v>
      </c>
      <c r="H146" s="681" t="s">
        <v>10765</v>
      </c>
      <c r="I146" s="62" t="s">
        <v>33</v>
      </c>
      <c r="J146" s="96" t="s">
        <v>2888</v>
      </c>
      <c r="K146" s="51" t="s">
        <v>35</v>
      </c>
      <c r="L146" s="96" t="s">
        <v>2887</v>
      </c>
      <c r="M146" s="52" t="s">
        <v>46</v>
      </c>
      <c r="N146" s="54" t="s">
        <v>10496</v>
      </c>
      <c r="O146" s="55" t="str">
        <f t="shared" si="1"/>
        <v>L01.00.00.12.02.03.07</v>
      </c>
      <c r="P146" s="169" t="str">
        <f t="shared" si="3"/>
        <v>[Cukcuk TTVN] Nhóm Phân tích &amp; Thiết kế</v>
      </c>
      <c r="Q146" s="96"/>
      <c r="R146" s="96" t="s">
        <v>2889</v>
      </c>
      <c r="S146" s="96" t="s">
        <v>453</v>
      </c>
      <c r="T146" s="96" t="s">
        <v>566</v>
      </c>
      <c r="U146" s="96" t="s">
        <v>2888</v>
      </c>
      <c r="V146" s="96" t="s">
        <v>2887</v>
      </c>
      <c r="W146" s="96"/>
      <c r="X146" s="91"/>
      <c r="Y146" s="91"/>
      <c r="Z146" s="91"/>
      <c r="AA146" s="91"/>
      <c r="AB146" s="91"/>
    </row>
    <row r="147" ht="15.75" customHeight="1" outlineLevel="1">
      <c r="A147" s="51" t="s">
        <v>25</v>
      </c>
      <c r="B147" s="51" t="s">
        <v>26</v>
      </c>
      <c r="C147" s="51" t="s">
        <v>27</v>
      </c>
      <c r="D147" s="52" t="s">
        <v>4</v>
      </c>
      <c r="E147" s="53" t="s">
        <v>27</v>
      </c>
      <c r="F147" s="52" t="s">
        <v>4</v>
      </c>
      <c r="G147" s="52" t="s">
        <v>64</v>
      </c>
      <c r="H147" s="681" t="s">
        <v>10765</v>
      </c>
      <c r="I147" s="57" t="s">
        <v>35</v>
      </c>
      <c r="J147" s="96" t="s">
        <v>567</v>
      </c>
      <c r="K147" s="52" t="s">
        <v>27</v>
      </c>
      <c r="L147" s="663" t="s">
        <v>4</v>
      </c>
      <c r="M147" s="52" t="s">
        <v>46</v>
      </c>
      <c r="N147" s="54" t="s">
        <v>10496</v>
      </c>
      <c r="O147" s="55" t="str">
        <f t="shared" si="1"/>
        <v>L01.00.00.12.03.00.07</v>
      </c>
      <c r="P147" s="169" t="str">
        <f t="shared" si="3"/>
        <v>Sản phẩm eShop (TTVN)</v>
      </c>
      <c r="Q147" s="96"/>
      <c r="R147" s="97" t="s">
        <v>10776</v>
      </c>
      <c r="S147" s="96" t="s">
        <v>453</v>
      </c>
      <c r="T147" s="96" t="s">
        <v>566</v>
      </c>
      <c r="U147" s="96" t="s">
        <v>567</v>
      </c>
      <c r="V147" s="96"/>
      <c r="W147" s="96"/>
      <c r="X147" s="91"/>
      <c r="Y147" s="91"/>
      <c r="Z147" s="91"/>
      <c r="AA147" s="91"/>
      <c r="AB147" s="91"/>
    </row>
    <row r="148" ht="15.75" customHeight="1" outlineLevel="1">
      <c r="A148" s="51" t="s">
        <v>25</v>
      </c>
      <c r="B148" s="51" t="s">
        <v>26</v>
      </c>
      <c r="C148" s="51" t="s">
        <v>27</v>
      </c>
      <c r="D148" s="52" t="s">
        <v>4</v>
      </c>
      <c r="E148" s="53" t="s">
        <v>27</v>
      </c>
      <c r="F148" s="52" t="s">
        <v>4</v>
      </c>
      <c r="G148" s="52" t="s">
        <v>64</v>
      </c>
      <c r="H148" s="681" t="s">
        <v>10765</v>
      </c>
      <c r="I148" s="57" t="s">
        <v>35</v>
      </c>
      <c r="J148" s="96" t="s">
        <v>567</v>
      </c>
      <c r="K148" s="51" t="s">
        <v>29</v>
      </c>
      <c r="L148" s="96" t="s">
        <v>2651</v>
      </c>
      <c r="M148" s="52" t="s">
        <v>46</v>
      </c>
      <c r="N148" s="54" t="s">
        <v>10496</v>
      </c>
      <c r="O148" s="55" t="str">
        <f t="shared" si="1"/>
        <v>L01.00.00.12.03.01.07</v>
      </c>
      <c r="P148" s="169" t="str">
        <f t="shared" si="3"/>
        <v>Dự án Quản lý cửa hàng thời trang (TTVN)</v>
      </c>
      <c r="Q148" s="96"/>
      <c r="R148" s="96" t="s">
        <v>2652</v>
      </c>
      <c r="S148" s="96" t="s">
        <v>453</v>
      </c>
      <c r="T148" s="96" t="s">
        <v>566</v>
      </c>
      <c r="U148" s="96" t="s">
        <v>567</v>
      </c>
      <c r="V148" s="96" t="s">
        <v>2651</v>
      </c>
      <c r="W148" s="96"/>
      <c r="X148" s="91"/>
      <c r="Y148" s="91"/>
      <c r="Z148" s="91"/>
      <c r="AA148" s="91"/>
      <c r="AB148" s="91"/>
    </row>
    <row r="149" ht="15.75" customHeight="1" outlineLevel="1">
      <c r="A149" s="51" t="s">
        <v>25</v>
      </c>
      <c r="B149" s="51" t="s">
        <v>26</v>
      </c>
      <c r="C149" s="51" t="s">
        <v>27</v>
      </c>
      <c r="D149" s="52" t="s">
        <v>4</v>
      </c>
      <c r="E149" s="53" t="s">
        <v>27</v>
      </c>
      <c r="F149" s="52" t="s">
        <v>4</v>
      </c>
      <c r="G149" s="52" t="s">
        <v>64</v>
      </c>
      <c r="H149" s="681" t="s">
        <v>10765</v>
      </c>
      <c r="I149" s="57" t="s">
        <v>35</v>
      </c>
      <c r="J149" s="96" t="s">
        <v>567</v>
      </c>
      <c r="K149" s="51" t="s">
        <v>33</v>
      </c>
      <c r="L149" s="96" t="s">
        <v>10075</v>
      </c>
      <c r="M149" s="52" t="s">
        <v>46</v>
      </c>
      <c r="N149" s="54" t="s">
        <v>10496</v>
      </c>
      <c r="O149" s="55" t="str">
        <f t="shared" si="1"/>
        <v>L01.00.00.12.03.02.07</v>
      </c>
      <c r="P149" s="169" t="str">
        <f t="shared" si="3"/>
        <v>Dự án Quản lý cửa hàng Mobile (TTVN)</v>
      </c>
      <c r="Q149" s="96"/>
      <c r="R149" s="96" t="s">
        <v>10076</v>
      </c>
      <c r="S149" s="96" t="s">
        <v>453</v>
      </c>
      <c r="T149" s="96" t="s">
        <v>566</v>
      </c>
      <c r="U149" s="96" t="s">
        <v>567</v>
      </c>
      <c r="V149" s="96" t="s">
        <v>10075</v>
      </c>
      <c r="W149" s="96"/>
      <c r="X149" s="91"/>
      <c r="Y149" s="91"/>
      <c r="Z149" s="91"/>
      <c r="AA149" s="91"/>
      <c r="AB149" s="91"/>
    </row>
    <row r="150" ht="15.75" customHeight="1" outlineLevel="1">
      <c r="A150" s="51" t="s">
        <v>25</v>
      </c>
      <c r="B150" s="51" t="s">
        <v>26</v>
      </c>
      <c r="C150" s="51" t="s">
        <v>27</v>
      </c>
      <c r="D150" s="52" t="s">
        <v>4</v>
      </c>
      <c r="E150" s="53" t="s">
        <v>27</v>
      </c>
      <c r="F150" s="52" t="s">
        <v>4</v>
      </c>
      <c r="G150" s="52" t="s">
        <v>64</v>
      </c>
      <c r="H150" s="681" t="s">
        <v>10765</v>
      </c>
      <c r="I150" s="57" t="s">
        <v>35</v>
      </c>
      <c r="J150" s="96" t="s">
        <v>567</v>
      </c>
      <c r="K150" s="51" t="s">
        <v>35</v>
      </c>
      <c r="L150" s="96" t="s">
        <v>565</v>
      </c>
      <c r="M150" s="52" t="s">
        <v>46</v>
      </c>
      <c r="N150" s="54" t="s">
        <v>10496</v>
      </c>
      <c r="O150" s="55" t="str">
        <f t="shared" si="1"/>
        <v>L01.00.00.12.03.03.07</v>
      </c>
      <c r="P150" s="169" t="str">
        <f t="shared" si="3"/>
        <v>[eShop TTVN] Nhóm Phân tích &amp; Thiết kế</v>
      </c>
      <c r="Q150" s="96"/>
      <c r="R150" s="96" t="s">
        <v>568</v>
      </c>
      <c r="S150" s="96" t="s">
        <v>453</v>
      </c>
      <c r="T150" s="96" t="s">
        <v>566</v>
      </c>
      <c r="U150" s="96" t="s">
        <v>567</v>
      </c>
      <c r="V150" s="96" t="s">
        <v>565</v>
      </c>
      <c r="W150" s="96"/>
      <c r="X150" s="91"/>
      <c r="Y150" s="91"/>
      <c r="Z150" s="91"/>
      <c r="AA150" s="91"/>
      <c r="AB150" s="91"/>
    </row>
    <row r="151" ht="15.75" customHeight="1" outlineLevel="1">
      <c r="A151" s="51" t="s">
        <v>25</v>
      </c>
      <c r="B151" s="51" t="s">
        <v>26</v>
      </c>
      <c r="C151" s="51" t="s">
        <v>27</v>
      </c>
      <c r="D151" s="52" t="s">
        <v>4</v>
      </c>
      <c r="E151" s="53" t="s">
        <v>27</v>
      </c>
      <c r="F151" s="52" t="s">
        <v>4</v>
      </c>
      <c r="G151" s="52" t="s">
        <v>64</v>
      </c>
      <c r="H151" s="681" t="s">
        <v>10765</v>
      </c>
      <c r="I151" s="57" t="s">
        <v>37</v>
      </c>
      <c r="J151" s="662" t="s">
        <v>6383</v>
      </c>
      <c r="K151" s="52" t="s">
        <v>27</v>
      </c>
      <c r="L151" s="254" t="s">
        <v>4</v>
      </c>
      <c r="M151" s="52" t="s">
        <v>46</v>
      </c>
      <c r="N151" s="54" t="s">
        <v>10496</v>
      </c>
      <c r="O151" s="55" t="str">
        <f t="shared" si="1"/>
        <v>L01.00.00.12.04.00.07</v>
      </c>
      <c r="P151" s="169" t="str">
        <f t="shared" si="3"/>
        <v>Sản phẩm AMIS Kế toán (HKD)</v>
      </c>
      <c r="Q151" s="96"/>
      <c r="R151" s="96" t="s">
        <v>6522</v>
      </c>
      <c r="S151" s="96" t="s">
        <v>453</v>
      </c>
      <c r="T151" s="96" t="s">
        <v>566</v>
      </c>
      <c r="U151" s="96" t="s">
        <v>6383</v>
      </c>
      <c r="V151" s="96"/>
      <c r="W151" s="96"/>
      <c r="X151" s="91"/>
      <c r="Y151" s="91"/>
      <c r="Z151" s="91"/>
      <c r="AA151" s="91"/>
      <c r="AB151" s="91"/>
    </row>
    <row r="152" ht="15.75" customHeight="1" outlineLevel="1">
      <c r="A152" s="51" t="s">
        <v>25</v>
      </c>
      <c r="B152" s="51" t="s">
        <v>26</v>
      </c>
      <c r="C152" s="51" t="s">
        <v>27</v>
      </c>
      <c r="D152" s="52" t="s">
        <v>4</v>
      </c>
      <c r="E152" s="53" t="s">
        <v>27</v>
      </c>
      <c r="F152" s="52" t="s">
        <v>4</v>
      </c>
      <c r="G152" s="52" t="s">
        <v>64</v>
      </c>
      <c r="H152" s="681" t="s">
        <v>10765</v>
      </c>
      <c r="I152" s="57" t="s">
        <v>37</v>
      </c>
      <c r="J152" s="96" t="s">
        <v>6383</v>
      </c>
      <c r="K152" s="51" t="s">
        <v>29</v>
      </c>
      <c r="L152" s="96" t="s">
        <v>6382</v>
      </c>
      <c r="M152" s="52" t="s">
        <v>46</v>
      </c>
      <c r="N152" s="54" t="s">
        <v>10496</v>
      </c>
      <c r="O152" s="55" t="str">
        <f t="shared" si="1"/>
        <v>L01.00.00.12.04.01.07</v>
      </c>
      <c r="P152" s="169" t="str">
        <f t="shared" si="3"/>
        <v>Dự án AMIS Kế toán (HKD)</v>
      </c>
      <c r="Q152" s="96"/>
      <c r="R152" s="96" t="s">
        <v>6384</v>
      </c>
      <c r="S152" s="96" t="s">
        <v>453</v>
      </c>
      <c r="T152" s="96" t="s">
        <v>566</v>
      </c>
      <c r="U152" s="96" t="s">
        <v>6383</v>
      </c>
      <c r="V152" s="96" t="s">
        <v>6382</v>
      </c>
      <c r="W152" s="96"/>
      <c r="X152" s="91"/>
      <c r="Y152" s="91"/>
      <c r="Z152" s="91"/>
      <c r="AA152" s="91"/>
      <c r="AB152" s="91"/>
    </row>
    <row r="153" ht="15.75" customHeight="1" outlineLevel="1">
      <c r="A153" s="51" t="s">
        <v>25</v>
      </c>
      <c r="B153" s="51" t="s">
        <v>26</v>
      </c>
      <c r="C153" s="51" t="s">
        <v>27</v>
      </c>
      <c r="D153" s="52" t="s">
        <v>4</v>
      </c>
      <c r="E153" s="53" t="s">
        <v>27</v>
      </c>
      <c r="F153" s="52" t="s">
        <v>4</v>
      </c>
      <c r="G153" s="52" t="s">
        <v>64</v>
      </c>
      <c r="H153" s="681" t="s">
        <v>10765</v>
      </c>
      <c r="I153" s="57" t="s">
        <v>37</v>
      </c>
      <c r="J153" s="96" t="s">
        <v>6383</v>
      </c>
      <c r="K153" s="51" t="s">
        <v>33</v>
      </c>
      <c r="L153" s="96" t="s">
        <v>6484</v>
      </c>
      <c r="M153" s="52" t="s">
        <v>46</v>
      </c>
      <c r="N153" s="54" t="s">
        <v>10496</v>
      </c>
      <c r="O153" s="55" t="str">
        <f t="shared" si="1"/>
        <v>L01.00.00.12.04.02.07</v>
      </c>
      <c r="P153" s="169" t="str">
        <f t="shared" si="3"/>
        <v>[AMIS Kế toán HKD] Nhóm Phân tích &amp; Thiết kế</v>
      </c>
      <c r="Q153" s="96"/>
      <c r="R153" s="96" t="s">
        <v>6485</v>
      </c>
      <c r="S153" s="96" t="s">
        <v>453</v>
      </c>
      <c r="T153" s="96" t="s">
        <v>566</v>
      </c>
      <c r="U153" s="96" t="s">
        <v>6383</v>
      </c>
      <c r="V153" s="96" t="s">
        <v>6484</v>
      </c>
      <c r="W153" s="96"/>
      <c r="X153" s="91"/>
      <c r="Y153" s="91"/>
      <c r="Z153" s="91"/>
      <c r="AA153" s="91"/>
      <c r="AB153" s="91"/>
    </row>
    <row r="154" ht="15.75" customHeight="1" outlineLevel="1">
      <c r="A154" s="51" t="s">
        <v>25</v>
      </c>
      <c r="B154" s="51" t="s">
        <v>26</v>
      </c>
      <c r="C154" s="51" t="s">
        <v>27</v>
      </c>
      <c r="D154" s="52" t="s">
        <v>4</v>
      </c>
      <c r="E154" s="53" t="s">
        <v>27</v>
      </c>
      <c r="F154" s="52" t="s">
        <v>4</v>
      </c>
      <c r="G154" s="52" t="s">
        <v>64</v>
      </c>
      <c r="H154" s="681" t="s">
        <v>10765</v>
      </c>
      <c r="I154" s="57" t="s">
        <v>42</v>
      </c>
      <c r="J154" s="96" t="s">
        <v>6545</v>
      </c>
      <c r="K154" s="52" t="s">
        <v>27</v>
      </c>
      <c r="L154" s="56" t="s">
        <v>4</v>
      </c>
      <c r="M154" s="52" t="s">
        <v>46</v>
      </c>
      <c r="N154" s="54" t="s">
        <v>10496</v>
      </c>
      <c r="O154" s="55" t="str">
        <f t="shared" si="1"/>
        <v>L01.00.00.12.05.00.07</v>
      </c>
      <c r="P154" s="169" t="str">
        <f t="shared" si="3"/>
        <v>Nhóm chuyên gia Khối SP Hộ cá thể</v>
      </c>
      <c r="Q154" s="96"/>
      <c r="R154" s="96" t="s">
        <v>6546</v>
      </c>
      <c r="S154" s="96" t="s">
        <v>453</v>
      </c>
      <c r="T154" s="96" t="s">
        <v>566</v>
      </c>
      <c r="U154" s="96" t="s">
        <v>6545</v>
      </c>
      <c r="V154" s="96"/>
      <c r="W154" s="96"/>
      <c r="X154" s="91"/>
      <c r="Y154" s="91"/>
      <c r="Z154" s="91"/>
      <c r="AA154" s="91"/>
      <c r="AB154" s="91"/>
    </row>
    <row r="155" ht="15.75" customHeight="1" outlineLevel="1">
      <c r="A155" s="51" t="s">
        <v>25</v>
      </c>
      <c r="B155" s="57" t="s">
        <v>26</v>
      </c>
      <c r="C155" s="51" t="s">
        <v>27</v>
      </c>
      <c r="D155" s="52" t="s">
        <v>4</v>
      </c>
      <c r="E155" s="53" t="s">
        <v>27</v>
      </c>
      <c r="F155" s="52" t="s">
        <v>4</v>
      </c>
      <c r="G155" s="52" t="s">
        <v>67</v>
      </c>
      <c r="H155" s="680" t="s">
        <v>10786</v>
      </c>
      <c r="I155" s="682" t="s">
        <v>27</v>
      </c>
      <c r="J155" s="254" t="s">
        <v>4</v>
      </c>
      <c r="K155" s="52" t="s">
        <v>27</v>
      </c>
      <c r="L155" s="663" t="s">
        <v>4</v>
      </c>
      <c r="M155" s="52" t="s">
        <v>46</v>
      </c>
      <c r="N155" s="54" t="s">
        <v>10496</v>
      </c>
      <c r="O155" s="55" t="str">
        <f t="shared" si="1"/>
        <v>L01.00.00.13.00.00.07</v>
      </c>
      <c r="P155" s="169" t="str">
        <f t="shared" si="3"/>
        <v>Khối nền tảng Giáo dục</v>
      </c>
      <c r="Q155" s="96"/>
      <c r="R155" s="97" t="s">
        <v>10787</v>
      </c>
      <c r="S155" s="96" t="s">
        <v>453</v>
      </c>
      <c r="T155" s="96" t="s">
        <v>555</v>
      </c>
      <c r="U155" s="96"/>
      <c r="V155" s="96"/>
      <c r="W155" s="96"/>
      <c r="X155" s="91"/>
      <c r="Y155" s="91"/>
      <c r="Z155" s="91"/>
      <c r="AA155" s="91"/>
      <c r="AB155" s="91"/>
    </row>
    <row r="156" ht="15.75" customHeight="1" outlineLevel="1">
      <c r="A156" s="51" t="s">
        <v>25</v>
      </c>
      <c r="B156" s="57" t="s">
        <v>26</v>
      </c>
      <c r="C156" s="51" t="s">
        <v>27</v>
      </c>
      <c r="D156" s="52" t="s">
        <v>4</v>
      </c>
      <c r="E156" s="53" t="s">
        <v>27</v>
      </c>
      <c r="F156" s="52" t="s">
        <v>4</v>
      </c>
      <c r="G156" s="52" t="s">
        <v>67</v>
      </c>
      <c r="H156" s="681" t="s">
        <v>10786</v>
      </c>
      <c r="I156" s="155" t="s">
        <v>29</v>
      </c>
      <c r="J156" s="96" t="s">
        <v>556</v>
      </c>
      <c r="K156" s="52" t="s">
        <v>27</v>
      </c>
      <c r="L156" s="663" t="s">
        <v>4</v>
      </c>
      <c r="M156" s="52" t="s">
        <v>46</v>
      </c>
      <c r="N156" s="54" t="s">
        <v>10496</v>
      </c>
      <c r="O156" s="55" t="str">
        <f t="shared" si="1"/>
        <v>L01.00.00.13.01.00.07</v>
      </c>
      <c r="P156" s="169" t="str">
        <f t="shared" si="3"/>
        <v>Sản phẩm MISA EMIS</v>
      </c>
      <c r="Q156" s="96"/>
      <c r="R156" s="96" t="s">
        <v>5189</v>
      </c>
      <c r="S156" s="96" t="s">
        <v>453</v>
      </c>
      <c r="T156" s="96" t="s">
        <v>555</v>
      </c>
      <c r="U156" s="96" t="s">
        <v>556</v>
      </c>
      <c r="V156" s="96"/>
      <c r="W156" s="96"/>
      <c r="X156" s="91"/>
      <c r="Y156" s="91"/>
      <c r="Z156" s="91"/>
      <c r="AA156" s="91"/>
      <c r="AB156" s="91"/>
    </row>
    <row r="157" ht="15.75" customHeight="1" outlineLevel="1">
      <c r="A157" s="51" t="s">
        <v>25</v>
      </c>
      <c r="B157" s="57" t="s">
        <v>26</v>
      </c>
      <c r="C157" s="51" t="s">
        <v>27</v>
      </c>
      <c r="D157" s="52" t="s">
        <v>4</v>
      </c>
      <c r="E157" s="53" t="s">
        <v>27</v>
      </c>
      <c r="F157" s="52" t="s">
        <v>4</v>
      </c>
      <c r="G157" s="52" t="s">
        <v>67</v>
      </c>
      <c r="H157" s="681" t="s">
        <v>10786</v>
      </c>
      <c r="I157" s="155" t="s">
        <v>29</v>
      </c>
      <c r="J157" s="96" t="s">
        <v>556</v>
      </c>
      <c r="K157" s="51" t="s">
        <v>29</v>
      </c>
      <c r="L157" s="96" t="s">
        <v>3055</v>
      </c>
      <c r="M157" s="52" t="s">
        <v>46</v>
      </c>
      <c r="N157" s="54" t="s">
        <v>10496</v>
      </c>
      <c r="O157" s="55" t="str">
        <f t="shared" si="1"/>
        <v>L01.00.00.13.01.01.07</v>
      </c>
      <c r="P157" s="169" t="str">
        <f t="shared" si="3"/>
        <v>Dự án EMIS Công lập</v>
      </c>
      <c r="Q157" s="96"/>
      <c r="R157" s="96" t="s">
        <v>3056</v>
      </c>
      <c r="S157" s="96" t="s">
        <v>453</v>
      </c>
      <c r="T157" s="96" t="s">
        <v>555</v>
      </c>
      <c r="U157" s="96" t="s">
        <v>556</v>
      </c>
      <c r="V157" s="96" t="s">
        <v>3055</v>
      </c>
      <c r="W157" s="96"/>
      <c r="X157" s="91"/>
      <c r="Y157" s="91"/>
      <c r="Z157" s="91"/>
      <c r="AA157" s="91"/>
      <c r="AB157" s="91"/>
    </row>
    <row r="158" ht="15.75" customHeight="1" outlineLevel="1">
      <c r="A158" s="51" t="s">
        <v>25</v>
      </c>
      <c r="B158" s="57" t="s">
        <v>26</v>
      </c>
      <c r="C158" s="51" t="s">
        <v>27</v>
      </c>
      <c r="D158" s="52" t="s">
        <v>4</v>
      </c>
      <c r="E158" s="53" t="s">
        <v>27</v>
      </c>
      <c r="F158" s="52" t="s">
        <v>4</v>
      </c>
      <c r="G158" s="52" t="s">
        <v>67</v>
      </c>
      <c r="H158" s="681" t="s">
        <v>10786</v>
      </c>
      <c r="I158" s="155" t="s">
        <v>29</v>
      </c>
      <c r="J158" s="96" t="s">
        <v>556</v>
      </c>
      <c r="K158" s="51" t="s">
        <v>33</v>
      </c>
      <c r="L158" s="96" t="s">
        <v>4492</v>
      </c>
      <c r="M158" s="52" t="s">
        <v>46</v>
      </c>
      <c r="N158" s="54" t="s">
        <v>10496</v>
      </c>
      <c r="O158" s="55" t="str">
        <f t="shared" si="1"/>
        <v>L01.00.00.13.01.02.07</v>
      </c>
      <c r="P158" s="169" t="str">
        <f t="shared" si="3"/>
        <v>Dự án EMIS Core Platform</v>
      </c>
      <c r="Q158" s="96"/>
      <c r="R158" s="96" t="s">
        <v>4493</v>
      </c>
      <c r="S158" s="96" t="s">
        <v>453</v>
      </c>
      <c r="T158" s="96" t="s">
        <v>555</v>
      </c>
      <c r="U158" s="96" t="s">
        <v>556</v>
      </c>
      <c r="V158" s="96" t="s">
        <v>4492</v>
      </c>
      <c r="W158" s="96"/>
      <c r="X158" s="91"/>
      <c r="Y158" s="91"/>
      <c r="Z158" s="91"/>
      <c r="AA158" s="91"/>
      <c r="AB158" s="91"/>
    </row>
    <row r="159" ht="15.75" customHeight="1" outlineLevel="1">
      <c r="A159" s="51" t="s">
        <v>25</v>
      </c>
      <c r="B159" s="57" t="s">
        <v>26</v>
      </c>
      <c r="C159" s="51" t="s">
        <v>27</v>
      </c>
      <c r="D159" s="52" t="s">
        <v>4</v>
      </c>
      <c r="E159" s="53" t="s">
        <v>27</v>
      </c>
      <c r="F159" s="52" t="s">
        <v>4</v>
      </c>
      <c r="G159" s="52" t="s">
        <v>67</v>
      </c>
      <c r="H159" s="681" t="s">
        <v>10786</v>
      </c>
      <c r="I159" s="155" t="s">
        <v>29</v>
      </c>
      <c r="J159" s="96" t="s">
        <v>556</v>
      </c>
      <c r="K159" s="51" t="s">
        <v>35</v>
      </c>
      <c r="L159" s="96" t="s">
        <v>554</v>
      </c>
      <c r="M159" s="52" t="s">
        <v>46</v>
      </c>
      <c r="N159" s="54" t="s">
        <v>10496</v>
      </c>
      <c r="O159" s="55" t="str">
        <f t="shared" si="1"/>
        <v>L01.00.00.13.01.03.07</v>
      </c>
      <c r="P159" s="169" t="str">
        <f t="shared" si="3"/>
        <v>Dự án EMIS Mầm non</v>
      </c>
      <c r="Q159" s="96"/>
      <c r="R159" s="96" t="s">
        <v>557</v>
      </c>
      <c r="S159" s="96" t="s">
        <v>453</v>
      </c>
      <c r="T159" s="96" t="s">
        <v>555</v>
      </c>
      <c r="U159" s="96" t="s">
        <v>556</v>
      </c>
      <c r="V159" s="96" t="s">
        <v>554</v>
      </c>
      <c r="W159" s="96"/>
      <c r="X159" s="91"/>
      <c r="Y159" s="91"/>
      <c r="Z159" s="91"/>
      <c r="AA159" s="91"/>
      <c r="AB159" s="91"/>
    </row>
    <row r="160" ht="15.75" customHeight="1" outlineLevel="1">
      <c r="A160" s="51" t="s">
        <v>25</v>
      </c>
      <c r="B160" s="57" t="s">
        <v>26</v>
      </c>
      <c r="C160" s="51" t="s">
        <v>27</v>
      </c>
      <c r="D160" s="52" t="s">
        <v>4</v>
      </c>
      <c r="E160" s="53" t="s">
        <v>27</v>
      </c>
      <c r="F160" s="52" t="s">
        <v>4</v>
      </c>
      <c r="G160" s="52" t="s">
        <v>67</v>
      </c>
      <c r="H160" s="681" t="s">
        <v>10786</v>
      </c>
      <c r="I160" s="155" t="s">
        <v>29</v>
      </c>
      <c r="J160" s="96" t="s">
        <v>556</v>
      </c>
      <c r="K160" s="51" t="s">
        <v>37</v>
      </c>
      <c r="L160" s="96" t="s">
        <v>3292</v>
      </c>
      <c r="M160" s="52" t="s">
        <v>46</v>
      </c>
      <c r="N160" s="54" t="s">
        <v>10496</v>
      </c>
      <c r="O160" s="55" t="str">
        <f t="shared" si="1"/>
        <v>L01.00.00.13.01.04.07</v>
      </c>
      <c r="P160" s="169" t="str">
        <f t="shared" si="3"/>
        <v>Dự án EMIS Mobile</v>
      </c>
      <c r="Q160" s="96"/>
      <c r="R160" s="96" t="s">
        <v>3293</v>
      </c>
      <c r="S160" s="96" t="s">
        <v>453</v>
      </c>
      <c r="T160" s="96" t="s">
        <v>555</v>
      </c>
      <c r="U160" s="96" t="s">
        <v>556</v>
      </c>
      <c r="V160" s="96" t="s">
        <v>3292</v>
      </c>
      <c r="W160" s="96"/>
      <c r="X160" s="91"/>
      <c r="Y160" s="91"/>
      <c r="Z160" s="91"/>
      <c r="AA160" s="91"/>
      <c r="AB160" s="91"/>
    </row>
    <row r="161" ht="15.75" customHeight="1" outlineLevel="1">
      <c r="A161" s="51" t="s">
        <v>25</v>
      </c>
      <c r="B161" s="57" t="s">
        <v>26</v>
      </c>
      <c r="C161" s="51" t="s">
        <v>27</v>
      </c>
      <c r="D161" s="52" t="s">
        <v>4</v>
      </c>
      <c r="E161" s="53" t="s">
        <v>27</v>
      </c>
      <c r="F161" s="52" t="s">
        <v>4</v>
      </c>
      <c r="G161" s="52" t="s">
        <v>67</v>
      </c>
      <c r="H161" s="681" t="s">
        <v>10786</v>
      </c>
      <c r="I161" s="155" t="s">
        <v>29</v>
      </c>
      <c r="J161" s="96" t="s">
        <v>556</v>
      </c>
      <c r="K161" s="51" t="s">
        <v>42</v>
      </c>
      <c r="L161" s="96" t="s">
        <v>616</v>
      </c>
      <c r="M161" s="52" t="s">
        <v>46</v>
      </c>
      <c r="N161" s="54" t="s">
        <v>10496</v>
      </c>
      <c r="O161" s="55" t="str">
        <f t="shared" si="1"/>
        <v>L01.00.00.13.01.05.07</v>
      </c>
      <c r="P161" s="169" t="str">
        <f t="shared" si="3"/>
        <v>[EMIS Ngoài công lập] Nhóm Phân tích và Thiết kế</v>
      </c>
      <c r="Q161" s="96"/>
      <c r="R161" s="96" t="s">
        <v>617</v>
      </c>
      <c r="S161" s="96" t="s">
        <v>453</v>
      </c>
      <c r="T161" s="96" t="s">
        <v>555</v>
      </c>
      <c r="U161" s="96" t="s">
        <v>556</v>
      </c>
      <c r="V161" s="96" t="s">
        <v>616</v>
      </c>
      <c r="W161" s="96"/>
      <c r="X161" s="91"/>
      <c r="Y161" s="91"/>
      <c r="Z161" s="91"/>
      <c r="AA161" s="91"/>
      <c r="AB161" s="91"/>
    </row>
    <row r="162" ht="15.75" customHeight="1" outlineLevel="1">
      <c r="A162" s="51" t="s">
        <v>25</v>
      </c>
      <c r="B162" s="57" t="s">
        <v>26</v>
      </c>
      <c r="C162" s="51" t="s">
        <v>27</v>
      </c>
      <c r="D162" s="52" t="s">
        <v>4</v>
      </c>
      <c r="E162" s="53" t="s">
        <v>27</v>
      </c>
      <c r="F162" s="52" t="s">
        <v>4</v>
      </c>
      <c r="G162" s="52" t="s">
        <v>67</v>
      </c>
      <c r="H162" s="681" t="s">
        <v>10786</v>
      </c>
      <c r="I162" s="155" t="s">
        <v>29</v>
      </c>
      <c r="J162" s="96" t="s">
        <v>556</v>
      </c>
      <c r="K162" s="51" t="s">
        <v>44</v>
      </c>
      <c r="L162" s="96" t="s">
        <v>2995</v>
      </c>
      <c r="M162" s="52" t="s">
        <v>46</v>
      </c>
      <c r="N162" s="54" t="s">
        <v>10496</v>
      </c>
      <c r="O162" s="55" t="str">
        <f t="shared" si="1"/>
        <v>L01.00.00.13.01.06.07</v>
      </c>
      <c r="P162" s="169" t="str">
        <f t="shared" si="3"/>
        <v>[EMIS Công lập] Nhóm Phân tích và Thiết kế</v>
      </c>
      <c r="Q162" s="96"/>
      <c r="R162" s="96" t="s">
        <v>2996</v>
      </c>
      <c r="S162" s="96" t="s">
        <v>453</v>
      </c>
      <c r="T162" s="96" t="s">
        <v>555</v>
      </c>
      <c r="U162" s="96" t="s">
        <v>556</v>
      </c>
      <c r="V162" s="96" t="s">
        <v>2995</v>
      </c>
      <c r="W162" s="96"/>
      <c r="X162" s="91"/>
      <c r="Y162" s="91"/>
      <c r="Z162" s="91"/>
      <c r="AA162" s="91"/>
      <c r="AB162" s="91"/>
    </row>
    <row r="163" ht="15.75" customHeight="1" outlineLevel="1">
      <c r="A163" s="51" t="s">
        <v>25</v>
      </c>
      <c r="B163" s="57" t="s">
        <v>26</v>
      </c>
      <c r="C163" s="51" t="s">
        <v>27</v>
      </c>
      <c r="D163" s="52" t="s">
        <v>4</v>
      </c>
      <c r="E163" s="53" t="s">
        <v>27</v>
      </c>
      <c r="F163" s="52" t="s">
        <v>4</v>
      </c>
      <c r="G163" s="52" t="s">
        <v>67</v>
      </c>
      <c r="H163" s="681" t="s">
        <v>10786</v>
      </c>
      <c r="I163" s="165" t="s">
        <v>33</v>
      </c>
      <c r="J163" s="96" t="s">
        <v>5194</v>
      </c>
      <c r="K163" s="52" t="s">
        <v>27</v>
      </c>
      <c r="L163" s="56" t="s">
        <v>4</v>
      </c>
      <c r="M163" s="52" t="s">
        <v>46</v>
      </c>
      <c r="N163" s="54" t="s">
        <v>10496</v>
      </c>
      <c r="O163" s="55" t="str">
        <f t="shared" si="1"/>
        <v>L01.00.00.13.02.00.07</v>
      </c>
      <c r="P163" s="169" t="str">
        <f t="shared" si="3"/>
        <v>Nhóm chuyên gia Khối Nền tảng GD</v>
      </c>
      <c r="Q163" s="96"/>
      <c r="R163" s="96" t="s">
        <v>5195</v>
      </c>
      <c r="S163" s="96" t="s">
        <v>453</v>
      </c>
      <c r="T163" s="96" t="s">
        <v>555</v>
      </c>
      <c r="U163" s="96" t="s">
        <v>5194</v>
      </c>
      <c r="V163" s="96"/>
      <c r="W163" s="96"/>
      <c r="X163" s="91"/>
      <c r="Y163" s="91"/>
      <c r="Z163" s="91"/>
      <c r="AA163" s="91"/>
      <c r="AB163" s="91"/>
    </row>
    <row r="164" ht="15.75" customHeight="1" outlineLevel="1">
      <c r="A164" s="51" t="s">
        <v>25</v>
      </c>
      <c r="B164" s="57" t="s">
        <v>26</v>
      </c>
      <c r="C164" s="51" t="s">
        <v>27</v>
      </c>
      <c r="D164" s="52" t="s">
        <v>4</v>
      </c>
      <c r="E164" s="53" t="s">
        <v>27</v>
      </c>
      <c r="F164" s="52" t="s">
        <v>4</v>
      </c>
      <c r="G164" s="52" t="s">
        <v>69</v>
      </c>
      <c r="H164" s="680" t="s">
        <v>10799</v>
      </c>
      <c r="I164" s="682" t="s">
        <v>27</v>
      </c>
      <c r="J164" s="254" t="s">
        <v>4</v>
      </c>
      <c r="K164" s="52" t="s">
        <v>27</v>
      </c>
      <c r="L164" s="663" t="s">
        <v>4</v>
      </c>
      <c r="M164" s="52" t="s">
        <v>46</v>
      </c>
      <c r="N164" s="54" t="s">
        <v>10496</v>
      </c>
      <c r="O164" s="55" t="str">
        <f t="shared" si="1"/>
        <v>L01.00.00.14.00.00.07</v>
      </c>
      <c r="P164" s="169" t="str">
        <f t="shared" si="3"/>
        <v>Khối nền tảng Kế toán dịch vụ</v>
      </c>
      <c r="Q164" s="96"/>
      <c r="R164" s="97" t="s">
        <v>10800</v>
      </c>
      <c r="S164" s="96" t="s">
        <v>453</v>
      </c>
      <c r="T164" s="96" t="s">
        <v>4330</v>
      </c>
      <c r="U164" s="96" t="s">
        <v>4331</v>
      </c>
      <c r="V164" s="96"/>
      <c r="W164" s="96"/>
      <c r="X164" s="91"/>
      <c r="Y164" s="91"/>
      <c r="Z164" s="91"/>
      <c r="AA164" s="91"/>
      <c r="AB164" s="91"/>
    </row>
    <row r="165" ht="15.75" customHeight="1" outlineLevel="1">
      <c r="A165" s="51" t="s">
        <v>25</v>
      </c>
      <c r="B165" s="57" t="s">
        <v>26</v>
      </c>
      <c r="C165" s="51" t="s">
        <v>27</v>
      </c>
      <c r="D165" s="52" t="s">
        <v>4</v>
      </c>
      <c r="E165" s="53" t="s">
        <v>27</v>
      </c>
      <c r="F165" s="52" t="s">
        <v>4</v>
      </c>
      <c r="G165" s="52" t="s">
        <v>69</v>
      </c>
      <c r="H165" s="681" t="s">
        <v>10799</v>
      </c>
      <c r="I165" s="155" t="s">
        <v>29</v>
      </c>
      <c r="J165" s="96" t="s">
        <v>4331</v>
      </c>
      <c r="K165" s="52" t="s">
        <v>27</v>
      </c>
      <c r="L165" s="663" t="s">
        <v>4</v>
      </c>
      <c r="M165" s="52" t="s">
        <v>46</v>
      </c>
      <c r="N165" s="54" t="s">
        <v>10496</v>
      </c>
      <c r="O165" s="55" t="str">
        <f t="shared" si="1"/>
        <v>L01.00.00.14.01.00.07</v>
      </c>
      <c r="P165" s="169" t="str">
        <f t="shared" si="3"/>
        <v>Sản phẩm MISA ASP</v>
      </c>
      <c r="Q165" s="96"/>
      <c r="R165" s="96" t="s">
        <v>5728</v>
      </c>
      <c r="S165" s="96" t="s">
        <v>453</v>
      </c>
      <c r="T165" s="96" t="s">
        <v>4330</v>
      </c>
      <c r="U165" s="96" t="s">
        <v>4331</v>
      </c>
      <c r="V165" s="96"/>
      <c r="W165" s="96"/>
      <c r="X165" s="91"/>
      <c r="Y165" s="91"/>
      <c r="Z165" s="91"/>
      <c r="AA165" s="91"/>
      <c r="AB165" s="91"/>
    </row>
    <row r="166" ht="15.75" customHeight="1" outlineLevel="1">
      <c r="A166" s="51" t="s">
        <v>25</v>
      </c>
      <c r="B166" s="57" t="s">
        <v>26</v>
      </c>
      <c r="C166" s="51" t="s">
        <v>27</v>
      </c>
      <c r="D166" s="52" t="s">
        <v>4</v>
      </c>
      <c r="E166" s="53" t="s">
        <v>27</v>
      </c>
      <c r="F166" s="52" t="s">
        <v>4</v>
      </c>
      <c r="G166" s="52" t="s">
        <v>69</v>
      </c>
      <c r="H166" s="681" t="s">
        <v>10799</v>
      </c>
      <c r="I166" s="155" t="s">
        <v>29</v>
      </c>
      <c r="J166" s="96" t="s">
        <v>4331</v>
      </c>
      <c r="K166" s="51" t="s">
        <v>29</v>
      </c>
      <c r="L166" s="96" t="s">
        <v>4983</v>
      </c>
      <c r="M166" s="52" t="s">
        <v>46</v>
      </c>
      <c r="N166" s="54" t="s">
        <v>10496</v>
      </c>
      <c r="O166" s="55" t="str">
        <f t="shared" si="1"/>
        <v>L01.00.00.14.01.01.07</v>
      </c>
      <c r="P166" s="169" t="str">
        <f t="shared" si="3"/>
        <v>Dự án MISA ASP</v>
      </c>
      <c r="Q166" s="96"/>
      <c r="R166" s="96" t="s">
        <v>4984</v>
      </c>
      <c r="S166" s="96" t="s">
        <v>453</v>
      </c>
      <c r="T166" s="96" t="s">
        <v>4330</v>
      </c>
      <c r="U166" s="96" t="s">
        <v>4331</v>
      </c>
      <c r="V166" s="96" t="s">
        <v>4983</v>
      </c>
      <c r="W166" s="96"/>
      <c r="X166" s="91"/>
      <c r="Y166" s="91"/>
      <c r="Z166" s="91"/>
      <c r="AA166" s="91"/>
      <c r="AB166" s="91"/>
    </row>
    <row r="167" ht="15.75" customHeight="1" outlineLevel="1">
      <c r="A167" s="51" t="s">
        <v>25</v>
      </c>
      <c r="B167" s="57" t="s">
        <v>26</v>
      </c>
      <c r="C167" s="51" t="s">
        <v>27</v>
      </c>
      <c r="D167" s="52" t="s">
        <v>4</v>
      </c>
      <c r="E167" s="53" t="s">
        <v>27</v>
      </c>
      <c r="F167" s="52" t="s">
        <v>4</v>
      </c>
      <c r="G167" s="52" t="s">
        <v>69</v>
      </c>
      <c r="H167" s="681" t="s">
        <v>10799</v>
      </c>
      <c r="I167" s="155" t="s">
        <v>29</v>
      </c>
      <c r="J167" s="96" t="s">
        <v>4331</v>
      </c>
      <c r="K167" s="51" t="s">
        <v>33</v>
      </c>
      <c r="L167" s="96" t="s">
        <v>4329</v>
      </c>
      <c r="M167" s="52" t="s">
        <v>46</v>
      </c>
      <c r="N167" s="54" t="s">
        <v>10496</v>
      </c>
      <c r="O167" s="55" t="str">
        <f t="shared" si="1"/>
        <v>L01.00.00.14.01.02.07</v>
      </c>
      <c r="P167" s="169" t="str">
        <f t="shared" si="3"/>
        <v>[MISA ASP] Nhóm Phân tích &amp; Thiết kế</v>
      </c>
      <c r="Q167" s="96"/>
      <c r="R167" s="96" t="s">
        <v>4332</v>
      </c>
      <c r="S167" s="96" t="s">
        <v>453</v>
      </c>
      <c r="T167" s="96" t="s">
        <v>4330</v>
      </c>
      <c r="U167" s="96" t="s">
        <v>4331</v>
      </c>
      <c r="V167" s="96" t="s">
        <v>4329</v>
      </c>
      <c r="W167" s="96"/>
      <c r="X167" s="91"/>
      <c r="Y167" s="91"/>
      <c r="Z167" s="91"/>
      <c r="AA167" s="91"/>
      <c r="AB167" s="91"/>
    </row>
    <row r="168" ht="15.75" customHeight="1" outlineLevel="1">
      <c r="A168" s="51" t="s">
        <v>25</v>
      </c>
      <c r="B168" s="57" t="s">
        <v>26</v>
      </c>
      <c r="C168" s="51" t="s">
        <v>27</v>
      </c>
      <c r="D168" s="52" t="s">
        <v>4</v>
      </c>
      <c r="E168" s="53" t="s">
        <v>27</v>
      </c>
      <c r="F168" s="52" t="s">
        <v>4</v>
      </c>
      <c r="G168" s="52" t="s">
        <v>71</v>
      </c>
      <c r="H168" s="680" t="s">
        <v>10807</v>
      </c>
      <c r="I168" s="682" t="s">
        <v>27</v>
      </c>
      <c r="J168" s="254" t="s">
        <v>4</v>
      </c>
      <c r="K168" s="250" t="s">
        <v>27</v>
      </c>
      <c r="L168" s="254" t="s">
        <v>4</v>
      </c>
      <c r="M168" s="52" t="s">
        <v>46</v>
      </c>
      <c r="N168" s="54" t="s">
        <v>10496</v>
      </c>
      <c r="O168" s="55" t="str">
        <f t="shared" si="1"/>
        <v>L01.00.00.15.00.00.07</v>
      </c>
      <c r="P168" s="169" t="str">
        <f t="shared" si="3"/>
        <v>Khối nền tảng Thị trường nước ngoài</v>
      </c>
      <c r="Q168" s="96"/>
      <c r="R168" s="97" t="s">
        <v>10808</v>
      </c>
      <c r="S168" s="96" t="s">
        <v>453</v>
      </c>
      <c r="T168" s="96" t="s">
        <v>2835</v>
      </c>
      <c r="U168" s="96" t="s">
        <v>3564</v>
      </c>
      <c r="V168" s="96" t="s">
        <v>3563</v>
      </c>
      <c r="W168" s="96"/>
      <c r="X168" s="91"/>
      <c r="Y168" s="91"/>
      <c r="Z168" s="91"/>
      <c r="AA168" s="91"/>
      <c r="AB168" s="91"/>
    </row>
    <row r="169" ht="15.75" customHeight="1" outlineLevel="1">
      <c r="A169" s="51" t="s">
        <v>25</v>
      </c>
      <c r="B169" s="57" t="s">
        <v>26</v>
      </c>
      <c r="C169" s="51" t="s">
        <v>27</v>
      </c>
      <c r="D169" s="52" t="s">
        <v>4</v>
      </c>
      <c r="E169" s="53" t="s">
        <v>27</v>
      </c>
      <c r="F169" s="52" t="s">
        <v>4</v>
      </c>
      <c r="G169" s="52" t="s">
        <v>71</v>
      </c>
      <c r="H169" s="681" t="s">
        <v>10807</v>
      </c>
      <c r="I169" s="155" t="s">
        <v>29</v>
      </c>
      <c r="J169" s="662" t="s">
        <v>3564</v>
      </c>
      <c r="K169" s="250" t="s">
        <v>27</v>
      </c>
      <c r="L169" s="254" t="s">
        <v>4</v>
      </c>
      <c r="M169" s="52" t="s">
        <v>46</v>
      </c>
      <c r="N169" s="54" t="s">
        <v>10496</v>
      </c>
      <c r="O169" s="55" t="str">
        <f t="shared" si="1"/>
        <v>L01.00.00.15.01.00.07</v>
      </c>
      <c r="P169" s="169" t="str">
        <f t="shared" si="3"/>
        <v>Sản phẩm CukCuk (TTNN)</v>
      </c>
      <c r="Q169" s="96"/>
      <c r="R169" s="97" t="s">
        <v>10811</v>
      </c>
      <c r="S169" s="96" t="s">
        <v>453</v>
      </c>
      <c r="T169" s="96" t="s">
        <v>2835</v>
      </c>
      <c r="U169" s="96" t="s">
        <v>3564</v>
      </c>
      <c r="V169" s="96" t="s">
        <v>3563</v>
      </c>
      <c r="W169" s="96"/>
      <c r="X169" s="91"/>
      <c r="Y169" s="91"/>
      <c r="Z169" s="91"/>
      <c r="AA169" s="91"/>
      <c r="AB169" s="91"/>
    </row>
    <row r="170" ht="15.75" customHeight="1" outlineLevel="1">
      <c r="A170" s="51" t="s">
        <v>25</v>
      </c>
      <c r="B170" s="57" t="s">
        <v>26</v>
      </c>
      <c r="C170" s="51" t="s">
        <v>27</v>
      </c>
      <c r="D170" s="52" t="s">
        <v>4</v>
      </c>
      <c r="E170" s="53" t="s">
        <v>27</v>
      </c>
      <c r="F170" s="52" t="s">
        <v>4</v>
      </c>
      <c r="G170" s="52" t="s">
        <v>71</v>
      </c>
      <c r="H170" s="681" t="s">
        <v>10807</v>
      </c>
      <c r="I170" s="155" t="s">
        <v>29</v>
      </c>
      <c r="J170" s="96" t="s">
        <v>3564</v>
      </c>
      <c r="K170" s="51" t="s">
        <v>29</v>
      </c>
      <c r="L170" s="96" t="s">
        <v>3563</v>
      </c>
      <c r="M170" s="52" t="s">
        <v>46</v>
      </c>
      <c r="N170" s="54" t="s">
        <v>10496</v>
      </c>
      <c r="O170" s="55" t="str">
        <f t="shared" si="1"/>
        <v>L01.00.00.15.01.01.07</v>
      </c>
      <c r="P170" s="169" t="str">
        <f t="shared" si="3"/>
        <v>Dự án Cukcuk W&amp;D (TTNN)</v>
      </c>
      <c r="Q170" s="96"/>
      <c r="R170" s="96" t="s">
        <v>3565</v>
      </c>
      <c r="S170" s="96" t="s">
        <v>453</v>
      </c>
      <c r="T170" s="96" t="s">
        <v>2835</v>
      </c>
      <c r="U170" s="96" t="s">
        <v>3564</v>
      </c>
      <c r="V170" s="96" t="s">
        <v>3563</v>
      </c>
      <c r="W170" s="96"/>
      <c r="X170" s="91"/>
      <c r="Y170" s="91"/>
      <c r="Z170" s="91"/>
      <c r="AA170" s="91"/>
      <c r="AB170" s="91"/>
    </row>
    <row r="171" ht="15.75" customHeight="1" outlineLevel="1">
      <c r="A171" s="51" t="s">
        <v>25</v>
      </c>
      <c r="B171" s="57" t="s">
        <v>26</v>
      </c>
      <c r="C171" s="51" t="s">
        <v>27</v>
      </c>
      <c r="D171" s="52" t="s">
        <v>4</v>
      </c>
      <c r="E171" s="53" t="s">
        <v>27</v>
      </c>
      <c r="F171" s="52" t="s">
        <v>4</v>
      </c>
      <c r="G171" s="52" t="s">
        <v>71</v>
      </c>
      <c r="H171" s="681" t="s">
        <v>10807</v>
      </c>
      <c r="I171" s="155" t="s">
        <v>29</v>
      </c>
      <c r="J171" s="96" t="s">
        <v>3564</v>
      </c>
      <c r="K171" s="51" t="s">
        <v>33</v>
      </c>
      <c r="L171" s="96" t="s">
        <v>5387</v>
      </c>
      <c r="M171" s="52" t="s">
        <v>46</v>
      </c>
      <c r="N171" s="54" t="s">
        <v>10496</v>
      </c>
      <c r="O171" s="55" t="str">
        <f t="shared" si="1"/>
        <v>L01.00.00.15.01.02.07</v>
      </c>
      <c r="P171" s="169" t="str">
        <f t="shared" si="3"/>
        <v>[Cukcuk TTNN] Nhóm Phân tích &amp; Thiết kế</v>
      </c>
      <c r="Q171" s="96"/>
      <c r="R171" s="96" t="s">
        <v>5388</v>
      </c>
      <c r="S171" s="96" t="s">
        <v>453</v>
      </c>
      <c r="T171" s="96" t="s">
        <v>2835</v>
      </c>
      <c r="U171" s="96" t="s">
        <v>3564</v>
      </c>
      <c r="V171" s="96" t="s">
        <v>5387</v>
      </c>
      <c r="W171" s="96"/>
      <c r="X171" s="91"/>
      <c r="Y171" s="91"/>
      <c r="Z171" s="91"/>
      <c r="AA171" s="91"/>
      <c r="AB171" s="91"/>
    </row>
    <row r="172" ht="15.75" customHeight="1" outlineLevel="1">
      <c r="A172" s="51" t="s">
        <v>25</v>
      </c>
      <c r="B172" s="57" t="s">
        <v>26</v>
      </c>
      <c r="C172" s="51" t="s">
        <v>27</v>
      </c>
      <c r="D172" s="52" t="s">
        <v>4</v>
      </c>
      <c r="E172" s="53" t="s">
        <v>27</v>
      </c>
      <c r="F172" s="52" t="s">
        <v>4</v>
      </c>
      <c r="G172" s="52" t="s">
        <v>71</v>
      </c>
      <c r="H172" s="681" t="s">
        <v>10807</v>
      </c>
      <c r="I172" s="165" t="s">
        <v>33</v>
      </c>
      <c r="J172" s="662" t="s">
        <v>4612</v>
      </c>
      <c r="K172" s="250" t="s">
        <v>27</v>
      </c>
      <c r="L172" s="254" t="s">
        <v>4</v>
      </c>
      <c r="M172" s="52" t="s">
        <v>46</v>
      </c>
      <c r="N172" s="54" t="s">
        <v>10496</v>
      </c>
      <c r="O172" s="55" t="str">
        <f t="shared" si="1"/>
        <v>L01.00.00.15.02.00.07</v>
      </c>
      <c r="P172" s="169" t="str">
        <f t="shared" si="3"/>
        <v>Sản phẩm CukCuk (TT Mỹ)</v>
      </c>
      <c r="Q172" s="96"/>
      <c r="R172" s="97" t="s">
        <v>10816</v>
      </c>
      <c r="S172" s="96" t="s">
        <v>453</v>
      </c>
      <c r="T172" s="96" t="s">
        <v>2835</v>
      </c>
      <c r="U172" s="96" t="s">
        <v>4612</v>
      </c>
      <c r="V172" s="96" t="s">
        <v>5091</v>
      </c>
      <c r="W172" s="96"/>
      <c r="X172" s="91"/>
      <c r="Y172" s="91"/>
      <c r="Z172" s="91"/>
      <c r="AA172" s="91"/>
      <c r="AB172" s="91"/>
    </row>
    <row r="173" ht="15.75" customHeight="1" outlineLevel="1">
      <c r="A173" s="51" t="s">
        <v>25</v>
      </c>
      <c r="B173" s="57" t="s">
        <v>26</v>
      </c>
      <c r="C173" s="51" t="s">
        <v>27</v>
      </c>
      <c r="D173" s="52" t="s">
        <v>4</v>
      </c>
      <c r="E173" s="53" t="s">
        <v>27</v>
      </c>
      <c r="F173" s="52" t="s">
        <v>4</v>
      </c>
      <c r="G173" s="52" t="s">
        <v>71</v>
      </c>
      <c r="H173" s="681" t="s">
        <v>10807</v>
      </c>
      <c r="I173" s="165" t="s">
        <v>33</v>
      </c>
      <c r="J173" s="96" t="s">
        <v>4612</v>
      </c>
      <c r="K173" s="51" t="s">
        <v>29</v>
      </c>
      <c r="L173" s="96" t="s">
        <v>5091</v>
      </c>
      <c r="M173" s="52" t="s">
        <v>46</v>
      </c>
      <c r="N173" s="54" t="s">
        <v>10496</v>
      </c>
      <c r="O173" s="55" t="str">
        <f t="shared" si="1"/>
        <v>L01.00.00.15.02.01.07</v>
      </c>
      <c r="P173" s="169" t="str">
        <f t="shared" si="3"/>
        <v>Dự án Cukcuk W&amp;D (TT Mỹ)</v>
      </c>
      <c r="Q173" s="96"/>
      <c r="R173" s="96" t="s">
        <v>5092</v>
      </c>
      <c r="S173" s="96" t="s">
        <v>453</v>
      </c>
      <c r="T173" s="96" t="s">
        <v>2835</v>
      </c>
      <c r="U173" s="96" t="s">
        <v>4612</v>
      </c>
      <c r="V173" s="96" t="s">
        <v>5091</v>
      </c>
      <c r="W173" s="96"/>
      <c r="X173" s="91"/>
      <c r="Y173" s="91"/>
      <c r="Z173" s="91"/>
      <c r="AA173" s="91"/>
      <c r="AB173" s="91"/>
    </row>
    <row r="174" ht="15.75" customHeight="1" outlineLevel="1">
      <c r="A174" s="51" t="s">
        <v>25</v>
      </c>
      <c r="B174" s="57" t="s">
        <v>26</v>
      </c>
      <c r="C174" s="51" t="s">
        <v>27</v>
      </c>
      <c r="D174" s="52" t="s">
        <v>4</v>
      </c>
      <c r="E174" s="53" t="s">
        <v>27</v>
      </c>
      <c r="F174" s="52" t="s">
        <v>4</v>
      </c>
      <c r="G174" s="52" t="s">
        <v>71</v>
      </c>
      <c r="H174" s="681" t="s">
        <v>10807</v>
      </c>
      <c r="I174" s="165" t="s">
        <v>33</v>
      </c>
      <c r="J174" s="96" t="s">
        <v>4612</v>
      </c>
      <c r="K174" s="51" t="s">
        <v>33</v>
      </c>
      <c r="L174" s="96" t="s">
        <v>4611</v>
      </c>
      <c r="M174" s="52" t="s">
        <v>46</v>
      </c>
      <c r="N174" s="54" t="s">
        <v>10496</v>
      </c>
      <c r="O174" s="55" t="str">
        <f t="shared" si="1"/>
        <v>L01.00.00.15.02.02.07</v>
      </c>
      <c r="P174" s="169" t="str">
        <f t="shared" si="3"/>
        <v>Dự án CukCuk Mobile TT Mỹ</v>
      </c>
      <c r="Q174" s="96"/>
      <c r="R174" s="96" t="s">
        <v>4613</v>
      </c>
      <c r="S174" s="96" t="s">
        <v>453</v>
      </c>
      <c r="T174" s="96" t="s">
        <v>2835</v>
      </c>
      <c r="U174" s="96" t="s">
        <v>4612</v>
      </c>
      <c r="V174" s="96" t="s">
        <v>4611</v>
      </c>
      <c r="W174" s="96"/>
      <c r="X174" s="91"/>
      <c r="Y174" s="91"/>
      <c r="Z174" s="91"/>
      <c r="AA174" s="91"/>
      <c r="AB174" s="91"/>
    </row>
    <row r="175" ht="15.75" customHeight="1" outlineLevel="1">
      <c r="A175" s="51" t="s">
        <v>25</v>
      </c>
      <c r="B175" s="57" t="s">
        <v>26</v>
      </c>
      <c r="C175" s="51" t="s">
        <v>27</v>
      </c>
      <c r="D175" s="52" t="s">
        <v>4</v>
      </c>
      <c r="E175" s="53" t="s">
        <v>27</v>
      </c>
      <c r="F175" s="52" t="s">
        <v>4</v>
      </c>
      <c r="G175" s="52" t="s">
        <v>71</v>
      </c>
      <c r="H175" s="681" t="s">
        <v>10807</v>
      </c>
      <c r="I175" s="165" t="s">
        <v>35</v>
      </c>
      <c r="J175" s="662" t="s">
        <v>2836</v>
      </c>
      <c r="K175" s="250" t="s">
        <v>27</v>
      </c>
      <c r="L175" s="254" t="s">
        <v>4</v>
      </c>
      <c r="M175" s="52" t="s">
        <v>46</v>
      </c>
      <c r="N175" s="54" t="s">
        <v>10496</v>
      </c>
      <c r="O175" s="55" t="str">
        <f t="shared" si="1"/>
        <v>L01.00.00.15.03.00.07</v>
      </c>
      <c r="P175" s="169" t="str">
        <f t="shared" si="3"/>
        <v>Sản phẩm CukCuk (TT Philippines)</v>
      </c>
      <c r="Q175" s="96"/>
      <c r="R175" s="97" t="s">
        <v>10821</v>
      </c>
      <c r="S175" s="96" t="s">
        <v>453</v>
      </c>
      <c r="T175" s="96" t="s">
        <v>2835</v>
      </c>
      <c r="U175" s="96" t="s">
        <v>2836</v>
      </c>
      <c r="V175" s="96" t="s">
        <v>2834</v>
      </c>
      <c r="W175" s="96"/>
      <c r="X175" s="91"/>
      <c r="Y175" s="91"/>
      <c r="Z175" s="91"/>
      <c r="AA175" s="91"/>
      <c r="AB175" s="91"/>
    </row>
    <row r="176" ht="15.75" customHeight="1" outlineLevel="1">
      <c r="A176" s="51" t="s">
        <v>25</v>
      </c>
      <c r="B176" s="57" t="s">
        <v>26</v>
      </c>
      <c r="C176" s="51" t="s">
        <v>27</v>
      </c>
      <c r="D176" s="52" t="s">
        <v>4</v>
      </c>
      <c r="E176" s="53" t="s">
        <v>27</v>
      </c>
      <c r="F176" s="52" t="s">
        <v>4</v>
      </c>
      <c r="G176" s="52" t="s">
        <v>71</v>
      </c>
      <c r="H176" s="681" t="s">
        <v>10807</v>
      </c>
      <c r="I176" s="165" t="s">
        <v>35</v>
      </c>
      <c r="J176" s="96" t="s">
        <v>2836</v>
      </c>
      <c r="K176" s="51" t="s">
        <v>29</v>
      </c>
      <c r="L176" s="96" t="s">
        <v>2834</v>
      </c>
      <c r="M176" s="52" t="s">
        <v>46</v>
      </c>
      <c r="N176" s="54" t="s">
        <v>10496</v>
      </c>
      <c r="O176" s="55" t="str">
        <f t="shared" si="1"/>
        <v>L01.00.00.15.03.01.07</v>
      </c>
      <c r="P176" s="169" t="str">
        <f t="shared" si="3"/>
        <v>Dự án CukCuk W&amp;D (TT Philippines)</v>
      </c>
      <c r="Q176" s="96"/>
      <c r="R176" s="96" t="s">
        <v>2837</v>
      </c>
      <c r="S176" s="96" t="s">
        <v>453</v>
      </c>
      <c r="T176" s="96" t="s">
        <v>2835</v>
      </c>
      <c r="U176" s="96" t="s">
        <v>2836</v>
      </c>
      <c r="V176" s="96" t="s">
        <v>2834</v>
      </c>
      <c r="W176" s="96"/>
      <c r="X176" s="91"/>
      <c r="Y176" s="91"/>
      <c r="Z176" s="91"/>
      <c r="AA176" s="91"/>
      <c r="AB176" s="91"/>
    </row>
    <row r="177" ht="18.75" customHeight="1" outlineLevel="1">
      <c r="A177" s="51" t="s">
        <v>25</v>
      </c>
      <c r="B177" s="57" t="s">
        <v>26</v>
      </c>
      <c r="C177" s="51" t="s">
        <v>27</v>
      </c>
      <c r="D177" s="52" t="s">
        <v>4</v>
      </c>
      <c r="E177" s="53" t="s">
        <v>27</v>
      </c>
      <c r="F177" s="52" t="s">
        <v>4</v>
      </c>
      <c r="G177" s="51">
        <v>16.0</v>
      </c>
      <c r="H177" s="661" t="s">
        <v>28</v>
      </c>
      <c r="I177" s="682" t="s">
        <v>27</v>
      </c>
      <c r="J177" s="254" t="s">
        <v>4</v>
      </c>
      <c r="K177" s="250" t="s">
        <v>27</v>
      </c>
      <c r="L177" s="254" t="s">
        <v>4</v>
      </c>
      <c r="M177" s="52" t="s">
        <v>46</v>
      </c>
      <c r="N177" s="54" t="s">
        <v>10496</v>
      </c>
      <c r="O177" s="55" t="str">
        <f t="shared" si="1"/>
        <v>L01.00.00.16.00.00.07</v>
      </c>
      <c r="P177" s="169" t="str">
        <f t="shared" si="3"/>
        <v>Khối thị trường khách hàng cá nhân</v>
      </c>
      <c r="Q177" s="96"/>
      <c r="R177" s="97" t="s">
        <v>10825</v>
      </c>
      <c r="S177" s="96" t="s">
        <v>453</v>
      </c>
      <c r="T177" s="96" t="s">
        <v>6077</v>
      </c>
      <c r="U177" s="96" t="s">
        <v>6078</v>
      </c>
      <c r="V177" s="96" t="s">
        <v>6076</v>
      </c>
      <c r="W177" s="96"/>
      <c r="X177" s="91"/>
      <c r="Y177" s="91"/>
      <c r="Z177" s="91"/>
      <c r="AA177" s="91"/>
      <c r="AB177" s="91"/>
    </row>
    <row r="178" ht="18.75" customHeight="1" outlineLevel="1">
      <c r="A178" s="51" t="s">
        <v>25</v>
      </c>
      <c r="B178" s="57" t="s">
        <v>26</v>
      </c>
      <c r="C178" s="51" t="s">
        <v>27</v>
      </c>
      <c r="D178" s="52" t="s">
        <v>4</v>
      </c>
      <c r="E178" s="53" t="s">
        <v>27</v>
      </c>
      <c r="F178" s="52" t="s">
        <v>4</v>
      </c>
      <c r="G178" s="51">
        <v>16.0</v>
      </c>
      <c r="H178" s="60" t="s">
        <v>28</v>
      </c>
      <c r="I178" s="682" t="s">
        <v>29</v>
      </c>
      <c r="J178" s="662" t="s">
        <v>6078</v>
      </c>
      <c r="K178" s="250" t="s">
        <v>27</v>
      </c>
      <c r="L178" s="254" t="s">
        <v>4</v>
      </c>
      <c r="M178" s="52" t="s">
        <v>46</v>
      </c>
      <c r="N178" s="54" t="s">
        <v>10496</v>
      </c>
      <c r="O178" s="55" t="str">
        <f t="shared" si="1"/>
        <v>L01.00.00.16.01.00.07</v>
      </c>
      <c r="P178" s="169" t="str">
        <f t="shared" si="3"/>
        <v>Sản phẩm MISA MoneyKeeper</v>
      </c>
      <c r="Q178" s="96"/>
      <c r="R178" s="97" t="s">
        <v>10827</v>
      </c>
      <c r="S178" s="96" t="s">
        <v>453</v>
      </c>
      <c r="T178" s="96" t="s">
        <v>6077</v>
      </c>
      <c r="U178" s="96" t="s">
        <v>6078</v>
      </c>
      <c r="V178" s="96" t="s">
        <v>6076</v>
      </c>
      <c r="W178" s="96"/>
      <c r="X178" s="91"/>
      <c r="Y178" s="91"/>
      <c r="Z178" s="91"/>
      <c r="AA178" s="91"/>
      <c r="AB178" s="91"/>
    </row>
    <row r="179" ht="18.75" customHeight="1" outlineLevel="1">
      <c r="A179" s="51" t="s">
        <v>25</v>
      </c>
      <c r="B179" s="57" t="s">
        <v>26</v>
      </c>
      <c r="C179" s="51" t="s">
        <v>27</v>
      </c>
      <c r="D179" s="52" t="s">
        <v>4</v>
      </c>
      <c r="E179" s="53" t="s">
        <v>27</v>
      </c>
      <c r="F179" s="52" t="s">
        <v>4</v>
      </c>
      <c r="G179" s="51">
        <v>16.0</v>
      </c>
      <c r="H179" s="60" t="s">
        <v>28</v>
      </c>
      <c r="I179" s="682" t="s">
        <v>29</v>
      </c>
      <c r="J179" s="96" t="s">
        <v>6078</v>
      </c>
      <c r="K179" s="250" t="s">
        <v>29</v>
      </c>
      <c r="L179" s="96" t="s">
        <v>6076</v>
      </c>
      <c r="M179" s="52" t="s">
        <v>46</v>
      </c>
      <c r="N179" s="54" t="s">
        <v>10496</v>
      </c>
      <c r="O179" s="55" t="str">
        <f t="shared" si="1"/>
        <v>L01.00.00.16.01.01.07</v>
      </c>
      <c r="P179" s="169" t="str">
        <f t="shared" si="3"/>
        <v>Dự án MISA MoneyKeeper</v>
      </c>
      <c r="Q179" s="96"/>
      <c r="R179" s="96" t="s">
        <v>6079</v>
      </c>
      <c r="S179" s="96" t="s">
        <v>453</v>
      </c>
      <c r="T179" s="96" t="s">
        <v>6077</v>
      </c>
      <c r="U179" s="96" t="s">
        <v>6078</v>
      </c>
      <c r="V179" s="96" t="s">
        <v>6076</v>
      </c>
      <c r="W179" s="96"/>
      <c r="X179" s="91"/>
      <c r="Y179" s="91"/>
      <c r="Z179" s="91"/>
      <c r="AA179" s="91"/>
      <c r="AB179" s="91"/>
    </row>
    <row r="180" ht="15.75" customHeight="1">
      <c r="A180" s="50" t="s">
        <v>10497</v>
      </c>
      <c r="B180" s="47"/>
      <c r="C180" s="47"/>
      <c r="D180" s="47"/>
      <c r="E180" s="47"/>
      <c r="F180" s="47"/>
      <c r="G180" s="48"/>
      <c r="H180" s="49"/>
      <c r="I180" s="48"/>
      <c r="J180" s="48"/>
      <c r="K180" s="48"/>
      <c r="L180" s="48"/>
      <c r="M180" s="48"/>
      <c r="N180" s="49"/>
      <c r="O180" s="48"/>
      <c r="P180" s="169" t="str">
        <f t="shared" si="3"/>
        <v/>
      </c>
      <c r="Q180" s="96"/>
      <c r="R180" s="96"/>
      <c r="S180" s="96"/>
      <c r="T180" s="96"/>
      <c r="U180" s="96"/>
      <c r="V180" s="96"/>
      <c r="W180" s="96"/>
      <c r="X180" s="91"/>
      <c r="Y180" s="91"/>
      <c r="Z180" s="91"/>
      <c r="AA180" s="91"/>
      <c r="AB180" s="91"/>
    </row>
    <row r="181" ht="15.75" customHeight="1" outlineLevel="1">
      <c r="A181" s="51" t="s">
        <v>76</v>
      </c>
      <c r="B181" s="57" t="s">
        <v>77</v>
      </c>
      <c r="C181" s="52" t="s">
        <v>29</v>
      </c>
      <c r="D181" s="52" t="s">
        <v>78</v>
      </c>
      <c r="E181" s="53" t="s">
        <v>27</v>
      </c>
      <c r="F181" s="52" t="s">
        <v>4</v>
      </c>
      <c r="G181" s="52" t="s">
        <v>29</v>
      </c>
      <c r="H181" s="54" t="s">
        <v>83</v>
      </c>
      <c r="I181" s="52" t="s">
        <v>29</v>
      </c>
      <c r="J181" s="253" t="s">
        <v>84</v>
      </c>
      <c r="K181" s="52" t="s">
        <v>27</v>
      </c>
      <c r="L181" s="56" t="s">
        <v>4</v>
      </c>
      <c r="M181" s="52" t="s">
        <v>29</v>
      </c>
      <c r="N181" s="54" t="s">
        <v>10498</v>
      </c>
      <c r="O181" s="55" t="str">
        <f t="shared" ref="O181:O234" si="4">A181&amp;"."&amp;C181&amp;"."&amp;E181&amp;"."&amp;G181&amp;"."&amp;I181&amp;"."&amp;K181&amp;"."&amp;M181</f>
        <v>L02.01.00.01.01.00.01</v>
      </c>
      <c r="P181" s="169" t="str">
        <f t="shared" si="3"/>
        <v>Ban giám đốc TT KD HCSN</v>
      </c>
      <c r="Q181" s="96"/>
      <c r="R181" s="96" t="s">
        <v>8333</v>
      </c>
      <c r="S181" s="96" t="s">
        <v>346</v>
      </c>
      <c r="T181" s="96" t="s">
        <v>315</v>
      </c>
      <c r="U181" s="96" t="s">
        <v>8332</v>
      </c>
      <c r="V181" s="96"/>
      <c r="W181" s="96"/>
      <c r="X181" s="91"/>
      <c r="Y181" s="91"/>
      <c r="Z181" s="91"/>
      <c r="AA181" s="91"/>
      <c r="AB181" s="91"/>
    </row>
    <row r="182" ht="15.75" customHeight="1" outlineLevel="1">
      <c r="A182" s="51" t="s">
        <v>76</v>
      </c>
      <c r="B182" s="57" t="s">
        <v>77</v>
      </c>
      <c r="C182" s="51" t="s">
        <v>29</v>
      </c>
      <c r="D182" s="52" t="s">
        <v>78</v>
      </c>
      <c r="E182" s="53" t="s">
        <v>27</v>
      </c>
      <c r="F182" s="52" t="s">
        <v>4</v>
      </c>
      <c r="G182" s="52" t="s">
        <v>29</v>
      </c>
      <c r="H182" s="54" t="s">
        <v>83</v>
      </c>
      <c r="I182" s="52" t="s">
        <v>33</v>
      </c>
      <c r="J182" s="683" t="s">
        <v>1577</v>
      </c>
      <c r="K182" s="52" t="s">
        <v>27</v>
      </c>
      <c r="L182" s="96"/>
      <c r="M182" s="52" t="s">
        <v>29</v>
      </c>
      <c r="N182" s="54" t="s">
        <v>10498</v>
      </c>
      <c r="O182" s="55" t="str">
        <f t="shared" si="4"/>
        <v>L02.01.00.01.02.00.01</v>
      </c>
      <c r="P182" s="169" t="str">
        <f t="shared" si="3"/>
        <v/>
      </c>
      <c r="Q182" s="96"/>
      <c r="R182" s="96" t="s">
        <v>3697</v>
      </c>
      <c r="S182" s="96" t="s">
        <v>346</v>
      </c>
      <c r="T182" s="96" t="s">
        <v>315</v>
      </c>
      <c r="U182" s="96" t="s">
        <v>1577</v>
      </c>
      <c r="V182" s="96"/>
      <c r="W182" s="96"/>
      <c r="X182" s="91"/>
      <c r="Y182" s="91"/>
      <c r="Z182" s="91"/>
      <c r="AA182" s="91"/>
      <c r="AB182" s="91"/>
    </row>
    <row r="183" ht="15.75" customHeight="1" outlineLevel="1">
      <c r="A183" s="51" t="s">
        <v>76</v>
      </c>
      <c r="B183" s="57" t="s">
        <v>77</v>
      </c>
      <c r="C183" s="51" t="s">
        <v>29</v>
      </c>
      <c r="D183" s="52" t="s">
        <v>78</v>
      </c>
      <c r="E183" s="53" t="s">
        <v>27</v>
      </c>
      <c r="F183" s="52" t="s">
        <v>4</v>
      </c>
      <c r="G183" s="52" t="s">
        <v>29</v>
      </c>
      <c r="H183" s="54" t="s">
        <v>83</v>
      </c>
      <c r="I183" s="52" t="s">
        <v>33</v>
      </c>
      <c r="J183" s="683" t="s">
        <v>1577</v>
      </c>
      <c r="K183" s="250" t="s">
        <v>29</v>
      </c>
      <c r="L183" s="684" t="s">
        <v>10984</v>
      </c>
      <c r="M183" s="52" t="s">
        <v>29</v>
      </c>
      <c r="N183" s="54" t="s">
        <v>10498</v>
      </c>
      <c r="O183" s="55" t="str">
        <f t="shared" si="4"/>
        <v>L02.01.00.01.02.01.01</v>
      </c>
      <c r="P183" s="169" t="str">
        <f t="shared" si="3"/>
        <v>Nhóm Quản lý</v>
      </c>
      <c r="Q183" s="96"/>
      <c r="R183" s="96"/>
      <c r="S183" s="96"/>
      <c r="T183" s="96"/>
      <c r="U183" s="96"/>
      <c r="V183" s="96"/>
      <c r="W183" s="96"/>
      <c r="X183" s="91"/>
      <c r="Y183" s="91"/>
      <c r="Z183" s="91"/>
      <c r="AA183" s="91"/>
      <c r="AB183" s="91"/>
    </row>
    <row r="184" ht="15.75" customHeight="1" outlineLevel="1">
      <c r="A184" s="51" t="s">
        <v>76</v>
      </c>
      <c r="B184" s="57" t="s">
        <v>77</v>
      </c>
      <c r="C184" s="51" t="s">
        <v>29</v>
      </c>
      <c r="D184" s="52" t="s">
        <v>78</v>
      </c>
      <c r="E184" s="53" t="s">
        <v>27</v>
      </c>
      <c r="F184" s="52" t="s">
        <v>4</v>
      </c>
      <c r="G184" s="52" t="s">
        <v>29</v>
      </c>
      <c r="H184" s="54" t="s">
        <v>83</v>
      </c>
      <c r="I184" s="52" t="s">
        <v>33</v>
      </c>
      <c r="J184" s="683" t="s">
        <v>1577</v>
      </c>
      <c r="K184" s="170" t="s">
        <v>33</v>
      </c>
      <c r="L184" s="96" t="s">
        <v>1598</v>
      </c>
      <c r="M184" s="52" t="s">
        <v>29</v>
      </c>
      <c r="N184" s="54" t="s">
        <v>10498</v>
      </c>
      <c r="O184" s="55" t="str">
        <f t="shared" si="4"/>
        <v>L02.01.00.01.02.02.01</v>
      </c>
      <c r="P184" s="169" t="str">
        <f t="shared" si="3"/>
        <v>Nhóm KD HCSN 02</v>
      </c>
      <c r="Q184" s="96"/>
      <c r="R184" s="96" t="s">
        <v>1599</v>
      </c>
      <c r="S184" s="96" t="s">
        <v>346</v>
      </c>
      <c r="T184" s="96" t="s">
        <v>315</v>
      </c>
      <c r="U184" s="96" t="s">
        <v>1577</v>
      </c>
      <c r="V184" s="96" t="s">
        <v>1598</v>
      </c>
      <c r="W184" s="96"/>
      <c r="X184" s="91"/>
      <c r="Y184" s="91"/>
      <c r="Z184" s="91"/>
      <c r="AA184" s="91"/>
      <c r="AB184" s="91"/>
    </row>
    <row r="185" ht="15.75" customHeight="1" outlineLevel="1">
      <c r="A185" s="51" t="s">
        <v>76</v>
      </c>
      <c r="B185" s="57" t="s">
        <v>77</v>
      </c>
      <c r="C185" s="51" t="s">
        <v>29</v>
      </c>
      <c r="D185" s="52" t="s">
        <v>78</v>
      </c>
      <c r="E185" s="53" t="s">
        <v>27</v>
      </c>
      <c r="F185" s="52" t="s">
        <v>4</v>
      </c>
      <c r="G185" s="52" t="s">
        <v>29</v>
      </c>
      <c r="H185" s="54" t="s">
        <v>83</v>
      </c>
      <c r="I185" s="52" t="s">
        <v>33</v>
      </c>
      <c r="J185" s="683" t="s">
        <v>1577</v>
      </c>
      <c r="K185" s="170" t="s">
        <v>35</v>
      </c>
      <c r="L185" s="96" t="s">
        <v>1576</v>
      </c>
      <c r="M185" s="52" t="s">
        <v>29</v>
      </c>
      <c r="N185" s="54" t="s">
        <v>10498</v>
      </c>
      <c r="O185" s="55" t="str">
        <f t="shared" si="4"/>
        <v>L02.01.00.01.02.03.01</v>
      </c>
      <c r="P185" s="169" t="str">
        <f t="shared" si="3"/>
        <v>Nhóm KD HCSN 03</v>
      </c>
      <c r="Q185" s="96"/>
      <c r="R185" s="96" t="s">
        <v>1578</v>
      </c>
      <c r="S185" s="96" t="s">
        <v>346</v>
      </c>
      <c r="T185" s="96" t="s">
        <v>315</v>
      </c>
      <c r="U185" s="96" t="s">
        <v>1577</v>
      </c>
      <c r="V185" s="96" t="s">
        <v>1576</v>
      </c>
      <c r="W185" s="96"/>
      <c r="X185" s="91"/>
      <c r="Y185" s="91"/>
      <c r="Z185" s="91"/>
      <c r="AA185" s="91"/>
      <c r="AB185" s="91"/>
    </row>
    <row r="186" ht="15.75" customHeight="1" outlineLevel="1">
      <c r="A186" s="51" t="s">
        <v>76</v>
      </c>
      <c r="B186" s="57" t="s">
        <v>77</v>
      </c>
      <c r="C186" s="51" t="s">
        <v>29</v>
      </c>
      <c r="D186" s="52" t="s">
        <v>78</v>
      </c>
      <c r="E186" s="53" t="s">
        <v>27</v>
      </c>
      <c r="F186" s="52" t="s">
        <v>4</v>
      </c>
      <c r="G186" s="52" t="s">
        <v>29</v>
      </c>
      <c r="H186" s="54" t="s">
        <v>83</v>
      </c>
      <c r="I186" s="250" t="s">
        <v>35</v>
      </c>
      <c r="J186" s="683" t="s">
        <v>1487</v>
      </c>
      <c r="K186" s="52" t="s">
        <v>27</v>
      </c>
      <c r="L186" s="96"/>
      <c r="M186" s="52" t="s">
        <v>29</v>
      </c>
      <c r="N186" s="54" t="s">
        <v>10498</v>
      </c>
      <c r="O186" s="55" t="str">
        <f t="shared" si="4"/>
        <v>L02.01.00.01.03.00.01</v>
      </c>
      <c r="P186" s="169" t="str">
        <f t="shared" si="3"/>
        <v/>
      </c>
      <c r="Q186" s="96"/>
      <c r="R186" s="96" t="s">
        <v>3702</v>
      </c>
      <c r="S186" s="96" t="s">
        <v>346</v>
      </c>
      <c r="T186" s="96" t="s">
        <v>315</v>
      </c>
      <c r="U186" s="96" t="s">
        <v>1487</v>
      </c>
      <c r="V186" s="96"/>
      <c r="W186" s="96"/>
      <c r="X186" s="91"/>
      <c r="Y186" s="91"/>
      <c r="Z186" s="91"/>
      <c r="AA186" s="91"/>
      <c r="AB186" s="91"/>
    </row>
    <row r="187" ht="15.75" customHeight="1" outlineLevel="1">
      <c r="A187" s="51" t="s">
        <v>76</v>
      </c>
      <c r="B187" s="57" t="s">
        <v>77</v>
      </c>
      <c r="C187" s="51" t="s">
        <v>29</v>
      </c>
      <c r="D187" s="52" t="s">
        <v>78</v>
      </c>
      <c r="E187" s="53" t="s">
        <v>27</v>
      </c>
      <c r="F187" s="52" t="s">
        <v>4</v>
      </c>
      <c r="G187" s="52" t="s">
        <v>29</v>
      </c>
      <c r="H187" s="54" t="s">
        <v>83</v>
      </c>
      <c r="I187" s="250" t="s">
        <v>35</v>
      </c>
      <c r="J187" s="683" t="s">
        <v>1487</v>
      </c>
      <c r="K187" s="250" t="s">
        <v>29</v>
      </c>
      <c r="L187" s="684" t="s">
        <v>10984</v>
      </c>
      <c r="M187" s="52" t="s">
        <v>29</v>
      </c>
      <c r="N187" s="54" t="s">
        <v>10498</v>
      </c>
      <c r="O187" s="55" t="str">
        <f t="shared" si="4"/>
        <v>L02.01.00.01.03.01.01</v>
      </c>
      <c r="P187" s="169" t="str">
        <f t="shared" si="3"/>
        <v>Nhóm Quản lý</v>
      </c>
      <c r="Q187" s="96"/>
      <c r="R187" s="96"/>
      <c r="S187" s="96"/>
      <c r="T187" s="96"/>
      <c r="U187" s="96"/>
      <c r="V187" s="96"/>
      <c r="W187" s="96"/>
      <c r="X187" s="91"/>
      <c r="Y187" s="91"/>
      <c r="Z187" s="91"/>
      <c r="AA187" s="91"/>
      <c r="AB187" s="91"/>
    </row>
    <row r="188" ht="15.75" customHeight="1" outlineLevel="1">
      <c r="A188" s="51" t="s">
        <v>76</v>
      </c>
      <c r="B188" s="57" t="s">
        <v>77</v>
      </c>
      <c r="C188" s="51" t="s">
        <v>29</v>
      </c>
      <c r="D188" s="52" t="s">
        <v>78</v>
      </c>
      <c r="E188" s="53" t="s">
        <v>27</v>
      </c>
      <c r="F188" s="52" t="s">
        <v>4</v>
      </c>
      <c r="G188" s="52" t="s">
        <v>29</v>
      </c>
      <c r="H188" s="54" t="s">
        <v>83</v>
      </c>
      <c r="I188" s="250" t="s">
        <v>35</v>
      </c>
      <c r="J188" s="683" t="s">
        <v>1487</v>
      </c>
      <c r="K188" s="170" t="s">
        <v>33</v>
      </c>
      <c r="L188" s="96" t="s">
        <v>1486</v>
      </c>
      <c r="M188" s="52" t="s">
        <v>29</v>
      </c>
      <c r="N188" s="54" t="s">
        <v>10498</v>
      </c>
      <c r="O188" s="55" t="str">
        <f t="shared" si="4"/>
        <v>L02.01.00.01.03.02.01</v>
      </c>
      <c r="P188" s="169" t="str">
        <f t="shared" si="3"/>
        <v>Nhóm KD HCSN 04</v>
      </c>
      <c r="Q188" s="96"/>
      <c r="R188" s="96" t="s">
        <v>1488</v>
      </c>
      <c r="S188" s="96" t="s">
        <v>346</v>
      </c>
      <c r="T188" s="96" t="s">
        <v>315</v>
      </c>
      <c r="U188" s="96" t="s">
        <v>1487</v>
      </c>
      <c r="V188" s="96" t="s">
        <v>1486</v>
      </c>
      <c r="W188" s="96"/>
      <c r="X188" s="91"/>
      <c r="Y188" s="91"/>
      <c r="Z188" s="91"/>
      <c r="AA188" s="91"/>
      <c r="AB188" s="91"/>
    </row>
    <row r="189" ht="15.75" customHeight="1" outlineLevel="1">
      <c r="A189" s="51" t="s">
        <v>76</v>
      </c>
      <c r="B189" s="57" t="s">
        <v>77</v>
      </c>
      <c r="C189" s="51" t="s">
        <v>29</v>
      </c>
      <c r="D189" s="52" t="s">
        <v>78</v>
      </c>
      <c r="E189" s="53" t="s">
        <v>27</v>
      </c>
      <c r="F189" s="52" t="s">
        <v>4</v>
      </c>
      <c r="G189" s="52" t="s">
        <v>29</v>
      </c>
      <c r="H189" s="54" t="s">
        <v>83</v>
      </c>
      <c r="I189" s="250" t="s">
        <v>35</v>
      </c>
      <c r="J189" s="683" t="s">
        <v>1487</v>
      </c>
      <c r="K189" s="170" t="s">
        <v>35</v>
      </c>
      <c r="L189" s="96" t="s">
        <v>1507</v>
      </c>
      <c r="M189" s="52" t="s">
        <v>29</v>
      </c>
      <c r="N189" s="54" t="s">
        <v>10498</v>
      </c>
      <c r="O189" s="55" t="str">
        <f t="shared" si="4"/>
        <v>L02.01.00.01.03.03.01</v>
      </c>
      <c r="P189" s="169" t="str">
        <f t="shared" si="3"/>
        <v>Nhóm KD HCSN 05</v>
      </c>
      <c r="Q189" s="96"/>
      <c r="R189" s="96" t="s">
        <v>1508</v>
      </c>
      <c r="S189" s="96" t="s">
        <v>346</v>
      </c>
      <c r="T189" s="96" t="s">
        <v>315</v>
      </c>
      <c r="U189" s="96" t="s">
        <v>1487</v>
      </c>
      <c r="V189" s="96" t="s">
        <v>1507</v>
      </c>
      <c r="W189" s="96"/>
      <c r="X189" s="91"/>
      <c r="Y189" s="91"/>
      <c r="Z189" s="91"/>
      <c r="AA189" s="91"/>
      <c r="AB189" s="91"/>
    </row>
    <row r="190" ht="15.75" customHeight="1" outlineLevel="1">
      <c r="A190" s="51" t="s">
        <v>76</v>
      </c>
      <c r="B190" s="57" t="s">
        <v>77</v>
      </c>
      <c r="C190" s="51" t="s">
        <v>29</v>
      </c>
      <c r="D190" s="52" t="s">
        <v>78</v>
      </c>
      <c r="E190" s="53" t="s">
        <v>27</v>
      </c>
      <c r="F190" s="52" t="s">
        <v>4</v>
      </c>
      <c r="G190" s="52" t="s">
        <v>29</v>
      </c>
      <c r="H190" s="54" t="s">
        <v>83</v>
      </c>
      <c r="I190" s="250" t="s">
        <v>37</v>
      </c>
      <c r="J190" s="683" t="s">
        <v>316</v>
      </c>
      <c r="K190" s="52" t="s">
        <v>27</v>
      </c>
      <c r="L190" s="96"/>
      <c r="M190" s="52" t="s">
        <v>29</v>
      </c>
      <c r="N190" s="54" t="s">
        <v>10498</v>
      </c>
      <c r="O190" s="55" t="str">
        <f t="shared" si="4"/>
        <v>L02.01.00.01.04.00.01</v>
      </c>
      <c r="P190" s="169" t="str">
        <f t="shared" si="3"/>
        <v/>
      </c>
      <c r="Q190" s="96"/>
      <c r="R190" s="96" t="s">
        <v>3971</v>
      </c>
      <c r="S190" s="96" t="s">
        <v>346</v>
      </c>
      <c r="T190" s="96" t="s">
        <v>315</v>
      </c>
      <c r="U190" s="96" t="s">
        <v>316</v>
      </c>
      <c r="V190" s="96"/>
      <c r="W190" s="96"/>
      <c r="X190" s="91"/>
      <c r="Y190" s="91"/>
      <c r="Z190" s="91"/>
      <c r="AA190" s="91"/>
      <c r="AB190" s="91"/>
    </row>
    <row r="191" ht="15.75" customHeight="1" outlineLevel="1">
      <c r="A191" s="51" t="s">
        <v>76</v>
      </c>
      <c r="B191" s="57" t="s">
        <v>77</v>
      </c>
      <c r="C191" s="51" t="s">
        <v>29</v>
      </c>
      <c r="D191" s="52" t="s">
        <v>78</v>
      </c>
      <c r="E191" s="53" t="s">
        <v>27</v>
      </c>
      <c r="F191" s="52" t="s">
        <v>4</v>
      </c>
      <c r="G191" s="52" t="s">
        <v>29</v>
      </c>
      <c r="H191" s="54" t="s">
        <v>83</v>
      </c>
      <c r="I191" s="250" t="s">
        <v>37</v>
      </c>
      <c r="J191" s="683" t="s">
        <v>316</v>
      </c>
      <c r="K191" s="250" t="s">
        <v>29</v>
      </c>
      <c r="L191" s="684" t="s">
        <v>10984</v>
      </c>
      <c r="M191" s="52" t="s">
        <v>29</v>
      </c>
      <c r="N191" s="54" t="s">
        <v>10498</v>
      </c>
      <c r="O191" s="55" t="str">
        <f t="shared" si="4"/>
        <v>L02.01.00.01.04.01.01</v>
      </c>
      <c r="P191" s="169" t="str">
        <f t="shared" si="3"/>
        <v>Nhóm Quản lý</v>
      </c>
      <c r="Q191" s="96"/>
      <c r="R191" s="96"/>
      <c r="S191" s="96"/>
      <c r="T191" s="96"/>
      <c r="U191" s="96"/>
      <c r="V191" s="96"/>
      <c r="W191" s="96"/>
      <c r="X191" s="91"/>
      <c r="Y191" s="91"/>
      <c r="Z191" s="91"/>
      <c r="AA191" s="91"/>
      <c r="AB191" s="91"/>
    </row>
    <row r="192" ht="15.75" customHeight="1" outlineLevel="1">
      <c r="A192" s="51" t="s">
        <v>76</v>
      </c>
      <c r="B192" s="57" t="s">
        <v>77</v>
      </c>
      <c r="C192" s="51" t="s">
        <v>29</v>
      </c>
      <c r="D192" s="52" t="s">
        <v>78</v>
      </c>
      <c r="E192" s="53" t="s">
        <v>27</v>
      </c>
      <c r="F192" s="52" t="s">
        <v>4</v>
      </c>
      <c r="G192" s="52" t="s">
        <v>29</v>
      </c>
      <c r="H192" s="54" t="s">
        <v>83</v>
      </c>
      <c r="I192" s="250" t="s">
        <v>37</v>
      </c>
      <c r="J192" s="683" t="s">
        <v>316</v>
      </c>
      <c r="K192" s="170" t="s">
        <v>33</v>
      </c>
      <c r="L192" s="96" t="s">
        <v>314</v>
      </c>
      <c r="M192" s="52" t="s">
        <v>29</v>
      </c>
      <c r="N192" s="54" t="s">
        <v>10498</v>
      </c>
      <c r="O192" s="55" t="str">
        <f t="shared" si="4"/>
        <v>L02.01.00.01.04.02.01</v>
      </c>
      <c r="P192" s="169" t="str">
        <f t="shared" si="3"/>
        <v>Nhóm KD HCSN 06</v>
      </c>
      <c r="Q192" s="96"/>
      <c r="R192" s="96" t="s">
        <v>1530</v>
      </c>
      <c r="S192" s="96" t="s">
        <v>346</v>
      </c>
      <c r="T192" s="96" t="s">
        <v>315</v>
      </c>
      <c r="U192" s="96" t="s">
        <v>316</v>
      </c>
      <c r="V192" s="96" t="s">
        <v>314</v>
      </c>
      <c r="W192" s="96"/>
      <c r="X192" s="91"/>
      <c r="Y192" s="91"/>
      <c r="Z192" s="91"/>
      <c r="AA192" s="91"/>
      <c r="AB192" s="91"/>
    </row>
    <row r="193" ht="15.75" customHeight="1" outlineLevel="1">
      <c r="A193" s="51" t="s">
        <v>76</v>
      </c>
      <c r="B193" s="57" t="s">
        <v>77</v>
      </c>
      <c r="C193" s="51" t="s">
        <v>29</v>
      </c>
      <c r="D193" s="52" t="s">
        <v>78</v>
      </c>
      <c r="E193" s="53" t="s">
        <v>27</v>
      </c>
      <c r="F193" s="52" t="s">
        <v>4</v>
      </c>
      <c r="G193" s="52" t="s">
        <v>29</v>
      </c>
      <c r="H193" s="54" t="s">
        <v>83</v>
      </c>
      <c r="I193" s="250" t="s">
        <v>37</v>
      </c>
      <c r="J193" s="683" t="s">
        <v>316</v>
      </c>
      <c r="K193" s="170" t="s">
        <v>35</v>
      </c>
      <c r="L193" s="96" t="s">
        <v>1501</v>
      </c>
      <c r="M193" s="52" t="s">
        <v>29</v>
      </c>
      <c r="N193" s="54" t="s">
        <v>10498</v>
      </c>
      <c r="O193" s="55" t="str">
        <f t="shared" si="4"/>
        <v>L02.01.00.01.04.03.01</v>
      </c>
      <c r="P193" s="169" t="str">
        <f t="shared" si="3"/>
        <v>Nhóm KD HCSN 07</v>
      </c>
      <c r="Q193" s="96"/>
      <c r="R193" s="96" t="s">
        <v>1502</v>
      </c>
      <c r="S193" s="96" t="s">
        <v>346</v>
      </c>
      <c r="T193" s="96" t="s">
        <v>315</v>
      </c>
      <c r="U193" s="96" t="s">
        <v>316</v>
      </c>
      <c r="V193" s="96" t="s">
        <v>1501</v>
      </c>
      <c r="W193" s="96"/>
      <c r="X193" s="91"/>
      <c r="Y193" s="91"/>
      <c r="Z193" s="91"/>
      <c r="AA193" s="91"/>
      <c r="AB193" s="91"/>
    </row>
    <row r="194" ht="15.75" customHeight="1" outlineLevel="1">
      <c r="A194" s="51" t="s">
        <v>76</v>
      </c>
      <c r="B194" s="57" t="s">
        <v>77</v>
      </c>
      <c r="C194" s="51" t="s">
        <v>29</v>
      </c>
      <c r="D194" s="52" t="s">
        <v>78</v>
      </c>
      <c r="E194" s="53" t="s">
        <v>27</v>
      </c>
      <c r="F194" s="52" t="s">
        <v>4</v>
      </c>
      <c r="G194" s="52" t="s">
        <v>29</v>
      </c>
      <c r="H194" s="54" t="s">
        <v>83</v>
      </c>
      <c r="I194" s="170" t="s">
        <v>42</v>
      </c>
      <c r="J194" s="683" t="s">
        <v>1493</v>
      </c>
      <c r="K194" s="52" t="s">
        <v>27</v>
      </c>
      <c r="L194" s="96"/>
      <c r="M194" s="52" t="s">
        <v>29</v>
      </c>
      <c r="N194" s="54" t="s">
        <v>10498</v>
      </c>
      <c r="O194" s="55" t="str">
        <f t="shared" si="4"/>
        <v>L02.01.00.01.05.00.01</v>
      </c>
      <c r="P194" s="169" t="str">
        <f t="shared" si="3"/>
        <v/>
      </c>
      <c r="Q194" s="96"/>
      <c r="R194" s="96" t="s">
        <v>1536</v>
      </c>
      <c r="S194" s="96" t="s">
        <v>346</v>
      </c>
      <c r="T194" s="96" t="s">
        <v>315</v>
      </c>
      <c r="U194" s="96" t="s">
        <v>1493</v>
      </c>
      <c r="V194" s="96"/>
      <c r="W194" s="96"/>
      <c r="X194" s="91"/>
      <c r="Y194" s="91"/>
      <c r="Z194" s="91"/>
      <c r="AA194" s="91"/>
      <c r="AB194" s="91"/>
    </row>
    <row r="195" ht="15.75" customHeight="1" outlineLevel="1">
      <c r="A195" s="51" t="s">
        <v>76</v>
      </c>
      <c r="B195" s="57" t="s">
        <v>77</v>
      </c>
      <c r="C195" s="51" t="s">
        <v>29</v>
      </c>
      <c r="D195" s="52" t="s">
        <v>78</v>
      </c>
      <c r="E195" s="53" t="s">
        <v>27</v>
      </c>
      <c r="F195" s="52" t="s">
        <v>4</v>
      </c>
      <c r="G195" s="52" t="s">
        <v>29</v>
      </c>
      <c r="H195" s="54" t="s">
        <v>83</v>
      </c>
      <c r="I195" s="170" t="s">
        <v>42</v>
      </c>
      <c r="J195" s="683" t="s">
        <v>1493</v>
      </c>
      <c r="K195" s="250" t="s">
        <v>29</v>
      </c>
      <c r="L195" s="684" t="s">
        <v>10984</v>
      </c>
      <c r="M195" s="52" t="s">
        <v>29</v>
      </c>
      <c r="N195" s="54" t="s">
        <v>10498</v>
      </c>
      <c r="O195" s="55" t="str">
        <f t="shared" si="4"/>
        <v>L02.01.00.01.05.01.01</v>
      </c>
      <c r="P195" s="169" t="str">
        <f t="shared" si="3"/>
        <v>Nhóm Quản lý</v>
      </c>
      <c r="Q195" s="96"/>
      <c r="R195" s="96"/>
      <c r="S195" s="96"/>
      <c r="T195" s="96"/>
      <c r="U195" s="96"/>
      <c r="V195" s="96"/>
      <c r="W195" s="96"/>
      <c r="X195" s="91"/>
      <c r="Y195" s="91"/>
      <c r="Z195" s="91"/>
      <c r="AA195" s="91"/>
      <c r="AB195" s="91"/>
    </row>
    <row r="196" ht="15.75" customHeight="1" outlineLevel="1">
      <c r="A196" s="51" t="s">
        <v>76</v>
      </c>
      <c r="B196" s="57" t="s">
        <v>77</v>
      </c>
      <c r="C196" s="51" t="s">
        <v>29</v>
      </c>
      <c r="D196" s="52" t="s">
        <v>78</v>
      </c>
      <c r="E196" s="53" t="s">
        <v>27</v>
      </c>
      <c r="F196" s="52" t="s">
        <v>4</v>
      </c>
      <c r="G196" s="52" t="s">
        <v>29</v>
      </c>
      <c r="H196" s="54" t="s">
        <v>83</v>
      </c>
      <c r="I196" s="170" t="s">
        <v>42</v>
      </c>
      <c r="J196" s="683" t="s">
        <v>1493</v>
      </c>
      <c r="K196" s="170" t="s">
        <v>33</v>
      </c>
      <c r="L196" s="96" t="s">
        <v>1564</v>
      </c>
      <c r="M196" s="52" t="s">
        <v>29</v>
      </c>
      <c r="N196" s="54" t="s">
        <v>10498</v>
      </c>
      <c r="O196" s="55" t="str">
        <f t="shared" si="4"/>
        <v>L02.01.00.01.05.02.01</v>
      </c>
      <c r="P196" s="169" t="str">
        <f t="shared" si="3"/>
        <v>Nhóm KD HCSN 08</v>
      </c>
      <c r="Q196" s="96"/>
      <c r="R196" s="96" t="s">
        <v>1565</v>
      </c>
      <c r="S196" s="96" t="s">
        <v>346</v>
      </c>
      <c r="T196" s="96" t="s">
        <v>315</v>
      </c>
      <c r="U196" s="96" t="s">
        <v>1493</v>
      </c>
      <c r="V196" s="96" t="s">
        <v>1564</v>
      </c>
      <c r="W196" s="96"/>
      <c r="X196" s="91"/>
      <c r="Y196" s="91"/>
      <c r="Z196" s="91"/>
      <c r="AA196" s="91"/>
      <c r="AB196" s="91"/>
    </row>
    <row r="197" ht="15.75" customHeight="1" outlineLevel="1">
      <c r="A197" s="51" t="s">
        <v>76</v>
      </c>
      <c r="B197" s="57" t="s">
        <v>77</v>
      </c>
      <c r="C197" s="51" t="s">
        <v>29</v>
      </c>
      <c r="D197" s="52" t="s">
        <v>78</v>
      </c>
      <c r="E197" s="53" t="s">
        <v>27</v>
      </c>
      <c r="F197" s="52" t="s">
        <v>4</v>
      </c>
      <c r="G197" s="52" t="s">
        <v>29</v>
      </c>
      <c r="H197" s="54" t="s">
        <v>83</v>
      </c>
      <c r="I197" s="170" t="s">
        <v>42</v>
      </c>
      <c r="J197" s="683" t="s">
        <v>1493</v>
      </c>
      <c r="K197" s="170" t="s">
        <v>35</v>
      </c>
      <c r="L197" s="96" t="s">
        <v>1525</v>
      </c>
      <c r="M197" s="52" t="s">
        <v>29</v>
      </c>
      <c r="N197" s="54" t="s">
        <v>10498</v>
      </c>
      <c r="O197" s="55" t="str">
        <f t="shared" si="4"/>
        <v>L02.01.00.01.05.03.01</v>
      </c>
      <c r="P197" s="169" t="str">
        <f t="shared" si="3"/>
        <v>Nhóm KD HCSN 09</v>
      </c>
      <c r="Q197" s="96"/>
      <c r="R197" s="96" t="s">
        <v>1526</v>
      </c>
      <c r="S197" s="96" t="s">
        <v>346</v>
      </c>
      <c r="T197" s="96" t="s">
        <v>315</v>
      </c>
      <c r="U197" s="96" t="s">
        <v>1493</v>
      </c>
      <c r="V197" s="96" t="s">
        <v>1525</v>
      </c>
      <c r="W197" s="96"/>
      <c r="X197" s="91"/>
      <c r="Y197" s="91"/>
      <c r="Z197" s="91"/>
      <c r="AA197" s="91"/>
      <c r="AB197" s="91"/>
    </row>
    <row r="198" ht="15.75" customHeight="1" outlineLevel="1">
      <c r="A198" s="51" t="s">
        <v>76</v>
      </c>
      <c r="B198" s="57" t="s">
        <v>77</v>
      </c>
      <c r="C198" s="51" t="s">
        <v>29</v>
      </c>
      <c r="D198" s="52" t="s">
        <v>78</v>
      </c>
      <c r="E198" s="53" t="s">
        <v>27</v>
      </c>
      <c r="F198" s="52" t="s">
        <v>4</v>
      </c>
      <c r="G198" s="52" t="s">
        <v>29</v>
      </c>
      <c r="H198" s="54" t="s">
        <v>83</v>
      </c>
      <c r="I198" s="170" t="s">
        <v>42</v>
      </c>
      <c r="J198" s="683" t="s">
        <v>1493</v>
      </c>
      <c r="K198" s="51" t="s">
        <v>35</v>
      </c>
      <c r="L198" s="96" t="s">
        <v>1492</v>
      </c>
      <c r="M198" s="52" t="s">
        <v>29</v>
      </c>
      <c r="N198" s="54" t="s">
        <v>10498</v>
      </c>
      <c r="O198" s="55" t="str">
        <f t="shared" si="4"/>
        <v>L02.01.00.01.05.03.01</v>
      </c>
      <c r="P198" s="169" t="str">
        <f t="shared" si="3"/>
        <v>Nhóm KD DA TW</v>
      </c>
      <c r="Q198" s="96"/>
      <c r="R198" s="96" t="s">
        <v>1494</v>
      </c>
      <c r="S198" s="96" t="s">
        <v>346</v>
      </c>
      <c r="T198" s="96" t="s">
        <v>315</v>
      </c>
      <c r="U198" s="96" t="s">
        <v>1493</v>
      </c>
      <c r="V198" s="96" t="s">
        <v>1492</v>
      </c>
      <c r="W198" s="96"/>
      <c r="X198" s="91"/>
      <c r="Y198" s="91"/>
      <c r="Z198" s="91"/>
      <c r="AA198" s="91"/>
      <c r="AB198" s="91"/>
    </row>
    <row r="199" ht="15.75" customHeight="1" outlineLevel="1">
      <c r="A199" s="51" t="s">
        <v>76</v>
      </c>
      <c r="B199" s="57" t="s">
        <v>77</v>
      </c>
      <c r="C199" s="51" t="s">
        <v>29</v>
      </c>
      <c r="D199" s="52" t="s">
        <v>78</v>
      </c>
      <c r="E199" s="53" t="s">
        <v>27</v>
      </c>
      <c r="F199" s="52" t="s">
        <v>4</v>
      </c>
      <c r="G199" s="52" t="s">
        <v>29</v>
      </c>
      <c r="H199" s="54" t="s">
        <v>83</v>
      </c>
      <c r="I199" s="170" t="s">
        <v>44</v>
      </c>
      <c r="J199" s="683" t="s">
        <v>1366</v>
      </c>
      <c r="K199" s="52" t="s">
        <v>27</v>
      </c>
      <c r="L199" s="96"/>
      <c r="M199" s="52" t="s">
        <v>29</v>
      </c>
      <c r="N199" s="54" t="s">
        <v>10498</v>
      </c>
      <c r="O199" s="55" t="str">
        <f t="shared" si="4"/>
        <v>L02.01.00.01.06.00.01</v>
      </c>
      <c r="P199" s="169" t="str">
        <f t="shared" si="3"/>
        <v/>
      </c>
      <c r="Q199" s="96"/>
      <c r="R199" s="96" t="s">
        <v>1550</v>
      </c>
      <c r="S199" s="96" t="s">
        <v>346</v>
      </c>
      <c r="T199" s="96" t="s">
        <v>315</v>
      </c>
      <c r="U199" s="96" t="s">
        <v>1366</v>
      </c>
      <c r="V199" s="96"/>
      <c r="W199" s="97" t="s">
        <v>12513</v>
      </c>
      <c r="X199" s="91"/>
      <c r="Y199" s="91"/>
      <c r="Z199" s="91"/>
      <c r="AA199" s="91"/>
      <c r="AB199" s="91"/>
    </row>
    <row r="200" ht="15.75" customHeight="1" outlineLevel="1">
      <c r="A200" s="51" t="s">
        <v>76</v>
      </c>
      <c r="B200" s="57" t="s">
        <v>77</v>
      </c>
      <c r="C200" s="51" t="s">
        <v>29</v>
      </c>
      <c r="D200" s="52" t="s">
        <v>78</v>
      </c>
      <c r="E200" s="53" t="s">
        <v>27</v>
      </c>
      <c r="F200" s="52" t="s">
        <v>4</v>
      </c>
      <c r="G200" s="52" t="s">
        <v>29</v>
      </c>
      <c r="H200" s="54" t="s">
        <v>83</v>
      </c>
      <c r="I200" s="170" t="s">
        <v>44</v>
      </c>
      <c r="J200" s="683" t="s">
        <v>1366</v>
      </c>
      <c r="K200" s="250" t="s">
        <v>29</v>
      </c>
      <c r="L200" s="684" t="s">
        <v>10984</v>
      </c>
      <c r="M200" s="52" t="s">
        <v>29</v>
      </c>
      <c r="N200" s="54" t="s">
        <v>10498</v>
      </c>
      <c r="O200" s="55" t="str">
        <f t="shared" si="4"/>
        <v>L02.01.00.01.06.01.01</v>
      </c>
      <c r="P200" s="169" t="str">
        <f t="shared" si="3"/>
        <v>Nhóm Quản lý</v>
      </c>
      <c r="Q200" s="96"/>
      <c r="R200" s="96"/>
      <c r="S200" s="96"/>
      <c r="T200" s="96"/>
      <c r="U200" s="96"/>
      <c r="V200" s="96"/>
      <c r="W200" s="97" t="s">
        <v>12513</v>
      </c>
      <c r="X200" s="91"/>
      <c r="Y200" s="91"/>
      <c r="Z200" s="91"/>
      <c r="AA200" s="91"/>
      <c r="AB200" s="91"/>
    </row>
    <row r="201" ht="15.75" customHeight="1" outlineLevel="1">
      <c r="A201" s="51" t="s">
        <v>76</v>
      </c>
      <c r="B201" s="57" t="s">
        <v>77</v>
      </c>
      <c r="C201" s="51" t="s">
        <v>29</v>
      </c>
      <c r="D201" s="52" t="s">
        <v>78</v>
      </c>
      <c r="E201" s="53" t="s">
        <v>27</v>
      </c>
      <c r="F201" s="52" t="s">
        <v>4</v>
      </c>
      <c r="G201" s="52" t="s">
        <v>29</v>
      </c>
      <c r="H201" s="54" t="s">
        <v>83</v>
      </c>
      <c r="I201" s="170" t="s">
        <v>44</v>
      </c>
      <c r="J201" s="683" t="s">
        <v>1366</v>
      </c>
      <c r="K201" s="170" t="s">
        <v>33</v>
      </c>
      <c r="L201" s="683" t="s">
        <v>1395</v>
      </c>
      <c r="M201" s="52" t="s">
        <v>29</v>
      </c>
      <c r="N201" s="54" t="s">
        <v>10498</v>
      </c>
      <c r="O201" s="55" t="str">
        <f t="shared" si="4"/>
        <v>L02.01.00.01.06.02.01</v>
      </c>
      <c r="P201" s="169" t="str">
        <f t="shared" si="3"/>
        <v>Nhóm Triển khai &amp; CSKH 01</v>
      </c>
      <c r="Q201" s="96"/>
      <c r="R201" s="96" t="s">
        <v>1396</v>
      </c>
      <c r="S201" s="96" t="s">
        <v>346</v>
      </c>
      <c r="T201" s="96" t="s">
        <v>315</v>
      </c>
      <c r="U201" s="96" t="s">
        <v>1366</v>
      </c>
      <c r="V201" s="96" t="s">
        <v>1395</v>
      </c>
      <c r="W201" s="97" t="s">
        <v>12514</v>
      </c>
      <c r="X201" s="91"/>
      <c r="Y201" s="91"/>
      <c r="Z201" s="91"/>
      <c r="AA201" s="91"/>
      <c r="AB201" s="91"/>
    </row>
    <row r="202" ht="15.75" customHeight="1" outlineLevel="1">
      <c r="A202" s="51" t="s">
        <v>76</v>
      </c>
      <c r="B202" s="57" t="s">
        <v>77</v>
      </c>
      <c r="C202" s="51" t="s">
        <v>29</v>
      </c>
      <c r="D202" s="52" t="s">
        <v>78</v>
      </c>
      <c r="E202" s="53" t="s">
        <v>27</v>
      </c>
      <c r="F202" s="52" t="s">
        <v>4</v>
      </c>
      <c r="G202" s="52" t="s">
        <v>29</v>
      </c>
      <c r="H202" s="54" t="s">
        <v>83</v>
      </c>
      <c r="I202" s="170" t="s">
        <v>44</v>
      </c>
      <c r="J202" s="683" t="s">
        <v>1366</v>
      </c>
      <c r="K202" s="170" t="s">
        <v>35</v>
      </c>
      <c r="L202" s="683" t="s">
        <v>1365</v>
      </c>
      <c r="M202" s="52" t="s">
        <v>29</v>
      </c>
      <c r="N202" s="54" t="s">
        <v>10498</v>
      </c>
      <c r="O202" s="55" t="str">
        <f t="shared" si="4"/>
        <v>L02.01.00.01.06.03.01</v>
      </c>
      <c r="P202" s="169" t="str">
        <f t="shared" si="3"/>
        <v>Nhóm Triển khai &amp; CSKH 02</v>
      </c>
      <c r="Q202" s="96"/>
      <c r="R202" s="96" t="s">
        <v>1367</v>
      </c>
      <c r="S202" s="96" t="s">
        <v>346</v>
      </c>
      <c r="T202" s="96" t="s">
        <v>315</v>
      </c>
      <c r="U202" s="96" t="s">
        <v>1366</v>
      </c>
      <c r="V202" s="96" t="s">
        <v>1365</v>
      </c>
      <c r="W202" s="96"/>
      <c r="X202" s="91"/>
      <c r="Y202" s="91"/>
      <c r="Z202" s="91"/>
      <c r="AA202" s="91"/>
      <c r="AB202" s="91"/>
    </row>
    <row r="203" ht="15.75" customHeight="1" outlineLevel="1">
      <c r="A203" s="51" t="s">
        <v>76</v>
      </c>
      <c r="B203" s="57" t="s">
        <v>77</v>
      </c>
      <c r="C203" s="51" t="s">
        <v>29</v>
      </c>
      <c r="D203" s="52" t="s">
        <v>78</v>
      </c>
      <c r="E203" s="53" t="s">
        <v>27</v>
      </c>
      <c r="F203" s="52" t="s">
        <v>4</v>
      </c>
      <c r="G203" s="52" t="s">
        <v>29</v>
      </c>
      <c r="H203" s="54" t="s">
        <v>83</v>
      </c>
      <c r="I203" s="170" t="s">
        <v>46</v>
      </c>
      <c r="J203" s="683" t="s">
        <v>1221</v>
      </c>
      <c r="K203" s="52" t="s">
        <v>27</v>
      </c>
      <c r="L203" s="96"/>
      <c r="M203" s="52" t="s">
        <v>29</v>
      </c>
      <c r="N203" s="54" t="s">
        <v>10498</v>
      </c>
      <c r="O203" s="55" t="str">
        <f t="shared" si="4"/>
        <v>L02.01.00.01.07.00.01</v>
      </c>
      <c r="P203" s="169" t="str">
        <f t="shared" si="3"/>
        <v/>
      </c>
      <c r="Q203" s="96"/>
      <c r="R203" s="96" t="s">
        <v>1318</v>
      </c>
      <c r="S203" s="96" t="s">
        <v>346</v>
      </c>
      <c r="T203" s="96" t="s">
        <v>315</v>
      </c>
      <c r="U203" s="96" t="s">
        <v>1221</v>
      </c>
      <c r="V203" s="96"/>
      <c r="W203" s="96"/>
      <c r="X203" s="91"/>
      <c r="Y203" s="91"/>
      <c r="Z203" s="91"/>
      <c r="AA203" s="91"/>
      <c r="AB203" s="91"/>
    </row>
    <row r="204" ht="15.75" customHeight="1" outlineLevel="1">
      <c r="A204" s="51" t="s">
        <v>76</v>
      </c>
      <c r="B204" s="57" t="s">
        <v>77</v>
      </c>
      <c r="C204" s="51" t="s">
        <v>29</v>
      </c>
      <c r="D204" s="52" t="s">
        <v>78</v>
      </c>
      <c r="E204" s="53" t="s">
        <v>27</v>
      </c>
      <c r="F204" s="52" t="s">
        <v>4</v>
      </c>
      <c r="G204" s="52" t="s">
        <v>29</v>
      </c>
      <c r="H204" s="54" t="s">
        <v>83</v>
      </c>
      <c r="I204" s="170" t="s">
        <v>46</v>
      </c>
      <c r="J204" s="683" t="s">
        <v>1221</v>
      </c>
      <c r="K204" s="250" t="s">
        <v>29</v>
      </c>
      <c r="L204" s="684" t="s">
        <v>10984</v>
      </c>
      <c r="M204" s="52" t="s">
        <v>29</v>
      </c>
      <c r="N204" s="54" t="s">
        <v>10498</v>
      </c>
      <c r="O204" s="55" t="str">
        <f t="shared" si="4"/>
        <v>L02.01.00.01.07.01.01</v>
      </c>
      <c r="P204" s="169" t="str">
        <f t="shared" si="3"/>
        <v>Nhóm Quản lý</v>
      </c>
      <c r="Q204" s="96"/>
      <c r="R204" s="96"/>
      <c r="S204" s="96"/>
      <c r="T204" s="96"/>
      <c r="U204" s="96"/>
      <c r="V204" s="96"/>
      <c r="W204" s="96"/>
      <c r="X204" s="91"/>
      <c r="Y204" s="91"/>
      <c r="Z204" s="91"/>
      <c r="AA204" s="91"/>
      <c r="AB204" s="91"/>
    </row>
    <row r="205" ht="15.75" customHeight="1" outlineLevel="1">
      <c r="A205" s="51" t="s">
        <v>76</v>
      </c>
      <c r="B205" s="57" t="s">
        <v>77</v>
      </c>
      <c r="C205" s="51" t="s">
        <v>29</v>
      </c>
      <c r="D205" s="52" t="s">
        <v>78</v>
      </c>
      <c r="E205" s="53" t="s">
        <v>27</v>
      </c>
      <c r="F205" s="52" t="s">
        <v>4</v>
      </c>
      <c r="G205" s="52" t="s">
        <v>29</v>
      </c>
      <c r="H205" s="54" t="s">
        <v>83</v>
      </c>
      <c r="I205" s="170" t="s">
        <v>46</v>
      </c>
      <c r="J205" s="683" t="s">
        <v>1221</v>
      </c>
      <c r="K205" s="170" t="s">
        <v>33</v>
      </c>
      <c r="L205" s="683" t="s">
        <v>1323</v>
      </c>
      <c r="M205" s="52" t="s">
        <v>29</v>
      </c>
      <c r="N205" s="54" t="s">
        <v>10498</v>
      </c>
      <c r="O205" s="55" t="str">
        <f t="shared" si="4"/>
        <v>L02.01.00.01.07.02.01</v>
      </c>
      <c r="P205" s="169" t="str">
        <f t="shared" si="3"/>
        <v>Nhóm Triển khai &amp; CSKH 03</v>
      </c>
      <c r="Q205" s="96"/>
      <c r="R205" s="96" t="s">
        <v>1324</v>
      </c>
      <c r="S205" s="96" t="s">
        <v>346</v>
      </c>
      <c r="T205" s="96" t="s">
        <v>315</v>
      </c>
      <c r="U205" s="96" t="s">
        <v>1221</v>
      </c>
      <c r="V205" s="96" t="s">
        <v>1323</v>
      </c>
      <c r="W205" s="96"/>
      <c r="X205" s="91"/>
      <c r="Y205" s="91"/>
      <c r="Z205" s="91"/>
      <c r="AA205" s="91"/>
      <c r="AB205" s="91"/>
    </row>
    <row r="206" ht="15.75" customHeight="1" outlineLevel="1">
      <c r="A206" s="51" t="s">
        <v>76</v>
      </c>
      <c r="B206" s="57" t="s">
        <v>77</v>
      </c>
      <c r="C206" s="51" t="s">
        <v>29</v>
      </c>
      <c r="D206" s="52" t="s">
        <v>78</v>
      </c>
      <c r="E206" s="53" t="s">
        <v>27</v>
      </c>
      <c r="F206" s="52" t="s">
        <v>4</v>
      </c>
      <c r="G206" s="52" t="s">
        <v>29</v>
      </c>
      <c r="H206" s="54" t="s">
        <v>83</v>
      </c>
      <c r="I206" s="170" t="s">
        <v>46</v>
      </c>
      <c r="J206" s="683" t="s">
        <v>1221</v>
      </c>
      <c r="K206" s="170" t="s">
        <v>35</v>
      </c>
      <c r="L206" s="683" t="s">
        <v>1220</v>
      </c>
      <c r="M206" s="52" t="s">
        <v>29</v>
      </c>
      <c r="N206" s="54" t="s">
        <v>10498</v>
      </c>
      <c r="O206" s="55" t="str">
        <f t="shared" si="4"/>
        <v>L02.01.00.01.07.03.01</v>
      </c>
      <c r="P206" s="169" t="str">
        <f t="shared" si="3"/>
        <v>Nhóm Triển khai &amp; CSKH 04</v>
      </c>
      <c r="Q206" s="96"/>
      <c r="R206" s="96" t="s">
        <v>1222</v>
      </c>
      <c r="S206" s="96" t="s">
        <v>346</v>
      </c>
      <c r="T206" s="96" t="s">
        <v>315</v>
      </c>
      <c r="U206" s="96" t="s">
        <v>1221</v>
      </c>
      <c r="V206" s="96" t="s">
        <v>1220</v>
      </c>
      <c r="W206" s="96"/>
      <c r="X206" s="91"/>
      <c r="Y206" s="91"/>
      <c r="Z206" s="91"/>
      <c r="AA206" s="91"/>
      <c r="AB206" s="91"/>
    </row>
    <row r="207" ht="15.75" customHeight="1" outlineLevel="1">
      <c r="A207" s="51" t="s">
        <v>76</v>
      </c>
      <c r="B207" s="57" t="s">
        <v>77</v>
      </c>
      <c r="C207" s="51" t="s">
        <v>29</v>
      </c>
      <c r="D207" s="52" t="s">
        <v>78</v>
      </c>
      <c r="E207" s="53" t="s">
        <v>27</v>
      </c>
      <c r="F207" s="52" t="s">
        <v>4</v>
      </c>
      <c r="G207" s="52" t="s">
        <v>29</v>
      </c>
      <c r="H207" s="54" t="s">
        <v>83</v>
      </c>
      <c r="I207" s="52" t="s">
        <v>29</v>
      </c>
      <c r="J207" s="55" t="s">
        <v>84</v>
      </c>
      <c r="K207" s="52" t="s">
        <v>27</v>
      </c>
      <c r="L207" s="56" t="s">
        <v>4</v>
      </c>
      <c r="M207" s="52" t="s">
        <v>33</v>
      </c>
      <c r="N207" s="54" t="s">
        <v>10499</v>
      </c>
      <c r="O207" s="55" t="str">
        <f t="shared" si="4"/>
        <v>L02.01.00.01.01.00.02</v>
      </c>
      <c r="P207" s="169" t="str">
        <f t="shared" si="3"/>
        <v>Ban giám đốc TT KD HCSN</v>
      </c>
      <c r="Q207" s="96"/>
      <c r="R207" s="96" t="s">
        <v>8680</v>
      </c>
      <c r="S207" s="96" t="s">
        <v>262</v>
      </c>
      <c r="T207" s="96" t="s">
        <v>315</v>
      </c>
      <c r="U207" s="96" t="s">
        <v>8679</v>
      </c>
      <c r="V207" s="96"/>
      <c r="W207" s="96"/>
      <c r="X207" s="91"/>
      <c r="Y207" s="91"/>
      <c r="Z207" s="91"/>
      <c r="AA207" s="91"/>
      <c r="AB207" s="91"/>
    </row>
    <row r="208" ht="15.75" customHeight="1" outlineLevel="1">
      <c r="A208" s="51" t="s">
        <v>76</v>
      </c>
      <c r="B208" s="57" t="s">
        <v>77</v>
      </c>
      <c r="C208" s="51" t="s">
        <v>29</v>
      </c>
      <c r="D208" s="52" t="s">
        <v>78</v>
      </c>
      <c r="E208" s="53" t="s">
        <v>27</v>
      </c>
      <c r="F208" s="52" t="s">
        <v>4</v>
      </c>
      <c r="G208" s="52" t="s">
        <v>29</v>
      </c>
      <c r="H208" s="54" t="s">
        <v>83</v>
      </c>
      <c r="I208" s="52" t="s">
        <v>33</v>
      </c>
      <c r="J208" s="683" t="s">
        <v>1577</v>
      </c>
      <c r="K208" s="52" t="s">
        <v>27</v>
      </c>
      <c r="L208" s="96"/>
      <c r="M208" s="52" t="s">
        <v>33</v>
      </c>
      <c r="N208" s="54" t="s">
        <v>10499</v>
      </c>
      <c r="O208" s="55" t="str">
        <f t="shared" si="4"/>
        <v>L02.01.00.01.02.00.02</v>
      </c>
      <c r="P208" s="169" t="str">
        <f t="shared" si="3"/>
        <v/>
      </c>
      <c r="Q208" s="96"/>
      <c r="R208" s="96" t="s">
        <v>8389</v>
      </c>
      <c r="S208" s="96" t="s">
        <v>262</v>
      </c>
      <c r="T208" s="96" t="s">
        <v>315</v>
      </c>
      <c r="U208" s="96" t="s">
        <v>1577</v>
      </c>
      <c r="V208" s="96"/>
      <c r="W208" s="96"/>
      <c r="X208" s="91"/>
      <c r="Y208" s="91"/>
      <c r="Z208" s="91"/>
      <c r="AA208" s="91"/>
      <c r="AB208" s="91"/>
    </row>
    <row r="209" ht="15.75" customHeight="1" outlineLevel="1">
      <c r="A209" s="51" t="s">
        <v>76</v>
      </c>
      <c r="B209" s="57" t="s">
        <v>77</v>
      </c>
      <c r="C209" s="51" t="s">
        <v>29</v>
      </c>
      <c r="D209" s="52" t="s">
        <v>78</v>
      </c>
      <c r="E209" s="53" t="s">
        <v>27</v>
      </c>
      <c r="F209" s="52" t="s">
        <v>4</v>
      </c>
      <c r="G209" s="52" t="s">
        <v>29</v>
      </c>
      <c r="H209" s="54" t="s">
        <v>83</v>
      </c>
      <c r="I209" s="52" t="s">
        <v>33</v>
      </c>
      <c r="J209" s="683" t="s">
        <v>1577</v>
      </c>
      <c r="K209" s="250" t="s">
        <v>29</v>
      </c>
      <c r="L209" s="684" t="s">
        <v>10984</v>
      </c>
      <c r="M209" s="52" t="s">
        <v>33</v>
      </c>
      <c r="N209" s="54" t="s">
        <v>10499</v>
      </c>
      <c r="O209" s="55" t="str">
        <f t="shared" si="4"/>
        <v>L02.01.00.01.02.01.02</v>
      </c>
      <c r="P209" s="169" t="str">
        <f t="shared" si="3"/>
        <v>Nhóm Quản lý</v>
      </c>
      <c r="Q209" s="96"/>
      <c r="R209" s="96"/>
      <c r="S209" s="96"/>
      <c r="T209" s="96"/>
      <c r="U209" s="96"/>
      <c r="V209" s="96"/>
      <c r="W209" s="96"/>
      <c r="X209" s="91"/>
      <c r="Y209" s="91"/>
      <c r="Z209" s="91"/>
      <c r="AA209" s="91"/>
      <c r="AB209" s="91"/>
    </row>
    <row r="210" ht="15.75" customHeight="1" outlineLevel="1">
      <c r="A210" s="51" t="s">
        <v>76</v>
      </c>
      <c r="B210" s="57" t="s">
        <v>77</v>
      </c>
      <c r="C210" s="51" t="s">
        <v>29</v>
      </c>
      <c r="D210" s="52" t="s">
        <v>78</v>
      </c>
      <c r="E210" s="53" t="s">
        <v>27</v>
      </c>
      <c r="F210" s="52" t="s">
        <v>4</v>
      </c>
      <c r="G210" s="52" t="s">
        <v>29</v>
      </c>
      <c r="H210" s="54" t="s">
        <v>83</v>
      </c>
      <c r="I210" s="52" t="s">
        <v>33</v>
      </c>
      <c r="J210" s="683" t="s">
        <v>1577</v>
      </c>
      <c r="K210" s="170" t="s">
        <v>33</v>
      </c>
      <c r="L210" s="96" t="s">
        <v>2439</v>
      </c>
      <c r="M210" s="52" t="s">
        <v>33</v>
      </c>
      <c r="N210" s="54" t="s">
        <v>10499</v>
      </c>
      <c r="O210" s="55" t="str">
        <f t="shared" si="4"/>
        <v>L02.01.00.01.02.02.02</v>
      </c>
      <c r="P210" s="169" t="str">
        <f t="shared" si="3"/>
        <v>Nhóm KD HCSN 01</v>
      </c>
      <c r="Q210" s="96"/>
      <c r="R210" s="96" t="s">
        <v>2440</v>
      </c>
      <c r="S210" s="96" t="s">
        <v>262</v>
      </c>
      <c r="T210" s="96" t="s">
        <v>315</v>
      </c>
      <c r="U210" s="96" t="s">
        <v>1577</v>
      </c>
      <c r="V210" s="96" t="s">
        <v>2439</v>
      </c>
      <c r="W210" s="96"/>
      <c r="X210" s="91"/>
      <c r="Y210" s="91"/>
      <c r="Z210" s="91"/>
      <c r="AA210" s="91"/>
      <c r="AB210" s="91"/>
    </row>
    <row r="211" ht="15.75" customHeight="1" outlineLevel="1">
      <c r="A211" s="51" t="s">
        <v>76</v>
      </c>
      <c r="B211" s="57" t="s">
        <v>77</v>
      </c>
      <c r="C211" s="51" t="s">
        <v>29</v>
      </c>
      <c r="D211" s="52" t="s">
        <v>78</v>
      </c>
      <c r="E211" s="53" t="s">
        <v>27</v>
      </c>
      <c r="F211" s="52" t="s">
        <v>4</v>
      </c>
      <c r="G211" s="52" t="s">
        <v>29</v>
      </c>
      <c r="H211" s="54" t="s">
        <v>83</v>
      </c>
      <c r="I211" s="52" t="s">
        <v>33</v>
      </c>
      <c r="J211" s="683" t="s">
        <v>1577</v>
      </c>
      <c r="K211" s="170" t="s">
        <v>35</v>
      </c>
      <c r="L211" s="96" t="s">
        <v>1598</v>
      </c>
      <c r="M211" s="52" t="s">
        <v>33</v>
      </c>
      <c r="N211" s="54" t="s">
        <v>10499</v>
      </c>
      <c r="O211" s="55" t="str">
        <f t="shared" si="4"/>
        <v>L02.01.00.01.02.03.02</v>
      </c>
      <c r="P211" s="169" t="str">
        <f t="shared" si="3"/>
        <v>Nhóm KD HCSN 02</v>
      </c>
      <c r="Q211" s="96"/>
      <c r="R211" s="96" t="s">
        <v>8419</v>
      </c>
      <c r="S211" s="96" t="s">
        <v>262</v>
      </c>
      <c r="T211" s="96" t="s">
        <v>315</v>
      </c>
      <c r="U211" s="96" t="s">
        <v>1577</v>
      </c>
      <c r="V211" s="96" t="s">
        <v>1598</v>
      </c>
      <c r="W211" s="96"/>
      <c r="X211" s="91"/>
      <c r="Y211" s="91"/>
      <c r="Z211" s="91"/>
      <c r="AA211" s="91"/>
      <c r="AB211" s="91"/>
    </row>
    <row r="212" ht="15.75" customHeight="1" outlineLevel="1">
      <c r="A212" s="51" t="s">
        <v>76</v>
      </c>
      <c r="B212" s="57" t="s">
        <v>77</v>
      </c>
      <c r="C212" s="51" t="s">
        <v>29</v>
      </c>
      <c r="D212" s="52" t="s">
        <v>78</v>
      </c>
      <c r="E212" s="53" t="s">
        <v>27</v>
      </c>
      <c r="F212" s="52" t="s">
        <v>4</v>
      </c>
      <c r="G212" s="52" t="s">
        <v>29</v>
      </c>
      <c r="H212" s="54" t="s">
        <v>83</v>
      </c>
      <c r="I212" s="52" t="s">
        <v>33</v>
      </c>
      <c r="J212" s="683" t="s">
        <v>1577</v>
      </c>
      <c r="K212" s="170" t="s">
        <v>37</v>
      </c>
      <c r="L212" s="96" t="s">
        <v>1576</v>
      </c>
      <c r="M212" s="52" t="s">
        <v>33</v>
      </c>
      <c r="N212" s="54" t="s">
        <v>10499</v>
      </c>
      <c r="O212" s="55" t="str">
        <f t="shared" si="4"/>
        <v>L02.01.00.01.02.04.02</v>
      </c>
      <c r="P212" s="169" t="str">
        <f t="shared" si="3"/>
        <v>Nhóm KD HCSN 03</v>
      </c>
      <c r="Q212" s="96"/>
      <c r="R212" s="96" t="s">
        <v>7194</v>
      </c>
      <c r="S212" s="96" t="s">
        <v>262</v>
      </c>
      <c r="T212" s="96" t="s">
        <v>315</v>
      </c>
      <c r="U212" s="96" t="s">
        <v>1577</v>
      </c>
      <c r="V212" s="96" t="s">
        <v>1576</v>
      </c>
      <c r="W212" s="96"/>
      <c r="X212" s="91"/>
      <c r="Y212" s="91"/>
      <c r="Z212" s="91"/>
      <c r="AA212" s="91"/>
      <c r="AB212" s="91"/>
    </row>
    <row r="213" ht="15.75" customHeight="1" outlineLevel="1">
      <c r="A213" s="51" t="s">
        <v>76</v>
      </c>
      <c r="B213" s="57" t="s">
        <v>77</v>
      </c>
      <c r="C213" s="51" t="s">
        <v>29</v>
      </c>
      <c r="D213" s="52" t="s">
        <v>78</v>
      </c>
      <c r="E213" s="53" t="s">
        <v>27</v>
      </c>
      <c r="F213" s="52" t="s">
        <v>4</v>
      </c>
      <c r="G213" s="52" t="s">
        <v>29</v>
      </c>
      <c r="H213" s="54" t="s">
        <v>83</v>
      </c>
      <c r="I213" s="51" t="s">
        <v>35</v>
      </c>
      <c r="J213" s="683" t="s">
        <v>316</v>
      </c>
      <c r="K213" s="52" t="s">
        <v>27</v>
      </c>
      <c r="L213" s="96"/>
      <c r="M213" s="52" t="s">
        <v>33</v>
      </c>
      <c r="N213" s="54" t="s">
        <v>10499</v>
      </c>
      <c r="O213" s="55" t="str">
        <f t="shared" si="4"/>
        <v>L02.01.00.01.03.00.02</v>
      </c>
      <c r="P213" s="169" t="str">
        <f t="shared" si="3"/>
        <v/>
      </c>
      <c r="Q213" s="96"/>
      <c r="R213" s="96" t="s">
        <v>8724</v>
      </c>
      <c r="S213" s="96" t="s">
        <v>262</v>
      </c>
      <c r="T213" s="96" t="s">
        <v>315</v>
      </c>
      <c r="U213" s="96" t="s">
        <v>316</v>
      </c>
      <c r="V213" s="96"/>
      <c r="W213" s="96"/>
      <c r="X213" s="91"/>
      <c r="Y213" s="91"/>
      <c r="Z213" s="91"/>
      <c r="AA213" s="91"/>
      <c r="AB213" s="91"/>
    </row>
    <row r="214" ht="15.75" customHeight="1" outlineLevel="1">
      <c r="A214" s="51" t="s">
        <v>76</v>
      </c>
      <c r="B214" s="57" t="s">
        <v>77</v>
      </c>
      <c r="C214" s="51" t="s">
        <v>29</v>
      </c>
      <c r="D214" s="52" t="s">
        <v>78</v>
      </c>
      <c r="E214" s="53" t="s">
        <v>27</v>
      </c>
      <c r="F214" s="52" t="s">
        <v>4</v>
      </c>
      <c r="G214" s="52" t="s">
        <v>29</v>
      </c>
      <c r="H214" s="54" t="s">
        <v>83</v>
      </c>
      <c r="I214" s="51" t="s">
        <v>35</v>
      </c>
      <c r="J214" s="683" t="s">
        <v>316</v>
      </c>
      <c r="K214" s="250" t="s">
        <v>29</v>
      </c>
      <c r="L214" s="684" t="s">
        <v>10984</v>
      </c>
      <c r="M214" s="52" t="s">
        <v>33</v>
      </c>
      <c r="N214" s="54" t="s">
        <v>10499</v>
      </c>
      <c r="O214" s="55" t="str">
        <f t="shared" si="4"/>
        <v>L02.01.00.01.03.01.02</v>
      </c>
      <c r="P214" s="169" t="str">
        <f t="shared" si="3"/>
        <v>Nhóm Quản lý</v>
      </c>
      <c r="Q214" s="96"/>
      <c r="R214" s="96"/>
      <c r="S214" s="96"/>
      <c r="T214" s="96"/>
      <c r="U214" s="96"/>
      <c r="V214" s="96"/>
      <c r="W214" s="96"/>
      <c r="X214" s="91"/>
      <c r="Y214" s="91"/>
      <c r="Z214" s="91"/>
      <c r="AA214" s="91"/>
      <c r="AB214" s="91"/>
    </row>
    <row r="215" ht="15.75" customHeight="1" outlineLevel="1">
      <c r="A215" s="51" t="s">
        <v>76</v>
      </c>
      <c r="B215" s="57" t="s">
        <v>77</v>
      </c>
      <c r="C215" s="51" t="s">
        <v>29</v>
      </c>
      <c r="D215" s="52" t="s">
        <v>78</v>
      </c>
      <c r="E215" s="53" t="s">
        <v>27</v>
      </c>
      <c r="F215" s="52" t="s">
        <v>4</v>
      </c>
      <c r="G215" s="52" t="s">
        <v>29</v>
      </c>
      <c r="H215" s="54" t="s">
        <v>83</v>
      </c>
      <c r="I215" s="51" t="s">
        <v>35</v>
      </c>
      <c r="J215" s="683" t="s">
        <v>316</v>
      </c>
      <c r="K215" s="170" t="s">
        <v>33</v>
      </c>
      <c r="L215" s="96" t="s">
        <v>1507</v>
      </c>
      <c r="M215" s="52" t="s">
        <v>33</v>
      </c>
      <c r="N215" s="54" t="s">
        <v>10499</v>
      </c>
      <c r="O215" s="55" t="str">
        <f t="shared" si="4"/>
        <v>L02.01.00.01.03.02.02</v>
      </c>
      <c r="P215" s="169" t="str">
        <f t="shared" si="3"/>
        <v>Nhóm KD HCSN 05</v>
      </c>
      <c r="Q215" s="96"/>
      <c r="R215" s="96" t="s">
        <v>2390</v>
      </c>
      <c r="S215" s="96" t="s">
        <v>262</v>
      </c>
      <c r="T215" s="96" t="s">
        <v>315</v>
      </c>
      <c r="U215" s="96" t="s">
        <v>316</v>
      </c>
      <c r="V215" s="96" t="s">
        <v>1507</v>
      </c>
      <c r="W215" s="96"/>
      <c r="X215" s="91"/>
      <c r="Y215" s="91"/>
      <c r="Z215" s="91"/>
      <c r="AA215" s="91"/>
      <c r="AB215" s="91"/>
    </row>
    <row r="216" ht="15.75" customHeight="1" outlineLevel="1">
      <c r="A216" s="51" t="s">
        <v>76</v>
      </c>
      <c r="B216" s="57" t="s">
        <v>77</v>
      </c>
      <c r="C216" s="51" t="s">
        <v>29</v>
      </c>
      <c r="D216" s="52" t="s">
        <v>78</v>
      </c>
      <c r="E216" s="53" t="s">
        <v>27</v>
      </c>
      <c r="F216" s="52" t="s">
        <v>4</v>
      </c>
      <c r="G216" s="52" t="s">
        <v>29</v>
      </c>
      <c r="H216" s="54" t="s">
        <v>83</v>
      </c>
      <c r="I216" s="51" t="s">
        <v>35</v>
      </c>
      <c r="J216" s="683" t="s">
        <v>316</v>
      </c>
      <c r="K216" s="170" t="s">
        <v>35</v>
      </c>
      <c r="L216" s="96" t="s">
        <v>314</v>
      </c>
      <c r="M216" s="52" t="s">
        <v>33</v>
      </c>
      <c r="N216" s="54" t="s">
        <v>10499</v>
      </c>
      <c r="O216" s="55" t="str">
        <f t="shared" si="4"/>
        <v>L02.01.00.01.03.03.02</v>
      </c>
      <c r="P216" s="169" t="str">
        <f t="shared" si="3"/>
        <v>Nhóm KD HCSN 06</v>
      </c>
      <c r="Q216" s="96"/>
      <c r="R216" s="96" t="s">
        <v>317</v>
      </c>
      <c r="S216" s="96" t="s">
        <v>262</v>
      </c>
      <c r="T216" s="96" t="s">
        <v>315</v>
      </c>
      <c r="U216" s="96" t="s">
        <v>316</v>
      </c>
      <c r="V216" s="96" t="s">
        <v>314</v>
      </c>
      <c r="W216" s="96"/>
      <c r="X216" s="91"/>
      <c r="Y216" s="91"/>
      <c r="Z216" s="91"/>
      <c r="AA216" s="91"/>
      <c r="AB216" s="91"/>
    </row>
    <row r="217" ht="15.75" customHeight="1" outlineLevel="1">
      <c r="A217" s="51" t="s">
        <v>76</v>
      </c>
      <c r="B217" s="57" t="s">
        <v>77</v>
      </c>
      <c r="C217" s="51" t="s">
        <v>29</v>
      </c>
      <c r="D217" s="52" t="s">
        <v>78</v>
      </c>
      <c r="E217" s="53" t="s">
        <v>27</v>
      </c>
      <c r="F217" s="52" t="s">
        <v>4</v>
      </c>
      <c r="G217" s="52" t="s">
        <v>29</v>
      </c>
      <c r="H217" s="54" t="s">
        <v>83</v>
      </c>
      <c r="I217" s="51" t="s">
        <v>35</v>
      </c>
      <c r="J217" s="683" t="s">
        <v>316</v>
      </c>
      <c r="K217" s="170" t="s">
        <v>37</v>
      </c>
      <c r="L217" s="96" t="s">
        <v>1486</v>
      </c>
      <c r="M217" s="52" t="s">
        <v>33</v>
      </c>
      <c r="N217" s="54" t="s">
        <v>10499</v>
      </c>
      <c r="O217" s="55" t="str">
        <f t="shared" si="4"/>
        <v>L02.01.00.01.03.04.02</v>
      </c>
      <c r="P217" s="169" t="str">
        <f t="shared" si="3"/>
        <v>Nhóm KD HCSN 04</v>
      </c>
      <c r="Q217" s="96"/>
      <c r="R217" s="96" t="s">
        <v>2394</v>
      </c>
      <c r="S217" s="96" t="s">
        <v>262</v>
      </c>
      <c r="T217" s="96" t="s">
        <v>315</v>
      </c>
      <c r="U217" s="96" t="s">
        <v>316</v>
      </c>
      <c r="V217" s="96" t="s">
        <v>1486</v>
      </c>
      <c r="W217" s="96"/>
      <c r="X217" s="91"/>
      <c r="Y217" s="91"/>
      <c r="Z217" s="91"/>
      <c r="AA217" s="91"/>
      <c r="AB217" s="91"/>
    </row>
    <row r="218" ht="15.75" customHeight="1" outlineLevel="1">
      <c r="A218" s="51" t="s">
        <v>76</v>
      </c>
      <c r="B218" s="57" t="s">
        <v>77</v>
      </c>
      <c r="C218" s="51" t="s">
        <v>29</v>
      </c>
      <c r="D218" s="52" t="s">
        <v>78</v>
      </c>
      <c r="E218" s="53" t="s">
        <v>27</v>
      </c>
      <c r="F218" s="52" t="s">
        <v>4</v>
      </c>
      <c r="G218" s="52" t="s">
        <v>29</v>
      </c>
      <c r="H218" s="54" t="s">
        <v>83</v>
      </c>
      <c r="I218" s="51" t="s">
        <v>37</v>
      </c>
      <c r="J218" s="683" t="s">
        <v>86</v>
      </c>
      <c r="K218" s="52" t="s">
        <v>27</v>
      </c>
      <c r="L218" s="96"/>
      <c r="M218" s="52" t="s">
        <v>33</v>
      </c>
      <c r="N218" s="54" t="s">
        <v>10499</v>
      </c>
      <c r="O218" s="55" t="str">
        <f t="shared" si="4"/>
        <v>L02.01.00.01.04.00.02</v>
      </c>
      <c r="P218" s="169" t="str">
        <f t="shared" si="3"/>
        <v/>
      </c>
      <c r="Q218" s="96"/>
      <c r="R218" s="96" t="s">
        <v>8703</v>
      </c>
      <c r="S218" s="96" t="s">
        <v>262</v>
      </c>
      <c r="T218" s="96" t="s">
        <v>315</v>
      </c>
      <c r="U218" s="96" t="s">
        <v>86</v>
      </c>
      <c r="V218" s="96"/>
      <c r="W218" s="96"/>
      <c r="X218" s="91"/>
      <c r="Y218" s="91"/>
      <c r="Z218" s="91"/>
      <c r="AA218" s="91"/>
      <c r="AB218" s="91"/>
    </row>
    <row r="219" ht="15.75" customHeight="1" outlineLevel="1">
      <c r="A219" s="51" t="s">
        <v>76</v>
      </c>
      <c r="B219" s="57" t="s">
        <v>77</v>
      </c>
      <c r="C219" s="51" t="s">
        <v>29</v>
      </c>
      <c r="D219" s="52" t="s">
        <v>78</v>
      </c>
      <c r="E219" s="53" t="s">
        <v>27</v>
      </c>
      <c r="F219" s="52" t="s">
        <v>4</v>
      </c>
      <c r="G219" s="52" t="s">
        <v>29</v>
      </c>
      <c r="H219" s="54" t="s">
        <v>83</v>
      </c>
      <c r="I219" s="51" t="s">
        <v>37</v>
      </c>
      <c r="J219" s="683" t="s">
        <v>86</v>
      </c>
      <c r="K219" s="250" t="s">
        <v>29</v>
      </c>
      <c r="L219" s="684" t="s">
        <v>10984</v>
      </c>
      <c r="M219" s="52" t="s">
        <v>33</v>
      </c>
      <c r="N219" s="54" t="s">
        <v>10499</v>
      </c>
      <c r="O219" s="55" t="str">
        <f t="shared" si="4"/>
        <v>L02.01.00.01.04.01.02</v>
      </c>
      <c r="P219" s="169" t="str">
        <f t="shared" si="3"/>
        <v>Nhóm Quản lý</v>
      </c>
      <c r="Q219" s="96"/>
      <c r="R219" s="96"/>
      <c r="S219" s="96"/>
      <c r="T219" s="96"/>
      <c r="U219" s="96"/>
      <c r="V219" s="96"/>
      <c r="W219" s="96"/>
      <c r="X219" s="91"/>
      <c r="Y219" s="91"/>
      <c r="Z219" s="91"/>
      <c r="AA219" s="91"/>
      <c r="AB219" s="91"/>
    </row>
    <row r="220" ht="15.75" customHeight="1" outlineLevel="1">
      <c r="A220" s="51" t="s">
        <v>76</v>
      </c>
      <c r="B220" s="57" t="s">
        <v>77</v>
      </c>
      <c r="C220" s="51" t="s">
        <v>29</v>
      </c>
      <c r="D220" s="52" t="s">
        <v>78</v>
      </c>
      <c r="E220" s="53" t="s">
        <v>27</v>
      </c>
      <c r="F220" s="52" t="s">
        <v>4</v>
      </c>
      <c r="G220" s="52" t="s">
        <v>29</v>
      </c>
      <c r="H220" s="54" t="s">
        <v>83</v>
      </c>
      <c r="I220" s="51" t="s">
        <v>37</v>
      </c>
      <c r="J220" s="683" t="s">
        <v>86</v>
      </c>
      <c r="K220" s="170" t="s">
        <v>33</v>
      </c>
      <c r="L220" s="683" t="s">
        <v>1395</v>
      </c>
      <c r="M220" s="52" t="s">
        <v>33</v>
      </c>
      <c r="N220" s="54" t="s">
        <v>10499</v>
      </c>
      <c r="O220" s="55" t="str">
        <f t="shared" si="4"/>
        <v>L02.01.00.01.04.02.02</v>
      </c>
      <c r="P220" s="169" t="str">
        <f t="shared" si="3"/>
        <v>Nhóm Triển khai &amp; CSKH 01</v>
      </c>
      <c r="Q220" s="96"/>
      <c r="R220" s="96" t="s">
        <v>2386</v>
      </c>
      <c r="S220" s="96" t="s">
        <v>262</v>
      </c>
      <c r="T220" s="96" t="s">
        <v>315</v>
      </c>
      <c r="U220" s="96" t="s">
        <v>86</v>
      </c>
      <c r="V220" s="96" t="s">
        <v>1395</v>
      </c>
      <c r="W220" s="96"/>
      <c r="X220" s="91"/>
      <c r="Y220" s="91"/>
      <c r="Z220" s="91"/>
      <c r="AA220" s="91"/>
      <c r="AB220" s="91"/>
    </row>
    <row r="221" ht="15.75" customHeight="1" outlineLevel="1">
      <c r="A221" s="51" t="s">
        <v>76</v>
      </c>
      <c r="B221" s="57" t="s">
        <v>77</v>
      </c>
      <c r="C221" s="51" t="s">
        <v>29</v>
      </c>
      <c r="D221" s="52" t="s">
        <v>78</v>
      </c>
      <c r="E221" s="53" t="s">
        <v>27</v>
      </c>
      <c r="F221" s="52" t="s">
        <v>4</v>
      </c>
      <c r="G221" s="52" t="s">
        <v>29</v>
      </c>
      <c r="H221" s="54" t="s">
        <v>83</v>
      </c>
      <c r="I221" s="51" t="s">
        <v>37</v>
      </c>
      <c r="J221" s="683" t="s">
        <v>86</v>
      </c>
      <c r="K221" s="170" t="s">
        <v>35</v>
      </c>
      <c r="L221" s="683" t="s">
        <v>1365</v>
      </c>
      <c r="M221" s="52" t="s">
        <v>33</v>
      </c>
      <c r="N221" s="54" t="s">
        <v>10499</v>
      </c>
      <c r="O221" s="55" t="str">
        <f t="shared" si="4"/>
        <v>L02.01.00.01.04.03.02</v>
      </c>
      <c r="P221" s="169" t="str">
        <f t="shared" si="3"/>
        <v>Nhóm Triển khai &amp; CSKH 02</v>
      </c>
      <c r="Q221" s="96"/>
      <c r="R221" s="96" t="s">
        <v>2348</v>
      </c>
      <c r="S221" s="96" t="s">
        <v>262</v>
      </c>
      <c r="T221" s="96" t="s">
        <v>315</v>
      </c>
      <c r="U221" s="96" t="s">
        <v>86</v>
      </c>
      <c r="V221" s="96" t="s">
        <v>1365</v>
      </c>
      <c r="W221" s="96"/>
      <c r="X221" s="91"/>
      <c r="Y221" s="91"/>
      <c r="Z221" s="91"/>
      <c r="AA221" s="91"/>
      <c r="AB221" s="91"/>
    </row>
    <row r="222" ht="15.75" customHeight="1" outlineLevel="1">
      <c r="A222" s="51" t="s">
        <v>76</v>
      </c>
      <c r="B222" s="57" t="s">
        <v>77</v>
      </c>
      <c r="C222" s="51" t="s">
        <v>29</v>
      </c>
      <c r="D222" s="52" t="s">
        <v>78</v>
      </c>
      <c r="E222" s="53" t="s">
        <v>27</v>
      </c>
      <c r="F222" s="52" t="s">
        <v>4</v>
      </c>
      <c r="G222" s="52" t="s">
        <v>29</v>
      </c>
      <c r="H222" s="54" t="s">
        <v>83</v>
      </c>
      <c r="I222" s="51" t="s">
        <v>37</v>
      </c>
      <c r="J222" s="683" t="s">
        <v>86</v>
      </c>
      <c r="K222" s="170" t="s">
        <v>37</v>
      </c>
      <c r="L222" s="683" t="s">
        <v>1323</v>
      </c>
      <c r="M222" s="52" t="s">
        <v>33</v>
      </c>
      <c r="N222" s="54" t="s">
        <v>10499</v>
      </c>
      <c r="O222" s="55" t="str">
        <f t="shared" si="4"/>
        <v>L02.01.00.01.04.04.02</v>
      </c>
      <c r="P222" s="169" t="str">
        <f t="shared" si="3"/>
        <v>Nhóm Triển khai &amp; CSKH 03</v>
      </c>
      <c r="Q222" s="96"/>
      <c r="R222" s="96" t="s">
        <v>2333</v>
      </c>
      <c r="S222" s="96" t="s">
        <v>262</v>
      </c>
      <c r="T222" s="96" t="s">
        <v>315</v>
      </c>
      <c r="U222" s="96" t="s">
        <v>86</v>
      </c>
      <c r="V222" s="96" t="s">
        <v>1323</v>
      </c>
      <c r="W222" s="96"/>
      <c r="X222" s="91"/>
      <c r="Y222" s="91"/>
      <c r="Z222" s="91"/>
      <c r="AA222" s="91"/>
      <c r="AB222" s="91"/>
    </row>
    <row r="223" ht="15.75" customHeight="1" outlineLevel="1">
      <c r="A223" s="51" t="s">
        <v>76</v>
      </c>
      <c r="B223" s="57" t="s">
        <v>77</v>
      </c>
      <c r="C223" s="51" t="s">
        <v>29</v>
      </c>
      <c r="D223" s="52" t="s">
        <v>78</v>
      </c>
      <c r="E223" s="53" t="s">
        <v>27</v>
      </c>
      <c r="F223" s="52" t="s">
        <v>4</v>
      </c>
      <c r="G223" s="52" t="s">
        <v>29</v>
      </c>
      <c r="H223" s="54" t="s">
        <v>83</v>
      </c>
      <c r="I223" s="51" t="s">
        <v>37</v>
      </c>
      <c r="J223" s="683" t="s">
        <v>86</v>
      </c>
      <c r="K223" s="170" t="s">
        <v>42</v>
      </c>
      <c r="L223" s="683" t="s">
        <v>1220</v>
      </c>
      <c r="M223" s="52" t="s">
        <v>33</v>
      </c>
      <c r="N223" s="54" t="s">
        <v>10499</v>
      </c>
      <c r="O223" s="55" t="str">
        <f t="shared" si="4"/>
        <v>L02.01.00.01.04.05.02</v>
      </c>
      <c r="P223" s="169" t="str">
        <f t="shared" si="3"/>
        <v>Nhóm Triển khai &amp; CSKH 04</v>
      </c>
      <c r="Q223" s="96"/>
      <c r="R223" s="96" t="s">
        <v>2359</v>
      </c>
      <c r="S223" s="96" t="s">
        <v>262</v>
      </c>
      <c r="T223" s="96" t="s">
        <v>315</v>
      </c>
      <c r="U223" s="96" t="s">
        <v>86</v>
      </c>
      <c r="V223" s="96" t="s">
        <v>1220</v>
      </c>
      <c r="W223" s="96"/>
      <c r="X223" s="91"/>
      <c r="Y223" s="91"/>
      <c r="Z223" s="91"/>
      <c r="AA223" s="91"/>
      <c r="AB223" s="91"/>
    </row>
    <row r="224" ht="15.75" customHeight="1" outlineLevel="1">
      <c r="A224" s="51" t="s">
        <v>76</v>
      </c>
      <c r="B224" s="57" t="s">
        <v>77</v>
      </c>
      <c r="C224" s="51" t="s">
        <v>29</v>
      </c>
      <c r="D224" s="52" t="s">
        <v>78</v>
      </c>
      <c r="E224" s="53" t="s">
        <v>27</v>
      </c>
      <c r="F224" s="52" t="s">
        <v>4</v>
      </c>
      <c r="G224" s="52" t="s">
        <v>29</v>
      </c>
      <c r="H224" s="54" t="s">
        <v>79</v>
      </c>
      <c r="I224" s="52" t="s">
        <v>29</v>
      </c>
      <c r="J224" s="685" t="s">
        <v>80</v>
      </c>
      <c r="K224" s="52" t="s">
        <v>27</v>
      </c>
      <c r="L224" s="56" t="s">
        <v>4</v>
      </c>
      <c r="M224" s="52" t="s">
        <v>35</v>
      </c>
      <c r="N224" s="54" t="s">
        <v>10500</v>
      </c>
      <c r="O224" s="55" t="str">
        <f t="shared" si="4"/>
        <v>L02.01.00.01.01.00.03</v>
      </c>
      <c r="P224" s="169" t="str">
        <f t="shared" si="3"/>
        <v>Ban giám đốc KD</v>
      </c>
      <c r="Q224" s="96"/>
      <c r="R224" s="96"/>
      <c r="S224" s="96"/>
      <c r="T224" s="96"/>
      <c r="U224" s="96"/>
      <c r="V224" s="96"/>
      <c r="W224" s="96"/>
      <c r="X224" s="91"/>
      <c r="Y224" s="91"/>
      <c r="Z224" s="91"/>
      <c r="AA224" s="91"/>
      <c r="AB224" s="91"/>
    </row>
    <row r="225" ht="15.75" customHeight="1" outlineLevel="1">
      <c r="A225" s="51" t="s">
        <v>76</v>
      </c>
      <c r="B225" s="57" t="s">
        <v>77</v>
      </c>
      <c r="C225" s="51" t="s">
        <v>29</v>
      </c>
      <c r="D225" s="52" t="s">
        <v>78</v>
      </c>
      <c r="E225" s="53" t="s">
        <v>27</v>
      </c>
      <c r="F225" s="52" t="s">
        <v>4</v>
      </c>
      <c r="G225" s="52" t="s">
        <v>29</v>
      </c>
      <c r="H225" s="54" t="s">
        <v>79</v>
      </c>
      <c r="I225" s="250" t="s">
        <v>27</v>
      </c>
      <c r="J225" s="685"/>
      <c r="K225" s="52" t="s">
        <v>27</v>
      </c>
      <c r="L225" s="56" t="s">
        <v>4</v>
      </c>
      <c r="M225" s="52" t="s">
        <v>35</v>
      </c>
      <c r="N225" s="54" t="s">
        <v>10500</v>
      </c>
      <c r="O225" s="55" t="str">
        <f t="shared" si="4"/>
        <v>L02.01.00.01.00.00.03</v>
      </c>
      <c r="P225" s="169" t="str">
        <f t="shared" si="3"/>
        <v/>
      </c>
      <c r="Q225" s="96"/>
      <c r="R225" s="96" t="s">
        <v>9177</v>
      </c>
      <c r="S225" s="96" t="s">
        <v>2811</v>
      </c>
      <c r="T225" s="96" t="s">
        <v>2797</v>
      </c>
      <c r="U225" s="96"/>
      <c r="V225" s="96"/>
      <c r="W225" s="96"/>
      <c r="X225" s="91"/>
      <c r="Y225" s="91"/>
      <c r="Z225" s="91"/>
      <c r="AA225" s="91"/>
      <c r="AB225" s="91"/>
    </row>
    <row r="226" ht="15.75" customHeight="1" outlineLevel="1">
      <c r="A226" s="51" t="s">
        <v>76</v>
      </c>
      <c r="B226" s="57" t="s">
        <v>77</v>
      </c>
      <c r="C226" s="51" t="s">
        <v>29</v>
      </c>
      <c r="D226" s="52" t="s">
        <v>78</v>
      </c>
      <c r="E226" s="53" t="s">
        <v>27</v>
      </c>
      <c r="F226" s="52" t="s">
        <v>4</v>
      </c>
      <c r="G226" s="52" t="s">
        <v>29</v>
      </c>
      <c r="H226" s="54" t="s">
        <v>79</v>
      </c>
      <c r="I226" s="52" t="s">
        <v>33</v>
      </c>
      <c r="J226" s="56" t="s">
        <v>81</v>
      </c>
      <c r="K226" s="52" t="s">
        <v>27</v>
      </c>
      <c r="L226" s="56" t="s">
        <v>4</v>
      </c>
      <c r="M226" s="52" t="s">
        <v>35</v>
      </c>
      <c r="N226" s="54" t="s">
        <v>10500</v>
      </c>
      <c r="O226" s="55" t="str">
        <f t="shared" si="4"/>
        <v>L02.01.00.01.02.00.03</v>
      </c>
      <c r="P226" s="169" t="str">
        <f t="shared" si="3"/>
        <v>Nhóm KD HCSN</v>
      </c>
      <c r="Q226" s="96"/>
      <c r="R226" s="96" t="s">
        <v>3069</v>
      </c>
      <c r="S226" s="96" t="s">
        <v>2811</v>
      </c>
      <c r="T226" s="96" t="s">
        <v>2797</v>
      </c>
      <c r="U226" s="96" t="s">
        <v>3068</v>
      </c>
      <c r="V226" s="96"/>
      <c r="W226" s="96"/>
      <c r="X226" s="91"/>
      <c r="Y226" s="91"/>
      <c r="Z226" s="91"/>
      <c r="AA226" s="91"/>
      <c r="AB226" s="91"/>
    </row>
    <row r="227" ht="15.75" customHeight="1" outlineLevel="1">
      <c r="A227" s="51" t="s">
        <v>76</v>
      </c>
      <c r="B227" s="57" t="s">
        <v>77</v>
      </c>
      <c r="C227" s="51" t="s">
        <v>29</v>
      </c>
      <c r="D227" s="52" t="s">
        <v>78</v>
      </c>
      <c r="E227" s="53" t="s">
        <v>27</v>
      </c>
      <c r="F227" s="52" t="s">
        <v>4</v>
      </c>
      <c r="G227" s="52" t="s">
        <v>29</v>
      </c>
      <c r="H227" s="54" t="s">
        <v>79</v>
      </c>
      <c r="I227" s="52" t="s">
        <v>35</v>
      </c>
      <c r="J227" s="56" t="s">
        <v>82</v>
      </c>
      <c r="K227" s="52" t="s">
        <v>27</v>
      </c>
      <c r="L227" s="56" t="s">
        <v>4</v>
      </c>
      <c r="M227" s="52" t="s">
        <v>35</v>
      </c>
      <c r="N227" s="54" t="s">
        <v>10500</v>
      </c>
      <c r="O227" s="55" t="str">
        <f t="shared" si="4"/>
        <v>L02.01.00.01.03.00.03</v>
      </c>
      <c r="P227" s="169" t="str">
        <f t="shared" si="3"/>
        <v>Nhóm Triển khai &amp; CSKH</v>
      </c>
      <c r="Q227" s="96"/>
      <c r="R227" s="96" t="s">
        <v>7533</v>
      </c>
      <c r="S227" s="96" t="s">
        <v>2811</v>
      </c>
      <c r="T227" s="96" t="s">
        <v>2797</v>
      </c>
      <c r="U227" s="96" t="s">
        <v>7532</v>
      </c>
      <c r="V227" s="96"/>
      <c r="W227" s="96"/>
      <c r="X227" s="91"/>
      <c r="Y227" s="91"/>
      <c r="Z227" s="91"/>
      <c r="AA227" s="91"/>
      <c r="AB227" s="91"/>
    </row>
    <row r="228" ht="15.75" customHeight="1" outlineLevel="1">
      <c r="A228" s="51" t="s">
        <v>76</v>
      </c>
      <c r="B228" s="57" t="s">
        <v>77</v>
      </c>
      <c r="C228" s="51" t="s">
        <v>29</v>
      </c>
      <c r="D228" s="52" t="s">
        <v>78</v>
      </c>
      <c r="E228" s="53" t="s">
        <v>27</v>
      </c>
      <c r="F228" s="52" t="s">
        <v>4</v>
      </c>
      <c r="G228" s="52" t="s">
        <v>29</v>
      </c>
      <c r="H228" s="54" t="s">
        <v>79</v>
      </c>
      <c r="I228" s="52" t="s">
        <v>29</v>
      </c>
      <c r="J228" s="58" t="s">
        <v>80</v>
      </c>
      <c r="K228" s="52" t="s">
        <v>27</v>
      </c>
      <c r="L228" s="56" t="s">
        <v>4</v>
      </c>
      <c r="M228" s="52" t="s">
        <v>37</v>
      </c>
      <c r="N228" s="54" t="s">
        <v>10501</v>
      </c>
      <c r="O228" s="55" t="str">
        <f t="shared" si="4"/>
        <v>L02.01.00.01.01.00.04</v>
      </c>
      <c r="P228" s="169" t="str">
        <f t="shared" si="3"/>
        <v>Ban giám đốc KD</v>
      </c>
      <c r="Q228" s="96"/>
      <c r="R228" s="96"/>
      <c r="S228" s="96"/>
      <c r="T228" s="96"/>
      <c r="U228" s="96"/>
      <c r="V228" s="96"/>
      <c r="W228" s="96"/>
      <c r="X228" s="91"/>
      <c r="Y228" s="91"/>
      <c r="Z228" s="91"/>
      <c r="AA228" s="91"/>
      <c r="AB228" s="91"/>
    </row>
    <row r="229" ht="15.75" customHeight="1" outlineLevel="1">
      <c r="A229" s="51" t="s">
        <v>76</v>
      </c>
      <c r="B229" s="57" t="s">
        <v>77</v>
      </c>
      <c r="C229" s="51" t="s">
        <v>29</v>
      </c>
      <c r="D229" s="52" t="s">
        <v>78</v>
      </c>
      <c r="E229" s="53" t="s">
        <v>27</v>
      </c>
      <c r="F229" s="52" t="s">
        <v>4</v>
      </c>
      <c r="G229" s="52" t="s">
        <v>29</v>
      </c>
      <c r="H229" s="54" t="s">
        <v>79</v>
      </c>
      <c r="I229" s="52" t="s">
        <v>33</v>
      </c>
      <c r="J229" s="56" t="s">
        <v>81</v>
      </c>
      <c r="K229" s="52" t="s">
        <v>27</v>
      </c>
      <c r="L229" s="56" t="s">
        <v>4</v>
      </c>
      <c r="M229" s="52" t="s">
        <v>37</v>
      </c>
      <c r="N229" s="54" t="s">
        <v>10501</v>
      </c>
      <c r="O229" s="55" t="str">
        <f t="shared" si="4"/>
        <v>L02.01.00.01.02.00.04</v>
      </c>
      <c r="P229" s="169" t="str">
        <f t="shared" si="3"/>
        <v>Nhóm KD HCSN</v>
      </c>
      <c r="Q229" s="96"/>
      <c r="R229" s="96" t="s">
        <v>7439</v>
      </c>
      <c r="S229" s="96" t="s">
        <v>2732</v>
      </c>
      <c r="T229" s="96" t="s">
        <v>2797</v>
      </c>
      <c r="U229" s="96" t="s">
        <v>81</v>
      </c>
      <c r="V229" s="96"/>
      <c r="W229" s="96"/>
      <c r="X229" s="91"/>
      <c r="Y229" s="91"/>
      <c r="Z229" s="91"/>
      <c r="AA229" s="91"/>
      <c r="AB229" s="91"/>
    </row>
    <row r="230" ht="15.75" customHeight="1" outlineLevel="1">
      <c r="A230" s="51" t="s">
        <v>76</v>
      </c>
      <c r="B230" s="57" t="s">
        <v>77</v>
      </c>
      <c r="C230" s="51" t="s">
        <v>29</v>
      </c>
      <c r="D230" s="52" t="s">
        <v>78</v>
      </c>
      <c r="E230" s="53" t="s">
        <v>27</v>
      </c>
      <c r="F230" s="52" t="s">
        <v>4</v>
      </c>
      <c r="G230" s="52" t="s">
        <v>29</v>
      </c>
      <c r="H230" s="54" t="s">
        <v>79</v>
      </c>
      <c r="I230" s="52" t="s">
        <v>35</v>
      </c>
      <c r="J230" s="56" t="s">
        <v>82</v>
      </c>
      <c r="K230" s="52" t="s">
        <v>27</v>
      </c>
      <c r="L230" s="56" t="s">
        <v>4</v>
      </c>
      <c r="M230" s="52" t="s">
        <v>37</v>
      </c>
      <c r="N230" s="54" t="s">
        <v>10501</v>
      </c>
      <c r="O230" s="55" t="str">
        <f t="shared" si="4"/>
        <v>L02.01.00.01.03.00.04</v>
      </c>
      <c r="P230" s="169" t="str">
        <f t="shared" si="3"/>
        <v>Nhóm Triển khai &amp; CSKH</v>
      </c>
      <c r="Q230" s="96"/>
      <c r="R230" s="96" t="s">
        <v>2798</v>
      </c>
      <c r="S230" s="96" t="s">
        <v>2732</v>
      </c>
      <c r="T230" s="96" t="s">
        <v>2797</v>
      </c>
      <c r="U230" s="96" t="s">
        <v>2796</v>
      </c>
      <c r="V230" s="96"/>
      <c r="W230" s="96"/>
      <c r="X230" s="91"/>
      <c r="Y230" s="91"/>
      <c r="Z230" s="91"/>
      <c r="AA230" s="91"/>
      <c r="AB230" s="91"/>
    </row>
    <row r="231" ht="15.75" customHeight="1" outlineLevel="1">
      <c r="A231" s="51" t="s">
        <v>76</v>
      </c>
      <c r="B231" s="57" t="s">
        <v>77</v>
      </c>
      <c r="C231" s="51" t="s">
        <v>29</v>
      </c>
      <c r="D231" s="52" t="s">
        <v>78</v>
      </c>
      <c r="E231" s="53" t="s">
        <v>27</v>
      </c>
      <c r="F231" s="52" t="s">
        <v>4</v>
      </c>
      <c r="G231" s="52" t="s">
        <v>29</v>
      </c>
      <c r="H231" s="54" t="s">
        <v>79</v>
      </c>
      <c r="I231" s="52" t="s">
        <v>29</v>
      </c>
      <c r="J231" s="58" t="s">
        <v>80</v>
      </c>
      <c r="K231" s="52" t="s">
        <v>27</v>
      </c>
      <c r="L231" s="56" t="s">
        <v>4</v>
      </c>
      <c r="M231" s="52" t="s">
        <v>42</v>
      </c>
      <c r="N231" s="54" t="s">
        <v>10502</v>
      </c>
      <c r="O231" s="55" t="str">
        <f t="shared" si="4"/>
        <v>L02.01.00.01.01.00.05</v>
      </c>
      <c r="P231" s="169" t="str">
        <f t="shared" si="3"/>
        <v>Ban giám đốc KD</v>
      </c>
      <c r="Q231" s="96"/>
      <c r="R231" s="96"/>
      <c r="S231" s="96"/>
      <c r="T231" s="96"/>
      <c r="U231" s="96"/>
      <c r="V231" s="96"/>
      <c r="W231" s="96"/>
      <c r="X231" s="91"/>
      <c r="Y231" s="91"/>
      <c r="Z231" s="91"/>
      <c r="AA231" s="91"/>
      <c r="AB231" s="91"/>
    </row>
    <row r="232" ht="15.75" customHeight="1" outlineLevel="1">
      <c r="A232" s="51" t="s">
        <v>76</v>
      </c>
      <c r="B232" s="57" t="s">
        <v>77</v>
      </c>
      <c r="C232" s="51" t="s">
        <v>29</v>
      </c>
      <c r="D232" s="52" t="s">
        <v>78</v>
      </c>
      <c r="E232" s="53" t="s">
        <v>27</v>
      </c>
      <c r="F232" s="52" t="s">
        <v>4</v>
      </c>
      <c r="G232" s="52" t="s">
        <v>29</v>
      </c>
      <c r="H232" s="54" t="s">
        <v>79</v>
      </c>
      <c r="I232" s="250" t="s">
        <v>27</v>
      </c>
      <c r="J232" s="58"/>
      <c r="K232" s="52" t="s">
        <v>27</v>
      </c>
      <c r="L232" s="56" t="s">
        <v>4</v>
      </c>
      <c r="M232" s="52" t="s">
        <v>42</v>
      </c>
      <c r="N232" s="54" t="s">
        <v>10502</v>
      </c>
      <c r="O232" s="55" t="str">
        <f t="shared" si="4"/>
        <v>L02.01.00.01.00.00.05</v>
      </c>
      <c r="P232" s="169" t="str">
        <f t="shared" si="3"/>
        <v/>
      </c>
      <c r="Q232" s="96"/>
      <c r="R232" s="96" t="s">
        <v>9621</v>
      </c>
      <c r="S232" s="96" t="s">
        <v>325</v>
      </c>
      <c r="T232" s="96" t="s">
        <v>2797</v>
      </c>
      <c r="U232" s="96"/>
      <c r="V232" s="96"/>
      <c r="W232" s="96"/>
      <c r="X232" s="91"/>
      <c r="Y232" s="91"/>
      <c r="Z232" s="91"/>
      <c r="AA232" s="91"/>
      <c r="AB232" s="91"/>
    </row>
    <row r="233" ht="15.75" customHeight="1" outlineLevel="1">
      <c r="A233" s="51" t="s">
        <v>76</v>
      </c>
      <c r="B233" s="57" t="s">
        <v>77</v>
      </c>
      <c r="C233" s="51" t="s">
        <v>29</v>
      </c>
      <c r="D233" s="52" t="s">
        <v>78</v>
      </c>
      <c r="E233" s="53" t="s">
        <v>27</v>
      </c>
      <c r="F233" s="52" t="s">
        <v>4</v>
      </c>
      <c r="G233" s="52" t="s">
        <v>29</v>
      </c>
      <c r="H233" s="54" t="s">
        <v>79</v>
      </c>
      <c r="I233" s="52" t="s">
        <v>33</v>
      </c>
      <c r="J233" s="56" t="s">
        <v>81</v>
      </c>
      <c r="K233" s="52" t="s">
        <v>27</v>
      </c>
      <c r="L233" s="56" t="s">
        <v>4</v>
      </c>
      <c r="M233" s="52" t="s">
        <v>42</v>
      </c>
      <c r="N233" s="54" t="s">
        <v>10502</v>
      </c>
      <c r="O233" s="55" t="str">
        <f t="shared" si="4"/>
        <v>L02.01.00.01.02.00.05</v>
      </c>
      <c r="P233" s="169" t="str">
        <f t="shared" si="3"/>
        <v>Nhóm KD HCSN</v>
      </c>
      <c r="Q233" s="96"/>
      <c r="R233" s="96" t="s">
        <v>3589</v>
      </c>
      <c r="S233" s="96" t="s">
        <v>325</v>
      </c>
      <c r="T233" s="96" t="s">
        <v>2797</v>
      </c>
      <c r="U233" s="96" t="s">
        <v>3588</v>
      </c>
      <c r="V233" s="96"/>
      <c r="W233" s="96"/>
      <c r="X233" s="91"/>
      <c r="Y233" s="91"/>
      <c r="Z233" s="91"/>
      <c r="AA233" s="91"/>
      <c r="AB233" s="91"/>
    </row>
    <row r="234" ht="15.75" customHeight="1" outlineLevel="1">
      <c r="A234" s="51" t="s">
        <v>76</v>
      </c>
      <c r="B234" s="57" t="s">
        <v>77</v>
      </c>
      <c r="C234" s="51" t="s">
        <v>29</v>
      </c>
      <c r="D234" s="52" t="s">
        <v>78</v>
      </c>
      <c r="E234" s="53" t="s">
        <v>27</v>
      </c>
      <c r="F234" s="52" t="s">
        <v>4</v>
      </c>
      <c r="G234" s="52" t="s">
        <v>29</v>
      </c>
      <c r="H234" s="54" t="s">
        <v>79</v>
      </c>
      <c r="I234" s="52" t="s">
        <v>35</v>
      </c>
      <c r="J234" s="56" t="s">
        <v>82</v>
      </c>
      <c r="K234" s="52" t="s">
        <v>27</v>
      </c>
      <c r="L234" s="56" t="s">
        <v>4</v>
      </c>
      <c r="M234" s="52" t="s">
        <v>42</v>
      </c>
      <c r="N234" s="54" t="s">
        <v>10502</v>
      </c>
      <c r="O234" s="55" t="str">
        <f t="shared" si="4"/>
        <v>L02.01.00.01.03.00.05</v>
      </c>
      <c r="P234" s="169" t="str">
        <f t="shared" si="3"/>
        <v>Nhóm Triển khai &amp; CSKH</v>
      </c>
      <c r="Q234" s="96"/>
      <c r="R234" s="96" t="s">
        <v>7299</v>
      </c>
      <c r="S234" s="96" t="s">
        <v>325</v>
      </c>
      <c r="T234" s="96" t="s">
        <v>2797</v>
      </c>
      <c r="U234" s="96" t="s">
        <v>7298</v>
      </c>
      <c r="V234" s="96"/>
      <c r="W234" s="96"/>
      <c r="X234" s="91"/>
      <c r="Y234" s="91"/>
      <c r="Z234" s="91"/>
      <c r="AA234" s="91"/>
      <c r="AB234" s="91"/>
    </row>
    <row r="235" ht="15.75" customHeight="1">
      <c r="A235" s="50" t="s">
        <v>10503</v>
      </c>
      <c r="B235" s="47"/>
      <c r="C235" s="47"/>
      <c r="D235" s="47"/>
      <c r="E235" s="47"/>
      <c r="F235" s="47"/>
      <c r="G235" s="48"/>
      <c r="H235" s="49"/>
      <c r="I235" s="48"/>
      <c r="J235" s="48"/>
      <c r="K235" s="48"/>
      <c r="L235" s="48"/>
      <c r="M235" s="48"/>
      <c r="N235" s="49"/>
      <c r="O235" s="48"/>
      <c r="P235" s="169" t="str">
        <f t="shared" si="3"/>
        <v/>
      </c>
      <c r="Q235" s="96"/>
      <c r="R235" s="96"/>
      <c r="S235" s="96"/>
      <c r="T235" s="96"/>
      <c r="U235" s="96"/>
      <c r="V235" s="96"/>
      <c r="W235" s="96"/>
      <c r="X235" s="91"/>
      <c r="Y235" s="91"/>
      <c r="Z235" s="91"/>
      <c r="AA235" s="91"/>
      <c r="AB235" s="91"/>
    </row>
    <row r="236" ht="15.75" customHeight="1">
      <c r="A236" s="65" t="s">
        <v>10504</v>
      </c>
      <c r="B236" s="66"/>
      <c r="C236" s="66"/>
      <c r="D236" s="66"/>
      <c r="E236" s="67"/>
      <c r="F236" s="66"/>
      <c r="G236" s="66"/>
      <c r="H236" s="68"/>
      <c r="I236" s="66"/>
      <c r="J236" s="69"/>
      <c r="K236" s="66"/>
      <c r="L236" s="68"/>
      <c r="M236" s="66"/>
      <c r="N236" s="68"/>
      <c r="O236" s="69"/>
      <c r="P236" s="169" t="str">
        <f t="shared" si="3"/>
        <v/>
      </c>
      <c r="Q236" s="96"/>
      <c r="R236" s="96"/>
      <c r="S236" s="96"/>
      <c r="T236" s="96"/>
      <c r="U236" s="96"/>
      <c r="V236" s="96"/>
      <c r="W236" s="96"/>
      <c r="X236" s="91"/>
      <c r="Y236" s="91"/>
      <c r="Z236" s="91"/>
      <c r="AA236" s="91"/>
      <c r="AB236" s="91"/>
    </row>
    <row r="237" ht="15.75" hidden="1" customHeight="1" outlineLevel="1">
      <c r="A237" s="51" t="s">
        <v>76</v>
      </c>
      <c r="B237" s="57" t="s">
        <v>77</v>
      </c>
      <c r="C237" s="52" t="s">
        <v>33</v>
      </c>
      <c r="D237" s="52" t="s">
        <v>89</v>
      </c>
      <c r="E237" s="53" t="s">
        <v>29</v>
      </c>
      <c r="F237" s="52" t="s">
        <v>90</v>
      </c>
      <c r="G237" s="52" t="s">
        <v>29</v>
      </c>
      <c r="H237" s="54" t="s">
        <v>91</v>
      </c>
      <c r="I237" s="52" t="s">
        <v>27</v>
      </c>
      <c r="J237" s="56" t="s">
        <v>4</v>
      </c>
      <c r="K237" s="52" t="s">
        <v>27</v>
      </c>
      <c r="L237" s="56" t="s">
        <v>4</v>
      </c>
      <c r="M237" s="52" t="s">
        <v>29</v>
      </c>
      <c r="N237" s="54" t="s">
        <v>10498</v>
      </c>
      <c r="O237" s="55" t="str">
        <f t="shared" ref="O237:O269" si="5">A237&amp;"."&amp;C237&amp;"."&amp;E237&amp;"."&amp;G237&amp;"."&amp;I237&amp;"."&amp;K237&amp;"."&amp;M237</f>
        <v>L02.02.01.01.00.00.01</v>
      </c>
      <c r="P237" s="169" t="str">
        <f t="shared" si="3"/>
        <v>Ban giám đốc khối GP Bán lẻ</v>
      </c>
      <c r="Q237" s="96"/>
      <c r="R237" s="96"/>
      <c r="S237" s="96"/>
      <c r="T237" s="96"/>
      <c r="U237" s="96"/>
      <c r="V237" s="96"/>
      <c r="W237" s="96"/>
      <c r="X237" s="91"/>
      <c r="Y237" s="91"/>
      <c r="Z237" s="91"/>
      <c r="AA237" s="91"/>
      <c r="AB237" s="91"/>
    </row>
    <row r="238" ht="15.75" hidden="1" customHeight="1" outlineLevel="1">
      <c r="A238" s="51" t="s">
        <v>76</v>
      </c>
      <c r="B238" s="57" t="s">
        <v>77</v>
      </c>
      <c r="C238" s="51" t="s">
        <v>33</v>
      </c>
      <c r="D238" s="52" t="s">
        <v>89</v>
      </c>
      <c r="E238" s="53" t="s">
        <v>29</v>
      </c>
      <c r="F238" s="52" t="s">
        <v>90</v>
      </c>
      <c r="G238" s="52" t="s">
        <v>33</v>
      </c>
      <c r="H238" s="54" t="s">
        <v>93</v>
      </c>
      <c r="I238" s="52" t="s">
        <v>29</v>
      </c>
      <c r="J238" s="55" t="s">
        <v>94</v>
      </c>
      <c r="K238" s="52" t="s">
        <v>27</v>
      </c>
      <c r="L238" s="56" t="s">
        <v>4</v>
      </c>
      <c r="M238" s="52" t="s">
        <v>29</v>
      </c>
      <c r="N238" s="54" t="s">
        <v>10498</v>
      </c>
      <c r="O238" s="55" t="str">
        <f t="shared" si="5"/>
        <v>L02.02.01.02.01.00.01</v>
      </c>
      <c r="P238" s="169" t="str">
        <f t="shared" si="3"/>
        <v>Ban giám đốc TTKD GP Bán lẻ</v>
      </c>
      <c r="Q238" s="96"/>
      <c r="R238" s="96" t="s">
        <v>1626</v>
      </c>
      <c r="S238" s="96" t="s">
        <v>346</v>
      </c>
      <c r="T238" s="96" t="s">
        <v>93</v>
      </c>
      <c r="U238" s="96" t="s">
        <v>94</v>
      </c>
      <c r="V238" s="96"/>
      <c r="W238" s="96"/>
      <c r="X238" s="91"/>
      <c r="Y238" s="91"/>
      <c r="Z238" s="91"/>
      <c r="AA238" s="91"/>
      <c r="AB238" s="91"/>
    </row>
    <row r="239" ht="15.75" hidden="1" customHeight="1" outlineLevel="1">
      <c r="A239" s="51" t="s">
        <v>76</v>
      </c>
      <c r="B239" s="57" t="s">
        <v>77</v>
      </c>
      <c r="C239" s="51" t="s">
        <v>33</v>
      </c>
      <c r="D239" s="52" t="s">
        <v>89</v>
      </c>
      <c r="E239" s="53" t="s">
        <v>29</v>
      </c>
      <c r="F239" s="52" t="s">
        <v>90</v>
      </c>
      <c r="G239" s="52" t="s">
        <v>33</v>
      </c>
      <c r="H239" s="54" t="s">
        <v>93</v>
      </c>
      <c r="I239" s="52" t="s">
        <v>33</v>
      </c>
      <c r="J239" s="686" t="s">
        <v>95</v>
      </c>
      <c r="K239" s="52" t="s">
        <v>27</v>
      </c>
      <c r="L239" s="56" t="s">
        <v>4</v>
      </c>
      <c r="M239" s="52" t="s">
        <v>29</v>
      </c>
      <c r="N239" s="54" t="s">
        <v>10498</v>
      </c>
      <c r="O239" s="55" t="str">
        <f t="shared" si="5"/>
        <v>L02.02.01.02.02.00.01</v>
      </c>
      <c r="P239" s="169" t="str">
        <f t="shared" si="3"/>
        <v>PKD bán mới MISA CUKCUK</v>
      </c>
      <c r="Q239" s="96"/>
      <c r="R239" s="96"/>
      <c r="S239" s="96"/>
      <c r="T239" s="96"/>
      <c r="U239" s="96"/>
      <c r="V239" s="96"/>
      <c r="W239" s="96"/>
      <c r="X239" s="91"/>
      <c r="Y239" s="91"/>
      <c r="Z239" s="91"/>
      <c r="AA239" s="91"/>
      <c r="AB239" s="91"/>
    </row>
    <row r="240" ht="15.75" hidden="1" customHeight="1" outlineLevel="1">
      <c r="A240" s="51" t="s">
        <v>76</v>
      </c>
      <c r="B240" s="57" t="s">
        <v>77</v>
      </c>
      <c r="C240" s="51" t="s">
        <v>33</v>
      </c>
      <c r="D240" s="52" t="s">
        <v>89</v>
      </c>
      <c r="E240" s="53" t="s">
        <v>29</v>
      </c>
      <c r="F240" s="52" t="s">
        <v>90</v>
      </c>
      <c r="G240" s="52" t="s">
        <v>33</v>
      </c>
      <c r="H240" s="54" t="s">
        <v>93</v>
      </c>
      <c r="I240" s="52" t="s">
        <v>33</v>
      </c>
      <c r="J240" s="55" t="s">
        <v>95</v>
      </c>
      <c r="K240" s="52" t="s">
        <v>29</v>
      </c>
      <c r="L240" s="96" t="s">
        <v>902</v>
      </c>
      <c r="M240" s="52" t="s">
        <v>29</v>
      </c>
      <c r="N240" s="54" t="s">
        <v>10498</v>
      </c>
      <c r="O240" s="55" t="str">
        <f t="shared" si="5"/>
        <v>L02.02.01.02.02.01.01</v>
      </c>
      <c r="P240" s="169" t="str">
        <f t="shared" si="3"/>
        <v>Phòng KD bán mới CUKCUK 1</v>
      </c>
      <c r="Q240" s="96"/>
      <c r="R240" s="96" t="s">
        <v>904</v>
      </c>
      <c r="S240" s="96" t="s">
        <v>346</v>
      </c>
      <c r="T240" s="96" t="s">
        <v>93</v>
      </c>
      <c r="U240" s="96" t="s">
        <v>903</v>
      </c>
      <c r="V240" s="96" t="s">
        <v>902</v>
      </c>
      <c r="W240" s="96"/>
      <c r="X240" s="91"/>
      <c r="Y240" s="91"/>
      <c r="Z240" s="91"/>
      <c r="AA240" s="91"/>
      <c r="AB240" s="91"/>
    </row>
    <row r="241" ht="15.75" hidden="1" customHeight="1" outlineLevel="1">
      <c r="A241" s="51" t="s">
        <v>76</v>
      </c>
      <c r="B241" s="57" t="s">
        <v>77</v>
      </c>
      <c r="C241" s="51" t="s">
        <v>33</v>
      </c>
      <c r="D241" s="52" t="s">
        <v>89</v>
      </c>
      <c r="E241" s="53" t="s">
        <v>29</v>
      </c>
      <c r="F241" s="52" t="s">
        <v>90</v>
      </c>
      <c r="G241" s="52" t="s">
        <v>33</v>
      </c>
      <c r="H241" s="54" t="s">
        <v>93</v>
      </c>
      <c r="I241" s="52" t="s">
        <v>33</v>
      </c>
      <c r="J241" s="55" t="s">
        <v>95</v>
      </c>
      <c r="K241" s="52" t="s">
        <v>33</v>
      </c>
      <c r="L241" s="96" t="s">
        <v>914</v>
      </c>
      <c r="M241" s="52" t="s">
        <v>29</v>
      </c>
      <c r="N241" s="54" t="s">
        <v>10498</v>
      </c>
      <c r="O241" s="55" t="str">
        <f t="shared" si="5"/>
        <v>L02.02.01.02.02.02.01</v>
      </c>
      <c r="P241" s="169" t="str">
        <f t="shared" si="3"/>
        <v>Phòng KD bán mới CUKCUK 3</v>
      </c>
      <c r="Q241" s="96"/>
      <c r="R241" s="96" t="s">
        <v>915</v>
      </c>
      <c r="S241" s="96" t="s">
        <v>346</v>
      </c>
      <c r="T241" s="96" t="s">
        <v>93</v>
      </c>
      <c r="U241" s="96" t="s">
        <v>903</v>
      </c>
      <c r="V241" s="96" t="s">
        <v>914</v>
      </c>
      <c r="W241" s="96"/>
      <c r="X241" s="91"/>
      <c r="Y241" s="91"/>
      <c r="Z241" s="91"/>
      <c r="AA241" s="91"/>
      <c r="AB241" s="91"/>
    </row>
    <row r="242" ht="15.75" hidden="1" customHeight="1" outlineLevel="1">
      <c r="A242" s="51" t="s">
        <v>76</v>
      </c>
      <c r="B242" s="57" t="s">
        <v>77</v>
      </c>
      <c r="C242" s="51" t="s">
        <v>33</v>
      </c>
      <c r="D242" s="52" t="s">
        <v>89</v>
      </c>
      <c r="E242" s="53" t="s">
        <v>29</v>
      </c>
      <c r="F242" s="52" t="s">
        <v>90</v>
      </c>
      <c r="G242" s="52" t="s">
        <v>33</v>
      </c>
      <c r="H242" s="54" t="s">
        <v>93</v>
      </c>
      <c r="I242" s="52" t="s">
        <v>35</v>
      </c>
      <c r="J242" s="686" t="s">
        <v>98</v>
      </c>
      <c r="K242" s="52" t="s">
        <v>27</v>
      </c>
      <c r="L242" s="56" t="s">
        <v>4</v>
      </c>
      <c r="M242" s="52" t="s">
        <v>29</v>
      </c>
      <c r="N242" s="54" t="s">
        <v>10498</v>
      </c>
      <c r="O242" s="55" t="str">
        <f t="shared" si="5"/>
        <v>L02.02.01.02.03.00.01</v>
      </c>
      <c r="P242" s="169" t="str">
        <f t="shared" si="3"/>
        <v>PKD bán mới MISA ESHOP</v>
      </c>
      <c r="Q242" s="96"/>
      <c r="R242" s="96"/>
      <c r="S242" s="96"/>
      <c r="T242" s="96"/>
      <c r="U242" s="96"/>
      <c r="V242" s="96"/>
      <c r="W242" s="96"/>
      <c r="X242" s="91"/>
      <c r="Y242" s="91"/>
      <c r="Z242" s="91"/>
      <c r="AA242" s="91"/>
      <c r="AB242" s="91"/>
    </row>
    <row r="243" ht="15.75" hidden="1" customHeight="1" outlineLevel="1">
      <c r="A243" s="51" t="s">
        <v>76</v>
      </c>
      <c r="B243" s="57" t="s">
        <v>77</v>
      </c>
      <c r="C243" s="51" t="s">
        <v>33</v>
      </c>
      <c r="D243" s="52" t="s">
        <v>89</v>
      </c>
      <c r="E243" s="53" t="s">
        <v>29</v>
      </c>
      <c r="F243" s="52" t="s">
        <v>90</v>
      </c>
      <c r="G243" s="52" t="s">
        <v>33</v>
      </c>
      <c r="H243" s="54" t="s">
        <v>93</v>
      </c>
      <c r="I243" s="52" t="s">
        <v>35</v>
      </c>
      <c r="J243" s="55" t="s">
        <v>98</v>
      </c>
      <c r="K243" s="52" t="s">
        <v>29</v>
      </c>
      <c r="L243" s="55" t="s">
        <v>99</v>
      </c>
      <c r="M243" s="52" t="s">
        <v>29</v>
      </c>
      <c r="N243" s="54" t="s">
        <v>10498</v>
      </c>
      <c r="O243" s="55" t="str">
        <f t="shared" si="5"/>
        <v>L02.02.01.02.03.01.01</v>
      </c>
      <c r="P243" s="169" t="str">
        <f t="shared" si="3"/>
        <v>PKD bán mới MISA ESHOP 01</v>
      </c>
      <c r="Q243" s="96"/>
      <c r="R243" s="96" t="s">
        <v>367</v>
      </c>
      <c r="S243" s="96" t="s">
        <v>346</v>
      </c>
      <c r="T243" s="96" t="s">
        <v>93</v>
      </c>
      <c r="U243" s="96" t="s">
        <v>366</v>
      </c>
      <c r="V243" s="96" t="s">
        <v>365</v>
      </c>
      <c r="W243" s="96"/>
      <c r="X243" s="91"/>
      <c r="Y243" s="91"/>
      <c r="Z243" s="91"/>
      <c r="AA243" s="91"/>
      <c r="AB243" s="91"/>
    </row>
    <row r="244" ht="15.75" hidden="1" customHeight="1" outlineLevel="1">
      <c r="A244" s="51" t="s">
        <v>76</v>
      </c>
      <c r="B244" s="57" t="s">
        <v>77</v>
      </c>
      <c r="C244" s="51" t="s">
        <v>33</v>
      </c>
      <c r="D244" s="52" t="s">
        <v>89</v>
      </c>
      <c r="E244" s="53" t="s">
        <v>29</v>
      </c>
      <c r="F244" s="52" t="s">
        <v>90</v>
      </c>
      <c r="G244" s="52" t="s">
        <v>33</v>
      </c>
      <c r="H244" s="54" t="s">
        <v>93</v>
      </c>
      <c r="I244" s="52" t="s">
        <v>35</v>
      </c>
      <c r="J244" s="55" t="s">
        <v>98</v>
      </c>
      <c r="K244" s="52" t="s">
        <v>33</v>
      </c>
      <c r="L244" s="55" t="s">
        <v>100</v>
      </c>
      <c r="M244" s="52" t="s">
        <v>29</v>
      </c>
      <c r="N244" s="54" t="s">
        <v>10498</v>
      </c>
      <c r="O244" s="55" t="str">
        <f t="shared" si="5"/>
        <v>L02.02.01.02.03.02.01</v>
      </c>
      <c r="P244" s="169" t="str">
        <f t="shared" si="3"/>
        <v>PKD bán mới MISA ESHOP 02</v>
      </c>
      <c r="Q244" s="96"/>
      <c r="R244" s="96" t="s">
        <v>973</v>
      </c>
      <c r="S244" s="96" t="s">
        <v>346</v>
      </c>
      <c r="T244" s="96" t="s">
        <v>93</v>
      </c>
      <c r="U244" s="96" t="s">
        <v>366</v>
      </c>
      <c r="V244" s="96" t="s">
        <v>972</v>
      </c>
      <c r="W244" s="96"/>
      <c r="X244" s="91"/>
      <c r="Y244" s="91"/>
      <c r="Z244" s="91"/>
      <c r="AA244" s="91"/>
      <c r="AB244" s="91"/>
    </row>
    <row r="245" ht="15.75" hidden="1" customHeight="1" outlineLevel="1">
      <c r="A245" s="51" t="s">
        <v>76</v>
      </c>
      <c r="B245" s="57" t="s">
        <v>77</v>
      </c>
      <c r="C245" s="51" t="s">
        <v>33</v>
      </c>
      <c r="D245" s="52" t="s">
        <v>89</v>
      </c>
      <c r="E245" s="53" t="s">
        <v>29</v>
      </c>
      <c r="F245" s="52" t="s">
        <v>90</v>
      </c>
      <c r="G245" s="52" t="s">
        <v>33</v>
      </c>
      <c r="H245" s="54" t="s">
        <v>93</v>
      </c>
      <c r="I245" s="52" t="s">
        <v>37</v>
      </c>
      <c r="J245" s="253" t="s">
        <v>153</v>
      </c>
      <c r="K245" s="52" t="s">
        <v>27</v>
      </c>
      <c r="L245" s="56" t="s">
        <v>4</v>
      </c>
      <c r="M245" s="52" t="s">
        <v>29</v>
      </c>
      <c r="N245" s="54" t="s">
        <v>10498</v>
      </c>
      <c r="O245" s="55" t="str">
        <f t="shared" si="5"/>
        <v>L02.02.01.02.04.00.01</v>
      </c>
      <c r="P245" s="169" t="str">
        <f t="shared" si="3"/>
        <v>Nhóm chuyển giao</v>
      </c>
      <c r="Q245" s="96"/>
      <c r="R245" s="96" t="s">
        <v>958</v>
      </c>
      <c r="S245" s="96" t="s">
        <v>346</v>
      </c>
      <c r="T245" s="96" t="s">
        <v>93</v>
      </c>
      <c r="U245" s="96" t="s">
        <v>153</v>
      </c>
      <c r="V245" s="96"/>
      <c r="W245" s="96"/>
      <c r="X245" s="91"/>
      <c r="Y245" s="91"/>
      <c r="Z245" s="91"/>
      <c r="AA245" s="91"/>
      <c r="AB245" s="91"/>
    </row>
    <row r="246" ht="15.75" hidden="1" customHeight="1" outlineLevel="1">
      <c r="A246" s="51" t="s">
        <v>76</v>
      </c>
      <c r="B246" s="57" t="s">
        <v>77</v>
      </c>
      <c r="C246" s="51" t="s">
        <v>33</v>
      </c>
      <c r="D246" s="52" t="s">
        <v>89</v>
      </c>
      <c r="E246" s="53" t="s">
        <v>29</v>
      </c>
      <c r="F246" s="52" t="s">
        <v>90</v>
      </c>
      <c r="G246" s="52" t="s">
        <v>33</v>
      </c>
      <c r="H246" s="54" t="s">
        <v>93</v>
      </c>
      <c r="I246" s="52" t="s">
        <v>29</v>
      </c>
      <c r="J246" s="55" t="s">
        <v>94</v>
      </c>
      <c r="K246" s="52" t="s">
        <v>27</v>
      </c>
      <c r="L246" s="56" t="s">
        <v>4</v>
      </c>
      <c r="M246" s="52" t="s">
        <v>33</v>
      </c>
      <c r="N246" s="54" t="s">
        <v>10499</v>
      </c>
      <c r="O246" s="55" t="str">
        <f t="shared" si="5"/>
        <v>L02.02.01.02.01.00.02</v>
      </c>
      <c r="P246" s="169" t="str">
        <f t="shared" si="3"/>
        <v>Ban giám đốc TTKD GP Bán lẻ</v>
      </c>
      <c r="Q246" s="96"/>
      <c r="R246" s="96" t="s">
        <v>7245</v>
      </c>
      <c r="S246" s="96" t="s">
        <v>262</v>
      </c>
      <c r="T246" s="96" t="s">
        <v>93</v>
      </c>
      <c r="U246" s="96" t="s">
        <v>7230</v>
      </c>
      <c r="V246" s="96"/>
      <c r="W246" s="96"/>
      <c r="X246" s="91"/>
      <c r="Y246" s="91"/>
      <c r="Z246" s="91"/>
      <c r="AA246" s="91"/>
      <c r="AB246" s="91"/>
    </row>
    <row r="247" ht="15.75" hidden="1" customHeight="1" outlineLevel="1">
      <c r="A247" s="51" t="s">
        <v>76</v>
      </c>
      <c r="B247" s="57" t="s">
        <v>77</v>
      </c>
      <c r="C247" s="51" t="s">
        <v>33</v>
      </c>
      <c r="D247" s="52" t="s">
        <v>89</v>
      </c>
      <c r="E247" s="53" t="s">
        <v>29</v>
      </c>
      <c r="F247" s="52" t="s">
        <v>90</v>
      </c>
      <c r="G247" s="52" t="s">
        <v>33</v>
      </c>
      <c r="H247" s="54" t="s">
        <v>93</v>
      </c>
      <c r="I247" s="52" t="s">
        <v>33</v>
      </c>
      <c r="J247" s="686" t="s">
        <v>95</v>
      </c>
      <c r="K247" s="52" t="s">
        <v>27</v>
      </c>
      <c r="L247" s="56" t="s">
        <v>4</v>
      </c>
      <c r="M247" s="52" t="s">
        <v>33</v>
      </c>
      <c r="N247" s="54" t="s">
        <v>10499</v>
      </c>
      <c r="O247" s="55" t="str">
        <f t="shared" si="5"/>
        <v>L02.02.01.02.02.00.02</v>
      </c>
      <c r="P247" s="169" t="str">
        <f t="shared" si="3"/>
        <v>PKD bán mới MISA CUKCUK</v>
      </c>
      <c r="Q247" s="96"/>
      <c r="R247" s="96"/>
      <c r="S247" s="96"/>
      <c r="T247" s="96"/>
      <c r="U247" s="96"/>
      <c r="V247" s="96"/>
      <c r="W247" s="96"/>
      <c r="X247" s="91"/>
      <c r="Y247" s="91"/>
      <c r="Z247" s="91"/>
      <c r="AA247" s="91"/>
      <c r="AB247" s="91"/>
    </row>
    <row r="248" ht="15.75" hidden="1" customHeight="1" outlineLevel="1">
      <c r="A248" s="51" t="s">
        <v>76</v>
      </c>
      <c r="B248" s="57" t="s">
        <v>77</v>
      </c>
      <c r="C248" s="51" t="s">
        <v>33</v>
      </c>
      <c r="D248" s="52" t="s">
        <v>89</v>
      </c>
      <c r="E248" s="53" t="s">
        <v>29</v>
      </c>
      <c r="F248" s="52" t="s">
        <v>90</v>
      </c>
      <c r="G248" s="52" t="s">
        <v>33</v>
      </c>
      <c r="H248" s="54" t="s">
        <v>93</v>
      </c>
      <c r="I248" s="52" t="s">
        <v>33</v>
      </c>
      <c r="J248" s="55" t="s">
        <v>95</v>
      </c>
      <c r="K248" s="52" t="s">
        <v>29</v>
      </c>
      <c r="L248" s="55" t="s">
        <v>96</v>
      </c>
      <c r="M248" s="52" t="s">
        <v>33</v>
      </c>
      <c r="N248" s="54" t="s">
        <v>10499</v>
      </c>
      <c r="O248" s="55" t="str">
        <f t="shared" si="5"/>
        <v>L02.02.01.02.02.01.02</v>
      </c>
      <c r="P248" s="169" t="str">
        <f t="shared" si="3"/>
        <v>PKD bán mới MISA CUKCUK 01</v>
      </c>
      <c r="Q248" s="96"/>
      <c r="R248" s="96" t="s">
        <v>2005</v>
      </c>
      <c r="S248" s="96" t="s">
        <v>262</v>
      </c>
      <c r="T248" s="96" t="s">
        <v>93</v>
      </c>
      <c r="U248" s="96" t="s">
        <v>1918</v>
      </c>
      <c r="V248" s="96" t="s">
        <v>902</v>
      </c>
      <c r="W248" s="96"/>
      <c r="X248" s="91"/>
      <c r="Y248" s="91"/>
      <c r="Z248" s="91"/>
      <c r="AA248" s="91"/>
      <c r="AB248" s="91"/>
    </row>
    <row r="249" ht="15.75" hidden="1" customHeight="1" outlineLevel="1">
      <c r="A249" s="51" t="s">
        <v>76</v>
      </c>
      <c r="B249" s="57" t="s">
        <v>77</v>
      </c>
      <c r="C249" s="51" t="s">
        <v>33</v>
      </c>
      <c r="D249" s="52" t="s">
        <v>89</v>
      </c>
      <c r="E249" s="53" t="s">
        <v>29</v>
      </c>
      <c r="F249" s="52" t="s">
        <v>90</v>
      </c>
      <c r="G249" s="52" t="s">
        <v>33</v>
      </c>
      <c r="H249" s="54" t="s">
        <v>93</v>
      </c>
      <c r="I249" s="52" t="s">
        <v>33</v>
      </c>
      <c r="J249" s="55" t="s">
        <v>95</v>
      </c>
      <c r="K249" s="52" t="s">
        <v>33</v>
      </c>
      <c r="L249" s="55" t="s">
        <v>97</v>
      </c>
      <c r="M249" s="52" t="s">
        <v>33</v>
      </c>
      <c r="N249" s="54" t="s">
        <v>10499</v>
      </c>
      <c r="O249" s="55" t="str">
        <f t="shared" si="5"/>
        <v>L02.02.01.02.02.02.02</v>
      </c>
      <c r="P249" s="169" t="str">
        <f t="shared" si="3"/>
        <v>PKD bán mới MISA CUKCUK 02</v>
      </c>
      <c r="Q249" s="96"/>
      <c r="R249" s="96" t="s">
        <v>1992</v>
      </c>
      <c r="S249" s="96" t="s">
        <v>262</v>
      </c>
      <c r="T249" s="96" t="s">
        <v>93</v>
      </c>
      <c r="U249" s="96" t="s">
        <v>1918</v>
      </c>
      <c r="V249" s="96" t="s">
        <v>1991</v>
      </c>
      <c r="W249" s="96"/>
      <c r="X249" s="91"/>
      <c r="Y249" s="91"/>
      <c r="Z249" s="91"/>
      <c r="AA249" s="91"/>
      <c r="AB249" s="91"/>
    </row>
    <row r="250" ht="15.75" hidden="1" customHeight="1" outlineLevel="1">
      <c r="A250" s="51" t="s">
        <v>76</v>
      </c>
      <c r="B250" s="57" t="s">
        <v>77</v>
      </c>
      <c r="C250" s="51" t="s">
        <v>33</v>
      </c>
      <c r="D250" s="52" t="s">
        <v>89</v>
      </c>
      <c r="E250" s="53" t="s">
        <v>29</v>
      </c>
      <c r="F250" s="52" t="s">
        <v>90</v>
      </c>
      <c r="G250" s="52" t="s">
        <v>33</v>
      </c>
      <c r="H250" s="54" t="s">
        <v>93</v>
      </c>
      <c r="I250" s="52" t="s">
        <v>33</v>
      </c>
      <c r="J250" s="55" t="s">
        <v>95</v>
      </c>
      <c r="K250" s="250" t="s">
        <v>35</v>
      </c>
      <c r="L250" s="55" t="s">
        <v>97</v>
      </c>
      <c r="M250" s="52" t="s">
        <v>33</v>
      </c>
      <c r="N250" s="54" t="s">
        <v>10499</v>
      </c>
      <c r="O250" s="55" t="str">
        <f t="shared" si="5"/>
        <v>L02.02.01.02.02.03.02</v>
      </c>
      <c r="P250" s="169" t="str">
        <f t="shared" si="3"/>
        <v>PKD bán mới MISA CUKCUK 02</v>
      </c>
      <c r="Q250" s="96"/>
      <c r="R250" s="96" t="s">
        <v>1919</v>
      </c>
      <c r="S250" s="96" t="s">
        <v>262</v>
      </c>
      <c r="T250" s="96" t="s">
        <v>93</v>
      </c>
      <c r="U250" s="96" t="s">
        <v>1918</v>
      </c>
      <c r="V250" s="96" t="s">
        <v>914</v>
      </c>
      <c r="W250" s="96"/>
      <c r="X250" s="91"/>
      <c r="Y250" s="91"/>
      <c r="Z250" s="91"/>
      <c r="AA250" s="91"/>
      <c r="AB250" s="91"/>
    </row>
    <row r="251" ht="15.75" hidden="1" customHeight="1" outlineLevel="1">
      <c r="A251" s="51" t="s">
        <v>76</v>
      </c>
      <c r="B251" s="57" t="s">
        <v>77</v>
      </c>
      <c r="C251" s="51" t="s">
        <v>33</v>
      </c>
      <c r="D251" s="52" t="s">
        <v>89</v>
      </c>
      <c r="E251" s="53" t="s">
        <v>29</v>
      </c>
      <c r="F251" s="52" t="s">
        <v>90</v>
      </c>
      <c r="G251" s="52" t="s">
        <v>33</v>
      </c>
      <c r="H251" s="54" t="s">
        <v>93</v>
      </c>
      <c r="I251" s="52" t="s">
        <v>35</v>
      </c>
      <c r="J251" s="686" t="s">
        <v>98</v>
      </c>
      <c r="K251" s="52" t="s">
        <v>27</v>
      </c>
      <c r="L251" s="56" t="s">
        <v>4</v>
      </c>
      <c r="M251" s="52" t="s">
        <v>33</v>
      </c>
      <c r="N251" s="54" t="s">
        <v>10499</v>
      </c>
      <c r="O251" s="55" t="str">
        <f t="shared" si="5"/>
        <v>L02.02.01.02.03.00.02</v>
      </c>
      <c r="P251" s="169" t="str">
        <f t="shared" si="3"/>
        <v>PKD bán mới MISA ESHOP</v>
      </c>
      <c r="Q251" s="96"/>
      <c r="R251" s="96"/>
      <c r="S251" s="96"/>
      <c r="T251" s="96"/>
      <c r="U251" s="96"/>
      <c r="V251" s="96"/>
      <c r="W251" s="96"/>
      <c r="X251" s="91"/>
      <c r="Y251" s="91"/>
      <c r="Z251" s="91"/>
      <c r="AA251" s="91"/>
      <c r="AB251" s="91"/>
    </row>
    <row r="252" ht="15.75" hidden="1" customHeight="1" outlineLevel="1">
      <c r="A252" s="51" t="s">
        <v>76</v>
      </c>
      <c r="B252" s="57" t="s">
        <v>77</v>
      </c>
      <c r="C252" s="51" t="s">
        <v>33</v>
      </c>
      <c r="D252" s="52" t="s">
        <v>89</v>
      </c>
      <c r="E252" s="53" t="s">
        <v>29</v>
      </c>
      <c r="F252" s="52" t="s">
        <v>90</v>
      </c>
      <c r="G252" s="52" t="s">
        <v>33</v>
      </c>
      <c r="H252" s="54" t="s">
        <v>93</v>
      </c>
      <c r="I252" s="52" t="s">
        <v>35</v>
      </c>
      <c r="J252" s="55" t="s">
        <v>98</v>
      </c>
      <c r="K252" s="52" t="s">
        <v>29</v>
      </c>
      <c r="L252" s="55" t="s">
        <v>99</v>
      </c>
      <c r="M252" s="52" t="s">
        <v>33</v>
      </c>
      <c r="N252" s="54" t="s">
        <v>10499</v>
      </c>
      <c r="O252" s="55" t="str">
        <f t="shared" si="5"/>
        <v>L02.02.01.02.03.01.02</v>
      </c>
      <c r="P252" s="169" t="str">
        <f t="shared" si="3"/>
        <v>PKD bán mới MISA ESHOP 01</v>
      </c>
      <c r="Q252" s="96"/>
      <c r="R252" s="96" t="s">
        <v>1913</v>
      </c>
      <c r="S252" s="96" t="s">
        <v>262</v>
      </c>
      <c r="T252" s="96" t="s">
        <v>93</v>
      </c>
      <c r="U252" s="96" t="s">
        <v>1912</v>
      </c>
      <c r="V252" s="96" t="s">
        <v>365</v>
      </c>
      <c r="W252" s="96"/>
      <c r="X252" s="91"/>
      <c r="Y252" s="91"/>
      <c r="Z252" s="91"/>
      <c r="AA252" s="91"/>
      <c r="AB252" s="91"/>
    </row>
    <row r="253" ht="15.75" hidden="1" customHeight="1" outlineLevel="1">
      <c r="A253" s="51" t="s">
        <v>76</v>
      </c>
      <c r="B253" s="57" t="s">
        <v>77</v>
      </c>
      <c r="C253" s="51" t="s">
        <v>33</v>
      </c>
      <c r="D253" s="52" t="s">
        <v>89</v>
      </c>
      <c r="E253" s="53" t="s">
        <v>29</v>
      </c>
      <c r="F253" s="52" t="s">
        <v>90</v>
      </c>
      <c r="G253" s="52" t="s">
        <v>33</v>
      </c>
      <c r="H253" s="54" t="s">
        <v>93</v>
      </c>
      <c r="I253" s="52" t="s">
        <v>37</v>
      </c>
      <c r="J253" s="253" t="s">
        <v>153</v>
      </c>
      <c r="K253" s="52" t="s">
        <v>27</v>
      </c>
      <c r="L253" s="56" t="s">
        <v>4</v>
      </c>
      <c r="M253" s="52" t="s">
        <v>33</v>
      </c>
      <c r="N253" s="54" t="s">
        <v>10499</v>
      </c>
      <c r="O253" s="55" t="str">
        <f t="shared" si="5"/>
        <v>L02.02.01.02.04.00.02</v>
      </c>
      <c r="P253" s="169" t="str">
        <f t="shared" si="3"/>
        <v>Nhóm chuyển giao</v>
      </c>
      <c r="Q253" s="96"/>
      <c r="R253" s="96" t="s">
        <v>1850</v>
      </c>
      <c r="S253" s="96" t="s">
        <v>262</v>
      </c>
      <c r="T253" s="96" t="s">
        <v>93</v>
      </c>
      <c r="U253" s="96" t="s">
        <v>153</v>
      </c>
      <c r="V253" s="96"/>
      <c r="W253" s="96"/>
      <c r="X253" s="91"/>
      <c r="Y253" s="91"/>
      <c r="Z253" s="91"/>
      <c r="AA253" s="91"/>
      <c r="AB253" s="91"/>
    </row>
    <row r="254" ht="15.75" hidden="1" customHeight="1" outlineLevel="1">
      <c r="A254" s="51" t="s">
        <v>76</v>
      </c>
      <c r="B254" s="57" t="s">
        <v>77</v>
      </c>
      <c r="C254" s="51" t="s">
        <v>33</v>
      </c>
      <c r="D254" s="52" t="s">
        <v>89</v>
      </c>
      <c r="E254" s="53" t="s">
        <v>29</v>
      </c>
      <c r="F254" s="52" t="s">
        <v>90</v>
      </c>
      <c r="G254" s="52" t="s">
        <v>33</v>
      </c>
      <c r="H254" s="54" t="s">
        <v>92</v>
      </c>
      <c r="I254" s="52" t="s">
        <v>27</v>
      </c>
      <c r="J254" s="683"/>
      <c r="K254" s="52" t="s">
        <v>27</v>
      </c>
      <c r="L254" s="56" t="s">
        <v>4</v>
      </c>
      <c r="M254" s="52" t="s">
        <v>35</v>
      </c>
      <c r="N254" s="54" t="s">
        <v>10500</v>
      </c>
      <c r="O254" s="55" t="str">
        <f t="shared" si="5"/>
        <v>L02.02.01.02.00.00.03</v>
      </c>
      <c r="P254" s="169" t="str">
        <f t="shared" si="3"/>
        <v/>
      </c>
      <c r="Q254" s="96"/>
      <c r="R254" s="96" t="s">
        <v>8625</v>
      </c>
      <c r="S254" s="96" t="s">
        <v>2811</v>
      </c>
      <c r="T254" s="96" t="s">
        <v>2909</v>
      </c>
      <c r="U254" s="96"/>
      <c r="V254" s="96"/>
      <c r="W254" s="96"/>
      <c r="X254" s="91"/>
      <c r="Y254" s="91"/>
      <c r="Z254" s="91"/>
      <c r="AA254" s="91"/>
      <c r="AB254" s="91"/>
    </row>
    <row r="255" ht="15.75" hidden="1" customHeight="1" outlineLevel="1">
      <c r="A255" s="51" t="s">
        <v>76</v>
      </c>
      <c r="B255" s="57" t="s">
        <v>77</v>
      </c>
      <c r="C255" s="51" t="s">
        <v>33</v>
      </c>
      <c r="D255" s="52" t="s">
        <v>89</v>
      </c>
      <c r="E255" s="53" t="s">
        <v>29</v>
      </c>
      <c r="F255" s="52" t="s">
        <v>90</v>
      </c>
      <c r="G255" s="52" t="s">
        <v>33</v>
      </c>
      <c r="H255" s="54" t="s">
        <v>92</v>
      </c>
      <c r="I255" s="250" t="s">
        <v>29</v>
      </c>
      <c r="J255" s="684" t="s">
        <v>10984</v>
      </c>
      <c r="K255" s="52" t="s">
        <v>27</v>
      </c>
      <c r="L255" s="56" t="s">
        <v>4</v>
      </c>
      <c r="M255" s="52" t="s">
        <v>35</v>
      </c>
      <c r="N255" s="54" t="s">
        <v>10500</v>
      </c>
      <c r="O255" s="55" t="str">
        <f t="shared" si="5"/>
        <v>L02.02.01.02.01.00.03</v>
      </c>
      <c r="P255" s="169" t="str">
        <f t="shared" si="3"/>
        <v>Nhóm Quản lý</v>
      </c>
      <c r="Q255" s="96"/>
      <c r="R255" s="96"/>
      <c r="S255" s="96"/>
      <c r="T255" s="96"/>
      <c r="U255" s="96"/>
      <c r="V255" s="96"/>
      <c r="W255" s="96"/>
      <c r="X255" s="91"/>
      <c r="Y255" s="91"/>
      <c r="Z255" s="91"/>
      <c r="AA255" s="91"/>
      <c r="AB255" s="91"/>
    </row>
    <row r="256" ht="15.75" hidden="1" customHeight="1" outlineLevel="1">
      <c r="A256" s="51" t="s">
        <v>76</v>
      </c>
      <c r="B256" s="57" t="s">
        <v>77</v>
      </c>
      <c r="C256" s="51" t="s">
        <v>33</v>
      </c>
      <c r="D256" s="52" t="s">
        <v>89</v>
      </c>
      <c r="E256" s="53" t="s">
        <v>29</v>
      </c>
      <c r="F256" s="52" t="s">
        <v>90</v>
      </c>
      <c r="G256" s="52" t="s">
        <v>33</v>
      </c>
      <c r="H256" s="54" t="s">
        <v>92</v>
      </c>
      <c r="I256" s="170" t="s">
        <v>33</v>
      </c>
      <c r="J256" s="96" t="s">
        <v>2908</v>
      </c>
      <c r="K256" s="52" t="s">
        <v>27</v>
      </c>
      <c r="L256" s="56" t="s">
        <v>4</v>
      </c>
      <c r="M256" s="52" t="s">
        <v>35</v>
      </c>
      <c r="N256" s="54" t="s">
        <v>10500</v>
      </c>
      <c r="O256" s="55" t="str">
        <f t="shared" si="5"/>
        <v>L02.02.01.02.02.00.03</v>
      </c>
      <c r="P256" s="169" t="str">
        <f t="shared" si="3"/>
        <v>Nhóm KD CUKCUK &amp; ESHOP</v>
      </c>
      <c r="Q256" s="96"/>
      <c r="R256" s="96" t="s">
        <v>2910</v>
      </c>
      <c r="S256" s="96" t="s">
        <v>2811</v>
      </c>
      <c r="T256" s="96" t="s">
        <v>2909</v>
      </c>
      <c r="U256" s="96" t="s">
        <v>2908</v>
      </c>
      <c r="V256" s="96"/>
      <c r="W256" s="96"/>
      <c r="X256" s="91"/>
      <c r="Y256" s="91"/>
      <c r="Z256" s="91"/>
      <c r="AA256" s="91"/>
      <c r="AB256" s="91"/>
    </row>
    <row r="257" ht="15.75" hidden="1" customHeight="1" outlineLevel="1">
      <c r="A257" s="51" t="s">
        <v>76</v>
      </c>
      <c r="B257" s="57" t="s">
        <v>77</v>
      </c>
      <c r="C257" s="51" t="s">
        <v>33</v>
      </c>
      <c r="D257" s="52" t="s">
        <v>89</v>
      </c>
      <c r="E257" s="53" t="s">
        <v>29</v>
      </c>
      <c r="F257" s="52" t="s">
        <v>90</v>
      </c>
      <c r="G257" s="52" t="s">
        <v>33</v>
      </c>
      <c r="H257" s="54" t="s">
        <v>92</v>
      </c>
      <c r="I257" s="52" t="s">
        <v>27</v>
      </c>
      <c r="J257" s="687" t="s">
        <v>4</v>
      </c>
      <c r="K257" s="52" t="s">
        <v>27</v>
      </c>
      <c r="L257" s="56" t="s">
        <v>4</v>
      </c>
      <c r="M257" s="52" t="s">
        <v>37</v>
      </c>
      <c r="N257" s="54" t="s">
        <v>10501</v>
      </c>
      <c r="O257" s="55" t="str">
        <f t="shared" si="5"/>
        <v>L02.02.01.02.00.00.04</v>
      </c>
      <c r="P257" s="169" t="str">
        <f t="shared" si="3"/>
        <v>Phòng KD GP bán lẻ</v>
      </c>
      <c r="Q257" s="96"/>
      <c r="R257" s="96" t="s">
        <v>9079</v>
      </c>
      <c r="S257" s="96" t="s">
        <v>2732</v>
      </c>
      <c r="T257" s="96" t="s">
        <v>2761</v>
      </c>
      <c r="U257" s="96"/>
      <c r="V257" s="96"/>
      <c r="W257" s="96"/>
      <c r="X257" s="91"/>
      <c r="Y257" s="91"/>
      <c r="Z257" s="91"/>
      <c r="AA257" s="91"/>
      <c r="AB257" s="91"/>
    </row>
    <row r="258" ht="15.75" hidden="1" customHeight="1" outlineLevel="1">
      <c r="A258" s="51" t="s">
        <v>76</v>
      </c>
      <c r="B258" s="57" t="s">
        <v>77</v>
      </c>
      <c r="C258" s="51" t="s">
        <v>33</v>
      </c>
      <c r="D258" s="52" t="s">
        <v>89</v>
      </c>
      <c r="E258" s="53" t="s">
        <v>29</v>
      </c>
      <c r="F258" s="52" t="s">
        <v>90</v>
      </c>
      <c r="G258" s="52" t="s">
        <v>33</v>
      </c>
      <c r="H258" s="54" t="s">
        <v>92</v>
      </c>
      <c r="I258" s="250" t="s">
        <v>29</v>
      </c>
      <c r="J258" s="684" t="s">
        <v>10984</v>
      </c>
      <c r="K258" s="52" t="s">
        <v>27</v>
      </c>
      <c r="L258" s="56" t="s">
        <v>4</v>
      </c>
      <c r="M258" s="52" t="s">
        <v>37</v>
      </c>
      <c r="N258" s="54" t="s">
        <v>10501</v>
      </c>
      <c r="O258" s="55" t="str">
        <f t="shared" si="5"/>
        <v>L02.02.01.02.01.00.04</v>
      </c>
      <c r="P258" s="169" t="str">
        <f t="shared" si="3"/>
        <v>Nhóm Quản lý</v>
      </c>
      <c r="Q258" s="96"/>
      <c r="R258" s="96"/>
      <c r="S258" s="96"/>
      <c r="T258" s="96"/>
      <c r="U258" s="96"/>
      <c r="V258" s="96"/>
      <c r="W258" s="96"/>
      <c r="X258" s="91"/>
      <c r="Y258" s="91"/>
      <c r="Z258" s="91"/>
      <c r="AA258" s="91"/>
      <c r="AB258" s="91"/>
    </row>
    <row r="259" ht="15.75" hidden="1" customHeight="1" outlineLevel="1">
      <c r="A259" s="51" t="s">
        <v>76</v>
      </c>
      <c r="B259" s="57" t="s">
        <v>77</v>
      </c>
      <c r="C259" s="51" t="s">
        <v>33</v>
      </c>
      <c r="D259" s="52" t="s">
        <v>89</v>
      </c>
      <c r="E259" s="53" t="s">
        <v>29</v>
      </c>
      <c r="F259" s="52" t="s">
        <v>90</v>
      </c>
      <c r="G259" s="52" t="s">
        <v>33</v>
      </c>
      <c r="H259" s="54" t="s">
        <v>92</v>
      </c>
      <c r="I259" s="170" t="s">
        <v>33</v>
      </c>
      <c r="J259" s="96" t="s">
        <v>2908</v>
      </c>
      <c r="K259" s="52" t="s">
        <v>27</v>
      </c>
      <c r="L259" s="56" t="s">
        <v>4</v>
      </c>
      <c r="M259" s="52" t="s">
        <v>37</v>
      </c>
      <c r="N259" s="54" t="s">
        <v>10501</v>
      </c>
      <c r="O259" s="55" t="str">
        <f t="shared" si="5"/>
        <v>L02.02.01.02.02.00.04</v>
      </c>
      <c r="P259" s="169" t="str">
        <f t="shared" si="3"/>
        <v>Nhóm KD CUKCUK &amp; ESHOP</v>
      </c>
      <c r="Q259" s="96"/>
      <c r="R259" s="96" t="s">
        <v>7611</v>
      </c>
      <c r="S259" s="96" t="s">
        <v>2732</v>
      </c>
      <c r="T259" s="96" t="s">
        <v>2761</v>
      </c>
      <c r="U259" s="96" t="s">
        <v>2908</v>
      </c>
      <c r="V259" s="96"/>
      <c r="W259" s="96"/>
      <c r="X259" s="91"/>
      <c r="Y259" s="91"/>
      <c r="Z259" s="91"/>
      <c r="AA259" s="91"/>
      <c r="AB259" s="91"/>
    </row>
    <row r="260" ht="15.75" hidden="1" customHeight="1" outlineLevel="1">
      <c r="A260" s="51" t="s">
        <v>76</v>
      </c>
      <c r="B260" s="57" t="s">
        <v>77</v>
      </c>
      <c r="C260" s="51" t="s">
        <v>33</v>
      </c>
      <c r="D260" s="52" t="s">
        <v>89</v>
      </c>
      <c r="E260" s="53" t="s">
        <v>29</v>
      </c>
      <c r="F260" s="52" t="s">
        <v>90</v>
      </c>
      <c r="G260" s="52" t="s">
        <v>33</v>
      </c>
      <c r="H260" s="54" t="s">
        <v>92</v>
      </c>
      <c r="I260" s="52" t="s">
        <v>27</v>
      </c>
      <c r="J260" s="687" t="s">
        <v>4</v>
      </c>
      <c r="K260" s="52" t="s">
        <v>27</v>
      </c>
      <c r="L260" s="56" t="s">
        <v>4</v>
      </c>
      <c r="M260" s="52" t="s">
        <v>42</v>
      </c>
      <c r="N260" s="54" t="s">
        <v>10502</v>
      </c>
      <c r="O260" s="55" t="str">
        <f t="shared" si="5"/>
        <v>L02.02.01.02.00.00.05</v>
      </c>
      <c r="P260" s="169" t="str">
        <f t="shared" si="3"/>
        <v>Phòng KD GP bán lẻ</v>
      </c>
      <c r="Q260" s="96"/>
      <c r="R260" s="96" t="s">
        <v>3361</v>
      </c>
      <c r="S260" s="96" t="s">
        <v>325</v>
      </c>
      <c r="T260" s="96" t="s">
        <v>2761</v>
      </c>
      <c r="U260" s="96"/>
      <c r="V260" s="96"/>
      <c r="W260" s="96"/>
      <c r="X260" s="91"/>
      <c r="Y260" s="91"/>
      <c r="Z260" s="91"/>
      <c r="AA260" s="91"/>
      <c r="AB260" s="91"/>
    </row>
    <row r="261" ht="15.75" hidden="1" customHeight="1" outlineLevel="1">
      <c r="A261" s="51" t="s">
        <v>76</v>
      </c>
      <c r="B261" s="57" t="s">
        <v>77</v>
      </c>
      <c r="C261" s="51" t="s">
        <v>33</v>
      </c>
      <c r="D261" s="52" t="s">
        <v>89</v>
      </c>
      <c r="E261" s="53" t="s">
        <v>29</v>
      </c>
      <c r="F261" s="52" t="s">
        <v>90</v>
      </c>
      <c r="G261" s="52" t="s">
        <v>33</v>
      </c>
      <c r="H261" s="54" t="s">
        <v>92</v>
      </c>
      <c r="I261" s="250" t="s">
        <v>29</v>
      </c>
      <c r="J261" s="684" t="s">
        <v>10984</v>
      </c>
      <c r="K261" s="52" t="s">
        <v>27</v>
      </c>
      <c r="L261" s="56" t="s">
        <v>4</v>
      </c>
      <c r="M261" s="52" t="s">
        <v>42</v>
      </c>
      <c r="N261" s="54" t="s">
        <v>10502</v>
      </c>
      <c r="O261" s="55" t="str">
        <f t="shared" si="5"/>
        <v>L02.02.01.02.01.00.05</v>
      </c>
      <c r="P261" s="169" t="str">
        <f t="shared" si="3"/>
        <v>Nhóm Quản lý</v>
      </c>
      <c r="Q261" s="96"/>
      <c r="R261" s="96"/>
      <c r="S261" s="96"/>
      <c r="T261" s="96"/>
      <c r="U261" s="96"/>
      <c r="V261" s="96"/>
      <c r="W261" s="96"/>
      <c r="X261" s="91"/>
      <c r="Y261" s="91"/>
      <c r="Z261" s="91"/>
      <c r="AA261" s="91"/>
      <c r="AB261" s="91"/>
    </row>
    <row r="262" ht="15.75" hidden="1" customHeight="1" outlineLevel="1">
      <c r="A262" s="51" t="s">
        <v>76</v>
      </c>
      <c r="B262" s="57" t="s">
        <v>77</v>
      </c>
      <c r="C262" s="51" t="s">
        <v>33</v>
      </c>
      <c r="D262" s="52" t="s">
        <v>89</v>
      </c>
      <c r="E262" s="53" t="s">
        <v>29</v>
      </c>
      <c r="F262" s="52" t="s">
        <v>90</v>
      </c>
      <c r="G262" s="52" t="s">
        <v>33</v>
      </c>
      <c r="H262" s="54" t="s">
        <v>92</v>
      </c>
      <c r="I262" s="170" t="s">
        <v>33</v>
      </c>
      <c r="J262" s="96" t="s">
        <v>2908</v>
      </c>
      <c r="K262" s="52" t="s">
        <v>27</v>
      </c>
      <c r="L262" s="56" t="s">
        <v>4</v>
      </c>
      <c r="M262" s="52" t="s">
        <v>42</v>
      </c>
      <c r="N262" s="54" t="s">
        <v>10502</v>
      </c>
      <c r="O262" s="55" t="str">
        <f t="shared" si="5"/>
        <v>L02.02.01.02.02.00.05</v>
      </c>
      <c r="P262" s="169" t="str">
        <f t="shared" si="3"/>
        <v>Nhóm KD CUKCUK &amp; ESHOP</v>
      </c>
      <c r="Q262" s="96"/>
      <c r="R262" s="96" t="s">
        <v>3407</v>
      </c>
      <c r="S262" s="96" t="s">
        <v>325</v>
      </c>
      <c r="T262" s="96" t="s">
        <v>2761</v>
      </c>
      <c r="U262" s="96" t="s">
        <v>2908</v>
      </c>
      <c r="V262" s="96"/>
      <c r="W262" s="96"/>
      <c r="X262" s="91"/>
      <c r="Y262" s="91"/>
      <c r="Z262" s="91"/>
      <c r="AA262" s="91"/>
      <c r="AB262" s="91"/>
    </row>
    <row r="263" ht="15.75" hidden="1" customHeight="1" outlineLevel="1">
      <c r="A263" s="51" t="s">
        <v>76</v>
      </c>
      <c r="B263" s="57" t="s">
        <v>77</v>
      </c>
      <c r="C263" s="51" t="s">
        <v>33</v>
      </c>
      <c r="D263" s="52" t="s">
        <v>89</v>
      </c>
      <c r="E263" s="53" t="s">
        <v>29</v>
      </c>
      <c r="F263" s="52" t="s">
        <v>90</v>
      </c>
      <c r="G263" s="62" t="s">
        <v>35</v>
      </c>
      <c r="H263" s="54" t="s">
        <v>102</v>
      </c>
      <c r="I263" s="52" t="s">
        <v>27</v>
      </c>
      <c r="J263" s="56" t="s">
        <v>4</v>
      </c>
      <c r="K263" s="52" t="s">
        <v>27</v>
      </c>
      <c r="L263" s="56" t="s">
        <v>4</v>
      </c>
      <c r="M263" s="62" t="s">
        <v>29</v>
      </c>
      <c r="N263" s="54" t="s">
        <v>10498</v>
      </c>
      <c r="O263" s="55" t="str">
        <f t="shared" si="5"/>
        <v>L02.02.01.03.00.00.01</v>
      </c>
      <c r="P263" s="169" t="str">
        <f t="shared" si="3"/>
        <v>Phòng KD bán thêm GP bán lẻ</v>
      </c>
      <c r="Q263" s="96"/>
      <c r="R263" s="96"/>
      <c r="S263" s="96"/>
      <c r="T263" s="96"/>
      <c r="U263" s="96"/>
      <c r="V263" s="96"/>
      <c r="W263" s="96"/>
      <c r="X263" s="91"/>
      <c r="Y263" s="91"/>
      <c r="Z263" s="91"/>
      <c r="AA263" s="91"/>
      <c r="AB263" s="91"/>
    </row>
    <row r="264" ht="15.75" hidden="1" customHeight="1" outlineLevel="1">
      <c r="A264" s="51" t="s">
        <v>76</v>
      </c>
      <c r="B264" s="57" t="s">
        <v>77</v>
      </c>
      <c r="C264" s="51" t="s">
        <v>33</v>
      </c>
      <c r="D264" s="52" t="s">
        <v>89</v>
      </c>
      <c r="E264" s="53" t="s">
        <v>29</v>
      </c>
      <c r="F264" s="52" t="s">
        <v>90</v>
      </c>
      <c r="G264" s="62" t="s">
        <v>35</v>
      </c>
      <c r="H264" s="54" t="s">
        <v>102</v>
      </c>
      <c r="I264" s="52" t="s">
        <v>27</v>
      </c>
      <c r="J264" s="56" t="s">
        <v>4</v>
      </c>
      <c r="K264" s="52" t="s">
        <v>27</v>
      </c>
      <c r="L264" s="56" t="s">
        <v>4</v>
      </c>
      <c r="M264" s="62" t="s">
        <v>33</v>
      </c>
      <c r="N264" s="54" t="s">
        <v>10499</v>
      </c>
      <c r="O264" s="55" t="str">
        <f t="shared" si="5"/>
        <v>L02.02.01.03.00.00.02</v>
      </c>
      <c r="P264" s="169" t="str">
        <f t="shared" si="3"/>
        <v>Phòng KD bán thêm GP bán lẻ</v>
      </c>
      <c r="Q264" s="96"/>
      <c r="R264" s="96"/>
      <c r="S264" s="96"/>
      <c r="T264" s="96"/>
      <c r="U264" s="96"/>
      <c r="V264" s="96"/>
      <c r="W264" s="96"/>
      <c r="X264" s="91"/>
      <c r="Y264" s="91"/>
      <c r="Z264" s="91"/>
      <c r="AA264" s="91"/>
      <c r="AB264" s="91"/>
    </row>
    <row r="265" ht="15.75" hidden="1" customHeight="1" outlineLevel="1">
      <c r="A265" s="51" t="s">
        <v>76</v>
      </c>
      <c r="B265" s="57" t="s">
        <v>77</v>
      </c>
      <c r="C265" s="51" t="s">
        <v>33</v>
      </c>
      <c r="D265" s="52" t="s">
        <v>89</v>
      </c>
      <c r="E265" s="53" t="s">
        <v>29</v>
      </c>
      <c r="F265" s="52" t="s">
        <v>90</v>
      </c>
      <c r="G265" s="62" t="s">
        <v>37</v>
      </c>
      <c r="H265" s="54" t="s">
        <v>103</v>
      </c>
      <c r="I265" s="52" t="s">
        <v>27</v>
      </c>
      <c r="J265" s="56" t="s">
        <v>4</v>
      </c>
      <c r="K265" s="52" t="s">
        <v>27</v>
      </c>
      <c r="L265" s="56" t="s">
        <v>4</v>
      </c>
      <c r="M265" s="62" t="s">
        <v>29</v>
      </c>
      <c r="N265" s="54" t="s">
        <v>10498</v>
      </c>
      <c r="O265" s="55" t="str">
        <f t="shared" si="5"/>
        <v>L02.02.01.04.00.00.01</v>
      </c>
      <c r="P265" s="169" t="str">
        <f t="shared" si="3"/>
        <v>Phòng KD mạng lưới GP bán lẻ</v>
      </c>
      <c r="Q265" s="96"/>
      <c r="R265" s="96"/>
      <c r="S265" s="96"/>
      <c r="T265" s="96"/>
      <c r="U265" s="96"/>
      <c r="V265" s="96"/>
      <c r="W265" s="96"/>
      <c r="X265" s="91"/>
      <c r="Y265" s="91"/>
      <c r="Z265" s="91"/>
      <c r="AA265" s="91"/>
      <c r="AB265" s="91"/>
    </row>
    <row r="266" ht="15.75" hidden="1" customHeight="1" outlineLevel="1">
      <c r="A266" s="51" t="s">
        <v>76</v>
      </c>
      <c r="B266" s="57" t="s">
        <v>77</v>
      </c>
      <c r="C266" s="51" t="s">
        <v>33</v>
      </c>
      <c r="D266" s="52" t="s">
        <v>89</v>
      </c>
      <c r="E266" s="53" t="s">
        <v>29</v>
      </c>
      <c r="F266" s="52" t="s">
        <v>90</v>
      </c>
      <c r="G266" s="62" t="s">
        <v>37</v>
      </c>
      <c r="H266" s="54" t="s">
        <v>103</v>
      </c>
      <c r="I266" s="52" t="s">
        <v>27</v>
      </c>
      <c r="J266" s="56" t="s">
        <v>4</v>
      </c>
      <c r="K266" s="52" t="s">
        <v>27</v>
      </c>
      <c r="L266" s="56" t="s">
        <v>4</v>
      </c>
      <c r="M266" s="62" t="s">
        <v>33</v>
      </c>
      <c r="N266" s="54" t="s">
        <v>10499</v>
      </c>
      <c r="O266" s="55" t="str">
        <f t="shared" si="5"/>
        <v>L02.02.01.04.00.00.02</v>
      </c>
      <c r="P266" s="169" t="str">
        <f t="shared" si="3"/>
        <v>Phòng KD mạng lưới GP bán lẻ</v>
      </c>
      <c r="Q266" s="96"/>
      <c r="R266" s="96"/>
      <c r="S266" s="96"/>
      <c r="T266" s="96"/>
      <c r="U266" s="96"/>
      <c r="V266" s="96"/>
      <c r="W266" s="96"/>
      <c r="X266" s="91"/>
      <c r="Y266" s="91"/>
      <c r="Z266" s="91"/>
      <c r="AA266" s="91"/>
      <c r="AB266" s="91"/>
    </row>
    <row r="267" ht="15.75" hidden="1" customHeight="1" outlineLevel="1">
      <c r="A267" s="51" t="s">
        <v>76</v>
      </c>
      <c r="B267" s="57" t="s">
        <v>77</v>
      </c>
      <c r="C267" s="51" t="s">
        <v>33</v>
      </c>
      <c r="D267" s="52" t="s">
        <v>89</v>
      </c>
      <c r="E267" s="53" t="s">
        <v>29</v>
      </c>
      <c r="F267" s="52" t="s">
        <v>90</v>
      </c>
      <c r="G267" s="53" t="s">
        <v>42</v>
      </c>
      <c r="H267" s="54" t="s">
        <v>104</v>
      </c>
      <c r="I267" s="52" t="s">
        <v>27</v>
      </c>
      <c r="J267" s="56" t="s">
        <v>4</v>
      </c>
      <c r="K267" s="52" t="s">
        <v>27</v>
      </c>
      <c r="L267" s="56" t="s">
        <v>4</v>
      </c>
      <c r="M267" s="62" t="s">
        <v>44</v>
      </c>
      <c r="N267" s="54" t="s">
        <v>10505</v>
      </c>
      <c r="O267" s="55" t="str">
        <f t="shared" si="5"/>
        <v>L02.02.01.05.00.00.06</v>
      </c>
      <c r="P267" s="169" t="str">
        <f t="shared" si="3"/>
        <v>Nhóm MKT Bán lẻ</v>
      </c>
      <c r="Q267" s="96"/>
      <c r="R267" s="96" t="s">
        <v>337</v>
      </c>
      <c r="S267" s="96" t="s">
        <v>303</v>
      </c>
      <c r="T267" s="96" t="s">
        <v>335</v>
      </c>
      <c r="U267" s="96" t="s">
        <v>336</v>
      </c>
      <c r="V267" s="96" t="s">
        <v>104</v>
      </c>
      <c r="W267" s="96"/>
      <c r="X267" s="91"/>
      <c r="Y267" s="91"/>
      <c r="Z267" s="91"/>
      <c r="AA267" s="91"/>
      <c r="AB267" s="91"/>
    </row>
    <row r="268" ht="15.75" hidden="1" customHeight="1" outlineLevel="1">
      <c r="A268" s="51" t="s">
        <v>76</v>
      </c>
      <c r="B268" s="57" t="s">
        <v>77</v>
      </c>
      <c r="C268" s="51" t="s">
        <v>33</v>
      </c>
      <c r="D268" s="52" t="s">
        <v>89</v>
      </c>
      <c r="E268" s="53" t="s">
        <v>29</v>
      </c>
      <c r="F268" s="52" t="s">
        <v>90</v>
      </c>
      <c r="G268" s="53" t="s">
        <v>42</v>
      </c>
      <c r="H268" s="54" t="s">
        <v>104</v>
      </c>
      <c r="I268" s="64" t="s">
        <v>29</v>
      </c>
      <c r="J268" s="70" t="s">
        <v>105</v>
      </c>
      <c r="K268" s="52" t="s">
        <v>27</v>
      </c>
      <c r="L268" s="56" t="s">
        <v>4</v>
      </c>
      <c r="M268" s="62" t="s">
        <v>44</v>
      </c>
      <c r="N268" s="54" t="s">
        <v>10505</v>
      </c>
      <c r="O268" s="55" t="str">
        <f t="shared" si="5"/>
        <v>L02.02.01.05.01.00.06</v>
      </c>
      <c r="P268" s="169" t="str">
        <f t="shared" si="3"/>
        <v>Nhóm MKT Sản phẩm CUKCUK</v>
      </c>
      <c r="Q268" s="96"/>
      <c r="R268" s="96"/>
      <c r="S268" s="96"/>
      <c r="T268" s="96"/>
      <c r="U268" s="96"/>
      <c r="V268" s="96"/>
      <c r="W268" s="96"/>
      <c r="X268" s="91"/>
      <c r="Y268" s="91"/>
      <c r="Z268" s="91"/>
      <c r="AA268" s="91"/>
      <c r="AB268" s="91"/>
    </row>
    <row r="269" ht="15.75" hidden="1" customHeight="1" outlineLevel="1">
      <c r="A269" s="51" t="s">
        <v>76</v>
      </c>
      <c r="B269" s="57" t="s">
        <v>77</v>
      </c>
      <c r="C269" s="51" t="s">
        <v>33</v>
      </c>
      <c r="D269" s="52" t="s">
        <v>89</v>
      </c>
      <c r="E269" s="53" t="s">
        <v>29</v>
      </c>
      <c r="F269" s="52" t="s">
        <v>90</v>
      </c>
      <c r="G269" s="53" t="s">
        <v>42</v>
      </c>
      <c r="H269" s="54" t="s">
        <v>104</v>
      </c>
      <c r="I269" s="64" t="s">
        <v>33</v>
      </c>
      <c r="J269" s="70" t="s">
        <v>106</v>
      </c>
      <c r="K269" s="52" t="s">
        <v>27</v>
      </c>
      <c r="L269" s="56" t="s">
        <v>4</v>
      </c>
      <c r="M269" s="62" t="s">
        <v>44</v>
      </c>
      <c r="N269" s="54" t="s">
        <v>10505</v>
      </c>
      <c r="O269" s="55" t="str">
        <f t="shared" si="5"/>
        <v>L02.02.01.05.02.00.06</v>
      </c>
      <c r="P269" s="169" t="str">
        <f t="shared" si="3"/>
        <v>Nhóm MKT Sản phẩm ESHOP</v>
      </c>
      <c r="Q269" s="96"/>
      <c r="R269" s="96"/>
      <c r="S269" s="96"/>
      <c r="T269" s="96"/>
      <c r="U269" s="96"/>
      <c r="V269" s="96"/>
      <c r="W269" s="96"/>
      <c r="X269" s="91"/>
      <c r="Y269" s="91"/>
      <c r="Z269" s="91"/>
      <c r="AA269" s="91"/>
      <c r="AB269" s="91"/>
    </row>
    <row r="270" ht="15.75" customHeight="1" collapsed="1">
      <c r="A270" s="65" t="s">
        <v>10506</v>
      </c>
      <c r="B270" s="66"/>
      <c r="C270" s="66"/>
      <c r="D270" s="66"/>
      <c r="E270" s="67"/>
      <c r="F270" s="66"/>
      <c r="G270" s="66"/>
      <c r="H270" s="68"/>
      <c r="I270" s="66"/>
      <c r="J270" s="69"/>
      <c r="K270" s="66"/>
      <c r="L270" s="68"/>
      <c r="M270" s="66"/>
      <c r="N270" s="68"/>
      <c r="O270" s="69"/>
      <c r="P270" s="169" t="str">
        <f t="shared" si="3"/>
        <v/>
      </c>
      <c r="Q270" s="96"/>
      <c r="R270" s="96"/>
      <c r="S270" s="96"/>
      <c r="T270" s="96"/>
      <c r="U270" s="96"/>
      <c r="V270" s="96"/>
      <c r="W270" s="96"/>
      <c r="X270" s="91"/>
      <c r="Y270" s="91"/>
      <c r="Z270" s="91"/>
      <c r="AA270" s="91"/>
      <c r="AB270" s="91"/>
    </row>
    <row r="271" ht="15.75" customHeight="1" outlineLevel="1">
      <c r="A271" s="51" t="s">
        <v>76</v>
      </c>
      <c r="B271" s="57" t="s">
        <v>77</v>
      </c>
      <c r="C271" s="51" t="s">
        <v>33</v>
      </c>
      <c r="D271" s="52" t="s">
        <v>89</v>
      </c>
      <c r="E271" s="53" t="s">
        <v>33</v>
      </c>
      <c r="F271" s="52" t="s">
        <v>107</v>
      </c>
      <c r="G271" s="62" t="s">
        <v>29</v>
      </c>
      <c r="H271" s="54" t="s">
        <v>108</v>
      </c>
      <c r="I271" s="53" t="s">
        <v>27</v>
      </c>
      <c r="J271" s="155" t="s">
        <v>4</v>
      </c>
      <c r="K271" s="166" t="s">
        <v>27</v>
      </c>
      <c r="L271" s="155" t="s">
        <v>4</v>
      </c>
      <c r="M271" s="422" t="s">
        <v>29</v>
      </c>
      <c r="N271" s="158" t="s">
        <v>10498</v>
      </c>
      <c r="O271" s="55" t="str">
        <f t="shared" ref="O271:O352" si="6">A271&amp;"."&amp;C271&amp;"."&amp;E271&amp;"."&amp;G271&amp;"."&amp;I271&amp;"."&amp;K271&amp;"."&amp;M271</f>
        <v>L02.02.02.01.00.00.01</v>
      </c>
      <c r="P271" s="169" t="str">
        <f t="shared" si="3"/>
        <v>Ban giám đốc Khối DN Nhỏ</v>
      </c>
      <c r="Q271" s="96"/>
      <c r="R271" s="96"/>
      <c r="S271" s="96"/>
      <c r="T271" s="96"/>
      <c r="U271" s="96"/>
      <c r="V271" s="96"/>
      <c r="W271" s="96"/>
      <c r="X271" s="91"/>
      <c r="Y271" s="91"/>
      <c r="Z271" s="91"/>
      <c r="AA271" s="91"/>
      <c r="AB271" s="91"/>
    </row>
    <row r="272" ht="15.75" customHeight="1" outlineLevel="1">
      <c r="A272" s="51" t="s">
        <v>76</v>
      </c>
      <c r="B272" s="57" t="s">
        <v>77</v>
      </c>
      <c r="C272" s="51" t="s">
        <v>33</v>
      </c>
      <c r="D272" s="52" t="s">
        <v>89</v>
      </c>
      <c r="E272" s="53" t="s">
        <v>33</v>
      </c>
      <c r="F272" s="52" t="s">
        <v>107</v>
      </c>
      <c r="G272" s="62" t="s">
        <v>33</v>
      </c>
      <c r="H272" s="54" t="s">
        <v>112</v>
      </c>
      <c r="I272" s="62" t="s">
        <v>29</v>
      </c>
      <c r="J272" s="159" t="s">
        <v>113</v>
      </c>
      <c r="K272" s="166" t="s">
        <v>27</v>
      </c>
      <c r="L272" s="155" t="s">
        <v>4</v>
      </c>
      <c r="M272" s="422" t="s">
        <v>29</v>
      </c>
      <c r="N272" s="158" t="s">
        <v>10498</v>
      </c>
      <c r="O272" s="55" t="str">
        <f t="shared" si="6"/>
        <v>L02.02.02.02.01.00.01</v>
      </c>
      <c r="P272" s="169" t="str">
        <f t="shared" si="3"/>
        <v>Ban giám đốc TTKD GP KTDN</v>
      </c>
      <c r="Q272" s="96"/>
      <c r="R272" s="96" t="s">
        <v>9647</v>
      </c>
      <c r="S272" s="96" t="s">
        <v>346</v>
      </c>
      <c r="T272" s="96" t="s">
        <v>112</v>
      </c>
      <c r="U272" s="96" t="s">
        <v>113</v>
      </c>
      <c r="V272" s="96"/>
      <c r="W272" s="96"/>
      <c r="X272" s="91"/>
      <c r="Y272" s="91"/>
      <c r="Z272" s="91"/>
      <c r="AA272" s="91"/>
      <c r="AB272" s="91"/>
    </row>
    <row r="273" ht="15.75" customHeight="1" outlineLevel="1">
      <c r="A273" s="51" t="s">
        <v>76</v>
      </c>
      <c r="B273" s="57" t="s">
        <v>77</v>
      </c>
      <c r="C273" s="51" t="s">
        <v>33</v>
      </c>
      <c r="D273" s="52" t="s">
        <v>89</v>
      </c>
      <c r="E273" s="53" t="s">
        <v>33</v>
      </c>
      <c r="F273" s="52" t="s">
        <v>107</v>
      </c>
      <c r="G273" s="62" t="s">
        <v>33</v>
      </c>
      <c r="H273" s="54" t="s">
        <v>112</v>
      </c>
      <c r="I273" s="57" t="s">
        <v>33</v>
      </c>
      <c r="J273" s="163" t="s">
        <v>1260</v>
      </c>
      <c r="K273" s="166" t="s">
        <v>27</v>
      </c>
      <c r="L273" s="155" t="s">
        <v>4</v>
      </c>
      <c r="M273" s="422" t="s">
        <v>29</v>
      </c>
      <c r="N273" s="158" t="s">
        <v>10498</v>
      </c>
      <c r="O273" s="55" t="str">
        <f t="shared" si="6"/>
        <v>L02.02.02.02.02.00.01</v>
      </c>
      <c r="P273" s="169" t="str">
        <f t="shared" si="3"/>
        <v>Phòng KD bán mới KTDN 1</v>
      </c>
      <c r="Q273" s="96"/>
      <c r="R273" s="96" t="s">
        <v>1261</v>
      </c>
      <c r="S273" s="96" t="s">
        <v>346</v>
      </c>
      <c r="T273" s="96" t="s">
        <v>112</v>
      </c>
      <c r="U273" s="96" t="s">
        <v>1260</v>
      </c>
      <c r="V273" s="96"/>
      <c r="W273" s="96"/>
      <c r="X273" s="91"/>
      <c r="Y273" s="91"/>
      <c r="Z273" s="91"/>
      <c r="AA273" s="91"/>
      <c r="AB273" s="91"/>
    </row>
    <row r="274" ht="15.75" customHeight="1" outlineLevel="1">
      <c r="A274" s="51" t="s">
        <v>76</v>
      </c>
      <c r="B274" s="57" t="s">
        <v>77</v>
      </c>
      <c r="C274" s="51" t="s">
        <v>33</v>
      </c>
      <c r="D274" s="52" t="s">
        <v>89</v>
      </c>
      <c r="E274" s="53" t="s">
        <v>33</v>
      </c>
      <c r="F274" s="52" t="s">
        <v>107</v>
      </c>
      <c r="G274" s="62" t="s">
        <v>33</v>
      </c>
      <c r="H274" s="54" t="s">
        <v>112</v>
      </c>
      <c r="I274" s="57" t="s">
        <v>35</v>
      </c>
      <c r="J274" s="163" t="s">
        <v>390</v>
      </c>
      <c r="K274" s="166" t="s">
        <v>27</v>
      </c>
      <c r="L274" s="155" t="s">
        <v>4</v>
      </c>
      <c r="M274" s="422" t="s">
        <v>29</v>
      </c>
      <c r="N274" s="158" t="s">
        <v>10498</v>
      </c>
      <c r="O274" s="55" t="str">
        <f t="shared" si="6"/>
        <v>L02.02.02.02.03.00.01</v>
      </c>
      <c r="P274" s="169" t="str">
        <f t="shared" si="3"/>
        <v>Phòng KD bán mới KTDN 3</v>
      </c>
      <c r="Q274" s="96"/>
      <c r="R274" s="96" t="s">
        <v>391</v>
      </c>
      <c r="S274" s="96" t="s">
        <v>346</v>
      </c>
      <c r="T274" s="96" t="s">
        <v>112</v>
      </c>
      <c r="U274" s="96" t="s">
        <v>390</v>
      </c>
      <c r="V274" s="96"/>
      <c r="W274" s="96"/>
      <c r="X274" s="91"/>
      <c r="Y274" s="91"/>
      <c r="Z274" s="91"/>
      <c r="AA274" s="91"/>
      <c r="AB274" s="91"/>
    </row>
    <row r="275" ht="15.75" customHeight="1" outlineLevel="1">
      <c r="A275" s="51" t="s">
        <v>76</v>
      </c>
      <c r="B275" s="57" t="s">
        <v>77</v>
      </c>
      <c r="C275" s="51" t="s">
        <v>33</v>
      </c>
      <c r="D275" s="52" t="s">
        <v>89</v>
      </c>
      <c r="E275" s="53" t="s">
        <v>33</v>
      </c>
      <c r="F275" s="52" t="s">
        <v>107</v>
      </c>
      <c r="G275" s="62" t="s">
        <v>33</v>
      </c>
      <c r="H275" s="54" t="s">
        <v>112</v>
      </c>
      <c r="I275" s="57" t="s">
        <v>37</v>
      </c>
      <c r="J275" s="163" t="s">
        <v>403</v>
      </c>
      <c r="K275" s="166" t="s">
        <v>27</v>
      </c>
      <c r="L275" s="155" t="s">
        <v>4</v>
      </c>
      <c r="M275" s="422" t="s">
        <v>29</v>
      </c>
      <c r="N275" s="158" t="s">
        <v>10498</v>
      </c>
      <c r="O275" s="55" t="str">
        <f t="shared" si="6"/>
        <v>L02.02.02.02.04.00.01</v>
      </c>
      <c r="P275" s="169" t="str">
        <f t="shared" si="3"/>
        <v>Phòng KD bán mới KTDN 4</v>
      </c>
      <c r="Q275" s="96"/>
      <c r="R275" s="96" t="s">
        <v>404</v>
      </c>
      <c r="S275" s="96" t="s">
        <v>346</v>
      </c>
      <c r="T275" s="96" t="s">
        <v>112</v>
      </c>
      <c r="U275" s="96" t="s">
        <v>403</v>
      </c>
      <c r="V275" s="96"/>
      <c r="W275" s="96"/>
      <c r="X275" s="91"/>
      <c r="Y275" s="91"/>
      <c r="Z275" s="91"/>
      <c r="AA275" s="91"/>
      <c r="AB275" s="91"/>
    </row>
    <row r="276" ht="15.75" customHeight="1" outlineLevel="1">
      <c r="A276" s="51" t="s">
        <v>76</v>
      </c>
      <c r="B276" s="57" t="s">
        <v>77</v>
      </c>
      <c r="C276" s="51" t="s">
        <v>33</v>
      </c>
      <c r="D276" s="52" t="s">
        <v>89</v>
      </c>
      <c r="E276" s="53" t="s">
        <v>33</v>
      </c>
      <c r="F276" s="52" t="s">
        <v>107</v>
      </c>
      <c r="G276" s="62" t="s">
        <v>33</v>
      </c>
      <c r="H276" s="54" t="s">
        <v>112</v>
      </c>
      <c r="I276" s="57" t="s">
        <v>42</v>
      </c>
      <c r="J276" s="163" t="s">
        <v>1130</v>
      </c>
      <c r="K276" s="166" t="s">
        <v>27</v>
      </c>
      <c r="L276" s="155" t="s">
        <v>4</v>
      </c>
      <c r="M276" s="422" t="s">
        <v>29</v>
      </c>
      <c r="N276" s="158" t="s">
        <v>10498</v>
      </c>
      <c r="O276" s="55" t="str">
        <f t="shared" si="6"/>
        <v>L02.02.02.02.05.00.01</v>
      </c>
      <c r="P276" s="169" t="str">
        <f t="shared" si="3"/>
        <v>Phòng KD bán mới KTDN 5</v>
      </c>
      <c r="Q276" s="96"/>
      <c r="R276" s="96" t="s">
        <v>1131</v>
      </c>
      <c r="S276" s="96" t="s">
        <v>346</v>
      </c>
      <c r="T276" s="96" t="s">
        <v>112</v>
      </c>
      <c r="U276" s="96" t="s">
        <v>1130</v>
      </c>
      <c r="V276" s="96"/>
      <c r="W276" s="96"/>
      <c r="X276" s="91"/>
      <c r="Y276" s="91"/>
      <c r="Z276" s="91"/>
      <c r="AA276" s="91"/>
      <c r="AB276" s="91"/>
    </row>
    <row r="277" ht="15.75" customHeight="1" outlineLevel="1">
      <c r="A277" s="51" t="s">
        <v>76</v>
      </c>
      <c r="B277" s="57" t="s">
        <v>77</v>
      </c>
      <c r="C277" s="51" t="s">
        <v>33</v>
      </c>
      <c r="D277" s="52" t="s">
        <v>89</v>
      </c>
      <c r="E277" s="53" t="s">
        <v>33</v>
      </c>
      <c r="F277" s="52" t="s">
        <v>107</v>
      </c>
      <c r="G277" s="62" t="s">
        <v>33</v>
      </c>
      <c r="H277" s="54" t="s">
        <v>112</v>
      </c>
      <c r="I277" s="57" t="s">
        <v>44</v>
      </c>
      <c r="J277" s="163" t="s">
        <v>1139</v>
      </c>
      <c r="K277" s="166" t="s">
        <v>27</v>
      </c>
      <c r="L277" s="155" t="s">
        <v>4</v>
      </c>
      <c r="M277" s="422" t="s">
        <v>29</v>
      </c>
      <c r="N277" s="158" t="s">
        <v>10498</v>
      </c>
      <c r="O277" s="55" t="str">
        <f t="shared" si="6"/>
        <v>L02.02.02.02.06.00.01</v>
      </c>
      <c r="P277" s="169" t="str">
        <f t="shared" si="3"/>
        <v>Phòng KD bán mới KTDN 7</v>
      </c>
      <c r="Q277" s="96"/>
      <c r="R277" s="96" t="s">
        <v>1140</v>
      </c>
      <c r="S277" s="96" t="s">
        <v>346</v>
      </c>
      <c r="T277" s="96" t="s">
        <v>112</v>
      </c>
      <c r="U277" s="96" t="s">
        <v>1139</v>
      </c>
      <c r="V277" s="96"/>
      <c r="W277" s="96"/>
      <c r="X277" s="91"/>
      <c r="Y277" s="91"/>
      <c r="Z277" s="91"/>
      <c r="AA277" s="91"/>
      <c r="AB277" s="91"/>
    </row>
    <row r="278" ht="15.75" customHeight="1" outlineLevel="1">
      <c r="A278" s="51" t="s">
        <v>76</v>
      </c>
      <c r="B278" s="57" t="s">
        <v>77</v>
      </c>
      <c r="C278" s="51" t="s">
        <v>33</v>
      </c>
      <c r="D278" s="52" t="s">
        <v>89</v>
      </c>
      <c r="E278" s="53" t="s">
        <v>33</v>
      </c>
      <c r="F278" s="52" t="s">
        <v>107</v>
      </c>
      <c r="G278" s="62" t="s">
        <v>33</v>
      </c>
      <c r="H278" s="54" t="s">
        <v>112</v>
      </c>
      <c r="I278" s="57" t="s">
        <v>46</v>
      </c>
      <c r="J278" s="163" t="s">
        <v>397</v>
      </c>
      <c r="K278" s="166" t="s">
        <v>27</v>
      </c>
      <c r="L278" s="155" t="s">
        <v>4</v>
      </c>
      <c r="M278" s="422" t="s">
        <v>29</v>
      </c>
      <c r="N278" s="158" t="s">
        <v>10498</v>
      </c>
      <c r="O278" s="55" t="str">
        <f t="shared" si="6"/>
        <v>L02.02.02.02.07.00.01</v>
      </c>
      <c r="P278" s="169" t="str">
        <f t="shared" si="3"/>
        <v>Phòng KD bán mới KTDN 8</v>
      </c>
      <c r="Q278" s="96"/>
      <c r="R278" s="96" t="s">
        <v>398</v>
      </c>
      <c r="S278" s="96" t="s">
        <v>346</v>
      </c>
      <c r="T278" s="96" t="s">
        <v>112</v>
      </c>
      <c r="U278" s="96" t="s">
        <v>397</v>
      </c>
      <c r="V278" s="96"/>
      <c r="W278" s="96"/>
      <c r="X278" s="91"/>
      <c r="Y278" s="91"/>
      <c r="Z278" s="91"/>
      <c r="AA278" s="91"/>
      <c r="AB278" s="91"/>
    </row>
    <row r="279" ht="15.75" customHeight="1" outlineLevel="1">
      <c r="A279" s="51" t="s">
        <v>76</v>
      </c>
      <c r="B279" s="57" t="s">
        <v>77</v>
      </c>
      <c r="C279" s="51" t="s">
        <v>33</v>
      </c>
      <c r="D279" s="52" t="s">
        <v>89</v>
      </c>
      <c r="E279" s="53" t="s">
        <v>33</v>
      </c>
      <c r="F279" s="52" t="s">
        <v>107</v>
      </c>
      <c r="G279" s="62" t="s">
        <v>35</v>
      </c>
      <c r="H279" s="54" t="s">
        <v>121</v>
      </c>
      <c r="I279" s="62" t="s">
        <v>29</v>
      </c>
      <c r="J279" s="159" t="s">
        <v>122</v>
      </c>
      <c r="K279" s="166" t="s">
        <v>27</v>
      </c>
      <c r="L279" s="155" t="s">
        <v>4</v>
      </c>
      <c r="M279" s="422" t="s">
        <v>29</v>
      </c>
      <c r="N279" s="158" t="s">
        <v>10498</v>
      </c>
      <c r="O279" s="55" t="str">
        <f t="shared" si="6"/>
        <v>L02.02.02.03.01.00.01</v>
      </c>
      <c r="P279" s="169" t="str">
        <f t="shared" si="3"/>
        <v>Ban giám đốc TTKD Bán thêm</v>
      </c>
      <c r="Q279" s="96"/>
      <c r="R279" s="96" t="s">
        <v>2663</v>
      </c>
      <c r="S279" s="96" t="s">
        <v>346</v>
      </c>
      <c r="T279" s="96" t="s">
        <v>263</v>
      </c>
      <c r="U279" s="96" t="s">
        <v>122</v>
      </c>
      <c r="V279" s="96"/>
      <c r="W279" s="96"/>
      <c r="X279" s="91"/>
      <c r="Y279" s="91"/>
      <c r="Z279" s="91"/>
      <c r="AA279" s="91"/>
      <c r="AB279" s="91"/>
    </row>
    <row r="280" ht="15.75" customHeight="1" outlineLevel="1">
      <c r="A280" s="51" t="s">
        <v>76</v>
      </c>
      <c r="B280" s="57" t="s">
        <v>77</v>
      </c>
      <c r="C280" s="51" t="s">
        <v>33</v>
      </c>
      <c r="D280" s="52" t="s">
        <v>89</v>
      </c>
      <c r="E280" s="53" t="s">
        <v>33</v>
      </c>
      <c r="F280" s="52" t="s">
        <v>107</v>
      </c>
      <c r="G280" s="62" t="s">
        <v>35</v>
      </c>
      <c r="H280" s="54" t="s">
        <v>121</v>
      </c>
      <c r="I280" s="62" t="s">
        <v>33</v>
      </c>
      <c r="J280" s="159" t="s">
        <v>123</v>
      </c>
      <c r="K280" s="166" t="s">
        <v>27</v>
      </c>
      <c r="L280" s="155" t="s">
        <v>4</v>
      </c>
      <c r="M280" s="422" t="s">
        <v>29</v>
      </c>
      <c r="N280" s="158" t="s">
        <v>10498</v>
      </c>
      <c r="O280" s="55" t="str">
        <f t="shared" si="6"/>
        <v>L02.02.02.03.02.00.01</v>
      </c>
      <c r="P280" s="169" t="str">
        <f t="shared" si="3"/>
        <v>Phòng bán thêm GP KTDN</v>
      </c>
      <c r="Q280" s="96"/>
      <c r="R280" s="96"/>
      <c r="S280" s="96"/>
      <c r="T280" s="96"/>
      <c r="U280" s="96"/>
      <c r="V280" s="96"/>
      <c r="W280" s="96"/>
      <c r="X280" s="91"/>
      <c r="Y280" s="91"/>
      <c r="Z280" s="91"/>
      <c r="AA280" s="91"/>
      <c r="AB280" s="91"/>
    </row>
    <row r="281" ht="15.75" customHeight="1" outlineLevel="1">
      <c r="A281" s="51" t="s">
        <v>76</v>
      </c>
      <c r="B281" s="57" t="s">
        <v>77</v>
      </c>
      <c r="C281" s="51" t="s">
        <v>33</v>
      </c>
      <c r="D281" s="52" t="s">
        <v>89</v>
      </c>
      <c r="E281" s="53" t="s">
        <v>33</v>
      </c>
      <c r="F281" s="52" t="s">
        <v>107</v>
      </c>
      <c r="G281" s="62" t="s">
        <v>35</v>
      </c>
      <c r="H281" s="54" t="s">
        <v>121</v>
      </c>
      <c r="I281" s="62" t="s">
        <v>33</v>
      </c>
      <c r="J281" s="159" t="s">
        <v>123</v>
      </c>
      <c r="K281" s="166" t="s">
        <v>29</v>
      </c>
      <c r="L281" s="159" t="s">
        <v>124</v>
      </c>
      <c r="M281" s="422" t="s">
        <v>29</v>
      </c>
      <c r="N281" s="158" t="s">
        <v>10498</v>
      </c>
      <c r="O281" s="55" t="str">
        <f t="shared" si="6"/>
        <v>L02.02.02.03.02.01.01</v>
      </c>
      <c r="P281" s="169" t="str">
        <f t="shared" si="3"/>
        <v>Phòng bán thêm GP KTDN 01</v>
      </c>
      <c r="Q281" s="96"/>
      <c r="R281" s="96" t="s">
        <v>535</v>
      </c>
      <c r="S281" s="96" t="s">
        <v>346</v>
      </c>
      <c r="T281" s="96" t="s">
        <v>263</v>
      </c>
      <c r="U281" s="96" t="s">
        <v>123</v>
      </c>
      <c r="V281" s="96" t="s">
        <v>124</v>
      </c>
      <c r="W281" s="96"/>
      <c r="X281" s="91"/>
      <c r="Y281" s="91"/>
      <c r="Z281" s="91"/>
      <c r="AA281" s="91"/>
      <c r="AB281" s="91"/>
    </row>
    <row r="282" ht="15.75" customHeight="1" outlineLevel="1">
      <c r="A282" s="51" t="s">
        <v>76</v>
      </c>
      <c r="B282" s="57" t="s">
        <v>77</v>
      </c>
      <c r="C282" s="51" t="s">
        <v>33</v>
      </c>
      <c r="D282" s="52" t="s">
        <v>89</v>
      </c>
      <c r="E282" s="53" t="s">
        <v>33</v>
      </c>
      <c r="F282" s="52" t="s">
        <v>107</v>
      </c>
      <c r="G282" s="62" t="s">
        <v>35</v>
      </c>
      <c r="H282" s="54" t="s">
        <v>121</v>
      </c>
      <c r="I282" s="62" t="s">
        <v>33</v>
      </c>
      <c r="J282" s="159" t="s">
        <v>123</v>
      </c>
      <c r="K282" s="166" t="s">
        <v>33</v>
      </c>
      <c r="L282" s="159" t="s">
        <v>125</v>
      </c>
      <c r="M282" s="422" t="s">
        <v>29</v>
      </c>
      <c r="N282" s="158" t="s">
        <v>10498</v>
      </c>
      <c r="O282" s="55" t="str">
        <f t="shared" si="6"/>
        <v>L02.02.02.03.02.02.01</v>
      </c>
      <c r="P282" s="169" t="str">
        <f t="shared" si="3"/>
        <v>Phòng bán thêm GP KTDN 02</v>
      </c>
      <c r="Q282" s="96"/>
      <c r="R282" s="96" t="s">
        <v>430</v>
      </c>
      <c r="S282" s="96" t="s">
        <v>346</v>
      </c>
      <c r="T282" s="96" t="s">
        <v>263</v>
      </c>
      <c r="U282" s="96" t="s">
        <v>123</v>
      </c>
      <c r="V282" s="96" t="s">
        <v>125</v>
      </c>
      <c r="W282" s="96"/>
      <c r="X282" s="91"/>
      <c r="Y282" s="91"/>
      <c r="Z282" s="91"/>
      <c r="AA282" s="91"/>
      <c r="AB282" s="91"/>
    </row>
    <row r="283" ht="15.75" customHeight="1" outlineLevel="1">
      <c r="A283" s="51" t="s">
        <v>76</v>
      </c>
      <c r="B283" s="57" t="s">
        <v>77</v>
      </c>
      <c r="C283" s="51" t="s">
        <v>33</v>
      </c>
      <c r="D283" s="52" t="s">
        <v>89</v>
      </c>
      <c r="E283" s="53" t="s">
        <v>33</v>
      </c>
      <c r="F283" s="52" t="s">
        <v>107</v>
      </c>
      <c r="G283" s="62" t="s">
        <v>35</v>
      </c>
      <c r="H283" s="54" t="s">
        <v>121</v>
      </c>
      <c r="I283" s="62" t="s">
        <v>35</v>
      </c>
      <c r="J283" s="159" t="s">
        <v>126</v>
      </c>
      <c r="K283" s="166" t="s">
        <v>27</v>
      </c>
      <c r="L283" s="155" t="s">
        <v>4</v>
      </c>
      <c r="M283" s="422" t="s">
        <v>29</v>
      </c>
      <c r="N283" s="158" t="s">
        <v>10498</v>
      </c>
      <c r="O283" s="55" t="str">
        <f t="shared" si="6"/>
        <v>L02.02.02.03.03.00.01</v>
      </c>
      <c r="P283" s="169" t="str">
        <f t="shared" si="3"/>
        <v>Phòng bán thêm GP HDDT</v>
      </c>
      <c r="Q283" s="96"/>
      <c r="R283" s="96"/>
      <c r="S283" s="96"/>
      <c r="T283" s="96"/>
      <c r="U283" s="96"/>
      <c r="V283" s="96"/>
      <c r="W283" s="96"/>
      <c r="X283" s="91"/>
      <c r="Y283" s="91"/>
      <c r="Z283" s="91"/>
      <c r="AA283" s="91"/>
      <c r="AB283" s="91"/>
    </row>
    <row r="284" ht="15.75" customHeight="1" outlineLevel="1">
      <c r="A284" s="51" t="s">
        <v>76</v>
      </c>
      <c r="B284" s="57" t="s">
        <v>77</v>
      </c>
      <c r="C284" s="51" t="s">
        <v>33</v>
      </c>
      <c r="D284" s="52" t="s">
        <v>89</v>
      </c>
      <c r="E284" s="53" t="s">
        <v>33</v>
      </c>
      <c r="F284" s="52" t="s">
        <v>107</v>
      </c>
      <c r="G284" s="62" t="s">
        <v>35</v>
      </c>
      <c r="H284" s="54" t="s">
        <v>121</v>
      </c>
      <c r="I284" s="62" t="s">
        <v>35</v>
      </c>
      <c r="J284" s="159" t="s">
        <v>126</v>
      </c>
      <c r="K284" s="166" t="s">
        <v>29</v>
      </c>
      <c r="L284" s="159" t="s">
        <v>127</v>
      </c>
      <c r="M284" s="422" t="s">
        <v>29</v>
      </c>
      <c r="N284" s="158" t="s">
        <v>10498</v>
      </c>
      <c r="O284" s="55" t="str">
        <f t="shared" si="6"/>
        <v>L02.02.02.03.03.01.01</v>
      </c>
      <c r="P284" s="169" t="str">
        <f t="shared" si="3"/>
        <v>Phòng bán thêm GP HDDT 01</v>
      </c>
      <c r="Q284" s="96"/>
      <c r="R284" s="96" t="s">
        <v>357</v>
      </c>
      <c r="S284" s="96" t="s">
        <v>346</v>
      </c>
      <c r="T284" s="96" t="s">
        <v>263</v>
      </c>
      <c r="U284" s="96" t="s">
        <v>356</v>
      </c>
      <c r="V284" s="96" t="s">
        <v>355</v>
      </c>
      <c r="W284" s="96"/>
      <c r="X284" s="91"/>
      <c r="Y284" s="91"/>
      <c r="Z284" s="91"/>
      <c r="AA284" s="91"/>
      <c r="AB284" s="91"/>
    </row>
    <row r="285" ht="15.75" customHeight="1" outlineLevel="1">
      <c r="A285" s="51" t="s">
        <v>76</v>
      </c>
      <c r="B285" s="57" t="s">
        <v>77</v>
      </c>
      <c r="C285" s="51" t="s">
        <v>33</v>
      </c>
      <c r="D285" s="52" t="s">
        <v>89</v>
      </c>
      <c r="E285" s="53" t="s">
        <v>33</v>
      </c>
      <c r="F285" s="52" t="s">
        <v>107</v>
      </c>
      <c r="G285" s="62" t="s">
        <v>35</v>
      </c>
      <c r="H285" s="54" t="s">
        <v>121</v>
      </c>
      <c r="I285" s="62" t="s">
        <v>35</v>
      </c>
      <c r="J285" s="159" t="s">
        <v>126</v>
      </c>
      <c r="K285" s="166" t="s">
        <v>33</v>
      </c>
      <c r="L285" s="159" t="s">
        <v>128</v>
      </c>
      <c r="M285" s="422" t="s">
        <v>29</v>
      </c>
      <c r="N285" s="158" t="s">
        <v>10498</v>
      </c>
      <c r="O285" s="55" t="str">
        <f t="shared" si="6"/>
        <v>L02.02.02.03.03.02.01</v>
      </c>
      <c r="P285" s="169" t="str">
        <f t="shared" si="3"/>
        <v>Phòng bán thêm GP HDDT 02</v>
      </c>
      <c r="Q285" s="96"/>
      <c r="R285" s="96" t="s">
        <v>548</v>
      </c>
      <c r="S285" s="96" t="s">
        <v>346</v>
      </c>
      <c r="T285" s="96" t="s">
        <v>263</v>
      </c>
      <c r="U285" s="96" t="s">
        <v>356</v>
      </c>
      <c r="V285" s="96" t="s">
        <v>547</v>
      </c>
      <c r="W285" s="96"/>
      <c r="X285" s="91"/>
      <c r="Y285" s="91"/>
      <c r="Z285" s="91"/>
      <c r="AA285" s="91"/>
      <c r="AB285" s="91"/>
    </row>
    <row r="286" ht="15.75" customHeight="1" outlineLevel="1">
      <c r="A286" s="51" t="s">
        <v>76</v>
      </c>
      <c r="B286" s="57" t="s">
        <v>77</v>
      </c>
      <c r="C286" s="51" t="s">
        <v>33</v>
      </c>
      <c r="D286" s="52" t="s">
        <v>89</v>
      </c>
      <c r="E286" s="53" t="s">
        <v>33</v>
      </c>
      <c r="F286" s="52" t="s">
        <v>107</v>
      </c>
      <c r="G286" s="62" t="s">
        <v>35</v>
      </c>
      <c r="H286" s="54" t="s">
        <v>121</v>
      </c>
      <c r="I286" s="62" t="s">
        <v>35</v>
      </c>
      <c r="J286" s="159" t="s">
        <v>126</v>
      </c>
      <c r="K286" s="166" t="s">
        <v>33</v>
      </c>
      <c r="L286" s="688" t="s">
        <v>11035</v>
      </c>
      <c r="M286" s="422" t="s">
        <v>29</v>
      </c>
      <c r="N286" s="158" t="s">
        <v>10498</v>
      </c>
      <c r="O286" s="55" t="str">
        <f t="shared" si="6"/>
        <v>L02.02.02.03.03.02.01</v>
      </c>
      <c r="P286" s="169" t="str">
        <f t="shared" si="3"/>
        <v>Phòng bán thêm GP HDDT 03</v>
      </c>
      <c r="Q286" s="96"/>
      <c r="R286" s="96" t="s">
        <v>541</v>
      </c>
      <c r="S286" s="96" t="s">
        <v>346</v>
      </c>
      <c r="T286" s="96" t="s">
        <v>263</v>
      </c>
      <c r="U286" s="96" t="s">
        <v>356</v>
      </c>
      <c r="V286" s="96" t="s">
        <v>540</v>
      </c>
      <c r="W286" s="96"/>
      <c r="X286" s="91"/>
      <c r="Y286" s="91"/>
      <c r="Z286" s="91"/>
      <c r="AA286" s="91"/>
      <c r="AB286" s="91"/>
    </row>
    <row r="287" ht="15.75" customHeight="1" outlineLevel="1">
      <c r="A287" s="51" t="s">
        <v>76</v>
      </c>
      <c r="B287" s="57" t="s">
        <v>77</v>
      </c>
      <c r="C287" s="51" t="s">
        <v>33</v>
      </c>
      <c r="D287" s="52" t="s">
        <v>89</v>
      </c>
      <c r="E287" s="53" t="s">
        <v>33</v>
      </c>
      <c r="F287" s="52" t="s">
        <v>107</v>
      </c>
      <c r="G287" s="62" t="s">
        <v>35</v>
      </c>
      <c r="H287" s="54" t="s">
        <v>121</v>
      </c>
      <c r="I287" s="62" t="s">
        <v>37</v>
      </c>
      <c r="J287" s="159" t="s">
        <v>129</v>
      </c>
      <c r="K287" s="166" t="s">
        <v>27</v>
      </c>
      <c r="L287" s="155" t="s">
        <v>4</v>
      </c>
      <c r="M287" s="422" t="s">
        <v>29</v>
      </c>
      <c r="N287" s="158" t="s">
        <v>10498</v>
      </c>
      <c r="O287" s="55" t="str">
        <f t="shared" si="6"/>
        <v>L02.02.02.03.04.00.01</v>
      </c>
      <c r="P287" s="169" t="str">
        <f t="shared" si="3"/>
        <v>Phòng KD chuyển đổi GPKT</v>
      </c>
      <c r="Q287" s="96"/>
      <c r="R287" s="96" t="s">
        <v>768</v>
      </c>
      <c r="S287" s="96" t="s">
        <v>346</v>
      </c>
      <c r="T287" s="96" t="s">
        <v>263</v>
      </c>
      <c r="U287" s="96" t="s">
        <v>767</v>
      </c>
      <c r="V287" s="96" t="s">
        <v>766</v>
      </c>
      <c r="W287" s="96"/>
      <c r="X287" s="91"/>
      <c r="Y287" s="91"/>
      <c r="Z287" s="91"/>
      <c r="AA287" s="91"/>
      <c r="AB287" s="91"/>
    </row>
    <row r="288" ht="15.75" customHeight="1" outlineLevel="1">
      <c r="A288" s="51" t="s">
        <v>76</v>
      </c>
      <c r="B288" s="57" t="s">
        <v>77</v>
      </c>
      <c r="C288" s="51" t="s">
        <v>33</v>
      </c>
      <c r="D288" s="52" t="s">
        <v>89</v>
      </c>
      <c r="E288" s="53" t="s">
        <v>33</v>
      </c>
      <c r="F288" s="52" t="s">
        <v>107</v>
      </c>
      <c r="G288" s="62" t="s">
        <v>35</v>
      </c>
      <c r="H288" s="72" t="s">
        <v>121</v>
      </c>
      <c r="I288" s="62" t="s">
        <v>42</v>
      </c>
      <c r="J288" s="159" t="s">
        <v>130</v>
      </c>
      <c r="K288" s="166" t="s">
        <v>27</v>
      </c>
      <c r="L288" s="155" t="s">
        <v>4</v>
      </c>
      <c r="M288" s="422" t="s">
        <v>29</v>
      </c>
      <c r="N288" s="158" t="s">
        <v>10498</v>
      </c>
      <c r="O288" s="55" t="str">
        <f t="shared" si="6"/>
        <v>L02.02.02.03.05.00.01</v>
      </c>
      <c r="P288" s="169" t="str">
        <f t="shared" si="3"/>
        <v>Phòng bán thêm GP Ký điện tử</v>
      </c>
      <c r="Q288" s="96"/>
      <c r="R288" s="96" t="s">
        <v>410</v>
      </c>
      <c r="S288" s="96" t="s">
        <v>346</v>
      </c>
      <c r="T288" s="96" t="s">
        <v>263</v>
      </c>
      <c r="U288" s="96" t="s">
        <v>130</v>
      </c>
      <c r="V288" s="96"/>
      <c r="W288" s="96"/>
      <c r="X288" s="91"/>
      <c r="Y288" s="91"/>
      <c r="Z288" s="91"/>
      <c r="AA288" s="91"/>
      <c r="AB288" s="91"/>
    </row>
    <row r="289" ht="15.75" customHeight="1" outlineLevel="1">
      <c r="A289" s="51" t="s">
        <v>76</v>
      </c>
      <c r="B289" s="57" t="s">
        <v>77</v>
      </c>
      <c r="C289" s="51" t="s">
        <v>33</v>
      </c>
      <c r="D289" s="52" t="s">
        <v>89</v>
      </c>
      <c r="E289" s="53" t="s">
        <v>33</v>
      </c>
      <c r="F289" s="52" t="s">
        <v>107</v>
      </c>
      <c r="G289" s="62" t="s">
        <v>35</v>
      </c>
      <c r="H289" s="72" t="s">
        <v>121</v>
      </c>
      <c r="I289" s="62" t="s">
        <v>44</v>
      </c>
      <c r="J289" s="159" t="s">
        <v>131</v>
      </c>
      <c r="K289" s="166" t="s">
        <v>27</v>
      </c>
      <c r="L289" s="155" t="s">
        <v>4</v>
      </c>
      <c r="M289" s="422" t="s">
        <v>29</v>
      </c>
      <c r="N289" s="158" t="s">
        <v>10498</v>
      </c>
      <c r="O289" s="55" t="str">
        <f t="shared" si="6"/>
        <v>L02.02.02.03.06.00.01</v>
      </c>
      <c r="P289" s="169" t="str">
        <f t="shared" si="3"/>
        <v>Phòng KD meInvoice dự án</v>
      </c>
      <c r="Q289" s="96"/>
      <c r="R289" s="96" t="s">
        <v>748</v>
      </c>
      <c r="S289" s="96" t="s">
        <v>346</v>
      </c>
      <c r="T289" s="96" t="s">
        <v>263</v>
      </c>
      <c r="U289" s="96" t="s">
        <v>747</v>
      </c>
      <c r="V289" s="96"/>
      <c r="W289" s="96"/>
      <c r="X289" s="91"/>
      <c r="Y289" s="91"/>
      <c r="Z289" s="91"/>
      <c r="AA289" s="91"/>
      <c r="AB289" s="91"/>
    </row>
    <row r="290" ht="15.75" customHeight="1" outlineLevel="1">
      <c r="A290" s="51" t="s">
        <v>76</v>
      </c>
      <c r="B290" s="57" t="s">
        <v>77</v>
      </c>
      <c r="C290" s="51" t="s">
        <v>33</v>
      </c>
      <c r="D290" s="52" t="s">
        <v>89</v>
      </c>
      <c r="E290" s="53" t="s">
        <v>33</v>
      </c>
      <c r="F290" s="52" t="s">
        <v>107</v>
      </c>
      <c r="G290" s="62" t="s">
        <v>33</v>
      </c>
      <c r="H290" s="54" t="s">
        <v>112</v>
      </c>
      <c r="I290" s="62" t="s">
        <v>29</v>
      </c>
      <c r="J290" s="159" t="s">
        <v>113</v>
      </c>
      <c r="K290" s="166" t="s">
        <v>27</v>
      </c>
      <c r="L290" s="155" t="s">
        <v>4</v>
      </c>
      <c r="M290" s="422" t="s">
        <v>33</v>
      </c>
      <c r="N290" s="158" t="s">
        <v>10499</v>
      </c>
      <c r="O290" s="55" t="str">
        <f t="shared" si="6"/>
        <v>L02.02.02.02.01.00.02</v>
      </c>
      <c r="P290" s="169" t="str">
        <f t="shared" si="3"/>
        <v>Ban giám đốc TTKD GP KTDN</v>
      </c>
      <c r="Q290" s="96"/>
      <c r="R290" s="96" t="s">
        <v>7661</v>
      </c>
      <c r="S290" s="96" t="s">
        <v>262</v>
      </c>
      <c r="T290" s="96" t="s">
        <v>2219</v>
      </c>
      <c r="U290" s="96" t="s">
        <v>7230</v>
      </c>
      <c r="V290" s="96"/>
      <c r="W290" s="96"/>
      <c r="X290" s="91"/>
      <c r="Y290" s="91"/>
      <c r="Z290" s="91"/>
      <c r="AA290" s="91"/>
      <c r="AB290" s="91"/>
    </row>
    <row r="291" ht="15.75" customHeight="1" outlineLevel="1">
      <c r="A291" s="51" t="s">
        <v>76</v>
      </c>
      <c r="B291" s="57" t="s">
        <v>77</v>
      </c>
      <c r="C291" s="51" t="s">
        <v>33</v>
      </c>
      <c r="D291" s="52" t="s">
        <v>89</v>
      </c>
      <c r="E291" s="53" t="s">
        <v>33</v>
      </c>
      <c r="F291" s="52" t="s">
        <v>107</v>
      </c>
      <c r="G291" s="62" t="s">
        <v>33</v>
      </c>
      <c r="H291" s="54" t="s">
        <v>112</v>
      </c>
      <c r="I291" s="57" t="s">
        <v>33</v>
      </c>
      <c r="J291" s="163" t="s">
        <v>1260</v>
      </c>
      <c r="K291" s="166" t="s">
        <v>27</v>
      </c>
      <c r="L291" s="155" t="s">
        <v>4</v>
      </c>
      <c r="M291" s="422" t="s">
        <v>33</v>
      </c>
      <c r="N291" s="158" t="s">
        <v>10499</v>
      </c>
      <c r="O291" s="55" t="str">
        <f t="shared" si="6"/>
        <v>L02.02.02.02.02.00.02</v>
      </c>
      <c r="P291" s="169" t="str">
        <f t="shared" si="3"/>
        <v>Phòng KD bán mới KTDN 1</v>
      </c>
      <c r="Q291" s="96"/>
      <c r="R291" s="96" t="s">
        <v>2281</v>
      </c>
      <c r="S291" s="96" t="s">
        <v>262</v>
      </c>
      <c r="T291" s="96" t="s">
        <v>2219</v>
      </c>
      <c r="U291" s="96" t="s">
        <v>1260</v>
      </c>
      <c r="V291" s="96"/>
      <c r="W291" s="96"/>
      <c r="X291" s="91"/>
      <c r="Y291" s="91"/>
      <c r="Z291" s="91"/>
      <c r="AA291" s="91"/>
      <c r="AB291" s="91"/>
    </row>
    <row r="292" ht="15.75" customHeight="1" outlineLevel="1">
      <c r="A292" s="51" t="s">
        <v>76</v>
      </c>
      <c r="B292" s="57" t="s">
        <v>77</v>
      </c>
      <c r="C292" s="51" t="s">
        <v>33</v>
      </c>
      <c r="D292" s="52" t="s">
        <v>89</v>
      </c>
      <c r="E292" s="53" t="s">
        <v>33</v>
      </c>
      <c r="F292" s="52" t="s">
        <v>107</v>
      </c>
      <c r="G292" s="62" t="s">
        <v>33</v>
      </c>
      <c r="H292" s="54" t="s">
        <v>112</v>
      </c>
      <c r="I292" s="57" t="s">
        <v>35</v>
      </c>
      <c r="J292" s="163" t="s">
        <v>2285</v>
      </c>
      <c r="K292" s="166" t="s">
        <v>27</v>
      </c>
      <c r="L292" s="155" t="s">
        <v>4</v>
      </c>
      <c r="M292" s="422" t="s">
        <v>33</v>
      </c>
      <c r="N292" s="158" t="s">
        <v>10499</v>
      </c>
      <c r="O292" s="55" t="str">
        <f t="shared" si="6"/>
        <v>L02.02.02.02.03.00.02</v>
      </c>
      <c r="P292" s="169" t="str">
        <f t="shared" si="3"/>
        <v>Phòng KD bán mới KTDN 2</v>
      </c>
      <c r="Q292" s="96"/>
      <c r="R292" s="96" t="s">
        <v>2286</v>
      </c>
      <c r="S292" s="96" t="s">
        <v>262</v>
      </c>
      <c r="T292" s="96" t="s">
        <v>2219</v>
      </c>
      <c r="U292" s="96" t="s">
        <v>2285</v>
      </c>
      <c r="V292" s="96"/>
      <c r="W292" s="96"/>
      <c r="X292" s="91"/>
      <c r="Y292" s="91"/>
      <c r="Z292" s="91"/>
      <c r="AA292" s="91"/>
      <c r="AB292" s="91"/>
    </row>
    <row r="293" ht="15.75" customHeight="1" outlineLevel="1">
      <c r="A293" s="51" t="s">
        <v>76</v>
      </c>
      <c r="B293" s="57" t="s">
        <v>77</v>
      </c>
      <c r="C293" s="51" t="s">
        <v>33</v>
      </c>
      <c r="D293" s="52" t="s">
        <v>89</v>
      </c>
      <c r="E293" s="53" t="s">
        <v>33</v>
      </c>
      <c r="F293" s="52" t="s">
        <v>107</v>
      </c>
      <c r="G293" s="62" t="s">
        <v>33</v>
      </c>
      <c r="H293" s="54" t="s">
        <v>112</v>
      </c>
      <c r="I293" s="57" t="s">
        <v>37</v>
      </c>
      <c r="J293" s="163" t="s">
        <v>390</v>
      </c>
      <c r="K293" s="166" t="s">
        <v>27</v>
      </c>
      <c r="L293" s="155" t="s">
        <v>4</v>
      </c>
      <c r="M293" s="422" t="s">
        <v>33</v>
      </c>
      <c r="N293" s="158" t="s">
        <v>10499</v>
      </c>
      <c r="O293" s="55" t="str">
        <f t="shared" si="6"/>
        <v>L02.02.02.02.04.00.02</v>
      </c>
      <c r="P293" s="169" t="str">
        <f t="shared" si="3"/>
        <v>Phòng KD bán mới KTDN 3</v>
      </c>
      <c r="Q293" s="96"/>
      <c r="R293" s="96" t="s">
        <v>2290</v>
      </c>
      <c r="S293" s="96" t="s">
        <v>262</v>
      </c>
      <c r="T293" s="96" t="s">
        <v>2219</v>
      </c>
      <c r="U293" s="96" t="s">
        <v>390</v>
      </c>
      <c r="V293" s="96"/>
      <c r="W293" s="96"/>
      <c r="X293" s="91"/>
      <c r="Y293" s="91"/>
      <c r="Z293" s="91"/>
      <c r="AA293" s="91"/>
      <c r="AB293" s="91"/>
    </row>
    <row r="294" ht="15.75" customHeight="1" outlineLevel="1">
      <c r="A294" s="51" t="s">
        <v>76</v>
      </c>
      <c r="B294" s="57" t="s">
        <v>77</v>
      </c>
      <c r="C294" s="51" t="s">
        <v>33</v>
      </c>
      <c r="D294" s="52" t="s">
        <v>89</v>
      </c>
      <c r="E294" s="53" t="s">
        <v>33</v>
      </c>
      <c r="F294" s="52" t="s">
        <v>107</v>
      </c>
      <c r="G294" s="62" t="s">
        <v>33</v>
      </c>
      <c r="H294" s="54" t="s">
        <v>112</v>
      </c>
      <c r="I294" s="57" t="s">
        <v>42</v>
      </c>
      <c r="J294" s="163" t="s">
        <v>403</v>
      </c>
      <c r="K294" s="166" t="s">
        <v>27</v>
      </c>
      <c r="L294" s="155" t="s">
        <v>4</v>
      </c>
      <c r="M294" s="422" t="s">
        <v>33</v>
      </c>
      <c r="N294" s="158" t="s">
        <v>10499</v>
      </c>
      <c r="O294" s="55" t="str">
        <f t="shared" si="6"/>
        <v>L02.02.02.02.05.00.02</v>
      </c>
      <c r="P294" s="169" t="str">
        <f t="shared" si="3"/>
        <v>Phòng KD bán mới KTDN 4</v>
      </c>
      <c r="Q294" s="96"/>
      <c r="R294" s="96" t="s">
        <v>2227</v>
      </c>
      <c r="S294" s="96" t="s">
        <v>262</v>
      </c>
      <c r="T294" s="96" t="s">
        <v>2219</v>
      </c>
      <c r="U294" s="96" t="s">
        <v>403</v>
      </c>
      <c r="V294" s="96"/>
      <c r="W294" s="96"/>
      <c r="X294" s="91"/>
      <c r="Y294" s="91"/>
      <c r="Z294" s="91"/>
      <c r="AA294" s="91"/>
      <c r="AB294" s="91"/>
    </row>
    <row r="295" ht="15.75" customHeight="1" outlineLevel="1">
      <c r="A295" s="51" t="s">
        <v>76</v>
      </c>
      <c r="B295" s="57" t="s">
        <v>77</v>
      </c>
      <c r="C295" s="51" t="s">
        <v>33</v>
      </c>
      <c r="D295" s="52" t="s">
        <v>89</v>
      </c>
      <c r="E295" s="53" t="s">
        <v>33</v>
      </c>
      <c r="F295" s="52" t="s">
        <v>107</v>
      </c>
      <c r="G295" s="62" t="s">
        <v>33</v>
      </c>
      <c r="H295" s="54" t="s">
        <v>112</v>
      </c>
      <c r="I295" s="57" t="s">
        <v>44</v>
      </c>
      <c r="J295" s="163" t="s">
        <v>1130</v>
      </c>
      <c r="K295" s="166" t="s">
        <v>27</v>
      </c>
      <c r="L295" s="155" t="s">
        <v>4</v>
      </c>
      <c r="M295" s="422" t="s">
        <v>33</v>
      </c>
      <c r="N295" s="158" t="s">
        <v>10499</v>
      </c>
      <c r="O295" s="55" t="str">
        <f t="shared" si="6"/>
        <v>L02.02.02.02.06.00.02</v>
      </c>
      <c r="P295" s="169" t="str">
        <f t="shared" si="3"/>
        <v>Phòng KD bán mới KTDN 5</v>
      </c>
      <c r="Q295" s="96"/>
      <c r="R295" s="96" t="s">
        <v>2236</v>
      </c>
      <c r="S295" s="96" t="s">
        <v>262</v>
      </c>
      <c r="T295" s="96" t="s">
        <v>2219</v>
      </c>
      <c r="U295" s="96" t="s">
        <v>1130</v>
      </c>
      <c r="V295" s="96"/>
      <c r="W295" s="96"/>
      <c r="X295" s="91"/>
      <c r="Y295" s="91"/>
      <c r="Z295" s="91"/>
      <c r="AA295" s="91"/>
      <c r="AB295" s="91"/>
    </row>
    <row r="296" ht="15.75" customHeight="1" outlineLevel="1">
      <c r="A296" s="51" t="s">
        <v>76</v>
      </c>
      <c r="B296" s="57" t="s">
        <v>77</v>
      </c>
      <c r="C296" s="51" t="s">
        <v>33</v>
      </c>
      <c r="D296" s="52" t="s">
        <v>89</v>
      </c>
      <c r="E296" s="53" t="s">
        <v>33</v>
      </c>
      <c r="F296" s="52" t="s">
        <v>107</v>
      </c>
      <c r="G296" s="62" t="s">
        <v>33</v>
      </c>
      <c r="H296" s="54" t="s">
        <v>112</v>
      </c>
      <c r="I296" s="57" t="s">
        <v>46</v>
      </c>
      <c r="J296" s="163" t="s">
        <v>2231</v>
      </c>
      <c r="K296" s="166" t="s">
        <v>27</v>
      </c>
      <c r="L296" s="155" t="s">
        <v>4</v>
      </c>
      <c r="M296" s="422" t="s">
        <v>33</v>
      </c>
      <c r="N296" s="158" t="s">
        <v>10499</v>
      </c>
      <c r="O296" s="55" t="str">
        <f t="shared" si="6"/>
        <v>L02.02.02.02.07.00.02</v>
      </c>
      <c r="P296" s="169" t="str">
        <f t="shared" si="3"/>
        <v>Phòng KD bán mới KTDN 6</v>
      </c>
      <c r="Q296" s="96"/>
      <c r="R296" s="96" t="s">
        <v>2232</v>
      </c>
      <c r="S296" s="96" t="s">
        <v>262</v>
      </c>
      <c r="T296" s="96" t="s">
        <v>2219</v>
      </c>
      <c r="U296" s="96" t="s">
        <v>2231</v>
      </c>
      <c r="V296" s="96"/>
      <c r="W296" s="96"/>
      <c r="X296" s="91"/>
      <c r="Y296" s="91"/>
      <c r="Z296" s="91"/>
      <c r="AA296" s="91"/>
      <c r="AB296" s="91"/>
    </row>
    <row r="297" ht="15.75" customHeight="1" outlineLevel="1">
      <c r="A297" s="51" t="s">
        <v>76</v>
      </c>
      <c r="B297" s="57" t="s">
        <v>77</v>
      </c>
      <c r="C297" s="51" t="s">
        <v>33</v>
      </c>
      <c r="D297" s="52" t="s">
        <v>89</v>
      </c>
      <c r="E297" s="53" t="s">
        <v>33</v>
      </c>
      <c r="F297" s="52" t="s">
        <v>107</v>
      </c>
      <c r="G297" s="62" t="s">
        <v>33</v>
      </c>
      <c r="H297" s="54" t="s">
        <v>112</v>
      </c>
      <c r="I297" s="57" t="s">
        <v>49</v>
      </c>
      <c r="J297" s="163" t="s">
        <v>1139</v>
      </c>
      <c r="K297" s="166" t="s">
        <v>27</v>
      </c>
      <c r="L297" s="155" t="s">
        <v>4</v>
      </c>
      <c r="M297" s="422" t="s">
        <v>33</v>
      </c>
      <c r="N297" s="158" t="s">
        <v>10499</v>
      </c>
      <c r="O297" s="55" t="str">
        <f t="shared" si="6"/>
        <v>L02.02.02.02.08.00.02</v>
      </c>
      <c r="P297" s="169" t="str">
        <f t="shared" si="3"/>
        <v>Phòng KD bán mới KTDN 7</v>
      </c>
      <c r="Q297" s="96"/>
      <c r="R297" s="96" t="s">
        <v>2220</v>
      </c>
      <c r="S297" s="96" t="s">
        <v>262</v>
      </c>
      <c r="T297" s="96" t="s">
        <v>2219</v>
      </c>
      <c r="U297" s="96" t="s">
        <v>1139</v>
      </c>
      <c r="V297" s="96"/>
      <c r="W297" s="96"/>
      <c r="X297" s="91"/>
      <c r="Y297" s="91"/>
      <c r="Z297" s="91"/>
      <c r="AA297" s="91"/>
      <c r="AB297" s="91"/>
    </row>
    <row r="298" ht="15.75" customHeight="1" outlineLevel="1">
      <c r="A298" s="51" t="s">
        <v>76</v>
      </c>
      <c r="B298" s="57" t="s">
        <v>77</v>
      </c>
      <c r="C298" s="51" t="s">
        <v>33</v>
      </c>
      <c r="D298" s="52" t="s">
        <v>89</v>
      </c>
      <c r="E298" s="53" t="s">
        <v>33</v>
      </c>
      <c r="F298" s="52" t="s">
        <v>107</v>
      </c>
      <c r="G298" s="62" t="s">
        <v>35</v>
      </c>
      <c r="H298" s="54" t="s">
        <v>121</v>
      </c>
      <c r="I298" s="62" t="s">
        <v>29</v>
      </c>
      <c r="J298" s="159" t="s">
        <v>122</v>
      </c>
      <c r="K298" s="166" t="s">
        <v>27</v>
      </c>
      <c r="L298" s="155" t="s">
        <v>4</v>
      </c>
      <c r="M298" s="422" t="s">
        <v>33</v>
      </c>
      <c r="N298" s="158" t="s">
        <v>10499</v>
      </c>
      <c r="O298" s="55" t="str">
        <f t="shared" si="6"/>
        <v>L02.02.02.03.01.00.02</v>
      </c>
      <c r="P298" s="169" t="str">
        <f t="shared" si="3"/>
        <v>Ban giám đốc TTKD Bán thêm</v>
      </c>
      <c r="Q298" s="96"/>
      <c r="R298" s="96" t="s">
        <v>7241</v>
      </c>
      <c r="S298" s="96" t="s">
        <v>262</v>
      </c>
      <c r="T298" s="96" t="s">
        <v>263</v>
      </c>
      <c r="U298" s="96" t="s">
        <v>7230</v>
      </c>
      <c r="V298" s="96"/>
      <c r="W298" s="96"/>
      <c r="X298" s="91"/>
      <c r="Y298" s="91"/>
      <c r="Z298" s="91"/>
      <c r="AA298" s="91"/>
      <c r="AB298" s="91"/>
    </row>
    <row r="299" ht="15.75" customHeight="1" outlineLevel="1">
      <c r="A299" s="51" t="s">
        <v>76</v>
      </c>
      <c r="B299" s="57" t="s">
        <v>77</v>
      </c>
      <c r="C299" s="51" t="s">
        <v>33</v>
      </c>
      <c r="D299" s="52" t="s">
        <v>89</v>
      </c>
      <c r="E299" s="53" t="s">
        <v>33</v>
      </c>
      <c r="F299" s="52" t="s">
        <v>107</v>
      </c>
      <c r="G299" s="62" t="s">
        <v>35</v>
      </c>
      <c r="H299" s="54" t="s">
        <v>121</v>
      </c>
      <c r="I299" s="62" t="s">
        <v>33</v>
      </c>
      <c r="J299" s="159" t="s">
        <v>123</v>
      </c>
      <c r="K299" s="166" t="s">
        <v>27</v>
      </c>
      <c r="L299" s="155" t="s">
        <v>4</v>
      </c>
      <c r="M299" s="422" t="s">
        <v>33</v>
      </c>
      <c r="N299" s="158" t="s">
        <v>10499</v>
      </c>
      <c r="O299" s="55" t="str">
        <f t="shared" si="6"/>
        <v>L02.02.02.03.02.00.02</v>
      </c>
      <c r="P299" s="169" t="str">
        <f t="shared" si="3"/>
        <v>Phòng bán thêm GP KTDN</v>
      </c>
      <c r="Q299" s="96"/>
      <c r="R299" s="96"/>
      <c r="S299" s="96"/>
      <c r="T299" s="96"/>
      <c r="U299" s="96"/>
      <c r="V299" s="96"/>
      <c r="W299" s="96"/>
      <c r="X299" s="91"/>
      <c r="Y299" s="91"/>
      <c r="Z299" s="91"/>
      <c r="AA299" s="91"/>
      <c r="AB299" s="91"/>
    </row>
    <row r="300" ht="15.75" customHeight="1" outlineLevel="1">
      <c r="A300" s="51" t="s">
        <v>76</v>
      </c>
      <c r="B300" s="57" t="s">
        <v>77</v>
      </c>
      <c r="C300" s="51" t="s">
        <v>33</v>
      </c>
      <c r="D300" s="52" t="s">
        <v>89</v>
      </c>
      <c r="E300" s="53" t="s">
        <v>33</v>
      </c>
      <c r="F300" s="52" t="s">
        <v>107</v>
      </c>
      <c r="G300" s="62" t="s">
        <v>35</v>
      </c>
      <c r="H300" s="54" t="s">
        <v>121</v>
      </c>
      <c r="I300" s="62" t="s">
        <v>33</v>
      </c>
      <c r="J300" s="159" t="s">
        <v>123</v>
      </c>
      <c r="K300" s="166" t="s">
        <v>29</v>
      </c>
      <c r="L300" s="159" t="s">
        <v>124</v>
      </c>
      <c r="M300" s="422" t="s">
        <v>33</v>
      </c>
      <c r="N300" s="158" t="s">
        <v>10499</v>
      </c>
      <c r="O300" s="55" t="str">
        <f t="shared" si="6"/>
        <v>L02.02.02.03.02.01.02</v>
      </c>
      <c r="P300" s="169" t="str">
        <f t="shared" si="3"/>
        <v>Phòng bán thêm GP KTDN 01</v>
      </c>
      <c r="Q300" s="96"/>
      <c r="R300" s="96" t="s">
        <v>1855</v>
      </c>
      <c r="S300" s="96" t="s">
        <v>262</v>
      </c>
      <c r="T300" s="96" t="s">
        <v>263</v>
      </c>
      <c r="U300" s="96" t="s">
        <v>123</v>
      </c>
      <c r="V300" s="96" t="s">
        <v>1854</v>
      </c>
      <c r="W300" s="96"/>
      <c r="X300" s="91"/>
      <c r="Y300" s="91"/>
      <c r="Z300" s="91"/>
      <c r="AA300" s="91"/>
      <c r="AB300" s="91"/>
    </row>
    <row r="301" ht="15.75" customHeight="1" outlineLevel="1">
      <c r="A301" s="51" t="s">
        <v>76</v>
      </c>
      <c r="B301" s="57" t="s">
        <v>77</v>
      </c>
      <c r="C301" s="51" t="s">
        <v>33</v>
      </c>
      <c r="D301" s="52" t="s">
        <v>89</v>
      </c>
      <c r="E301" s="53" t="s">
        <v>33</v>
      </c>
      <c r="F301" s="52" t="s">
        <v>107</v>
      </c>
      <c r="G301" s="62" t="s">
        <v>35</v>
      </c>
      <c r="H301" s="54" t="s">
        <v>121</v>
      </c>
      <c r="I301" s="62" t="s">
        <v>33</v>
      </c>
      <c r="J301" s="159" t="s">
        <v>123</v>
      </c>
      <c r="K301" s="166" t="s">
        <v>33</v>
      </c>
      <c r="L301" s="159" t="s">
        <v>125</v>
      </c>
      <c r="M301" s="422" t="s">
        <v>33</v>
      </c>
      <c r="N301" s="158" t="s">
        <v>10499</v>
      </c>
      <c r="O301" s="55" t="str">
        <f t="shared" si="6"/>
        <v>L02.02.02.03.02.02.02</v>
      </c>
      <c r="P301" s="169" t="str">
        <f t="shared" si="3"/>
        <v>Phòng bán thêm GP KTDN 02</v>
      </c>
      <c r="Q301" s="96"/>
      <c r="R301" s="96" t="s">
        <v>1863</v>
      </c>
      <c r="S301" s="96" t="s">
        <v>262</v>
      </c>
      <c r="T301" s="96" t="s">
        <v>263</v>
      </c>
      <c r="U301" s="96" t="s">
        <v>123</v>
      </c>
      <c r="V301" s="96" t="s">
        <v>1862</v>
      </c>
      <c r="W301" s="96"/>
      <c r="X301" s="91"/>
      <c r="Y301" s="91"/>
      <c r="Z301" s="91"/>
      <c r="AA301" s="91"/>
      <c r="AB301" s="91"/>
    </row>
    <row r="302" ht="15.75" customHeight="1" outlineLevel="1">
      <c r="A302" s="51" t="s">
        <v>76</v>
      </c>
      <c r="B302" s="57" t="s">
        <v>77</v>
      </c>
      <c r="C302" s="51" t="s">
        <v>33</v>
      </c>
      <c r="D302" s="52" t="s">
        <v>89</v>
      </c>
      <c r="E302" s="53" t="s">
        <v>33</v>
      </c>
      <c r="F302" s="52" t="s">
        <v>107</v>
      </c>
      <c r="G302" s="62" t="s">
        <v>35</v>
      </c>
      <c r="H302" s="54" t="s">
        <v>121</v>
      </c>
      <c r="I302" s="62" t="s">
        <v>35</v>
      </c>
      <c r="J302" s="159" t="s">
        <v>126</v>
      </c>
      <c r="K302" s="166" t="s">
        <v>27</v>
      </c>
      <c r="L302" s="155" t="s">
        <v>4</v>
      </c>
      <c r="M302" s="422" t="s">
        <v>33</v>
      </c>
      <c r="N302" s="158" t="s">
        <v>10499</v>
      </c>
      <c r="O302" s="55" t="str">
        <f t="shared" si="6"/>
        <v>L02.02.02.03.03.00.02</v>
      </c>
      <c r="P302" s="169" t="str">
        <f t="shared" si="3"/>
        <v>Phòng bán thêm GP HDDT</v>
      </c>
      <c r="Q302" s="96"/>
      <c r="R302" s="96"/>
      <c r="S302" s="96"/>
      <c r="T302" s="96"/>
      <c r="U302" s="96"/>
      <c r="V302" s="96"/>
      <c r="W302" s="96"/>
      <c r="X302" s="91"/>
      <c r="Y302" s="91"/>
      <c r="Z302" s="91"/>
      <c r="AA302" s="91"/>
      <c r="AB302" s="91"/>
    </row>
    <row r="303" ht="15.75" customHeight="1" outlineLevel="1">
      <c r="A303" s="51" t="s">
        <v>76</v>
      </c>
      <c r="B303" s="57" t="s">
        <v>77</v>
      </c>
      <c r="C303" s="51" t="s">
        <v>33</v>
      </c>
      <c r="D303" s="52" t="s">
        <v>89</v>
      </c>
      <c r="E303" s="53" t="s">
        <v>33</v>
      </c>
      <c r="F303" s="52" t="s">
        <v>107</v>
      </c>
      <c r="G303" s="62" t="s">
        <v>35</v>
      </c>
      <c r="H303" s="54" t="s">
        <v>121</v>
      </c>
      <c r="I303" s="62" t="s">
        <v>35</v>
      </c>
      <c r="J303" s="159" t="s">
        <v>126</v>
      </c>
      <c r="K303" s="166" t="s">
        <v>29</v>
      </c>
      <c r="L303" s="159" t="s">
        <v>127</v>
      </c>
      <c r="M303" s="422" t="s">
        <v>33</v>
      </c>
      <c r="N303" s="158" t="s">
        <v>10499</v>
      </c>
      <c r="O303" s="55" t="str">
        <f t="shared" si="6"/>
        <v>L02.02.02.03.03.01.02</v>
      </c>
      <c r="P303" s="169" t="str">
        <f t="shared" si="3"/>
        <v>Phòng bán thêm GP HDDT 01</v>
      </c>
      <c r="Q303" s="96"/>
      <c r="R303" s="96" t="s">
        <v>1787</v>
      </c>
      <c r="S303" s="96" t="s">
        <v>262</v>
      </c>
      <c r="T303" s="96" t="s">
        <v>263</v>
      </c>
      <c r="U303" s="96" t="s">
        <v>356</v>
      </c>
      <c r="V303" s="96" t="s">
        <v>1786</v>
      </c>
      <c r="W303" s="96"/>
      <c r="X303" s="91"/>
      <c r="Y303" s="91"/>
      <c r="Z303" s="91"/>
      <c r="AA303" s="91"/>
      <c r="AB303" s="91"/>
    </row>
    <row r="304" ht="15.75" customHeight="1" outlineLevel="1">
      <c r="A304" s="51" t="s">
        <v>76</v>
      </c>
      <c r="B304" s="57" t="s">
        <v>77</v>
      </c>
      <c r="C304" s="51" t="s">
        <v>33</v>
      </c>
      <c r="D304" s="52" t="s">
        <v>89</v>
      </c>
      <c r="E304" s="53" t="s">
        <v>33</v>
      </c>
      <c r="F304" s="52" t="s">
        <v>107</v>
      </c>
      <c r="G304" s="62" t="s">
        <v>35</v>
      </c>
      <c r="H304" s="54" t="s">
        <v>121</v>
      </c>
      <c r="I304" s="62" t="s">
        <v>35</v>
      </c>
      <c r="J304" s="159" t="s">
        <v>126</v>
      </c>
      <c r="K304" s="166" t="s">
        <v>33</v>
      </c>
      <c r="L304" s="159" t="s">
        <v>128</v>
      </c>
      <c r="M304" s="422" t="s">
        <v>33</v>
      </c>
      <c r="N304" s="158" t="s">
        <v>10499</v>
      </c>
      <c r="O304" s="55" t="str">
        <f t="shared" si="6"/>
        <v>L02.02.02.03.03.02.02</v>
      </c>
      <c r="P304" s="169" t="str">
        <f t="shared" si="3"/>
        <v>Phòng bán thêm GP HDDT 02</v>
      </c>
      <c r="Q304" s="96"/>
      <c r="R304" s="96" t="s">
        <v>1781</v>
      </c>
      <c r="S304" s="96" t="s">
        <v>262</v>
      </c>
      <c r="T304" s="96" t="s">
        <v>263</v>
      </c>
      <c r="U304" s="96" t="s">
        <v>356</v>
      </c>
      <c r="V304" s="96" t="s">
        <v>1780</v>
      </c>
      <c r="W304" s="96"/>
      <c r="X304" s="91"/>
      <c r="Y304" s="91"/>
      <c r="Z304" s="91"/>
      <c r="AA304" s="91"/>
      <c r="AB304" s="91"/>
    </row>
    <row r="305" ht="15.75" customHeight="1" outlineLevel="1">
      <c r="A305" s="51" t="s">
        <v>76</v>
      </c>
      <c r="B305" s="57" t="s">
        <v>77</v>
      </c>
      <c r="C305" s="51" t="s">
        <v>33</v>
      </c>
      <c r="D305" s="52" t="s">
        <v>89</v>
      </c>
      <c r="E305" s="53" t="s">
        <v>33</v>
      </c>
      <c r="F305" s="52" t="s">
        <v>107</v>
      </c>
      <c r="G305" s="62" t="s">
        <v>35</v>
      </c>
      <c r="H305" s="54" t="s">
        <v>121</v>
      </c>
      <c r="I305" s="62" t="s">
        <v>35</v>
      </c>
      <c r="J305" s="159" t="s">
        <v>126</v>
      </c>
      <c r="K305" s="166" t="s">
        <v>33</v>
      </c>
      <c r="L305" s="688" t="s">
        <v>11035</v>
      </c>
      <c r="M305" s="422" t="s">
        <v>33</v>
      </c>
      <c r="N305" s="158" t="s">
        <v>10499</v>
      </c>
      <c r="O305" s="55" t="str">
        <f t="shared" si="6"/>
        <v>L02.02.02.03.03.02.02</v>
      </c>
      <c r="P305" s="169" t="str">
        <f t="shared" si="3"/>
        <v>Phòng bán thêm GP HDDT 03</v>
      </c>
      <c r="Q305" s="96"/>
      <c r="R305" s="96" t="s">
        <v>1718</v>
      </c>
      <c r="S305" s="96" t="s">
        <v>262</v>
      </c>
      <c r="T305" s="96" t="s">
        <v>263</v>
      </c>
      <c r="U305" s="96" t="s">
        <v>356</v>
      </c>
      <c r="V305" s="96" t="s">
        <v>1717</v>
      </c>
      <c r="W305" s="96"/>
      <c r="X305" s="91"/>
      <c r="Y305" s="91"/>
      <c r="Z305" s="91"/>
      <c r="AA305" s="91"/>
      <c r="AB305" s="91"/>
    </row>
    <row r="306" ht="15.75" customHeight="1" outlineLevel="1">
      <c r="A306" s="51" t="s">
        <v>76</v>
      </c>
      <c r="B306" s="57" t="s">
        <v>77</v>
      </c>
      <c r="C306" s="51" t="s">
        <v>33</v>
      </c>
      <c r="D306" s="52" t="s">
        <v>89</v>
      </c>
      <c r="E306" s="53" t="s">
        <v>33</v>
      </c>
      <c r="F306" s="52" t="s">
        <v>107</v>
      </c>
      <c r="G306" s="62" t="s">
        <v>35</v>
      </c>
      <c r="H306" s="54" t="s">
        <v>121</v>
      </c>
      <c r="I306" s="62" t="s">
        <v>37</v>
      </c>
      <c r="J306" s="159" t="s">
        <v>129</v>
      </c>
      <c r="K306" s="166" t="s">
        <v>27</v>
      </c>
      <c r="L306" s="155" t="s">
        <v>4</v>
      </c>
      <c r="M306" s="422" t="s">
        <v>33</v>
      </c>
      <c r="N306" s="158" t="s">
        <v>10499</v>
      </c>
      <c r="O306" s="55" t="str">
        <f t="shared" si="6"/>
        <v>L02.02.02.03.04.00.02</v>
      </c>
      <c r="P306" s="169" t="str">
        <f t="shared" si="3"/>
        <v>Phòng KD chuyển đổi GPKT</v>
      </c>
      <c r="Q306" s="96"/>
      <c r="R306" s="96" t="s">
        <v>1702</v>
      </c>
      <c r="S306" s="96" t="s">
        <v>262</v>
      </c>
      <c r="T306" s="96" t="s">
        <v>263</v>
      </c>
      <c r="U306" s="96" t="s">
        <v>767</v>
      </c>
      <c r="V306" s="96" t="s">
        <v>1701</v>
      </c>
      <c r="W306" s="96"/>
      <c r="X306" s="91"/>
      <c r="Y306" s="91"/>
      <c r="Z306" s="91"/>
      <c r="AA306" s="91"/>
      <c r="AB306" s="91"/>
    </row>
    <row r="307" ht="15.75" customHeight="1" outlineLevel="1">
      <c r="A307" s="51" t="s">
        <v>76</v>
      </c>
      <c r="B307" s="57" t="s">
        <v>77</v>
      </c>
      <c r="C307" s="51" t="s">
        <v>33</v>
      </c>
      <c r="D307" s="52" t="s">
        <v>89</v>
      </c>
      <c r="E307" s="53" t="s">
        <v>33</v>
      </c>
      <c r="F307" s="52" t="s">
        <v>107</v>
      </c>
      <c r="G307" s="62" t="s">
        <v>35</v>
      </c>
      <c r="H307" s="72" t="s">
        <v>121</v>
      </c>
      <c r="I307" s="62" t="s">
        <v>42</v>
      </c>
      <c r="J307" s="159" t="s">
        <v>130</v>
      </c>
      <c r="K307" s="166" t="s">
        <v>27</v>
      </c>
      <c r="L307" s="155" t="s">
        <v>4</v>
      </c>
      <c r="M307" s="422" t="s">
        <v>33</v>
      </c>
      <c r="N307" s="158" t="s">
        <v>10499</v>
      </c>
      <c r="O307" s="55" t="str">
        <f t="shared" si="6"/>
        <v>L02.02.02.03.05.00.02</v>
      </c>
      <c r="P307" s="169" t="str">
        <f t="shared" si="3"/>
        <v>Phòng bán thêm GP Ký điện tử</v>
      </c>
      <c r="Q307" s="96"/>
      <c r="R307" s="96" t="s">
        <v>264</v>
      </c>
      <c r="S307" s="96" t="s">
        <v>262</v>
      </c>
      <c r="T307" s="96" t="s">
        <v>263</v>
      </c>
      <c r="U307" s="96" t="s">
        <v>261</v>
      </c>
      <c r="V307" s="96"/>
      <c r="W307" s="96"/>
      <c r="X307" s="91"/>
      <c r="Y307" s="91"/>
      <c r="Z307" s="91"/>
      <c r="AA307" s="91"/>
      <c r="AB307" s="91"/>
    </row>
    <row r="308" ht="15.75" customHeight="1" outlineLevel="1">
      <c r="A308" s="51" t="s">
        <v>76</v>
      </c>
      <c r="B308" s="57" t="s">
        <v>77</v>
      </c>
      <c r="C308" s="51" t="s">
        <v>33</v>
      </c>
      <c r="D308" s="52" t="s">
        <v>89</v>
      </c>
      <c r="E308" s="53" t="s">
        <v>33</v>
      </c>
      <c r="F308" s="52" t="s">
        <v>107</v>
      </c>
      <c r="G308" s="62" t="s">
        <v>35</v>
      </c>
      <c r="H308" s="72" t="s">
        <v>121</v>
      </c>
      <c r="I308" s="62" t="s">
        <v>44</v>
      </c>
      <c r="J308" s="159" t="s">
        <v>131</v>
      </c>
      <c r="K308" s="166" t="s">
        <v>27</v>
      </c>
      <c r="L308" s="155" t="s">
        <v>4</v>
      </c>
      <c r="M308" s="422" t="s">
        <v>33</v>
      </c>
      <c r="N308" s="158" t="s">
        <v>10499</v>
      </c>
      <c r="O308" s="55" t="str">
        <f t="shared" si="6"/>
        <v>L02.02.02.03.06.00.02</v>
      </c>
      <c r="P308" s="169" t="str">
        <f t="shared" si="3"/>
        <v>Phòng KD meInvoice dự án</v>
      </c>
      <c r="Q308" s="96"/>
      <c r="R308" s="96" t="s">
        <v>1694</v>
      </c>
      <c r="S308" s="96" t="s">
        <v>262</v>
      </c>
      <c r="T308" s="96" t="s">
        <v>263</v>
      </c>
      <c r="U308" s="96" t="s">
        <v>1693</v>
      </c>
      <c r="V308" s="96"/>
      <c r="W308" s="96"/>
      <c r="X308" s="91"/>
      <c r="Y308" s="91"/>
      <c r="Z308" s="91"/>
      <c r="AA308" s="91"/>
      <c r="AB308" s="91"/>
    </row>
    <row r="309" ht="15.75" customHeight="1" outlineLevel="1">
      <c r="A309" s="51" t="s">
        <v>76</v>
      </c>
      <c r="B309" s="57" t="s">
        <v>77</v>
      </c>
      <c r="C309" s="51" t="s">
        <v>33</v>
      </c>
      <c r="D309" s="52" t="s">
        <v>89</v>
      </c>
      <c r="E309" s="53" t="s">
        <v>33</v>
      </c>
      <c r="F309" s="52" t="s">
        <v>107</v>
      </c>
      <c r="G309" s="62" t="s">
        <v>33</v>
      </c>
      <c r="H309" s="54" t="s">
        <v>109</v>
      </c>
      <c r="I309" s="53" t="s">
        <v>27</v>
      </c>
      <c r="J309" s="155" t="s">
        <v>4</v>
      </c>
      <c r="K309" s="166" t="s">
        <v>27</v>
      </c>
      <c r="L309" s="155" t="s">
        <v>4</v>
      </c>
      <c r="M309" s="422" t="s">
        <v>35</v>
      </c>
      <c r="N309" s="158" t="s">
        <v>10500</v>
      </c>
      <c r="O309" s="55" t="str">
        <f t="shared" si="6"/>
        <v>L02.02.02.02.00.00.03</v>
      </c>
      <c r="P309" s="169" t="str">
        <f t="shared" si="3"/>
        <v>Phòng KD bán mới GPKT</v>
      </c>
      <c r="Q309" s="96"/>
      <c r="R309" s="96"/>
      <c r="S309" s="96"/>
      <c r="T309" s="96"/>
      <c r="U309" s="96"/>
      <c r="V309" s="96"/>
      <c r="W309" s="96"/>
      <c r="X309" s="91"/>
      <c r="Y309" s="91"/>
      <c r="Z309" s="91"/>
      <c r="AA309" s="91"/>
      <c r="AB309" s="91"/>
    </row>
    <row r="310" ht="15.75" customHeight="1" outlineLevel="1">
      <c r="A310" s="51" t="s">
        <v>76</v>
      </c>
      <c r="B310" s="57" t="s">
        <v>77</v>
      </c>
      <c r="C310" s="51" t="s">
        <v>33</v>
      </c>
      <c r="D310" s="52" t="s">
        <v>89</v>
      </c>
      <c r="E310" s="53" t="s">
        <v>33</v>
      </c>
      <c r="F310" s="52" t="s">
        <v>107</v>
      </c>
      <c r="G310" s="62" t="s">
        <v>33</v>
      </c>
      <c r="H310" s="54" t="s">
        <v>109</v>
      </c>
      <c r="I310" s="71" t="s">
        <v>29</v>
      </c>
      <c r="J310" s="158" t="s">
        <v>110</v>
      </c>
      <c r="K310" s="166" t="s">
        <v>27</v>
      </c>
      <c r="L310" s="155" t="s">
        <v>4</v>
      </c>
      <c r="M310" s="422" t="s">
        <v>35</v>
      </c>
      <c r="N310" s="158" t="s">
        <v>10500</v>
      </c>
      <c r="O310" s="55" t="str">
        <f t="shared" si="6"/>
        <v>L02.02.02.02.01.00.03</v>
      </c>
      <c r="P310" s="169" t="str">
        <f t="shared" si="3"/>
        <v>Phòng KD bán mới GPKT 01</v>
      </c>
      <c r="Q310" s="96"/>
      <c r="R310" s="96" t="s">
        <v>3080</v>
      </c>
      <c r="S310" s="96" t="s">
        <v>2811</v>
      </c>
      <c r="T310" s="96" t="s">
        <v>2768</v>
      </c>
      <c r="U310" s="96" t="s">
        <v>2767</v>
      </c>
      <c r="V310" s="96"/>
      <c r="W310" s="96"/>
      <c r="X310" s="91"/>
      <c r="Y310" s="91"/>
      <c r="Z310" s="91"/>
      <c r="AA310" s="91"/>
      <c r="AB310" s="91"/>
    </row>
    <row r="311" ht="15.75" customHeight="1" outlineLevel="1">
      <c r="A311" s="51" t="s">
        <v>76</v>
      </c>
      <c r="B311" s="57" t="s">
        <v>77</v>
      </c>
      <c r="C311" s="51" t="s">
        <v>33</v>
      </c>
      <c r="D311" s="52" t="s">
        <v>89</v>
      </c>
      <c r="E311" s="53" t="s">
        <v>33</v>
      </c>
      <c r="F311" s="52" t="s">
        <v>107</v>
      </c>
      <c r="G311" s="62" t="s">
        <v>33</v>
      </c>
      <c r="H311" s="54" t="s">
        <v>109</v>
      </c>
      <c r="I311" s="71" t="s">
        <v>33</v>
      </c>
      <c r="J311" s="158" t="s">
        <v>111</v>
      </c>
      <c r="K311" s="166" t="s">
        <v>27</v>
      </c>
      <c r="L311" s="155" t="s">
        <v>4</v>
      </c>
      <c r="M311" s="422" t="s">
        <v>35</v>
      </c>
      <c r="N311" s="158" t="s">
        <v>10500</v>
      </c>
      <c r="O311" s="55" t="str">
        <f t="shared" si="6"/>
        <v>L02.02.02.02.02.00.03</v>
      </c>
      <c r="P311" s="169" t="str">
        <f t="shared" si="3"/>
        <v>Phòng KD bán mới GPKT 02</v>
      </c>
      <c r="Q311" s="96"/>
      <c r="R311" s="96" t="s">
        <v>3074</v>
      </c>
      <c r="S311" s="96" t="s">
        <v>2811</v>
      </c>
      <c r="T311" s="96" t="s">
        <v>2768</v>
      </c>
      <c r="U311" s="96" t="s">
        <v>2858</v>
      </c>
      <c r="V311" s="96"/>
      <c r="W311" s="96"/>
      <c r="X311" s="91"/>
      <c r="Y311" s="91"/>
      <c r="Z311" s="91"/>
      <c r="AA311" s="91"/>
      <c r="AB311" s="91"/>
    </row>
    <row r="312" ht="15.75" customHeight="1" outlineLevel="1">
      <c r="A312" s="51" t="s">
        <v>76</v>
      </c>
      <c r="B312" s="57" t="s">
        <v>77</v>
      </c>
      <c r="C312" s="51" t="s">
        <v>33</v>
      </c>
      <c r="D312" s="52" t="s">
        <v>89</v>
      </c>
      <c r="E312" s="53" t="s">
        <v>33</v>
      </c>
      <c r="F312" s="52" t="s">
        <v>107</v>
      </c>
      <c r="G312" s="62" t="s">
        <v>35</v>
      </c>
      <c r="H312" s="54" t="s">
        <v>115</v>
      </c>
      <c r="I312" s="250" t="s">
        <v>27</v>
      </c>
      <c r="J312" s="159"/>
      <c r="K312" s="166" t="s">
        <v>27</v>
      </c>
      <c r="L312" s="155" t="s">
        <v>4</v>
      </c>
      <c r="M312" s="422" t="s">
        <v>35</v>
      </c>
      <c r="N312" s="158" t="s">
        <v>10500</v>
      </c>
      <c r="O312" s="55" t="str">
        <f t="shared" si="6"/>
        <v>L02.02.02.03.00.00.03</v>
      </c>
      <c r="P312" s="169" t="str">
        <f t="shared" si="3"/>
        <v/>
      </c>
      <c r="Q312" s="96"/>
      <c r="R312" s="96" t="s">
        <v>8579</v>
      </c>
      <c r="S312" s="96" t="s">
        <v>2811</v>
      </c>
      <c r="T312" s="96" t="s">
        <v>326</v>
      </c>
      <c r="U312" s="96"/>
      <c r="V312" s="96"/>
      <c r="W312" s="96"/>
      <c r="X312" s="91"/>
      <c r="Y312" s="91"/>
      <c r="Z312" s="91"/>
      <c r="AA312" s="91"/>
      <c r="AB312" s="91"/>
    </row>
    <row r="313" ht="15.75" customHeight="1" outlineLevel="1">
      <c r="A313" s="51" t="s">
        <v>76</v>
      </c>
      <c r="B313" s="57" t="s">
        <v>77</v>
      </c>
      <c r="C313" s="51" t="s">
        <v>33</v>
      </c>
      <c r="D313" s="52" t="s">
        <v>89</v>
      </c>
      <c r="E313" s="53" t="s">
        <v>33</v>
      </c>
      <c r="F313" s="52" t="s">
        <v>107</v>
      </c>
      <c r="G313" s="62" t="s">
        <v>35</v>
      </c>
      <c r="H313" s="54" t="s">
        <v>115</v>
      </c>
      <c r="I313" s="170" t="s">
        <v>29</v>
      </c>
      <c r="J313" s="159" t="s">
        <v>117</v>
      </c>
      <c r="K313" s="166" t="s">
        <v>27</v>
      </c>
      <c r="L313" s="155" t="s">
        <v>4</v>
      </c>
      <c r="M313" s="422" t="s">
        <v>35</v>
      </c>
      <c r="N313" s="158" t="s">
        <v>10500</v>
      </c>
      <c r="O313" s="55" t="str">
        <f t="shared" si="6"/>
        <v>L02.02.02.03.01.00.03</v>
      </c>
      <c r="P313" s="169" t="str">
        <f t="shared" si="3"/>
        <v>Nhóm KD Bán thêm GP KTDN</v>
      </c>
      <c r="Q313" s="96"/>
      <c r="R313" s="96" t="s">
        <v>3356</v>
      </c>
      <c r="S313" s="96" t="s">
        <v>2811</v>
      </c>
      <c r="T313" s="96" t="s">
        <v>326</v>
      </c>
      <c r="U313" s="96" t="s">
        <v>2737</v>
      </c>
      <c r="V313" s="96"/>
      <c r="W313" s="96"/>
      <c r="X313" s="91"/>
      <c r="Y313" s="91"/>
      <c r="Z313" s="91"/>
      <c r="AA313" s="91"/>
      <c r="AB313" s="91"/>
    </row>
    <row r="314" ht="15.75" customHeight="1" outlineLevel="1">
      <c r="A314" s="51" t="s">
        <v>76</v>
      </c>
      <c r="B314" s="57" t="s">
        <v>77</v>
      </c>
      <c r="C314" s="51" t="s">
        <v>33</v>
      </c>
      <c r="D314" s="52" t="s">
        <v>89</v>
      </c>
      <c r="E314" s="53" t="s">
        <v>33</v>
      </c>
      <c r="F314" s="52" t="s">
        <v>107</v>
      </c>
      <c r="G314" s="62" t="s">
        <v>35</v>
      </c>
      <c r="H314" s="54" t="s">
        <v>115</v>
      </c>
      <c r="I314" s="170" t="s">
        <v>33</v>
      </c>
      <c r="J314" s="159" t="s">
        <v>118</v>
      </c>
      <c r="K314" s="166" t="s">
        <v>27</v>
      </c>
      <c r="L314" s="155" t="s">
        <v>4</v>
      </c>
      <c r="M314" s="422" t="s">
        <v>35</v>
      </c>
      <c r="N314" s="158" t="s">
        <v>10500</v>
      </c>
      <c r="O314" s="55" t="str">
        <f t="shared" si="6"/>
        <v>L02.02.02.03.02.00.03</v>
      </c>
      <c r="P314" s="169" t="str">
        <f t="shared" si="3"/>
        <v>Nhóm KD Bán thêm GP HDDT</v>
      </c>
      <c r="Q314" s="96"/>
      <c r="R314" s="96" t="s">
        <v>4554</v>
      </c>
      <c r="S314" s="96" t="s">
        <v>2811</v>
      </c>
      <c r="T314" s="96" t="s">
        <v>326</v>
      </c>
      <c r="U314" s="96" t="s">
        <v>324</v>
      </c>
      <c r="V314" s="96"/>
      <c r="W314" s="96"/>
      <c r="X314" s="91"/>
      <c r="Y314" s="91"/>
      <c r="Z314" s="91"/>
      <c r="AA314" s="91"/>
      <c r="AB314" s="91"/>
    </row>
    <row r="315" ht="15.75" customHeight="1" outlineLevel="1">
      <c r="A315" s="51" t="s">
        <v>76</v>
      </c>
      <c r="B315" s="57" t="s">
        <v>77</v>
      </c>
      <c r="C315" s="51" t="s">
        <v>33</v>
      </c>
      <c r="D315" s="52" t="s">
        <v>89</v>
      </c>
      <c r="E315" s="53" t="s">
        <v>33</v>
      </c>
      <c r="F315" s="52" t="s">
        <v>107</v>
      </c>
      <c r="G315" s="62" t="s">
        <v>35</v>
      </c>
      <c r="H315" s="54" t="s">
        <v>115</v>
      </c>
      <c r="I315" s="170" t="s">
        <v>35</v>
      </c>
      <c r="J315" s="159" t="s">
        <v>119</v>
      </c>
      <c r="K315" s="166" t="s">
        <v>27</v>
      </c>
      <c r="L315" s="155" t="s">
        <v>4</v>
      </c>
      <c r="M315" s="422" t="s">
        <v>35</v>
      </c>
      <c r="N315" s="158" t="s">
        <v>10500</v>
      </c>
      <c r="O315" s="55" t="str">
        <f t="shared" si="6"/>
        <v>L02.02.02.03.03.00.03</v>
      </c>
      <c r="P315" s="169" t="str">
        <f t="shared" si="3"/>
        <v>Nhóm KD Bán thêm chuyển đổi KTDN</v>
      </c>
      <c r="Q315" s="96"/>
      <c r="R315" s="96" t="s">
        <v>8613</v>
      </c>
      <c r="S315" s="96" t="s">
        <v>2811</v>
      </c>
      <c r="T315" s="96" t="s">
        <v>326</v>
      </c>
      <c r="U315" s="96" t="s">
        <v>8612</v>
      </c>
      <c r="V315" s="96"/>
      <c r="W315" s="96"/>
      <c r="X315" s="91"/>
      <c r="Y315" s="91"/>
      <c r="Z315" s="91"/>
      <c r="AA315" s="91"/>
      <c r="AB315" s="91"/>
    </row>
    <row r="316" ht="15.75" customHeight="1" outlineLevel="1">
      <c r="A316" s="51" t="s">
        <v>76</v>
      </c>
      <c r="B316" s="57" t="s">
        <v>77</v>
      </c>
      <c r="C316" s="51" t="s">
        <v>33</v>
      </c>
      <c r="D316" s="52" t="s">
        <v>89</v>
      </c>
      <c r="E316" s="53" t="s">
        <v>33</v>
      </c>
      <c r="F316" s="52" t="s">
        <v>107</v>
      </c>
      <c r="G316" s="62" t="s">
        <v>35</v>
      </c>
      <c r="H316" s="54" t="s">
        <v>115</v>
      </c>
      <c r="I316" s="170" t="s">
        <v>37</v>
      </c>
      <c r="J316" s="159" t="s">
        <v>120</v>
      </c>
      <c r="K316" s="166" t="s">
        <v>27</v>
      </c>
      <c r="L316" s="155" t="s">
        <v>4</v>
      </c>
      <c r="M316" s="422" t="s">
        <v>35</v>
      </c>
      <c r="N316" s="158" t="s">
        <v>10500</v>
      </c>
      <c r="O316" s="55" t="str">
        <f t="shared" si="6"/>
        <v>L02.02.02.03.04.00.03</v>
      </c>
      <c r="P316" s="169" t="str">
        <f t="shared" si="3"/>
        <v>Nhóm KD Bán thêm GP ký điện tử</v>
      </c>
      <c r="Q316" s="96"/>
      <c r="R316" s="96"/>
      <c r="S316" s="96"/>
      <c r="T316" s="96"/>
      <c r="U316" s="96"/>
      <c r="V316" s="96"/>
      <c r="W316" s="96"/>
      <c r="X316" s="91"/>
      <c r="Y316" s="91"/>
      <c r="Z316" s="91"/>
      <c r="AA316" s="91"/>
      <c r="AB316" s="91"/>
    </row>
    <row r="317" ht="15.75" customHeight="1" outlineLevel="1">
      <c r="A317" s="51" t="s">
        <v>76</v>
      </c>
      <c r="B317" s="57" t="s">
        <v>77</v>
      </c>
      <c r="C317" s="51" t="s">
        <v>33</v>
      </c>
      <c r="D317" s="52" t="s">
        <v>89</v>
      </c>
      <c r="E317" s="53" t="s">
        <v>33</v>
      </c>
      <c r="F317" s="52" t="s">
        <v>107</v>
      </c>
      <c r="G317" s="62" t="s">
        <v>33</v>
      </c>
      <c r="H317" s="54" t="s">
        <v>109</v>
      </c>
      <c r="I317" s="53" t="s">
        <v>27</v>
      </c>
      <c r="J317" s="155" t="s">
        <v>4</v>
      </c>
      <c r="K317" s="166" t="s">
        <v>27</v>
      </c>
      <c r="L317" s="155" t="s">
        <v>4</v>
      </c>
      <c r="M317" s="422" t="s">
        <v>37</v>
      </c>
      <c r="N317" s="158" t="s">
        <v>10501</v>
      </c>
      <c r="O317" s="55" t="str">
        <f t="shared" si="6"/>
        <v>L02.02.02.02.00.00.04</v>
      </c>
      <c r="P317" s="169" t="str">
        <f t="shared" si="3"/>
        <v>Phòng KD bán mới GPKT</v>
      </c>
      <c r="Q317" s="96"/>
      <c r="R317" s="96" t="s">
        <v>2859</v>
      </c>
      <c r="S317" s="96" t="s">
        <v>2732</v>
      </c>
      <c r="T317" s="96" t="s">
        <v>2768</v>
      </c>
      <c r="U317" s="96" t="s">
        <v>2858</v>
      </c>
      <c r="V317" s="96"/>
      <c r="W317" s="96"/>
      <c r="X317" s="91"/>
      <c r="Y317" s="91"/>
      <c r="Z317" s="91"/>
      <c r="AA317" s="91"/>
      <c r="AB317" s="91"/>
    </row>
    <row r="318" ht="15.75" customHeight="1" outlineLevel="1">
      <c r="A318" s="51" t="s">
        <v>76</v>
      </c>
      <c r="B318" s="57" t="s">
        <v>77</v>
      </c>
      <c r="C318" s="51" t="s">
        <v>33</v>
      </c>
      <c r="D318" s="52" t="s">
        <v>89</v>
      </c>
      <c r="E318" s="53" t="s">
        <v>33</v>
      </c>
      <c r="F318" s="52" t="s">
        <v>107</v>
      </c>
      <c r="G318" s="62" t="s">
        <v>35</v>
      </c>
      <c r="H318" s="54" t="s">
        <v>115</v>
      </c>
      <c r="I318" s="250" t="s">
        <v>27</v>
      </c>
      <c r="J318" s="159"/>
      <c r="K318" s="166" t="s">
        <v>27</v>
      </c>
      <c r="L318" s="155" t="s">
        <v>4</v>
      </c>
      <c r="M318" s="422" t="s">
        <v>37</v>
      </c>
      <c r="N318" s="158" t="s">
        <v>10501</v>
      </c>
      <c r="O318" s="55" t="str">
        <f t="shared" si="6"/>
        <v>L02.02.02.03.00.00.04</v>
      </c>
      <c r="P318" s="169" t="str">
        <f t="shared" si="3"/>
        <v/>
      </c>
      <c r="Q318" s="96"/>
      <c r="R318" s="96" t="s">
        <v>9032</v>
      </c>
      <c r="S318" s="96" t="s">
        <v>2732</v>
      </c>
      <c r="T318" s="96" t="s">
        <v>326</v>
      </c>
      <c r="U318" s="96"/>
      <c r="V318" s="96"/>
      <c r="W318" s="96"/>
      <c r="X318" s="91"/>
      <c r="Y318" s="91"/>
      <c r="Z318" s="91"/>
      <c r="AA318" s="91"/>
      <c r="AB318" s="91"/>
    </row>
    <row r="319" ht="15.75" customHeight="1" outlineLevel="1">
      <c r="A319" s="51" t="s">
        <v>76</v>
      </c>
      <c r="B319" s="57" t="s">
        <v>77</v>
      </c>
      <c r="C319" s="51" t="s">
        <v>33</v>
      </c>
      <c r="D319" s="52" t="s">
        <v>89</v>
      </c>
      <c r="E319" s="53" t="s">
        <v>33</v>
      </c>
      <c r="F319" s="52" t="s">
        <v>107</v>
      </c>
      <c r="G319" s="62" t="s">
        <v>35</v>
      </c>
      <c r="H319" s="54" t="s">
        <v>115</v>
      </c>
      <c r="I319" s="170" t="s">
        <v>29</v>
      </c>
      <c r="J319" s="159" t="s">
        <v>117</v>
      </c>
      <c r="K319" s="166" t="s">
        <v>27</v>
      </c>
      <c r="L319" s="155" t="s">
        <v>4</v>
      </c>
      <c r="M319" s="422" t="s">
        <v>37</v>
      </c>
      <c r="N319" s="158" t="s">
        <v>10501</v>
      </c>
      <c r="O319" s="55" t="str">
        <f t="shared" si="6"/>
        <v>L02.02.02.03.01.00.04</v>
      </c>
      <c r="P319" s="169" t="str">
        <f t="shared" si="3"/>
        <v>Nhóm KD Bán thêm GP KTDN</v>
      </c>
      <c r="Q319" s="96"/>
      <c r="R319" s="96" t="s">
        <v>2738</v>
      </c>
      <c r="S319" s="96" t="s">
        <v>2732</v>
      </c>
      <c r="T319" s="96" t="s">
        <v>326</v>
      </c>
      <c r="U319" s="96" t="s">
        <v>2737</v>
      </c>
      <c r="V319" s="96"/>
      <c r="W319" s="96"/>
      <c r="X319" s="91"/>
      <c r="Y319" s="91"/>
      <c r="Z319" s="91"/>
      <c r="AA319" s="91"/>
      <c r="AB319" s="91"/>
    </row>
    <row r="320" ht="15.75" customHeight="1" outlineLevel="1">
      <c r="A320" s="51" t="s">
        <v>76</v>
      </c>
      <c r="B320" s="57" t="s">
        <v>77</v>
      </c>
      <c r="C320" s="51" t="s">
        <v>33</v>
      </c>
      <c r="D320" s="52" t="s">
        <v>89</v>
      </c>
      <c r="E320" s="53" t="s">
        <v>33</v>
      </c>
      <c r="F320" s="52" t="s">
        <v>107</v>
      </c>
      <c r="G320" s="62" t="s">
        <v>35</v>
      </c>
      <c r="H320" s="54" t="s">
        <v>115</v>
      </c>
      <c r="I320" s="170" t="s">
        <v>33</v>
      </c>
      <c r="J320" s="159" t="s">
        <v>118</v>
      </c>
      <c r="K320" s="166" t="s">
        <v>27</v>
      </c>
      <c r="L320" s="155" t="s">
        <v>4</v>
      </c>
      <c r="M320" s="422" t="s">
        <v>37</v>
      </c>
      <c r="N320" s="158" t="s">
        <v>10501</v>
      </c>
      <c r="O320" s="55" t="str">
        <f t="shared" si="6"/>
        <v>L02.02.02.03.02.00.04</v>
      </c>
      <c r="P320" s="169" t="str">
        <f t="shared" si="3"/>
        <v>Nhóm KD Bán thêm GP HDDT</v>
      </c>
      <c r="Q320" s="96"/>
      <c r="R320" s="96" t="s">
        <v>2733</v>
      </c>
      <c r="S320" s="96" t="s">
        <v>2732</v>
      </c>
      <c r="T320" s="96" t="s">
        <v>326</v>
      </c>
      <c r="U320" s="96" t="s">
        <v>324</v>
      </c>
      <c r="V320" s="96"/>
      <c r="W320" s="96"/>
      <c r="X320" s="91"/>
      <c r="Y320" s="91"/>
      <c r="Z320" s="91"/>
      <c r="AA320" s="91"/>
      <c r="AB320" s="91"/>
    </row>
    <row r="321" ht="15.75" customHeight="1" outlineLevel="1">
      <c r="A321" s="51" t="s">
        <v>76</v>
      </c>
      <c r="B321" s="57" t="s">
        <v>77</v>
      </c>
      <c r="C321" s="51" t="s">
        <v>33</v>
      </c>
      <c r="D321" s="52" t="s">
        <v>89</v>
      </c>
      <c r="E321" s="53" t="s">
        <v>33</v>
      </c>
      <c r="F321" s="52" t="s">
        <v>107</v>
      </c>
      <c r="G321" s="62" t="s">
        <v>35</v>
      </c>
      <c r="H321" s="54" t="s">
        <v>115</v>
      </c>
      <c r="I321" s="170" t="s">
        <v>35</v>
      </c>
      <c r="J321" s="159" t="s">
        <v>119</v>
      </c>
      <c r="K321" s="166" t="s">
        <v>27</v>
      </c>
      <c r="L321" s="155" t="s">
        <v>4</v>
      </c>
      <c r="M321" s="422" t="s">
        <v>37</v>
      </c>
      <c r="N321" s="158" t="s">
        <v>10501</v>
      </c>
      <c r="O321" s="55" t="str">
        <f t="shared" si="6"/>
        <v>L02.02.02.03.03.00.04</v>
      </c>
      <c r="P321" s="169" t="str">
        <f t="shared" si="3"/>
        <v>Nhóm KD Bán thêm chuyển đổi KTDN</v>
      </c>
      <c r="Q321" s="96"/>
      <c r="R321" s="96" t="s">
        <v>9059</v>
      </c>
      <c r="S321" s="96" t="s">
        <v>2732</v>
      </c>
      <c r="T321" s="96" t="s">
        <v>326</v>
      </c>
      <c r="U321" s="96" t="s">
        <v>9058</v>
      </c>
      <c r="V321" s="96"/>
      <c r="W321" s="96"/>
      <c r="X321" s="91"/>
      <c r="Y321" s="91"/>
      <c r="Z321" s="91"/>
      <c r="AA321" s="91"/>
      <c r="AB321" s="91"/>
    </row>
    <row r="322" ht="15.75" customHeight="1" outlineLevel="1">
      <c r="A322" s="51" t="s">
        <v>76</v>
      </c>
      <c r="B322" s="57" t="s">
        <v>77</v>
      </c>
      <c r="C322" s="51" t="s">
        <v>33</v>
      </c>
      <c r="D322" s="52" t="s">
        <v>89</v>
      </c>
      <c r="E322" s="53" t="s">
        <v>33</v>
      </c>
      <c r="F322" s="52" t="s">
        <v>107</v>
      </c>
      <c r="G322" s="62" t="s">
        <v>35</v>
      </c>
      <c r="H322" s="54" t="s">
        <v>115</v>
      </c>
      <c r="I322" s="170" t="s">
        <v>37</v>
      </c>
      <c r="J322" s="159" t="s">
        <v>120</v>
      </c>
      <c r="K322" s="166" t="s">
        <v>27</v>
      </c>
      <c r="L322" s="155" t="s">
        <v>4</v>
      </c>
      <c r="M322" s="422" t="s">
        <v>37</v>
      </c>
      <c r="N322" s="158" t="s">
        <v>10501</v>
      </c>
      <c r="O322" s="55" t="str">
        <f t="shared" si="6"/>
        <v>L02.02.02.03.04.00.04</v>
      </c>
      <c r="P322" s="169" t="str">
        <f t="shared" si="3"/>
        <v>Nhóm KD Bán thêm GP ký điện tử</v>
      </c>
      <c r="Q322" s="96"/>
      <c r="R322" s="96"/>
      <c r="S322" s="96"/>
      <c r="T322" s="96"/>
      <c r="U322" s="96"/>
      <c r="V322" s="96"/>
      <c r="W322" s="96"/>
      <c r="X322" s="91"/>
      <c r="Y322" s="91"/>
      <c r="Z322" s="91"/>
      <c r="AA322" s="91"/>
      <c r="AB322" s="91"/>
    </row>
    <row r="323" ht="15.75" customHeight="1" outlineLevel="1">
      <c r="A323" s="51" t="s">
        <v>76</v>
      </c>
      <c r="B323" s="57" t="s">
        <v>77</v>
      </c>
      <c r="C323" s="51" t="s">
        <v>33</v>
      </c>
      <c r="D323" s="52" t="s">
        <v>89</v>
      </c>
      <c r="E323" s="53" t="s">
        <v>33</v>
      </c>
      <c r="F323" s="52" t="s">
        <v>107</v>
      </c>
      <c r="G323" s="62" t="s">
        <v>33</v>
      </c>
      <c r="H323" s="54" t="s">
        <v>109</v>
      </c>
      <c r="I323" s="71" t="s">
        <v>29</v>
      </c>
      <c r="J323" s="158" t="s">
        <v>110</v>
      </c>
      <c r="K323" s="166" t="s">
        <v>27</v>
      </c>
      <c r="L323" s="155" t="s">
        <v>4</v>
      </c>
      <c r="M323" s="422" t="s">
        <v>42</v>
      </c>
      <c r="N323" s="158" t="s">
        <v>10502</v>
      </c>
      <c r="O323" s="55" t="str">
        <f t="shared" si="6"/>
        <v>L02.02.02.02.01.00.05</v>
      </c>
      <c r="P323" s="169" t="str">
        <f t="shared" si="3"/>
        <v>Phòng KD bán mới GPKT 01</v>
      </c>
      <c r="Q323" s="96"/>
      <c r="R323" s="96" t="s">
        <v>3080</v>
      </c>
      <c r="S323" s="96" t="s">
        <v>2811</v>
      </c>
      <c r="T323" s="96" t="s">
        <v>2768</v>
      </c>
      <c r="U323" s="96" t="s">
        <v>2767</v>
      </c>
      <c r="V323" s="96"/>
      <c r="W323" s="96"/>
      <c r="X323" s="91"/>
      <c r="Y323" s="91"/>
      <c r="Z323" s="91"/>
      <c r="AA323" s="91"/>
      <c r="AB323" s="91"/>
    </row>
    <row r="324" ht="15.75" customHeight="1" outlineLevel="1">
      <c r="A324" s="51" t="s">
        <v>76</v>
      </c>
      <c r="B324" s="57" t="s">
        <v>77</v>
      </c>
      <c r="C324" s="51" t="s">
        <v>33</v>
      </c>
      <c r="D324" s="52" t="s">
        <v>89</v>
      </c>
      <c r="E324" s="53" t="s">
        <v>33</v>
      </c>
      <c r="F324" s="52" t="s">
        <v>107</v>
      </c>
      <c r="G324" s="62" t="s">
        <v>33</v>
      </c>
      <c r="H324" s="54" t="s">
        <v>109</v>
      </c>
      <c r="I324" s="71" t="s">
        <v>33</v>
      </c>
      <c r="J324" s="158" t="s">
        <v>111</v>
      </c>
      <c r="K324" s="166" t="s">
        <v>27</v>
      </c>
      <c r="L324" s="155" t="s">
        <v>4</v>
      </c>
      <c r="M324" s="422" t="s">
        <v>42</v>
      </c>
      <c r="N324" s="158" t="s">
        <v>10502</v>
      </c>
      <c r="O324" s="55" t="str">
        <f t="shared" si="6"/>
        <v>L02.02.02.02.02.00.05</v>
      </c>
      <c r="P324" s="169" t="str">
        <f t="shared" si="3"/>
        <v>Phòng KD bán mới GPKT 02</v>
      </c>
      <c r="Q324" s="96"/>
      <c r="R324" s="96" t="s">
        <v>3074</v>
      </c>
      <c r="S324" s="96" t="s">
        <v>2811</v>
      </c>
      <c r="T324" s="96" t="s">
        <v>2768</v>
      </c>
      <c r="U324" s="96" t="s">
        <v>2858</v>
      </c>
      <c r="V324" s="96"/>
      <c r="W324" s="96"/>
      <c r="X324" s="91"/>
      <c r="Y324" s="91"/>
      <c r="Z324" s="91"/>
      <c r="AA324" s="91"/>
      <c r="AB324" s="91"/>
    </row>
    <row r="325" ht="15.75" customHeight="1" outlineLevel="1">
      <c r="A325" s="51" t="s">
        <v>76</v>
      </c>
      <c r="B325" s="57" t="s">
        <v>77</v>
      </c>
      <c r="C325" s="51" t="s">
        <v>33</v>
      </c>
      <c r="D325" s="52" t="s">
        <v>89</v>
      </c>
      <c r="E325" s="53" t="s">
        <v>33</v>
      </c>
      <c r="F325" s="52" t="s">
        <v>107</v>
      </c>
      <c r="G325" s="62" t="s">
        <v>35</v>
      </c>
      <c r="H325" s="54" t="s">
        <v>115</v>
      </c>
      <c r="I325" s="250" t="s">
        <v>27</v>
      </c>
      <c r="J325" s="689"/>
      <c r="K325" s="166" t="s">
        <v>27</v>
      </c>
      <c r="L325" s="155" t="s">
        <v>4</v>
      </c>
      <c r="M325" s="422" t="s">
        <v>42</v>
      </c>
      <c r="N325" s="158" t="s">
        <v>10502</v>
      </c>
      <c r="O325" s="55" t="str">
        <f t="shared" si="6"/>
        <v>L02.02.02.03.00.00.05</v>
      </c>
      <c r="P325" s="169" t="str">
        <f t="shared" si="3"/>
        <v/>
      </c>
      <c r="Q325" s="96"/>
      <c r="R325" s="96" t="s">
        <v>8579</v>
      </c>
      <c r="S325" s="96" t="s">
        <v>2811</v>
      </c>
      <c r="T325" s="96" t="s">
        <v>326</v>
      </c>
      <c r="U325" s="96"/>
      <c r="V325" s="96"/>
      <c r="W325" s="96"/>
      <c r="X325" s="91"/>
      <c r="Y325" s="91"/>
      <c r="Z325" s="91"/>
      <c r="AA325" s="91"/>
      <c r="AB325" s="91"/>
    </row>
    <row r="326" ht="15.75" customHeight="1" outlineLevel="1">
      <c r="A326" s="51" t="s">
        <v>76</v>
      </c>
      <c r="B326" s="57" t="s">
        <v>77</v>
      </c>
      <c r="C326" s="51" t="s">
        <v>33</v>
      </c>
      <c r="D326" s="52" t="s">
        <v>89</v>
      </c>
      <c r="E326" s="53" t="s">
        <v>33</v>
      </c>
      <c r="F326" s="52" t="s">
        <v>107</v>
      </c>
      <c r="G326" s="62" t="s">
        <v>35</v>
      </c>
      <c r="H326" s="54" t="s">
        <v>115</v>
      </c>
      <c r="I326" s="170" t="s">
        <v>29</v>
      </c>
      <c r="J326" s="690" t="s">
        <v>10984</v>
      </c>
      <c r="K326" s="166" t="s">
        <v>27</v>
      </c>
      <c r="L326" s="155" t="s">
        <v>4</v>
      </c>
      <c r="M326" s="422" t="s">
        <v>42</v>
      </c>
      <c r="N326" s="158" t="s">
        <v>10502</v>
      </c>
      <c r="O326" s="55" t="str">
        <f t="shared" si="6"/>
        <v>L02.02.02.03.01.00.05</v>
      </c>
      <c r="P326" s="169" t="str">
        <f t="shared" si="3"/>
        <v>Nhóm Quản lý</v>
      </c>
      <c r="Q326" s="96"/>
      <c r="R326" s="96"/>
      <c r="S326" s="96"/>
      <c r="T326" s="96"/>
      <c r="U326" s="96"/>
      <c r="V326" s="96"/>
      <c r="W326" s="96"/>
      <c r="X326" s="91"/>
      <c r="Y326" s="91"/>
      <c r="Z326" s="91"/>
      <c r="AA326" s="91"/>
      <c r="AB326" s="91"/>
    </row>
    <row r="327" ht="15.75" customHeight="1" outlineLevel="1">
      <c r="A327" s="51" t="s">
        <v>76</v>
      </c>
      <c r="B327" s="57" t="s">
        <v>77</v>
      </c>
      <c r="C327" s="51" t="s">
        <v>33</v>
      </c>
      <c r="D327" s="52" t="s">
        <v>89</v>
      </c>
      <c r="E327" s="53" t="s">
        <v>33</v>
      </c>
      <c r="F327" s="52" t="s">
        <v>107</v>
      </c>
      <c r="G327" s="62" t="s">
        <v>35</v>
      </c>
      <c r="H327" s="54" t="s">
        <v>115</v>
      </c>
      <c r="I327" s="170" t="s">
        <v>33</v>
      </c>
      <c r="J327" s="159" t="s">
        <v>117</v>
      </c>
      <c r="K327" s="166" t="s">
        <v>27</v>
      </c>
      <c r="L327" s="155" t="s">
        <v>4</v>
      </c>
      <c r="M327" s="422" t="s">
        <v>42</v>
      </c>
      <c r="N327" s="158" t="s">
        <v>10502</v>
      </c>
      <c r="O327" s="55" t="str">
        <f t="shared" si="6"/>
        <v>L02.02.02.03.02.00.05</v>
      </c>
      <c r="P327" s="169" t="str">
        <f t="shared" si="3"/>
        <v>Nhóm KD Bán thêm GP KTDN</v>
      </c>
      <c r="Q327" s="96"/>
      <c r="R327" s="96" t="s">
        <v>3356</v>
      </c>
      <c r="S327" s="96" t="s">
        <v>2811</v>
      </c>
      <c r="T327" s="96" t="s">
        <v>326</v>
      </c>
      <c r="U327" s="96" t="s">
        <v>2737</v>
      </c>
      <c r="V327" s="96"/>
      <c r="W327" s="96"/>
      <c r="X327" s="91"/>
      <c r="Y327" s="91"/>
      <c r="Z327" s="91"/>
      <c r="AA327" s="91"/>
      <c r="AB327" s="91"/>
    </row>
    <row r="328" ht="15.75" customHeight="1" outlineLevel="1">
      <c r="A328" s="51" t="s">
        <v>76</v>
      </c>
      <c r="B328" s="57" t="s">
        <v>77</v>
      </c>
      <c r="C328" s="51" t="s">
        <v>33</v>
      </c>
      <c r="D328" s="52" t="s">
        <v>89</v>
      </c>
      <c r="E328" s="53" t="s">
        <v>33</v>
      </c>
      <c r="F328" s="52" t="s">
        <v>107</v>
      </c>
      <c r="G328" s="62" t="s">
        <v>35</v>
      </c>
      <c r="H328" s="54" t="s">
        <v>115</v>
      </c>
      <c r="I328" s="170" t="s">
        <v>35</v>
      </c>
      <c r="J328" s="159" t="s">
        <v>118</v>
      </c>
      <c r="K328" s="166" t="s">
        <v>27</v>
      </c>
      <c r="L328" s="155" t="s">
        <v>4</v>
      </c>
      <c r="M328" s="422" t="s">
        <v>42</v>
      </c>
      <c r="N328" s="158" t="s">
        <v>10502</v>
      </c>
      <c r="O328" s="55" t="str">
        <f t="shared" si="6"/>
        <v>L02.02.02.03.03.00.05</v>
      </c>
      <c r="P328" s="169" t="str">
        <f t="shared" si="3"/>
        <v>Nhóm KD Bán thêm GP HDDT</v>
      </c>
      <c r="Q328" s="96"/>
      <c r="R328" s="96" t="s">
        <v>4554</v>
      </c>
      <c r="S328" s="96" t="s">
        <v>2811</v>
      </c>
      <c r="T328" s="96" t="s">
        <v>326</v>
      </c>
      <c r="U328" s="96" t="s">
        <v>324</v>
      </c>
      <c r="V328" s="96"/>
      <c r="W328" s="96"/>
      <c r="X328" s="91"/>
      <c r="Y328" s="91"/>
      <c r="Z328" s="91"/>
      <c r="AA328" s="91"/>
      <c r="AB328" s="91"/>
    </row>
    <row r="329" ht="15.75" customHeight="1" outlineLevel="1">
      <c r="A329" s="51" t="s">
        <v>76</v>
      </c>
      <c r="B329" s="57" t="s">
        <v>77</v>
      </c>
      <c r="C329" s="51" t="s">
        <v>33</v>
      </c>
      <c r="D329" s="52" t="s">
        <v>89</v>
      </c>
      <c r="E329" s="53" t="s">
        <v>33</v>
      </c>
      <c r="F329" s="52" t="s">
        <v>107</v>
      </c>
      <c r="G329" s="62" t="s">
        <v>35</v>
      </c>
      <c r="H329" s="54" t="s">
        <v>115</v>
      </c>
      <c r="I329" s="170" t="s">
        <v>37</v>
      </c>
      <c r="J329" s="159" t="s">
        <v>119</v>
      </c>
      <c r="K329" s="166" t="s">
        <v>27</v>
      </c>
      <c r="L329" s="155" t="s">
        <v>4</v>
      </c>
      <c r="M329" s="422" t="s">
        <v>42</v>
      </c>
      <c r="N329" s="158" t="s">
        <v>10502</v>
      </c>
      <c r="O329" s="55" t="str">
        <f t="shared" si="6"/>
        <v>L02.02.02.03.04.00.05</v>
      </c>
      <c r="P329" s="169" t="str">
        <f t="shared" si="3"/>
        <v>Nhóm KD Bán thêm chuyển đổi KTDN</v>
      </c>
      <c r="Q329" s="96"/>
      <c r="R329" s="96" t="s">
        <v>8613</v>
      </c>
      <c r="S329" s="96" t="s">
        <v>2811</v>
      </c>
      <c r="T329" s="96" t="s">
        <v>326</v>
      </c>
      <c r="U329" s="96" t="s">
        <v>8612</v>
      </c>
      <c r="V329" s="96"/>
      <c r="W329" s="96"/>
      <c r="X329" s="91"/>
      <c r="Y329" s="91"/>
      <c r="Z329" s="91"/>
      <c r="AA329" s="91"/>
      <c r="AB329" s="91"/>
    </row>
    <row r="330" ht="15.75" customHeight="1" outlineLevel="1">
      <c r="A330" s="51" t="s">
        <v>76</v>
      </c>
      <c r="B330" s="57" t="s">
        <v>77</v>
      </c>
      <c r="C330" s="51" t="s">
        <v>33</v>
      </c>
      <c r="D330" s="52" t="s">
        <v>89</v>
      </c>
      <c r="E330" s="53" t="s">
        <v>33</v>
      </c>
      <c r="F330" s="52" t="s">
        <v>107</v>
      </c>
      <c r="G330" s="62" t="s">
        <v>35</v>
      </c>
      <c r="H330" s="54" t="s">
        <v>115</v>
      </c>
      <c r="I330" s="170" t="s">
        <v>42</v>
      </c>
      <c r="J330" s="159" t="s">
        <v>120</v>
      </c>
      <c r="K330" s="166" t="s">
        <v>27</v>
      </c>
      <c r="L330" s="155" t="s">
        <v>4</v>
      </c>
      <c r="M330" s="422" t="s">
        <v>42</v>
      </c>
      <c r="N330" s="158" t="s">
        <v>10502</v>
      </c>
      <c r="O330" s="55" t="str">
        <f t="shared" si="6"/>
        <v>L02.02.02.03.05.00.05</v>
      </c>
      <c r="P330" s="169" t="str">
        <f t="shared" si="3"/>
        <v>Nhóm KD Bán thêm GP ký điện tử</v>
      </c>
      <c r="Q330" s="96"/>
      <c r="R330" s="96"/>
      <c r="S330" s="96"/>
      <c r="T330" s="96"/>
      <c r="U330" s="96"/>
      <c r="V330" s="96"/>
      <c r="W330" s="96"/>
      <c r="X330" s="91"/>
      <c r="Y330" s="91"/>
      <c r="Z330" s="91"/>
      <c r="AA330" s="91"/>
      <c r="AB330" s="91"/>
    </row>
    <row r="331" ht="15.75" customHeight="1" outlineLevel="1">
      <c r="A331" s="51" t="s">
        <v>76</v>
      </c>
      <c r="B331" s="57" t="s">
        <v>77</v>
      </c>
      <c r="C331" s="51" t="s">
        <v>33</v>
      </c>
      <c r="D331" s="52" t="s">
        <v>89</v>
      </c>
      <c r="E331" s="53" t="s">
        <v>33</v>
      </c>
      <c r="F331" s="52" t="s">
        <v>107</v>
      </c>
      <c r="G331" s="62" t="s">
        <v>37</v>
      </c>
      <c r="H331" s="54" t="s">
        <v>132</v>
      </c>
      <c r="I331" s="62" t="s">
        <v>29</v>
      </c>
      <c r="J331" s="691" t="s">
        <v>133</v>
      </c>
      <c r="K331" s="166" t="s">
        <v>27</v>
      </c>
      <c r="L331" s="155" t="s">
        <v>4</v>
      </c>
      <c r="M331" s="422" t="s">
        <v>29</v>
      </c>
      <c r="N331" s="158" t="s">
        <v>10498</v>
      </c>
      <c r="O331" s="55" t="str">
        <f t="shared" si="6"/>
        <v>L02.02.02.04.01.00.01</v>
      </c>
      <c r="P331" s="169" t="str">
        <f t="shared" si="3"/>
        <v>Ban giám đốc TT chuyển giao</v>
      </c>
      <c r="Q331" s="96"/>
      <c r="R331" s="96" t="s">
        <v>7135</v>
      </c>
      <c r="S331" s="96" t="s">
        <v>303</v>
      </c>
      <c r="T331" s="96" t="s">
        <v>132</v>
      </c>
      <c r="U331" s="96"/>
      <c r="V331" s="96"/>
      <c r="W331" s="96"/>
      <c r="X331" s="91"/>
      <c r="Y331" s="91"/>
      <c r="Z331" s="91"/>
      <c r="AA331" s="91"/>
      <c r="AB331" s="91"/>
    </row>
    <row r="332" ht="15.75" customHeight="1" outlineLevel="1">
      <c r="A332" s="51" t="s">
        <v>76</v>
      </c>
      <c r="B332" s="57" t="s">
        <v>77</v>
      </c>
      <c r="C332" s="51" t="s">
        <v>33</v>
      </c>
      <c r="D332" s="52" t="s">
        <v>89</v>
      </c>
      <c r="E332" s="53" t="s">
        <v>33</v>
      </c>
      <c r="F332" s="52" t="s">
        <v>107</v>
      </c>
      <c r="G332" s="62" t="s">
        <v>37</v>
      </c>
      <c r="H332" s="54" t="s">
        <v>132</v>
      </c>
      <c r="I332" s="62" t="s">
        <v>33</v>
      </c>
      <c r="J332" s="691" t="s">
        <v>134</v>
      </c>
      <c r="K332" s="166" t="s">
        <v>29</v>
      </c>
      <c r="L332" s="159" t="s">
        <v>135</v>
      </c>
      <c r="M332" s="422" t="s">
        <v>29</v>
      </c>
      <c r="N332" s="158" t="s">
        <v>10498</v>
      </c>
      <c r="O332" s="55" t="str">
        <f t="shared" si="6"/>
        <v>L02.02.02.04.02.01.01</v>
      </c>
      <c r="P332" s="169" t="str">
        <f t="shared" si="3"/>
        <v>Nhóm chuyển giao GP KT 01</v>
      </c>
      <c r="Q332" s="96"/>
      <c r="R332" s="96" t="s">
        <v>650</v>
      </c>
      <c r="S332" s="96" t="s">
        <v>346</v>
      </c>
      <c r="T332" s="96" t="s">
        <v>101</v>
      </c>
      <c r="U332" s="96" t="s">
        <v>649</v>
      </c>
      <c r="V332" s="96"/>
      <c r="W332" s="96"/>
      <c r="X332" s="91"/>
      <c r="Y332" s="91"/>
      <c r="Z332" s="91"/>
      <c r="AA332" s="91"/>
      <c r="AB332" s="91"/>
    </row>
    <row r="333" ht="15.75" customHeight="1" outlineLevel="1">
      <c r="A333" s="51" t="s">
        <v>76</v>
      </c>
      <c r="B333" s="57" t="s">
        <v>77</v>
      </c>
      <c r="C333" s="51" t="s">
        <v>33</v>
      </c>
      <c r="D333" s="52" t="s">
        <v>89</v>
      </c>
      <c r="E333" s="53" t="s">
        <v>33</v>
      </c>
      <c r="F333" s="52" t="s">
        <v>107</v>
      </c>
      <c r="G333" s="62" t="s">
        <v>37</v>
      </c>
      <c r="H333" s="54" t="s">
        <v>132</v>
      </c>
      <c r="I333" s="62" t="s">
        <v>35</v>
      </c>
      <c r="J333" s="691" t="s">
        <v>137</v>
      </c>
      <c r="K333" s="682" t="s">
        <v>29</v>
      </c>
      <c r="L333" s="692" t="s">
        <v>12515</v>
      </c>
      <c r="M333" s="422" t="s">
        <v>29</v>
      </c>
      <c r="N333" s="158" t="s">
        <v>10498</v>
      </c>
      <c r="O333" s="55" t="str">
        <f t="shared" si="6"/>
        <v>L02.02.02.04.03.01.01</v>
      </c>
      <c r="P333" s="169" t="str">
        <f t="shared" si="3"/>
        <v>Nhóm chuyển giao GP HDDT-KS</v>
      </c>
      <c r="Q333" s="96"/>
      <c r="R333" s="96" t="s">
        <v>662</v>
      </c>
      <c r="S333" s="96" t="s">
        <v>346</v>
      </c>
      <c r="T333" s="96" t="s">
        <v>101</v>
      </c>
      <c r="U333" s="96" t="s">
        <v>661</v>
      </c>
      <c r="V333" s="96"/>
      <c r="W333" s="96"/>
      <c r="X333" s="91"/>
      <c r="Y333" s="91"/>
      <c r="Z333" s="91"/>
      <c r="AA333" s="91"/>
      <c r="AB333" s="91"/>
    </row>
    <row r="334" ht="15.75" customHeight="1" outlineLevel="1">
      <c r="A334" s="51" t="s">
        <v>76</v>
      </c>
      <c r="B334" s="57" t="s">
        <v>77</v>
      </c>
      <c r="C334" s="51" t="s">
        <v>33</v>
      </c>
      <c r="D334" s="52" t="s">
        <v>89</v>
      </c>
      <c r="E334" s="53" t="s">
        <v>33</v>
      </c>
      <c r="F334" s="52" t="s">
        <v>107</v>
      </c>
      <c r="G334" s="62" t="s">
        <v>37</v>
      </c>
      <c r="H334" s="54" t="s">
        <v>132</v>
      </c>
      <c r="I334" s="62" t="s">
        <v>33</v>
      </c>
      <c r="J334" s="691" t="s">
        <v>134</v>
      </c>
      <c r="K334" s="166" t="s">
        <v>33</v>
      </c>
      <c r="L334" s="159" t="s">
        <v>136</v>
      </c>
      <c r="M334" s="422" t="s">
        <v>33</v>
      </c>
      <c r="N334" s="158" t="s">
        <v>10499</v>
      </c>
      <c r="O334" s="55" t="str">
        <f t="shared" si="6"/>
        <v>L02.02.02.04.02.02.02</v>
      </c>
      <c r="P334" s="169" t="str">
        <f t="shared" si="3"/>
        <v>Nhóm chuyển giao GP KT 02</v>
      </c>
      <c r="Q334" s="96"/>
      <c r="R334" s="96" t="s">
        <v>1637</v>
      </c>
      <c r="S334" s="96" t="s">
        <v>262</v>
      </c>
      <c r="T334" s="96" t="s">
        <v>101</v>
      </c>
      <c r="U334" s="96" t="s">
        <v>1636</v>
      </c>
      <c r="V334" s="96"/>
      <c r="W334" s="96"/>
      <c r="X334" s="91"/>
      <c r="Y334" s="91"/>
      <c r="Z334" s="91"/>
      <c r="AA334" s="91"/>
      <c r="AB334" s="91"/>
    </row>
    <row r="335" ht="15.75" customHeight="1" outlineLevel="1">
      <c r="A335" s="51" t="s">
        <v>76</v>
      </c>
      <c r="B335" s="57" t="s">
        <v>77</v>
      </c>
      <c r="C335" s="51" t="s">
        <v>33</v>
      </c>
      <c r="D335" s="52" t="s">
        <v>89</v>
      </c>
      <c r="E335" s="53" t="s">
        <v>33</v>
      </c>
      <c r="F335" s="52" t="s">
        <v>107</v>
      </c>
      <c r="G335" s="62" t="s">
        <v>37</v>
      </c>
      <c r="H335" s="54" t="s">
        <v>132</v>
      </c>
      <c r="I335" s="62" t="s">
        <v>35</v>
      </c>
      <c r="J335" s="691" t="s">
        <v>137</v>
      </c>
      <c r="K335" s="682" t="s">
        <v>33</v>
      </c>
      <c r="L335" s="155" t="s">
        <v>4</v>
      </c>
      <c r="M335" s="422" t="s">
        <v>33</v>
      </c>
      <c r="N335" s="158" t="s">
        <v>10499</v>
      </c>
      <c r="O335" s="55" t="str">
        <f t="shared" si="6"/>
        <v>L02.02.02.04.03.02.02</v>
      </c>
      <c r="P335" s="169" t="str">
        <f t="shared" si="3"/>
        <v>Phòng chuyển giao GP HDDT-KS</v>
      </c>
      <c r="Q335" s="96"/>
      <c r="R335" s="96" t="s">
        <v>1655</v>
      </c>
      <c r="S335" s="96" t="s">
        <v>262</v>
      </c>
      <c r="T335" s="96" t="s">
        <v>101</v>
      </c>
      <c r="U335" s="96" t="s">
        <v>1654</v>
      </c>
      <c r="V335" s="96"/>
      <c r="W335" s="96"/>
      <c r="X335" s="91"/>
      <c r="Y335" s="91"/>
      <c r="Z335" s="91"/>
      <c r="AA335" s="91"/>
      <c r="AB335" s="91"/>
    </row>
    <row r="336" ht="15.75" customHeight="1" outlineLevel="1">
      <c r="A336" s="51" t="s">
        <v>76</v>
      </c>
      <c r="B336" s="57" t="s">
        <v>77</v>
      </c>
      <c r="C336" s="51" t="s">
        <v>33</v>
      </c>
      <c r="D336" s="52" t="s">
        <v>89</v>
      </c>
      <c r="E336" s="53" t="s">
        <v>33</v>
      </c>
      <c r="F336" s="52" t="s">
        <v>107</v>
      </c>
      <c r="G336" s="62" t="s">
        <v>42</v>
      </c>
      <c r="H336" s="54" t="s">
        <v>138</v>
      </c>
      <c r="I336" s="53" t="s">
        <v>27</v>
      </c>
      <c r="J336" s="155" t="s">
        <v>4</v>
      </c>
      <c r="K336" s="166" t="s">
        <v>27</v>
      </c>
      <c r="L336" s="155" t="s">
        <v>4</v>
      </c>
      <c r="M336" s="422" t="s">
        <v>29</v>
      </c>
      <c r="N336" s="158" t="s">
        <v>10498</v>
      </c>
      <c r="O336" s="55" t="str">
        <f t="shared" si="6"/>
        <v>L02.02.02.05.00.00.01</v>
      </c>
      <c r="P336" s="169" t="str">
        <f t="shared" si="3"/>
        <v>Phòng KD Phát triển mạng lưới</v>
      </c>
      <c r="Q336" s="96"/>
      <c r="R336" s="96" t="s">
        <v>1210</v>
      </c>
      <c r="S336" s="96" t="s">
        <v>346</v>
      </c>
      <c r="T336" s="96" t="s">
        <v>1209</v>
      </c>
      <c r="U336" s="96"/>
      <c r="V336" s="96"/>
      <c r="W336" s="96"/>
      <c r="X336" s="91"/>
      <c r="Y336" s="91"/>
      <c r="Z336" s="91"/>
      <c r="AA336" s="91"/>
      <c r="AB336" s="91"/>
    </row>
    <row r="337" ht="15.75" customHeight="1" outlineLevel="1">
      <c r="A337" s="51" t="s">
        <v>76</v>
      </c>
      <c r="B337" s="57" t="s">
        <v>77</v>
      </c>
      <c r="C337" s="51" t="s">
        <v>33</v>
      </c>
      <c r="D337" s="52" t="s">
        <v>89</v>
      </c>
      <c r="E337" s="53" t="s">
        <v>33</v>
      </c>
      <c r="F337" s="52" t="s">
        <v>107</v>
      </c>
      <c r="G337" s="62" t="s">
        <v>42</v>
      </c>
      <c r="H337" s="54" t="s">
        <v>138</v>
      </c>
      <c r="I337" s="53" t="s">
        <v>27</v>
      </c>
      <c r="J337" s="155" t="s">
        <v>4</v>
      </c>
      <c r="K337" s="166" t="s">
        <v>27</v>
      </c>
      <c r="L337" s="155" t="s">
        <v>4</v>
      </c>
      <c r="M337" s="422" t="s">
        <v>33</v>
      </c>
      <c r="N337" s="158" t="s">
        <v>10499</v>
      </c>
      <c r="O337" s="55" t="str">
        <f t="shared" si="6"/>
        <v>L02.02.02.05.00.00.02</v>
      </c>
      <c r="P337" s="169" t="str">
        <f t="shared" si="3"/>
        <v>Phòng KD Phát triển mạng lưới</v>
      </c>
      <c r="Q337" s="96"/>
      <c r="R337" s="96" t="s">
        <v>2305</v>
      </c>
      <c r="S337" s="96" t="s">
        <v>262</v>
      </c>
      <c r="T337" s="96" t="s">
        <v>1209</v>
      </c>
      <c r="U337" s="96"/>
      <c r="V337" s="96"/>
      <c r="W337" s="96"/>
      <c r="X337" s="91"/>
      <c r="Y337" s="91"/>
      <c r="Z337" s="91"/>
      <c r="AA337" s="91"/>
      <c r="AB337" s="91"/>
    </row>
    <row r="338" ht="15.75" customHeight="1" outlineLevel="1">
      <c r="A338" s="51" t="s">
        <v>76</v>
      </c>
      <c r="B338" s="57" t="s">
        <v>77</v>
      </c>
      <c r="C338" s="51" t="s">
        <v>33</v>
      </c>
      <c r="D338" s="52" t="s">
        <v>89</v>
      </c>
      <c r="E338" s="53" t="s">
        <v>33</v>
      </c>
      <c r="F338" s="52" t="s">
        <v>107</v>
      </c>
      <c r="G338" s="62" t="s">
        <v>42</v>
      </c>
      <c r="H338" s="54" t="s">
        <v>138</v>
      </c>
      <c r="I338" s="53" t="s">
        <v>27</v>
      </c>
      <c r="J338" s="155" t="s">
        <v>4</v>
      </c>
      <c r="K338" s="166" t="s">
        <v>27</v>
      </c>
      <c r="L338" s="155" t="s">
        <v>4</v>
      </c>
      <c r="M338" s="422" t="s">
        <v>35</v>
      </c>
      <c r="N338" s="158" t="s">
        <v>10500</v>
      </c>
      <c r="O338" s="55" t="str">
        <f t="shared" si="6"/>
        <v>L02.02.02.05.00.00.03</v>
      </c>
      <c r="P338" s="169" t="str">
        <f t="shared" si="3"/>
        <v>Phòng KD Phát triển mạng lưới</v>
      </c>
      <c r="Q338" s="96"/>
      <c r="R338" s="96" t="s">
        <v>4560</v>
      </c>
      <c r="S338" s="96" t="s">
        <v>2811</v>
      </c>
      <c r="T338" s="96" t="s">
        <v>4559</v>
      </c>
      <c r="U338" s="96"/>
      <c r="V338" s="96"/>
      <c r="W338" s="96"/>
      <c r="X338" s="91"/>
      <c r="Y338" s="91"/>
      <c r="Z338" s="91"/>
      <c r="AA338" s="91"/>
      <c r="AB338" s="91"/>
    </row>
    <row r="339" ht="15.75" customHeight="1" outlineLevel="1">
      <c r="A339" s="51" t="s">
        <v>76</v>
      </c>
      <c r="B339" s="57" t="s">
        <v>77</v>
      </c>
      <c r="C339" s="51" t="s">
        <v>33</v>
      </c>
      <c r="D339" s="52" t="s">
        <v>89</v>
      </c>
      <c r="E339" s="53" t="s">
        <v>33</v>
      </c>
      <c r="F339" s="52" t="s">
        <v>107</v>
      </c>
      <c r="G339" s="62" t="s">
        <v>42</v>
      </c>
      <c r="H339" s="54" t="s">
        <v>138</v>
      </c>
      <c r="I339" s="53" t="s">
        <v>27</v>
      </c>
      <c r="J339" s="155" t="s">
        <v>4</v>
      </c>
      <c r="K339" s="166" t="s">
        <v>27</v>
      </c>
      <c r="L339" s="155" t="s">
        <v>4</v>
      </c>
      <c r="M339" s="422" t="s">
        <v>37</v>
      </c>
      <c r="N339" s="158" t="s">
        <v>10501</v>
      </c>
      <c r="O339" s="55" t="str">
        <f t="shared" si="6"/>
        <v>L02.02.02.05.00.00.04</v>
      </c>
      <c r="P339" s="169" t="str">
        <f t="shared" si="3"/>
        <v>Phòng KD Phát triển mạng lưới</v>
      </c>
      <c r="Q339" s="96"/>
      <c r="R339" s="96" t="s">
        <v>9085</v>
      </c>
      <c r="S339" s="96" t="s">
        <v>2732</v>
      </c>
      <c r="T339" s="96" t="s">
        <v>2791</v>
      </c>
      <c r="U339" s="96"/>
      <c r="V339" s="96"/>
      <c r="W339" s="96"/>
      <c r="X339" s="91"/>
      <c r="Y339" s="91"/>
      <c r="Z339" s="91"/>
      <c r="AA339" s="91"/>
      <c r="AB339" s="91"/>
    </row>
    <row r="340" ht="15.75" customHeight="1" outlineLevel="1">
      <c r="A340" s="51" t="s">
        <v>76</v>
      </c>
      <c r="B340" s="57" t="s">
        <v>77</v>
      </c>
      <c r="C340" s="51" t="s">
        <v>33</v>
      </c>
      <c r="D340" s="52" t="s">
        <v>89</v>
      </c>
      <c r="E340" s="53" t="s">
        <v>33</v>
      </c>
      <c r="F340" s="52" t="s">
        <v>107</v>
      </c>
      <c r="G340" s="62" t="s">
        <v>42</v>
      </c>
      <c r="H340" s="54" t="s">
        <v>138</v>
      </c>
      <c r="I340" s="53" t="s">
        <v>27</v>
      </c>
      <c r="J340" s="155" t="s">
        <v>4</v>
      </c>
      <c r="K340" s="166" t="s">
        <v>27</v>
      </c>
      <c r="L340" s="155" t="s">
        <v>4</v>
      </c>
      <c r="M340" s="422" t="s">
        <v>42</v>
      </c>
      <c r="N340" s="158" t="s">
        <v>10502</v>
      </c>
      <c r="O340" s="55" t="str">
        <f t="shared" si="6"/>
        <v>L02.02.02.05.00.00.05</v>
      </c>
      <c r="P340" s="169" t="str">
        <f t="shared" si="3"/>
        <v>Phòng KD Phát triển mạng lưới</v>
      </c>
      <c r="Q340" s="96"/>
      <c r="R340" s="96" t="s">
        <v>2792</v>
      </c>
      <c r="S340" s="96" t="s">
        <v>325</v>
      </c>
      <c r="T340" s="96" t="s">
        <v>2791</v>
      </c>
      <c r="U340" s="96"/>
      <c r="V340" s="96"/>
      <c r="W340" s="96"/>
      <c r="X340" s="91"/>
      <c r="Y340" s="91"/>
      <c r="Z340" s="91"/>
      <c r="AA340" s="91"/>
      <c r="AB340" s="91"/>
    </row>
    <row r="341" ht="15.75" customHeight="1" outlineLevel="1">
      <c r="A341" s="51" t="s">
        <v>76</v>
      </c>
      <c r="B341" s="57" t="s">
        <v>77</v>
      </c>
      <c r="C341" s="51" t="s">
        <v>33</v>
      </c>
      <c r="D341" s="52" t="s">
        <v>89</v>
      </c>
      <c r="E341" s="53" t="s">
        <v>33</v>
      </c>
      <c r="F341" s="52" t="s">
        <v>107</v>
      </c>
      <c r="G341" s="62" t="s">
        <v>44</v>
      </c>
      <c r="H341" s="72" t="s">
        <v>139</v>
      </c>
      <c r="I341" s="62" t="s">
        <v>29</v>
      </c>
      <c r="J341" s="158" t="s">
        <v>140</v>
      </c>
      <c r="K341" s="166" t="s">
        <v>27</v>
      </c>
      <c r="L341" s="155" t="s">
        <v>4</v>
      </c>
      <c r="M341" s="422" t="s">
        <v>29</v>
      </c>
      <c r="N341" s="158" t="s">
        <v>10498</v>
      </c>
      <c r="O341" s="55" t="str">
        <f t="shared" si="6"/>
        <v>L02.02.02.06.01.00.01</v>
      </c>
      <c r="P341" s="169" t="str">
        <f t="shared" si="3"/>
        <v>Ban GĐ TTKD Online</v>
      </c>
      <c r="Q341" s="96"/>
      <c r="R341" s="96" t="s">
        <v>9390</v>
      </c>
      <c r="S341" s="96" t="s">
        <v>303</v>
      </c>
      <c r="T341" s="96" t="s">
        <v>335</v>
      </c>
      <c r="U341" s="96" t="s">
        <v>140</v>
      </c>
      <c r="V341" s="96"/>
      <c r="W341" s="96"/>
      <c r="X341" s="91"/>
      <c r="Y341" s="91"/>
      <c r="Z341" s="91"/>
      <c r="AA341" s="91"/>
      <c r="AB341" s="91"/>
    </row>
    <row r="342" ht="15.75" customHeight="1" outlineLevel="1">
      <c r="A342" s="51" t="s">
        <v>76</v>
      </c>
      <c r="B342" s="57" t="s">
        <v>77</v>
      </c>
      <c r="C342" s="51" t="s">
        <v>33</v>
      </c>
      <c r="D342" s="52" t="s">
        <v>89</v>
      </c>
      <c r="E342" s="53" t="s">
        <v>33</v>
      </c>
      <c r="F342" s="52" t="s">
        <v>107</v>
      </c>
      <c r="G342" s="62" t="s">
        <v>44</v>
      </c>
      <c r="H342" s="72" t="s">
        <v>139</v>
      </c>
      <c r="I342" s="62" t="s">
        <v>33</v>
      </c>
      <c r="J342" s="158" t="s">
        <v>141</v>
      </c>
      <c r="K342" s="422" t="s">
        <v>29</v>
      </c>
      <c r="L342" s="158" t="s">
        <v>142</v>
      </c>
      <c r="M342" s="422" t="s">
        <v>44</v>
      </c>
      <c r="N342" s="158" t="s">
        <v>10505</v>
      </c>
      <c r="O342" s="55" t="str">
        <f t="shared" si="6"/>
        <v>L02.02.02.06.02.01.06</v>
      </c>
      <c r="P342" s="169" t="str">
        <f t="shared" si="3"/>
        <v>Nhóm KD Sản phẩm kế toán</v>
      </c>
      <c r="Q342" s="96"/>
      <c r="R342" s="96" t="s">
        <v>2551</v>
      </c>
      <c r="S342" s="96" t="s">
        <v>303</v>
      </c>
      <c r="T342" s="96" t="s">
        <v>335</v>
      </c>
      <c r="U342" s="96" t="s">
        <v>2499</v>
      </c>
      <c r="V342" s="96" t="s">
        <v>2550</v>
      </c>
      <c r="W342" s="96"/>
      <c r="X342" s="91"/>
      <c r="Y342" s="91"/>
      <c r="Z342" s="91"/>
      <c r="AA342" s="91"/>
      <c r="AB342" s="91"/>
    </row>
    <row r="343" ht="15.75" customHeight="1" outlineLevel="1">
      <c r="A343" s="51" t="s">
        <v>76</v>
      </c>
      <c r="B343" s="57" t="s">
        <v>77</v>
      </c>
      <c r="C343" s="51" t="s">
        <v>33</v>
      </c>
      <c r="D343" s="52" t="s">
        <v>89</v>
      </c>
      <c r="E343" s="53" t="s">
        <v>33</v>
      </c>
      <c r="F343" s="52" t="s">
        <v>107</v>
      </c>
      <c r="G343" s="62" t="s">
        <v>44</v>
      </c>
      <c r="H343" s="72" t="s">
        <v>139</v>
      </c>
      <c r="I343" s="62" t="s">
        <v>33</v>
      </c>
      <c r="J343" s="158" t="s">
        <v>141</v>
      </c>
      <c r="K343" s="326" t="s">
        <v>33</v>
      </c>
      <c r="L343" s="158" t="s">
        <v>142</v>
      </c>
      <c r="M343" s="422" t="s">
        <v>33</v>
      </c>
      <c r="N343" s="158" t="s">
        <v>10499</v>
      </c>
      <c r="O343" s="55" t="str">
        <f t="shared" si="6"/>
        <v>L02.02.02.06.02.02.02</v>
      </c>
      <c r="P343" s="169" t="str">
        <f t="shared" si="3"/>
        <v>Nhóm KD Sản phẩm kế toán</v>
      </c>
      <c r="Q343" s="96"/>
      <c r="R343" s="96" t="s">
        <v>2500</v>
      </c>
      <c r="S343" s="96" t="s">
        <v>303</v>
      </c>
      <c r="T343" s="96" t="s">
        <v>335</v>
      </c>
      <c r="U343" s="96" t="s">
        <v>2499</v>
      </c>
      <c r="V343" s="96" t="s">
        <v>2498</v>
      </c>
      <c r="W343" s="96"/>
      <c r="X343" s="91"/>
      <c r="Y343" s="91"/>
      <c r="Z343" s="91"/>
      <c r="AA343" s="91"/>
      <c r="AB343" s="91"/>
    </row>
    <row r="344" ht="15.75" customHeight="1" outlineLevel="1">
      <c r="A344" s="51" t="s">
        <v>76</v>
      </c>
      <c r="B344" s="57" t="s">
        <v>77</v>
      </c>
      <c r="C344" s="51" t="s">
        <v>33</v>
      </c>
      <c r="D344" s="52" t="s">
        <v>89</v>
      </c>
      <c r="E344" s="53" t="s">
        <v>33</v>
      </c>
      <c r="F344" s="52" t="s">
        <v>107</v>
      </c>
      <c r="G344" s="62" t="s">
        <v>44</v>
      </c>
      <c r="H344" s="72" t="s">
        <v>139</v>
      </c>
      <c r="I344" s="62" t="s">
        <v>33</v>
      </c>
      <c r="J344" s="158" t="s">
        <v>141</v>
      </c>
      <c r="K344" s="422" t="s">
        <v>33</v>
      </c>
      <c r="L344" s="158" t="s">
        <v>143</v>
      </c>
      <c r="M344" s="422" t="s">
        <v>44</v>
      </c>
      <c r="N344" s="158" t="s">
        <v>10505</v>
      </c>
      <c r="O344" s="55" t="str">
        <f t="shared" si="6"/>
        <v>L02.02.02.06.02.02.06</v>
      </c>
      <c r="P344" s="169" t="str">
        <f t="shared" si="3"/>
        <v>Nhóm Marketing SP Kế toán</v>
      </c>
      <c r="Q344" s="96"/>
      <c r="R344" s="96" t="s">
        <v>3341</v>
      </c>
      <c r="S344" s="96" t="s">
        <v>303</v>
      </c>
      <c r="T344" s="96" t="s">
        <v>335</v>
      </c>
      <c r="U344" s="96" t="s">
        <v>2499</v>
      </c>
      <c r="V344" s="96" t="s">
        <v>3340</v>
      </c>
      <c r="W344" s="96"/>
      <c r="X344" s="91"/>
      <c r="Y344" s="91"/>
      <c r="Z344" s="91"/>
      <c r="AA344" s="91"/>
      <c r="AB344" s="91"/>
    </row>
    <row r="345" ht="15.75" customHeight="1" outlineLevel="1">
      <c r="A345" s="51" t="s">
        <v>76</v>
      </c>
      <c r="B345" s="57" t="s">
        <v>77</v>
      </c>
      <c r="C345" s="51" t="s">
        <v>33</v>
      </c>
      <c r="D345" s="52" t="s">
        <v>89</v>
      </c>
      <c r="E345" s="53" t="s">
        <v>33</v>
      </c>
      <c r="F345" s="52" t="s">
        <v>107</v>
      </c>
      <c r="G345" s="62" t="s">
        <v>44</v>
      </c>
      <c r="H345" s="72" t="s">
        <v>139</v>
      </c>
      <c r="I345" s="62" t="s">
        <v>35</v>
      </c>
      <c r="J345" s="158" t="s">
        <v>144</v>
      </c>
      <c r="K345" s="166" t="s">
        <v>29</v>
      </c>
      <c r="L345" s="693" t="s">
        <v>11154</v>
      </c>
      <c r="M345" s="422" t="s">
        <v>29</v>
      </c>
      <c r="N345" s="158" t="s">
        <v>10498</v>
      </c>
      <c r="O345" s="55" t="str">
        <f t="shared" si="6"/>
        <v>L02.02.02.06.03.01.01</v>
      </c>
      <c r="P345" s="169" t="str">
        <f t="shared" si="3"/>
        <v>Nhóm KD Sản phẩm Hóa đơn</v>
      </c>
      <c r="Q345" s="683"/>
      <c r="R345" s="683" t="s">
        <v>1964</v>
      </c>
      <c r="S345" s="683" t="s">
        <v>303</v>
      </c>
      <c r="T345" s="683" t="s">
        <v>335</v>
      </c>
      <c r="U345" s="683" t="s">
        <v>1963</v>
      </c>
      <c r="V345" s="683" t="s">
        <v>1962</v>
      </c>
      <c r="W345" s="96"/>
      <c r="X345" s="91"/>
      <c r="Y345" s="91"/>
      <c r="Z345" s="91"/>
      <c r="AA345" s="91"/>
      <c r="AB345" s="91"/>
    </row>
    <row r="346" ht="15.75" customHeight="1" outlineLevel="1">
      <c r="A346" s="51" t="s">
        <v>76</v>
      </c>
      <c r="B346" s="57" t="s">
        <v>77</v>
      </c>
      <c r="C346" s="51" t="s">
        <v>33</v>
      </c>
      <c r="D346" s="52" t="s">
        <v>89</v>
      </c>
      <c r="E346" s="53" t="s">
        <v>33</v>
      </c>
      <c r="F346" s="52" t="s">
        <v>107</v>
      </c>
      <c r="G346" s="62" t="s">
        <v>44</v>
      </c>
      <c r="H346" s="72" t="s">
        <v>139</v>
      </c>
      <c r="I346" s="62" t="s">
        <v>35</v>
      </c>
      <c r="J346" s="158" t="s">
        <v>144</v>
      </c>
      <c r="K346" s="422" t="s">
        <v>29</v>
      </c>
      <c r="L346" s="693" t="s">
        <v>11154</v>
      </c>
      <c r="M346" s="422" t="s">
        <v>33</v>
      </c>
      <c r="N346" s="158" t="s">
        <v>10499</v>
      </c>
      <c r="O346" s="55" t="str">
        <f t="shared" si="6"/>
        <v>L02.02.02.06.03.01.02</v>
      </c>
      <c r="P346" s="169" t="str">
        <f t="shared" si="3"/>
        <v>Nhóm KD Sản phẩm Hóa đơn</v>
      </c>
      <c r="Q346" s="683"/>
      <c r="R346" s="683" t="s">
        <v>1964</v>
      </c>
      <c r="S346" s="683" t="s">
        <v>303</v>
      </c>
      <c r="T346" s="683" t="s">
        <v>335</v>
      </c>
      <c r="U346" s="683" t="s">
        <v>1963</v>
      </c>
      <c r="V346" s="683" t="s">
        <v>1962</v>
      </c>
      <c r="W346" s="96"/>
      <c r="X346" s="91"/>
      <c r="Y346" s="91"/>
      <c r="Z346" s="91"/>
      <c r="AA346" s="91"/>
      <c r="AB346" s="91"/>
    </row>
    <row r="347" ht="15.75" customHeight="1" outlineLevel="1">
      <c r="A347" s="51" t="s">
        <v>76</v>
      </c>
      <c r="B347" s="57" t="s">
        <v>77</v>
      </c>
      <c r="C347" s="51" t="s">
        <v>33</v>
      </c>
      <c r="D347" s="52" t="s">
        <v>89</v>
      </c>
      <c r="E347" s="53" t="s">
        <v>33</v>
      </c>
      <c r="F347" s="52" t="s">
        <v>107</v>
      </c>
      <c r="G347" s="62" t="s">
        <v>44</v>
      </c>
      <c r="H347" s="72" t="s">
        <v>139</v>
      </c>
      <c r="I347" s="62" t="s">
        <v>35</v>
      </c>
      <c r="J347" s="158" t="s">
        <v>144</v>
      </c>
      <c r="K347" s="694" t="s">
        <v>33</v>
      </c>
      <c r="L347" s="693" t="s">
        <v>11157</v>
      </c>
      <c r="M347" s="422" t="s">
        <v>29</v>
      </c>
      <c r="N347" s="158" t="s">
        <v>10498</v>
      </c>
      <c r="O347" s="55" t="str">
        <f t="shared" si="6"/>
        <v>L02.02.02.06.03.02.01</v>
      </c>
      <c r="P347" s="169" t="str">
        <f t="shared" si="3"/>
        <v>Nhóm KD Sản phẩm ký điện tử</v>
      </c>
      <c r="Q347" s="683"/>
      <c r="R347" s="683" t="s">
        <v>2609</v>
      </c>
      <c r="S347" s="683" t="s">
        <v>303</v>
      </c>
      <c r="T347" s="683" t="s">
        <v>335</v>
      </c>
      <c r="U347" s="683" t="s">
        <v>2608</v>
      </c>
      <c r="V347" s="683" t="s">
        <v>2607</v>
      </c>
      <c r="W347" s="96"/>
      <c r="X347" s="91"/>
      <c r="Y347" s="91"/>
      <c r="Z347" s="91"/>
      <c r="AA347" s="91"/>
      <c r="AB347" s="91"/>
    </row>
    <row r="348" ht="15.75" customHeight="1" outlineLevel="1">
      <c r="A348" s="51" t="s">
        <v>76</v>
      </c>
      <c r="B348" s="57" t="s">
        <v>77</v>
      </c>
      <c r="C348" s="51" t="s">
        <v>33</v>
      </c>
      <c r="D348" s="52" t="s">
        <v>89</v>
      </c>
      <c r="E348" s="53" t="s">
        <v>33</v>
      </c>
      <c r="F348" s="52" t="s">
        <v>107</v>
      </c>
      <c r="G348" s="62" t="s">
        <v>44</v>
      </c>
      <c r="H348" s="72" t="s">
        <v>139</v>
      </c>
      <c r="I348" s="62" t="s">
        <v>35</v>
      </c>
      <c r="J348" s="158" t="s">
        <v>144</v>
      </c>
      <c r="K348" s="694" t="s">
        <v>33</v>
      </c>
      <c r="L348" s="693" t="s">
        <v>11157</v>
      </c>
      <c r="M348" s="422" t="s">
        <v>33</v>
      </c>
      <c r="N348" s="158" t="s">
        <v>10499</v>
      </c>
      <c r="O348" s="55" t="str">
        <f t="shared" si="6"/>
        <v>L02.02.02.06.03.02.02</v>
      </c>
      <c r="P348" s="169" t="str">
        <f t="shared" si="3"/>
        <v>Nhóm KD Sản phẩm ký điện tử</v>
      </c>
      <c r="Q348" s="683"/>
      <c r="R348" s="683" t="s">
        <v>2609</v>
      </c>
      <c r="S348" s="683" t="s">
        <v>303</v>
      </c>
      <c r="T348" s="683" t="s">
        <v>335</v>
      </c>
      <c r="U348" s="683" t="s">
        <v>2608</v>
      </c>
      <c r="V348" s="683" t="s">
        <v>2607</v>
      </c>
      <c r="W348" s="96"/>
      <c r="X348" s="91"/>
      <c r="Y348" s="91"/>
      <c r="Z348" s="91"/>
      <c r="AA348" s="91"/>
      <c r="AB348" s="91"/>
    </row>
    <row r="349" ht="15.75" customHeight="1" outlineLevel="1">
      <c r="A349" s="51" t="s">
        <v>76</v>
      </c>
      <c r="B349" s="57" t="s">
        <v>77</v>
      </c>
      <c r="C349" s="51" t="s">
        <v>33</v>
      </c>
      <c r="D349" s="52" t="s">
        <v>89</v>
      </c>
      <c r="E349" s="53" t="s">
        <v>33</v>
      </c>
      <c r="F349" s="52" t="s">
        <v>107</v>
      </c>
      <c r="G349" s="62" t="s">
        <v>44</v>
      </c>
      <c r="H349" s="72" t="s">
        <v>139</v>
      </c>
      <c r="I349" s="62" t="s">
        <v>35</v>
      </c>
      <c r="J349" s="158" t="s">
        <v>144</v>
      </c>
      <c r="K349" s="422" t="s">
        <v>33</v>
      </c>
      <c r="L349" s="695" t="s">
        <v>146</v>
      </c>
      <c r="M349" s="422" t="s">
        <v>44</v>
      </c>
      <c r="N349" s="158" t="s">
        <v>10505</v>
      </c>
      <c r="O349" s="55" t="str">
        <f t="shared" si="6"/>
        <v>L02.02.02.06.03.02.06</v>
      </c>
      <c r="P349" s="169" t="str">
        <f t="shared" si="3"/>
        <v>Nhóm Marketing SP Hóa đơn, ký điện tử</v>
      </c>
      <c r="Q349" s="96"/>
      <c r="R349" s="96"/>
      <c r="S349" s="96"/>
      <c r="T349" s="96"/>
      <c r="U349" s="96"/>
      <c r="V349" s="96"/>
      <c r="W349" s="96"/>
      <c r="X349" s="91"/>
      <c r="Y349" s="91"/>
      <c r="Z349" s="91"/>
      <c r="AA349" s="91"/>
      <c r="AB349" s="91"/>
    </row>
    <row r="350" ht="15.75" customHeight="1" outlineLevel="1">
      <c r="A350" s="51" t="s">
        <v>76</v>
      </c>
      <c r="B350" s="57" t="s">
        <v>77</v>
      </c>
      <c r="C350" s="51" t="s">
        <v>33</v>
      </c>
      <c r="D350" s="52" t="s">
        <v>89</v>
      </c>
      <c r="E350" s="53" t="s">
        <v>33</v>
      </c>
      <c r="F350" s="52" t="s">
        <v>107</v>
      </c>
      <c r="G350" s="62" t="s">
        <v>44</v>
      </c>
      <c r="H350" s="72" t="s">
        <v>139</v>
      </c>
      <c r="I350" s="62" t="s">
        <v>42</v>
      </c>
      <c r="J350" s="158" t="s">
        <v>148</v>
      </c>
      <c r="K350" s="166" t="s">
        <v>27</v>
      </c>
      <c r="L350" s="155" t="s">
        <v>4</v>
      </c>
      <c r="M350" s="422" t="s">
        <v>44</v>
      </c>
      <c r="N350" s="158" t="s">
        <v>10505</v>
      </c>
      <c r="O350" s="55" t="str">
        <f t="shared" si="6"/>
        <v>L02.02.02.06.05.00.06</v>
      </c>
      <c r="P350" s="169" t="str">
        <f t="shared" si="3"/>
        <v>Nhóm MDR</v>
      </c>
      <c r="Q350" s="96"/>
      <c r="R350" s="96" t="s">
        <v>2532</v>
      </c>
      <c r="S350" s="96" t="s">
        <v>303</v>
      </c>
      <c r="T350" s="96" t="s">
        <v>335</v>
      </c>
      <c r="U350" s="96" t="s">
        <v>336</v>
      </c>
      <c r="V350" s="96" t="s">
        <v>148</v>
      </c>
      <c r="W350" s="96"/>
      <c r="X350" s="91"/>
      <c r="Y350" s="91"/>
      <c r="Z350" s="91"/>
      <c r="AA350" s="91"/>
      <c r="AB350" s="91"/>
    </row>
    <row r="351" ht="15.75" customHeight="1" outlineLevel="1">
      <c r="A351" s="51" t="s">
        <v>76</v>
      </c>
      <c r="B351" s="57" t="s">
        <v>77</v>
      </c>
      <c r="C351" s="51" t="s">
        <v>33</v>
      </c>
      <c r="D351" s="52" t="s">
        <v>89</v>
      </c>
      <c r="E351" s="53" t="s">
        <v>33</v>
      </c>
      <c r="F351" s="52" t="s">
        <v>107</v>
      </c>
      <c r="G351" s="62" t="s">
        <v>44</v>
      </c>
      <c r="H351" s="72" t="s">
        <v>139</v>
      </c>
      <c r="I351" s="62" t="s">
        <v>42</v>
      </c>
      <c r="J351" s="158" t="s">
        <v>148</v>
      </c>
      <c r="K351" s="166" t="s">
        <v>27</v>
      </c>
      <c r="L351" s="155" t="s">
        <v>4</v>
      </c>
      <c r="M351" s="422" t="s">
        <v>33</v>
      </c>
      <c r="N351" s="158" t="s">
        <v>10499</v>
      </c>
      <c r="O351" s="55" t="str">
        <f t="shared" si="6"/>
        <v>L02.02.02.06.05.00.02</v>
      </c>
      <c r="P351" s="169" t="str">
        <f t="shared" si="3"/>
        <v>Nhóm MDR</v>
      </c>
      <c r="Q351" s="96"/>
      <c r="R351" s="96" t="s">
        <v>2532</v>
      </c>
      <c r="S351" s="96" t="s">
        <v>303</v>
      </c>
      <c r="T351" s="96" t="s">
        <v>335</v>
      </c>
      <c r="U351" s="96" t="s">
        <v>336</v>
      </c>
      <c r="V351" s="96" t="s">
        <v>148</v>
      </c>
      <c r="W351" s="96"/>
      <c r="X351" s="91"/>
      <c r="Y351" s="91"/>
      <c r="Z351" s="91"/>
      <c r="AA351" s="91"/>
      <c r="AB351" s="91"/>
    </row>
    <row r="352" ht="15.75" customHeight="1" outlineLevel="1">
      <c r="A352" s="51" t="s">
        <v>76</v>
      </c>
      <c r="B352" s="57" t="s">
        <v>77</v>
      </c>
      <c r="C352" s="51" t="s">
        <v>33</v>
      </c>
      <c r="D352" s="52" t="s">
        <v>89</v>
      </c>
      <c r="E352" s="53" t="s">
        <v>33</v>
      </c>
      <c r="F352" s="52" t="s">
        <v>107</v>
      </c>
      <c r="G352" s="62" t="s">
        <v>44</v>
      </c>
      <c r="H352" s="72" t="s">
        <v>139</v>
      </c>
      <c r="I352" s="62" t="s">
        <v>37</v>
      </c>
      <c r="J352" s="158" t="s">
        <v>147</v>
      </c>
      <c r="K352" s="166" t="s">
        <v>27</v>
      </c>
      <c r="L352" s="155" t="s">
        <v>4</v>
      </c>
      <c r="M352" s="422" t="s">
        <v>44</v>
      </c>
      <c r="N352" s="158" t="s">
        <v>10505</v>
      </c>
      <c r="O352" s="55" t="str">
        <f t="shared" si="6"/>
        <v>L02.02.02.06.04.00.06</v>
      </c>
      <c r="P352" s="169" t="str">
        <f t="shared" si="3"/>
        <v>Nhóm KD Automation sales</v>
      </c>
      <c r="Q352" s="96"/>
      <c r="R352" s="96" t="s">
        <v>9318</v>
      </c>
      <c r="S352" s="96" t="s">
        <v>303</v>
      </c>
      <c r="T352" s="96" t="s">
        <v>335</v>
      </c>
      <c r="U352" s="96" t="s">
        <v>336</v>
      </c>
      <c r="V352" s="96" t="s">
        <v>9317</v>
      </c>
      <c r="W352" s="96"/>
      <c r="X352" s="91"/>
      <c r="Y352" s="91"/>
      <c r="Z352" s="91"/>
      <c r="AA352" s="91"/>
      <c r="AB352" s="91"/>
    </row>
    <row r="353" ht="15.75" customHeight="1">
      <c r="A353" s="65" t="s">
        <v>10507</v>
      </c>
      <c r="B353" s="66"/>
      <c r="C353" s="66"/>
      <c r="D353" s="66"/>
      <c r="E353" s="67"/>
      <c r="F353" s="66"/>
      <c r="G353" s="66"/>
      <c r="H353" s="68"/>
      <c r="I353" s="66"/>
      <c r="J353" s="382"/>
      <c r="K353" s="383"/>
      <c r="L353" s="384"/>
      <c r="M353" s="383"/>
      <c r="N353" s="384"/>
      <c r="O353" s="69"/>
      <c r="P353" s="169" t="str">
        <f t="shared" si="3"/>
        <v/>
      </c>
      <c r="Q353" s="96"/>
      <c r="R353" s="96"/>
      <c r="S353" s="96"/>
      <c r="T353" s="96"/>
      <c r="U353" s="96"/>
      <c r="V353" s="96"/>
      <c r="W353" s="96"/>
      <c r="X353" s="91"/>
      <c r="Y353" s="91"/>
      <c r="Z353" s="91"/>
      <c r="AA353" s="91"/>
      <c r="AB353" s="91"/>
    </row>
    <row r="354" ht="15.75" hidden="1" customHeight="1" outlineLevel="1">
      <c r="A354" s="51" t="s">
        <v>76</v>
      </c>
      <c r="B354" s="57" t="s">
        <v>77</v>
      </c>
      <c r="C354" s="51" t="s">
        <v>33</v>
      </c>
      <c r="D354" s="52" t="s">
        <v>89</v>
      </c>
      <c r="E354" s="53" t="s">
        <v>35</v>
      </c>
      <c r="F354" s="52" t="s">
        <v>149</v>
      </c>
      <c r="G354" s="62" t="s">
        <v>29</v>
      </c>
      <c r="H354" s="54" t="s">
        <v>150</v>
      </c>
      <c r="I354" s="53" t="s">
        <v>27</v>
      </c>
      <c r="J354" s="155" t="s">
        <v>4</v>
      </c>
      <c r="K354" s="166" t="s">
        <v>27</v>
      </c>
      <c r="L354" s="155" t="s">
        <v>4</v>
      </c>
      <c r="M354" s="422" t="s">
        <v>29</v>
      </c>
      <c r="N354" s="158" t="s">
        <v>10498</v>
      </c>
      <c r="O354" s="55" t="str">
        <f t="shared" ref="O354:O404" si="7">A354&amp;"."&amp;C354&amp;"."&amp;E354&amp;"."&amp;G354&amp;"."&amp;I354&amp;"."&amp;K354&amp;"."&amp;M354</f>
        <v>L02.02.03.01.00.00.01</v>
      </c>
      <c r="P354" s="169" t="str">
        <f t="shared" si="3"/>
        <v>Ban Giám đốc khối DN Vừa</v>
      </c>
      <c r="Q354" s="96"/>
      <c r="R354" s="96"/>
      <c r="S354" s="96"/>
      <c r="T354" s="96"/>
      <c r="U354" s="96"/>
      <c r="V354" s="96"/>
      <c r="W354" s="96"/>
      <c r="X354" s="91"/>
      <c r="Y354" s="91"/>
      <c r="Z354" s="91"/>
      <c r="AA354" s="91"/>
      <c r="AB354" s="91"/>
    </row>
    <row r="355" ht="15.75" hidden="1" customHeight="1" outlineLevel="1">
      <c r="A355" s="51" t="s">
        <v>76</v>
      </c>
      <c r="B355" s="57" t="s">
        <v>77</v>
      </c>
      <c r="C355" s="51" t="s">
        <v>33</v>
      </c>
      <c r="D355" s="52" t="s">
        <v>89</v>
      </c>
      <c r="E355" s="53" t="s">
        <v>35</v>
      </c>
      <c r="F355" s="52" t="s">
        <v>149</v>
      </c>
      <c r="G355" s="62" t="s">
        <v>33</v>
      </c>
      <c r="H355" s="54" t="s">
        <v>154</v>
      </c>
      <c r="I355" s="62" t="s">
        <v>29</v>
      </c>
      <c r="J355" s="159" t="s">
        <v>155</v>
      </c>
      <c r="K355" s="166" t="s">
        <v>27</v>
      </c>
      <c r="L355" s="155" t="s">
        <v>4</v>
      </c>
      <c r="M355" s="422" t="s">
        <v>29</v>
      </c>
      <c r="N355" s="158" t="s">
        <v>10498</v>
      </c>
      <c r="O355" s="55" t="str">
        <f t="shared" si="7"/>
        <v>L02.02.03.02.01.00.01</v>
      </c>
      <c r="P355" s="169" t="str">
        <f t="shared" si="3"/>
        <v>Ban Giám đốc</v>
      </c>
      <c r="Q355" s="96"/>
      <c r="R355" s="96" t="s">
        <v>7285</v>
      </c>
      <c r="S355" s="96" t="s">
        <v>346</v>
      </c>
      <c r="T355" s="96" t="s">
        <v>275</v>
      </c>
      <c r="U355" s="96" t="s">
        <v>155</v>
      </c>
      <c r="V355" s="96"/>
      <c r="W355" s="96"/>
      <c r="X355" s="91"/>
      <c r="Y355" s="91"/>
      <c r="Z355" s="91"/>
      <c r="AA355" s="91"/>
      <c r="AB355" s="91"/>
    </row>
    <row r="356" ht="15.75" hidden="1" customHeight="1" outlineLevel="1">
      <c r="A356" s="51" t="s">
        <v>76</v>
      </c>
      <c r="B356" s="57" t="s">
        <v>77</v>
      </c>
      <c r="C356" s="51" t="s">
        <v>33</v>
      </c>
      <c r="D356" s="52" t="s">
        <v>89</v>
      </c>
      <c r="E356" s="53" t="s">
        <v>35</v>
      </c>
      <c r="F356" s="52" t="s">
        <v>149</v>
      </c>
      <c r="G356" s="62" t="s">
        <v>33</v>
      </c>
      <c r="H356" s="54" t="s">
        <v>154</v>
      </c>
      <c r="I356" s="62" t="s">
        <v>33</v>
      </c>
      <c r="J356" s="159" t="s">
        <v>156</v>
      </c>
      <c r="K356" s="166" t="s">
        <v>27</v>
      </c>
      <c r="L356" s="155" t="s">
        <v>4</v>
      </c>
      <c r="M356" s="422" t="s">
        <v>29</v>
      </c>
      <c r="N356" s="158" t="s">
        <v>10498</v>
      </c>
      <c r="O356" s="55" t="str">
        <f t="shared" si="7"/>
        <v>L02.02.03.02.02.00.01</v>
      </c>
      <c r="P356" s="169" t="str">
        <f t="shared" si="3"/>
        <v>Phòng KD Bán mới</v>
      </c>
      <c r="Q356" s="96"/>
      <c r="R356" s="96"/>
      <c r="S356" s="96"/>
      <c r="T356" s="96"/>
      <c r="U356" s="96"/>
      <c r="V356" s="96"/>
      <c r="W356" s="96"/>
      <c r="X356" s="91"/>
      <c r="Y356" s="91"/>
      <c r="Z356" s="91"/>
      <c r="AA356" s="91"/>
      <c r="AB356" s="91"/>
    </row>
    <row r="357" ht="15.75" hidden="1" customHeight="1" outlineLevel="1">
      <c r="A357" s="51" t="s">
        <v>76</v>
      </c>
      <c r="B357" s="57" t="s">
        <v>77</v>
      </c>
      <c r="C357" s="51" t="s">
        <v>33</v>
      </c>
      <c r="D357" s="52" t="s">
        <v>89</v>
      </c>
      <c r="E357" s="53" t="s">
        <v>35</v>
      </c>
      <c r="F357" s="52" t="s">
        <v>149</v>
      </c>
      <c r="G357" s="62" t="s">
        <v>33</v>
      </c>
      <c r="H357" s="54" t="s">
        <v>154</v>
      </c>
      <c r="I357" s="62" t="s">
        <v>33</v>
      </c>
      <c r="J357" s="159" t="s">
        <v>156</v>
      </c>
      <c r="K357" s="166" t="s">
        <v>29</v>
      </c>
      <c r="L357" s="691" t="s">
        <v>157</v>
      </c>
      <c r="M357" s="422" t="s">
        <v>29</v>
      </c>
      <c r="N357" s="158" t="s">
        <v>10498</v>
      </c>
      <c r="O357" s="55" t="str">
        <f t="shared" si="7"/>
        <v>L02.02.03.02.02.01.01</v>
      </c>
      <c r="P357" s="169" t="str">
        <f t="shared" si="3"/>
        <v>Phòng KD Bán mới 01</v>
      </c>
      <c r="Q357" s="96"/>
      <c r="R357" s="96"/>
      <c r="S357" s="96"/>
      <c r="T357" s="96"/>
      <c r="U357" s="96"/>
      <c r="V357" s="96"/>
      <c r="W357" s="96"/>
      <c r="X357" s="91"/>
      <c r="Y357" s="91"/>
      <c r="Z357" s="91"/>
      <c r="AA357" s="91"/>
      <c r="AB357" s="91"/>
    </row>
    <row r="358" ht="15.75" hidden="1" customHeight="1" outlineLevel="1">
      <c r="A358" s="51" t="s">
        <v>76</v>
      </c>
      <c r="B358" s="57" t="s">
        <v>77</v>
      </c>
      <c r="C358" s="51" t="s">
        <v>33</v>
      </c>
      <c r="D358" s="52" t="s">
        <v>89</v>
      </c>
      <c r="E358" s="53" t="s">
        <v>35</v>
      </c>
      <c r="F358" s="52" t="s">
        <v>149</v>
      </c>
      <c r="G358" s="62" t="s">
        <v>33</v>
      </c>
      <c r="H358" s="54" t="s">
        <v>154</v>
      </c>
      <c r="I358" s="62" t="s">
        <v>33</v>
      </c>
      <c r="J358" s="159" t="s">
        <v>156</v>
      </c>
      <c r="K358" s="166" t="s">
        <v>33</v>
      </c>
      <c r="L358" s="691" t="s">
        <v>158</v>
      </c>
      <c r="M358" s="422" t="s">
        <v>29</v>
      </c>
      <c r="N358" s="158" t="s">
        <v>10498</v>
      </c>
      <c r="O358" s="55" t="str">
        <f t="shared" si="7"/>
        <v>L02.02.03.02.02.02.01</v>
      </c>
      <c r="P358" s="169" t="str">
        <f t="shared" si="3"/>
        <v>Phòng KD Bán mới 02</v>
      </c>
      <c r="Q358" s="96"/>
      <c r="R358" s="96"/>
      <c r="S358" s="96"/>
      <c r="T358" s="96"/>
      <c r="U358" s="96"/>
      <c r="V358" s="96"/>
      <c r="W358" s="96"/>
      <c r="X358" s="91"/>
      <c r="Y358" s="91"/>
      <c r="Z358" s="91"/>
      <c r="AA358" s="91"/>
      <c r="AB358" s="91"/>
    </row>
    <row r="359" ht="15.75" hidden="1" customHeight="1" outlineLevel="1">
      <c r="A359" s="51" t="s">
        <v>76</v>
      </c>
      <c r="B359" s="57" t="s">
        <v>77</v>
      </c>
      <c r="C359" s="51" t="s">
        <v>33</v>
      </c>
      <c r="D359" s="52" t="s">
        <v>89</v>
      </c>
      <c r="E359" s="53" t="s">
        <v>35</v>
      </c>
      <c r="F359" s="52" t="s">
        <v>149</v>
      </c>
      <c r="G359" s="62" t="s">
        <v>33</v>
      </c>
      <c r="H359" s="54" t="s">
        <v>154</v>
      </c>
      <c r="I359" s="62" t="s">
        <v>35</v>
      </c>
      <c r="J359" s="683" t="s">
        <v>1067</v>
      </c>
      <c r="K359" s="166" t="s">
        <v>27</v>
      </c>
      <c r="L359" s="96"/>
      <c r="M359" s="422" t="s">
        <v>29</v>
      </c>
      <c r="N359" s="158" t="s">
        <v>10498</v>
      </c>
      <c r="O359" s="55" t="str">
        <f t="shared" si="7"/>
        <v>L02.02.03.02.03.00.01</v>
      </c>
      <c r="P359" s="169" t="str">
        <f t="shared" si="3"/>
        <v/>
      </c>
      <c r="Q359" s="96"/>
      <c r="R359" s="96" t="s">
        <v>3975</v>
      </c>
      <c r="S359" s="96" t="s">
        <v>346</v>
      </c>
      <c r="T359" s="96" t="s">
        <v>275</v>
      </c>
      <c r="U359" s="96" t="s">
        <v>1067</v>
      </c>
      <c r="V359" s="96"/>
      <c r="W359" s="96"/>
      <c r="X359" s="91"/>
      <c r="Y359" s="91"/>
      <c r="Z359" s="91"/>
      <c r="AA359" s="91"/>
      <c r="AB359" s="91"/>
    </row>
    <row r="360" ht="15.75" hidden="1" customHeight="1" outlineLevel="1">
      <c r="A360" s="51" t="s">
        <v>76</v>
      </c>
      <c r="B360" s="57" t="s">
        <v>77</v>
      </c>
      <c r="C360" s="51" t="s">
        <v>33</v>
      </c>
      <c r="D360" s="52" t="s">
        <v>89</v>
      </c>
      <c r="E360" s="53" t="s">
        <v>35</v>
      </c>
      <c r="F360" s="52" t="s">
        <v>149</v>
      </c>
      <c r="G360" s="62" t="s">
        <v>33</v>
      </c>
      <c r="H360" s="54" t="s">
        <v>154</v>
      </c>
      <c r="I360" s="62" t="s">
        <v>35</v>
      </c>
      <c r="J360" s="683" t="s">
        <v>1067</v>
      </c>
      <c r="K360" s="696" t="s">
        <v>29</v>
      </c>
      <c r="L360" s="96" t="s">
        <v>1088</v>
      </c>
      <c r="M360" s="422" t="s">
        <v>29</v>
      </c>
      <c r="N360" s="158" t="s">
        <v>10498</v>
      </c>
      <c r="O360" s="55" t="str">
        <f t="shared" si="7"/>
        <v>L02.02.03.02.03.01.01</v>
      </c>
      <c r="P360" s="169" t="str">
        <f t="shared" si="3"/>
        <v>Nhóm Quản lý khách hàng 1</v>
      </c>
      <c r="Q360" s="96"/>
      <c r="R360" s="96" t="s">
        <v>1089</v>
      </c>
      <c r="S360" s="96" t="s">
        <v>346</v>
      </c>
      <c r="T360" s="96" t="s">
        <v>275</v>
      </c>
      <c r="U360" s="96" t="s">
        <v>1067</v>
      </c>
      <c r="V360" s="96" t="s">
        <v>1088</v>
      </c>
      <c r="W360" s="96"/>
      <c r="X360" s="91"/>
      <c r="Y360" s="91"/>
      <c r="Z360" s="91"/>
      <c r="AA360" s="91"/>
      <c r="AB360" s="91"/>
    </row>
    <row r="361" ht="15.75" hidden="1" customHeight="1" outlineLevel="1">
      <c r="A361" s="51" t="s">
        <v>76</v>
      </c>
      <c r="B361" s="57" t="s">
        <v>77</v>
      </c>
      <c r="C361" s="51" t="s">
        <v>33</v>
      </c>
      <c r="D361" s="52" t="s">
        <v>89</v>
      </c>
      <c r="E361" s="53" t="s">
        <v>35</v>
      </c>
      <c r="F361" s="52" t="s">
        <v>149</v>
      </c>
      <c r="G361" s="62" t="s">
        <v>33</v>
      </c>
      <c r="H361" s="54" t="s">
        <v>154</v>
      </c>
      <c r="I361" s="62" t="s">
        <v>35</v>
      </c>
      <c r="J361" s="683" t="s">
        <v>1067</v>
      </c>
      <c r="K361" s="696" t="s">
        <v>33</v>
      </c>
      <c r="L361" s="96" t="s">
        <v>4005</v>
      </c>
      <c r="M361" s="422" t="s">
        <v>29</v>
      </c>
      <c r="N361" s="158" t="s">
        <v>10498</v>
      </c>
      <c r="O361" s="55" t="str">
        <f t="shared" si="7"/>
        <v>L02.02.03.02.03.02.01</v>
      </c>
      <c r="P361" s="169" t="str">
        <f t="shared" si="3"/>
        <v>Nhóm bán thêm AMIS kế toán 1</v>
      </c>
      <c r="Q361" s="96"/>
      <c r="R361" s="96" t="s">
        <v>4006</v>
      </c>
      <c r="S361" s="96" t="s">
        <v>346</v>
      </c>
      <c r="T361" s="96" t="s">
        <v>275</v>
      </c>
      <c r="U361" s="96" t="s">
        <v>1067</v>
      </c>
      <c r="V361" s="96" t="s">
        <v>4005</v>
      </c>
      <c r="W361" s="96"/>
      <c r="X361" s="91"/>
      <c r="Y361" s="91"/>
      <c r="Z361" s="91"/>
      <c r="AA361" s="91"/>
      <c r="AB361" s="91"/>
    </row>
    <row r="362" ht="15.75" hidden="1" customHeight="1" outlineLevel="1">
      <c r="A362" s="51" t="s">
        <v>76</v>
      </c>
      <c r="B362" s="57" t="s">
        <v>77</v>
      </c>
      <c r="C362" s="51" t="s">
        <v>33</v>
      </c>
      <c r="D362" s="52" t="s">
        <v>89</v>
      </c>
      <c r="E362" s="53" t="s">
        <v>35</v>
      </c>
      <c r="F362" s="52" t="s">
        <v>149</v>
      </c>
      <c r="G362" s="62" t="s">
        <v>33</v>
      </c>
      <c r="H362" s="54" t="s">
        <v>154</v>
      </c>
      <c r="I362" s="62" t="s">
        <v>35</v>
      </c>
      <c r="J362" s="683" t="s">
        <v>1067</v>
      </c>
      <c r="K362" s="696" t="s">
        <v>35</v>
      </c>
      <c r="L362" s="96" t="s">
        <v>1066</v>
      </c>
      <c r="M362" s="422" t="s">
        <v>29</v>
      </c>
      <c r="N362" s="158" t="s">
        <v>10498</v>
      </c>
      <c r="O362" s="55" t="str">
        <f t="shared" si="7"/>
        <v>L02.02.03.02.03.03.01</v>
      </c>
      <c r="P362" s="169" t="str">
        <f t="shared" si="3"/>
        <v>Nhóm bán thêm AMIS bán hàng 1</v>
      </c>
      <c r="Q362" s="96"/>
      <c r="R362" s="96" t="s">
        <v>1068</v>
      </c>
      <c r="S362" s="96" t="s">
        <v>346</v>
      </c>
      <c r="T362" s="96" t="s">
        <v>275</v>
      </c>
      <c r="U362" s="96" t="s">
        <v>1067</v>
      </c>
      <c r="V362" s="96" t="s">
        <v>1066</v>
      </c>
      <c r="W362" s="96"/>
      <c r="X362" s="91"/>
      <c r="Y362" s="91"/>
      <c r="Z362" s="91"/>
      <c r="AA362" s="91"/>
      <c r="AB362" s="91"/>
    </row>
    <row r="363" ht="15.75" hidden="1" customHeight="1" outlineLevel="1">
      <c r="A363" s="51" t="s">
        <v>76</v>
      </c>
      <c r="B363" s="57" t="s">
        <v>77</v>
      </c>
      <c r="C363" s="51" t="s">
        <v>33</v>
      </c>
      <c r="D363" s="52" t="s">
        <v>89</v>
      </c>
      <c r="E363" s="53" t="s">
        <v>35</v>
      </c>
      <c r="F363" s="52" t="s">
        <v>149</v>
      </c>
      <c r="G363" s="62" t="s">
        <v>33</v>
      </c>
      <c r="H363" s="54" t="s">
        <v>154</v>
      </c>
      <c r="I363" s="62" t="s">
        <v>35</v>
      </c>
      <c r="J363" s="683" t="s">
        <v>1067</v>
      </c>
      <c r="K363" s="696" t="s">
        <v>37</v>
      </c>
      <c r="L363" s="96" t="s">
        <v>1095</v>
      </c>
      <c r="M363" s="422" t="s">
        <v>29</v>
      </c>
      <c r="N363" s="158" t="s">
        <v>10498</v>
      </c>
      <c r="O363" s="55" t="str">
        <f t="shared" si="7"/>
        <v>L02.02.03.02.03.04.01</v>
      </c>
      <c r="P363" s="169" t="str">
        <f t="shared" si="3"/>
        <v>Nhóm bán thêm AMIS nhân sự 1</v>
      </c>
      <c r="Q363" s="96"/>
      <c r="R363" s="96" t="s">
        <v>1096</v>
      </c>
      <c r="S363" s="96" t="s">
        <v>346</v>
      </c>
      <c r="T363" s="96" t="s">
        <v>275</v>
      </c>
      <c r="U363" s="96" t="s">
        <v>1067</v>
      </c>
      <c r="V363" s="96" t="s">
        <v>1095</v>
      </c>
      <c r="W363" s="96"/>
      <c r="X363" s="91"/>
      <c r="Y363" s="91"/>
      <c r="Z363" s="91"/>
      <c r="AA363" s="91"/>
      <c r="AB363" s="91"/>
    </row>
    <row r="364" ht="15.75" hidden="1" customHeight="1" outlineLevel="1">
      <c r="A364" s="51" t="s">
        <v>76</v>
      </c>
      <c r="B364" s="57" t="s">
        <v>77</v>
      </c>
      <c r="C364" s="51" t="s">
        <v>33</v>
      </c>
      <c r="D364" s="52" t="s">
        <v>89</v>
      </c>
      <c r="E364" s="53" t="s">
        <v>35</v>
      </c>
      <c r="F364" s="52" t="s">
        <v>149</v>
      </c>
      <c r="G364" s="62" t="s">
        <v>33</v>
      </c>
      <c r="H364" s="54" t="s">
        <v>154</v>
      </c>
      <c r="I364" s="62" t="s">
        <v>35</v>
      </c>
      <c r="J364" s="683" t="s">
        <v>1067</v>
      </c>
      <c r="K364" s="696" t="s">
        <v>42</v>
      </c>
      <c r="L364" s="96" t="s">
        <v>1112</v>
      </c>
      <c r="M364" s="422" t="s">
        <v>29</v>
      </c>
      <c r="N364" s="158" t="s">
        <v>10498</v>
      </c>
      <c r="O364" s="55" t="str">
        <f t="shared" si="7"/>
        <v>L02.02.03.02.03.05.01</v>
      </c>
      <c r="P364" s="169" t="str">
        <f t="shared" si="3"/>
        <v>Nhóm bán thêm AMIS điều hành 1</v>
      </c>
      <c r="Q364" s="96"/>
      <c r="R364" s="96" t="s">
        <v>1113</v>
      </c>
      <c r="S364" s="96" t="s">
        <v>346</v>
      </c>
      <c r="T364" s="96" t="s">
        <v>275</v>
      </c>
      <c r="U364" s="96" t="s">
        <v>1067</v>
      </c>
      <c r="V364" s="96" t="s">
        <v>1112</v>
      </c>
      <c r="W364" s="96"/>
      <c r="X364" s="91"/>
      <c r="Y364" s="91"/>
      <c r="Z364" s="91"/>
      <c r="AA364" s="91"/>
      <c r="AB364" s="91"/>
    </row>
    <row r="365" ht="15.75" hidden="1" customHeight="1" outlineLevel="1">
      <c r="A365" s="51" t="s">
        <v>76</v>
      </c>
      <c r="B365" s="57" t="s">
        <v>77</v>
      </c>
      <c r="C365" s="51" t="s">
        <v>33</v>
      </c>
      <c r="D365" s="52" t="s">
        <v>89</v>
      </c>
      <c r="E365" s="53" t="s">
        <v>35</v>
      </c>
      <c r="F365" s="52" t="s">
        <v>149</v>
      </c>
      <c r="G365" s="62" t="s">
        <v>33</v>
      </c>
      <c r="H365" s="54" t="s">
        <v>154</v>
      </c>
      <c r="I365" s="57" t="s">
        <v>37</v>
      </c>
      <c r="J365" s="683" t="s">
        <v>927</v>
      </c>
      <c r="K365" s="166" t="s">
        <v>27</v>
      </c>
      <c r="L365" s="96"/>
      <c r="M365" s="422" t="s">
        <v>29</v>
      </c>
      <c r="N365" s="158" t="s">
        <v>10498</v>
      </c>
      <c r="O365" s="55" t="str">
        <f t="shared" si="7"/>
        <v>L02.02.03.02.04.00.01</v>
      </c>
      <c r="P365" s="169" t="str">
        <f t="shared" si="3"/>
        <v/>
      </c>
      <c r="Q365" s="96"/>
      <c r="R365" s="96" t="s">
        <v>4113</v>
      </c>
      <c r="S365" s="96" t="s">
        <v>346</v>
      </c>
      <c r="T365" s="96" t="s">
        <v>275</v>
      </c>
      <c r="U365" s="96" t="s">
        <v>927</v>
      </c>
      <c r="V365" s="96"/>
      <c r="W365" s="96"/>
      <c r="X365" s="91"/>
      <c r="Y365" s="91"/>
      <c r="Z365" s="91"/>
      <c r="AA365" s="91"/>
      <c r="AB365" s="91"/>
    </row>
    <row r="366" ht="15.75" hidden="1" customHeight="1" outlineLevel="1">
      <c r="A366" s="51" t="s">
        <v>76</v>
      </c>
      <c r="B366" s="57" t="s">
        <v>77</v>
      </c>
      <c r="C366" s="51" t="s">
        <v>33</v>
      </c>
      <c r="D366" s="52" t="s">
        <v>89</v>
      </c>
      <c r="E366" s="53" t="s">
        <v>35</v>
      </c>
      <c r="F366" s="52" t="s">
        <v>149</v>
      </c>
      <c r="G366" s="62" t="s">
        <v>33</v>
      </c>
      <c r="H366" s="54" t="s">
        <v>154</v>
      </c>
      <c r="I366" s="57" t="s">
        <v>37</v>
      </c>
      <c r="J366" s="683" t="s">
        <v>927</v>
      </c>
      <c r="K366" s="696" t="s">
        <v>29</v>
      </c>
      <c r="L366" s="96" t="s">
        <v>926</v>
      </c>
      <c r="M366" s="422" t="s">
        <v>29</v>
      </c>
      <c r="N366" s="158" t="s">
        <v>10498</v>
      </c>
      <c r="O366" s="55" t="str">
        <f t="shared" si="7"/>
        <v>L02.02.03.02.04.01.01</v>
      </c>
      <c r="P366" s="169" t="str">
        <f t="shared" si="3"/>
        <v>Nhóm Quản lý khách hàng 2</v>
      </c>
      <c r="Q366" s="96"/>
      <c r="R366" s="96" t="s">
        <v>928</v>
      </c>
      <c r="S366" s="96" t="s">
        <v>346</v>
      </c>
      <c r="T366" s="96" t="s">
        <v>275</v>
      </c>
      <c r="U366" s="96" t="s">
        <v>927</v>
      </c>
      <c r="V366" s="96" t="s">
        <v>926</v>
      </c>
      <c r="W366" s="96"/>
      <c r="X366" s="91"/>
      <c r="Y366" s="91"/>
      <c r="Z366" s="91"/>
      <c r="AA366" s="91"/>
      <c r="AB366" s="91"/>
    </row>
    <row r="367" ht="15.75" hidden="1" customHeight="1" outlineLevel="1">
      <c r="A367" s="51" t="s">
        <v>76</v>
      </c>
      <c r="B367" s="57" t="s">
        <v>77</v>
      </c>
      <c r="C367" s="51" t="s">
        <v>33</v>
      </c>
      <c r="D367" s="52" t="s">
        <v>89</v>
      </c>
      <c r="E367" s="53" t="s">
        <v>35</v>
      </c>
      <c r="F367" s="52" t="s">
        <v>149</v>
      </c>
      <c r="G367" s="62" t="s">
        <v>33</v>
      </c>
      <c r="H367" s="54" t="s">
        <v>154</v>
      </c>
      <c r="I367" s="57" t="s">
        <v>37</v>
      </c>
      <c r="J367" s="683" t="s">
        <v>927</v>
      </c>
      <c r="K367" s="696" t="s">
        <v>33</v>
      </c>
      <c r="L367" s="96" t="s">
        <v>3610</v>
      </c>
      <c r="M367" s="422" t="s">
        <v>29</v>
      </c>
      <c r="N367" s="158" t="s">
        <v>10498</v>
      </c>
      <c r="O367" s="55" t="str">
        <f t="shared" si="7"/>
        <v>L02.02.03.02.04.02.01</v>
      </c>
      <c r="P367" s="169" t="str">
        <f t="shared" si="3"/>
        <v>Nhóm bán thêm AMIS kế toán 2</v>
      </c>
      <c r="Q367" s="96"/>
      <c r="R367" s="96" t="s">
        <v>3611</v>
      </c>
      <c r="S367" s="96" t="s">
        <v>346</v>
      </c>
      <c r="T367" s="96" t="s">
        <v>275</v>
      </c>
      <c r="U367" s="96" t="s">
        <v>927</v>
      </c>
      <c r="V367" s="96" t="s">
        <v>3610</v>
      </c>
      <c r="W367" s="96"/>
      <c r="X367" s="91"/>
      <c r="Y367" s="91"/>
      <c r="Z367" s="91"/>
      <c r="AA367" s="91"/>
      <c r="AB367" s="91"/>
    </row>
    <row r="368" ht="15.75" hidden="1" customHeight="1" outlineLevel="1">
      <c r="A368" s="51" t="s">
        <v>76</v>
      </c>
      <c r="B368" s="57" t="s">
        <v>77</v>
      </c>
      <c r="C368" s="51" t="s">
        <v>33</v>
      </c>
      <c r="D368" s="52" t="s">
        <v>89</v>
      </c>
      <c r="E368" s="53" t="s">
        <v>35</v>
      </c>
      <c r="F368" s="52" t="s">
        <v>149</v>
      </c>
      <c r="G368" s="62" t="s">
        <v>33</v>
      </c>
      <c r="H368" s="54" t="s">
        <v>154</v>
      </c>
      <c r="I368" s="57" t="s">
        <v>37</v>
      </c>
      <c r="J368" s="683" t="s">
        <v>927</v>
      </c>
      <c r="K368" s="696" t="s">
        <v>35</v>
      </c>
      <c r="L368" s="96" t="s">
        <v>995</v>
      </c>
      <c r="M368" s="422" t="s">
        <v>29</v>
      </c>
      <c r="N368" s="158" t="s">
        <v>10498</v>
      </c>
      <c r="O368" s="55" t="str">
        <f t="shared" si="7"/>
        <v>L02.02.03.02.04.03.01</v>
      </c>
      <c r="P368" s="169" t="str">
        <f t="shared" si="3"/>
        <v>Nhóm bán thêm AMIS bán hàng 2</v>
      </c>
      <c r="Q368" s="96"/>
      <c r="R368" s="96" t="s">
        <v>996</v>
      </c>
      <c r="S368" s="96" t="s">
        <v>346</v>
      </c>
      <c r="T368" s="96" t="s">
        <v>275</v>
      </c>
      <c r="U368" s="96" t="s">
        <v>927</v>
      </c>
      <c r="V368" s="96" t="s">
        <v>995</v>
      </c>
      <c r="W368" s="96"/>
      <c r="X368" s="91"/>
      <c r="Y368" s="91"/>
      <c r="Z368" s="91"/>
      <c r="AA368" s="91"/>
      <c r="AB368" s="91"/>
    </row>
    <row r="369" ht="15.75" hidden="1" customHeight="1" outlineLevel="1">
      <c r="A369" s="51" t="s">
        <v>76</v>
      </c>
      <c r="B369" s="57" t="s">
        <v>77</v>
      </c>
      <c r="C369" s="51" t="s">
        <v>33</v>
      </c>
      <c r="D369" s="52" t="s">
        <v>89</v>
      </c>
      <c r="E369" s="53" t="s">
        <v>35</v>
      </c>
      <c r="F369" s="52" t="s">
        <v>149</v>
      </c>
      <c r="G369" s="62" t="s">
        <v>33</v>
      </c>
      <c r="H369" s="54" t="s">
        <v>154</v>
      </c>
      <c r="I369" s="57" t="s">
        <v>37</v>
      </c>
      <c r="J369" s="683" t="s">
        <v>927</v>
      </c>
      <c r="K369" s="696" t="s">
        <v>37</v>
      </c>
      <c r="L369" s="96" t="s">
        <v>943</v>
      </c>
      <c r="M369" s="422" t="s">
        <v>29</v>
      </c>
      <c r="N369" s="158" t="s">
        <v>10498</v>
      </c>
      <c r="O369" s="55" t="str">
        <f t="shared" si="7"/>
        <v>L02.02.03.02.04.04.01</v>
      </c>
      <c r="P369" s="169" t="str">
        <f t="shared" si="3"/>
        <v>Nhóm bán thêm AMIS Nhân sự 2</v>
      </c>
      <c r="Q369" s="96"/>
      <c r="R369" s="96" t="s">
        <v>944</v>
      </c>
      <c r="S369" s="96" t="s">
        <v>346</v>
      </c>
      <c r="T369" s="96" t="s">
        <v>275</v>
      </c>
      <c r="U369" s="96" t="s">
        <v>927</v>
      </c>
      <c r="V369" s="96" t="s">
        <v>943</v>
      </c>
      <c r="W369" s="96"/>
      <c r="X369" s="91"/>
      <c r="Y369" s="91"/>
      <c r="Z369" s="91"/>
      <c r="AA369" s="91"/>
      <c r="AB369" s="91"/>
    </row>
    <row r="370" ht="15.75" hidden="1" customHeight="1" outlineLevel="1">
      <c r="A370" s="51" t="s">
        <v>76</v>
      </c>
      <c r="B370" s="57" t="s">
        <v>77</v>
      </c>
      <c r="C370" s="51" t="s">
        <v>33</v>
      </c>
      <c r="D370" s="52" t="s">
        <v>89</v>
      </c>
      <c r="E370" s="53" t="s">
        <v>35</v>
      </c>
      <c r="F370" s="52" t="s">
        <v>149</v>
      </c>
      <c r="G370" s="62" t="s">
        <v>33</v>
      </c>
      <c r="H370" s="54" t="s">
        <v>154</v>
      </c>
      <c r="I370" s="57" t="s">
        <v>37</v>
      </c>
      <c r="J370" s="683" t="s">
        <v>927</v>
      </c>
      <c r="K370" s="696" t="s">
        <v>42</v>
      </c>
      <c r="L370" s="96" t="s">
        <v>4013</v>
      </c>
      <c r="M370" s="422" t="s">
        <v>29</v>
      </c>
      <c r="N370" s="158" t="s">
        <v>10498</v>
      </c>
      <c r="O370" s="55" t="str">
        <f t="shared" si="7"/>
        <v>L02.02.03.02.04.05.01</v>
      </c>
      <c r="P370" s="169" t="str">
        <f t="shared" si="3"/>
        <v>Nhóm bán thêm AMIS Điều hành 2</v>
      </c>
      <c r="Q370" s="96"/>
      <c r="R370" s="96" t="s">
        <v>4014</v>
      </c>
      <c r="S370" s="96" t="s">
        <v>346</v>
      </c>
      <c r="T370" s="96" t="s">
        <v>275</v>
      </c>
      <c r="U370" s="96" t="s">
        <v>927</v>
      </c>
      <c r="V370" s="96" t="s">
        <v>4013</v>
      </c>
      <c r="W370" s="96"/>
      <c r="X370" s="91"/>
      <c r="Y370" s="91"/>
      <c r="Z370" s="91"/>
      <c r="AA370" s="91"/>
      <c r="AB370" s="91"/>
    </row>
    <row r="371" ht="15.75" hidden="1" customHeight="1" outlineLevel="1">
      <c r="A371" s="51" t="s">
        <v>76</v>
      </c>
      <c r="B371" s="57" t="s">
        <v>77</v>
      </c>
      <c r="C371" s="51" t="s">
        <v>33</v>
      </c>
      <c r="D371" s="52" t="s">
        <v>89</v>
      </c>
      <c r="E371" s="53" t="s">
        <v>35</v>
      </c>
      <c r="F371" s="52" t="s">
        <v>149</v>
      </c>
      <c r="G371" s="62" t="s">
        <v>33</v>
      </c>
      <c r="H371" s="54" t="s">
        <v>154</v>
      </c>
      <c r="I371" s="57" t="s">
        <v>42</v>
      </c>
      <c r="J371" s="683" t="s">
        <v>1012</v>
      </c>
      <c r="K371" s="166" t="s">
        <v>27</v>
      </c>
      <c r="L371" s="159"/>
      <c r="M371" s="422" t="s">
        <v>29</v>
      </c>
      <c r="N371" s="158" t="s">
        <v>10498</v>
      </c>
      <c r="O371" s="55" t="str">
        <f t="shared" si="7"/>
        <v>L02.02.03.02.05.00.01</v>
      </c>
      <c r="P371" s="169" t="str">
        <f t="shared" si="3"/>
        <v/>
      </c>
      <c r="Q371" s="96"/>
      <c r="R371" s="96" t="s">
        <v>1013</v>
      </c>
      <c r="S371" s="96" t="s">
        <v>346</v>
      </c>
      <c r="T371" s="96" t="s">
        <v>275</v>
      </c>
      <c r="U371" s="96" t="s">
        <v>1012</v>
      </c>
      <c r="V371" s="96"/>
      <c r="W371" s="96"/>
      <c r="X371" s="91"/>
      <c r="Y371" s="91"/>
      <c r="Z371" s="91"/>
      <c r="AA371" s="91"/>
      <c r="AB371" s="91"/>
    </row>
    <row r="372" ht="15.75" hidden="1" customHeight="1" outlineLevel="1">
      <c r="A372" s="51" t="s">
        <v>76</v>
      </c>
      <c r="B372" s="57" t="s">
        <v>77</v>
      </c>
      <c r="C372" s="51" t="s">
        <v>33</v>
      </c>
      <c r="D372" s="52" t="s">
        <v>89</v>
      </c>
      <c r="E372" s="53" t="s">
        <v>35</v>
      </c>
      <c r="F372" s="52" t="s">
        <v>149</v>
      </c>
      <c r="G372" s="62" t="s">
        <v>33</v>
      </c>
      <c r="H372" s="54" t="s">
        <v>154</v>
      </c>
      <c r="I372" s="57" t="s">
        <v>42</v>
      </c>
      <c r="J372" s="683" t="s">
        <v>1012</v>
      </c>
      <c r="K372" s="696" t="s">
        <v>29</v>
      </c>
      <c r="L372" s="96" t="s">
        <v>3820</v>
      </c>
      <c r="M372" s="422" t="s">
        <v>29</v>
      </c>
      <c r="N372" s="158" t="s">
        <v>10498</v>
      </c>
      <c r="O372" s="55" t="str">
        <f t="shared" si="7"/>
        <v>L02.02.03.02.05.01.01</v>
      </c>
      <c r="P372" s="169" t="str">
        <f t="shared" si="3"/>
        <v>Nhóm quản lý khách hàng 3</v>
      </c>
      <c r="Q372" s="96"/>
      <c r="R372" s="96" t="s">
        <v>3821</v>
      </c>
      <c r="S372" s="96" t="s">
        <v>346</v>
      </c>
      <c r="T372" s="96" t="s">
        <v>275</v>
      </c>
      <c r="U372" s="96" t="s">
        <v>1012</v>
      </c>
      <c r="V372" s="96" t="s">
        <v>3820</v>
      </c>
      <c r="W372" s="96"/>
      <c r="X372" s="91"/>
      <c r="Y372" s="91"/>
      <c r="Z372" s="91"/>
      <c r="AA372" s="91"/>
      <c r="AB372" s="91"/>
    </row>
    <row r="373" ht="15.75" hidden="1" customHeight="1" outlineLevel="1">
      <c r="A373" s="51" t="s">
        <v>76</v>
      </c>
      <c r="B373" s="57" t="s">
        <v>77</v>
      </c>
      <c r="C373" s="51" t="s">
        <v>33</v>
      </c>
      <c r="D373" s="52" t="s">
        <v>89</v>
      </c>
      <c r="E373" s="53" t="s">
        <v>35</v>
      </c>
      <c r="F373" s="52" t="s">
        <v>149</v>
      </c>
      <c r="G373" s="62" t="s">
        <v>33</v>
      </c>
      <c r="H373" s="54" t="s">
        <v>154</v>
      </c>
      <c r="I373" s="57" t="s">
        <v>42</v>
      </c>
      <c r="J373" s="683" t="s">
        <v>1012</v>
      </c>
      <c r="K373" s="696" t="s">
        <v>33</v>
      </c>
      <c r="L373" s="96" t="s">
        <v>4211</v>
      </c>
      <c r="M373" s="422" t="s">
        <v>29</v>
      </c>
      <c r="N373" s="158" t="s">
        <v>10498</v>
      </c>
      <c r="O373" s="55" t="str">
        <f t="shared" si="7"/>
        <v>L02.02.03.02.05.02.01</v>
      </c>
      <c r="P373" s="169" t="str">
        <f t="shared" si="3"/>
        <v>Nhóm bán thêm AMIS kế toán 3</v>
      </c>
      <c r="Q373" s="96"/>
      <c r="R373" s="96" t="s">
        <v>4212</v>
      </c>
      <c r="S373" s="96" t="s">
        <v>346</v>
      </c>
      <c r="T373" s="96" t="s">
        <v>275</v>
      </c>
      <c r="U373" s="96" t="s">
        <v>1012</v>
      </c>
      <c r="V373" s="96" t="s">
        <v>4211</v>
      </c>
      <c r="W373" s="96"/>
      <c r="X373" s="91"/>
      <c r="Y373" s="91"/>
      <c r="Z373" s="91"/>
      <c r="AA373" s="91"/>
      <c r="AB373" s="91"/>
    </row>
    <row r="374" ht="15.75" hidden="1" customHeight="1" outlineLevel="1">
      <c r="A374" s="51" t="s">
        <v>76</v>
      </c>
      <c r="B374" s="57" t="s">
        <v>77</v>
      </c>
      <c r="C374" s="51" t="s">
        <v>33</v>
      </c>
      <c r="D374" s="52" t="s">
        <v>89</v>
      </c>
      <c r="E374" s="53" t="s">
        <v>35</v>
      </c>
      <c r="F374" s="52" t="s">
        <v>149</v>
      </c>
      <c r="G374" s="62" t="s">
        <v>33</v>
      </c>
      <c r="H374" s="54" t="s">
        <v>154</v>
      </c>
      <c r="I374" s="57" t="s">
        <v>42</v>
      </c>
      <c r="J374" s="683" t="s">
        <v>1012</v>
      </c>
      <c r="K374" s="696" t="s">
        <v>35</v>
      </c>
      <c r="L374" s="96" t="s">
        <v>3956</v>
      </c>
      <c r="M374" s="422" t="s">
        <v>29</v>
      </c>
      <c r="N374" s="158" t="s">
        <v>10498</v>
      </c>
      <c r="O374" s="55" t="str">
        <f t="shared" si="7"/>
        <v>L02.02.03.02.05.03.01</v>
      </c>
      <c r="P374" s="169" t="str">
        <f t="shared" si="3"/>
        <v>Nhóm bán thêm AMIS bán hàng 3</v>
      </c>
      <c r="Q374" s="96"/>
      <c r="R374" s="96" t="s">
        <v>3957</v>
      </c>
      <c r="S374" s="96" t="s">
        <v>346</v>
      </c>
      <c r="T374" s="96" t="s">
        <v>275</v>
      </c>
      <c r="U374" s="96" t="s">
        <v>1012</v>
      </c>
      <c r="V374" s="96" t="s">
        <v>3956</v>
      </c>
      <c r="W374" s="96"/>
      <c r="X374" s="91"/>
      <c r="Y374" s="91"/>
      <c r="Z374" s="91"/>
      <c r="AA374" s="91"/>
      <c r="AB374" s="91"/>
    </row>
    <row r="375" ht="15.75" hidden="1" customHeight="1" outlineLevel="1">
      <c r="A375" s="51" t="s">
        <v>76</v>
      </c>
      <c r="B375" s="57" t="s">
        <v>77</v>
      </c>
      <c r="C375" s="51" t="s">
        <v>33</v>
      </c>
      <c r="D375" s="52" t="s">
        <v>89</v>
      </c>
      <c r="E375" s="53" t="s">
        <v>35</v>
      </c>
      <c r="F375" s="52" t="s">
        <v>149</v>
      </c>
      <c r="G375" s="62" t="s">
        <v>33</v>
      </c>
      <c r="H375" s="54" t="s">
        <v>154</v>
      </c>
      <c r="I375" s="57" t="s">
        <v>42</v>
      </c>
      <c r="J375" s="683" t="s">
        <v>1012</v>
      </c>
      <c r="K375" s="696" t="s">
        <v>37</v>
      </c>
      <c r="L375" s="96" t="s">
        <v>3231</v>
      </c>
      <c r="M375" s="422" t="s">
        <v>29</v>
      </c>
      <c r="N375" s="158" t="s">
        <v>10498</v>
      </c>
      <c r="O375" s="55" t="str">
        <f t="shared" si="7"/>
        <v>L02.02.03.02.05.04.01</v>
      </c>
      <c r="P375" s="169" t="str">
        <f t="shared" si="3"/>
        <v>Nhóm bán thêm AMIS nhân sự 3</v>
      </c>
      <c r="Q375" s="96"/>
      <c r="R375" s="96" t="s">
        <v>3232</v>
      </c>
      <c r="S375" s="96" t="s">
        <v>346</v>
      </c>
      <c r="T375" s="96" t="s">
        <v>275</v>
      </c>
      <c r="U375" s="96" t="s">
        <v>1012</v>
      </c>
      <c r="V375" s="96" t="s">
        <v>3231</v>
      </c>
      <c r="W375" s="96"/>
      <c r="X375" s="91"/>
      <c r="Y375" s="91"/>
      <c r="Z375" s="91"/>
      <c r="AA375" s="91"/>
      <c r="AB375" s="91"/>
    </row>
    <row r="376" ht="15.75" hidden="1" customHeight="1" outlineLevel="1">
      <c r="A376" s="51" t="s">
        <v>76</v>
      </c>
      <c r="B376" s="57" t="s">
        <v>77</v>
      </c>
      <c r="C376" s="51" t="s">
        <v>33</v>
      </c>
      <c r="D376" s="52" t="s">
        <v>89</v>
      </c>
      <c r="E376" s="53" t="s">
        <v>35</v>
      </c>
      <c r="F376" s="52" t="s">
        <v>149</v>
      </c>
      <c r="G376" s="62" t="s">
        <v>33</v>
      </c>
      <c r="H376" s="54" t="s">
        <v>154</v>
      </c>
      <c r="I376" s="57" t="s">
        <v>42</v>
      </c>
      <c r="J376" s="683" t="s">
        <v>1012</v>
      </c>
      <c r="K376" s="696" t="s">
        <v>42</v>
      </c>
      <c r="L376" s="96" t="s">
        <v>3936</v>
      </c>
      <c r="M376" s="422" t="s">
        <v>29</v>
      </c>
      <c r="N376" s="158" t="s">
        <v>10498</v>
      </c>
      <c r="O376" s="55" t="str">
        <f t="shared" si="7"/>
        <v>L02.02.03.02.05.05.01</v>
      </c>
      <c r="P376" s="169" t="str">
        <f t="shared" si="3"/>
        <v>Nhóm bán thêm AMIS điều hành 3</v>
      </c>
      <c r="Q376" s="96"/>
      <c r="R376" s="96" t="s">
        <v>3937</v>
      </c>
      <c r="S376" s="96" t="s">
        <v>346</v>
      </c>
      <c r="T376" s="96" t="s">
        <v>275</v>
      </c>
      <c r="U376" s="96" t="s">
        <v>1012</v>
      </c>
      <c r="V376" s="96" t="s">
        <v>3936</v>
      </c>
      <c r="W376" s="96"/>
      <c r="X376" s="91"/>
      <c r="Y376" s="91"/>
      <c r="Z376" s="91"/>
      <c r="AA376" s="91"/>
      <c r="AB376" s="91"/>
    </row>
    <row r="377" ht="15.75" hidden="1" customHeight="1" outlineLevel="1">
      <c r="A377" s="51" t="s">
        <v>76</v>
      </c>
      <c r="B377" s="57" t="s">
        <v>77</v>
      </c>
      <c r="C377" s="51" t="s">
        <v>33</v>
      </c>
      <c r="D377" s="52" t="s">
        <v>89</v>
      </c>
      <c r="E377" s="53" t="s">
        <v>35</v>
      </c>
      <c r="F377" s="52" t="s">
        <v>149</v>
      </c>
      <c r="G377" s="62" t="s">
        <v>33</v>
      </c>
      <c r="H377" s="54" t="s">
        <v>154</v>
      </c>
      <c r="I377" s="62" t="s">
        <v>37</v>
      </c>
      <c r="J377" s="159" t="s">
        <v>101</v>
      </c>
      <c r="K377" s="166" t="s">
        <v>27</v>
      </c>
      <c r="L377" s="155" t="s">
        <v>4</v>
      </c>
      <c r="M377" s="422" t="s">
        <v>29</v>
      </c>
      <c r="N377" s="158" t="s">
        <v>10498</v>
      </c>
      <c r="O377" s="55" t="str">
        <f t="shared" si="7"/>
        <v>L02.02.03.02.04.00.01</v>
      </c>
      <c r="P377" s="169" t="str">
        <f t="shared" si="3"/>
        <v>Phòng chuyển giao</v>
      </c>
      <c r="Q377" s="96"/>
      <c r="R377" s="96" t="s">
        <v>507</v>
      </c>
      <c r="S377" s="96" t="s">
        <v>346</v>
      </c>
      <c r="T377" s="96" t="s">
        <v>275</v>
      </c>
      <c r="U377" s="96" t="s">
        <v>101</v>
      </c>
      <c r="V377" s="96"/>
      <c r="W377" s="96"/>
      <c r="X377" s="91"/>
      <c r="Y377" s="91"/>
      <c r="Z377" s="91"/>
      <c r="AA377" s="91"/>
      <c r="AB377" s="91"/>
    </row>
    <row r="378" ht="15.75" hidden="1" customHeight="1" outlineLevel="1">
      <c r="A378" s="51" t="s">
        <v>76</v>
      </c>
      <c r="B378" s="57" t="s">
        <v>77</v>
      </c>
      <c r="C378" s="51" t="s">
        <v>33</v>
      </c>
      <c r="D378" s="52" t="s">
        <v>89</v>
      </c>
      <c r="E378" s="53" t="s">
        <v>35</v>
      </c>
      <c r="F378" s="52" t="s">
        <v>149</v>
      </c>
      <c r="G378" s="62" t="s">
        <v>33</v>
      </c>
      <c r="H378" s="54" t="s">
        <v>154</v>
      </c>
      <c r="I378" s="62" t="s">
        <v>29</v>
      </c>
      <c r="J378" s="159" t="s">
        <v>155</v>
      </c>
      <c r="K378" s="166" t="s">
        <v>27</v>
      </c>
      <c r="L378" s="155" t="s">
        <v>4</v>
      </c>
      <c r="M378" s="422" t="s">
        <v>33</v>
      </c>
      <c r="N378" s="158" t="s">
        <v>10499</v>
      </c>
      <c r="O378" s="55" t="str">
        <f t="shared" si="7"/>
        <v>L02.02.03.02.01.00.02</v>
      </c>
      <c r="P378" s="169" t="str">
        <f t="shared" si="3"/>
        <v>Ban Giám đốc</v>
      </c>
      <c r="Q378" s="96"/>
      <c r="R378" s="96"/>
      <c r="S378" s="96"/>
      <c r="T378" s="96"/>
      <c r="U378" s="96"/>
      <c r="V378" s="96"/>
      <c r="W378" s="96"/>
      <c r="X378" s="91"/>
      <c r="Y378" s="91"/>
      <c r="Z378" s="91"/>
      <c r="AA378" s="91"/>
      <c r="AB378" s="91"/>
    </row>
    <row r="379" ht="15.75" hidden="1" customHeight="1" outlineLevel="1">
      <c r="A379" s="51" t="s">
        <v>76</v>
      </c>
      <c r="B379" s="57" t="s">
        <v>77</v>
      </c>
      <c r="C379" s="51" t="s">
        <v>33</v>
      </c>
      <c r="D379" s="52" t="s">
        <v>89</v>
      </c>
      <c r="E379" s="53" t="s">
        <v>35</v>
      </c>
      <c r="F379" s="52" t="s">
        <v>149</v>
      </c>
      <c r="G379" s="62" t="s">
        <v>33</v>
      </c>
      <c r="H379" s="54" t="s">
        <v>154</v>
      </c>
      <c r="I379" s="62" t="s">
        <v>33</v>
      </c>
      <c r="J379" s="159" t="s">
        <v>156</v>
      </c>
      <c r="K379" s="166" t="s">
        <v>27</v>
      </c>
      <c r="L379" s="155" t="s">
        <v>4</v>
      </c>
      <c r="M379" s="422" t="s">
        <v>33</v>
      </c>
      <c r="N379" s="158" t="s">
        <v>10499</v>
      </c>
      <c r="O379" s="55" t="str">
        <f t="shared" si="7"/>
        <v>L02.02.03.02.02.00.02</v>
      </c>
      <c r="P379" s="169" t="str">
        <f t="shared" si="3"/>
        <v>Phòng KD Bán mới</v>
      </c>
      <c r="Q379" s="96"/>
      <c r="R379" s="96"/>
      <c r="S379" s="96"/>
      <c r="T379" s="96"/>
      <c r="U379" s="96"/>
      <c r="V379" s="96"/>
      <c r="W379" s="96"/>
      <c r="X379" s="91"/>
      <c r="Y379" s="91"/>
      <c r="Z379" s="91"/>
      <c r="AA379" s="91"/>
      <c r="AB379" s="91"/>
    </row>
    <row r="380" ht="15.75" hidden="1" customHeight="1" outlineLevel="1">
      <c r="A380" s="51" t="s">
        <v>76</v>
      </c>
      <c r="B380" s="57" t="s">
        <v>77</v>
      </c>
      <c r="C380" s="51" t="s">
        <v>33</v>
      </c>
      <c r="D380" s="52" t="s">
        <v>89</v>
      </c>
      <c r="E380" s="53" t="s">
        <v>35</v>
      </c>
      <c r="F380" s="52" t="s">
        <v>149</v>
      </c>
      <c r="G380" s="62" t="s">
        <v>33</v>
      </c>
      <c r="H380" s="54" t="s">
        <v>154</v>
      </c>
      <c r="I380" s="62" t="s">
        <v>33</v>
      </c>
      <c r="J380" s="159" t="s">
        <v>156</v>
      </c>
      <c r="K380" s="166" t="s">
        <v>29</v>
      </c>
      <c r="L380" s="691" t="s">
        <v>157</v>
      </c>
      <c r="M380" s="422" t="s">
        <v>33</v>
      </c>
      <c r="N380" s="158" t="s">
        <v>10499</v>
      </c>
      <c r="O380" s="55" t="str">
        <f t="shared" si="7"/>
        <v>L02.02.03.02.02.01.02</v>
      </c>
      <c r="P380" s="169" t="str">
        <f t="shared" si="3"/>
        <v>Phòng KD Bán mới 01</v>
      </c>
      <c r="Q380" s="96"/>
      <c r="R380" s="96"/>
      <c r="S380" s="96"/>
      <c r="T380" s="96"/>
      <c r="U380" s="96"/>
      <c r="V380" s="96"/>
      <c r="W380" s="96"/>
      <c r="X380" s="91"/>
      <c r="Y380" s="91"/>
      <c r="Z380" s="91"/>
      <c r="AA380" s="91"/>
      <c r="AB380" s="91"/>
    </row>
    <row r="381" ht="15.75" hidden="1" customHeight="1" outlineLevel="1">
      <c r="A381" s="51" t="s">
        <v>76</v>
      </c>
      <c r="B381" s="57" t="s">
        <v>77</v>
      </c>
      <c r="C381" s="51" t="s">
        <v>33</v>
      </c>
      <c r="D381" s="52" t="s">
        <v>89</v>
      </c>
      <c r="E381" s="53" t="s">
        <v>35</v>
      </c>
      <c r="F381" s="52" t="s">
        <v>149</v>
      </c>
      <c r="G381" s="62" t="s">
        <v>33</v>
      </c>
      <c r="H381" s="54" t="s">
        <v>154</v>
      </c>
      <c r="I381" s="62" t="s">
        <v>33</v>
      </c>
      <c r="J381" s="159" t="s">
        <v>156</v>
      </c>
      <c r="K381" s="166" t="s">
        <v>33</v>
      </c>
      <c r="L381" s="691" t="s">
        <v>158</v>
      </c>
      <c r="M381" s="422" t="s">
        <v>33</v>
      </c>
      <c r="N381" s="158" t="s">
        <v>10499</v>
      </c>
      <c r="O381" s="55" t="str">
        <f t="shared" si="7"/>
        <v>L02.02.03.02.02.02.02</v>
      </c>
      <c r="P381" s="169" t="str">
        <f t="shared" si="3"/>
        <v>Phòng KD Bán mới 02</v>
      </c>
      <c r="Q381" s="96"/>
      <c r="R381" s="96"/>
      <c r="S381" s="96"/>
      <c r="T381" s="96"/>
      <c r="U381" s="96"/>
      <c r="V381" s="96"/>
      <c r="W381" s="96"/>
      <c r="X381" s="91"/>
      <c r="Y381" s="91"/>
      <c r="Z381" s="91"/>
      <c r="AA381" s="91"/>
      <c r="AB381" s="91"/>
    </row>
    <row r="382" ht="15.75" hidden="1" customHeight="1" outlineLevel="1">
      <c r="A382" s="51" t="s">
        <v>76</v>
      </c>
      <c r="B382" s="57" t="s">
        <v>77</v>
      </c>
      <c r="C382" s="51" t="s">
        <v>33</v>
      </c>
      <c r="D382" s="52" t="s">
        <v>89</v>
      </c>
      <c r="E382" s="53" t="s">
        <v>35</v>
      </c>
      <c r="F382" s="52" t="s">
        <v>149</v>
      </c>
      <c r="G382" s="62" t="s">
        <v>33</v>
      </c>
      <c r="H382" s="54" t="s">
        <v>154</v>
      </c>
      <c r="I382" s="62" t="s">
        <v>35</v>
      </c>
      <c r="J382" s="683" t="s">
        <v>2029</v>
      </c>
      <c r="K382" s="166" t="s">
        <v>27</v>
      </c>
      <c r="L382" s="96"/>
      <c r="M382" s="422" t="s">
        <v>33</v>
      </c>
      <c r="N382" s="158" t="s">
        <v>10499</v>
      </c>
      <c r="O382" s="55" t="str">
        <f t="shared" si="7"/>
        <v>L02.02.03.02.03.00.02</v>
      </c>
      <c r="P382" s="169" t="str">
        <f t="shared" si="3"/>
        <v/>
      </c>
      <c r="Q382" s="96"/>
      <c r="R382" s="96" t="s">
        <v>7466</v>
      </c>
      <c r="S382" s="96" t="s">
        <v>262</v>
      </c>
      <c r="T382" s="96" t="s">
        <v>275</v>
      </c>
      <c r="U382" s="96" t="s">
        <v>2029</v>
      </c>
      <c r="V382" s="96" t="s">
        <v>11331</v>
      </c>
      <c r="W382" s="96"/>
      <c r="X382" s="91"/>
      <c r="Y382" s="91"/>
      <c r="Z382" s="91"/>
      <c r="AA382" s="91"/>
      <c r="AB382" s="91"/>
    </row>
    <row r="383" ht="15.75" hidden="1" customHeight="1" outlineLevel="1">
      <c r="A383" s="51" t="s">
        <v>76</v>
      </c>
      <c r="B383" s="57" t="s">
        <v>77</v>
      </c>
      <c r="C383" s="51" t="s">
        <v>33</v>
      </c>
      <c r="D383" s="52" t="s">
        <v>89</v>
      </c>
      <c r="E383" s="53" t="s">
        <v>35</v>
      </c>
      <c r="F383" s="52" t="s">
        <v>149</v>
      </c>
      <c r="G383" s="62" t="s">
        <v>33</v>
      </c>
      <c r="H383" s="54" t="s">
        <v>154</v>
      </c>
      <c r="I383" s="62" t="s">
        <v>35</v>
      </c>
      <c r="J383" s="683" t="s">
        <v>2029</v>
      </c>
      <c r="K383" s="166" t="s">
        <v>27</v>
      </c>
      <c r="L383" s="96" t="s">
        <v>1985</v>
      </c>
      <c r="M383" s="422" t="s">
        <v>33</v>
      </c>
      <c r="N383" s="158" t="s">
        <v>10499</v>
      </c>
      <c r="O383" s="55" t="str">
        <f t="shared" si="7"/>
        <v>L02.02.03.02.03.00.02</v>
      </c>
      <c r="P383" s="169" t="str">
        <f t="shared" si="3"/>
        <v>Nhóm Quản lý khách hàng</v>
      </c>
      <c r="Q383" s="96"/>
      <c r="R383" s="96" t="s">
        <v>2070</v>
      </c>
      <c r="S383" s="96" t="s">
        <v>262</v>
      </c>
      <c r="T383" s="96" t="s">
        <v>275</v>
      </c>
      <c r="U383" s="96" t="s">
        <v>2029</v>
      </c>
      <c r="V383" s="96" t="s">
        <v>1985</v>
      </c>
      <c r="W383" s="96"/>
      <c r="X383" s="91"/>
      <c r="Y383" s="91"/>
      <c r="Z383" s="91"/>
      <c r="AA383" s="91"/>
      <c r="AB383" s="91"/>
    </row>
    <row r="384" ht="15.75" hidden="1" customHeight="1" outlineLevel="1">
      <c r="A384" s="51" t="s">
        <v>76</v>
      </c>
      <c r="B384" s="57" t="s">
        <v>77</v>
      </c>
      <c r="C384" s="51" t="s">
        <v>33</v>
      </c>
      <c r="D384" s="52" t="s">
        <v>89</v>
      </c>
      <c r="E384" s="53" t="s">
        <v>35</v>
      </c>
      <c r="F384" s="52" t="s">
        <v>149</v>
      </c>
      <c r="G384" s="62" t="s">
        <v>33</v>
      </c>
      <c r="H384" s="54" t="s">
        <v>154</v>
      </c>
      <c r="I384" s="62" t="s">
        <v>35</v>
      </c>
      <c r="J384" s="683" t="s">
        <v>2029</v>
      </c>
      <c r="K384" s="166" t="s">
        <v>27</v>
      </c>
      <c r="L384" s="96" t="s">
        <v>2034</v>
      </c>
      <c r="M384" s="422" t="s">
        <v>33</v>
      </c>
      <c r="N384" s="158" t="s">
        <v>10499</v>
      </c>
      <c r="O384" s="55" t="str">
        <f t="shared" si="7"/>
        <v>L02.02.03.02.03.00.02</v>
      </c>
      <c r="P384" s="169" t="str">
        <f t="shared" si="3"/>
        <v>Nhóm bán thêm AMIS kế toán</v>
      </c>
      <c r="Q384" s="96"/>
      <c r="R384" s="96" t="s">
        <v>8883</v>
      </c>
      <c r="S384" s="96" t="s">
        <v>262</v>
      </c>
      <c r="T384" s="96" t="s">
        <v>275</v>
      </c>
      <c r="U384" s="96" t="s">
        <v>2029</v>
      </c>
      <c r="V384" s="96" t="s">
        <v>2034</v>
      </c>
      <c r="W384" s="96"/>
      <c r="X384" s="91"/>
      <c r="Y384" s="91"/>
      <c r="Z384" s="91"/>
      <c r="AA384" s="91"/>
      <c r="AB384" s="91"/>
    </row>
    <row r="385" ht="15.75" hidden="1" customHeight="1" outlineLevel="1">
      <c r="A385" s="51" t="s">
        <v>76</v>
      </c>
      <c r="B385" s="57" t="s">
        <v>77</v>
      </c>
      <c r="C385" s="51" t="s">
        <v>33</v>
      </c>
      <c r="D385" s="52" t="s">
        <v>89</v>
      </c>
      <c r="E385" s="53" t="s">
        <v>35</v>
      </c>
      <c r="F385" s="52" t="s">
        <v>149</v>
      </c>
      <c r="G385" s="62" t="s">
        <v>33</v>
      </c>
      <c r="H385" s="54" t="s">
        <v>154</v>
      </c>
      <c r="I385" s="62" t="s">
        <v>35</v>
      </c>
      <c r="J385" s="683" t="s">
        <v>2029</v>
      </c>
      <c r="K385" s="166" t="s">
        <v>27</v>
      </c>
      <c r="L385" s="96" t="s">
        <v>2051</v>
      </c>
      <c r="M385" s="422" t="s">
        <v>33</v>
      </c>
      <c r="N385" s="158" t="s">
        <v>10499</v>
      </c>
      <c r="O385" s="55" t="str">
        <f t="shared" si="7"/>
        <v>L02.02.03.02.03.00.02</v>
      </c>
      <c r="P385" s="169" t="str">
        <f t="shared" si="3"/>
        <v>Nhóm bán thêm AMIS bán hàng</v>
      </c>
      <c r="Q385" s="96"/>
      <c r="R385" s="96" t="s">
        <v>2131</v>
      </c>
      <c r="S385" s="96" t="s">
        <v>262</v>
      </c>
      <c r="T385" s="96" t="s">
        <v>275</v>
      </c>
      <c r="U385" s="96" t="s">
        <v>2029</v>
      </c>
      <c r="V385" s="96" t="s">
        <v>2051</v>
      </c>
      <c r="W385" s="96"/>
      <c r="X385" s="91"/>
      <c r="Y385" s="91"/>
      <c r="Z385" s="91"/>
      <c r="AA385" s="91"/>
      <c r="AB385" s="91"/>
    </row>
    <row r="386" ht="15.75" hidden="1" customHeight="1" outlineLevel="1">
      <c r="A386" s="51" t="s">
        <v>76</v>
      </c>
      <c r="B386" s="57" t="s">
        <v>77</v>
      </c>
      <c r="C386" s="51" t="s">
        <v>33</v>
      </c>
      <c r="D386" s="52" t="s">
        <v>89</v>
      </c>
      <c r="E386" s="53" t="s">
        <v>35</v>
      </c>
      <c r="F386" s="52" t="s">
        <v>149</v>
      </c>
      <c r="G386" s="62" t="s">
        <v>33</v>
      </c>
      <c r="H386" s="54" t="s">
        <v>154</v>
      </c>
      <c r="I386" s="62" t="s">
        <v>35</v>
      </c>
      <c r="J386" s="683" t="s">
        <v>2029</v>
      </c>
      <c r="K386" s="166" t="s">
        <v>27</v>
      </c>
      <c r="L386" s="96" t="s">
        <v>2021</v>
      </c>
      <c r="M386" s="422" t="s">
        <v>33</v>
      </c>
      <c r="N386" s="158" t="s">
        <v>10499</v>
      </c>
      <c r="O386" s="55" t="str">
        <f t="shared" si="7"/>
        <v>L02.02.03.02.03.00.02</v>
      </c>
      <c r="P386" s="169" t="str">
        <f t="shared" si="3"/>
        <v>Nhóm bán thêm AMIS nhân sự</v>
      </c>
      <c r="Q386" s="96"/>
      <c r="R386" s="96" t="s">
        <v>2030</v>
      </c>
      <c r="S386" s="96" t="s">
        <v>262</v>
      </c>
      <c r="T386" s="96" t="s">
        <v>275</v>
      </c>
      <c r="U386" s="96" t="s">
        <v>2029</v>
      </c>
      <c r="V386" s="96" t="s">
        <v>2021</v>
      </c>
      <c r="W386" s="96"/>
      <c r="X386" s="91"/>
      <c r="Y386" s="91"/>
      <c r="Z386" s="91"/>
      <c r="AA386" s="91"/>
      <c r="AB386" s="91"/>
    </row>
    <row r="387" ht="15.75" hidden="1" customHeight="1" outlineLevel="1">
      <c r="A387" s="51" t="s">
        <v>76</v>
      </c>
      <c r="B387" s="57" t="s">
        <v>77</v>
      </c>
      <c r="C387" s="51" t="s">
        <v>33</v>
      </c>
      <c r="D387" s="52" t="s">
        <v>89</v>
      </c>
      <c r="E387" s="53" t="s">
        <v>35</v>
      </c>
      <c r="F387" s="52" t="s">
        <v>149</v>
      </c>
      <c r="G387" s="62" t="s">
        <v>33</v>
      </c>
      <c r="H387" s="54" t="s">
        <v>154</v>
      </c>
      <c r="I387" s="62" t="s">
        <v>35</v>
      </c>
      <c r="J387" s="683" t="s">
        <v>2029</v>
      </c>
      <c r="K387" s="166" t="s">
        <v>27</v>
      </c>
      <c r="L387" s="96" t="s">
        <v>2060</v>
      </c>
      <c r="M387" s="422" t="s">
        <v>33</v>
      </c>
      <c r="N387" s="158" t="s">
        <v>10499</v>
      </c>
      <c r="O387" s="55" t="str">
        <f t="shared" si="7"/>
        <v>L02.02.03.02.03.00.02</v>
      </c>
      <c r="P387" s="169" t="str">
        <f t="shared" si="3"/>
        <v>Nhóm bán thêm AMIS điều hành</v>
      </c>
      <c r="Q387" s="96"/>
      <c r="R387" s="96" t="s">
        <v>8873</v>
      </c>
      <c r="S387" s="96" t="s">
        <v>262</v>
      </c>
      <c r="T387" s="96" t="s">
        <v>275</v>
      </c>
      <c r="U387" s="96" t="s">
        <v>2029</v>
      </c>
      <c r="V387" s="96" t="s">
        <v>2060</v>
      </c>
      <c r="W387" s="96"/>
      <c r="X387" s="91"/>
      <c r="Y387" s="91"/>
      <c r="Z387" s="91"/>
      <c r="AA387" s="91"/>
      <c r="AB387" s="91"/>
    </row>
    <row r="388" ht="15.75" hidden="1" customHeight="1" outlineLevel="1">
      <c r="A388" s="51" t="s">
        <v>76</v>
      </c>
      <c r="B388" s="57" t="s">
        <v>77</v>
      </c>
      <c r="C388" s="51" t="s">
        <v>33</v>
      </c>
      <c r="D388" s="52" t="s">
        <v>89</v>
      </c>
      <c r="E388" s="53" t="s">
        <v>35</v>
      </c>
      <c r="F388" s="52" t="s">
        <v>149</v>
      </c>
      <c r="G388" s="62" t="s">
        <v>33</v>
      </c>
      <c r="H388" s="54" t="s">
        <v>154</v>
      </c>
      <c r="I388" s="325" t="s">
        <v>37</v>
      </c>
      <c r="J388" s="683" t="s">
        <v>1986</v>
      </c>
      <c r="K388" s="166" t="s">
        <v>27</v>
      </c>
      <c r="L388" s="96"/>
      <c r="M388" s="422" t="s">
        <v>33</v>
      </c>
      <c r="N388" s="158" t="s">
        <v>10499</v>
      </c>
      <c r="O388" s="55" t="str">
        <f t="shared" si="7"/>
        <v>L02.02.03.02.04.00.02</v>
      </c>
      <c r="P388" s="169" t="str">
        <f t="shared" si="3"/>
        <v/>
      </c>
      <c r="Q388" s="96"/>
      <c r="R388" s="96" t="s">
        <v>8912</v>
      </c>
      <c r="S388" s="96" t="s">
        <v>262</v>
      </c>
      <c r="T388" s="96" t="s">
        <v>275</v>
      </c>
      <c r="U388" s="96" t="s">
        <v>1986</v>
      </c>
      <c r="V388" s="96" t="s">
        <v>11331</v>
      </c>
      <c r="W388" s="96"/>
      <c r="X388" s="91"/>
      <c r="Y388" s="91"/>
      <c r="Z388" s="91"/>
      <c r="AA388" s="91"/>
      <c r="AB388" s="91"/>
    </row>
    <row r="389" ht="15.75" hidden="1" customHeight="1" outlineLevel="1">
      <c r="A389" s="51" t="s">
        <v>76</v>
      </c>
      <c r="B389" s="57" t="s">
        <v>77</v>
      </c>
      <c r="C389" s="51" t="s">
        <v>33</v>
      </c>
      <c r="D389" s="52" t="s">
        <v>89</v>
      </c>
      <c r="E389" s="53" t="s">
        <v>35</v>
      </c>
      <c r="F389" s="52" t="s">
        <v>149</v>
      </c>
      <c r="G389" s="62" t="s">
        <v>33</v>
      </c>
      <c r="H389" s="54" t="s">
        <v>154</v>
      </c>
      <c r="I389" s="62" t="s">
        <v>35</v>
      </c>
      <c r="J389" s="683" t="s">
        <v>1986</v>
      </c>
      <c r="K389" s="166" t="s">
        <v>27</v>
      </c>
      <c r="L389" s="96" t="s">
        <v>1985</v>
      </c>
      <c r="M389" s="422" t="s">
        <v>33</v>
      </c>
      <c r="N389" s="158" t="s">
        <v>10499</v>
      </c>
      <c r="O389" s="55" t="str">
        <f t="shared" si="7"/>
        <v>L02.02.03.02.03.00.02</v>
      </c>
      <c r="P389" s="169" t="str">
        <f t="shared" si="3"/>
        <v>Nhóm Quản lý khách hàng</v>
      </c>
      <c r="Q389" s="96"/>
      <c r="R389" s="96" t="s">
        <v>1987</v>
      </c>
      <c r="S389" s="96" t="s">
        <v>262</v>
      </c>
      <c r="T389" s="96" t="s">
        <v>275</v>
      </c>
      <c r="U389" s="96" t="s">
        <v>1986</v>
      </c>
      <c r="V389" s="96" t="s">
        <v>1985</v>
      </c>
      <c r="W389" s="96"/>
      <c r="X389" s="91"/>
      <c r="Y389" s="91"/>
      <c r="Z389" s="91"/>
      <c r="AA389" s="91"/>
      <c r="AB389" s="91"/>
    </row>
    <row r="390" ht="15.75" hidden="1" customHeight="1" outlineLevel="1">
      <c r="A390" s="51" t="s">
        <v>76</v>
      </c>
      <c r="B390" s="57" t="s">
        <v>77</v>
      </c>
      <c r="C390" s="51" t="s">
        <v>33</v>
      </c>
      <c r="D390" s="52" t="s">
        <v>89</v>
      </c>
      <c r="E390" s="53" t="s">
        <v>35</v>
      </c>
      <c r="F390" s="52" t="s">
        <v>149</v>
      </c>
      <c r="G390" s="62" t="s">
        <v>33</v>
      </c>
      <c r="H390" s="54" t="s">
        <v>154</v>
      </c>
      <c r="I390" s="62" t="s">
        <v>35</v>
      </c>
      <c r="J390" s="683" t="s">
        <v>1986</v>
      </c>
      <c r="K390" s="166" t="s">
        <v>27</v>
      </c>
      <c r="L390" s="96" t="s">
        <v>2034</v>
      </c>
      <c r="M390" s="422" t="s">
        <v>33</v>
      </c>
      <c r="N390" s="158" t="s">
        <v>10499</v>
      </c>
      <c r="O390" s="55" t="str">
        <f t="shared" si="7"/>
        <v>L02.02.03.02.03.00.02</v>
      </c>
      <c r="P390" s="169" t="str">
        <f t="shared" si="3"/>
        <v>Nhóm bán thêm AMIS kế toán</v>
      </c>
      <c r="Q390" s="96"/>
      <c r="R390" s="96" t="s">
        <v>2035</v>
      </c>
      <c r="S390" s="96" t="s">
        <v>262</v>
      </c>
      <c r="T390" s="96" t="s">
        <v>275</v>
      </c>
      <c r="U390" s="96" t="s">
        <v>1986</v>
      </c>
      <c r="V390" s="96" t="s">
        <v>2034</v>
      </c>
      <c r="W390" s="96"/>
      <c r="X390" s="91"/>
      <c r="Y390" s="91"/>
      <c r="Z390" s="91"/>
      <c r="AA390" s="91"/>
      <c r="AB390" s="91"/>
    </row>
    <row r="391" ht="15.75" hidden="1" customHeight="1" outlineLevel="1">
      <c r="A391" s="51" t="s">
        <v>76</v>
      </c>
      <c r="B391" s="57" t="s">
        <v>77</v>
      </c>
      <c r="C391" s="51" t="s">
        <v>33</v>
      </c>
      <c r="D391" s="52" t="s">
        <v>89</v>
      </c>
      <c r="E391" s="53" t="s">
        <v>35</v>
      </c>
      <c r="F391" s="52" t="s">
        <v>149</v>
      </c>
      <c r="G391" s="62" t="s">
        <v>33</v>
      </c>
      <c r="H391" s="54" t="s">
        <v>154</v>
      </c>
      <c r="I391" s="62" t="s">
        <v>35</v>
      </c>
      <c r="J391" s="683" t="s">
        <v>1986</v>
      </c>
      <c r="K391" s="166" t="s">
        <v>27</v>
      </c>
      <c r="L391" s="96" t="s">
        <v>2051</v>
      </c>
      <c r="M391" s="422" t="s">
        <v>33</v>
      </c>
      <c r="N391" s="158" t="s">
        <v>10499</v>
      </c>
      <c r="O391" s="55" t="str">
        <f t="shared" si="7"/>
        <v>L02.02.03.02.03.00.02</v>
      </c>
      <c r="P391" s="169" t="str">
        <f t="shared" si="3"/>
        <v>Nhóm bán thêm AMIS bán hàng</v>
      </c>
      <c r="Q391" s="96"/>
      <c r="R391" s="96" t="s">
        <v>2052</v>
      </c>
      <c r="S391" s="96" t="s">
        <v>262</v>
      </c>
      <c r="T391" s="96" t="s">
        <v>275</v>
      </c>
      <c r="U391" s="96" t="s">
        <v>1986</v>
      </c>
      <c r="V391" s="96" t="s">
        <v>2051</v>
      </c>
      <c r="W391" s="96"/>
      <c r="X391" s="91"/>
      <c r="Y391" s="91"/>
      <c r="Z391" s="91"/>
      <c r="AA391" s="91"/>
      <c r="AB391" s="91"/>
    </row>
    <row r="392" ht="15.75" hidden="1" customHeight="1" outlineLevel="1">
      <c r="A392" s="51" t="s">
        <v>76</v>
      </c>
      <c r="B392" s="57" t="s">
        <v>77</v>
      </c>
      <c r="C392" s="51" t="s">
        <v>33</v>
      </c>
      <c r="D392" s="52" t="s">
        <v>89</v>
      </c>
      <c r="E392" s="53" t="s">
        <v>35</v>
      </c>
      <c r="F392" s="52" t="s">
        <v>149</v>
      </c>
      <c r="G392" s="62" t="s">
        <v>33</v>
      </c>
      <c r="H392" s="54" t="s">
        <v>154</v>
      </c>
      <c r="I392" s="62" t="s">
        <v>35</v>
      </c>
      <c r="J392" s="683" t="s">
        <v>1986</v>
      </c>
      <c r="K392" s="166" t="s">
        <v>27</v>
      </c>
      <c r="L392" s="96" t="s">
        <v>2021</v>
      </c>
      <c r="M392" s="422" t="s">
        <v>33</v>
      </c>
      <c r="N392" s="158" t="s">
        <v>10499</v>
      </c>
      <c r="O392" s="55" t="str">
        <f t="shared" si="7"/>
        <v>L02.02.03.02.03.00.02</v>
      </c>
      <c r="P392" s="169" t="str">
        <f t="shared" si="3"/>
        <v>Nhóm bán thêm AMIS nhân sự</v>
      </c>
      <c r="Q392" s="96"/>
      <c r="R392" s="96" t="s">
        <v>2022</v>
      </c>
      <c r="S392" s="96" t="s">
        <v>262</v>
      </c>
      <c r="T392" s="96" t="s">
        <v>275</v>
      </c>
      <c r="U392" s="96" t="s">
        <v>1986</v>
      </c>
      <c r="V392" s="96" t="s">
        <v>2021</v>
      </c>
      <c r="W392" s="96"/>
      <c r="X392" s="91"/>
      <c r="Y392" s="91"/>
      <c r="Z392" s="91"/>
      <c r="AA392" s="91"/>
      <c r="AB392" s="91"/>
    </row>
    <row r="393" ht="15.75" hidden="1" customHeight="1" outlineLevel="1">
      <c r="A393" s="51" t="s">
        <v>76</v>
      </c>
      <c r="B393" s="57" t="s">
        <v>77</v>
      </c>
      <c r="C393" s="51" t="s">
        <v>33</v>
      </c>
      <c r="D393" s="52" t="s">
        <v>89</v>
      </c>
      <c r="E393" s="53" t="s">
        <v>35</v>
      </c>
      <c r="F393" s="52" t="s">
        <v>149</v>
      </c>
      <c r="G393" s="62" t="s">
        <v>33</v>
      </c>
      <c r="H393" s="54" t="s">
        <v>154</v>
      </c>
      <c r="I393" s="62" t="s">
        <v>35</v>
      </c>
      <c r="J393" s="683" t="s">
        <v>1986</v>
      </c>
      <c r="K393" s="166" t="s">
        <v>27</v>
      </c>
      <c r="L393" s="96" t="s">
        <v>2060</v>
      </c>
      <c r="M393" s="422" t="s">
        <v>33</v>
      </c>
      <c r="N393" s="158" t="s">
        <v>10499</v>
      </c>
      <c r="O393" s="55" t="str">
        <f t="shared" si="7"/>
        <v>L02.02.03.02.03.00.02</v>
      </c>
      <c r="P393" s="169" t="str">
        <f t="shared" si="3"/>
        <v>Nhóm bán thêm AMIS điều hành</v>
      </c>
      <c r="Q393" s="96"/>
      <c r="R393" s="96" t="s">
        <v>2061</v>
      </c>
      <c r="S393" s="96" t="s">
        <v>262</v>
      </c>
      <c r="T393" s="96" t="s">
        <v>275</v>
      </c>
      <c r="U393" s="96" t="s">
        <v>1986</v>
      </c>
      <c r="V393" s="96" t="s">
        <v>2060</v>
      </c>
      <c r="W393" s="96"/>
      <c r="X393" s="91"/>
      <c r="Y393" s="91"/>
      <c r="Z393" s="91"/>
      <c r="AA393" s="91"/>
      <c r="AB393" s="91"/>
    </row>
    <row r="394" ht="15.75" hidden="1" customHeight="1" outlineLevel="1">
      <c r="A394" s="51" t="s">
        <v>76</v>
      </c>
      <c r="B394" s="57" t="s">
        <v>77</v>
      </c>
      <c r="C394" s="51" t="s">
        <v>33</v>
      </c>
      <c r="D394" s="52" t="s">
        <v>89</v>
      </c>
      <c r="E394" s="53" t="s">
        <v>35</v>
      </c>
      <c r="F394" s="52" t="s">
        <v>149</v>
      </c>
      <c r="G394" s="62" t="s">
        <v>33</v>
      </c>
      <c r="H394" s="54" t="s">
        <v>154</v>
      </c>
      <c r="I394" s="62" t="s">
        <v>37</v>
      </c>
      <c r="J394" s="159" t="s">
        <v>101</v>
      </c>
      <c r="K394" s="166" t="s">
        <v>27</v>
      </c>
      <c r="L394" s="155" t="s">
        <v>4</v>
      </c>
      <c r="M394" s="422" t="s">
        <v>33</v>
      </c>
      <c r="N394" s="158" t="s">
        <v>10499</v>
      </c>
      <c r="O394" s="55" t="str">
        <f t="shared" si="7"/>
        <v>L02.02.03.02.04.00.02</v>
      </c>
      <c r="P394" s="169" t="str">
        <f t="shared" si="3"/>
        <v>Phòng chuyển giao</v>
      </c>
      <c r="Q394" s="96"/>
      <c r="R394" s="96" t="s">
        <v>2080</v>
      </c>
      <c r="S394" s="96" t="s">
        <v>262</v>
      </c>
      <c r="T394" s="96" t="s">
        <v>275</v>
      </c>
      <c r="U394" s="96" t="s">
        <v>2079</v>
      </c>
      <c r="V394" s="96"/>
      <c r="W394" s="96"/>
      <c r="X394" s="91"/>
      <c r="Y394" s="91"/>
      <c r="Z394" s="91"/>
      <c r="AA394" s="91"/>
      <c r="AB394" s="91"/>
    </row>
    <row r="395" ht="15.75" hidden="1" customHeight="1" outlineLevel="1">
      <c r="A395" s="51" t="s">
        <v>76</v>
      </c>
      <c r="B395" s="57" t="s">
        <v>77</v>
      </c>
      <c r="C395" s="51" t="s">
        <v>33</v>
      </c>
      <c r="D395" s="52" t="s">
        <v>89</v>
      </c>
      <c r="E395" s="53" t="s">
        <v>35</v>
      </c>
      <c r="F395" s="52" t="s">
        <v>149</v>
      </c>
      <c r="G395" s="62" t="s">
        <v>33</v>
      </c>
      <c r="H395" s="54" t="s">
        <v>151</v>
      </c>
      <c r="I395" s="62" t="s">
        <v>29</v>
      </c>
      <c r="J395" s="159" t="s">
        <v>152</v>
      </c>
      <c r="K395" s="166" t="s">
        <v>27</v>
      </c>
      <c r="L395" s="155" t="s">
        <v>4</v>
      </c>
      <c r="M395" s="422" t="s">
        <v>35</v>
      </c>
      <c r="N395" s="158" t="s">
        <v>10500</v>
      </c>
      <c r="O395" s="55" t="str">
        <f t="shared" si="7"/>
        <v>L02.02.03.02.01.00.03</v>
      </c>
      <c r="P395" s="169" t="str">
        <f t="shared" si="3"/>
        <v>Nhóm KD GP DN Vừa</v>
      </c>
      <c r="Q395" s="96"/>
      <c r="R395" s="96" t="s">
        <v>2812</v>
      </c>
      <c r="S395" s="96" t="s">
        <v>2811</v>
      </c>
      <c r="T395" s="96" t="s">
        <v>2810</v>
      </c>
      <c r="U395" s="96"/>
      <c r="V395" s="96"/>
      <c r="W395" s="96"/>
      <c r="X395" s="91"/>
      <c r="Y395" s="91"/>
      <c r="Z395" s="91"/>
      <c r="AA395" s="91"/>
      <c r="AB395" s="91"/>
    </row>
    <row r="396" ht="15.75" hidden="1" customHeight="1" outlineLevel="1">
      <c r="A396" s="51" t="s">
        <v>76</v>
      </c>
      <c r="B396" s="57" t="s">
        <v>77</v>
      </c>
      <c r="C396" s="51" t="s">
        <v>33</v>
      </c>
      <c r="D396" s="52" t="s">
        <v>89</v>
      </c>
      <c r="E396" s="53" t="s">
        <v>35</v>
      </c>
      <c r="F396" s="52" t="s">
        <v>149</v>
      </c>
      <c r="G396" s="62" t="s">
        <v>33</v>
      </c>
      <c r="H396" s="54" t="s">
        <v>151</v>
      </c>
      <c r="I396" s="62" t="s">
        <v>33</v>
      </c>
      <c r="J396" s="159" t="s">
        <v>153</v>
      </c>
      <c r="K396" s="166" t="s">
        <v>27</v>
      </c>
      <c r="L396" s="155" t="s">
        <v>4</v>
      </c>
      <c r="M396" s="422" t="s">
        <v>35</v>
      </c>
      <c r="N396" s="158" t="s">
        <v>10500</v>
      </c>
      <c r="O396" s="55" t="str">
        <f t="shared" si="7"/>
        <v>L02.02.03.02.02.00.03</v>
      </c>
      <c r="P396" s="169" t="str">
        <f t="shared" si="3"/>
        <v>Nhóm chuyển giao</v>
      </c>
      <c r="Q396" s="96"/>
      <c r="R396" s="96"/>
      <c r="S396" s="96"/>
      <c r="T396" s="96"/>
      <c r="U396" s="96"/>
      <c r="V396" s="96"/>
      <c r="W396" s="96"/>
      <c r="X396" s="91"/>
      <c r="Y396" s="91"/>
      <c r="Z396" s="91"/>
      <c r="AA396" s="91"/>
      <c r="AB396" s="91"/>
    </row>
    <row r="397" ht="15.75" hidden="1" customHeight="1" outlineLevel="1">
      <c r="A397" s="51" t="s">
        <v>76</v>
      </c>
      <c r="B397" s="57" t="s">
        <v>77</v>
      </c>
      <c r="C397" s="51" t="s">
        <v>33</v>
      </c>
      <c r="D397" s="52" t="s">
        <v>89</v>
      </c>
      <c r="E397" s="53" t="s">
        <v>35</v>
      </c>
      <c r="F397" s="52" t="s">
        <v>149</v>
      </c>
      <c r="G397" s="62" t="s">
        <v>33</v>
      </c>
      <c r="H397" s="54" t="s">
        <v>151</v>
      </c>
      <c r="I397" s="62" t="s">
        <v>29</v>
      </c>
      <c r="J397" s="159" t="s">
        <v>152</v>
      </c>
      <c r="K397" s="166" t="s">
        <v>27</v>
      </c>
      <c r="L397" s="155" t="s">
        <v>4</v>
      </c>
      <c r="M397" s="422" t="s">
        <v>37</v>
      </c>
      <c r="N397" s="158" t="s">
        <v>10501</v>
      </c>
      <c r="O397" s="55" t="str">
        <f t="shared" si="7"/>
        <v>L02.02.03.02.01.00.04</v>
      </c>
      <c r="P397" s="169" t="str">
        <f t="shared" si="3"/>
        <v>Nhóm KD GP DN Vừa</v>
      </c>
      <c r="Q397" s="441"/>
      <c r="R397" s="441" t="s">
        <v>2964</v>
      </c>
      <c r="S397" s="441" t="s">
        <v>2732</v>
      </c>
      <c r="T397" s="441" t="s">
        <v>2810</v>
      </c>
      <c r="U397" s="441" t="s">
        <v>2810</v>
      </c>
      <c r="V397" s="96"/>
      <c r="W397" s="96"/>
      <c r="X397" s="91"/>
      <c r="Y397" s="91"/>
      <c r="Z397" s="91"/>
      <c r="AA397" s="91"/>
      <c r="AB397" s="91"/>
    </row>
    <row r="398" ht="15.75" hidden="1" customHeight="1" outlineLevel="1">
      <c r="A398" s="51" t="s">
        <v>76</v>
      </c>
      <c r="B398" s="57" t="s">
        <v>77</v>
      </c>
      <c r="C398" s="51" t="s">
        <v>33</v>
      </c>
      <c r="D398" s="52" t="s">
        <v>89</v>
      </c>
      <c r="E398" s="53" t="s">
        <v>35</v>
      </c>
      <c r="F398" s="52" t="s">
        <v>149</v>
      </c>
      <c r="G398" s="62" t="s">
        <v>33</v>
      </c>
      <c r="H398" s="54" t="s">
        <v>151</v>
      </c>
      <c r="I398" s="62" t="s">
        <v>33</v>
      </c>
      <c r="J398" s="159" t="s">
        <v>153</v>
      </c>
      <c r="K398" s="166" t="s">
        <v>27</v>
      </c>
      <c r="L398" s="155" t="s">
        <v>4</v>
      </c>
      <c r="M398" s="422" t="s">
        <v>37</v>
      </c>
      <c r="N398" s="158" t="s">
        <v>10501</v>
      </c>
      <c r="O398" s="55" t="str">
        <f t="shared" si="7"/>
        <v>L02.02.03.02.02.00.04</v>
      </c>
      <c r="P398" s="169" t="str">
        <f t="shared" si="3"/>
        <v>Nhóm chuyển giao</v>
      </c>
      <c r="Q398" s="96"/>
      <c r="R398" s="96"/>
      <c r="S398" s="96"/>
      <c r="T398" s="96"/>
      <c r="U398" s="96"/>
      <c r="V398" s="96"/>
      <c r="W398" s="96"/>
      <c r="X398" s="91"/>
      <c r="Y398" s="91"/>
      <c r="Z398" s="91"/>
      <c r="AA398" s="91"/>
      <c r="AB398" s="91"/>
    </row>
    <row r="399" ht="15.75" hidden="1" customHeight="1" outlineLevel="1">
      <c r="A399" s="51" t="s">
        <v>76</v>
      </c>
      <c r="B399" s="57" t="s">
        <v>77</v>
      </c>
      <c r="C399" s="51" t="s">
        <v>33</v>
      </c>
      <c r="D399" s="52" t="s">
        <v>89</v>
      </c>
      <c r="E399" s="53" t="s">
        <v>35</v>
      </c>
      <c r="F399" s="52" t="s">
        <v>149</v>
      </c>
      <c r="G399" s="62" t="s">
        <v>33</v>
      </c>
      <c r="H399" s="54" t="s">
        <v>151</v>
      </c>
      <c r="I399" s="62" t="s">
        <v>29</v>
      </c>
      <c r="J399" s="159" t="s">
        <v>152</v>
      </c>
      <c r="K399" s="166" t="s">
        <v>27</v>
      </c>
      <c r="L399" s="155" t="s">
        <v>4</v>
      </c>
      <c r="M399" s="422" t="s">
        <v>42</v>
      </c>
      <c r="N399" s="158" t="s">
        <v>10502</v>
      </c>
      <c r="O399" s="55" t="str">
        <f t="shared" si="7"/>
        <v>L02.02.03.02.01.00.05</v>
      </c>
      <c r="P399" s="169" t="str">
        <f t="shared" si="3"/>
        <v>Nhóm KD GP DN Vừa</v>
      </c>
      <c r="Q399" s="96"/>
      <c r="R399" s="96" t="s">
        <v>7631</v>
      </c>
      <c r="S399" s="96" t="s">
        <v>325</v>
      </c>
      <c r="T399" s="96" t="s">
        <v>2810</v>
      </c>
      <c r="U399" s="96"/>
      <c r="V399" s="96"/>
      <c r="W399" s="96"/>
      <c r="X399" s="91"/>
      <c r="Y399" s="91"/>
      <c r="Z399" s="91"/>
      <c r="AA399" s="91"/>
      <c r="AB399" s="91"/>
    </row>
    <row r="400" ht="15.75" hidden="1" customHeight="1" outlineLevel="1">
      <c r="A400" s="51" t="s">
        <v>76</v>
      </c>
      <c r="B400" s="57" t="s">
        <v>77</v>
      </c>
      <c r="C400" s="51" t="s">
        <v>33</v>
      </c>
      <c r="D400" s="52" t="s">
        <v>89</v>
      </c>
      <c r="E400" s="53" t="s">
        <v>35</v>
      </c>
      <c r="F400" s="52" t="s">
        <v>149</v>
      </c>
      <c r="G400" s="62" t="s">
        <v>33</v>
      </c>
      <c r="H400" s="54" t="s">
        <v>151</v>
      </c>
      <c r="I400" s="62" t="s">
        <v>33</v>
      </c>
      <c r="J400" s="159" t="s">
        <v>153</v>
      </c>
      <c r="K400" s="166" t="s">
        <v>27</v>
      </c>
      <c r="L400" s="155" t="s">
        <v>4</v>
      </c>
      <c r="M400" s="422" t="s">
        <v>42</v>
      </c>
      <c r="N400" s="158" t="s">
        <v>10502</v>
      </c>
      <c r="O400" s="55" t="str">
        <f t="shared" si="7"/>
        <v>L02.02.03.02.02.00.05</v>
      </c>
      <c r="P400" s="169" t="str">
        <f t="shared" si="3"/>
        <v>Nhóm chuyển giao</v>
      </c>
      <c r="Q400" s="96"/>
      <c r="R400" s="96"/>
      <c r="S400" s="96"/>
      <c r="T400" s="96"/>
      <c r="U400" s="96"/>
      <c r="V400" s="96"/>
      <c r="W400" s="96"/>
      <c r="X400" s="91"/>
      <c r="Y400" s="91"/>
      <c r="Z400" s="91"/>
      <c r="AA400" s="91"/>
      <c r="AB400" s="91"/>
    </row>
    <row r="401" ht="15.75" hidden="1" customHeight="1" outlineLevel="1">
      <c r="A401" s="51" t="s">
        <v>76</v>
      </c>
      <c r="B401" s="57" t="s">
        <v>77</v>
      </c>
      <c r="C401" s="51" t="s">
        <v>33</v>
      </c>
      <c r="D401" s="52" t="s">
        <v>89</v>
      </c>
      <c r="E401" s="53" t="s">
        <v>35</v>
      </c>
      <c r="F401" s="52" t="s">
        <v>149</v>
      </c>
      <c r="G401" s="62" t="s">
        <v>35</v>
      </c>
      <c r="H401" s="72" t="s">
        <v>161</v>
      </c>
      <c r="I401" s="71" t="s">
        <v>29</v>
      </c>
      <c r="J401" s="697" t="s">
        <v>162</v>
      </c>
      <c r="K401" s="166" t="s">
        <v>27</v>
      </c>
      <c r="L401" s="155" t="s">
        <v>4</v>
      </c>
      <c r="M401" s="422" t="s">
        <v>44</v>
      </c>
      <c r="N401" s="158" t="s">
        <v>10505</v>
      </c>
      <c r="O401" s="55" t="str">
        <f t="shared" si="7"/>
        <v>L02.02.03.03.01.00.06</v>
      </c>
      <c r="P401" s="698" t="str">
        <f t="shared" si="3"/>
        <v>Nhóm MKT sản phẩm bán hàng</v>
      </c>
      <c r="Q401" s="96"/>
      <c r="R401" s="96" t="s">
        <v>7686</v>
      </c>
      <c r="S401" s="96" t="s">
        <v>303</v>
      </c>
      <c r="T401" s="96" t="s">
        <v>335</v>
      </c>
      <c r="U401" s="96" t="s">
        <v>336</v>
      </c>
      <c r="V401" s="96" t="s">
        <v>7685</v>
      </c>
      <c r="W401" s="96"/>
      <c r="X401" s="91"/>
      <c r="Y401" s="91"/>
      <c r="Z401" s="91"/>
      <c r="AA401" s="91"/>
      <c r="AB401" s="91"/>
    </row>
    <row r="402" ht="15.75" hidden="1" customHeight="1" outlineLevel="1">
      <c r="A402" s="51" t="s">
        <v>76</v>
      </c>
      <c r="B402" s="57" t="s">
        <v>77</v>
      </c>
      <c r="C402" s="51" t="s">
        <v>33</v>
      </c>
      <c r="D402" s="52" t="s">
        <v>89</v>
      </c>
      <c r="E402" s="53" t="s">
        <v>35</v>
      </c>
      <c r="F402" s="52" t="s">
        <v>149</v>
      </c>
      <c r="G402" s="62" t="s">
        <v>35</v>
      </c>
      <c r="H402" s="72" t="s">
        <v>161</v>
      </c>
      <c r="I402" s="71" t="s">
        <v>33</v>
      </c>
      <c r="J402" s="697" t="s">
        <v>163</v>
      </c>
      <c r="K402" s="166" t="s">
        <v>27</v>
      </c>
      <c r="L402" s="155" t="s">
        <v>4</v>
      </c>
      <c r="M402" s="422" t="s">
        <v>44</v>
      </c>
      <c r="N402" s="158" t="s">
        <v>10505</v>
      </c>
      <c r="O402" s="55" t="str">
        <f t="shared" si="7"/>
        <v>L02.02.03.03.02.00.06</v>
      </c>
      <c r="P402" s="698" t="str">
        <f t="shared" si="3"/>
        <v>Nhóm MKT sản phẩm nhân sự</v>
      </c>
      <c r="Q402" s="96"/>
      <c r="R402" s="96" t="s">
        <v>9324</v>
      </c>
      <c r="S402" s="96" t="s">
        <v>303</v>
      </c>
      <c r="T402" s="96" t="s">
        <v>335</v>
      </c>
      <c r="U402" s="96" t="s">
        <v>336</v>
      </c>
      <c r="V402" s="96" t="s">
        <v>9323</v>
      </c>
      <c r="W402" s="96"/>
      <c r="X402" s="91"/>
      <c r="Y402" s="91"/>
      <c r="Z402" s="91"/>
      <c r="AA402" s="91"/>
      <c r="AB402" s="91"/>
    </row>
    <row r="403" ht="15.75" hidden="1" customHeight="1" outlineLevel="1">
      <c r="A403" s="51" t="s">
        <v>76</v>
      </c>
      <c r="B403" s="57" t="s">
        <v>77</v>
      </c>
      <c r="C403" s="51" t="s">
        <v>33</v>
      </c>
      <c r="D403" s="52" t="s">
        <v>89</v>
      </c>
      <c r="E403" s="53" t="s">
        <v>35</v>
      </c>
      <c r="F403" s="52" t="s">
        <v>149</v>
      </c>
      <c r="G403" s="62" t="s">
        <v>35</v>
      </c>
      <c r="H403" s="72" t="s">
        <v>161</v>
      </c>
      <c r="I403" s="71" t="s">
        <v>35</v>
      </c>
      <c r="J403" s="697" t="s">
        <v>164</v>
      </c>
      <c r="K403" s="166" t="s">
        <v>27</v>
      </c>
      <c r="L403" s="155" t="s">
        <v>4</v>
      </c>
      <c r="M403" s="422" t="s">
        <v>44</v>
      </c>
      <c r="N403" s="158" t="s">
        <v>10505</v>
      </c>
      <c r="O403" s="55" t="str">
        <f t="shared" si="7"/>
        <v>L02.02.03.03.03.00.06</v>
      </c>
      <c r="P403" s="698" t="str">
        <f t="shared" si="3"/>
        <v>Nhóm MKT sản phẩm VPS</v>
      </c>
      <c r="Q403" s="96"/>
      <c r="R403" s="96" t="s">
        <v>9181</v>
      </c>
      <c r="S403" s="96" t="s">
        <v>303</v>
      </c>
      <c r="T403" s="96" t="s">
        <v>335</v>
      </c>
      <c r="U403" s="96" t="s">
        <v>336</v>
      </c>
      <c r="V403" s="96" t="s">
        <v>9180</v>
      </c>
      <c r="W403" s="96"/>
      <c r="X403" s="91"/>
      <c r="Y403" s="91"/>
      <c r="Z403" s="91"/>
      <c r="AA403" s="91"/>
      <c r="AB403" s="91"/>
    </row>
    <row r="404" ht="15.75" hidden="1" customHeight="1" outlineLevel="1">
      <c r="A404" s="51" t="s">
        <v>76</v>
      </c>
      <c r="B404" s="57" t="s">
        <v>77</v>
      </c>
      <c r="C404" s="51" t="s">
        <v>33</v>
      </c>
      <c r="D404" s="52" t="s">
        <v>89</v>
      </c>
      <c r="E404" s="53" t="s">
        <v>35</v>
      </c>
      <c r="F404" s="52" t="s">
        <v>149</v>
      </c>
      <c r="G404" s="62" t="s">
        <v>35</v>
      </c>
      <c r="H404" s="72" t="s">
        <v>161</v>
      </c>
      <c r="I404" s="71" t="s">
        <v>37</v>
      </c>
      <c r="J404" s="697" t="s">
        <v>148</v>
      </c>
      <c r="K404" s="166" t="s">
        <v>27</v>
      </c>
      <c r="L404" s="155" t="s">
        <v>4</v>
      </c>
      <c r="M404" s="422" t="s">
        <v>44</v>
      </c>
      <c r="N404" s="158" t="s">
        <v>10505</v>
      </c>
      <c r="O404" s="55" t="str">
        <f t="shared" si="7"/>
        <v>L02.02.03.03.04.00.06</v>
      </c>
      <c r="P404" s="698" t="str">
        <f t="shared" si="3"/>
        <v>Nhóm MDR</v>
      </c>
      <c r="Q404" s="96"/>
      <c r="R404" s="96" t="s">
        <v>2532</v>
      </c>
      <c r="S404" s="96" t="s">
        <v>303</v>
      </c>
      <c r="T404" s="96" t="s">
        <v>335</v>
      </c>
      <c r="U404" s="96" t="s">
        <v>336</v>
      </c>
      <c r="V404" s="96" t="s">
        <v>148</v>
      </c>
      <c r="W404" s="96"/>
      <c r="X404" s="91"/>
      <c r="Y404" s="91"/>
      <c r="Z404" s="91"/>
      <c r="AA404" s="91"/>
      <c r="AB404" s="91"/>
    </row>
    <row r="405" ht="15.75" customHeight="1" collapsed="1">
      <c r="A405" s="65" t="s">
        <v>10508</v>
      </c>
      <c r="B405" s="66"/>
      <c r="C405" s="66"/>
      <c r="D405" s="66"/>
      <c r="E405" s="67"/>
      <c r="F405" s="66"/>
      <c r="G405" s="66"/>
      <c r="H405" s="68"/>
      <c r="I405" s="66"/>
      <c r="J405" s="382"/>
      <c r="K405" s="383"/>
      <c r="L405" s="384"/>
      <c r="M405" s="383"/>
      <c r="N405" s="384"/>
      <c r="O405" s="69"/>
      <c r="P405" s="169" t="str">
        <f t="shared" si="3"/>
        <v/>
      </c>
      <c r="Q405" s="96"/>
      <c r="R405" s="96"/>
      <c r="S405" s="96"/>
      <c r="T405" s="96"/>
      <c r="U405" s="96"/>
      <c r="V405" s="96"/>
      <c r="W405" s="96"/>
      <c r="X405" s="91"/>
      <c r="Y405" s="91"/>
      <c r="Z405" s="91"/>
      <c r="AA405" s="91"/>
      <c r="AB405" s="91"/>
    </row>
    <row r="406" ht="15.75" hidden="1" customHeight="1" outlineLevel="1">
      <c r="A406" s="51" t="s">
        <v>76</v>
      </c>
      <c r="B406" s="57" t="s">
        <v>77</v>
      </c>
      <c r="C406" s="51" t="s">
        <v>33</v>
      </c>
      <c r="D406" s="52" t="s">
        <v>89</v>
      </c>
      <c r="E406" s="53" t="s">
        <v>37</v>
      </c>
      <c r="F406" s="52" t="s">
        <v>165</v>
      </c>
      <c r="G406" s="62" t="s">
        <v>29</v>
      </c>
      <c r="H406" s="54" t="s">
        <v>166</v>
      </c>
      <c r="I406" s="53" t="s">
        <v>27</v>
      </c>
      <c r="J406" s="155" t="s">
        <v>4</v>
      </c>
      <c r="K406" s="166" t="s">
        <v>27</v>
      </c>
      <c r="L406" s="155" t="s">
        <v>4</v>
      </c>
      <c r="M406" s="422" t="s">
        <v>44</v>
      </c>
      <c r="N406" s="158" t="s">
        <v>10505</v>
      </c>
      <c r="O406" s="55" t="str">
        <f t="shared" ref="O406:O410" si="8">A406&amp;"."&amp;C406&amp;"."&amp;E406&amp;"."&amp;G406&amp;"."&amp;I406&amp;"."&amp;K406&amp;"."&amp;M406</f>
        <v>L02.02.04.01.00.00.06</v>
      </c>
      <c r="P406" s="169" t="str">
        <f t="shared" si="3"/>
        <v>Ban Giám đốc khối DN Lớn</v>
      </c>
      <c r="Q406" s="96"/>
      <c r="R406" s="96" t="s">
        <v>9787</v>
      </c>
      <c r="S406" s="96" t="s">
        <v>303</v>
      </c>
      <c r="T406" s="96" t="s">
        <v>3877</v>
      </c>
      <c r="U406" s="96" t="s">
        <v>9786</v>
      </c>
      <c r="V406" s="96"/>
      <c r="W406" s="96"/>
      <c r="X406" s="91"/>
      <c r="Y406" s="91"/>
      <c r="Z406" s="91"/>
      <c r="AA406" s="91"/>
      <c r="AB406" s="91"/>
    </row>
    <row r="407" ht="15.75" hidden="1" customHeight="1" outlineLevel="1">
      <c r="A407" s="51" t="s">
        <v>76</v>
      </c>
      <c r="B407" s="57" t="s">
        <v>77</v>
      </c>
      <c r="C407" s="51" t="s">
        <v>33</v>
      </c>
      <c r="D407" s="52" t="s">
        <v>89</v>
      </c>
      <c r="E407" s="53" t="s">
        <v>37</v>
      </c>
      <c r="F407" s="52" t="s">
        <v>165</v>
      </c>
      <c r="G407" s="62" t="s">
        <v>33</v>
      </c>
      <c r="H407" s="54" t="s">
        <v>167</v>
      </c>
      <c r="I407" s="53" t="s">
        <v>27</v>
      </c>
      <c r="J407" s="155" t="s">
        <v>4</v>
      </c>
      <c r="K407" s="166" t="s">
        <v>27</v>
      </c>
      <c r="L407" s="155" t="s">
        <v>4</v>
      </c>
      <c r="M407" s="422" t="s">
        <v>44</v>
      </c>
      <c r="N407" s="158" t="s">
        <v>10505</v>
      </c>
      <c r="O407" s="55" t="str">
        <f t="shared" si="8"/>
        <v>L02.02.04.02.00.00.06</v>
      </c>
      <c r="P407" s="169" t="str">
        <f t="shared" si="3"/>
        <v>Phòng KD GP DN lớn</v>
      </c>
      <c r="Q407" s="96"/>
      <c r="R407" s="96" t="s">
        <v>3878</v>
      </c>
      <c r="S407" s="96" t="s">
        <v>303</v>
      </c>
      <c r="T407" s="96" t="s">
        <v>3877</v>
      </c>
      <c r="U407" s="96" t="s">
        <v>167</v>
      </c>
      <c r="V407" s="96"/>
      <c r="W407" s="96"/>
      <c r="X407" s="91"/>
      <c r="Y407" s="91"/>
      <c r="Z407" s="91"/>
      <c r="AA407" s="91"/>
      <c r="AB407" s="91"/>
    </row>
    <row r="408" ht="15.75" hidden="1" customHeight="1" outlineLevel="1">
      <c r="A408" s="51" t="s">
        <v>76</v>
      </c>
      <c r="B408" s="57" t="s">
        <v>77</v>
      </c>
      <c r="C408" s="51" t="s">
        <v>33</v>
      </c>
      <c r="D408" s="52" t="s">
        <v>89</v>
      </c>
      <c r="E408" s="53" t="s">
        <v>37</v>
      </c>
      <c r="F408" s="52" t="s">
        <v>165</v>
      </c>
      <c r="G408" s="62" t="s">
        <v>33</v>
      </c>
      <c r="H408" s="54" t="s">
        <v>167</v>
      </c>
      <c r="I408" s="53" t="s">
        <v>27</v>
      </c>
      <c r="J408" s="155" t="s">
        <v>4</v>
      </c>
      <c r="K408" s="166" t="s">
        <v>27</v>
      </c>
      <c r="L408" s="155" t="s">
        <v>4</v>
      </c>
      <c r="M408" s="422" t="s">
        <v>33</v>
      </c>
      <c r="N408" s="158" t="s">
        <v>10499</v>
      </c>
      <c r="O408" s="55" t="str">
        <f t="shared" si="8"/>
        <v>L02.02.04.02.00.00.02</v>
      </c>
      <c r="P408" s="169" t="str">
        <f t="shared" si="3"/>
        <v>Phòng KD GP DN lớn</v>
      </c>
      <c r="Q408" s="96"/>
      <c r="R408" s="96" t="s">
        <v>3878</v>
      </c>
      <c r="S408" s="96" t="s">
        <v>303</v>
      </c>
      <c r="T408" s="96" t="s">
        <v>3877</v>
      </c>
      <c r="U408" s="96" t="s">
        <v>167</v>
      </c>
      <c r="V408" s="96"/>
      <c r="W408" s="96"/>
      <c r="X408" s="91"/>
      <c r="Y408" s="91"/>
      <c r="Z408" s="91"/>
      <c r="AA408" s="91"/>
      <c r="AB408" s="91"/>
    </row>
    <row r="409" ht="15.75" hidden="1" customHeight="1" outlineLevel="1">
      <c r="A409" s="51" t="s">
        <v>76</v>
      </c>
      <c r="B409" s="57" t="s">
        <v>77</v>
      </c>
      <c r="C409" s="51" t="s">
        <v>33</v>
      </c>
      <c r="D409" s="52" t="s">
        <v>89</v>
      </c>
      <c r="E409" s="53" t="s">
        <v>37</v>
      </c>
      <c r="F409" s="52" t="s">
        <v>165</v>
      </c>
      <c r="G409" s="62" t="s">
        <v>35</v>
      </c>
      <c r="H409" s="54" t="s">
        <v>168</v>
      </c>
      <c r="I409" s="53" t="s">
        <v>27</v>
      </c>
      <c r="J409" s="155" t="s">
        <v>4</v>
      </c>
      <c r="K409" s="166" t="s">
        <v>27</v>
      </c>
      <c r="L409" s="155" t="s">
        <v>4</v>
      </c>
      <c r="M409" s="422" t="s">
        <v>44</v>
      </c>
      <c r="N409" s="158" t="s">
        <v>10505</v>
      </c>
      <c r="O409" s="55" t="str">
        <f t="shared" si="8"/>
        <v>L02.02.04.03.00.00.06</v>
      </c>
      <c r="P409" s="169" t="str">
        <f t="shared" si="3"/>
        <v>Phòng Tư vấn giải pháp</v>
      </c>
      <c r="Q409" s="96"/>
      <c r="R409" s="96"/>
      <c r="S409" s="96"/>
      <c r="T409" s="96"/>
      <c r="U409" s="96"/>
      <c r="V409" s="96"/>
      <c r="W409" s="96"/>
      <c r="X409" s="91"/>
      <c r="Y409" s="91"/>
      <c r="Z409" s="91"/>
      <c r="AA409" s="91"/>
      <c r="AB409" s="91"/>
    </row>
    <row r="410" ht="15.75" hidden="1" customHeight="1" outlineLevel="1">
      <c r="A410" s="51" t="s">
        <v>76</v>
      </c>
      <c r="B410" s="57" t="s">
        <v>77</v>
      </c>
      <c r="C410" s="51" t="s">
        <v>33</v>
      </c>
      <c r="D410" s="52" t="s">
        <v>89</v>
      </c>
      <c r="E410" s="53" t="s">
        <v>37</v>
      </c>
      <c r="F410" s="52" t="s">
        <v>165</v>
      </c>
      <c r="G410" s="62" t="s">
        <v>37</v>
      </c>
      <c r="H410" s="54" t="s">
        <v>169</v>
      </c>
      <c r="I410" s="53" t="s">
        <v>27</v>
      </c>
      <c r="J410" s="155" t="s">
        <v>4</v>
      </c>
      <c r="K410" s="166" t="s">
        <v>27</v>
      </c>
      <c r="L410" s="155" t="s">
        <v>4</v>
      </c>
      <c r="M410" s="422" t="s">
        <v>44</v>
      </c>
      <c r="N410" s="158" t="s">
        <v>10505</v>
      </c>
      <c r="O410" s="55" t="str">
        <f t="shared" si="8"/>
        <v>L02.02.04.04.00.00.06</v>
      </c>
      <c r="P410" s="169" t="str">
        <f t="shared" si="3"/>
        <v>Phòng triển khai</v>
      </c>
      <c r="Q410" s="96"/>
      <c r="R410" s="96"/>
      <c r="S410" s="96"/>
      <c r="T410" s="96"/>
      <c r="U410" s="96"/>
      <c r="V410" s="96"/>
      <c r="W410" s="96"/>
      <c r="X410" s="91"/>
      <c r="Y410" s="91"/>
      <c r="Z410" s="91"/>
      <c r="AA410" s="91"/>
      <c r="AB410" s="91"/>
    </row>
    <row r="411" ht="15.75" customHeight="1" collapsed="1">
      <c r="A411" s="65" t="s">
        <v>10509</v>
      </c>
      <c r="B411" s="66"/>
      <c r="C411" s="66"/>
      <c r="D411" s="66"/>
      <c r="E411" s="67"/>
      <c r="F411" s="66"/>
      <c r="G411" s="66"/>
      <c r="H411" s="68"/>
      <c r="I411" s="66"/>
      <c r="J411" s="382"/>
      <c r="K411" s="383"/>
      <c r="L411" s="384"/>
      <c r="M411" s="383"/>
      <c r="N411" s="384"/>
      <c r="O411" s="69"/>
      <c r="P411" s="169" t="str">
        <f t="shared" si="3"/>
        <v/>
      </c>
      <c r="Q411" s="96"/>
      <c r="R411" s="96"/>
      <c r="S411" s="96"/>
      <c r="T411" s="96"/>
      <c r="U411" s="96"/>
      <c r="V411" s="96"/>
      <c r="W411" s="96"/>
      <c r="X411" s="91"/>
      <c r="Y411" s="91"/>
      <c r="Z411" s="91"/>
      <c r="AA411" s="91"/>
      <c r="AB411" s="91"/>
    </row>
    <row r="412" ht="15.75" hidden="1" customHeight="1" outlineLevel="1">
      <c r="A412" s="51" t="s">
        <v>76</v>
      </c>
      <c r="B412" s="57" t="s">
        <v>77</v>
      </c>
      <c r="C412" s="51" t="s">
        <v>33</v>
      </c>
      <c r="D412" s="52" t="s">
        <v>89</v>
      </c>
      <c r="E412" s="53" t="s">
        <v>42</v>
      </c>
      <c r="F412" s="52" t="s">
        <v>170</v>
      </c>
      <c r="G412" s="62" t="s">
        <v>29</v>
      </c>
      <c r="H412" s="54" t="s">
        <v>171</v>
      </c>
      <c r="I412" s="53" t="s">
        <v>27</v>
      </c>
      <c r="J412" s="155" t="s">
        <v>4</v>
      </c>
      <c r="K412" s="166" t="s">
        <v>27</v>
      </c>
      <c r="L412" s="155" t="s">
        <v>4</v>
      </c>
      <c r="M412" s="422" t="s">
        <v>44</v>
      </c>
      <c r="N412" s="158" t="s">
        <v>10505</v>
      </c>
      <c r="O412" s="55" t="str">
        <f t="shared" ref="O412:O421" si="9">A412&amp;"."&amp;C412&amp;"."&amp;E412&amp;"."&amp;G412&amp;"."&amp;I412&amp;"."&amp;K412&amp;"."&amp;M412</f>
        <v>L02.02.05.01.00.00.06</v>
      </c>
      <c r="P412" s="169" t="str">
        <f t="shared" si="3"/>
        <v>Ban Giám đốc khối KTDV</v>
      </c>
      <c r="Q412" s="96"/>
      <c r="R412" s="96"/>
      <c r="S412" s="96"/>
      <c r="T412" s="96"/>
      <c r="U412" s="96"/>
      <c r="V412" s="96"/>
      <c r="W412" s="96"/>
      <c r="X412" s="91"/>
      <c r="Y412" s="91"/>
      <c r="Z412" s="91"/>
      <c r="AA412" s="91"/>
      <c r="AB412" s="91"/>
    </row>
    <row r="413" ht="15.75" hidden="1" customHeight="1" outlineLevel="1">
      <c r="A413" s="51" t="s">
        <v>76</v>
      </c>
      <c r="B413" s="57" t="s">
        <v>77</v>
      </c>
      <c r="C413" s="51" t="s">
        <v>33</v>
      </c>
      <c r="D413" s="52" t="s">
        <v>89</v>
      </c>
      <c r="E413" s="53" t="s">
        <v>42</v>
      </c>
      <c r="F413" s="52" t="s">
        <v>170</v>
      </c>
      <c r="G413" s="62" t="s">
        <v>33</v>
      </c>
      <c r="H413" s="699" t="s">
        <v>172</v>
      </c>
      <c r="I413" s="53" t="s">
        <v>27</v>
      </c>
      <c r="J413" s="155" t="s">
        <v>4</v>
      </c>
      <c r="K413" s="166" t="s">
        <v>27</v>
      </c>
      <c r="L413" s="155" t="s">
        <v>4</v>
      </c>
      <c r="M413" s="422" t="s">
        <v>44</v>
      </c>
      <c r="N413" s="158" t="s">
        <v>10505</v>
      </c>
      <c r="O413" s="55" t="str">
        <f t="shared" si="9"/>
        <v>L02.02.05.02.00.00.06</v>
      </c>
      <c r="P413" s="169" t="str">
        <f t="shared" si="3"/>
        <v>Phòng phát triển đối tác MISA ASP</v>
      </c>
      <c r="Q413" s="96"/>
      <c r="R413" s="96"/>
      <c r="S413" s="96"/>
      <c r="T413" s="96"/>
      <c r="U413" s="96"/>
      <c r="V413" s="96"/>
      <c r="W413" s="96"/>
      <c r="X413" s="91"/>
      <c r="Y413" s="91"/>
      <c r="Z413" s="91"/>
      <c r="AA413" s="91"/>
      <c r="AB413" s="91"/>
    </row>
    <row r="414" ht="15.75" hidden="1" customHeight="1" outlineLevel="1">
      <c r="A414" s="51" t="s">
        <v>76</v>
      </c>
      <c r="B414" s="57" t="s">
        <v>77</v>
      </c>
      <c r="C414" s="51" t="s">
        <v>33</v>
      </c>
      <c r="D414" s="52" t="s">
        <v>89</v>
      </c>
      <c r="E414" s="53" t="s">
        <v>42</v>
      </c>
      <c r="F414" s="52" t="s">
        <v>170</v>
      </c>
      <c r="G414" s="62" t="s">
        <v>33</v>
      </c>
      <c r="H414" s="699" t="s">
        <v>172</v>
      </c>
      <c r="I414" s="53" t="s">
        <v>27</v>
      </c>
      <c r="J414" s="155" t="s">
        <v>4</v>
      </c>
      <c r="K414" s="166" t="s">
        <v>27</v>
      </c>
      <c r="L414" s="155" t="s">
        <v>4</v>
      </c>
      <c r="M414" s="422" t="s">
        <v>33</v>
      </c>
      <c r="N414" s="158" t="s">
        <v>10499</v>
      </c>
      <c r="O414" s="55" t="str">
        <f t="shared" si="9"/>
        <v>L02.02.05.02.00.00.02</v>
      </c>
      <c r="P414" s="169" t="str">
        <f t="shared" si="3"/>
        <v>Phòng phát triển đối tác MISA ASP</v>
      </c>
      <c r="Q414" s="96"/>
      <c r="R414" s="96"/>
      <c r="S414" s="96"/>
      <c r="T414" s="96"/>
      <c r="U414" s="96"/>
      <c r="V414" s="96"/>
      <c r="W414" s="96"/>
      <c r="X414" s="91"/>
      <c r="Y414" s="91"/>
      <c r="Z414" s="91"/>
      <c r="AA414" s="91"/>
      <c r="AB414" s="91"/>
    </row>
    <row r="415" ht="15.75" hidden="1" customHeight="1" outlineLevel="1">
      <c r="A415" s="51" t="s">
        <v>76</v>
      </c>
      <c r="B415" s="57" t="s">
        <v>77</v>
      </c>
      <c r="C415" s="51" t="s">
        <v>33</v>
      </c>
      <c r="D415" s="52" t="s">
        <v>89</v>
      </c>
      <c r="E415" s="53" t="s">
        <v>42</v>
      </c>
      <c r="F415" s="52" t="s">
        <v>170</v>
      </c>
      <c r="G415" s="62" t="s">
        <v>35</v>
      </c>
      <c r="H415" s="699" t="s">
        <v>173</v>
      </c>
      <c r="I415" s="53" t="s">
        <v>27</v>
      </c>
      <c r="J415" s="155" t="s">
        <v>4</v>
      </c>
      <c r="K415" s="166" t="s">
        <v>27</v>
      </c>
      <c r="L415" s="155" t="s">
        <v>4</v>
      </c>
      <c r="M415" s="422" t="s">
        <v>44</v>
      </c>
      <c r="N415" s="158" t="s">
        <v>10505</v>
      </c>
      <c r="O415" s="55" t="str">
        <f t="shared" si="9"/>
        <v>L02.02.05.03.00.00.06</v>
      </c>
      <c r="P415" s="169" t="str">
        <f t="shared" si="3"/>
        <v>Phòng chăm sóc đối tác MISA ASP</v>
      </c>
      <c r="Q415" s="96"/>
      <c r="R415" s="96"/>
      <c r="S415" s="96"/>
      <c r="T415" s="96"/>
      <c r="U415" s="96"/>
      <c r="V415" s="96"/>
      <c r="W415" s="96"/>
      <c r="X415" s="91"/>
      <c r="Y415" s="91"/>
      <c r="Z415" s="91"/>
      <c r="AA415" s="91"/>
      <c r="AB415" s="91"/>
    </row>
    <row r="416" ht="15.75" hidden="1" customHeight="1" outlineLevel="1">
      <c r="A416" s="51" t="s">
        <v>76</v>
      </c>
      <c r="B416" s="57" t="s">
        <v>77</v>
      </c>
      <c r="C416" s="51" t="s">
        <v>33</v>
      </c>
      <c r="D416" s="52" t="s">
        <v>89</v>
      </c>
      <c r="E416" s="53" t="s">
        <v>42</v>
      </c>
      <c r="F416" s="52" t="s">
        <v>170</v>
      </c>
      <c r="G416" s="62" t="s">
        <v>37</v>
      </c>
      <c r="H416" s="54" t="s">
        <v>174</v>
      </c>
      <c r="I416" s="53" t="s">
        <v>27</v>
      </c>
      <c r="J416" s="155" t="s">
        <v>4</v>
      </c>
      <c r="K416" s="166" t="s">
        <v>27</v>
      </c>
      <c r="L416" s="155" t="s">
        <v>4</v>
      </c>
      <c r="M416" s="422" t="s">
        <v>29</v>
      </c>
      <c r="N416" s="158" t="s">
        <v>10498</v>
      </c>
      <c r="O416" s="55" t="str">
        <f t="shared" si="9"/>
        <v>L02.02.05.04.00.00.01</v>
      </c>
      <c r="P416" s="169" t="str">
        <f t="shared" si="3"/>
        <v>Phòng phát triển đối tác GPKT HKD</v>
      </c>
      <c r="Q416" s="683"/>
      <c r="R416" s="683" t="s">
        <v>890</v>
      </c>
      <c r="S416" s="683" t="s">
        <v>346</v>
      </c>
      <c r="T416" s="683" t="s">
        <v>93</v>
      </c>
      <c r="U416" s="96" t="s">
        <v>889</v>
      </c>
      <c r="V416" s="96"/>
      <c r="W416" s="96"/>
      <c r="X416" s="91"/>
      <c r="Y416" s="91"/>
      <c r="Z416" s="91"/>
      <c r="AA416" s="91"/>
      <c r="AB416" s="91"/>
    </row>
    <row r="417" ht="15.75" hidden="1" customHeight="1" outlineLevel="1">
      <c r="A417" s="51" t="s">
        <v>76</v>
      </c>
      <c r="B417" s="57" t="s">
        <v>77</v>
      </c>
      <c r="C417" s="51" t="s">
        <v>33</v>
      </c>
      <c r="D417" s="52" t="s">
        <v>89</v>
      </c>
      <c r="E417" s="53" t="s">
        <v>42</v>
      </c>
      <c r="F417" s="52" t="s">
        <v>170</v>
      </c>
      <c r="G417" s="62" t="s">
        <v>37</v>
      </c>
      <c r="H417" s="54" t="s">
        <v>174</v>
      </c>
      <c r="I417" s="53" t="s">
        <v>27</v>
      </c>
      <c r="J417" s="155" t="s">
        <v>4</v>
      </c>
      <c r="K417" s="166" t="s">
        <v>27</v>
      </c>
      <c r="L417" s="155" t="s">
        <v>4</v>
      </c>
      <c r="M417" s="422" t="s">
        <v>33</v>
      </c>
      <c r="N417" s="158" t="s">
        <v>10499</v>
      </c>
      <c r="O417" s="55" t="str">
        <f t="shared" si="9"/>
        <v>L02.02.05.04.00.00.02</v>
      </c>
      <c r="P417" s="169" t="str">
        <f t="shared" si="3"/>
        <v>Phòng phát triển đối tác GPKT HKD</v>
      </c>
      <c r="Q417" s="683"/>
      <c r="R417" s="683" t="s">
        <v>1937</v>
      </c>
      <c r="S417" s="683" t="s">
        <v>262</v>
      </c>
      <c r="T417" s="683" t="s">
        <v>93</v>
      </c>
      <c r="U417" s="96" t="s">
        <v>889</v>
      </c>
      <c r="V417" s="96"/>
      <c r="W417" s="96"/>
      <c r="X417" s="91"/>
      <c r="Y417" s="91"/>
      <c r="Z417" s="91"/>
      <c r="AA417" s="91"/>
      <c r="AB417" s="91"/>
    </row>
    <row r="418" ht="15.75" hidden="1" customHeight="1" outlineLevel="1">
      <c r="A418" s="51" t="s">
        <v>76</v>
      </c>
      <c r="B418" s="57" t="s">
        <v>77</v>
      </c>
      <c r="C418" s="51" t="s">
        <v>33</v>
      </c>
      <c r="D418" s="52" t="s">
        <v>89</v>
      </c>
      <c r="E418" s="53" t="s">
        <v>42</v>
      </c>
      <c r="F418" s="52" t="s">
        <v>170</v>
      </c>
      <c r="G418" s="62" t="s">
        <v>37</v>
      </c>
      <c r="H418" s="54" t="s">
        <v>174</v>
      </c>
      <c r="I418" s="53" t="s">
        <v>27</v>
      </c>
      <c r="J418" s="155" t="s">
        <v>4</v>
      </c>
      <c r="K418" s="166" t="s">
        <v>27</v>
      </c>
      <c r="L418" s="155" t="s">
        <v>4</v>
      </c>
      <c r="M418" s="155" t="s">
        <v>35</v>
      </c>
      <c r="N418" s="158" t="s">
        <v>10500</v>
      </c>
      <c r="O418" s="55" t="str">
        <f t="shared" si="9"/>
        <v>L02.02.05.04.00.00.03</v>
      </c>
      <c r="P418" s="169" t="str">
        <f t="shared" si="3"/>
        <v>Phòng phát triển đối tác GPKT HKD</v>
      </c>
      <c r="Q418" s="683"/>
      <c r="R418" s="683" t="s">
        <v>7678</v>
      </c>
      <c r="S418" s="683" t="s">
        <v>2811</v>
      </c>
      <c r="T418" s="683" t="s">
        <v>2909</v>
      </c>
      <c r="U418" s="96" t="s">
        <v>2760</v>
      </c>
      <c r="V418" s="96"/>
      <c r="W418" s="96"/>
      <c r="X418" s="91"/>
      <c r="Y418" s="91"/>
      <c r="Z418" s="91"/>
      <c r="AA418" s="91"/>
      <c r="AB418" s="91"/>
    </row>
    <row r="419" ht="15.75" hidden="1" customHeight="1" outlineLevel="1">
      <c r="A419" s="51" t="s">
        <v>76</v>
      </c>
      <c r="B419" s="57" t="s">
        <v>77</v>
      </c>
      <c r="C419" s="51" t="s">
        <v>33</v>
      </c>
      <c r="D419" s="52" t="s">
        <v>89</v>
      </c>
      <c r="E419" s="53" t="s">
        <v>42</v>
      </c>
      <c r="F419" s="52" t="s">
        <v>170</v>
      </c>
      <c r="G419" s="62" t="s">
        <v>37</v>
      </c>
      <c r="H419" s="54" t="s">
        <v>174</v>
      </c>
      <c r="I419" s="53" t="s">
        <v>27</v>
      </c>
      <c r="J419" s="155" t="s">
        <v>4</v>
      </c>
      <c r="K419" s="166" t="s">
        <v>27</v>
      </c>
      <c r="L419" s="155" t="s">
        <v>4</v>
      </c>
      <c r="M419" s="155" t="s">
        <v>37</v>
      </c>
      <c r="N419" s="158" t="s">
        <v>10501</v>
      </c>
      <c r="O419" s="55" t="str">
        <f t="shared" si="9"/>
        <v>L02.02.05.04.00.00.04</v>
      </c>
      <c r="P419" s="169" t="str">
        <f t="shared" si="3"/>
        <v>Phòng phát triển đối tác GPKT HKD</v>
      </c>
      <c r="Q419" s="683"/>
      <c r="R419" s="683" t="s">
        <v>7444</v>
      </c>
      <c r="S419" s="683" t="s">
        <v>2732</v>
      </c>
      <c r="T419" s="683" t="s">
        <v>2761</v>
      </c>
      <c r="U419" s="96" t="s">
        <v>2760</v>
      </c>
      <c r="V419" s="96"/>
      <c r="W419" s="96"/>
      <c r="X419" s="91"/>
      <c r="Y419" s="91"/>
      <c r="Z419" s="91"/>
      <c r="AA419" s="91"/>
      <c r="AB419" s="91"/>
    </row>
    <row r="420" ht="15.75" hidden="1" customHeight="1" outlineLevel="1">
      <c r="A420" s="51" t="s">
        <v>76</v>
      </c>
      <c r="B420" s="57" t="s">
        <v>77</v>
      </c>
      <c r="C420" s="51" t="s">
        <v>33</v>
      </c>
      <c r="D420" s="52" t="s">
        <v>89</v>
      </c>
      <c r="E420" s="53" t="s">
        <v>42</v>
      </c>
      <c r="F420" s="52" t="s">
        <v>170</v>
      </c>
      <c r="G420" s="62" t="s">
        <v>42</v>
      </c>
      <c r="H420" s="54" t="s">
        <v>101</v>
      </c>
      <c r="I420" s="53" t="s">
        <v>27</v>
      </c>
      <c r="J420" s="155" t="s">
        <v>4</v>
      </c>
      <c r="K420" s="166" t="s">
        <v>27</v>
      </c>
      <c r="L420" s="155" t="s">
        <v>4</v>
      </c>
      <c r="M420" s="422" t="s">
        <v>44</v>
      </c>
      <c r="N420" s="158" t="s">
        <v>10505</v>
      </c>
      <c r="O420" s="55" t="str">
        <f t="shared" si="9"/>
        <v>L02.02.05.05.00.00.06</v>
      </c>
      <c r="P420" s="169" t="str">
        <f t="shared" si="3"/>
        <v>Phòng chuyển giao</v>
      </c>
      <c r="Q420" s="96"/>
      <c r="R420" s="96"/>
      <c r="S420" s="96"/>
      <c r="T420" s="96"/>
      <c r="U420" s="96"/>
      <c r="V420" s="96"/>
      <c r="W420" s="96"/>
      <c r="X420" s="91"/>
      <c r="Y420" s="91"/>
      <c r="Z420" s="91"/>
      <c r="AA420" s="91"/>
      <c r="AB420" s="91"/>
    </row>
    <row r="421" ht="15.75" hidden="1" customHeight="1" outlineLevel="1">
      <c r="A421" s="51" t="s">
        <v>76</v>
      </c>
      <c r="B421" s="57" t="s">
        <v>77</v>
      </c>
      <c r="C421" s="51" t="s">
        <v>33</v>
      </c>
      <c r="D421" s="52" t="s">
        <v>89</v>
      </c>
      <c r="E421" s="53" t="s">
        <v>42</v>
      </c>
      <c r="F421" s="52" t="s">
        <v>170</v>
      </c>
      <c r="G421" s="62" t="s">
        <v>44</v>
      </c>
      <c r="H421" s="54" t="s">
        <v>175</v>
      </c>
      <c r="I421" s="53" t="s">
        <v>27</v>
      </c>
      <c r="J421" s="155" t="s">
        <v>4</v>
      </c>
      <c r="K421" s="166" t="s">
        <v>27</v>
      </c>
      <c r="L421" s="155" t="s">
        <v>4</v>
      </c>
      <c r="M421" s="422" t="s">
        <v>44</v>
      </c>
      <c r="N421" s="158" t="s">
        <v>10505</v>
      </c>
      <c r="O421" s="55" t="str">
        <f t="shared" si="9"/>
        <v>L02.02.05.06.00.00.06</v>
      </c>
      <c r="P421" s="169" t="str">
        <f t="shared" si="3"/>
        <v>Nhóm Marketing</v>
      </c>
      <c r="Q421" s="96"/>
      <c r="R421" s="96"/>
      <c r="S421" s="96"/>
      <c r="T421" s="96"/>
      <c r="U421" s="96"/>
      <c r="V421" s="96"/>
      <c r="W421" s="96"/>
      <c r="X421" s="91"/>
      <c r="Y421" s="91"/>
      <c r="Z421" s="91"/>
      <c r="AA421" s="91"/>
      <c r="AB421" s="91"/>
    </row>
    <row r="422" ht="15.75" customHeight="1" collapsed="1">
      <c r="A422" s="65" t="s">
        <v>10510</v>
      </c>
      <c r="B422" s="66"/>
      <c r="C422" s="66"/>
      <c r="D422" s="66"/>
      <c r="E422" s="67"/>
      <c r="F422" s="66"/>
      <c r="G422" s="66"/>
      <c r="H422" s="68"/>
      <c r="I422" s="66"/>
      <c r="J422" s="382"/>
      <c r="K422" s="383"/>
      <c r="L422" s="384"/>
      <c r="M422" s="383"/>
      <c r="N422" s="384"/>
      <c r="O422" s="69"/>
      <c r="P422" s="169" t="str">
        <f t="shared" si="3"/>
        <v/>
      </c>
      <c r="Q422" s="96"/>
      <c r="R422" s="96"/>
      <c r="S422" s="96"/>
      <c r="T422" s="96"/>
      <c r="U422" s="96"/>
      <c r="V422" s="96"/>
      <c r="W422" s="96"/>
      <c r="X422" s="91"/>
      <c r="Y422" s="91"/>
      <c r="Z422" s="91"/>
      <c r="AA422" s="91"/>
      <c r="AB422" s="91"/>
    </row>
    <row r="423" ht="15.75" hidden="1" customHeight="1" outlineLevel="1">
      <c r="A423" s="51" t="s">
        <v>76</v>
      </c>
      <c r="B423" s="57" t="s">
        <v>77</v>
      </c>
      <c r="C423" s="51" t="s">
        <v>33</v>
      </c>
      <c r="D423" s="52" t="s">
        <v>89</v>
      </c>
      <c r="E423" s="53" t="s">
        <v>44</v>
      </c>
      <c r="F423" s="52" t="s">
        <v>176</v>
      </c>
      <c r="G423" s="62" t="s">
        <v>29</v>
      </c>
      <c r="H423" s="54" t="s">
        <v>177</v>
      </c>
      <c r="I423" s="53" t="s">
        <v>27</v>
      </c>
      <c r="J423" s="155" t="s">
        <v>4</v>
      </c>
      <c r="K423" s="166" t="s">
        <v>27</v>
      </c>
      <c r="L423" s="155" t="s">
        <v>4</v>
      </c>
      <c r="M423" s="422" t="s">
        <v>46</v>
      </c>
      <c r="N423" s="158" t="s">
        <v>10496</v>
      </c>
      <c r="O423" s="55" t="str">
        <f t="shared" ref="O423:O426" si="10">A423&amp;"."&amp;C423&amp;"."&amp;E423&amp;"."&amp;G423&amp;"."&amp;I423&amp;"."&amp;K423&amp;"."&amp;M423</f>
        <v>L02.02.06.01.00.00.07</v>
      </c>
      <c r="P423" s="169" t="str">
        <f t="shared" si="3"/>
        <v>Ban Giám đốc khối GD Tư thục</v>
      </c>
      <c r="Q423" s="96"/>
      <c r="R423" s="96" t="s">
        <v>2972</v>
      </c>
      <c r="S423" s="96" t="s">
        <v>303</v>
      </c>
      <c r="T423" s="96" t="s">
        <v>2971</v>
      </c>
      <c r="U423" s="96"/>
      <c r="V423" s="96"/>
      <c r="W423" s="96"/>
      <c r="X423" s="91"/>
      <c r="Y423" s="91"/>
      <c r="Z423" s="91"/>
      <c r="AA423" s="91"/>
      <c r="AB423" s="91"/>
    </row>
    <row r="424" ht="15.75" hidden="1" customHeight="1" outlineLevel="1">
      <c r="A424" s="51" t="s">
        <v>76</v>
      </c>
      <c r="B424" s="57" t="s">
        <v>77</v>
      </c>
      <c r="C424" s="51" t="s">
        <v>33</v>
      </c>
      <c r="D424" s="52" t="s">
        <v>89</v>
      </c>
      <c r="E424" s="53" t="s">
        <v>44</v>
      </c>
      <c r="F424" s="52" t="s">
        <v>176</v>
      </c>
      <c r="G424" s="62" t="s">
        <v>33</v>
      </c>
      <c r="H424" s="54" t="s">
        <v>178</v>
      </c>
      <c r="I424" s="53" t="s">
        <v>27</v>
      </c>
      <c r="J424" s="155" t="s">
        <v>4</v>
      </c>
      <c r="K424" s="166" t="s">
        <v>27</v>
      </c>
      <c r="L424" s="155" t="s">
        <v>4</v>
      </c>
      <c r="M424" s="422" t="s">
        <v>46</v>
      </c>
      <c r="N424" s="158" t="s">
        <v>10496</v>
      </c>
      <c r="O424" s="55" t="str">
        <f t="shared" si="10"/>
        <v>L02.02.06.02.00.00.07</v>
      </c>
      <c r="P424" s="169" t="str">
        <f t="shared" si="3"/>
        <v>Phòng phát triển đối tác</v>
      </c>
      <c r="Q424" s="96"/>
      <c r="R424" s="96"/>
      <c r="S424" s="96"/>
      <c r="T424" s="96"/>
      <c r="U424" s="96"/>
      <c r="V424" s="96"/>
      <c r="W424" s="96"/>
      <c r="X424" s="91"/>
      <c r="Y424" s="91"/>
      <c r="Z424" s="91"/>
      <c r="AA424" s="91"/>
      <c r="AB424" s="91"/>
    </row>
    <row r="425" ht="15.75" hidden="1" customHeight="1" outlineLevel="1">
      <c r="A425" s="51" t="s">
        <v>76</v>
      </c>
      <c r="B425" s="57" t="s">
        <v>77</v>
      </c>
      <c r="C425" s="51" t="s">
        <v>33</v>
      </c>
      <c r="D425" s="52" t="s">
        <v>89</v>
      </c>
      <c r="E425" s="53" t="s">
        <v>44</v>
      </c>
      <c r="F425" s="52" t="s">
        <v>176</v>
      </c>
      <c r="G425" s="62" t="s">
        <v>33</v>
      </c>
      <c r="H425" s="54" t="s">
        <v>178</v>
      </c>
      <c r="I425" s="53" t="s">
        <v>27</v>
      </c>
      <c r="J425" s="155" t="s">
        <v>4</v>
      </c>
      <c r="K425" s="166" t="s">
        <v>27</v>
      </c>
      <c r="L425" s="155" t="s">
        <v>4</v>
      </c>
      <c r="M425" s="422" t="s">
        <v>33</v>
      </c>
      <c r="N425" s="158" t="s">
        <v>10499</v>
      </c>
      <c r="O425" s="55" t="str">
        <f t="shared" si="10"/>
        <v>L02.02.06.02.00.00.02</v>
      </c>
      <c r="P425" s="169" t="str">
        <f t="shared" si="3"/>
        <v>Phòng phát triển đối tác</v>
      </c>
      <c r="Q425" s="96"/>
      <c r="R425" s="96"/>
      <c r="S425" s="96"/>
      <c r="T425" s="96"/>
      <c r="U425" s="96"/>
      <c r="V425" s="96"/>
      <c r="W425" s="96"/>
      <c r="X425" s="91"/>
      <c r="Y425" s="91"/>
      <c r="Z425" s="91"/>
      <c r="AA425" s="91"/>
      <c r="AB425" s="91"/>
    </row>
    <row r="426" ht="15.75" hidden="1" customHeight="1" outlineLevel="1">
      <c r="A426" s="51" t="s">
        <v>76</v>
      </c>
      <c r="B426" s="57" t="s">
        <v>77</v>
      </c>
      <c r="C426" s="51" t="s">
        <v>33</v>
      </c>
      <c r="D426" s="52" t="s">
        <v>89</v>
      </c>
      <c r="E426" s="53" t="s">
        <v>44</v>
      </c>
      <c r="F426" s="52" t="s">
        <v>176</v>
      </c>
      <c r="G426" s="62" t="s">
        <v>35</v>
      </c>
      <c r="H426" s="54" t="s">
        <v>175</v>
      </c>
      <c r="I426" s="53" t="s">
        <v>27</v>
      </c>
      <c r="J426" s="155" t="s">
        <v>4</v>
      </c>
      <c r="K426" s="166" t="s">
        <v>27</v>
      </c>
      <c r="L426" s="155" t="s">
        <v>4</v>
      </c>
      <c r="M426" s="422" t="s">
        <v>46</v>
      </c>
      <c r="N426" s="158" t="s">
        <v>10496</v>
      </c>
      <c r="O426" s="55" t="str">
        <f t="shared" si="10"/>
        <v>L02.02.06.03.00.00.07</v>
      </c>
      <c r="P426" s="169" t="str">
        <f t="shared" si="3"/>
        <v>Nhóm Marketing</v>
      </c>
      <c r="Q426" s="96"/>
      <c r="R426" s="96"/>
      <c r="S426" s="96"/>
      <c r="T426" s="96"/>
      <c r="U426" s="96"/>
      <c r="V426" s="96"/>
      <c r="W426" s="96"/>
      <c r="X426" s="91"/>
      <c r="Y426" s="91"/>
      <c r="Z426" s="91"/>
      <c r="AA426" s="91"/>
      <c r="AB426" s="91"/>
    </row>
    <row r="427" ht="15.75" customHeight="1" collapsed="1">
      <c r="A427" s="50" t="s">
        <v>10511</v>
      </c>
      <c r="B427" s="47"/>
      <c r="C427" s="47"/>
      <c r="D427" s="47"/>
      <c r="E427" s="47"/>
      <c r="F427" s="47"/>
      <c r="G427" s="48"/>
      <c r="H427" s="49"/>
      <c r="I427" s="48"/>
      <c r="J427" s="439"/>
      <c r="K427" s="439"/>
      <c r="L427" s="439"/>
      <c r="M427" s="439"/>
      <c r="N427" s="440"/>
      <c r="O427" s="48"/>
      <c r="P427" s="169" t="str">
        <f t="shared" si="3"/>
        <v/>
      </c>
      <c r="Q427" s="96"/>
      <c r="R427" s="96"/>
      <c r="S427" s="96"/>
      <c r="T427" s="96"/>
      <c r="U427" s="96"/>
      <c r="V427" s="96"/>
      <c r="W427" s="96"/>
      <c r="X427" s="91"/>
      <c r="Y427" s="91"/>
      <c r="Z427" s="91"/>
      <c r="AA427" s="91"/>
      <c r="AB427" s="91"/>
    </row>
    <row r="428" ht="15.75" hidden="1" customHeight="1" outlineLevel="1">
      <c r="A428" s="51" t="s">
        <v>76</v>
      </c>
      <c r="B428" s="57" t="s">
        <v>77</v>
      </c>
      <c r="C428" s="52" t="s">
        <v>35</v>
      </c>
      <c r="D428" s="52" t="s">
        <v>179</v>
      </c>
      <c r="E428" s="53" t="s">
        <v>27</v>
      </c>
      <c r="F428" s="52" t="s">
        <v>4</v>
      </c>
      <c r="G428" s="62" t="s">
        <v>29</v>
      </c>
      <c r="H428" s="54" t="s">
        <v>180</v>
      </c>
      <c r="I428" s="53" t="s">
        <v>27</v>
      </c>
      <c r="J428" s="155" t="s">
        <v>4</v>
      </c>
      <c r="K428" s="166" t="s">
        <v>27</v>
      </c>
      <c r="L428" s="155" t="s">
        <v>4</v>
      </c>
      <c r="M428" s="422" t="s">
        <v>33</v>
      </c>
      <c r="N428" s="158" t="s">
        <v>10499</v>
      </c>
      <c r="O428" s="55" t="str">
        <f t="shared" ref="O428:O431" si="11">A428&amp;"."&amp;C428&amp;"."&amp;E428&amp;"."&amp;G428&amp;"."&amp;I428&amp;"."&amp;K428&amp;"."&amp;M428</f>
        <v>L02.03.00.01.00.00.02</v>
      </c>
      <c r="P428" s="169" t="str">
        <f t="shared" si="3"/>
        <v>Ban Giám đốc khối thị trường toàn cầu</v>
      </c>
      <c r="Q428" s="96"/>
      <c r="R428" s="96"/>
      <c r="S428" s="96"/>
      <c r="T428" s="96"/>
      <c r="U428" s="96"/>
      <c r="V428" s="96"/>
      <c r="W428" s="96"/>
      <c r="X428" s="91"/>
      <c r="Y428" s="91"/>
      <c r="Z428" s="91"/>
      <c r="AA428" s="91"/>
      <c r="AB428" s="91"/>
    </row>
    <row r="429" ht="15.75" hidden="1" customHeight="1" outlineLevel="1">
      <c r="A429" s="51" t="s">
        <v>76</v>
      </c>
      <c r="B429" s="57" t="s">
        <v>77</v>
      </c>
      <c r="C429" s="52" t="s">
        <v>35</v>
      </c>
      <c r="D429" s="52" t="s">
        <v>179</v>
      </c>
      <c r="E429" s="53" t="s">
        <v>27</v>
      </c>
      <c r="F429" s="52" t="s">
        <v>4</v>
      </c>
      <c r="G429" s="62" t="s">
        <v>33</v>
      </c>
      <c r="H429" s="60" t="s">
        <v>181</v>
      </c>
      <c r="I429" s="53" t="s">
        <v>27</v>
      </c>
      <c r="J429" s="155" t="s">
        <v>4</v>
      </c>
      <c r="K429" s="166" t="s">
        <v>27</v>
      </c>
      <c r="L429" s="155" t="s">
        <v>4</v>
      </c>
      <c r="M429" s="422" t="s">
        <v>33</v>
      </c>
      <c r="N429" s="158" t="s">
        <v>10499</v>
      </c>
      <c r="O429" s="55" t="str">
        <f t="shared" si="11"/>
        <v>L02.03.00.02.00.00.02</v>
      </c>
      <c r="P429" s="169" t="str">
        <f t="shared" si="3"/>
        <v>Phòng phát triển đối tác PDR</v>
      </c>
      <c r="Q429" s="441"/>
      <c r="R429" s="441" t="s">
        <v>4387</v>
      </c>
      <c r="S429" s="441" t="s">
        <v>303</v>
      </c>
      <c r="T429" s="441" t="s">
        <v>4386</v>
      </c>
      <c r="U429" s="441" t="s">
        <v>4386</v>
      </c>
      <c r="V429" s="96"/>
      <c r="W429" s="96"/>
      <c r="X429" s="91"/>
      <c r="Y429" s="91"/>
      <c r="Z429" s="91"/>
      <c r="AA429" s="91"/>
      <c r="AB429" s="91"/>
    </row>
    <row r="430" ht="15.75" hidden="1" customHeight="1" outlineLevel="1">
      <c r="A430" s="51" t="s">
        <v>76</v>
      </c>
      <c r="B430" s="57" t="s">
        <v>77</v>
      </c>
      <c r="C430" s="52" t="s">
        <v>35</v>
      </c>
      <c r="D430" s="52" t="s">
        <v>179</v>
      </c>
      <c r="E430" s="53" t="s">
        <v>27</v>
      </c>
      <c r="F430" s="52" t="s">
        <v>4</v>
      </c>
      <c r="G430" s="62" t="s">
        <v>35</v>
      </c>
      <c r="H430" s="60" t="s">
        <v>182</v>
      </c>
      <c r="I430" s="53" t="s">
        <v>27</v>
      </c>
      <c r="J430" s="155" t="s">
        <v>4</v>
      </c>
      <c r="K430" s="166" t="s">
        <v>27</v>
      </c>
      <c r="L430" s="155" t="s">
        <v>4</v>
      </c>
      <c r="M430" s="422" t="s">
        <v>33</v>
      </c>
      <c r="N430" s="158" t="s">
        <v>10499</v>
      </c>
      <c r="O430" s="55" t="str">
        <f t="shared" si="11"/>
        <v>L02.03.00.03.00.00.02</v>
      </c>
      <c r="P430" s="169" t="str">
        <f t="shared" si="3"/>
        <v>Phòng triển khai ONB</v>
      </c>
      <c r="Q430" s="96"/>
      <c r="R430" s="96"/>
      <c r="S430" s="96"/>
      <c r="T430" s="96"/>
      <c r="U430" s="96"/>
      <c r="V430" s="96"/>
      <c r="W430" s="96"/>
      <c r="X430" s="91"/>
      <c r="Y430" s="91"/>
      <c r="Z430" s="91"/>
      <c r="AA430" s="91"/>
      <c r="AB430" s="91"/>
    </row>
    <row r="431" ht="15.75" hidden="1" customHeight="1" outlineLevel="1">
      <c r="A431" s="51" t="s">
        <v>76</v>
      </c>
      <c r="B431" s="57" t="s">
        <v>77</v>
      </c>
      <c r="C431" s="52" t="s">
        <v>35</v>
      </c>
      <c r="D431" s="52" t="s">
        <v>179</v>
      </c>
      <c r="E431" s="53" t="s">
        <v>27</v>
      </c>
      <c r="F431" s="52" t="s">
        <v>4</v>
      </c>
      <c r="G431" s="62" t="s">
        <v>37</v>
      </c>
      <c r="H431" s="60" t="s">
        <v>183</v>
      </c>
      <c r="I431" s="53" t="s">
        <v>27</v>
      </c>
      <c r="J431" s="155" t="s">
        <v>4</v>
      </c>
      <c r="K431" s="166" t="s">
        <v>27</v>
      </c>
      <c r="L431" s="155" t="s">
        <v>4</v>
      </c>
      <c r="M431" s="422" t="s">
        <v>33</v>
      </c>
      <c r="N431" s="158" t="s">
        <v>10499</v>
      </c>
      <c r="O431" s="55" t="str">
        <f t="shared" si="11"/>
        <v>L02.03.00.04.00.00.02</v>
      </c>
      <c r="P431" s="169" t="str">
        <f t="shared" si="3"/>
        <v>Nhóm Marketing Support</v>
      </c>
      <c r="Q431" s="96"/>
      <c r="R431" s="96"/>
      <c r="S431" s="96"/>
      <c r="T431" s="96"/>
      <c r="U431" s="96"/>
      <c r="V431" s="96"/>
      <c r="W431" s="96"/>
      <c r="X431" s="91"/>
      <c r="Y431" s="91"/>
      <c r="Z431" s="91"/>
      <c r="AA431" s="91"/>
      <c r="AB431" s="91"/>
    </row>
    <row r="432" ht="15.75" customHeight="1" collapsed="1">
      <c r="A432" s="50" t="s">
        <v>10512</v>
      </c>
      <c r="B432" s="47"/>
      <c r="C432" s="47"/>
      <c r="D432" s="47"/>
      <c r="E432" s="47"/>
      <c r="F432" s="47"/>
      <c r="G432" s="48"/>
      <c r="H432" s="49"/>
      <c r="I432" s="48"/>
      <c r="J432" s="439"/>
      <c r="K432" s="439"/>
      <c r="L432" s="439"/>
      <c r="M432" s="439"/>
      <c r="N432" s="440"/>
      <c r="O432" s="48"/>
      <c r="P432" s="169" t="str">
        <f t="shared" si="3"/>
        <v/>
      </c>
      <c r="Q432" s="96"/>
      <c r="R432" s="96"/>
      <c r="S432" s="96"/>
      <c r="T432" s="96"/>
      <c r="U432" s="96"/>
      <c r="V432" s="96"/>
      <c r="W432" s="96"/>
      <c r="X432" s="91"/>
      <c r="Y432" s="91"/>
      <c r="Z432" s="91"/>
      <c r="AA432" s="91"/>
      <c r="AB432" s="91"/>
    </row>
    <row r="433" ht="15.75" hidden="1" customHeight="1" outlineLevel="1">
      <c r="A433" s="51" t="s">
        <v>76</v>
      </c>
      <c r="B433" s="57" t="s">
        <v>77</v>
      </c>
      <c r="C433" s="52" t="s">
        <v>37</v>
      </c>
      <c r="D433" s="52" t="s">
        <v>184</v>
      </c>
      <c r="E433" s="53" t="s">
        <v>27</v>
      </c>
      <c r="F433" s="52" t="s">
        <v>4</v>
      </c>
      <c r="G433" s="62" t="s">
        <v>29</v>
      </c>
      <c r="H433" s="54" t="s">
        <v>185</v>
      </c>
      <c r="I433" s="53" t="s">
        <v>27</v>
      </c>
      <c r="J433" s="155" t="s">
        <v>4</v>
      </c>
      <c r="K433" s="166" t="s">
        <v>27</v>
      </c>
      <c r="L433" s="155" t="s">
        <v>4</v>
      </c>
      <c r="M433" s="422" t="s">
        <v>46</v>
      </c>
      <c r="N433" s="158" t="s">
        <v>10496</v>
      </c>
      <c r="O433" s="55" t="str">
        <f t="shared" ref="O433:O434" si="12">A433&amp;"."&amp;C433&amp;"."&amp;E433&amp;"."&amp;G433&amp;"."&amp;I433&amp;"."&amp;K433&amp;"."&amp;M433</f>
        <v>L02.04.00.01.00.00.07</v>
      </c>
      <c r="P433" s="169" t="str">
        <f t="shared" si="3"/>
        <v>Ban Giám đốc khối thị trường KH cá nhân</v>
      </c>
      <c r="Q433" s="96"/>
      <c r="R433" s="96" t="s">
        <v>9508</v>
      </c>
      <c r="S433" s="96" t="s">
        <v>303</v>
      </c>
      <c r="T433" s="96" t="s">
        <v>9507</v>
      </c>
      <c r="U433" s="96"/>
      <c r="V433" s="96"/>
      <c r="W433" s="96"/>
      <c r="X433" s="91"/>
      <c r="Y433" s="91"/>
      <c r="Z433" s="91"/>
      <c r="AA433" s="91"/>
      <c r="AB433" s="91"/>
    </row>
    <row r="434" ht="15.75" hidden="1" customHeight="1" outlineLevel="1">
      <c r="A434" s="51" t="s">
        <v>76</v>
      </c>
      <c r="B434" s="57" t="s">
        <v>77</v>
      </c>
      <c r="C434" s="52" t="s">
        <v>37</v>
      </c>
      <c r="D434" s="52" t="s">
        <v>184</v>
      </c>
      <c r="E434" s="53" t="s">
        <v>27</v>
      </c>
      <c r="F434" s="52" t="s">
        <v>4</v>
      </c>
      <c r="G434" s="62" t="s">
        <v>33</v>
      </c>
      <c r="H434" s="60" t="s">
        <v>186</v>
      </c>
      <c r="I434" s="53" t="s">
        <v>27</v>
      </c>
      <c r="J434" s="155" t="s">
        <v>4</v>
      </c>
      <c r="K434" s="166" t="s">
        <v>27</v>
      </c>
      <c r="L434" s="155" t="s">
        <v>4</v>
      </c>
      <c r="M434" s="422" t="s">
        <v>46</v>
      </c>
      <c r="N434" s="158" t="s">
        <v>10496</v>
      </c>
      <c r="O434" s="55" t="str">
        <f t="shared" si="12"/>
        <v>L02.04.00.02.00.00.07</v>
      </c>
      <c r="P434" s="169" t="str">
        <f t="shared" si="3"/>
        <v>Phòng kinh doanh</v>
      </c>
      <c r="Q434" s="96"/>
      <c r="R434" s="96"/>
      <c r="S434" s="96"/>
      <c r="T434" s="96"/>
      <c r="U434" s="96"/>
      <c r="V434" s="96"/>
      <c r="W434" s="96"/>
      <c r="X434" s="91"/>
      <c r="Y434" s="91"/>
      <c r="Z434" s="91"/>
      <c r="AA434" s="91"/>
      <c r="AB434" s="91"/>
    </row>
    <row r="435" ht="15.75" customHeight="1" collapsed="1">
      <c r="A435" s="50" t="s">
        <v>10513</v>
      </c>
      <c r="B435" s="47"/>
      <c r="C435" s="47"/>
      <c r="D435" s="47"/>
      <c r="E435" s="47"/>
      <c r="F435" s="47"/>
      <c r="G435" s="48"/>
      <c r="H435" s="49"/>
      <c r="I435" s="48"/>
      <c r="J435" s="439"/>
      <c r="K435" s="439"/>
      <c r="L435" s="439"/>
      <c r="M435" s="439"/>
      <c r="N435" s="440"/>
      <c r="O435" s="48"/>
      <c r="P435" s="169" t="str">
        <f t="shared" si="3"/>
        <v/>
      </c>
      <c r="Q435" s="96"/>
      <c r="R435" s="96"/>
      <c r="S435" s="96"/>
      <c r="T435" s="96"/>
      <c r="U435" s="96"/>
      <c r="V435" s="96"/>
      <c r="W435" s="96"/>
      <c r="X435" s="91"/>
      <c r="Y435" s="91"/>
      <c r="Z435" s="91"/>
      <c r="AA435" s="91"/>
      <c r="AB435" s="91"/>
    </row>
    <row r="436" ht="15.75" hidden="1" customHeight="1" outlineLevel="1">
      <c r="A436" s="51" t="s">
        <v>188</v>
      </c>
      <c r="B436" s="57" t="s">
        <v>189</v>
      </c>
      <c r="C436" s="51" t="s">
        <v>27</v>
      </c>
      <c r="D436" s="52" t="s">
        <v>4</v>
      </c>
      <c r="E436" s="53" t="s">
        <v>27</v>
      </c>
      <c r="F436" s="52" t="s">
        <v>4</v>
      </c>
      <c r="G436" s="62" t="s">
        <v>29</v>
      </c>
      <c r="H436" s="54" t="s">
        <v>190</v>
      </c>
      <c r="I436" s="53" t="s">
        <v>27</v>
      </c>
      <c r="J436" s="155" t="s">
        <v>4</v>
      </c>
      <c r="K436" s="166" t="s">
        <v>27</v>
      </c>
      <c r="L436" s="155" t="s">
        <v>4</v>
      </c>
      <c r="M436" s="422" t="s">
        <v>49</v>
      </c>
      <c r="N436" s="158" t="s">
        <v>10514</v>
      </c>
      <c r="O436" s="55" t="str">
        <f t="shared" ref="O436:O460" si="13">A436&amp;"."&amp;C436&amp;"."&amp;E436&amp;"."&amp;G436&amp;"."&amp;I436&amp;"."&amp;K436&amp;"."&amp;M436</f>
        <v>L03.00.00.01.00.00.08</v>
      </c>
      <c r="P436" s="169" t="str">
        <f t="shared" si="3"/>
        <v>Ban Giám đốc Khối HT &amp; CSKH</v>
      </c>
      <c r="Q436" s="441"/>
      <c r="R436" s="441" t="s">
        <v>9986</v>
      </c>
      <c r="S436" s="441" t="s">
        <v>576</v>
      </c>
      <c r="T436" s="441" t="s">
        <v>9985</v>
      </c>
      <c r="U436" s="441" t="s">
        <v>9985</v>
      </c>
      <c r="V436" s="96"/>
      <c r="W436" s="96"/>
      <c r="X436" s="91"/>
      <c r="Y436" s="91"/>
      <c r="Z436" s="91"/>
      <c r="AA436" s="91"/>
      <c r="AB436" s="91"/>
    </row>
    <row r="437" ht="15.75" hidden="1" customHeight="1" outlineLevel="1">
      <c r="A437" s="51" t="s">
        <v>188</v>
      </c>
      <c r="B437" s="57" t="s">
        <v>189</v>
      </c>
      <c r="C437" s="51" t="s">
        <v>27</v>
      </c>
      <c r="D437" s="52" t="s">
        <v>4</v>
      </c>
      <c r="E437" s="53" t="s">
        <v>27</v>
      </c>
      <c r="F437" s="52" t="s">
        <v>4</v>
      </c>
      <c r="G437" s="62" t="s">
        <v>33</v>
      </c>
      <c r="H437" s="54" t="s">
        <v>34</v>
      </c>
      <c r="I437" s="53" t="s">
        <v>27</v>
      </c>
      <c r="J437" s="155" t="s">
        <v>4</v>
      </c>
      <c r="K437" s="166" t="s">
        <v>27</v>
      </c>
      <c r="L437" s="155" t="s">
        <v>4</v>
      </c>
      <c r="M437" s="422" t="s">
        <v>49</v>
      </c>
      <c r="N437" s="158" t="s">
        <v>10514</v>
      </c>
      <c r="O437" s="55" t="str">
        <f t="shared" si="13"/>
        <v>L03.00.00.02.00.00.08</v>
      </c>
      <c r="P437" s="169" t="str">
        <f t="shared" si="3"/>
        <v>Phòng HCTH</v>
      </c>
      <c r="Q437" s="96"/>
      <c r="R437" s="96" t="s">
        <v>7335</v>
      </c>
      <c r="S437" s="96" t="s">
        <v>576</v>
      </c>
      <c r="T437" s="96" t="s">
        <v>2463</v>
      </c>
      <c r="U437" s="96"/>
      <c r="V437" s="96"/>
      <c r="W437" s="96"/>
      <c r="X437" s="91"/>
      <c r="Y437" s="91"/>
      <c r="Z437" s="91"/>
      <c r="AA437" s="91"/>
      <c r="AB437" s="91"/>
    </row>
    <row r="438" ht="15.75" hidden="1" customHeight="1" outlineLevel="1">
      <c r="A438" s="51" t="s">
        <v>188</v>
      </c>
      <c r="B438" s="57" t="s">
        <v>189</v>
      </c>
      <c r="C438" s="51" t="s">
        <v>27</v>
      </c>
      <c r="D438" s="52" t="s">
        <v>4</v>
      </c>
      <c r="E438" s="53" t="s">
        <v>27</v>
      </c>
      <c r="F438" s="52" t="s">
        <v>4</v>
      </c>
      <c r="G438" s="62" t="s">
        <v>33</v>
      </c>
      <c r="H438" s="54" t="s">
        <v>34</v>
      </c>
      <c r="I438" s="53" t="s">
        <v>27</v>
      </c>
      <c r="J438" s="155" t="s">
        <v>4</v>
      </c>
      <c r="K438" s="166" t="s">
        <v>27</v>
      </c>
      <c r="L438" s="155" t="s">
        <v>4</v>
      </c>
      <c r="M438" s="422" t="s">
        <v>51</v>
      </c>
      <c r="N438" s="158" t="s">
        <v>10515</v>
      </c>
      <c r="O438" s="55" t="str">
        <f t="shared" si="13"/>
        <v>L03.00.00.02.00.00.09</v>
      </c>
      <c r="P438" s="169" t="str">
        <f t="shared" si="3"/>
        <v>Phòng HCTH</v>
      </c>
      <c r="Q438" s="96"/>
      <c r="R438" s="96" t="s">
        <v>7335</v>
      </c>
      <c r="S438" s="96" t="s">
        <v>576</v>
      </c>
      <c r="T438" s="96" t="s">
        <v>2463</v>
      </c>
      <c r="U438" s="96"/>
      <c r="V438" s="96"/>
      <c r="W438" s="96"/>
      <c r="X438" s="91"/>
      <c r="Y438" s="91"/>
      <c r="Z438" s="91"/>
      <c r="AA438" s="91"/>
      <c r="AB438" s="91"/>
    </row>
    <row r="439" ht="15.75" hidden="1" customHeight="1" outlineLevel="1">
      <c r="A439" s="51" t="s">
        <v>188</v>
      </c>
      <c r="B439" s="57" t="s">
        <v>189</v>
      </c>
      <c r="C439" s="51" t="s">
        <v>27</v>
      </c>
      <c r="D439" s="52" t="s">
        <v>4</v>
      </c>
      <c r="E439" s="53" t="s">
        <v>27</v>
      </c>
      <c r="F439" s="52" t="s">
        <v>4</v>
      </c>
      <c r="G439" s="62" t="s">
        <v>35</v>
      </c>
      <c r="H439" s="699" t="s">
        <v>191</v>
      </c>
      <c r="I439" s="53" t="s">
        <v>27</v>
      </c>
      <c r="J439" s="155" t="s">
        <v>4</v>
      </c>
      <c r="K439" s="166" t="s">
        <v>27</v>
      </c>
      <c r="L439" s="155" t="s">
        <v>4</v>
      </c>
      <c r="M439" s="422" t="s">
        <v>49</v>
      </c>
      <c r="N439" s="158" t="s">
        <v>10514</v>
      </c>
      <c r="O439" s="55" t="str">
        <f t="shared" si="13"/>
        <v>L03.00.00.03.00.00.08</v>
      </c>
      <c r="P439" s="169" t="str">
        <f t="shared" si="3"/>
        <v>Phòng hỗ trợ giải pháp TCKT DN</v>
      </c>
      <c r="Q439" s="96"/>
      <c r="R439" s="96"/>
      <c r="S439" s="96"/>
      <c r="T439" s="96"/>
      <c r="U439" s="96"/>
      <c r="V439" s="96"/>
      <c r="W439" s="227" t="s">
        <v>191</v>
      </c>
      <c r="X439" s="91"/>
      <c r="Y439" s="91"/>
      <c r="Z439" s="91"/>
      <c r="AA439" s="91"/>
      <c r="AB439" s="91"/>
    </row>
    <row r="440" ht="15.75" hidden="1" customHeight="1" outlineLevel="1">
      <c r="A440" s="51" t="s">
        <v>188</v>
      </c>
      <c r="B440" s="57" t="s">
        <v>189</v>
      </c>
      <c r="C440" s="51" t="s">
        <v>27</v>
      </c>
      <c r="D440" s="52" t="s">
        <v>4</v>
      </c>
      <c r="E440" s="53" t="s">
        <v>27</v>
      </c>
      <c r="F440" s="52" t="s">
        <v>4</v>
      </c>
      <c r="G440" s="62" t="s">
        <v>37</v>
      </c>
      <c r="H440" s="699" t="s">
        <v>192</v>
      </c>
      <c r="I440" s="62" t="s">
        <v>29</v>
      </c>
      <c r="J440" s="158" t="s">
        <v>193</v>
      </c>
      <c r="K440" s="166" t="s">
        <v>27</v>
      </c>
      <c r="L440" s="155" t="s">
        <v>4</v>
      </c>
      <c r="M440" s="422" t="s">
        <v>49</v>
      </c>
      <c r="N440" s="158" t="s">
        <v>10514</v>
      </c>
      <c r="O440" s="55" t="str">
        <f t="shared" si="13"/>
        <v>L03.00.00.04.01.00.08</v>
      </c>
      <c r="P440" s="169" t="str">
        <f t="shared" si="3"/>
        <v>Nhóm hỗ trợ giải pháp Bán hàng</v>
      </c>
      <c r="Q440" s="96"/>
      <c r="R440" s="96"/>
      <c r="S440" s="96"/>
      <c r="T440" s="96"/>
      <c r="U440" s="96"/>
      <c r="V440" s="96"/>
      <c r="W440" s="96"/>
      <c r="X440" s="91"/>
      <c r="Y440" s="91"/>
      <c r="Z440" s="91"/>
      <c r="AA440" s="91"/>
      <c r="AB440" s="91"/>
    </row>
    <row r="441" ht="15.75" hidden="1" customHeight="1" outlineLevel="1">
      <c r="A441" s="51" t="s">
        <v>188</v>
      </c>
      <c r="B441" s="57" t="s">
        <v>189</v>
      </c>
      <c r="C441" s="51" t="s">
        <v>27</v>
      </c>
      <c r="D441" s="52" t="s">
        <v>4</v>
      </c>
      <c r="E441" s="53" t="s">
        <v>27</v>
      </c>
      <c r="F441" s="52" t="s">
        <v>4</v>
      </c>
      <c r="G441" s="62" t="s">
        <v>37</v>
      </c>
      <c r="H441" s="699" t="s">
        <v>192</v>
      </c>
      <c r="I441" s="62" t="s">
        <v>33</v>
      </c>
      <c r="J441" s="159" t="s">
        <v>194</v>
      </c>
      <c r="K441" s="166" t="s">
        <v>27</v>
      </c>
      <c r="L441" s="155" t="s">
        <v>4</v>
      </c>
      <c r="M441" s="422" t="s">
        <v>49</v>
      </c>
      <c r="N441" s="158" t="s">
        <v>10514</v>
      </c>
      <c r="O441" s="55" t="str">
        <f t="shared" si="13"/>
        <v>L03.00.00.04.02.00.08</v>
      </c>
      <c r="P441" s="169" t="str">
        <f t="shared" si="3"/>
        <v>Nhóm hỗ trợ giải pháp Nhân sự</v>
      </c>
      <c r="Q441" s="96"/>
      <c r="R441" s="96"/>
      <c r="S441" s="96"/>
      <c r="T441" s="96"/>
      <c r="U441" s="96"/>
      <c r="V441" s="96"/>
      <c r="W441" s="96"/>
      <c r="X441" s="91"/>
      <c r="Y441" s="91"/>
      <c r="Z441" s="91"/>
      <c r="AA441" s="91"/>
      <c r="AB441" s="91"/>
    </row>
    <row r="442" ht="15.75" hidden="1" customHeight="1" outlineLevel="1">
      <c r="A442" s="51" t="s">
        <v>188</v>
      </c>
      <c r="B442" s="57" t="s">
        <v>189</v>
      </c>
      <c r="C442" s="51" t="s">
        <v>27</v>
      </c>
      <c r="D442" s="52" t="s">
        <v>4</v>
      </c>
      <c r="E442" s="53" t="s">
        <v>27</v>
      </c>
      <c r="F442" s="52" t="s">
        <v>4</v>
      </c>
      <c r="G442" s="62" t="s">
        <v>37</v>
      </c>
      <c r="H442" s="699" t="s">
        <v>192</v>
      </c>
      <c r="I442" s="62" t="s">
        <v>35</v>
      </c>
      <c r="J442" s="159" t="s">
        <v>195</v>
      </c>
      <c r="K442" s="166" t="s">
        <v>27</v>
      </c>
      <c r="L442" s="155" t="s">
        <v>4</v>
      </c>
      <c r="M442" s="422" t="s">
        <v>49</v>
      </c>
      <c r="N442" s="158" t="s">
        <v>10514</v>
      </c>
      <c r="O442" s="55" t="str">
        <f t="shared" si="13"/>
        <v>L03.00.00.04.03.00.08</v>
      </c>
      <c r="P442" s="169" t="str">
        <f t="shared" si="3"/>
        <v>Nhóm hỗ trợ giải pháp Văn phòng số</v>
      </c>
      <c r="Q442" s="96"/>
      <c r="R442" s="96"/>
      <c r="S442" s="96"/>
      <c r="T442" s="96"/>
      <c r="U442" s="96"/>
      <c r="V442" s="96"/>
      <c r="W442" s="96"/>
      <c r="X442" s="91"/>
      <c r="Y442" s="91"/>
      <c r="Z442" s="91"/>
      <c r="AA442" s="91"/>
      <c r="AB442" s="91"/>
    </row>
    <row r="443" ht="15.75" hidden="1" customHeight="1" outlineLevel="1">
      <c r="A443" s="51" t="s">
        <v>188</v>
      </c>
      <c r="B443" s="57" t="s">
        <v>189</v>
      </c>
      <c r="C443" s="51" t="s">
        <v>27</v>
      </c>
      <c r="D443" s="52" t="s">
        <v>4</v>
      </c>
      <c r="E443" s="53" t="s">
        <v>27</v>
      </c>
      <c r="F443" s="52" t="s">
        <v>4</v>
      </c>
      <c r="G443" s="62" t="s">
        <v>42</v>
      </c>
      <c r="H443" s="699" t="s">
        <v>196</v>
      </c>
      <c r="I443" s="53" t="s">
        <v>27</v>
      </c>
      <c r="J443" s="155" t="s">
        <v>4</v>
      </c>
      <c r="K443" s="166" t="s">
        <v>27</v>
      </c>
      <c r="L443" s="155" t="s">
        <v>4</v>
      </c>
      <c r="M443" s="422" t="s">
        <v>49</v>
      </c>
      <c r="N443" s="158" t="s">
        <v>10514</v>
      </c>
      <c r="O443" s="55" t="str">
        <f t="shared" si="13"/>
        <v>L03.00.00.05.00.00.08</v>
      </c>
      <c r="P443" s="169" t="str">
        <f t="shared" si="3"/>
        <v>Phòng hỗ trợ giải pháp Bán lẻ</v>
      </c>
      <c r="Q443" s="96"/>
      <c r="R443" s="96"/>
      <c r="S443" s="96"/>
      <c r="T443" s="96"/>
      <c r="U443" s="96"/>
      <c r="V443" s="96"/>
      <c r="W443" s="96"/>
      <c r="X443" s="91"/>
      <c r="Y443" s="91"/>
      <c r="Z443" s="91"/>
      <c r="AA443" s="91"/>
      <c r="AB443" s="91"/>
    </row>
    <row r="444" ht="15.75" hidden="1" customHeight="1" outlineLevel="1">
      <c r="A444" s="51" t="s">
        <v>188</v>
      </c>
      <c r="B444" s="57" t="s">
        <v>189</v>
      </c>
      <c r="C444" s="51" t="s">
        <v>27</v>
      </c>
      <c r="D444" s="52" t="s">
        <v>4</v>
      </c>
      <c r="E444" s="53" t="s">
        <v>27</v>
      </c>
      <c r="F444" s="52" t="s">
        <v>4</v>
      </c>
      <c r="G444" s="62" t="s">
        <v>44</v>
      </c>
      <c r="H444" s="699" t="s">
        <v>197</v>
      </c>
      <c r="I444" s="62" t="s">
        <v>29</v>
      </c>
      <c r="J444" s="158" t="s">
        <v>198</v>
      </c>
      <c r="K444" s="166" t="s">
        <v>27</v>
      </c>
      <c r="L444" s="155" t="s">
        <v>4</v>
      </c>
      <c r="M444" s="422" t="s">
        <v>49</v>
      </c>
      <c r="N444" s="158" t="s">
        <v>10514</v>
      </c>
      <c r="O444" s="55" t="str">
        <f t="shared" si="13"/>
        <v>L03.00.00.06.01.00.08</v>
      </c>
      <c r="P444" s="169" t="str">
        <f t="shared" si="3"/>
        <v>Nhóm hỗ trợ giải pháp TCKT HCSN</v>
      </c>
      <c r="Q444" s="96"/>
      <c r="R444" s="96"/>
      <c r="S444" s="96"/>
      <c r="T444" s="96"/>
      <c r="U444" s="96"/>
      <c r="V444" s="96"/>
      <c r="W444" s="96"/>
      <c r="X444" s="91"/>
      <c r="Y444" s="91"/>
      <c r="Z444" s="91"/>
      <c r="AA444" s="91"/>
      <c r="AB444" s="91"/>
    </row>
    <row r="445" ht="15.75" hidden="1" customHeight="1" outlineLevel="1">
      <c r="A445" s="51" t="s">
        <v>188</v>
      </c>
      <c r="B445" s="57" t="s">
        <v>189</v>
      </c>
      <c r="C445" s="51" t="s">
        <v>27</v>
      </c>
      <c r="D445" s="52" t="s">
        <v>4</v>
      </c>
      <c r="E445" s="53" t="s">
        <v>27</v>
      </c>
      <c r="F445" s="52" t="s">
        <v>4</v>
      </c>
      <c r="G445" s="62" t="s">
        <v>44</v>
      </c>
      <c r="H445" s="699" t="s">
        <v>197</v>
      </c>
      <c r="I445" s="62" t="s">
        <v>33</v>
      </c>
      <c r="J445" s="158" t="s">
        <v>199</v>
      </c>
      <c r="K445" s="166" t="s">
        <v>27</v>
      </c>
      <c r="L445" s="155" t="s">
        <v>4</v>
      </c>
      <c r="M445" s="422" t="s">
        <v>49</v>
      </c>
      <c r="N445" s="158" t="s">
        <v>10514</v>
      </c>
      <c r="O445" s="55" t="str">
        <f t="shared" si="13"/>
        <v>L03.00.00.06.02.00.08</v>
      </c>
      <c r="P445" s="169" t="str">
        <f t="shared" si="3"/>
        <v>Nhóm hỗ trợ giải pháp điều hành HCSN</v>
      </c>
      <c r="Q445" s="96"/>
      <c r="R445" s="96"/>
      <c r="S445" s="96"/>
      <c r="T445" s="96"/>
      <c r="U445" s="96"/>
      <c r="V445" s="96"/>
      <c r="W445" s="96"/>
      <c r="X445" s="91"/>
      <c r="Y445" s="91"/>
      <c r="Z445" s="91"/>
      <c r="AA445" s="91"/>
      <c r="AB445" s="91"/>
    </row>
    <row r="446" ht="15.75" hidden="1" customHeight="1" outlineLevel="1">
      <c r="A446" s="51" t="s">
        <v>188</v>
      </c>
      <c r="B446" s="57" t="s">
        <v>189</v>
      </c>
      <c r="C446" s="51" t="s">
        <v>27</v>
      </c>
      <c r="D446" s="52" t="s">
        <v>4</v>
      </c>
      <c r="E446" s="53" t="s">
        <v>27</v>
      </c>
      <c r="F446" s="52" t="s">
        <v>4</v>
      </c>
      <c r="G446" s="62" t="s">
        <v>46</v>
      </c>
      <c r="H446" s="699" t="s">
        <v>200</v>
      </c>
      <c r="I446" s="53" t="s">
        <v>27</v>
      </c>
      <c r="J446" s="155" t="s">
        <v>4</v>
      </c>
      <c r="K446" s="166" t="s">
        <v>27</v>
      </c>
      <c r="L446" s="155" t="s">
        <v>4</v>
      </c>
      <c r="M446" s="422" t="s">
        <v>49</v>
      </c>
      <c r="N446" s="158" t="s">
        <v>10514</v>
      </c>
      <c r="O446" s="55" t="str">
        <f t="shared" si="13"/>
        <v>L03.00.00.07.00.00.08</v>
      </c>
      <c r="P446" s="169" t="str">
        <f t="shared" si="3"/>
        <v>Phòng hỗ trợ chủ động</v>
      </c>
      <c r="Q446" s="96"/>
      <c r="R446" s="96"/>
      <c r="S446" s="96"/>
      <c r="T446" s="96"/>
      <c r="U446" s="96"/>
      <c r="V446" s="96"/>
      <c r="W446" s="96"/>
      <c r="X446" s="91"/>
      <c r="Y446" s="91"/>
      <c r="Z446" s="91"/>
      <c r="AA446" s="91"/>
      <c r="AB446" s="91"/>
    </row>
    <row r="447" ht="15.75" hidden="1" customHeight="1" outlineLevel="1">
      <c r="A447" s="51" t="s">
        <v>188</v>
      </c>
      <c r="B447" s="57" t="s">
        <v>189</v>
      </c>
      <c r="C447" s="51" t="s">
        <v>27</v>
      </c>
      <c r="D447" s="52" t="s">
        <v>4</v>
      </c>
      <c r="E447" s="53" t="s">
        <v>27</v>
      </c>
      <c r="F447" s="52" t="s">
        <v>4</v>
      </c>
      <c r="G447" s="62" t="s">
        <v>49</v>
      </c>
      <c r="H447" s="699" t="s">
        <v>201</v>
      </c>
      <c r="I447" s="62" t="s">
        <v>29</v>
      </c>
      <c r="J447" s="158" t="s">
        <v>202</v>
      </c>
      <c r="K447" s="166" t="s">
        <v>27</v>
      </c>
      <c r="L447" s="155" t="s">
        <v>4</v>
      </c>
      <c r="M447" s="422" t="s">
        <v>49</v>
      </c>
      <c r="N447" s="158" t="s">
        <v>10514</v>
      </c>
      <c r="O447" s="55" t="str">
        <f t="shared" si="13"/>
        <v>L03.00.00.08.01.00.08</v>
      </c>
      <c r="P447" s="169" t="str">
        <f t="shared" si="3"/>
        <v>Nhóm CS 01 - KH Gold, Silver</v>
      </c>
      <c r="Q447" s="96"/>
      <c r="R447" s="96"/>
      <c r="S447" s="96"/>
      <c r="T447" s="96"/>
      <c r="U447" s="96"/>
      <c r="V447" s="96"/>
      <c r="W447" s="96"/>
      <c r="X447" s="91"/>
      <c r="Y447" s="91"/>
      <c r="Z447" s="91"/>
      <c r="AA447" s="91"/>
      <c r="AB447" s="91"/>
    </row>
    <row r="448" ht="15.75" hidden="1" customHeight="1" outlineLevel="1">
      <c r="A448" s="51" t="s">
        <v>188</v>
      </c>
      <c r="B448" s="57" t="s">
        <v>189</v>
      </c>
      <c r="C448" s="51" t="s">
        <v>27</v>
      </c>
      <c r="D448" s="52" t="s">
        <v>4</v>
      </c>
      <c r="E448" s="53" t="s">
        <v>27</v>
      </c>
      <c r="F448" s="52" t="s">
        <v>4</v>
      </c>
      <c r="G448" s="62" t="s">
        <v>49</v>
      </c>
      <c r="H448" s="699" t="s">
        <v>201</v>
      </c>
      <c r="I448" s="62" t="s">
        <v>33</v>
      </c>
      <c r="J448" s="158" t="s">
        <v>203</v>
      </c>
      <c r="K448" s="166" t="s">
        <v>27</v>
      </c>
      <c r="L448" s="155" t="s">
        <v>4</v>
      </c>
      <c r="M448" s="422" t="s">
        <v>49</v>
      </c>
      <c r="N448" s="158" t="s">
        <v>10514</v>
      </c>
      <c r="O448" s="55" t="str">
        <f t="shared" si="13"/>
        <v>L03.00.00.08.02.00.08</v>
      </c>
      <c r="P448" s="169" t="str">
        <f t="shared" si="3"/>
        <v>Nhóm CS 02 - KH Bronze</v>
      </c>
      <c r="Q448" s="96"/>
      <c r="R448" s="96"/>
      <c r="S448" s="96"/>
      <c r="T448" s="96"/>
      <c r="U448" s="96"/>
      <c r="V448" s="96"/>
      <c r="W448" s="96"/>
      <c r="X448" s="91"/>
      <c r="Y448" s="91"/>
      <c r="Z448" s="91"/>
      <c r="AA448" s="91"/>
      <c r="AB448" s="91"/>
    </row>
    <row r="449" ht="15.75" hidden="1" customHeight="1" outlineLevel="1">
      <c r="A449" s="51" t="s">
        <v>188</v>
      </c>
      <c r="B449" s="57" t="s">
        <v>189</v>
      </c>
      <c r="C449" s="51" t="s">
        <v>27</v>
      </c>
      <c r="D449" s="52" t="s">
        <v>4</v>
      </c>
      <c r="E449" s="53" t="s">
        <v>27</v>
      </c>
      <c r="F449" s="52" t="s">
        <v>4</v>
      </c>
      <c r="G449" s="62" t="s">
        <v>51</v>
      </c>
      <c r="H449" s="699" t="s">
        <v>204</v>
      </c>
      <c r="I449" s="53" t="s">
        <v>27</v>
      </c>
      <c r="J449" s="155" t="s">
        <v>4</v>
      </c>
      <c r="K449" s="166" t="s">
        <v>27</v>
      </c>
      <c r="L449" s="155" t="s">
        <v>4</v>
      </c>
      <c r="M449" s="422" t="s">
        <v>49</v>
      </c>
      <c r="N449" s="158" t="s">
        <v>10514</v>
      </c>
      <c r="O449" s="55" t="str">
        <f t="shared" si="13"/>
        <v>L03.00.00.09.00.00.08</v>
      </c>
      <c r="P449" s="169" t="str">
        <f t="shared" si="3"/>
        <v>Nhóm gia hạn</v>
      </c>
      <c r="Q449" s="96"/>
      <c r="R449" s="96"/>
      <c r="S449" s="96"/>
      <c r="T449" s="96"/>
      <c r="U449" s="96"/>
      <c r="V449" s="96"/>
      <c r="W449" s="96"/>
      <c r="X449" s="91"/>
      <c r="Y449" s="91"/>
      <c r="Z449" s="91"/>
      <c r="AA449" s="91"/>
      <c r="AB449" s="91"/>
    </row>
    <row r="450" ht="15.75" hidden="1" customHeight="1" outlineLevel="1">
      <c r="A450" s="51" t="s">
        <v>188</v>
      </c>
      <c r="B450" s="57" t="s">
        <v>189</v>
      </c>
      <c r="C450" s="51" t="s">
        <v>27</v>
      </c>
      <c r="D450" s="52" t="s">
        <v>4</v>
      </c>
      <c r="E450" s="53" t="s">
        <v>27</v>
      </c>
      <c r="F450" s="52" t="s">
        <v>4</v>
      </c>
      <c r="G450" s="62" t="s">
        <v>35</v>
      </c>
      <c r="H450" s="699" t="s">
        <v>191</v>
      </c>
      <c r="I450" s="53" t="s">
        <v>27</v>
      </c>
      <c r="J450" s="155" t="s">
        <v>4</v>
      </c>
      <c r="K450" s="166" t="s">
        <v>27</v>
      </c>
      <c r="L450" s="155" t="s">
        <v>4</v>
      </c>
      <c r="M450" s="422" t="s">
        <v>51</v>
      </c>
      <c r="N450" s="158" t="s">
        <v>10515</v>
      </c>
      <c r="O450" s="55" t="str">
        <f t="shared" si="13"/>
        <v>L03.00.00.03.00.00.09</v>
      </c>
      <c r="P450" s="169" t="str">
        <f t="shared" si="3"/>
        <v>Phòng hỗ trợ giải pháp TCKT DN</v>
      </c>
      <c r="Q450" s="96"/>
      <c r="R450" s="96"/>
      <c r="S450" s="96"/>
      <c r="T450" s="96"/>
      <c r="U450" s="96"/>
      <c r="V450" s="96"/>
      <c r="W450" s="96"/>
      <c r="X450" s="91"/>
      <c r="Y450" s="91"/>
      <c r="Z450" s="91"/>
      <c r="AA450" s="91"/>
      <c r="AB450" s="91"/>
    </row>
    <row r="451" ht="15.75" hidden="1" customHeight="1" outlineLevel="1">
      <c r="A451" s="51" t="s">
        <v>188</v>
      </c>
      <c r="B451" s="57" t="s">
        <v>189</v>
      </c>
      <c r="C451" s="51" t="s">
        <v>27</v>
      </c>
      <c r="D451" s="52" t="s">
        <v>4</v>
      </c>
      <c r="E451" s="53" t="s">
        <v>27</v>
      </c>
      <c r="F451" s="52" t="s">
        <v>4</v>
      </c>
      <c r="G451" s="62" t="s">
        <v>37</v>
      </c>
      <c r="H451" s="699" t="s">
        <v>192</v>
      </c>
      <c r="I451" s="62" t="s">
        <v>29</v>
      </c>
      <c r="J451" s="158" t="s">
        <v>193</v>
      </c>
      <c r="K451" s="166" t="s">
        <v>27</v>
      </c>
      <c r="L451" s="155" t="s">
        <v>4</v>
      </c>
      <c r="M451" s="422" t="s">
        <v>51</v>
      </c>
      <c r="N451" s="158" t="s">
        <v>10515</v>
      </c>
      <c r="O451" s="55" t="str">
        <f t="shared" si="13"/>
        <v>L03.00.00.04.01.00.09</v>
      </c>
      <c r="P451" s="169" t="str">
        <f t="shared" si="3"/>
        <v>Nhóm hỗ trợ giải pháp Bán hàng</v>
      </c>
      <c r="Q451" s="96"/>
      <c r="R451" s="96"/>
      <c r="S451" s="96"/>
      <c r="T451" s="96"/>
      <c r="U451" s="96"/>
      <c r="V451" s="96"/>
      <c r="W451" s="96"/>
      <c r="X451" s="91"/>
      <c r="Y451" s="91"/>
      <c r="Z451" s="91"/>
      <c r="AA451" s="91"/>
      <c r="AB451" s="91"/>
    </row>
    <row r="452" ht="15.75" hidden="1" customHeight="1" outlineLevel="1">
      <c r="A452" s="51" t="s">
        <v>188</v>
      </c>
      <c r="B452" s="57" t="s">
        <v>189</v>
      </c>
      <c r="C452" s="51" t="s">
        <v>27</v>
      </c>
      <c r="D452" s="52" t="s">
        <v>4</v>
      </c>
      <c r="E452" s="53" t="s">
        <v>27</v>
      </c>
      <c r="F452" s="52" t="s">
        <v>4</v>
      </c>
      <c r="G452" s="62" t="s">
        <v>37</v>
      </c>
      <c r="H452" s="699" t="s">
        <v>192</v>
      </c>
      <c r="I452" s="62" t="s">
        <v>33</v>
      </c>
      <c r="J452" s="159" t="s">
        <v>194</v>
      </c>
      <c r="K452" s="166" t="s">
        <v>27</v>
      </c>
      <c r="L452" s="155" t="s">
        <v>4</v>
      </c>
      <c r="M452" s="422" t="s">
        <v>51</v>
      </c>
      <c r="N452" s="158" t="s">
        <v>10515</v>
      </c>
      <c r="O452" s="55" t="str">
        <f t="shared" si="13"/>
        <v>L03.00.00.04.02.00.09</v>
      </c>
      <c r="P452" s="169" t="str">
        <f t="shared" si="3"/>
        <v>Nhóm hỗ trợ giải pháp Nhân sự</v>
      </c>
      <c r="Q452" s="96"/>
      <c r="R452" s="96"/>
      <c r="S452" s="96"/>
      <c r="T452" s="96"/>
      <c r="U452" s="96"/>
      <c r="V452" s="96"/>
      <c r="W452" s="96"/>
      <c r="X452" s="91"/>
      <c r="Y452" s="91"/>
      <c r="Z452" s="91"/>
      <c r="AA452" s="91"/>
      <c r="AB452" s="91"/>
    </row>
    <row r="453" ht="15.75" hidden="1" customHeight="1" outlineLevel="1">
      <c r="A453" s="51" t="s">
        <v>188</v>
      </c>
      <c r="B453" s="57" t="s">
        <v>189</v>
      </c>
      <c r="C453" s="51" t="s">
        <v>27</v>
      </c>
      <c r="D453" s="52" t="s">
        <v>4</v>
      </c>
      <c r="E453" s="53" t="s">
        <v>27</v>
      </c>
      <c r="F453" s="52" t="s">
        <v>4</v>
      </c>
      <c r="G453" s="62" t="s">
        <v>37</v>
      </c>
      <c r="H453" s="699" t="s">
        <v>192</v>
      </c>
      <c r="I453" s="62" t="s">
        <v>35</v>
      </c>
      <c r="J453" s="159" t="s">
        <v>195</v>
      </c>
      <c r="K453" s="166" t="s">
        <v>27</v>
      </c>
      <c r="L453" s="155" t="s">
        <v>4</v>
      </c>
      <c r="M453" s="422" t="s">
        <v>51</v>
      </c>
      <c r="N453" s="158" t="s">
        <v>10515</v>
      </c>
      <c r="O453" s="55" t="str">
        <f t="shared" si="13"/>
        <v>L03.00.00.04.03.00.09</v>
      </c>
      <c r="P453" s="169" t="str">
        <f t="shared" si="3"/>
        <v>Nhóm hỗ trợ giải pháp Văn phòng số</v>
      </c>
      <c r="Q453" s="96"/>
      <c r="R453" s="96"/>
      <c r="S453" s="96"/>
      <c r="T453" s="96"/>
      <c r="U453" s="96"/>
      <c r="V453" s="96"/>
      <c r="W453" s="96"/>
      <c r="X453" s="91"/>
      <c r="Y453" s="91"/>
      <c r="Z453" s="91"/>
      <c r="AA453" s="91"/>
      <c r="AB453" s="91"/>
    </row>
    <row r="454" ht="15.75" hidden="1" customHeight="1" outlineLevel="1">
      <c r="A454" s="51" t="s">
        <v>188</v>
      </c>
      <c r="B454" s="57" t="s">
        <v>189</v>
      </c>
      <c r="C454" s="51" t="s">
        <v>27</v>
      </c>
      <c r="D454" s="52" t="s">
        <v>4</v>
      </c>
      <c r="E454" s="53" t="s">
        <v>27</v>
      </c>
      <c r="F454" s="52" t="s">
        <v>4</v>
      </c>
      <c r="G454" s="62" t="s">
        <v>42</v>
      </c>
      <c r="H454" s="699" t="s">
        <v>196</v>
      </c>
      <c r="I454" s="53" t="s">
        <v>27</v>
      </c>
      <c r="J454" s="155" t="s">
        <v>4</v>
      </c>
      <c r="K454" s="166" t="s">
        <v>27</v>
      </c>
      <c r="L454" s="155" t="s">
        <v>4</v>
      </c>
      <c r="M454" s="422" t="s">
        <v>51</v>
      </c>
      <c r="N454" s="158" t="s">
        <v>10515</v>
      </c>
      <c r="O454" s="55" t="str">
        <f t="shared" si="13"/>
        <v>L03.00.00.05.00.00.09</v>
      </c>
      <c r="P454" s="169" t="str">
        <f t="shared" si="3"/>
        <v>Phòng hỗ trợ giải pháp Bán lẻ</v>
      </c>
      <c r="Q454" s="96"/>
      <c r="R454" s="96"/>
      <c r="S454" s="96"/>
      <c r="T454" s="96"/>
      <c r="U454" s="96"/>
      <c r="V454" s="96"/>
      <c r="W454" s="96"/>
      <c r="X454" s="91"/>
      <c r="Y454" s="91"/>
      <c r="Z454" s="91"/>
      <c r="AA454" s="91"/>
      <c r="AB454" s="91"/>
    </row>
    <row r="455" ht="15.75" hidden="1" customHeight="1" outlineLevel="1">
      <c r="A455" s="51" t="s">
        <v>188</v>
      </c>
      <c r="B455" s="57" t="s">
        <v>189</v>
      </c>
      <c r="C455" s="51" t="s">
        <v>27</v>
      </c>
      <c r="D455" s="52" t="s">
        <v>4</v>
      </c>
      <c r="E455" s="53" t="s">
        <v>27</v>
      </c>
      <c r="F455" s="52" t="s">
        <v>4</v>
      </c>
      <c r="G455" s="62" t="s">
        <v>44</v>
      </c>
      <c r="H455" s="699" t="s">
        <v>197</v>
      </c>
      <c r="I455" s="62" t="s">
        <v>29</v>
      </c>
      <c r="J455" s="158" t="s">
        <v>198</v>
      </c>
      <c r="K455" s="166" t="s">
        <v>27</v>
      </c>
      <c r="L455" s="155" t="s">
        <v>4</v>
      </c>
      <c r="M455" s="422" t="s">
        <v>51</v>
      </c>
      <c r="N455" s="158" t="s">
        <v>10515</v>
      </c>
      <c r="O455" s="55" t="str">
        <f t="shared" si="13"/>
        <v>L03.00.00.06.01.00.09</v>
      </c>
      <c r="P455" s="169" t="str">
        <f t="shared" si="3"/>
        <v>Nhóm hỗ trợ giải pháp TCKT HCSN</v>
      </c>
      <c r="Q455" s="96"/>
      <c r="R455" s="96"/>
      <c r="S455" s="96"/>
      <c r="T455" s="96"/>
      <c r="U455" s="96"/>
      <c r="V455" s="96"/>
      <c r="W455" s="96"/>
      <c r="X455" s="91"/>
      <c r="Y455" s="91"/>
      <c r="Z455" s="91"/>
      <c r="AA455" s="91"/>
      <c r="AB455" s="91"/>
    </row>
    <row r="456" ht="15.75" hidden="1" customHeight="1" outlineLevel="1">
      <c r="A456" s="51" t="s">
        <v>188</v>
      </c>
      <c r="B456" s="57" t="s">
        <v>189</v>
      </c>
      <c r="C456" s="51" t="s">
        <v>27</v>
      </c>
      <c r="D456" s="52" t="s">
        <v>4</v>
      </c>
      <c r="E456" s="53" t="s">
        <v>27</v>
      </c>
      <c r="F456" s="52" t="s">
        <v>4</v>
      </c>
      <c r="G456" s="62" t="s">
        <v>44</v>
      </c>
      <c r="H456" s="699" t="s">
        <v>197</v>
      </c>
      <c r="I456" s="62" t="s">
        <v>33</v>
      </c>
      <c r="J456" s="158" t="s">
        <v>199</v>
      </c>
      <c r="K456" s="166" t="s">
        <v>27</v>
      </c>
      <c r="L456" s="155" t="s">
        <v>4</v>
      </c>
      <c r="M456" s="422" t="s">
        <v>51</v>
      </c>
      <c r="N456" s="158" t="s">
        <v>10515</v>
      </c>
      <c r="O456" s="55" t="str">
        <f t="shared" si="13"/>
        <v>L03.00.00.06.02.00.09</v>
      </c>
      <c r="P456" s="169" t="str">
        <f t="shared" si="3"/>
        <v>Nhóm hỗ trợ giải pháp điều hành HCSN</v>
      </c>
      <c r="Q456" s="96"/>
      <c r="R456" s="96"/>
      <c r="S456" s="96"/>
      <c r="T456" s="96"/>
      <c r="U456" s="96"/>
      <c r="V456" s="96"/>
      <c r="W456" s="96"/>
      <c r="X456" s="91"/>
      <c r="Y456" s="91"/>
      <c r="Z456" s="91"/>
      <c r="AA456" s="91"/>
      <c r="AB456" s="91"/>
    </row>
    <row r="457" ht="15.75" hidden="1" customHeight="1" outlineLevel="1">
      <c r="A457" s="51" t="s">
        <v>188</v>
      </c>
      <c r="B457" s="57" t="s">
        <v>189</v>
      </c>
      <c r="C457" s="51" t="s">
        <v>27</v>
      </c>
      <c r="D457" s="52" t="s">
        <v>4</v>
      </c>
      <c r="E457" s="53" t="s">
        <v>27</v>
      </c>
      <c r="F457" s="52" t="s">
        <v>4</v>
      </c>
      <c r="G457" s="62" t="s">
        <v>46</v>
      </c>
      <c r="H457" s="699" t="s">
        <v>200</v>
      </c>
      <c r="I457" s="53" t="s">
        <v>27</v>
      </c>
      <c r="J457" s="155" t="s">
        <v>4</v>
      </c>
      <c r="K457" s="166" t="s">
        <v>27</v>
      </c>
      <c r="L457" s="155" t="s">
        <v>4</v>
      </c>
      <c r="M457" s="422" t="s">
        <v>51</v>
      </c>
      <c r="N457" s="158" t="s">
        <v>10515</v>
      </c>
      <c r="O457" s="55" t="str">
        <f t="shared" si="13"/>
        <v>L03.00.00.07.00.00.09</v>
      </c>
      <c r="P457" s="169" t="str">
        <f t="shared" si="3"/>
        <v>Phòng hỗ trợ chủ động</v>
      </c>
      <c r="Q457" s="96"/>
      <c r="R457" s="96"/>
      <c r="S457" s="96"/>
      <c r="T457" s="96"/>
      <c r="U457" s="96"/>
      <c r="V457" s="96"/>
      <c r="W457" s="96"/>
      <c r="X457" s="91"/>
      <c r="Y457" s="91"/>
      <c r="Z457" s="91"/>
      <c r="AA457" s="91"/>
      <c r="AB457" s="91"/>
    </row>
    <row r="458" ht="15.75" hidden="1" customHeight="1" outlineLevel="1">
      <c r="A458" s="51" t="s">
        <v>188</v>
      </c>
      <c r="B458" s="57" t="s">
        <v>189</v>
      </c>
      <c r="C458" s="51" t="s">
        <v>27</v>
      </c>
      <c r="D458" s="52" t="s">
        <v>4</v>
      </c>
      <c r="E458" s="53" t="s">
        <v>27</v>
      </c>
      <c r="F458" s="52" t="s">
        <v>4</v>
      </c>
      <c r="G458" s="62" t="s">
        <v>49</v>
      </c>
      <c r="H458" s="699" t="s">
        <v>201</v>
      </c>
      <c r="I458" s="62" t="s">
        <v>29</v>
      </c>
      <c r="J458" s="158" t="s">
        <v>202</v>
      </c>
      <c r="K458" s="166" t="s">
        <v>27</v>
      </c>
      <c r="L458" s="155" t="s">
        <v>4</v>
      </c>
      <c r="M458" s="422" t="s">
        <v>51</v>
      </c>
      <c r="N458" s="158" t="s">
        <v>10515</v>
      </c>
      <c r="O458" s="55" t="str">
        <f t="shared" si="13"/>
        <v>L03.00.00.08.01.00.09</v>
      </c>
      <c r="P458" s="169" t="str">
        <f t="shared" si="3"/>
        <v>Nhóm CS 01 - KH Gold, Silver</v>
      </c>
      <c r="Q458" s="96"/>
      <c r="R458" s="96"/>
      <c r="S458" s="96"/>
      <c r="T458" s="96"/>
      <c r="U458" s="96"/>
      <c r="V458" s="96"/>
      <c r="W458" s="96"/>
      <c r="X458" s="91"/>
      <c r="Y458" s="91"/>
      <c r="Z458" s="91"/>
      <c r="AA458" s="91"/>
      <c r="AB458" s="91"/>
    </row>
    <row r="459" ht="15.75" hidden="1" customHeight="1" outlineLevel="1">
      <c r="A459" s="51" t="s">
        <v>188</v>
      </c>
      <c r="B459" s="57" t="s">
        <v>189</v>
      </c>
      <c r="C459" s="51" t="s">
        <v>27</v>
      </c>
      <c r="D459" s="52" t="s">
        <v>4</v>
      </c>
      <c r="E459" s="53" t="s">
        <v>27</v>
      </c>
      <c r="F459" s="52" t="s">
        <v>4</v>
      </c>
      <c r="G459" s="62" t="s">
        <v>49</v>
      </c>
      <c r="H459" s="699" t="s">
        <v>201</v>
      </c>
      <c r="I459" s="62" t="s">
        <v>33</v>
      </c>
      <c r="J459" s="158" t="s">
        <v>203</v>
      </c>
      <c r="K459" s="166" t="s">
        <v>27</v>
      </c>
      <c r="L459" s="155" t="s">
        <v>4</v>
      </c>
      <c r="M459" s="422" t="s">
        <v>51</v>
      </c>
      <c r="N459" s="158" t="s">
        <v>10515</v>
      </c>
      <c r="O459" s="55" t="str">
        <f t="shared" si="13"/>
        <v>L03.00.00.08.02.00.09</v>
      </c>
      <c r="P459" s="169" t="str">
        <f t="shared" si="3"/>
        <v>Nhóm CS 02 - KH Bronze</v>
      </c>
      <c r="Q459" s="96"/>
      <c r="R459" s="96"/>
      <c r="S459" s="96"/>
      <c r="T459" s="96"/>
      <c r="U459" s="96"/>
      <c r="V459" s="96"/>
      <c r="W459" s="96"/>
      <c r="X459" s="91"/>
      <c r="Y459" s="91"/>
      <c r="Z459" s="91"/>
      <c r="AA459" s="91"/>
      <c r="AB459" s="91"/>
    </row>
    <row r="460" ht="15.75" hidden="1" customHeight="1" outlineLevel="1">
      <c r="A460" s="51" t="s">
        <v>188</v>
      </c>
      <c r="B460" s="57" t="s">
        <v>189</v>
      </c>
      <c r="C460" s="51" t="s">
        <v>27</v>
      </c>
      <c r="D460" s="52" t="s">
        <v>4</v>
      </c>
      <c r="E460" s="53" t="s">
        <v>27</v>
      </c>
      <c r="F460" s="52" t="s">
        <v>4</v>
      </c>
      <c r="G460" s="62" t="s">
        <v>51</v>
      </c>
      <c r="H460" s="699" t="s">
        <v>204</v>
      </c>
      <c r="I460" s="53" t="s">
        <v>27</v>
      </c>
      <c r="J460" s="155" t="s">
        <v>4</v>
      </c>
      <c r="K460" s="166" t="s">
        <v>27</v>
      </c>
      <c r="L460" s="155" t="s">
        <v>4</v>
      </c>
      <c r="M460" s="422" t="s">
        <v>51</v>
      </c>
      <c r="N460" s="158" t="s">
        <v>10515</v>
      </c>
      <c r="O460" s="55" t="str">
        <f t="shared" si="13"/>
        <v>L03.00.00.09.00.00.09</v>
      </c>
      <c r="P460" s="169" t="str">
        <f t="shared" si="3"/>
        <v>Nhóm gia hạn</v>
      </c>
      <c r="Q460" s="96"/>
      <c r="R460" s="96"/>
      <c r="S460" s="96"/>
      <c r="T460" s="96"/>
      <c r="U460" s="96"/>
      <c r="V460" s="96"/>
      <c r="W460" s="96"/>
      <c r="X460" s="91"/>
      <c r="Y460" s="91"/>
      <c r="Z460" s="91"/>
      <c r="AA460" s="91"/>
      <c r="AB460" s="91"/>
    </row>
    <row r="461" ht="15.75" customHeight="1" collapsed="1">
      <c r="A461" s="50" t="s">
        <v>10516</v>
      </c>
      <c r="B461" s="47"/>
      <c r="C461" s="47"/>
      <c r="D461" s="47"/>
      <c r="E461" s="47"/>
      <c r="F461" s="47"/>
      <c r="G461" s="48"/>
      <c r="H461" s="49"/>
      <c r="I461" s="48"/>
      <c r="J461" s="439"/>
      <c r="K461" s="439"/>
      <c r="L461" s="439"/>
      <c r="M461" s="439"/>
      <c r="N461" s="440"/>
      <c r="O461" s="48"/>
      <c r="P461" s="169" t="str">
        <f t="shared" si="3"/>
        <v/>
      </c>
      <c r="Q461" s="96"/>
      <c r="R461" s="96"/>
      <c r="S461" s="96"/>
      <c r="T461" s="96"/>
      <c r="U461" s="96"/>
      <c r="V461" s="96"/>
      <c r="W461" s="96"/>
      <c r="X461" s="91"/>
      <c r="Y461" s="91"/>
      <c r="Z461" s="91"/>
      <c r="AA461" s="91"/>
      <c r="AB461" s="91"/>
    </row>
    <row r="462" ht="15.75" customHeight="1" outlineLevel="1">
      <c r="A462" s="51" t="s">
        <v>205</v>
      </c>
      <c r="B462" s="57" t="s">
        <v>206</v>
      </c>
      <c r="C462" s="51" t="s">
        <v>27</v>
      </c>
      <c r="D462" s="52" t="s">
        <v>4</v>
      </c>
      <c r="E462" s="53" t="s">
        <v>27</v>
      </c>
      <c r="F462" s="52" t="s">
        <v>4</v>
      </c>
      <c r="G462" s="62" t="s">
        <v>29</v>
      </c>
      <c r="H462" s="54" t="s">
        <v>220</v>
      </c>
      <c r="I462" s="53" t="s">
        <v>27</v>
      </c>
      <c r="J462" s="559" t="s">
        <v>4</v>
      </c>
      <c r="K462" s="166" t="s">
        <v>27</v>
      </c>
      <c r="L462" s="155" t="s">
        <v>4</v>
      </c>
      <c r="M462" s="422" t="s">
        <v>44</v>
      </c>
      <c r="N462" s="158" t="s">
        <v>10505</v>
      </c>
      <c r="O462" s="55" t="str">
        <f t="shared" ref="O462:O509" si="14">A462&amp;"."&amp;C462&amp;"."&amp;E462&amp;"."&amp;G462&amp;"."&amp;I462&amp;"."&amp;K462&amp;"."&amp;M462</f>
        <v>L04.00.00.01.00.00.06</v>
      </c>
      <c r="P462" s="169" t="str">
        <f t="shared" si="3"/>
        <v>Hội đồng quản trị</v>
      </c>
      <c r="Q462" s="96"/>
      <c r="R462" s="96" t="s">
        <v>7220</v>
      </c>
      <c r="S462" s="96" t="s">
        <v>303</v>
      </c>
      <c r="T462" s="96" t="s">
        <v>7219</v>
      </c>
      <c r="U462" s="96"/>
      <c r="V462" s="96"/>
      <c r="W462" s="96"/>
      <c r="X462" s="91"/>
      <c r="Y462" s="91"/>
      <c r="Z462" s="91"/>
      <c r="AA462" s="91"/>
      <c r="AB462" s="91"/>
    </row>
    <row r="463" ht="15.75" customHeight="1" outlineLevel="1">
      <c r="A463" s="51" t="s">
        <v>205</v>
      </c>
      <c r="B463" s="57" t="s">
        <v>206</v>
      </c>
      <c r="C463" s="51" t="s">
        <v>27</v>
      </c>
      <c r="D463" s="52" t="s">
        <v>4</v>
      </c>
      <c r="E463" s="53" t="s">
        <v>27</v>
      </c>
      <c r="F463" s="52" t="s">
        <v>4</v>
      </c>
      <c r="G463" s="62" t="s">
        <v>29</v>
      </c>
      <c r="H463" s="54" t="s">
        <v>220</v>
      </c>
      <c r="I463" s="53" t="s">
        <v>27</v>
      </c>
      <c r="J463" s="559" t="s">
        <v>4</v>
      </c>
      <c r="K463" s="166" t="s">
        <v>27</v>
      </c>
      <c r="L463" s="155" t="s">
        <v>4</v>
      </c>
      <c r="M463" s="422" t="s">
        <v>46</v>
      </c>
      <c r="N463" s="158" t="s">
        <v>10496</v>
      </c>
      <c r="O463" s="55" t="str">
        <f t="shared" si="14"/>
        <v>L04.00.00.01.00.00.07</v>
      </c>
      <c r="P463" s="169" t="str">
        <f t="shared" si="3"/>
        <v>Hội đồng quản trị</v>
      </c>
      <c r="Q463" s="96"/>
      <c r="R463" s="96" t="s">
        <v>7220</v>
      </c>
      <c r="S463" s="96" t="s">
        <v>303</v>
      </c>
      <c r="T463" s="96" t="s">
        <v>7219</v>
      </c>
      <c r="U463" s="96"/>
      <c r="V463" s="96"/>
      <c r="W463" s="96"/>
      <c r="X463" s="91"/>
      <c r="Y463" s="91"/>
      <c r="Z463" s="91"/>
      <c r="AA463" s="91"/>
      <c r="AB463" s="91"/>
    </row>
    <row r="464" ht="15.75" customHeight="1" outlineLevel="1">
      <c r="A464" s="51" t="s">
        <v>205</v>
      </c>
      <c r="B464" s="57" t="s">
        <v>206</v>
      </c>
      <c r="C464" s="51" t="s">
        <v>27</v>
      </c>
      <c r="D464" s="52" t="s">
        <v>4</v>
      </c>
      <c r="E464" s="53" t="s">
        <v>27</v>
      </c>
      <c r="F464" s="52" t="s">
        <v>4</v>
      </c>
      <c r="G464" s="62" t="s">
        <v>29</v>
      </c>
      <c r="H464" s="54" t="s">
        <v>220</v>
      </c>
      <c r="I464" s="53" t="s">
        <v>27</v>
      </c>
      <c r="J464" s="559" t="s">
        <v>4</v>
      </c>
      <c r="K464" s="166" t="s">
        <v>27</v>
      </c>
      <c r="L464" s="155" t="s">
        <v>4</v>
      </c>
      <c r="M464" s="422" t="s">
        <v>33</v>
      </c>
      <c r="N464" s="158" t="s">
        <v>10499</v>
      </c>
      <c r="O464" s="55" t="str">
        <f t="shared" si="14"/>
        <v>L04.00.00.01.00.00.02</v>
      </c>
      <c r="P464" s="169" t="str">
        <f t="shared" si="3"/>
        <v>Hội đồng quản trị</v>
      </c>
      <c r="Q464" s="96"/>
      <c r="R464" s="96" t="s">
        <v>7220</v>
      </c>
      <c r="S464" s="96" t="s">
        <v>303</v>
      </c>
      <c r="T464" s="96" t="s">
        <v>7219</v>
      </c>
      <c r="U464" s="96"/>
      <c r="V464" s="96"/>
      <c r="W464" s="96"/>
      <c r="X464" s="91"/>
      <c r="Y464" s="91"/>
      <c r="Z464" s="91"/>
      <c r="AA464" s="91"/>
      <c r="AB464" s="91"/>
    </row>
    <row r="465" ht="15.75" customHeight="1" outlineLevel="1">
      <c r="A465" s="51" t="s">
        <v>205</v>
      </c>
      <c r="B465" s="57" t="s">
        <v>206</v>
      </c>
      <c r="C465" s="51" t="s">
        <v>27</v>
      </c>
      <c r="D465" s="52" t="s">
        <v>4</v>
      </c>
      <c r="E465" s="53" t="s">
        <v>27</v>
      </c>
      <c r="F465" s="52" t="s">
        <v>4</v>
      </c>
      <c r="G465" s="62" t="s">
        <v>33</v>
      </c>
      <c r="H465" s="54" t="s">
        <v>221</v>
      </c>
      <c r="I465" s="53" t="s">
        <v>27</v>
      </c>
      <c r="J465" s="559" t="s">
        <v>4</v>
      </c>
      <c r="K465" s="166" t="s">
        <v>27</v>
      </c>
      <c r="L465" s="155" t="s">
        <v>4</v>
      </c>
      <c r="M465" s="422" t="s">
        <v>44</v>
      </c>
      <c r="N465" s="158" t="s">
        <v>10505</v>
      </c>
      <c r="O465" s="55" t="str">
        <f t="shared" si="14"/>
        <v>L04.00.00.02.00.00.06</v>
      </c>
      <c r="P465" s="169" t="str">
        <f t="shared" si="3"/>
        <v>Ban điều hành</v>
      </c>
      <c r="Q465" s="96"/>
      <c r="R465" s="96" t="s">
        <v>9861</v>
      </c>
      <c r="S465" s="96" t="s">
        <v>303</v>
      </c>
      <c r="T465" s="96" t="s">
        <v>221</v>
      </c>
      <c r="U465" s="96"/>
      <c r="V465" s="96"/>
      <c r="W465" s="96"/>
      <c r="X465" s="91"/>
      <c r="Y465" s="91"/>
      <c r="Z465" s="91"/>
      <c r="AA465" s="91"/>
      <c r="AB465" s="91"/>
    </row>
    <row r="466" ht="15.75" customHeight="1" outlineLevel="1">
      <c r="A466" s="51" t="s">
        <v>205</v>
      </c>
      <c r="B466" s="57" t="s">
        <v>206</v>
      </c>
      <c r="C466" s="51" t="s">
        <v>27</v>
      </c>
      <c r="D466" s="52" t="s">
        <v>4</v>
      </c>
      <c r="E466" s="53" t="s">
        <v>27</v>
      </c>
      <c r="F466" s="52" t="s">
        <v>4</v>
      </c>
      <c r="G466" s="62" t="s">
        <v>33</v>
      </c>
      <c r="H466" s="54" t="s">
        <v>221</v>
      </c>
      <c r="I466" s="53" t="s">
        <v>27</v>
      </c>
      <c r="J466" s="559" t="s">
        <v>4</v>
      </c>
      <c r="K466" s="166" t="s">
        <v>27</v>
      </c>
      <c r="L466" s="155" t="s">
        <v>4</v>
      </c>
      <c r="M466" s="422" t="s">
        <v>46</v>
      </c>
      <c r="N466" s="158" t="s">
        <v>10496</v>
      </c>
      <c r="O466" s="55" t="str">
        <f t="shared" si="14"/>
        <v>L04.00.00.02.00.00.07</v>
      </c>
      <c r="P466" s="169" t="str">
        <f t="shared" si="3"/>
        <v>Ban điều hành</v>
      </c>
      <c r="Q466" s="96"/>
      <c r="R466" s="96" t="s">
        <v>9861</v>
      </c>
      <c r="S466" s="96" t="s">
        <v>303</v>
      </c>
      <c r="T466" s="96" t="s">
        <v>221</v>
      </c>
      <c r="U466" s="96"/>
      <c r="V466" s="96"/>
      <c r="W466" s="96"/>
      <c r="X466" s="91"/>
      <c r="Y466" s="91"/>
      <c r="Z466" s="91"/>
      <c r="AA466" s="91"/>
      <c r="AB466" s="91"/>
    </row>
    <row r="467" ht="15.75" customHeight="1" outlineLevel="1">
      <c r="A467" s="51" t="s">
        <v>205</v>
      </c>
      <c r="B467" s="57" t="s">
        <v>206</v>
      </c>
      <c r="C467" s="51" t="s">
        <v>27</v>
      </c>
      <c r="D467" s="52" t="s">
        <v>4</v>
      </c>
      <c r="E467" s="53" t="s">
        <v>27</v>
      </c>
      <c r="F467" s="52" t="s">
        <v>4</v>
      </c>
      <c r="G467" s="62" t="s">
        <v>33</v>
      </c>
      <c r="H467" s="54" t="s">
        <v>221</v>
      </c>
      <c r="I467" s="53" t="s">
        <v>27</v>
      </c>
      <c r="J467" s="559" t="s">
        <v>4</v>
      </c>
      <c r="K467" s="166" t="s">
        <v>27</v>
      </c>
      <c r="L467" s="155" t="s">
        <v>4</v>
      </c>
      <c r="M467" s="422" t="s">
        <v>33</v>
      </c>
      <c r="N467" s="158" t="s">
        <v>10499</v>
      </c>
      <c r="O467" s="55" t="str">
        <f t="shared" si="14"/>
        <v>L04.00.00.02.00.00.02</v>
      </c>
      <c r="P467" s="169" t="str">
        <f t="shared" si="3"/>
        <v>Ban điều hành</v>
      </c>
      <c r="Q467" s="96"/>
      <c r="R467" s="96" t="s">
        <v>9861</v>
      </c>
      <c r="S467" s="96" t="s">
        <v>303</v>
      </c>
      <c r="T467" s="96" t="s">
        <v>221</v>
      </c>
      <c r="U467" s="96"/>
      <c r="V467" s="96"/>
      <c r="W467" s="96"/>
      <c r="X467" s="91"/>
      <c r="Y467" s="91"/>
      <c r="Z467" s="91"/>
      <c r="AA467" s="91"/>
      <c r="AB467" s="91"/>
    </row>
    <row r="468" ht="15.75" customHeight="1" outlineLevel="1">
      <c r="A468" s="51" t="s">
        <v>205</v>
      </c>
      <c r="B468" s="57" t="s">
        <v>206</v>
      </c>
      <c r="C468" s="51" t="s">
        <v>27</v>
      </c>
      <c r="D468" s="52" t="s">
        <v>4</v>
      </c>
      <c r="E468" s="53" t="s">
        <v>27</v>
      </c>
      <c r="F468" s="52" t="s">
        <v>4</v>
      </c>
      <c r="G468" s="62" t="s">
        <v>35</v>
      </c>
      <c r="H468" s="54" t="s">
        <v>222</v>
      </c>
      <c r="I468" s="53" t="s">
        <v>27</v>
      </c>
      <c r="J468" s="559" t="s">
        <v>4</v>
      </c>
      <c r="K468" s="166" t="s">
        <v>27</v>
      </c>
      <c r="L468" s="155" t="s">
        <v>4</v>
      </c>
      <c r="M468" s="422" t="s">
        <v>29</v>
      </c>
      <c r="N468" s="158" t="s">
        <v>10498</v>
      </c>
      <c r="O468" s="55" t="str">
        <f t="shared" si="14"/>
        <v>L04.00.00.03.00.00.01</v>
      </c>
      <c r="P468" s="169" t="str">
        <f t="shared" si="3"/>
        <v>Ban GĐ VP</v>
      </c>
      <c r="Q468" s="96"/>
      <c r="R468" s="96" t="s">
        <v>7551</v>
      </c>
      <c r="S468" s="96" t="s">
        <v>346</v>
      </c>
      <c r="T468" s="96" t="s">
        <v>7550</v>
      </c>
      <c r="U468" s="96"/>
      <c r="V468" s="96"/>
      <c r="W468" s="96"/>
      <c r="X468" s="91"/>
      <c r="Y468" s="91"/>
      <c r="Z468" s="91"/>
      <c r="AA468" s="91"/>
      <c r="AB468" s="91"/>
    </row>
    <row r="469" ht="15.75" customHeight="1" outlineLevel="1">
      <c r="A469" s="51" t="s">
        <v>205</v>
      </c>
      <c r="B469" s="57" t="s">
        <v>206</v>
      </c>
      <c r="C469" s="51" t="s">
        <v>27</v>
      </c>
      <c r="D469" s="52" t="s">
        <v>4</v>
      </c>
      <c r="E469" s="53" t="s">
        <v>27</v>
      </c>
      <c r="F469" s="52" t="s">
        <v>4</v>
      </c>
      <c r="G469" s="62" t="s">
        <v>35</v>
      </c>
      <c r="H469" s="54" t="s">
        <v>222</v>
      </c>
      <c r="I469" s="53" t="s">
        <v>27</v>
      </c>
      <c r="J469" s="559" t="s">
        <v>4</v>
      </c>
      <c r="K469" s="166" t="s">
        <v>27</v>
      </c>
      <c r="L469" s="155" t="s">
        <v>4</v>
      </c>
      <c r="M469" s="422" t="s">
        <v>33</v>
      </c>
      <c r="N469" s="158" t="s">
        <v>10499</v>
      </c>
      <c r="O469" s="55" t="str">
        <f t="shared" si="14"/>
        <v>L04.00.00.03.00.00.02</v>
      </c>
      <c r="P469" s="169" t="str">
        <f t="shared" si="3"/>
        <v>Ban GĐ VP</v>
      </c>
      <c r="Q469" s="96"/>
      <c r="R469" s="96" t="s">
        <v>7602</v>
      </c>
      <c r="S469" s="96" t="s">
        <v>262</v>
      </c>
      <c r="T469" s="96" t="s">
        <v>7601</v>
      </c>
      <c r="U469" s="96"/>
      <c r="V469" s="96"/>
      <c r="W469" s="96"/>
      <c r="X469" s="91"/>
      <c r="Y469" s="91"/>
      <c r="Z469" s="91"/>
      <c r="AA469" s="91"/>
      <c r="AB469" s="91"/>
    </row>
    <row r="470" ht="15.75" customHeight="1" outlineLevel="1">
      <c r="A470" s="51" t="s">
        <v>205</v>
      </c>
      <c r="B470" s="57" t="s">
        <v>206</v>
      </c>
      <c r="C470" s="51" t="s">
        <v>27</v>
      </c>
      <c r="D470" s="52" t="s">
        <v>4</v>
      </c>
      <c r="E470" s="53" t="s">
        <v>27</v>
      </c>
      <c r="F470" s="52" t="s">
        <v>4</v>
      </c>
      <c r="G470" s="62" t="s">
        <v>35</v>
      </c>
      <c r="H470" s="54" t="s">
        <v>222</v>
      </c>
      <c r="I470" s="53" t="s">
        <v>27</v>
      </c>
      <c r="J470" s="559" t="s">
        <v>4</v>
      </c>
      <c r="K470" s="166" t="s">
        <v>27</v>
      </c>
      <c r="L470" s="155" t="s">
        <v>4</v>
      </c>
      <c r="M470" s="422" t="s">
        <v>35</v>
      </c>
      <c r="N470" s="158" t="s">
        <v>10500</v>
      </c>
      <c r="O470" s="55" t="str">
        <f t="shared" si="14"/>
        <v>L04.00.00.03.00.00.03</v>
      </c>
      <c r="P470" s="169" t="str">
        <f t="shared" si="3"/>
        <v>Ban GĐ VP</v>
      </c>
      <c r="Q470" s="96"/>
      <c r="R470" s="96" t="s">
        <v>9531</v>
      </c>
      <c r="S470" s="96" t="s">
        <v>2811</v>
      </c>
      <c r="T470" s="96" t="s">
        <v>32</v>
      </c>
      <c r="U470" s="96"/>
      <c r="V470" s="96"/>
      <c r="W470" s="96"/>
      <c r="X470" s="91"/>
      <c r="Y470" s="91"/>
      <c r="Z470" s="91"/>
      <c r="AA470" s="91"/>
      <c r="AB470" s="91"/>
    </row>
    <row r="471" ht="15.75" customHeight="1" outlineLevel="1">
      <c r="A471" s="51" t="s">
        <v>205</v>
      </c>
      <c r="B471" s="57" t="s">
        <v>206</v>
      </c>
      <c r="C471" s="51" t="s">
        <v>27</v>
      </c>
      <c r="D471" s="52" t="s">
        <v>4</v>
      </c>
      <c r="E471" s="53" t="s">
        <v>27</v>
      </c>
      <c r="F471" s="52" t="s">
        <v>4</v>
      </c>
      <c r="G471" s="62" t="s">
        <v>35</v>
      </c>
      <c r="H471" s="54" t="s">
        <v>222</v>
      </c>
      <c r="I471" s="53" t="s">
        <v>27</v>
      </c>
      <c r="J471" s="559" t="s">
        <v>4</v>
      </c>
      <c r="K471" s="166" t="s">
        <v>27</v>
      </c>
      <c r="L471" s="155" t="s">
        <v>4</v>
      </c>
      <c r="M471" s="422" t="s">
        <v>37</v>
      </c>
      <c r="N471" s="158" t="s">
        <v>10501</v>
      </c>
      <c r="O471" s="55" t="str">
        <f t="shared" si="14"/>
        <v>L04.00.00.03.00.00.04</v>
      </c>
      <c r="P471" s="169" t="str">
        <f t="shared" si="3"/>
        <v>Ban GĐ VP</v>
      </c>
      <c r="Q471" s="96"/>
      <c r="R471" s="96" t="s">
        <v>9866</v>
      </c>
      <c r="S471" s="96" t="s">
        <v>2732</v>
      </c>
      <c r="T471" s="96" t="s">
        <v>32</v>
      </c>
      <c r="U471" s="96"/>
      <c r="V471" s="96"/>
      <c r="W471" s="96"/>
      <c r="X471" s="91"/>
      <c r="Y471" s="91"/>
      <c r="Z471" s="91"/>
      <c r="AA471" s="91"/>
      <c r="AB471" s="91"/>
    </row>
    <row r="472" ht="15.75" customHeight="1" outlineLevel="1">
      <c r="A472" s="51" t="s">
        <v>205</v>
      </c>
      <c r="B472" s="57" t="s">
        <v>206</v>
      </c>
      <c r="C472" s="51" t="s">
        <v>27</v>
      </c>
      <c r="D472" s="52" t="s">
        <v>4</v>
      </c>
      <c r="E472" s="53" t="s">
        <v>27</v>
      </c>
      <c r="F472" s="52" t="s">
        <v>4</v>
      </c>
      <c r="G472" s="62" t="s">
        <v>35</v>
      </c>
      <c r="H472" s="54" t="s">
        <v>222</v>
      </c>
      <c r="I472" s="53" t="s">
        <v>27</v>
      </c>
      <c r="J472" s="559" t="s">
        <v>4</v>
      </c>
      <c r="K472" s="166" t="s">
        <v>27</v>
      </c>
      <c r="L472" s="155" t="s">
        <v>4</v>
      </c>
      <c r="M472" s="422" t="s">
        <v>42</v>
      </c>
      <c r="N472" s="158" t="s">
        <v>10502</v>
      </c>
      <c r="O472" s="55" t="str">
        <f t="shared" si="14"/>
        <v>L04.00.00.03.00.00.05</v>
      </c>
      <c r="P472" s="169" t="str">
        <f t="shared" si="3"/>
        <v>Ban GĐ VP</v>
      </c>
      <c r="Q472" s="96"/>
      <c r="R472" s="96" t="s">
        <v>7280</v>
      </c>
      <c r="S472" s="96" t="s">
        <v>325</v>
      </c>
      <c r="T472" s="96" t="s">
        <v>32</v>
      </c>
      <c r="U472" s="96"/>
      <c r="V472" s="96"/>
      <c r="W472" s="96"/>
      <c r="X472" s="91"/>
      <c r="Y472" s="91"/>
      <c r="Z472" s="91"/>
      <c r="AA472" s="91"/>
      <c r="AB472" s="91"/>
    </row>
    <row r="473" ht="15.75" customHeight="1" outlineLevel="1">
      <c r="A473" s="51" t="s">
        <v>205</v>
      </c>
      <c r="B473" s="57" t="s">
        <v>206</v>
      </c>
      <c r="C473" s="51" t="s">
        <v>27</v>
      </c>
      <c r="D473" s="52" t="s">
        <v>4</v>
      </c>
      <c r="E473" s="53" t="s">
        <v>27</v>
      </c>
      <c r="F473" s="52" t="s">
        <v>4</v>
      </c>
      <c r="G473" s="62" t="s">
        <v>35</v>
      </c>
      <c r="H473" s="54" t="s">
        <v>222</v>
      </c>
      <c r="I473" s="53" t="s">
        <v>27</v>
      </c>
      <c r="J473" s="559" t="s">
        <v>4</v>
      </c>
      <c r="K473" s="166" t="s">
        <v>27</v>
      </c>
      <c r="L473" s="155" t="s">
        <v>4</v>
      </c>
      <c r="M473" s="422" t="s">
        <v>44</v>
      </c>
      <c r="N473" s="158" t="s">
        <v>10505</v>
      </c>
      <c r="O473" s="55" t="str">
        <f t="shared" si="14"/>
        <v>L04.00.00.03.00.00.06</v>
      </c>
      <c r="P473" s="169" t="str">
        <f t="shared" si="3"/>
        <v>Ban GĐ VP</v>
      </c>
      <c r="Q473" s="96"/>
      <c r="R473" s="96" t="s">
        <v>9748</v>
      </c>
      <c r="S473" s="96" t="s">
        <v>303</v>
      </c>
      <c r="T473" s="96" t="s">
        <v>7550</v>
      </c>
      <c r="U473" s="96"/>
      <c r="V473" s="96"/>
      <c r="W473" s="96"/>
      <c r="X473" s="91"/>
      <c r="Y473" s="91"/>
      <c r="Z473" s="91"/>
      <c r="AA473" s="91"/>
      <c r="AB473" s="91"/>
    </row>
    <row r="474" ht="15.75" customHeight="1" outlineLevel="1">
      <c r="A474" s="51" t="s">
        <v>205</v>
      </c>
      <c r="B474" s="57" t="s">
        <v>206</v>
      </c>
      <c r="C474" s="51" t="s">
        <v>27</v>
      </c>
      <c r="D474" s="52" t="s">
        <v>4</v>
      </c>
      <c r="E474" s="53" t="s">
        <v>27</v>
      </c>
      <c r="F474" s="52" t="s">
        <v>4</v>
      </c>
      <c r="G474" s="62" t="s">
        <v>37</v>
      </c>
      <c r="H474" s="54" t="s">
        <v>34</v>
      </c>
      <c r="I474" s="53" t="s">
        <v>27</v>
      </c>
      <c r="J474" s="559" t="s">
        <v>4</v>
      </c>
      <c r="K474" s="166" t="s">
        <v>27</v>
      </c>
      <c r="L474" s="155" t="s">
        <v>4</v>
      </c>
      <c r="M474" s="422" t="s">
        <v>29</v>
      </c>
      <c r="N474" s="158" t="s">
        <v>10498</v>
      </c>
      <c r="O474" s="55" t="str">
        <f t="shared" si="14"/>
        <v>L04.00.00.04.00.00.01</v>
      </c>
      <c r="P474" s="169" t="str">
        <f t="shared" si="3"/>
        <v>Phòng HCTH</v>
      </c>
      <c r="Q474" s="96"/>
      <c r="R474" s="96" t="s">
        <v>4694</v>
      </c>
      <c r="S474" s="96" t="s">
        <v>346</v>
      </c>
      <c r="T474" s="96" t="s">
        <v>2463</v>
      </c>
      <c r="U474" s="96"/>
      <c r="V474" s="96"/>
      <c r="W474" s="96"/>
      <c r="X474" s="91"/>
      <c r="Y474" s="91"/>
      <c r="Z474" s="91"/>
      <c r="AA474" s="91"/>
      <c r="AB474" s="91"/>
    </row>
    <row r="475" ht="15.75" customHeight="1" outlineLevel="1">
      <c r="A475" s="51" t="s">
        <v>205</v>
      </c>
      <c r="B475" s="57" t="s">
        <v>206</v>
      </c>
      <c r="C475" s="51" t="s">
        <v>27</v>
      </c>
      <c r="D475" s="52" t="s">
        <v>4</v>
      </c>
      <c r="E475" s="53" t="s">
        <v>27</v>
      </c>
      <c r="F475" s="52" t="s">
        <v>4</v>
      </c>
      <c r="G475" s="62" t="s">
        <v>37</v>
      </c>
      <c r="H475" s="54" t="s">
        <v>34</v>
      </c>
      <c r="I475" s="53" t="s">
        <v>27</v>
      </c>
      <c r="J475" s="559" t="s">
        <v>4</v>
      </c>
      <c r="K475" s="166" t="s">
        <v>27</v>
      </c>
      <c r="L475" s="155" t="s">
        <v>4</v>
      </c>
      <c r="M475" s="422" t="s">
        <v>33</v>
      </c>
      <c r="N475" s="158" t="s">
        <v>10499</v>
      </c>
      <c r="O475" s="55" t="str">
        <f t="shared" si="14"/>
        <v>L04.00.00.04.00.00.02</v>
      </c>
      <c r="P475" s="169" t="str">
        <f t="shared" si="3"/>
        <v>Phòng HCTH</v>
      </c>
      <c r="Q475" s="96"/>
      <c r="R475" s="96" t="s">
        <v>2464</v>
      </c>
      <c r="S475" s="96" t="s">
        <v>262</v>
      </c>
      <c r="T475" s="96" t="s">
        <v>2463</v>
      </c>
      <c r="U475" s="96"/>
      <c r="V475" s="96"/>
      <c r="W475" s="96"/>
      <c r="X475" s="91"/>
      <c r="Y475" s="91"/>
      <c r="Z475" s="91"/>
      <c r="AA475" s="91"/>
      <c r="AB475" s="91"/>
    </row>
    <row r="476" ht="15.75" customHeight="1" outlineLevel="1">
      <c r="A476" s="51" t="s">
        <v>205</v>
      </c>
      <c r="B476" s="57" t="s">
        <v>206</v>
      </c>
      <c r="C476" s="51" t="s">
        <v>27</v>
      </c>
      <c r="D476" s="52" t="s">
        <v>4</v>
      </c>
      <c r="E476" s="53" t="s">
        <v>27</v>
      </c>
      <c r="F476" s="52" t="s">
        <v>4</v>
      </c>
      <c r="G476" s="62" t="s">
        <v>37</v>
      </c>
      <c r="H476" s="54" t="s">
        <v>34</v>
      </c>
      <c r="I476" s="53" t="s">
        <v>27</v>
      </c>
      <c r="J476" s="559" t="s">
        <v>4</v>
      </c>
      <c r="K476" s="166" t="s">
        <v>27</v>
      </c>
      <c r="L476" s="155" t="s">
        <v>4</v>
      </c>
      <c r="M476" s="422" t="s">
        <v>35</v>
      </c>
      <c r="N476" s="158" t="s">
        <v>10500</v>
      </c>
      <c r="O476" s="55" t="str">
        <f t="shared" si="14"/>
        <v>L04.00.00.04.00.00.03</v>
      </c>
      <c r="P476" s="169" t="str">
        <f t="shared" si="3"/>
        <v>Phòng HCTH</v>
      </c>
      <c r="Q476" s="96"/>
      <c r="R476" s="96" t="s">
        <v>3645</v>
      </c>
      <c r="S476" s="96" t="s">
        <v>2811</v>
      </c>
      <c r="T476" s="96" t="s">
        <v>2463</v>
      </c>
      <c r="U476" s="96"/>
      <c r="V476" s="96"/>
      <c r="W476" s="96"/>
      <c r="X476" s="91"/>
      <c r="Y476" s="91"/>
      <c r="Z476" s="91"/>
      <c r="AA476" s="91"/>
      <c r="AB476" s="91"/>
    </row>
    <row r="477" ht="15.75" customHeight="1" outlineLevel="1">
      <c r="A477" s="51" t="s">
        <v>205</v>
      </c>
      <c r="B477" s="57" t="s">
        <v>206</v>
      </c>
      <c r="C477" s="51" t="s">
        <v>27</v>
      </c>
      <c r="D477" s="52" t="s">
        <v>4</v>
      </c>
      <c r="E477" s="53" t="s">
        <v>27</v>
      </c>
      <c r="F477" s="52" t="s">
        <v>4</v>
      </c>
      <c r="G477" s="62" t="s">
        <v>37</v>
      </c>
      <c r="H477" s="54" t="s">
        <v>34</v>
      </c>
      <c r="I477" s="53" t="s">
        <v>27</v>
      </c>
      <c r="J477" s="559" t="s">
        <v>4</v>
      </c>
      <c r="K477" s="166" t="s">
        <v>27</v>
      </c>
      <c r="L477" s="155" t="s">
        <v>4</v>
      </c>
      <c r="M477" s="422" t="s">
        <v>37</v>
      </c>
      <c r="N477" s="158" t="s">
        <v>10501</v>
      </c>
      <c r="O477" s="55" t="str">
        <f t="shared" si="14"/>
        <v>L04.00.00.04.00.00.04</v>
      </c>
      <c r="P477" s="169" t="str">
        <f t="shared" si="3"/>
        <v>Phòng HCTH</v>
      </c>
      <c r="Q477" s="96"/>
      <c r="R477" s="96" t="s">
        <v>4549</v>
      </c>
      <c r="S477" s="96" t="s">
        <v>2732</v>
      </c>
      <c r="T477" s="96" t="s">
        <v>2463</v>
      </c>
      <c r="U477" s="96"/>
      <c r="V477" s="96"/>
      <c r="W477" s="96"/>
      <c r="X477" s="91"/>
      <c r="Y477" s="91"/>
      <c r="Z477" s="91"/>
      <c r="AA477" s="91"/>
      <c r="AB477" s="91"/>
    </row>
    <row r="478" ht="15.75" customHeight="1" outlineLevel="1">
      <c r="A478" s="51" t="s">
        <v>205</v>
      </c>
      <c r="B478" s="57" t="s">
        <v>206</v>
      </c>
      <c r="C478" s="51" t="s">
        <v>27</v>
      </c>
      <c r="D478" s="52" t="s">
        <v>4</v>
      </c>
      <c r="E478" s="53" t="s">
        <v>27</v>
      </c>
      <c r="F478" s="52" t="s">
        <v>4</v>
      </c>
      <c r="G478" s="62" t="s">
        <v>37</v>
      </c>
      <c r="H478" s="54" t="s">
        <v>34</v>
      </c>
      <c r="I478" s="53" t="s">
        <v>27</v>
      </c>
      <c r="J478" s="559" t="s">
        <v>4</v>
      </c>
      <c r="K478" s="166" t="s">
        <v>27</v>
      </c>
      <c r="L478" s="155" t="s">
        <v>4</v>
      </c>
      <c r="M478" s="422" t="s">
        <v>42</v>
      </c>
      <c r="N478" s="158" t="s">
        <v>10502</v>
      </c>
      <c r="O478" s="55" t="str">
        <f t="shared" si="14"/>
        <v>L04.00.00.04.00.00.05</v>
      </c>
      <c r="P478" s="169" t="str">
        <f t="shared" si="3"/>
        <v>Phòng HCTH</v>
      </c>
      <c r="Q478" s="96"/>
      <c r="R478" s="96" t="s">
        <v>7565</v>
      </c>
      <c r="S478" s="96" t="s">
        <v>325</v>
      </c>
      <c r="T478" s="96" t="s">
        <v>2463</v>
      </c>
      <c r="U478" s="96"/>
      <c r="V478" s="96"/>
      <c r="W478" s="96"/>
      <c r="X478" s="91"/>
      <c r="Y478" s="91"/>
      <c r="Z478" s="91"/>
      <c r="AA478" s="91"/>
      <c r="AB478" s="91"/>
    </row>
    <row r="479" ht="15.75" customHeight="1" outlineLevel="1">
      <c r="A479" s="51" t="s">
        <v>205</v>
      </c>
      <c r="B479" s="57" t="s">
        <v>206</v>
      </c>
      <c r="C479" s="51" t="s">
        <v>27</v>
      </c>
      <c r="D479" s="52" t="s">
        <v>4</v>
      </c>
      <c r="E479" s="53" t="s">
        <v>27</v>
      </c>
      <c r="F479" s="52" t="s">
        <v>4</v>
      </c>
      <c r="G479" s="62" t="s">
        <v>37</v>
      </c>
      <c r="H479" s="54" t="s">
        <v>34</v>
      </c>
      <c r="I479" s="53" t="s">
        <v>27</v>
      </c>
      <c r="J479" s="559" t="s">
        <v>4</v>
      </c>
      <c r="K479" s="166" t="s">
        <v>27</v>
      </c>
      <c r="L479" s="155" t="s">
        <v>4</v>
      </c>
      <c r="M479" s="422" t="s">
        <v>44</v>
      </c>
      <c r="N479" s="158" t="s">
        <v>10505</v>
      </c>
      <c r="O479" s="55" t="str">
        <f t="shared" si="14"/>
        <v>L04.00.00.04.00.00.06</v>
      </c>
      <c r="P479" s="169" t="str">
        <f t="shared" si="3"/>
        <v>Phòng HCTH</v>
      </c>
      <c r="Q479" s="96"/>
      <c r="R479" s="96" t="s">
        <v>2868</v>
      </c>
      <c r="S479" s="96" t="s">
        <v>303</v>
      </c>
      <c r="T479" s="96" t="s">
        <v>2463</v>
      </c>
      <c r="U479" s="96"/>
      <c r="V479" s="96"/>
      <c r="W479" s="96"/>
      <c r="X479" s="91"/>
      <c r="Y479" s="91"/>
      <c r="Z479" s="91"/>
      <c r="AA479" s="91"/>
      <c r="AB479" s="91"/>
    </row>
    <row r="480" ht="15.75" customHeight="1" outlineLevel="1">
      <c r="A480" s="51" t="s">
        <v>205</v>
      </c>
      <c r="B480" s="57" t="s">
        <v>206</v>
      </c>
      <c r="C480" s="51" t="s">
        <v>27</v>
      </c>
      <c r="D480" s="52" t="s">
        <v>4</v>
      </c>
      <c r="E480" s="53" t="s">
        <v>27</v>
      </c>
      <c r="F480" s="52" t="s">
        <v>4</v>
      </c>
      <c r="G480" s="62" t="s">
        <v>42</v>
      </c>
      <c r="H480" s="54" t="s">
        <v>36</v>
      </c>
      <c r="I480" s="53" t="s">
        <v>27</v>
      </c>
      <c r="J480" s="559" t="s">
        <v>4</v>
      </c>
      <c r="K480" s="166" t="s">
        <v>27</v>
      </c>
      <c r="L480" s="155" t="s">
        <v>4</v>
      </c>
      <c r="M480" s="422" t="s">
        <v>29</v>
      </c>
      <c r="N480" s="158" t="s">
        <v>10498</v>
      </c>
      <c r="O480" s="55" t="str">
        <f t="shared" si="14"/>
        <v>L04.00.00.05.00.00.01</v>
      </c>
      <c r="P480" s="169" t="str">
        <f t="shared" si="3"/>
        <v>Phòng Quan hệ cộng đồng</v>
      </c>
      <c r="Q480" s="96"/>
      <c r="R480" s="96" t="s">
        <v>7593</v>
      </c>
      <c r="S480" s="96" t="s">
        <v>346</v>
      </c>
      <c r="T480" s="96" t="s">
        <v>36</v>
      </c>
      <c r="U480" s="96"/>
      <c r="V480" s="96"/>
      <c r="W480" s="96"/>
      <c r="X480" s="91"/>
      <c r="Y480" s="91"/>
      <c r="Z480" s="91"/>
      <c r="AA480" s="91"/>
      <c r="AB480" s="91"/>
    </row>
    <row r="481" ht="15.75" customHeight="1" outlineLevel="1">
      <c r="A481" s="51" t="s">
        <v>205</v>
      </c>
      <c r="B481" s="57" t="s">
        <v>206</v>
      </c>
      <c r="C481" s="51" t="s">
        <v>27</v>
      </c>
      <c r="D481" s="52" t="s">
        <v>4</v>
      </c>
      <c r="E481" s="53" t="s">
        <v>27</v>
      </c>
      <c r="F481" s="52" t="s">
        <v>4</v>
      </c>
      <c r="G481" s="62" t="s">
        <v>42</v>
      </c>
      <c r="H481" s="54" t="s">
        <v>36</v>
      </c>
      <c r="I481" s="53" t="s">
        <v>27</v>
      </c>
      <c r="J481" s="559" t="s">
        <v>4</v>
      </c>
      <c r="K481" s="166" t="s">
        <v>27</v>
      </c>
      <c r="L481" s="155" t="s">
        <v>4</v>
      </c>
      <c r="M481" s="422" t="s">
        <v>33</v>
      </c>
      <c r="N481" s="158" t="s">
        <v>10499</v>
      </c>
      <c r="O481" s="55" t="str">
        <f t="shared" si="14"/>
        <v>L04.00.00.05.00.00.02</v>
      </c>
      <c r="P481" s="169" t="str">
        <f t="shared" si="3"/>
        <v>Phòng Quan hệ cộng đồng</v>
      </c>
      <c r="Q481" s="96"/>
      <c r="R481" s="96" t="s">
        <v>2452</v>
      </c>
      <c r="S481" s="96" t="s">
        <v>262</v>
      </c>
      <c r="T481" s="96" t="s">
        <v>36</v>
      </c>
      <c r="U481" s="96"/>
      <c r="V481" s="96"/>
      <c r="W481" s="96"/>
      <c r="X481" s="91"/>
      <c r="Y481" s="91"/>
      <c r="Z481" s="91"/>
      <c r="AA481" s="91"/>
      <c r="AB481" s="91"/>
    </row>
    <row r="482" ht="15.75" customHeight="1" outlineLevel="1">
      <c r="A482" s="51" t="s">
        <v>205</v>
      </c>
      <c r="B482" s="57" t="s">
        <v>206</v>
      </c>
      <c r="C482" s="51" t="s">
        <v>27</v>
      </c>
      <c r="D482" s="52" t="s">
        <v>4</v>
      </c>
      <c r="E482" s="53" t="s">
        <v>27</v>
      </c>
      <c r="F482" s="52" t="s">
        <v>4</v>
      </c>
      <c r="G482" s="62" t="s">
        <v>42</v>
      </c>
      <c r="H482" s="54" t="s">
        <v>36</v>
      </c>
      <c r="I482" s="53" t="s">
        <v>29</v>
      </c>
      <c r="J482" s="158" t="s">
        <v>223</v>
      </c>
      <c r="K482" s="166" t="s">
        <v>27</v>
      </c>
      <c r="L482" s="155" t="s">
        <v>4</v>
      </c>
      <c r="M482" s="422" t="s">
        <v>44</v>
      </c>
      <c r="N482" s="158" t="s">
        <v>10505</v>
      </c>
      <c r="O482" s="55" t="str">
        <f t="shared" si="14"/>
        <v>L04.00.00.05.01.00.06</v>
      </c>
      <c r="P482" s="169" t="str">
        <f t="shared" si="3"/>
        <v>Ban giám đốc truyền thông</v>
      </c>
      <c r="Q482" s="96"/>
      <c r="R482" s="96" t="s">
        <v>600</v>
      </c>
      <c r="S482" s="96" t="s">
        <v>303</v>
      </c>
      <c r="T482" s="96" t="s">
        <v>36</v>
      </c>
      <c r="U482" s="96" t="s">
        <v>223</v>
      </c>
      <c r="V482" s="96"/>
      <c r="W482" s="96"/>
      <c r="X482" s="91"/>
      <c r="Y482" s="91"/>
      <c r="Z482" s="91"/>
      <c r="AA482" s="91"/>
      <c r="AB482" s="91"/>
    </row>
    <row r="483" ht="15.75" customHeight="1" outlineLevel="1">
      <c r="A483" s="51" t="s">
        <v>205</v>
      </c>
      <c r="B483" s="57" t="s">
        <v>206</v>
      </c>
      <c r="C483" s="51" t="s">
        <v>27</v>
      </c>
      <c r="D483" s="52" t="s">
        <v>4</v>
      </c>
      <c r="E483" s="53" t="s">
        <v>27</v>
      </c>
      <c r="F483" s="52" t="s">
        <v>4</v>
      </c>
      <c r="G483" s="62" t="s">
        <v>42</v>
      </c>
      <c r="H483" s="54" t="s">
        <v>36</v>
      </c>
      <c r="I483" s="53" t="s">
        <v>33</v>
      </c>
      <c r="J483" s="158" t="s">
        <v>224</v>
      </c>
      <c r="K483" s="166" t="s">
        <v>27</v>
      </c>
      <c r="L483" s="155" t="s">
        <v>4</v>
      </c>
      <c r="M483" s="422" t="s">
        <v>44</v>
      </c>
      <c r="N483" s="158" t="s">
        <v>10505</v>
      </c>
      <c r="O483" s="55" t="str">
        <f t="shared" si="14"/>
        <v>L04.00.00.05.02.00.06</v>
      </c>
      <c r="P483" s="169" t="str">
        <f t="shared" si="3"/>
        <v>Phòng PR</v>
      </c>
      <c r="Q483" s="96"/>
      <c r="R483" s="96" t="s">
        <v>3014</v>
      </c>
      <c r="S483" s="96" t="s">
        <v>303</v>
      </c>
      <c r="T483" s="96" t="s">
        <v>36</v>
      </c>
      <c r="U483" s="96"/>
      <c r="V483" s="96"/>
      <c r="W483" s="96"/>
      <c r="X483" s="91"/>
      <c r="Y483" s="91"/>
      <c r="Z483" s="91"/>
      <c r="AA483" s="91"/>
      <c r="AB483" s="91"/>
    </row>
    <row r="484" ht="15.75" customHeight="1" outlineLevel="1">
      <c r="A484" s="51" t="s">
        <v>205</v>
      </c>
      <c r="B484" s="57" t="s">
        <v>206</v>
      </c>
      <c r="C484" s="51" t="s">
        <v>27</v>
      </c>
      <c r="D484" s="52" t="s">
        <v>4</v>
      </c>
      <c r="E484" s="53" t="s">
        <v>27</v>
      </c>
      <c r="F484" s="52" t="s">
        <v>4</v>
      </c>
      <c r="G484" s="62" t="s">
        <v>44</v>
      </c>
      <c r="H484" s="60" t="s">
        <v>225</v>
      </c>
      <c r="I484" s="62" t="s">
        <v>29</v>
      </c>
      <c r="J484" s="700" t="s">
        <v>226</v>
      </c>
      <c r="K484" s="166" t="s">
        <v>27</v>
      </c>
      <c r="L484" s="155" t="s">
        <v>4</v>
      </c>
      <c r="M484" s="422" t="s">
        <v>29</v>
      </c>
      <c r="N484" s="158" t="s">
        <v>10498</v>
      </c>
      <c r="O484" s="55" t="str">
        <f t="shared" si="14"/>
        <v>L04.00.00.06.01.00.01</v>
      </c>
      <c r="P484" s="169" t="str">
        <f t="shared" si="3"/>
        <v>Phòng kế toán</v>
      </c>
      <c r="Q484" s="96"/>
      <c r="R484" s="96" t="s">
        <v>8341</v>
      </c>
      <c r="S484" s="96" t="s">
        <v>346</v>
      </c>
      <c r="T484" s="96" t="s">
        <v>2474</v>
      </c>
      <c r="U484" s="96"/>
      <c r="V484" s="96"/>
      <c r="W484" s="96"/>
      <c r="X484" s="91"/>
      <c r="Y484" s="91"/>
      <c r="Z484" s="91"/>
      <c r="AA484" s="91"/>
      <c r="AB484" s="91"/>
    </row>
    <row r="485" ht="15.75" customHeight="1" outlineLevel="1">
      <c r="A485" s="51" t="s">
        <v>205</v>
      </c>
      <c r="B485" s="57" t="s">
        <v>206</v>
      </c>
      <c r="C485" s="51" t="s">
        <v>27</v>
      </c>
      <c r="D485" s="52" t="s">
        <v>4</v>
      </c>
      <c r="E485" s="53" t="s">
        <v>27</v>
      </c>
      <c r="F485" s="52" t="s">
        <v>4</v>
      </c>
      <c r="G485" s="62" t="s">
        <v>44</v>
      </c>
      <c r="H485" s="60" t="s">
        <v>225</v>
      </c>
      <c r="I485" s="62" t="s">
        <v>29</v>
      </c>
      <c r="J485" s="700" t="s">
        <v>226</v>
      </c>
      <c r="K485" s="166" t="s">
        <v>27</v>
      </c>
      <c r="L485" s="155" t="s">
        <v>4</v>
      </c>
      <c r="M485" s="422" t="s">
        <v>33</v>
      </c>
      <c r="N485" s="158" t="s">
        <v>10499</v>
      </c>
      <c r="O485" s="55" t="str">
        <f t="shared" si="14"/>
        <v>L04.00.00.06.01.00.02</v>
      </c>
      <c r="P485" s="169" t="str">
        <f t="shared" si="3"/>
        <v>Phòng kế toán</v>
      </c>
      <c r="Q485" s="96"/>
      <c r="R485" s="96" t="s">
        <v>2475</v>
      </c>
      <c r="S485" s="96" t="s">
        <v>262</v>
      </c>
      <c r="T485" s="96" t="s">
        <v>2474</v>
      </c>
      <c r="U485" s="96"/>
      <c r="V485" s="96"/>
      <c r="W485" s="96"/>
      <c r="X485" s="91"/>
      <c r="Y485" s="91"/>
      <c r="Z485" s="91"/>
      <c r="AA485" s="91"/>
      <c r="AB485" s="91"/>
    </row>
    <row r="486" ht="15.75" customHeight="1" outlineLevel="1">
      <c r="A486" s="51" t="s">
        <v>205</v>
      </c>
      <c r="B486" s="57" t="s">
        <v>206</v>
      </c>
      <c r="C486" s="51" t="s">
        <v>27</v>
      </c>
      <c r="D486" s="52" t="s">
        <v>4</v>
      </c>
      <c r="E486" s="53" t="s">
        <v>27</v>
      </c>
      <c r="F486" s="52" t="s">
        <v>4</v>
      </c>
      <c r="G486" s="62" t="s">
        <v>44</v>
      </c>
      <c r="H486" s="60" t="s">
        <v>225</v>
      </c>
      <c r="I486" s="62" t="s">
        <v>29</v>
      </c>
      <c r="J486" s="700" t="s">
        <v>226</v>
      </c>
      <c r="K486" s="166" t="s">
        <v>27</v>
      </c>
      <c r="L486" s="155" t="s">
        <v>4</v>
      </c>
      <c r="M486" s="422" t="s">
        <v>35</v>
      </c>
      <c r="N486" s="158" t="s">
        <v>10500</v>
      </c>
      <c r="O486" s="55" t="str">
        <f t="shared" si="14"/>
        <v>L04.00.00.06.01.00.03</v>
      </c>
      <c r="P486" s="169" t="str">
        <f t="shared" si="3"/>
        <v>Phòng kế toán</v>
      </c>
      <c r="Q486" s="96"/>
      <c r="R486" s="96"/>
      <c r="S486" s="96"/>
      <c r="T486" s="96"/>
      <c r="U486" s="96"/>
      <c r="V486" s="96"/>
      <c r="W486" s="96"/>
      <c r="X486" s="91"/>
      <c r="Y486" s="91"/>
      <c r="Z486" s="91"/>
      <c r="AA486" s="91"/>
      <c r="AB486" s="91"/>
    </row>
    <row r="487" ht="15.75" customHeight="1" outlineLevel="1">
      <c r="A487" s="51" t="s">
        <v>205</v>
      </c>
      <c r="B487" s="57" t="s">
        <v>206</v>
      </c>
      <c r="C487" s="51" t="s">
        <v>27</v>
      </c>
      <c r="D487" s="52" t="s">
        <v>4</v>
      </c>
      <c r="E487" s="53" t="s">
        <v>27</v>
      </c>
      <c r="F487" s="52" t="s">
        <v>4</v>
      </c>
      <c r="G487" s="62" t="s">
        <v>44</v>
      </c>
      <c r="H487" s="60" t="s">
        <v>225</v>
      </c>
      <c r="I487" s="62" t="s">
        <v>29</v>
      </c>
      <c r="J487" s="700" t="s">
        <v>226</v>
      </c>
      <c r="K487" s="166" t="s">
        <v>27</v>
      </c>
      <c r="L487" s="155" t="s">
        <v>4</v>
      </c>
      <c r="M487" s="422" t="s">
        <v>37</v>
      </c>
      <c r="N487" s="158" t="s">
        <v>10501</v>
      </c>
      <c r="O487" s="55" t="str">
        <f t="shared" si="14"/>
        <v>L04.00.00.06.01.00.04</v>
      </c>
      <c r="P487" s="169" t="str">
        <f t="shared" si="3"/>
        <v>Phòng kế toán</v>
      </c>
      <c r="Q487" s="96"/>
      <c r="R487" s="96"/>
      <c r="S487" s="96"/>
      <c r="T487" s="96"/>
      <c r="U487" s="96"/>
      <c r="V487" s="96"/>
      <c r="W487" s="96"/>
      <c r="X487" s="91"/>
      <c r="Y487" s="91"/>
      <c r="Z487" s="91"/>
      <c r="AA487" s="91"/>
      <c r="AB487" s="91"/>
    </row>
    <row r="488" ht="15.75" customHeight="1" outlineLevel="1">
      <c r="A488" s="51" t="s">
        <v>205</v>
      </c>
      <c r="B488" s="57" t="s">
        <v>206</v>
      </c>
      <c r="C488" s="51" t="s">
        <v>27</v>
      </c>
      <c r="D488" s="52" t="s">
        <v>4</v>
      </c>
      <c r="E488" s="53" t="s">
        <v>27</v>
      </c>
      <c r="F488" s="52" t="s">
        <v>4</v>
      </c>
      <c r="G488" s="62" t="s">
        <v>44</v>
      </c>
      <c r="H488" s="60" t="s">
        <v>225</v>
      </c>
      <c r="I488" s="62" t="s">
        <v>29</v>
      </c>
      <c r="J488" s="700" t="s">
        <v>226</v>
      </c>
      <c r="K488" s="166" t="s">
        <v>27</v>
      </c>
      <c r="L488" s="155" t="s">
        <v>4</v>
      </c>
      <c r="M488" s="422" t="s">
        <v>42</v>
      </c>
      <c r="N488" s="158" t="s">
        <v>10502</v>
      </c>
      <c r="O488" s="55" t="str">
        <f t="shared" si="14"/>
        <v>L04.00.00.06.01.00.05</v>
      </c>
      <c r="P488" s="169" t="str">
        <f t="shared" si="3"/>
        <v>Phòng kế toán</v>
      </c>
      <c r="Q488" s="96"/>
      <c r="R488" s="96"/>
      <c r="S488" s="96"/>
      <c r="T488" s="96"/>
      <c r="U488" s="96"/>
      <c r="V488" s="96"/>
      <c r="W488" s="96"/>
      <c r="X488" s="91"/>
      <c r="Y488" s="91"/>
      <c r="Z488" s="91"/>
      <c r="AA488" s="91"/>
      <c r="AB488" s="91"/>
    </row>
    <row r="489" ht="15.75" customHeight="1" outlineLevel="1">
      <c r="A489" s="51" t="s">
        <v>205</v>
      </c>
      <c r="B489" s="57" t="s">
        <v>206</v>
      </c>
      <c r="C489" s="51" t="s">
        <v>27</v>
      </c>
      <c r="D489" s="52" t="s">
        <v>4</v>
      </c>
      <c r="E489" s="53" t="s">
        <v>27</v>
      </c>
      <c r="F489" s="52" t="s">
        <v>4</v>
      </c>
      <c r="G489" s="62" t="s">
        <v>44</v>
      </c>
      <c r="H489" s="60" t="s">
        <v>225</v>
      </c>
      <c r="I489" s="62" t="s">
        <v>29</v>
      </c>
      <c r="J489" s="700" t="s">
        <v>226</v>
      </c>
      <c r="K489" s="166" t="s">
        <v>27</v>
      </c>
      <c r="L489" s="155" t="s">
        <v>4</v>
      </c>
      <c r="M489" s="422" t="s">
        <v>44</v>
      </c>
      <c r="N489" s="158" t="s">
        <v>10505</v>
      </c>
      <c r="O489" s="55" t="str">
        <f t="shared" si="14"/>
        <v>L04.00.00.06.01.00.06</v>
      </c>
      <c r="P489" s="169" t="str">
        <f t="shared" si="3"/>
        <v>Phòng kế toán</v>
      </c>
      <c r="Q489" s="96"/>
      <c r="R489" s="96"/>
      <c r="S489" s="96"/>
      <c r="T489" s="96"/>
      <c r="U489" s="96"/>
      <c r="V489" s="96"/>
      <c r="W489" s="96"/>
      <c r="X489" s="91"/>
      <c r="Y489" s="91"/>
      <c r="Z489" s="91"/>
      <c r="AA489" s="91"/>
      <c r="AB489" s="91"/>
    </row>
    <row r="490" ht="15.75" customHeight="1" outlineLevel="1">
      <c r="A490" s="51" t="s">
        <v>205</v>
      </c>
      <c r="B490" s="57" t="s">
        <v>206</v>
      </c>
      <c r="C490" s="51" t="s">
        <v>27</v>
      </c>
      <c r="D490" s="52" t="s">
        <v>4</v>
      </c>
      <c r="E490" s="53" t="s">
        <v>27</v>
      </c>
      <c r="F490" s="52" t="s">
        <v>4</v>
      </c>
      <c r="G490" s="62" t="s">
        <v>44</v>
      </c>
      <c r="H490" s="60" t="s">
        <v>225</v>
      </c>
      <c r="I490" s="62" t="s">
        <v>29</v>
      </c>
      <c r="J490" s="700" t="s">
        <v>226</v>
      </c>
      <c r="K490" s="166" t="s">
        <v>27</v>
      </c>
      <c r="L490" s="155" t="s">
        <v>4</v>
      </c>
      <c r="M490" s="422" t="s">
        <v>46</v>
      </c>
      <c r="N490" s="158" t="s">
        <v>10496</v>
      </c>
      <c r="O490" s="55" t="str">
        <f t="shared" si="14"/>
        <v>L04.00.00.06.01.00.07</v>
      </c>
      <c r="P490" s="169" t="str">
        <f t="shared" si="3"/>
        <v>Phòng kế toán</v>
      </c>
      <c r="Q490" s="96"/>
      <c r="R490" s="96" t="s">
        <v>9890</v>
      </c>
      <c r="S490" s="96" t="s">
        <v>303</v>
      </c>
      <c r="T490" s="96" t="s">
        <v>226</v>
      </c>
      <c r="U490" s="96"/>
      <c r="V490" s="96"/>
      <c r="W490" s="96"/>
      <c r="X490" s="91"/>
      <c r="Y490" s="91"/>
      <c r="Z490" s="91"/>
      <c r="AA490" s="91"/>
      <c r="AB490" s="91"/>
    </row>
    <row r="491" ht="15.75" customHeight="1" outlineLevel="1">
      <c r="A491" s="51" t="s">
        <v>205</v>
      </c>
      <c r="B491" s="57" t="s">
        <v>206</v>
      </c>
      <c r="C491" s="51" t="s">
        <v>27</v>
      </c>
      <c r="D491" s="52" t="s">
        <v>4</v>
      </c>
      <c r="E491" s="53" t="s">
        <v>27</v>
      </c>
      <c r="F491" s="52" t="s">
        <v>4</v>
      </c>
      <c r="G491" s="62" t="s">
        <v>44</v>
      </c>
      <c r="H491" s="60" t="s">
        <v>225</v>
      </c>
      <c r="I491" s="62" t="s">
        <v>33</v>
      </c>
      <c r="J491" s="700" t="s">
        <v>227</v>
      </c>
      <c r="K491" s="166" t="s">
        <v>27</v>
      </c>
      <c r="L491" s="155" t="s">
        <v>4</v>
      </c>
      <c r="M491" s="422" t="s">
        <v>44</v>
      </c>
      <c r="N491" s="158" t="s">
        <v>10505</v>
      </c>
      <c r="O491" s="55" t="str">
        <f t="shared" si="14"/>
        <v>L04.00.00.06.02.00.06</v>
      </c>
      <c r="P491" s="169" t="str">
        <f t="shared" si="3"/>
        <v>Phòng kế hoạch đầu tư</v>
      </c>
      <c r="Q491" s="96"/>
      <c r="R491" s="96" t="s">
        <v>9692</v>
      </c>
      <c r="S491" s="96" t="s">
        <v>303</v>
      </c>
      <c r="T491" s="96" t="s">
        <v>9691</v>
      </c>
      <c r="U491" s="96"/>
      <c r="V491" s="96"/>
      <c r="W491" s="96"/>
      <c r="X491" s="91"/>
      <c r="Y491" s="91"/>
      <c r="Z491" s="91"/>
      <c r="AA491" s="91"/>
      <c r="AB491" s="91"/>
    </row>
    <row r="492" ht="15.75" customHeight="1" outlineLevel="1">
      <c r="A492" s="51" t="s">
        <v>205</v>
      </c>
      <c r="B492" s="57" t="s">
        <v>206</v>
      </c>
      <c r="C492" s="51" t="s">
        <v>27</v>
      </c>
      <c r="D492" s="52" t="s">
        <v>4</v>
      </c>
      <c r="E492" s="53" t="s">
        <v>27</v>
      </c>
      <c r="F492" s="52" t="s">
        <v>4</v>
      </c>
      <c r="G492" s="62" t="s">
        <v>46</v>
      </c>
      <c r="H492" s="60" t="s">
        <v>228</v>
      </c>
      <c r="I492" s="53" t="s">
        <v>27</v>
      </c>
      <c r="J492" s="559" t="s">
        <v>4</v>
      </c>
      <c r="K492" s="166" t="s">
        <v>27</v>
      </c>
      <c r="L492" s="155" t="s">
        <v>4</v>
      </c>
      <c r="M492" s="422" t="s">
        <v>44</v>
      </c>
      <c r="N492" s="158" t="s">
        <v>10505</v>
      </c>
      <c r="O492" s="55" t="str">
        <f t="shared" si="14"/>
        <v>L04.00.00.07.00.00.06</v>
      </c>
      <c r="P492" s="169" t="str">
        <f t="shared" si="3"/>
        <v>Ban nhân sự</v>
      </c>
      <c r="Q492" s="441"/>
      <c r="R492" s="441" t="s">
        <v>304</v>
      </c>
      <c r="S492" s="441" t="s">
        <v>303</v>
      </c>
      <c r="T492" s="441" t="s">
        <v>228</v>
      </c>
      <c r="U492" s="441" t="s">
        <v>228</v>
      </c>
      <c r="V492" s="96"/>
      <c r="W492" s="96"/>
      <c r="X492" s="91"/>
      <c r="Y492" s="91"/>
      <c r="Z492" s="91"/>
      <c r="AA492" s="91"/>
      <c r="AB492" s="91"/>
    </row>
    <row r="493" ht="15.75" customHeight="1" outlineLevel="1">
      <c r="A493" s="51" t="s">
        <v>205</v>
      </c>
      <c r="B493" s="57" t="s">
        <v>206</v>
      </c>
      <c r="C493" s="51" t="s">
        <v>27</v>
      </c>
      <c r="D493" s="52" t="s">
        <v>4</v>
      </c>
      <c r="E493" s="53" t="s">
        <v>27</v>
      </c>
      <c r="F493" s="52" t="s">
        <v>4</v>
      </c>
      <c r="G493" s="62" t="s">
        <v>46</v>
      </c>
      <c r="H493" s="60" t="s">
        <v>228</v>
      </c>
      <c r="I493" s="53" t="s">
        <v>27</v>
      </c>
      <c r="J493" s="559" t="s">
        <v>4</v>
      </c>
      <c r="K493" s="166" t="s">
        <v>27</v>
      </c>
      <c r="L493" s="155" t="s">
        <v>4</v>
      </c>
      <c r="M493" s="155" t="s">
        <v>29</v>
      </c>
      <c r="N493" s="158" t="s">
        <v>10498</v>
      </c>
      <c r="O493" s="55" t="str">
        <f t="shared" si="14"/>
        <v>L04.00.00.07.00.00.01</v>
      </c>
      <c r="P493" s="169" t="str">
        <f t="shared" si="3"/>
        <v>Ban nhân sự</v>
      </c>
      <c r="Q493" s="96"/>
      <c r="R493" s="96" t="s">
        <v>347</v>
      </c>
      <c r="S493" s="96" t="s">
        <v>346</v>
      </c>
      <c r="T493" s="96" t="s">
        <v>38</v>
      </c>
      <c r="U493" s="96"/>
      <c r="V493" s="96"/>
      <c r="W493" s="96"/>
      <c r="X493" s="91"/>
      <c r="Y493" s="91"/>
      <c r="Z493" s="91"/>
      <c r="AA493" s="91"/>
      <c r="AB493" s="91"/>
    </row>
    <row r="494" ht="15.75" customHeight="1" outlineLevel="1">
      <c r="A494" s="51" t="s">
        <v>205</v>
      </c>
      <c r="B494" s="57" t="s">
        <v>206</v>
      </c>
      <c r="C494" s="51" t="s">
        <v>27</v>
      </c>
      <c r="D494" s="52" t="s">
        <v>4</v>
      </c>
      <c r="E494" s="53" t="s">
        <v>27</v>
      </c>
      <c r="F494" s="52" t="s">
        <v>4</v>
      </c>
      <c r="G494" s="62" t="s">
        <v>46</v>
      </c>
      <c r="H494" s="60" t="s">
        <v>228</v>
      </c>
      <c r="I494" s="53" t="s">
        <v>27</v>
      </c>
      <c r="J494" s="559" t="s">
        <v>4</v>
      </c>
      <c r="K494" s="166" t="s">
        <v>27</v>
      </c>
      <c r="L494" s="155" t="s">
        <v>4</v>
      </c>
      <c r="M494" s="155" t="s">
        <v>33</v>
      </c>
      <c r="N494" s="158" t="s">
        <v>10499</v>
      </c>
      <c r="O494" s="55" t="str">
        <f t="shared" si="14"/>
        <v>L04.00.00.07.00.00.02</v>
      </c>
      <c r="P494" s="169" t="str">
        <f t="shared" si="3"/>
        <v>Ban nhân sự</v>
      </c>
      <c r="Q494" s="96"/>
      <c r="R494" s="96" t="s">
        <v>2423</v>
      </c>
      <c r="S494" s="96" t="s">
        <v>262</v>
      </c>
      <c r="T494" s="96" t="s">
        <v>38</v>
      </c>
      <c r="U494" s="96"/>
      <c r="V494" s="96"/>
      <c r="W494" s="96"/>
      <c r="X494" s="91"/>
      <c r="Y494" s="91"/>
      <c r="Z494" s="91"/>
      <c r="AA494" s="91"/>
      <c r="AB494" s="91"/>
    </row>
    <row r="495" ht="15.75" customHeight="1" outlineLevel="1">
      <c r="A495" s="51" t="s">
        <v>205</v>
      </c>
      <c r="B495" s="57" t="s">
        <v>206</v>
      </c>
      <c r="C495" s="51" t="s">
        <v>27</v>
      </c>
      <c r="D495" s="52" t="s">
        <v>4</v>
      </c>
      <c r="E495" s="53" t="s">
        <v>27</v>
      </c>
      <c r="F495" s="52" t="s">
        <v>4</v>
      </c>
      <c r="G495" s="62" t="s">
        <v>46</v>
      </c>
      <c r="H495" s="60" t="s">
        <v>228</v>
      </c>
      <c r="I495" s="53" t="s">
        <v>27</v>
      </c>
      <c r="J495" s="559" t="s">
        <v>4</v>
      </c>
      <c r="K495" s="166" t="s">
        <v>27</v>
      </c>
      <c r="L495" s="155" t="s">
        <v>4</v>
      </c>
      <c r="M495" s="155" t="s">
        <v>49</v>
      </c>
      <c r="N495" s="158" t="s">
        <v>10514</v>
      </c>
      <c r="O495" s="55" t="str">
        <f t="shared" si="14"/>
        <v>L04.00.00.07.00.00.08</v>
      </c>
      <c r="P495" s="169" t="str">
        <f t="shared" si="3"/>
        <v>Ban nhân sự</v>
      </c>
      <c r="Q495" s="96"/>
      <c r="R495" s="96"/>
      <c r="S495" s="96"/>
      <c r="T495" s="96"/>
      <c r="U495" s="96"/>
      <c r="V495" s="96"/>
      <c r="W495" s="96"/>
      <c r="X495" s="91"/>
      <c r="Y495" s="91"/>
      <c r="Z495" s="91"/>
      <c r="AA495" s="91"/>
      <c r="AB495" s="91"/>
    </row>
    <row r="496" ht="15.75" customHeight="1" outlineLevel="1">
      <c r="A496" s="51" t="s">
        <v>205</v>
      </c>
      <c r="B496" s="57" t="s">
        <v>206</v>
      </c>
      <c r="C496" s="51" t="s">
        <v>27</v>
      </c>
      <c r="D496" s="52" t="s">
        <v>4</v>
      </c>
      <c r="E496" s="53" t="s">
        <v>27</v>
      </c>
      <c r="F496" s="52" t="s">
        <v>4</v>
      </c>
      <c r="G496" s="62" t="s">
        <v>49</v>
      </c>
      <c r="H496" s="60" t="s">
        <v>229</v>
      </c>
      <c r="I496" s="53" t="s">
        <v>27</v>
      </c>
      <c r="J496" s="559" t="s">
        <v>4</v>
      </c>
      <c r="K496" s="166" t="s">
        <v>27</v>
      </c>
      <c r="L496" s="155" t="s">
        <v>4</v>
      </c>
      <c r="M496" s="422" t="s">
        <v>44</v>
      </c>
      <c r="N496" s="158" t="s">
        <v>10505</v>
      </c>
      <c r="O496" s="55" t="str">
        <f t="shared" si="14"/>
        <v>L04.00.00.08.00.00.06</v>
      </c>
      <c r="P496" s="169" t="str">
        <f t="shared" si="3"/>
        <v>Ban pháp chế</v>
      </c>
      <c r="Q496" s="96"/>
      <c r="R496" s="96" t="s">
        <v>9755</v>
      </c>
      <c r="S496" s="96" t="s">
        <v>303</v>
      </c>
      <c r="T496" s="96" t="s">
        <v>9754</v>
      </c>
      <c r="U496" s="96"/>
      <c r="V496" s="96"/>
      <c r="W496" s="96"/>
      <c r="X496" s="91"/>
      <c r="Y496" s="91"/>
      <c r="Z496" s="91"/>
      <c r="AA496" s="91"/>
      <c r="AB496" s="91"/>
    </row>
    <row r="497" ht="15.75" customHeight="1" outlineLevel="1">
      <c r="A497" s="51" t="s">
        <v>205</v>
      </c>
      <c r="B497" s="57" t="s">
        <v>206</v>
      </c>
      <c r="C497" s="51" t="s">
        <v>27</v>
      </c>
      <c r="D497" s="52" t="s">
        <v>4</v>
      </c>
      <c r="E497" s="53" t="s">
        <v>27</v>
      </c>
      <c r="F497" s="52" t="s">
        <v>4</v>
      </c>
      <c r="G497" s="62" t="s">
        <v>51</v>
      </c>
      <c r="H497" s="60" t="s">
        <v>230</v>
      </c>
      <c r="I497" s="53" t="s">
        <v>27</v>
      </c>
      <c r="J497" s="559" t="s">
        <v>4</v>
      </c>
      <c r="K497" s="166" t="s">
        <v>27</v>
      </c>
      <c r="L497" s="155" t="s">
        <v>4</v>
      </c>
      <c r="M497" s="422" t="s">
        <v>44</v>
      </c>
      <c r="N497" s="158" t="s">
        <v>10505</v>
      </c>
      <c r="O497" s="55" t="str">
        <f t="shared" si="14"/>
        <v>L04.00.00.09.00.00.06</v>
      </c>
      <c r="P497" s="169" t="str">
        <f t="shared" si="3"/>
        <v>Ban quản lý chứng thư số</v>
      </c>
      <c r="Q497" s="441"/>
      <c r="R497" s="441" t="s">
        <v>7265</v>
      </c>
      <c r="S497" s="441" t="s">
        <v>303</v>
      </c>
      <c r="T497" s="441" t="s">
        <v>7264</v>
      </c>
      <c r="U497" s="441" t="s">
        <v>7264</v>
      </c>
      <c r="V497" s="96"/>
      <c r="W497" s="96"/>
      <c r="X497" s="91"/>
      <c r="Y497" s="91"/>
      <c r="Z497" s="91"/>
      <c r="AA497" s="91"/>
      <c r="AB497" s="91"/>
    </row>
    <row r="498" ht="15.75" customHeight="1" outlineLevel="1">
      <c r="A498" s="51" t="s">
        <v>205</v>
      </c>
      <c r="B498" s="57" t="s">
        <v>206</v>
      </c>
      <c r="C498" s="51" t="s">
        <v>27</v>
      </c>
      <c r="D498" s="52" t="s">
        <v>4</v>
      </c>
      <c r="E498" s="53" t="s">
        <v>27</v>
      </c>
      <c r="F498" s="52" t="s">
        <v>4</v>
      </c>
      <c r="G498" s="62" t="s">
        <v>55</v>
      </c>
      <c r="H498" s="60" t="s">
        <v>231</v>
      </c>
      <c r="I498" s="53" t="s">
        <v>27</v>
      </c>
      <c r="J498" s="559" t="s">
        <v>4</v>
      </c>
      <c r="K498" s="166" t="s">
        <v>27</v>
      </c>
      <c r="L498" s="155" t="s">
        <v>4</v>
      </c>
      <c r="M498" s="422" t="s">
        <v>44</v>
      </c>
      <c r="N498" s="158" t="s">
        <v>10505</v>
      </c>
      <c r="O498" s="55" t="str">
        <f t="shared" si="14"/>
        <v>L04.00.00.10.00.00.06</v>
      </c>
      <c r="P498" s="169" t="str">
        <f t="shared" si="3"/>
        <v>Ban đảm bảo chất lượng</v>
      </c>
      <c r="Q498" s="96"/>
      <c r="R498" s="96" t="s">
        <v>4395</v>
      </c>
      <c r="S498" s="96" t="s">
        <v>303</v>
      </c>
      <c r="T498" s="96" t="s">
        <v>231</v>
      </c>
      <c r="U498" s="96"/>
      <c r="V498" s="96"/>
      <c r="W498" s="96"/>
      <c r="X498" s="91"/>
      <c r="Y498" s="91"/>
      <c r="Z498" s="91"/>
      <c r="AA498" s="91"/>
      <c r="AB498" s="91"/>
    </row>
    <row r="499" ht="15.75" customHeight="1" outlineLevel="1">
      <c r="A499" s="51" t="s">
        <v>205</v>
      </c>
      <c r="B499" s="57" t="s">
        <v>206</v>
      </c>
      <c r="C499" s="51" t="s">
        <v>27</v>
      </c>
      <c r="D499" s="52" t="s">
        <v>4</v>
      </c>
      <c r="E499" s="53" t="s">
        <v>27</v>
      </c>
      <c r="F499" s="52" t="s">
        <v>4</v>
      </c>
      <c r="G499" s="57">
        <v>11.0</v>
      </c>
      <c r="H499" s="60" t="s">
        <v>207</v>
      </c>
      <c r="I499" s="62" t="s">
        <v>29</v>
      </c>
      <c r="J499" s="700" t="s">
        <v>208</v>
      </c>
      <c r="K499" s="166" t="s">
        <v>27</v>
      </c>
      <c r="L499" s="155" t="s">
        <v>4</v>
      </c>
      <c r="M499" s="422" t="s">
        <v>44</v>
      </c>
      <c r="N499" s="158" t="s">
        <v>10505</v>
      </c>
      <c r="O499" s="55" t="str">
        <f t="shared" si="14"/>
        <v>L04.00.00.11.01.00.06</v>
      </c>
      <c r="P499" s="169" t="str">
        <f t="shared" si="3"/>
        <v>Ban QLKD - Khối HCSN</v>
      </c>
      <c r="Q499" s="96"/>
      <c r="R499" s="96" t="s">
        <v>9307</v>
      </c>
      <c r="S499" s="96" t="s">
        <v>303</v>
      </c>
      <c r="T499" s="96" t="s">
        <v>9306</v>
      </c>
      <c r="U499" s="96"/>
      <c r="V499" s="96"/>
      <c r="W499" s="96"/>
      <c r="X499" s="91"/>
      <c r="Y499" s="91"/>
      <c r="Z499" s="91"/>
      <c r="AA499" s="91"/>
      <c r="AB499" s="91"/>
    </row>
    <row r="500" ht="15.75" customHeight="1" outlineLevel="1">
      <c r="A500" s="51" t="s">
        <v>205</v>
      </c>
      <c r="B500" s="57" t="s">
        <v>206</v>
      </c>
      <c r="C500" s="51" t="s">
        <v>27</v>
      </c>
      <c r="D500" s="52" t="s">
        <v>4</v>
      </c>
      <c r="E500" s="53" t="s">
        <v>27</v>
      </c>
      <c r="F500" s="52" t="s">
        <v>4</v>
      </c>
      <c r="G500" s="57">
        <v>11.0</v>
      </c>
      <c r="H500" s="60" t="s">
        <v>207</v>
      </c>
      <c r="I500" s="62" t="s">
        <v>33</v>
      </c>
      <c r="J500" s="700" t="s">
        <v>209</v>
      </c>
      <c r="K500" s="166" t="s">
        <v>27</v>
      </c>
      <c r="L500" s="155" t="s">
        <v>4</v>
      </c>
      <c r="M500" s="422" t="s">
        <v>44</v>
      </c>
      <c r="N500" s="158" t="s">
        <v>10505</v>
      </c>
      <c r="O500" s="55" t="str">
        <f t="shared" si="14"/>
        <v>L04.00.00.11.02.00.06</v>
      </c>
      <c r="P500" s="169" t="str">
        <f t="shared" si="3"/>
        <v>Ban QLKD - Khối DN</v>
      </c>
      <c r="Q500" s="96"/>
      <c r="R500" s="96" t="s">
        <v>9307</v>
      </c>
      <c r="S500" s="96" t="s">
        <v>303</v>
      </c>
      <c r="T500" s="96" t="s">
        <v>9306</v>
      </c>
      <c r="U500" s="96"/>
      <c r="V500" s="96"/>
      <c r="W500" s="96"/>
      <c r="X500" s="91"/>
      <c r="Y500" s="91"/>
      <c r="Z500" s="91"/>
      <c r="AA500" s="91"/>
      <c r="AB500" s="91"/>
    </row>
    <row r="501" ht="15.75" customHeight="1" outlineLevel="1">
      <c r="A501" s="51" t="s">
        <v>205</v>
      </c>
      <c r="B501" s="57" t="s">
        <v>206</v>
      </c>
      <c r="C501" s="51" t="s">
        <v>27</v>
      </c>
      <c r="D501" s="52" t="s">
        <v>4</v>
      </c>
      <c r="E501" s="53" t="s">
        <v>27</v>
      </c>
      <c r="F501" s="52" t="s">
        <v>4</v>
      </c>
      <c r="G501" s="57">
        <v>12.0</v>
      </c>
      <c r="H501" s="60" t="s">
        <v>210</v>
      </c>
      <c r="I501" s="53" t="s">
        <v>27</v>
      </c>
      <c r="J501" s="559" t="s">
        <v>4</v>
      </c>
      <c r="K501" s="166" t="s">
        <v>27</v>
      </c>
      <c r="L501" s="155" t="s">
        <v>4</v>
      </c>
      <c r="M501" s="422" t="s">
        <v>44</v>
      </c>
      <c r="N501" s="158" t="s">
        <v>10505</v>
      </c>
      <c r="O501" s="55" t="str">
        <f t="shared" si="14"/>
        <v>L04.00.00.12.00.00.06</v>
      </c>
      <c r="P501" s="169" t="str">
        <f t="shared" si="3"/>
        <v>Ban Marketing</v>
      </c>
      <c r="Q501" s="96"/>
      <c r="R501" s="96"/>
      <c r="S501" s="96"/>
      <c r="T501" s="96"/>
      <c r="U501" s="96"/>
      <c r="V501" s="96"/>
      <c r="W501" s="96"/>
      <c r="X501" s="91"/>
      <c r="Y501" s="91"/>
      <c r="Z501" s="91"/>
      <c r="AA501" s="91"/>
      <c r="AB501" s="91"/>
    </row>
    <row r="502" ht="15.75" customHeight="1" outlineLevel="1">
      <c r="A502" s="51" t="s">
        <v>205</v>
      </c>
      <c r="B502" s="57" t="s">
        <v>206</v>
      </c>
      <c r="C502" s="51" t="s">
        <v>27</v>
      </c>
      <c r="D502" s="52" t="s">
        <v>4</v>
      </c>
      <c r="E502" s="53" t="s">
        <v>27</v>
      </c>
      <c r="F502" s="52" t="s">
        <v>4</v>
      </c>
      <c r="G502" s="57">
        <v>13.0</v>
      </c>
      <c r="H502" s="60" t="s">
        <v>211</v>
      </c>
      <c r="I502" s="62" t="s">
        <v>29</v>
      </c>
      <c r="J502" s="700" t="s">
        <v>212</v>
      </c>
      <c r="K502" s="166" t="s">
        <v>27</v>
      </c>
      <c r="L502" s="155" t="s">
        <v>4</v>
      </c>
      <c r="M502" s="422" t="s">
        <v>44</v>
      </c>
      <c r="N502" s="158" t="s">
        <v>10505</v>
      </c>
      <c r="O502" s="55" t="str">
        <f t="shared" si="14"/>
        <v>L04.00.00.13.01.00.06</v>
      </c>
      <c r="P502" s="169" t="str">
        <f t="shared" si="3"/>
        <v>Ban GĐ Viện</v>
      </c>
      <c r="Q502" s="96"/>
      <c r="R502" s="96"/>
      <c r="S502" s="96"/>
      <c r="T502" s="96"/>
      <c r="U502" s="96"/>
      <c r="V502" s="96"/>
      <c r="W502" s="96"/>
      <c r="X502" s="91"/>
      <c r="Y502" s="91"/>
      <c r="Z502" s="91"/>
      <c r="AA502" s="91"/>
      <c r="AB502" s="91"/>
    </row>
    <row r="503" ht="15.75" customHeight="1" outlineLevel="1">
      <c r="A503" s="51" t="s">
        <v>205</v>
      </c>
      <c r="B503" s="57" t="s">
        <v>206</v>
      </c>
      <c r="C503" s="51" t="s">
        <v>27</v>
      </c>
      <c r="D503" s="52" t="s">
        <v>4</v>
      </c>
      <c r="E503" s="53" t="s">
        <v>27</v>
      </c>
      <c r="F503" s="52" t="s">
        <v>4</v>
      </c>
      <c r="G503" s="57">
        <v>13.0</v>
      </c>
      <c r="H503" s="60" t="s">
        <v>211</v>
      </c>
      <c r="I503" s="62" t="s">
        <v>33</v>
      </c>
      <c r="J503" s="701" t="s">
        <v>213</v>
      </c>
      <c r="K503" s="422" t="s">
        <v>29</v>
      </c>
      <c r="L503" s="702" t="s">
        <v>214</v>
      </c>
      <c r="M503" s="422" t="s">
        <v>44</v>
      </c>
      <c r="N503" s="158" t="s">
        <v>10505</v>
      </c>
      <c r="O503" s="55" t="str">
        <f t="shared" si="14"/>
        <v>L04.00.00.13.02.01.06</v>
      </c>
      <c r="P503" s="169" t="str">
        <f t="shared" si="3"/>
        <v>Nhóm nội dung TCKT</v>
      </c>
      <c r="Q503" s="96"/>
      <c r="R503" s="96"/>
      <c r="S503" s="96"/>
      <c r="T503" s="96"/>
      <c r="U503" s="96"/>
      <c r="V503" s="96"/>
      <c r="W503" s="97" t="s">
        <v>11573</v>
      </c>
      <c r="X503" s="91"/>
      <c r="Y503" s="91"/>
      <c r="Z503" s="91"/>
      <c r="AA503" s="91"/>
      <c r="AB503" s="91"/>
    </row>
    <row r="504" ht="15.75" customHeight="1" outlineLevel="1">
      <c r="A504" s="51" t="s">
        <v>205</v>
      </c>
      <c r="B504" s="57" t="s">
        <v>206</v>
      </c>
      <c r="C504" s="51" t="s">
        <v>27</v>
      </c>
      <c r="D504" s="52" t="s">
        <v>4</v>
      </c>
      <c r="E504" s="53" t="s">
        <v>27</v>
      </c>
      <c r="F504" s="52" t="s">
        <v>4</v>
      </c>
      <c r="G504" s="57">
        <v>13.0</v>
      </c>
      <c r="H504" s="60" t="s">
        <v>211</v>
      </c>
      <c r="I504" s="62" t="s">
        <v>33</v>
      </c>
      <c r="J504" s="701" t="s">
        <v>213</v>
      </c>
      <c r="K504" s="422" t="s">
        <v>33</v>
      </c>
      <c r="L504" s="702" t="s">
        <v>215</v>
      </c>
      <c r="M504" s="422" t="s">
        <v>44</v>
      </c>
      <c r="N504" s="158" t="s">
        <v>10505</v>
      </c>
      <c r="O504" s="55" t="str">
        <f t="shared" si="14"/>
        <v>L04.00.00.13.02.02.06</v>
      </c>
      <c r="P504" s="169" t="str">
        <f t="shared" si="3"/>
        <v>Nhóm nội dung QT bán hàng/MKT</v>
      </c>
      <c r="Q504" s="96"/>
      <c r="R504" s="96"/>
      <c r="S504" s="96"/>
      <c r="T504" s="96"/>
      <c r="U504" s="96"/>
      <c r="V504" s="96"/>
      <c r="W504" s="96"/>
      <c r="X504" s="91"/>
      <c r="Y504" s="91"/>
      <c r="Z504" s="91"/>
      <c r="AA504" s="91"/>
      <c r="AB504" s="91"/>
    </row>
    <row r="505" ht="15.75" customHeight="1" outlineLevel="1">
      <c r="A505" s="51" t="s">
        <v>205</v>
      </c>
      <c r="B505" s="57" t="s">
        <v>206</v>
      </c>
      <c r="C505" s="51" t="s">
        <v>27</v>
      </c>
      <c r="D505" s="52" t="s">
        <v>4</v>
      </c>
      <c r="E505" s="53" t="s">
        <v>27</v>
      </c>
      <c r="F505" s="52" t="s">
        <v>4</v>
      </c>
      <c r="G505" s="57">
        <v>13.0</v>
      </c>
      <c r="H505" s="60" t="s">
        <v>211</v>
      </c>
      <c r="I505" s="62" t="s">
        <v>33</v>
      </c>
      <c r="J505" s="701" t="s">
        <v>213</v>
      </c>
      <c r="K505" s="422" t="s">
        <v>35</v>
      </c>
      <c r="L505" s="702" t="s">
        <v>216</v>
      </c>
      <c r="M505" s="422" t="s">
        <v>44</v>
      </c>
      <c r="N505" s="158" t="s">
        <v>10505</v>
      </c>
      <c r="O505" s="55" t="str">
        <f t="shared" si="14"/>
        <v>L04.00.00.13.02.03.06</v>
      </c>
      <c r="P505" s="169" t="str">
        <f t="shared" si="3"/>
        <v>Nhóm nội dung QT Nguồn nhân lực</v>
      </c>
      <c r="Q505" s="96"/>
      <c r="R505" s="96"/>
      <c r="S505" s="96"/>
      <c r="T505" s="96"/>
      <c r="U505" s="96"/>
      <c r="V505" s="96"/>
      <c r="W505" s="96"/>
      <c r="X505" s="91"/>
      <c r="Y505" s="91"/>
      <c r="Z505" s="91"/>
      <c r="AA505" s="91"/>
      <c r="AB505" s="91"/>
    </row>
    <row r="506" ht="15.75" customHeight="1" outlineLevel="1">
      <c r="A506" s="51" t="s">
        <v>205</v>
      </c>
      <c r="B506" s="57" t="s">
        <v>206</v>
      </c>
      <c r="C506" s="51" t="s">
        <v>27</v>
      </c>
      <c r="D506" s="52" t="s">
        <v>4</v>
      </c>
      <c r="E506" s="53" t="s">
        <v>27</v>
      </c>
      <c r="F506" s="52" t="s">
        <v>4</v>
      </c>
      <c r="G506" s="57">
        <v>13.0</v>
      </c>
      <c r="H506" s="60" t="s">
        <v>211</v>
      </c>
      <c r="I506" s="62" t="s">
        <v>33</v>
      </c>
      <c r="J506" s="701" t="s">
        <v>213</v>
      </c>
      <c r="K506" s="422" t="s">
        <v>37</v>
      </c>
      <c r="L506" s="702" t="s">
        <v>217</v>
      </c>
      <c r="M506" s="422" t="s">
        <v>44</v>
      </c>
      <c r="N506" s="158" t="s">
        <v>10505</v>
      </c>
      <c r="O506" s="55" t="str">
        <f t="shared" si="14"/>
        <v>L04.00.00.13.02.04.06</v>
      </c>
      <c r="P506" s="169" t="str">
        <f t="shared" si="3"/>
        <v>Nhóm nội dung QL điều hành DN</v>
      </c>
      <c r="Q506" s="96"/>
      <c r="R506" s="96"/>
      <c r="S506" s="96"/>
      <c r="T506" s="96"/>
      <c r="U506" s="96"/>
      <c r="V506" s="96"/>
      <c r="W506" s="96"/>
      <c r="X506" s="91"/>
      <c r="Y506" s="91"/>
      <c r="Z506" s="91"/>
      <c r="AA506" s="91"/>
      <c r="AB506" s="91"/>
    </row>
    <row r="507" ht="15.75" customHeight="1" outlineLevel="1">
      <c r="A507" s="51" t="s">
        <v>205</v>
      </c>
      <c r="B507" s="57" t="s">
        <v>206</v>
      </c>
      <c r="C507" s="51" t="s">
        <v>27</v>
      </c>
      <c r="D507" s="52" t="s">
        <v>4</v>
      </c>
      <c r="E507" s="53" t="s">
        <v>27</v>
      </c>
      <c r="F507" s="52" t="s">
        <v>4</v>
      </c>
      <c r="G507" s="57">
        <v>13.0</v>
      </c>
      <c r="H507" s="60" t="s">
        <v>211</v>
      </c>
      <c r="I507" s="62" t="s">
        <v>33</v>
      </c>
      <c r="J507" s="701" t="s">
        <v>213</v>
      </c>
      <c r="K507" s="422" t="s">
        <v>42</v>
      </c>
      <c r="L507" s="702" t="s">
        <v>218</v>
      </c>
      <c r="M507" s="422" t="s">
        <v>44</v>
      </c>
      <c r="N507" s="158" t="s">
        <v>10505</v>
      </c>
      <c r="O507" s="55" t="str">
        <f t="shared" si="14"/>
        <v>L04.00.00.13.02.05.06</v>
      </c>
      <c r="P507" s="169" t="str">
        <f t="shared" si="3"/>
        <v>Nhóm nội dung QL bán lẻ</v>
      </c>
      <c r="Q507" s="96"/>
      <c r="R507" s="96"/>
      <c r="S507" s="96"/>
      <c r="T507" s="96"/>
      <c r="U507" s="96"/>
      <c r="V507" s="96"/>
      <c r="W507" s="96"/>
      <c r="X507" s="91"/>
      <c r="Y507" s="91"/>
      <c r="Z507" s="91"/>
      <c r="AA507" s="91"/>
      <c r="AB507" s="91"/>
    </row>
    <row r="508" ht="15.75" customHeight="1" outlineLevel="1">
      <c r="A508" s="51" t="s">
        <v>205</v>
      </c>
      <c r="B508" s="57" t="s">
        <v>206</v>
      </c>
      <c r="C508" s="51" t="s">
        <v>27</v>
      </c>
      <c r="D508" s="52" t="s">
        <v>4</v>
      </c>
      <c r="E508" s="53" t="s">
        <v>27</v>
      </c>
      <c r="F508" s="52" t="s">
        <v>4</v>
      </c>
      <c r="G508" s="57">
        <v>13.0</v>
      </c>
      <c r="H508" s="60" t="s">
        <v>211</v>
      </c>
      <c r="I508" s="62" t="s">
        <v>35</v>
      </c>
      <c r="J508" s="159" t="s">
        <v>219</v>
      </c>
      <c r="K508" s="166" t="s">
        <v>27</v>
      </c>
      <c r="L508" s="155" t="s">
        <v>4</v>
      </c>
      <c r="M508" s="155" t="s">
        <v>29</v>
      </c>
      <c r="N508" s="158" t="s">
        <v>10498</v>
      </c>
      <c r="O508" s="55" t="str">
        <f t="shared" si="14"/>
        <v>L04.00.00.13.03.00.01</v>
      </c>
      <c r="P508" s="169" t="str">
        <f t="shared" si="3"/>
        <v>Ban hợp tác đào tạo</v>
      </c>
      <c r="Q508" s="96"/>
      <c r="R508" s="96" t="s">
        <v>3272</v>
      </c>
      <c r="S508" s="96" t="s">
        <v>346</v>
      </c>
      <c r="T508" s="96" t="s">
        <v>2430</v>
      </c>
      <c r="U508" s="96"/>
      <c r="V508" s="96"/>
      <c r="W508" s="96"/>
      <c r="X508" s="91"/>
      <c r="Y508" s="91"/>
      <c r="Z508" s="91"/>
      <c r="AA508" s="91"/>
      <c r="AB508" s="91"/>
    </row>
    <row r="509" ht="15.75" customHeight="1" outlineLevel="1">
      <c r="A509" s="51" t="s">
        <v>205</v>
      </c>
      <c r="B509" s="57" t="s">
        <v>206</v>
      </c>
      <c r="C509" s="51" t="s">
        <v>27</v>
      </c>
      <c r="D509" s="52" t="s">
        <v>4</v>
      </c>
      <c r="E509" s="53" t="s">
        <v>27</v>
      </c>
      <c r="F509" s="52" t="s">
        <v>4</v>
      </c>
      <c r="G509" s="57">
        <v>13.0</v>
      </c>
      <c r="H509" s="60" t="s">
        <v>211</v>
      </c>
      <c r="I509" s="62" t="s">
        <v>35</v>
      </c>
      <c r="J509" s="159" t="s">
        <v>219</v>
      </c>
      <c r="K509" s="166" t="s">
        <v>27</v>
      </c>
      <c r="L509" s="155" t="s">
        <v>4</v>
      </c>
      <c r="M509" s="155" t="s">
        <v>33</v>
      </c>
      <c r="N509" s="158" t="s">
        <v>10499</v>
      </c>
      <c r="O509" s="55" t="str">
        <f t="shared" si="14"/>
        <v>L04.00.00.13.03.00.02</v>
      </c>
      <c r="P509" s="169" t="str">
        <f t="shared" si="3"/>
        <v>Ban hợp tác đào tạo</v>
      </c>
      <c r="Q509" s="96"/>
      <c r="R509" s="96" t="s">
        <v>2431</v>
      </c>
      <c r="S509" s="96" t="s">
        <v>262</v>
      </c>
      <c r="T509" s="96" t="s">
        <v>2430</v>
      </c>
      <c r="U509" s="96"/>
      <c r="V509" s="96"/>
      <c r="W509" s="96"/>
      <c r="X509" s="91"/>
      <c r="Y509" s="91"/>
      <c r="Z509" s="91"/>
      <c r="AA509" s="91"/>
      <c r="AB509" s="91"/>
    </row>
    <row r="510" ht="15.75" customHeight="1">
      <c r="A510" s="50" t="s">
        <v>74</v>
      </c>
      <c r="B510" s="47"/>
      <c r="C510" s="47"/>
      <c r="D510" s="47"/>
      <c r="E510" s="47"/>
      <c r="F510" s="47"/>
      <c r="G510" s="48"/>
      <c r="H510" s="49"/>
      <c r="I510" s="48"/>
      <c r="J510" s="439"/>
      <c r="K510" s="439"/>
      <c r="L510" s="439"/>
      <c r="M510" s="439"/>
      <c r="N510" s="440"/>
      <c r="O510" s="48"/>
      <c r="P510" s="169" t="str">
        <f t="shared" si="3"/>
        <v/>
      </c>
      <c r="Q510" s="96"/>
      <c r="R510" s="96"/>
      <c r="S510" s="96"/>
      <c r="T510" s="96"/>
      <c r="U510" s="96"/>
      <c r="V510" s="96"/>
      <c r="W510" s="96"/>
      <c r="X510" s="91"/>
      <c r="Y510" s="91"/>
      <c r="Z510" s="91"/>
      <c r="AA510" s="91"/>
      <c r="AB510" s="91"/>
    </row>
    <row r="511" ht="15.75" customHeight="1" outlineLevel="1">
      <c r="A511" s="51" t="s">
        <v>205</v>
      </c>
      <c r="B511" s="57" t="s">
        <v>206</v>
      </c>
      <c r="C511" s="52" t="s">
        <v>73</v>
      </c>
      <c r="D511" s="52" t="s">
        <v>74</v>
      </c>
      <c r="E511" s="53" t="s">
        <v>27</v>
      </c>
      <c r="F511" s="52" t="s">
        <v>4</v>
      </c>
      <c r="G511" s="62" t="s">
        <v>29</v>
      </c>
      <c r="H511" s="60" t="s">
        <v>155</v>
      </c>
      <c r="I511" s="53" t="s">
        <v>27</v>
      </c>
      <c r="J511" s="559" t="s">
        <v>4</v>
      </c>
      <c r="K511" s="166" t="s">
        <v>27</v>
      </c>
      <c r="L511" s="155" t="s">
        <v>4</v>
      </c>
      <c r="M511" s="422" t="s">
        <v>46</v>
      </c>
      <c r="N511" s="158" t="s">
        <v>10496</v>
      </c>
      <c r="O511" s="55" t="str">
        <f t="shared" ref="O511:O518" si="15">A511&amp;"."&amp;C511&amp;"."&amp;E511&amp;"."&amp;G511&amp;"."&amp;I511&amp;"."&amp;K511&amp;"."&amp;M511</f>
        <v>L04.99.00.01.00.00.07</v>
      </c>
      <c r="P511" s="169" t="str">
        <f t="shared" si="3"/>
        <v>Ban Giám đốc</v>
      </c>
      <c r="Q511" s="96"/>
      <c r="R511" s="96" t="s">
        <v>9830</v>
      </c>
      <c r="S511" s="96" t="s">
        <v>2924</v>
      </c>
      <c r="T511" s="96" t="s">
        <v>155</v>
      </c>
      <c r="U511" s="96"/>
      <c r="V511" s="96"/>
      <c r="W511" s="96"/>
      <c r="X511" s="91"/>
      <c r="Y511" s="91"/>
      <c r="Z511" s="91"/>
      <c r="AA511" s="91"/>
      <c r="AB511" s="91"/>
    </row>
    <row r="512" ht="15.75" customHeight="1" outlineLevel="1">
      <c r="A512" s="51" t="s">
        <v>25</v>
      </c>
      <c r="B512" s="57" t="s">
        <v>26</v>
      </c>
      <c r="C512" s="52" t="s">
        <v>73</v>
      </c>
      <c r="D512" s="52" t="s">
        <v>74</v>
      </c>
      <c r="E512" s="53" t="s">
        <v>27</v>
      </c>
      <c r="F512" s="52" t="s">
        <v>4</v>
      </c>
      <c r="G512" s="62" t="s">
        <v>33</v>
      </c>
      <c r="H512" s="60" t="s">
        <v>75</v>
      </c>
      <c r="I512" s="250" t="s">
        <v>29</v>
      </c>
      <c r="J512" s="96" t="s">
        <v>3100</v>
      </c>
      <c r="K512" s="682" t="s">
        <v>29</v>
      </c>
      <c r="L512" s="96" t="s">
        <v>3099</v>
      </c>
      <c r="M512" s="422" t="s">
        <v>46</v>
      </c>
      <c r="N512" s="158" t="s">
        <v>10496</v>
      </c>
      <c r="O512" s="55" t="str">
        <f t="shared" si="15"/>
        <v>L01.99.00.02.01.01.07</v>
      </c>
      <c r="P512" s="169" t="str">
        <f t="shared" si="3"/>
        <v>Dự án JETPAY</v>
      </c>
      <c r="Q512" s="96"/>
      <c r="R512" s="96" t="s">
        <v>3101</v>
      </c>
      <c r="S512" s="96" t="s">
        <v>2924</v>
      </c>
      <c r="T512" s="96" t="s">
        <v>75</v>
      </c>
      <c r="U512" s="96" t="s">
        <v>3100</v>
      </c>
      <c r="V512" s="96" t="s">
        <v>3099</v>
      </c>
      <c r="W512" s="96"/>
      <c r="X512" s="91"/>
      <c r="Y512" s="91"/>
      <c r="Z512" s="91"/>
      <c r="AA512" s="91"/>
      <c r="AB512" s="91"/>
    </row>
    <row r="513" ht="15.75" customHeight="1" outlineLevel="1">
      <c r="A513" s="51" t="s">
        <v>25</v>
      </c>
      <c r="B513" s="57" t="s">
        <v>26</v>
      </c>
      <c r="C513" s="52" t="s">
        <v>73</v>
      </c>
      <c r="D513" s="52" t="s">
        <v>74</v>
      </c>
      <c r="E513" s="53" t="s">
        <v>27</v>
      </c>
      <c r="F513" s="52" t="s">
        <v>4</v>
      </c>
      <c r="G513" s="62" t="s">
        <v>33</v>
      </c>
      <c r="H513" s="60" t="s">
        <v>75</v>
      </c>
      <c r="I513" s="170" t="s">
        <v>33</v>
      </c>
      <c r="J513" s="96" t="s">
        <v>3086</v>
      </c>
      <c r="K513" s="682" t="s">
        <v>29</v>
      </c>
      <c r="L513" s="96" t="s">
        <v>3085</v>
      </c>
      <c r="M513" s="422" t="s">
        <v>46</v>
      </c>
      <c r="N513" s="158" t="s">
        <v>10496</v>
      </c>
      <c r="O513" s="55" t="str">
        <f t="shared" si="15"/>
        <v>L01.99.00.02.02.01.07</v>
      </c>
      <c r="P513" s="169" t="str">
        <f t="shared" si="3"/>
        <v>Dự án MISA Lending Platform</v>
      </c>
      <c r="Q513" s="96"/>
      <c r="R513" s="96" t="s">
        <v>3087</v>
      </c>
      <c r="S513" s="96" t="s">
        <v>2924</v>
      </c>
      <c r="T513" s="96" t="s">
        <v>75</v>
      </c>
      <c r="U513" s="96" t="s">
        <v>3086</v>
      </c>
      <c r="V513" s="96" t="s">
        <v>3085</v>
      </c>
      <c r="W513" s="96"/>
      <c r="X513" s="91"/>
      <c r="Y513" s="91"/>
      <c r="Z513" s="91"/>
      <c r="AA513" s="91"/>
      <c r="AB513" s="91"/>
    </row>
    <row r="514" ht="15.75" customHeight="1" outlineLevel="1">
      <c r="A514" s="51" t="s">
        <v>25</v>
      </c>
      <c r="B514" s="57" t="s">
        <v>26</v>
      </c>
      <c r="C514" s="52" t="s">
        <v>73</v>
      </c>
      <c r="D514" s="52" t="s">
        <v>74</v>
      </c>
      <c r="E514" s="53" t="s">
        <v>27</v>
      </c>
      <c r="F514" s="52" t="s">
        <v>4</v>
      </c>
      <c r="G514" s="62" t="s">
        <v>33</v>
      </c>
      <c r="H514" s="60" t="s">
        <v>75</v>
      </c>
      <c r="I514" s="170" t="s">
        <v>33</v>
      </c>
      <c r="J514" s="96" t="s">
        <v>3086</v>
      </c>
      <c r="K514" s="154" t="s">
        <v>33</v>
      </c>
      <c r="L514" s="96" t="s">
        <v>3133</v>
      </c>
      <c r="M514" s="422" t="s">
        <v>46</v>
      </c>
      <c r="N514" s="158" t="s">
        <v>10496</v>
      </c>
      <c r="O514" s="55" t="str">
        <f t="shared" si="15"/>
        <v>L01.99.00.02.02.02.07</v>
      </c>
      <c r="P514" s="169" t="str">
        <f t="shared" si="3"/>
        <v>[Lending] Nhóm phân tích thiết kế</v>
      </c>
      <c r="Q514" s="96"/>
      <c r="R514" s="96" t="s">
        <v>3134</v>
      </c>
      <c r="S514" s="96" t="s">
        <v>2924</v>
      </c>
      <c r="T514" s="96" t="s">
        <v>75</v>
      </c>
      <c r="U514" s="96" t="s">
        <v>3086</v>
      </c>
      <c r="V514" s="96" t="s">
        <v>3133</v>
      </c>
      <c r="W514" s="96"/>
      <c r="X514" s="91"/>
      <c r="Y514" s="91"/>
      <c r="Z514" s="91"/>
      <c r="AA514" s="91"/>
      <c r="AB514" s="91"/>
    </row>
    <row r="515" ht="15.75" customHeight="1" outlineLevel="1">
      <c r="A515" s="51" t="s">
        <v>76</v>
      </c>
      <c r="B515" s="57" t="s">
        <v>77</v>
      </c>
      <c r="C515" s="52" t="s">
        <v>73</v>
      </c>
      <c r="D515" s="52" t="s">
        <v>74</v>
      </c>
      <c r="E515" s="53" t="s">
        <v>27</v>
      </c>
      <c r="F515" s="52" t="s">
        <v>4</v>
      </c>
      <c r="G515" s="62" t="s">
        <v>35</v>
      </c>
      <c r="H515" s="60" t="s">
        <v>187</v>
      </c>
      <c r="I515" s="250" t="s">
        <v>29</v>
      </c>
      <c r="J515" s="96" t="s">
        <v>8293</v>
      </c>
      <c r="K515" s="166" t="s">
        <v>27</v>
      </c>
      <c r="L515" s="155" t="s">
        <v>4</v>
      </c>
      <c r="M515" s="422" t="s">
        <v>46</v>
      </c>
      <c r="N515" s="695" t="s">
        <v>10496</v>
      </c>
      <c r="O515" s="55" t="str">
        <f t="shared" si="15"/>
        <v>L02.99.00.03.01.00.07</v>
      </c>
      <c r="P515" s="169" t="str">
        <f t="shared" si="3"/>
        <v>Nhóm KD sản phẩm Bankhub</v>
      </c>
      <c r="Q515" s="96"/>
      <c r="R515" s="96" t="s">
        <v>8294</v>
      </c>
      <c r="S515" s="96" t="s">
        <v>2924</v>
      </c>
      <c r="T515" s="96" t="s">
        <v>187</v>
      </c>
      <c r="U515" s="96" t="s">
        <v>8293</v>
      </c>
      <c r="V515" s="96"/>
      <c r="W515" s="97" t="s">
        <v>12516</v>
      </c>
      <c r="X515" s="91"/>
      <c r="Y515" s="91"/>
      <c r="Z515" s="91"/>
      <c r="AA515" s="91"/>
      <c r="AB515" s="91"/>
    </row>
    <row r="516" ht="15.75" customHeight="1" outlineLevel="1">
      <c r="A516" s="51" t="s">
        <v>76</v>
      </c>
      <c r="B516" s="57" t="s">
        <v>77</v>
      </c>
      <c r="C516" s="52" t="s">
        <v>73</v>
      </c>
      <c r="D516" s="52" t="s">
        <v>74</v>
      </c>
      <c r="E516" s="53" t="s">
        <v>27</v>
      </c>
      <c r="F516" s="52" t="s">
        <v>4</v>
      </c>
      <c r="G516" s="62" t="s">
        <v>35</v>
      </c>
      <c r="H516" s="60" t="s">
        <v>187</v>
      </c>
      <c r="I516" s="170" t="s">
        <v>33</v>
      </c>
      <c r="J516" s="96" t="s">
        <v>3112</v>
      </c>
      <c r="K516" s="166" t="s">
        <v>27</v>
      </c>
      <c r="L516" s="155" t="s">
        <v>4</v>
      </c>
      <c r="M516" s="422" t="s">
        <v>33</v>
      </c>
      <c r="N516" s="695" t="s">
        <v>10499</v>
      </c>
      <c r="O516" s="55" t="str">
        <f t="shared" si="15"/>
        <v>L02.99.00.03.02.00.02</v>
      </c>
      <c r="P516" s="169" t="str">
        <f t="shared" si="3"/>
        <v>Nhóm KD sản phẩm Lending</v>
      </c>
      <c r="Q516" s="96"/>
      <c r="R516" s="96" t="s">
        <v>3113</v>
      </c>
      <c r="S516" s="96" t="s">
        <v>2924</v>
      </c>
      <c r="T516" s="96" t="s">
        <v>187</v>
      </c>
      <c r="U516" s="96" t="s">
        <v>3112</v>
      </c>
      <c r="V516" s="96"/>
      <c r="W516" s="96"/>
      <c r="X516" s="91"/>
      <c r="Y516" s="91"/>
      <c r="Z516" s="91"/>
      <c r="AA516" s="91"/>
      <c r="AB516" s="91"/>
    </row>
    <row r="517" ht="15.75" customHeight="1" outlineLevel="1">
      <c r="A517" s="51" t="s">
        <v>205</v>
      </c>
      <c r="B517" s="57" t="s">
        <v>206</v>
      </c>
      <c r="C517" s="52" t="s">
        <v>73</v>
      </c>
      <c r="D517" s="52" t="s">
        <v>74</v>
      </c>
      <c r="E517" s="53" t="s">
        <v>27</v>
      </c>
      <c r="F517" s="52" t="s">
        <v>4</v>
      </c>
      <c r="G517" s="62" t="s">
        <v>37</v>
      </c>
      <c r="H517" s="60" t="s">
        <v>34</v>
      </c>
      <c r="I517" s="53" t="s">
        <v>27</v>
      </c>
      <c r="J517" s="559" t="s">
        <v>4</v>
      </c>
      <c r="K517" s="166" t="s">
        <v>27</v>
      </c>
      <c r="L517" s="155" t="s">
        <v>4</v>
      </c>
      <c r="M517" s="422" t="s">
        <v>46</v>
      </c>
      <c r="N517" s="158" t="s">
        <v>10496</v>
      </c>
      <c r="O517" s="55" t="str">
        <f t="shared" si="15"/>
        <v>L04.99.00.04.00.00.07</v>
      </c>
      <c r="P517" s="169" t="str">
        <f t="shared" si="3"/>
        <v>Phòng HCTH</v>
      </c>
      <c r="Q517" s="96"/>
      <c r="R517" s="96" t="s">
        <v>2925</v>
      </c>
      <c r="S517" s="96" t="s">
        <v>2924</v>
      </c>
      <c r="T517" s="96" t="s">
        <v>34</v>
      </c>
      <c r="U517" s="96"/>
      <c r="V517" s="96"/>
      <c r="W517" s="96"/>
      <c r="X517" s="91"/>
      <c r="Y517" s="91"/>
      <c r="Z517" s="91"/>
      <c r="AA517" s="91"/>
      <c r="AB517" s="91"/>
    </row>
    <row r="518" ht="15.75" customHeight="1" outlineLevel="1">
      <c r="A518" s="51" t="s">
        <v>205</v>
      </c>
      <c r="B518" s="57" t="s">
        <v>206</v>
      </c>
      <c r="C518" s="52" t="s">
        <v>73</v>
      </c>
      <c r="D518" s="52" t="s">
        <v>74</v>
      </c>
      <c r="E518" s="53" t="s">
        <v>27</v>
      </c>
      <c r="F518" s="52" t="s">
        <v>4</v>
      </c>
      <c r="G518" s="62" t="s">
        <v>42</v>
      </c>
      <c r="H518" s="60" t="s">
        <v>232</v>
      </c>
      <c r="I518" s="53" t="s">
        <v>27</v>
      </c>
      <c r="J518" s="559" t="s">
        <v>4</v>
      </c>
      <c r="K518" s="166" t="s">
        <v>27</v>
      </c>
      <c r="L518" s="155" t="s">
        <v>4</v>
      </c>
      <c r="M518" s="422" t="s">
        <v>46</v>
      </c>
      <c r="N518" s="158" t="s">
        <v>10496</v>
      </c>
      <c r="O518" s="55" t="str">
        <f t="shared" si="15"/>
        <v>L04.99.00.05.00.00.07</v>
      </c>
      <c r="P518" s="169" t="str">
        <f t="shared" si="3"/>
        <v>Phòng Giám sát vận hành</v>
      </c>
      <c r="Q518" s="96"/>
      <c r="R518" s="96" t="s">
        <v>7479</v>
      </c>
      <c r="S518" s="96" t="s">
        <v>2924</v>
      </c>
      <c r="T518" s="96" t="s">
        <v>232</v>
      </c>
      <c r="U518" s="96"/>
      <c r="V518" s="96"/>
      <c r="W518" s="96"/>
      <c r="X518" s="91"/>
      <c r="Y518" s="91"/>
      <c r="Z518" s="91"/>
      <c r="AA518" s="91"/>
      <c r="AB518" s="91"/>
    </row>
    <row r="519" ht="15.75" customHeight="1">
      <c r="H519" s="37"/>
      <c r="I519" s="38"/>
      <c r="J519" s="37"/>
      <c r="N519" s="37"/>
    </row>
    <row r="520" ht="15.75" customHeight="1">
      <c r="H520" s="37"/>
      <c r="I520" s="38"/>
      <c r="J520" s="37"/>
      <c r="N520" s="37"/>
    </row>
    <row r="521" ht="15.75" customHeight="1">
      <c r="H521" s="37"/>
      <c r="I521" s="38"/>
      <c r="J521" s="37"/>
      <c r="N521" s="37"/>
    </row>
    <row r="522" ht="15.75" customHeight="1">
      <c r="H522" s="37"/>
      <c r="I522" s="38"/>
      <c r="J522" s="37"/>
      <c r="N522" s="37"/>
    </row>
    <row r="523" ht="15.75" customHeight="1">
      <c r="H523" s="37"/>
      <c r="I523" s="38"/>
      <c r="J523" s="37"/>
      <c r="N523" s="37"/>
    </row>
    <row r="524" ht="15.75" customHeight="1">
      <c r="H524" s="37"/>
      <c r="I524" s="38"/>
      <c r="J524" s="37"/>
      <c r="N524" s="37"/>
    </row>
    <row r="525" ht="15.75" customHeight="1">
      <c r="H525" s="37"/>
      <c r="I525" s="38"/>
      <c r="J525" s="37"/>
      <c r="N525" s="37"/>
    </row>
    <row r="526" ht="15.75" customHeight="1">
      <c r="H526" s="37"/>
      <c r="I526" s="38"/>
      <c r="J526" s="37"/>
      <c r="N526" s="37"/>
    </row>
    <row r="527" ht="15.75" customHeight="1">
      <c r="H527" s="37"/>
      <c r="I527" s="38"/>
      <c r="J527" s="37"/>
      <c r="N527" s="37"/>
    </row>
    <row r="528" ht="15.75" customHeight="1">
      <c r="H528" s="37"/>
      <c r="I528" s="38"/>
      <c r="J528" s="37"/>
      <c r="N528" s="37"/>
    </row>
    <row r="529" ht="15.75" customHeight="1">
      <c r="H529" s="37"/>
      <c r="I529" s="38"/>
      <c r="J529" s="37"/>
      <c r="N529" s="37"/>
    </row>
    <row r="530" ht="15.75" customHeight="1">
      <c r="H530" s="37"/>
      <c r="I530" s="38"/>
      <c r="J530" s="37"/>
      <c r="N530" s="37"/>
    </row>
    <row r="531" ht="15.75" customHeight="1">
      <c r="H531" s="37"/>
      <c r="I531" s="38"/>
      <c r="J531" s="37"/>
      <c r="N531" s="37"/>
    </row>
    <row r="532" ht="15.75" customHeight="1">
      <c r="H532" s="37"/>
      <c r="I532" s="38"/>
      <c r="J532" s="37"/>
      <c r="N532" s="37"/>
    </row>
    <row r="533" ht="15.75" customHeight="1">
      <c r="H533" s="37"/>
      <c r="I533" s="38"/>
      <c r="J533" s="37"/>
      <c r="N533" s="37"/>
    </row>
    <row r="534" ht="15.75" customHeight="1">
      <c r="H534" s="37"/>
      <c r="I534" s="38"/>
      <c r="J534" s="37"/>
      <c r="N534" s="37"/>
    </row>
    <row r="535" ht="15.75" customHeight="1">
      <c r="H535" s="37"/>
      <c r="I535" s="38"/>
      <c r="J535" s="37"/>
      <c r="N535" s="37"/>
    </row>
    <row r="536" ht="15.75" customHeight="1">
      <c r="H536" s="37"/>
      <c r="I536" s="38"/>
      <c r="J536" s="37"/>
      <c r="N536" s="37"/>
    </row>
    <row r="537" ht="15.75" customHeight="1">
      <c r="H537" s="37"/>
      <c r="I537" s="38"/>
      <c r="J537" s="37"/>
      <c r="N537" s="37"/>
    </row>
    <row r="538" ht="15.75" customHeight="1">
      <c r="H538" s="37"/>
      <c r="I538" s="38"/>
      <c r="J538" s="37"/>
      <c r="N538" s="37"/>
    </row>
    <row r="539" ht="15.75" customHeight="1">
      <c r="H539" s="37"/>
      <c r="I539" s="38"/>
      <c r="J539" s="37"/>
      <c r="N539" s="37"/>
    </row>
    <row r="540" ht="15.75" customHeight="1">
      <c r="H540" s="37"/>
      <c r="I540" s="38"/>
      <c r="J540" s="37"/>
      <c r="N540" s="37"/>
    </row>
    <row r="541" ht="15.75" customHeight="1">
      <c r="H541" s="37"/>
      <c r="I541" s="38"/>
      <c r="J541" s="37"/>
      <c r="N541" s="37"/>
    </row>
    <row r="542" ht="15.75" customHeight="1">
      <c r="H542" s="37"/>
      <c r="I542" s="38"/>
      <c r="J542" s="37"/>
      <c r="N542" s="37"/>
    </row>
    <row r="543" ht="15.75" customHeight="1">
      <c r="H543" s="37"/>
      <c r="I543" s="38"/>
      <c r="J543" s="37"/>
      <c r="N543" s="37"/>
    </row>
    <row r="544" ht="15.75" customHeight="1">
      <c r="H544" s="37"/>
      <c r="I544" s="38"/>
      <c r="J544" s="37"/>
      <c r="N544" s="37"/>
    </row>
    <row r="545" ht="15.75" customHeight="1">
      <c r="H545" s="37"/>
      <c r="I545" s="38"/>
      <c r="J545" s="37"/>
      <c r="N545" s="37"/>
    </row>
    <row r="546" ht="15.75" customHeight="1">
      <c r="H546" s="37"/>
      <c r="I546" s="38"/>
      <c r="J546" s="37"/>
      <c r="N546" s="37"/>
    </row>
    <row r="547" ht="15.75" customHeight="1">
      <c r="H547" s="37"/>
      <c r="I547" s="38"/>
      <c r="J547" s="37"/>
      <c r="N547" s="37"/>
    </row>
    <row r="548" ht="15.75" customHeight="1">
      <c r="H548" s="37"/>
      <c r="I548" s="38"/>
      <c r="J548" s="37"/>
      <c r="N548" s="37"/>
    </row>
    <row r="549" ht="15.75" customHeight="1">
      <c r="H549" s="37"/>
      <c r="I549" s="38"/>
      <c r="J549" s="37"/>
      <c r="N549" s="37"/>
    </row>
    <row r="550" ht="15.75" customHeight="1">
      <c r="H550" s="37"/>
      <c r="I550" s="38"/>
      <c r="J550" s="37"/>
      <c r="N550" s="37"/>
    </row>
    <row r="551" ht="15.75" customHeight="1">
      <c r="H551" s="37"/>
      <c r="I551" s="38"/>
      <c r="J551" s="37"/>
      <c r="N551" s="37"/>
    </row>
    <row r="552" ht="15.75" customHeight="1">
      <c r="H552" s="37"/>
      <c r="I552" s="38"/>
      <c r="J552" s="37"/>
      <c r="N552" s="37"/>
    </row>
    <row r="553" ht="15.75" customHeight="1">
      <c r="H553" s="37"/>
      <c r="I553" s="38"/>
      <c r="J553" s="37"/>
      <c r="N553" s="37"/>
    </row>
    <row r="554" ht="15.75" customHeight="1">
      <c r="H554" s="37"/>
      <c r="I554" s="38"/>
      <c r="J554" s="37"/>
      <c r="N554" s="37"/>
    </row>
    <row r="555" ht="15.75" customHeight="1">
      <c r="H555" s="37"/>
      <c r="I555" s="38"/>
      <c r="J555" s="37"/>
      <c r="N555" s="37"/>
    </row>
    <row r="556" ht="15.75" customHeight="1">
      <c r="H556" s="37"/>
      <c r="I556" s="38"/>
      <c r="J556" s="37"/>
      <c r="N556" s="37"/>
    </row>
    <row r="557" ht="15.75" customHeight="1">
      <c r="H557" s="37"/>
      <c r="I557" s="38"/>
      <c r="J557" s="37"/>
      <c r="N557" s="37"/>
    </row>
    <row r="558" ht="15.75" customHeight="1">
      <c r="H558" s="37"/>
      <c r="I558" s="38"/>
      <c r="J558" s="37"/>
      <c r="N558" s="37"/>
    </row>
    <row r="559" ht="15.75" customHeight="1">
      <c r="H559" s="37"/>
      <c r="I559" s="38"/>
      <c r="J559" s="37"/>
      <c r="N559" s="37"/>
    </row>
    <row r="560" ht="15.75" customHeight="1">
      <c r="H560" s="37"/>
      <c r="I560" s="38"/>
      <c r="J560" s="37"/>
      <c r="N560" s="37"/>
    </row>
    <row r="561" ht="15.75" customHeight="1">
      <c r="H561" s="37"/>
      <c r="I561" s="38"/>
      <c r="J561" s="37"/>
      <c r="N561" s="37"/>
    </row>
    <row r="562" ht="15.75" customHeight="1">
      <c r="H562" s="37"/>
      <c r="I562" s="38"/>
      <c r="J562" s="37"/>
      <c r="N562" s="37"/>
    </row>
    <row r="563" ht="15.75" customHeight="1">
      <c r="H563" s="37"/>
      <c r="I563" s="38"/>
      <c r="J563" s="37"/>
      <c r="N563" s="37"/>
    </row>
    <row r="564" ht="15.75" customHeight="1">
      <c r="H564" s="37"/>
      <c r="I564" s="38"/>
      <c r="J564" s="37"/>
      <c r="N564" s="37"/>
    </row>
    <row r="565" ht="15.75" customHeight="1">
      <c r="H565" s="37"/>
      <c r="I565" s="38"/>
      <c r="J565" s="37"/>
      <c r="N565" s="37"/>
    </row>
    <row r="566" ht="15.75" customHeight="1">
      <c r="H566" s="37"/>
      <c r="I566" s="38"/>
      <c r="J566" s="37"/>
      <c r="N566" s="37"/>
    </row>
    <row r="567" ht="15.75" customHeight="1">
      <c r="H567" s="37"/>
      <c r="I567" s="38"/>
      <c r="J567" s="37"/>
      <c r="N567" s="37"/>
    </row>
    <row r="568" ht="15.75" customHeight="1">
      <c r="H568" s="37"/>
      <c r="I568" s="38"/>
      <c r="J568" s="37"/>
      <c r="N568" s="37"/>
    </row>
    <row r="569" ht="15.75" customHeight="1">
      <c r="H569" s="37"/>
      <c r="I569" s="38"/>
      <c r="J569" s="37"/>
      <c r="N569" s="37"/>
    </row>
    <row r="570" ht="15.75" customHeight="1">
      <c r="H570" s="37"/>
      <c r="I570" s="38"/>
      <c r="J570" s="37"/>
      <c r="N570" s="37"/>
    </row>
    <row r="571" ht="15.75" customHeight="1">
      <c r="H571" s="37"/>
      <c r="I571" s="38"/>
      <c r="J571" s="37"/>
      <c r="N571" s="37"/>
    </row>
    <row r="572" ht="15.75" customHeight="1">
      <c r="H572" s="37"/>
      <c r="I572" s="38"/>
      <c r="J572" s="37"/>
      <c r="N572" s="37"/>
    </row>
    <row r="573" ht="15.75" customHeight="1">
      <c r="H573" s="37"/>
      <c r="I573" s="38"/>
      <c r="J573" s="37"/>
      <c r="N573" s="37"/>
    </row>
    <row r="574" ht="15.75" customHeight="1">
      <c r="H574" s="37"/>
      <c r="I574" s="38"/>
      <c r="J574" s="37"/>
      <c r="N574" s="37"/>
    </row>
    <row r="575" ht="15.75" customHeight="1">
      <c r="H575" s="37"/>
      <c r="I575" s="38"/>
      <c r="J575" s="37"/>
      <c r="N575" s="37"/>
    </row>
    <row r="576" ht="15.75" customHeight="1">
      <c r="H576" s="37"/>
      <c r="I576" s="38"/>
      <c r="J576" s="37"/>
      <c r="N576" s="37"/>
    </row>
    <row r="577" ht="15.75" customHeight="1">
      <c r="H577" s="37"/>
      <c r="I577" s="38"/>
      <c r="J577" s="37"/>
      <c r="N577" s="37"/>
    </row>
    <row r="578" ht="15.75" customHeight="1">
      <c r="H578" s="37"/>
      <c r="I578" s="38"/>
      <c r="J578" s="37"/>
      <c r="N578" s="37"/>
    </row>
    <row r="579" ht="15.75" customHeight="1">
      <c r="H579" s="37"/>
      <c r="I579" s="38"/>
      <c r="J579" s="37"/>
      <c r="N579" s="37"/>
    </row>
    <row r="580" ht="15.75" customHeight="1">
      <c r="H580" s="37"/>
      <c r="I580" s="38"/>
      <c r="J580" s="37"/>
      <c r="N580" s="37"/>
    </row>
    <row r="581" ht="15.75" customHeight="1">
      <c r="H581" s="37"/>
      <c r="I581" s="38"/>
      <c r="J581" s="37"/>
      <c r="N581" s="37"/>
    </row>
    <row r="582" ht="15.75" customHeight="1">
      <c r="H582" s="37"/>
      <c r="I582" s="38"/>
      <c r="J582" s="37"/>
      <c r="N582" s="37"/>
    </row>
    <row r="583" ht="15.75" customHeight="1">
      <c r="H583" s="37"/>
      <c r="I583" s="38"/>
      <c r="J583" s="37"/>
      <c r="N583" s="37"/>
    </row>
    <row r="584" ht="15.75" customHeight="1">
      <c r="H584" s="37"/>
      <c r="I584" s="38"/>
      <c r="J584" s="37"/>
      <c r="N584" s="37"/>
    </row>
    <row r="585" ht="15.75" customHeight="1">
      <c r="H585" s="37"/>
      <c r="I585" s="38"/>
      <c r="J585" s="37"/>
      <c r="N585" s="37"/>
    </row>
    <row r="586" ht="15.75" customHeight="1">
      <c r="H586" s="37"/>
      <c r="I586" s="38"/>
      <c r="J586" s="37"/>
      <c r="N586" s="37"/>
    </row>
    <row r="587" ht="15.75" customHeight="1">
      <c r="H587" s="37"/>
      <c r="I587" s="38"/>
      <c r="J587" s="37"/>
      <c r="N587" s="37"/>
    </row>
    <row r="588" ht="15.75" customHeight="1">
      <c r="H588" s="37"/>
      <c r="I588" s="38"/>
      <c r="J588" s="37"/>
      <c r="N588" s="37"/>
    </row>
    <row r="589" ht="15.75" customHeight="1">
      <c r="H589" s="37"/>
      <c r="I589" s="38"/>
      <c r="J589" s="37"/>
      <c r="N589" s="37"/>
    </row>
    <row r="590" ht="15.75" customHeight="1">
      <c r="H590" s="37"/>
      <c r="I590" s="38"/>
      <c r="J590" s="37"/>
      <c r="N590" s="37"/>
    </row>
    <row r="591" ht="15.75" customHeight="1">
      <c r="H591" s="37"/>
      <c r="I591" s="38"/>
      <c r="J591" s="37"/>
      <c r="N591" s="37"/>
    </row>
    <row r="592" ht="15.75" customHeight="1">
      <c r="H592" s="37"/>
      <c r="I592" s="38"/>
      <c r="J592" s="37"/>
      <c r="N592" s="37"/>
    </row>
    <row r="593" ht="15.75" customHeight="1">
      <c r="H593" s="37"/>
      <c r="I593" s="38"/>
      <c r="J593" s="37"/>
      <c r="N593" s="37"/>
    </row>
    <row r="594" ht="15.75" customHeight="1">
      <c r="H594" s="37"/>
      <c r="I594" s="38"/>
      <c r="J594" s="37"/>
      <c r="N594" s="37"/>
    </row>
    <row r="595" ht="15.75" customHeight="1">
      <c r="H595" s="37"/>
      <c r="I595" s="38"/>
      <c r="J595" s="37"/>
      <c r="N595" s="37"/>
    </row>
    <row r="596" ht="15.75" customHeight="1">
      <c r="H596" s="37"/>
      <c r="I596" s="38"/>
      <c r="J596" s="37"/>
      <c r="N596" s="37"/>
    </row>
    <row r="597" ht="15.75" customHeight="1">
      <c r="H597" s="37"/>
      <c r="I597" s="38"/>
      <c r="J597" s="37"/>
      <c r="N597" s="37"/>
    </row>
    <row r="598" ht="15.75" customHeight="1">
      <c r="H598" s="37"/>
      <c r="I598" s="38"/>
      <c r="J598" s="37"/>
      <c r="N598" s="37"/>
    </row>
    <row r="599" ht="15.75" customHeight="1">
      <c r="H599" s="37"/>
      <c r="I599" s="38"/>
      <c r="J599" s="37"/>
      <c r="N599" s="37"/>
    </row>
    <row r="600" ht="15.75" customHeight="1">
      <c r="H600" s="37"/>
      <c r="I600" s="38"/>
      <c r="J600" s="37"/>
      <c r="N600" s="37"/>
    </row>
    <row r="601" ht="15.75" customHeight="1">
      <c r="H601" s="37"/>
      <c r="I601" s="38"/>
      <c r="J601" s="37"/>
      <c r="N601" s="37"/>
    </row>
    <row r="602" ht="15.75" customHeight="1">
      <c r="H602" s="37"/>
      <c r="I602" s="38"/>
      <c r="J602" s="37"/>
      <c r="N602" s="37"/>
    </row>
    <row r="603" ht="15.75" customHeight="1">
      <c r="H603" s="37"/>
      <c r="I603" s="38"/>
      <c r="J603" s="37"/>
      <c r="N603" s="37"/>
    </row>
    <row r="604" ht="15.75" customHeight="1">
      <c r="H604" s="37"/>
      <c r="I604" s="38"/>
      <c r="J604" s="37"/>
      <c r="N604" s="37"/>
    </row>
    <row r="605" ht="15.75" customHeight="1">
      <c r="H605" s="37"/>
      <c r="I605" s="38"/>
      <c r="J605" s="37"/>
      <c r="N605" s="37"/>
    </row>
    <row r="606" ht="15.75" customHeight="1">
      <c r="H606" s="37"/>
      <c r="I606" s="38"/>
      <c r="J606" s="37"/>
      <c r="N606" s="37"/>
    </row>
    <row r="607" ht="15.75" customHeight="1">
      <c r="H607" s="37"/>
      <c r="I607" s="38"/>
      <c r="J607" s="37"/>
      <c r="N607" s="37"/>
    </row>
    <row r="608" ht="15.75" customHeight="1">
      <c r="H608" s="37"/>
      <c r="I608" s="38"/>
      <c r="J608" s="37"/>
      <c r="N608" s="37"/>
    </row>
    <row r="609" ht="15.75" customHeight="1">
      <c r="H609" s="37"/>
      <c r="I609" s="38"/>
      <c r="J609" s="37"/>
      <c r="N609" s="37"/>
    </row>
    <row r="610" ht="15.75" customHeight="1">
      <c r="H610" s="37"/>
      <c r="I610" s="38"/>
      <c r="J610" s="37"/>
      <c r="N610" s="37"/>
    </row>
    <row r="611" ht="15.75" customHeight="1">
      <c r="H611" s="37"/>
      <c r="I611" s="38"/>
      <c r="J611" s="37"/>
      <c r="N611" s="37"/>
    </row>
    <row r="612" ht="15.75" customHeight="1">
      <c r="H612" s="37"/>
      <c r="I612" s="38"/>
      <c r="J612" s="37"/>
      <c r="N612" s="37"/>
    </row>
    <row r="613" ht="15.75" customHeight="1">
      <c r="H613" s="37"/>
      <c r="I613" s="38"/>
      <c r="J613" s="37"/>
      <c r="N613" s="37"/>
    </row>
    <row r="614" ht="15.75" customHeight="1">
      <c r="H614" s="37"/>
      <c r="I614" s="38"/>
      <c r="J614" s="37"/>
      <c r="N614" s="37"/>
    </row>
    <row r="615" ht="15.75" customHeight="1">
      <c r="H615" s="37"/>
      <c r="I615" s="38"/>
      <c r="J615" s="37"/>
      <c r="N615" s="37"/>
    </row>
    <row r="616" ht="15.75" customHeight="1">
      <c r="H616" s="37"/>
      <c r="I616" s="38"/>
      <c r="J616" s="37"/>
      <c r="N616" s="37"/>
    </row>
    <row r="617" ht="15.75" customHeight="1">
      <c r="H617" s="37"/>
      <c r="I617" s="38"/>
      <c r="J617" s="37"/>
      <c r="N617" s="37"/>
    </row>
    <row r="618" ht="15.75" customHeight="1">
      <c r="H618" s="37"/>
      <c r="I618" s="38"/>
      <c r="J618" s="37"/>
      <c r="N618" s="37"/>
    </row>
    <row r="619" ht="15.75" customHeight="1">
      <c r="H619" s="37"/>
      <c r="I619" s="38"/>
      <c r="J619" s="37"/>
      <c r="N619" s="37"/>
    </row>
    <row r="620" ht="15.75" customHeight="1">
      <c r="H620" s="37"/>
      <c r="I620" s="38"/>
      <c r="J620" s="37"/>
      <c r="N620" s="37"/>
    </row>
    <row r="621" ht="15.75" customHeight="1">
      <c r="H621" s="37"/>
      <c r="I621" s="38"/>
      <c r="J621" s="37"/>
      <c r="N621" s="37"/>
    </row>
    <row r="622" ht="15.75" customHeight="1">
      <c r="H622" s="37"/>
      <c r="I622" s="38"/>
      <c r="J622" s="37"/>
      <c r="N622" s="37"/>
    </row>
    <row r="623" ht="15.75" customHeight="1">
      <c r="H623" s="37"/>
      <c r="I623" s="38"/>
      <c r="J623" s="37"/>
      <c r="N623" s="37"/>
    </row>
    <row r="624" ht="15.75" customHeight="1">
      <c r="H624" s="37"/>
      <c r="I624" s="38"/>
      <c r="J624" s="37"/>
      <c r="N624" s="37"/>
    </row>
    <row r="625" ht="15.75" customHeight="1">
      <c r="H625" s="37"/>
      <c r="I625" s="38"/>
      <c r="J625" s="37"/>
      <c r="N625" s="37"/>
    </row>
    <row r="626" ht="15.75" customHeight="1">
      <c r="H626" s="37"/>
      <c r="I626" s="38"/>
      <c r="J626" s="37"/>
      <c r="N626" s="37"/>
    </row>
    <row r="627" ht="15.75" customHeight="1">
      <c r="H627" s="37"/>
      <c r="I627" s="38"/>
      <c r="J627" s="37"/>
      <c r="N627" s="37"/>
    </row>
    <row r="628" ht="15.75" customHeight="1">
      <c r="H628" s="37"/>
      <c r="I628" s="38"/>
      <c r="J628" s="37"/>
      <c r="N628" s="37"/>
    </row>
    <row r="629" ht="15.75" customHeight="1">
      <c r="H629" s="37"/>
      <c r="I629" s="38"/>
      <c r="J629" s="37"/>
      <c r="N629" s="37"/>
    </row>
    <row r="630" ht="15.75" customHeight="1">
      <c r="H630" s="37"/>
      <c r="I630" s="38"/>
      <c r="J630" s="37"/>
      <c r="N630" s="37"/>
    </row>
    <row r="631" ht="15.75" customHeight="1">
      <c r="H631" s="37"/>
      <c r="I631" s="38"/>
      <c r="J631" s="37"/>
      <c r="N631" s="37"/>
    </row>
    <row r="632" ht="15.75" customHeight="1">
      <c r="H632" s="37"/>
      <c r="I632" s="38"/>
      <c r="J632" s="37"/>
      <c r="N632" s="37"/>
    </row>
    <row r="633" ht="15.75" customHeight="1">
      <c r="H633" s="37"/>
      <c r="I633" s="38"/>
      <c r="J633" s="37"/>
      <c r="N633" s="37"/>
    </row>
    <row r="634" ht="15.75" customHeight="1">
      <c r="H634" s="37"/>
      <c r="I634" s="38"/>
      <c r="J634" s="37"/>
      <c r="N634" s="37"/>
    </row>
    <row r="635" ht="15.75" customHeight="1">
      <c r="H635" s="37"/>
      <c r="I635" s="38"/>
      <c r="J635" s="37"/>
      <c r="N635" s="37"/>
    </row>
    <row r="636" ht="15.75" customHeight="1">
      <c r="H636" s="37"/>
      <c r="I636" s="38"/>
      <c r="J636" s="37"/>
      <c r="N636" s="37"/>
    </row>
    <row r="637" ht="15.75" customHeight="1">
      <c r="H637" s="37"/>
      <c r="I637" s="38"/>
      <c r="J637" s="37"/>
      <c r="N637" s="37"/>
    </row>
    <row r="638" ht="15.75" customHeight="1">
      <c r="H638" s="37"/>
      <c r="I638" s="38"/>
      <c r="J638" s="37"/>
      <c r="N638" s="37"/>
    </row>
    <row r="639" ht="15.75" customHeight="1">
      <c r="H639" s="37"/>
      <c r="I639" s="38"/>
      <c r="J639" s="37"/>
      <c r="N639" s="37"/>
    </row>
    <row r="640" ht="15.75" customHeight="1">
      <c r="H640" s="37"/>
      <c r="I640" s="38"/>
      <c r="J640" s="37"/>
      <c r="N640" s="37"/>
    </row>
    <row r="641" ht="15.75" customHeight="1">
      <c r="H641" s="37"/>
      <c r="I641" s="38"/>
      <c r="J641" s="37"/>
      <c r="N641" s="37"/>
    </row>
    <row r="642" ht="15.75" customHeight="1">
      <c r="H642" s="37"/>
      <c r="I642" s="38"/>
      <c r="J642" s="37"/>
      <c r="N642" s="37"/>
    </row>
    <row r="643" ht="15.75" customHeight="1">
      <c r="H643" s="37"/>
      <c r="I643" s="38"/>
      <c r="J643" s="37"/>
      <c r="N643" s="37"/>
    </row>
    <row r="644" ht="15.75" customHeight="1">
      <c r="H644" s="37"/>
      <c r="I644" s="38"/>
      <c r="J644" s="37"/>
      <c r="N644" s="37"/>
    </row>
    <row r="645" ht="15.75" customHeight="1">
      <c r="H645" s="37"/>
      <c r="I645" s="38"/>
      <c r="J645" s="37"/>
      <c r="N645" s="37"/>
    </row>
    <row r="646" ht="15.75" customHeight="1">
      <c r="H646" s="37"/>
      <c r="I646" s="38"/>
      <c r="J646" s="37"/>
      <c r="N646" s="37"/>
    </row>
    <row r="647" ht="15.75" customHeight="1">
      <c r="H647" s="37"/>
      <c r="I647" s="38"/>
      <c r="J647" s="37"/>
      <c r="N647" s="37"/>
    </row>
    <row r="648" ht="15.75" customHeight="1">
      <c r="H648" s="37"/>
      <c r="I648" s="38"/>
      <c r="J648" s="37"/>
      <c r="N648" s="37"/>
    </row>
    <row r="649" ht="15.75" customHeight="1">
      <c r="H649" s="37"/>
      <c r="I649" s="38"/>
      <c r="J649" s="37"/>
      <c r="N649" s="37"/>
    </row>
    <row r="650" ht="15.75" customHeight="1">
      <c r="H650" s="37"/>
      <c r="I650" s="38"/>
      <c r="J650" s="37"/>
      <c r="N650" s="37"/>
    </row>
    <row r="651" ht="15.75" customHeight="1">
      <c r="H651" s="37"/>
      <c r="I651" s="38"/>
      <c r="J651" s="37"/>
      <c r="N651" s="37"/>
    </row>
    <row r="652" ht="15.75" customHeight="1">
      <c r="H652" s="37"/>
      <c r="I652" s="38"/>
      <c r="J652" s="37"/>
      <c r="N652" s="37"/>
    </row>
    <row r="653" ht="15.75" customHeight="1">
      <c r="H653" s="37"/>
      <c r="I653" s="38"/>
      <c r="J653" s="37"/>
      <c r="N653" s="37"/>
    </row>
    <row r="654" ht="15.75" customHeight="1">
      <c r="H654" s="37"/>
      <c r="I654" s="38"/>
      <c r="J654" s="37"/>
      <c r="N654" s="37"/>
    </row>
    <row r="655" ht="15.75" customHeight="1">
      <c r="H655" s="37"/>
      <c r="I655" s="38"/>
      <c r="J655" s="37"/>
      <c r="N655" s="37"/>
    </row>
    <row r="656" ht="15.75" customHeight="1">
      <c r="H656" s="37"/>
      <c r="I656" s="38"/>
      <c r="J656" s="37"/>
      <c r="N656" s="37"/>
    </row>
    <row r="657" ht="15.75" customHeight="1">
      <c r="H657" s="37"/>
      <c r="I657" s="38"/>
      <c r="J657" s="37"/>
      <c r="N657" s="37"/>
    </row>
    <row r="658" ht="15.75" customHeight="1">
      <c r="H658" s="37"/>
      <c r="I658" s="38"/>
      <c r="J658" s="37"/>
      <c r="N658" s="37"/>
    </row>
    <row r="659" ht="15.75" customHeight="1">
      <c r="H659" s="37"/>
      <c r="I659" s="38"/>
      <c r="J659" s="37"/>
      <c r="N659" s="37"/>
    </row>
    <row r="660" ht="15.75" customHeight="1">
      <c r="H660" s="37"/>
      <c r="I660" s="38"/>
      <c r="J660" s="37"/>
      <c r="N660" s="37"/>
    </row>
    <row r="661" ht="15.75" customHeight="1">
      <c r="H661" s="37"/>
      <c r="I661" s="38"/>
      <c r="J661" s="37"/>
      <c r="N661" s="37"/>
    </row>
    <row r="662" ht="15.75" customHeight="1">
      <c r="H662" s="37"/>
      <c r="I662" s="38"/>
      <c r="J662" s="37"/>
      <c r="N662" s="37"/>
    </row>
    <row r="663" ht="15.75" customHeight="1">
      <c r="H663" s="37"/>
      <c r="I663" s="38"/>
      <c r="J663" s="37"/>
      <c r="N663" s="37"/>
    </row>
    <row r="664" ht="15.75" customHeight="1">
      <c r="H664" s="37"/>
      <c r="I664" s="38"/>
      <c r="J664" s="37"/>
      <c r="N664" s="37"/>
    </row>
    <row r="665" ht="15.75" customHeight="1">
      <c r="H665" s="37"/>
      <c r="I665" s="38"/>
      <c r="J665" s="37"/>
      <c r="N665" s="37"/>
    </row>
    <row r="666" ht="15.75" customHeight="1">
      <c r="H666" s="37"/>
      <c r="I666" s="38"/>
      <c r="J666" s="37"/>
      <c r="N666" s="37"/>
    </row>
    <row r="667" ht="15.75" customHeight="1">
      <c r="H667" s="37"/>
      <c r="I667" s="38"/>
      <c r="J667" s="37"/>
      <c r="N667" s="37"/>
    </row>
    <row r="668" ht="15.75" customHeight="1">
      <c r="H668" s="37"/>
      <c r="I668" s="38"/>
      <c r="J668" s="37"/>
      <c r="N668" s="37"/>
    </row>
    <row r="669" ht="15.75" customHeight="1">
      <c r="H669" s="37"/>
      <c r="I669" s="38"/>
      <c r="J669" s="37"/>
      <c r="N669" s="37"/>
    </row>
    <row r="670" ht="15.75" customHeight="1">
      <c r="H670" s="37"/>
      <c r="I670" s="38"/>
      <c r="J670" s="37"/>
      <c r="N670" s="37"/>
    </row>
    <row r="671" ht="15.75" customHeight="1">
      <c r="H671" s="37"/>
      <c r="I671" s="38"/>
      <c r="J671" s="37"/>
      <c r="N671" s="37"/>
    </row>
    <row r="672" ht="15.75" customHeight="1">
      <c r="H672" s="37"/>
      <c r="I672" s="38"/>
      <c r="J672" s="37"/>
      <c r="N672" s="37"/>
    </row>
    <row r="673" ht="15.75" customHeight="1">
      <c r="H673" s="37"/>
      <c r="I673" s="38"/>
      <c r="J673" s="37"/>
      <c r="N673" s="37"/>
    </row>
    <row r="674" ht="15.75" customHeight="1">
      <c r="H674" s="37"/>
      <c r="I674" s="38"/>
      <c r="J674" s="37"/>
      <c r="N674" s="37"/>
    </row>
    <row r="675" ht="15.75" customHeight="1">
      <c r="H675" s="37"/>
      <c r="I675" s="38"/>
      <c r="J675" s="37"/>
      <c r="N675" s="37"/>
    </row>
    <row r="676" ht="15.75" customHeight="1">
      <c r="H676" s="37"/>
      <c r="I676" s="38"/>
      <c r="J676" s="37"/>
      <c r="N676" s="37"/>
    </row>
    <row r="677" ht="15.75" customHeight="1">
      <c r="H677" s="37"/>
      <c r="I677" s="38"/>
      <c r="J677" s="37"/>
      <c r="N677" s="37"/>
    </row>
    <row r="678" ht="15.75" customHeight="1">
      <c r="H678" s="37"/>
      <c r="I678" s="38"/>
      <c r="J678" s="37"/>
      <c r="N678" s="37"/>
    </row>
    <row r="679" ht="15.75" customHeight="1">
      <c r="H679" s="37"/>
      <c r="I679" s="38"/>
      <c r="J679" s="37"/>
      <c r="N679" s="37"/>
    </row>
    <row r="680" ht="15.75" customHeight="1">
      <c r="H680" s="37"/>
      <c r="I680" s="38"/>
      <c r="J680" s="37"/>
      <c r="N680" s="37"/>
    </row>
    <row r="681" ht="15.75" customHeight="1">
      <c r="H681" s="37"/>
      <c r="I681" s="38"/>
      <c r="J681" s="37"/>
      <c r="N681" s="37"/>
    </row>
    <row r="682" ht="15.75" customHeight="1">
      <c r="H682" s="37"/>
      <c r="I682" s="38"/>
      <c r="J682" s="37"/>
      <c r="N682" s="37"/>
    </row>
    <row r="683" ht="15.75" customHeight="1">
      <c r="H683" s="37"/>
      <c r="I683" s="38"/>
      <c r="J683" s="37"/>
      <c r="N683" s="37"/>
    </row>
    <row r="684" ht="15.75" customHeight="1">
      <c r="H684" s="37"/>
      <c r="I684" s="38"/>
      <c r="J684" s="37"/>
      <c r="N684" s="37"/>
    </row>
    <row r="685" ht="15.75" customHeight="1">
      <c r="H685" s="37"/>
      <c r="I685" s="38"/>
      <c r="J685" s="37"/>
      <c r="N685" s="37"/>
    </row>
    <row r="686" ht="15.75" customHeight="1">
      <c r="H686" s="37"/>
      <c r="I686" s="38"/>
      <c r="J686" s="37"/>
      <c r="N686" s="37"/>
    </row>
    <row r="687" ht="15.75" customHeight="1">
      <c r="H687" s="37"/>
      <c r="I687" s="38"/>
      <c r="J687" s="37"/>
      <c r="N687" s="37"/>
    </row>
    <row r="688" ht="15.75" customHeight="1">
      <c r="H688" s="37"/>
      <c r="I688" s="38"/>
      <c r="J688" s="37"/>
      <c r="N688" s="37"/>
    </row>
    <row r="689" ht="15.75" customHeight="1">
      <c r="H689" s="37"/>
      <c r="I689" s="38"/>
      <c r="J689" s="37"/>
      <c r="N689" s="37"/>
    </row>
    <row r="690" ht="15.75" customHeight="1">
      <c r="H690" s="37"/>
      <c r="I690" s="38"/>
      <c r="J690" s="37"/>
      <c r="N690" s="37"/>
    </row>
    <row r="691" ht="15.75" customHeight="1">
      <c r="H691" s="37"/>
      <c r="I691" s="38"/>
      <c r="J691" s="37"/>
      <c r="N691" s="37"/>
    </row>
    <row r="692" ht="15.75" customHeight="1">
      <c r="H692" s="37"/>
      <c r="I692" s="38"/>
      <c r="J692" s="37"/>
      <c r="N692" s="37"/>
    </row>
    <row r="693" ht="15.75" customHeight="1">
      <c r="H693" s="37"/>
      <c r="I693" s="38"/>
      <c r="J693" s="37"/>
      <c r="N693" s="37"/>
    </row>
    <row r="694" ht="15.75" customHeight="1">
      <c r="H694" s="37"/>
      <c r="I694" s="38"/>
      <c r="J694" s="37"/>
      <c r="N694" s="37"/>
    </row>
    <row r="695" ht="15.75" customHeight="1">
      <c r="H695" s="37"/>
      <c r="I695" s="38"/>
      <c r="J695" s="37"/>
      <c r="N695" s="37"/>
    </row>
    <row r="696" ht="15.75" customHeight="1">
      <c r="H696" s="37"/>
      <c r="I696" s="38"/>
      <c r="J696" s="37"/>
      <c r="N696" s="37"/>
    </row>
    <row r="697" ht="15.75" customHeight="1">
      <c r="H697" s="37"/>
      <c r="I697" s="38"/>
      <c r="J697" s="37"/>
      <c r="N697" s="37"/>
    </row>
    <row r="698" ht="15.75" customHeight="1">
      <c r="H698" s="37"/>
      <c r="I698" s="38"/>
      <c r="J698" s="37"/>
      <c r="N698" s="37"/>
    </row>
    <row r="699" ht="15.75" customHeight="1">
      <c r="H699" s="37"/>
      <c r="I699" s="38"/>
      <c r="J699" s="37"/>
      <c r="N699" s="37"/>
    </row>
    <row r="700" ht="15.75" customHeight="1">
      <c r="H700" s="37"/>
      <c r="I700" s="38"/>
      <c r="J700" s="37"/>
      <c r="N700" s="37"/>
    </row>
    <row r="701" ht="15.75" customHeight="1">
      <c r="H701" s="37"/>
      <c r="I701" s="38"/>
      <c r="J701" s="37"/>
      <c r="N701" s="37"/>
    </row>
    <row r="702" ht="15.75" customHeight="1">
      <c r="H702" s="37"/>
      <c r="I702" s="38"/>
      <c r="J702" s="37"/>
      <c r="N702" s="37"/>
    </row>
    <row r="703" ht="15.75" customHeight="1">
      <c r="H703" s="37"/>
      <c r="I703" s="38"/>
      <c r="J703" s="37"/>
      <c r="N703" s="37"/>
    </row>
    <row r="704" ht="15.75" customHeight="1">
      <c r="H704" s="37"/>
      <c r="I704" s="38"/>
      <c r="J704" s="37"/>
      <c r="N704" s="37"/>
    </row>
    <row r="705" ht="15.75" customHeight="1">
      <c r="H705" s="37"/>
      <c r="I705" s="38"/>
      <c r="J705" s="37"/>
      <c r="N705" s="37"/>
    </row>
    <row r="706" ht="15.75" customHeight="1">
      <c r="H706" s="37"/>
      <c r="I706" s="38"/>
      <c r="J706" s="37"/>
      <c r="N706" s="37"/>
    </row>
    <row r="707" ht="15.75" customHeight="1">
      <c r="H707" s="37"/>
      <c r="I707" s="38"/>
      <c r="J707" s="37"/>
      <c r="N707" s="37"/>
    </row>
    <row r="708" ht="15.75" customHeight="1">
      <c r="H708" s="37"/>
      <c r="I708" s="38"/>
      <c r="J708" s="37"/>
      <c r="N708" s="37"/>
    </row>
    <row r="709" ht="15.75" customHeight="1">
      <c r="H709" s="37"/>
      <c r="I709" s="38"/>
      <c r="J709" s="37"/>
      <c r="N709" s="37"/>
    </row>
    <row r="710" ht="15.75" customHeight="1">
      <c r="H710" s="37"/>
      <c r="I710" s="38"/>
      <c r="J710" s="37"/>
      <c r="N710" s="37"/>
    </row>
    <row r="711" ht="15.75" customHeight="1">
      <c r="H711" s="37"/>
      <c r="I711" s="38"/>
      <c r="J711" s="37"/>
      <c r="N711" s="37"/>
    </row>
    <row r="712" ht="15.75" customHeight="1">
      <c r="H712" s="37"/>
      <c r="I712" s="38"/>
      <c r="J712" s="37"/>
      <c r="N712" s="37"/>
    </row>
    <row r="713" ht="15.75" customHeight="1">
      <c r="H713" s="37"/>
      <c r="I713" s="38"/>
      <c r="J713" s="37"/>
      <c r="N713" s="37"/>
    </row>
    <row r="714" ht="15.75" customHeight="1">
      <c r="H714" s="37"/>
      <c r="I714" s="38"/>
      <c r="J714" s="37"/>
      <c r="N714" s="37"/>
    </row>
    <row r="715" ht="15.75" customHeight="1">
      <c r="H715" s="37"/>
      <c r="I715" s="38"/>
      <c r="J715" s="37"/>
      <c r="N715" s="37"/>
    </row>
    <row r="716" ht="15.75" customHeight="1">
      <c r="H716" s="37"/>
      <c r="I716" s="38"/>
      <c r="J716" s="37"/>
      <c r="N716" s="37"/>
    </row>
    <row r="717" ht="15.75" customHeight="1">
      <c r="H717" s="37"/>
      <c r="I717" s="38"/>
      <c r="J717" s="37"/>
      <c r="N717" s="37"/>
    </row>
    <row r="718" ht="15.75" customHeight="1">
      <c r="H718" s="37"/>
      <c r="I718" s="38"/>
      <c r="J718" s="37"/>
      <c r="N718" s="37"/>
    </row>
    <row r="719" ht="15.75" customHeight="1">
      <c r="H719" s="37"/>
      <c r="I719" s="38"/>
      <c r="J719" s="37"/>
      <c r="N719" s="37"/>
    </row>
    <row r="720" ht="15.75" customHeight="1">
      <c r="H720" s="37"/>
      <c r="I720" s="38"/>
      <c r="J720" s="37"/>
      <c r="N720" s="37"/>
    </row>
    <row r="721" ht="15.75" customHeight="1">
      <c r="H721" s="37"/>
      <c r="I721" s="38"/>
      <c r="J721" s="37"/>
      <c r="N721" s="37"/>
    </row>
    <row r="722" ht="15.75" customHeight="1">
      <c r="H722" s="37"/>
      <c r="I722" s="38"/>
      <c r="J722" s="37"/>
      <c r="N722" s="37"/>
    </row>
    <row r="723" ht="15.75" customHeight="1">
      <c r="H723" s="37"/>
      <c r="I723" s="38"/>
      <c r="J723" s="37"/>
      <c r="N723" s="37"/>
    </row>
    <row r="724" ht="15.75" customHeight="1">
      <c r="H724" s="37"/>
      <c r="I724" s="38"/>
      <c r="J724" s="37"/>
      <c r="N724" s="37"/>
    </row>
    <row r="725" ht="15.75" customHeight="1">
      <c r="H725" s="37"/>
      <c r="I725" s="38"/>
      <c r="J725" s="37"/>
      <c r="N725" s="37"/>
    </row>
    <row r="726" ht="15.75" customHeight="1">
      <c r="H726" s="37"/>
      <c r="I726" s="38"/>
      <c r="J726" s="37"/>
      <c r="N726" s="37"/>
    </row>
    <row r="727" ht="15.75" customHeight="1">
      <c r="H727" s="37"/>
      <c r="I727" s="38"/>
      <c r="J727" s="37"/>
      <c r="N727" s="37"/>
    </row>
    <row r="728" ht="15.75" customHeight="1">
      <c r="H728" s="37"/>
      <c r="I728" s="38"/>
      <c r="J728" s="37"/>
      <c r="N728" s="37"/>
    </row>
    <row r="729" ht="15.75" customHeight="1">
      <c r="H729" s="37"/>
      <c r="I729" s="38"/>
      <c r="J729" s="37"/>
      <c r="N729" s="37"/>
    </row>
    <row r="730" ht="15.75" customHeight="1">
      <c r="H730" s="37"/>
      <c r="I730" s="38"/>
      <c r="J730" s="37"/>
      <c r="N730" s="37"/>
    </row>
    <row r="731" ht="15.75" customHeight="1">
      <c r="H731" s="37"/>
      <c r="I731" s="38"/>
      <c r="J731" s="37"/>
      <c r="N731" s="37"/>
    </row>
    <row r="732" ht="15.75" customHeight="1">
      <c r="H732" s="37"/>
      <c r="I732" s="38"/>
      <c r="J732" s="37"/>
      <c r="N732" s="37"/>
    </row>
    <row r="733" ht="15.75" customHeight="1">
      <c r="H733" s="37"/>
      <c r="I733" s="38"/>
      <c r="J733" s="37"/>
      <c r="N733" s="37"/>
    </row>
    <row r="734" ht="15.75" customHeight="1">
      <c r="H734" s="37"/>
      <c r="I734" s="38"/>
      <c r="J734" s="37"/>
      <c r="N734" s="37"/>
    </row>
    <row r="735" ht="15.75" customHeight="1">
      <c r="H735" s="37"/>
      <c r="I735" s="38"/>
      <c r="J735" s="37"/>
      <c r="N735" s="37"/>
    </row>
    <row r="736" ht="15.75" customHeight="1">
      <c r="H736" s="37"/>
      <c r="I736" s="38"/>
      <c r="J736" s="37"/>
      <c r="N736" s="37"/>
    </row>
    <row r="737" ht="15.75" customHeight="1">
      <c r="H737" s="37"/>
      <c r="I737" s="38"/>
      <c r="J737" s="37"/>
      <c r="N737" s="37"/>
    </row>
    <row r="738" ht="15.75" customHeight="1">
      <c r="H738" s="37"/>
      <c r="I738" s="38"/>
      <c r="J738" s="37"/>
      <c r="N738" s="37"/>
    </row>
    <row r="739" ht="15.75" customHeight="1">
      <c r="H739" s="37"/>
      <c r="I739" s="38"/>
      <c r="J739" s="37"/>
      <c r="N739" s="37"/>
    </row>
    <row r="740" ht="15.75" customHeight="1">
      <c r="H740" s="37"/>
      <c r="I740" s="38"/>
      <c r="J740" s="37"/>
      <c r="N740" s="37"/>
    </row>
    <row r="741" ht="15.75" customHeight="1">
      <c r="H741" s="37"/>
      <c r="I741" s="38"/>
      <c r="J741" s="37"/>
      <c r="N741" s="37"/>
    </row>
    <row r="742" ht="15.75" customHeight="1">
      <c r="H742" s="37"/>
      <c r="I742" s="38"/>
      <c r="J742" s="37"/>
      <c r="N742" s="37"/>
    </row>
    <row r="743" ht="15.75" customHeight="1">
      <c r="H743" s="37"/>
      <c r="I743" s="38"/>
      <c r="J743" s="37"/>
      <c r="N743" s="37"/>
    </row>
    <row r="744" ht="15.75" customHeight="1">
      <c r="H744" s="37"/>
      <c r="I744" s="38"/>
      <c r="J744" s="37"/>
      <c r="N744" s="37"/>
    </row>
    <row r="745" ht="15.75" customHeight="1">
      <c r="H745" s="37"/>
      <c r="I745" s="38"/>
      <c r="J745" s="37"/>
      <c r="N745" s="37"/>
    </row>
    <row r="746" ht="15.75" customHeight="1">
      <c r="H746" s="37"/>
      <c r="I746" s="38"/>
      <c r="J746" s="37"/>
      <c r="N746" s="37"/>
    </row>
    <row r="747" ht="15.75" customHeight="1">
      <c r="H747" s="37"/>
      <c r="I747" s="38"/>
      <c r="J747" s="37"/>
      <c r="N747" s="37"/>
    </row>
    <row r="748" ht="15.75" customHeight="1">
      <c r="H748" s="37"/>
      <c r="I748" s="38"/>
      <c r="J748" s="37"/>
      <c r="N748" s="37"/>
    </row>
    <row r="749" ht="15.75" customHeight="1">
      <c r="H749" s="37"/>
      <c r="I749" s="38"/>
      <c r="J749" s="37"/>
      <c r="N749" s="37"/>
    </row>
    <row r="750" ht="15.75" customHeight="1">
      <c r="H750" s="37"/>
      <c r="I750" s="38"/>
      <c r="J750" s="37"/>
      <c r="N750" s="37"/>
    </row>
    <row r="751" ht="15.75" customHeight="1">
      <c r="H751" s="37"/>
      <c r="I751" s="38"/>
      <c r="J751" s="37"/>
      <c r="N751" s="37"/>
    </row>
    <row r="752" ht="15.75" customHeight="1">
      <c r="H752" s="37"/>
      <c r="I752" s="38"/>
      <c r="J752" s="37"/>
      <c r="N752" s="37"/>
    </row>
    <row r="753" ht="15.75" customHeight="1">
      <c r="H753" s="37"/>
      <c r="I753" s="38"/>
      <c r="J753" s="37"/>
      <c r="N753" s="37"/>
    </row>
    <row r="754" ht="15.75" customHeight="1">
      <c r="H754" s="37"/>
      <c r="I754" s="38"/>
      <c r="J754" s="37"/>
      <c r="N754" s="37"/>
    </row>
    <row r="755" ht="15.75" customHeight="1">
      <c r="H755" s="37"/>
      <c r="I755" s="38"/>
      <c r="J755" s="37"/>
      <c r="N755" s="37"/>
    </row>
    <row r="756" ht="15.75" customHeight="1">
      <c r="H756" s="37"/>
      <c r="I756" s="38"/>
      <c r="J756" s="37"/>
      <c r="N756" s="37"/>
    </row>
    <row r="757" ht="15.75" customHeight="1">
      <c r="H757" s="37"/>
      <c r="I757" s="38"/>
      <c r="J757" s="37"/>
      <c r="N757" s="37"/>
    </row>
    <row r="758" ht="15.75" customHeight="1">
      <c r="H758" s="37"/>
      <c r="I758" s="38"/>
      <c r="J758" s="37"/>
      <c r="N758" s="37"/>
    </row>
    <row r="759" ht="15.75" customHeight="1">
      <c r="H759" s="37"/>
      <c r="I759" s="38"/>
      <c r="J759" s="37"/>
      <c r="N759" s="37"/>
    </row>
    <row r="760" ht="15.75" customHeight="1">
      <c r="H760" s="37"/>
      <c r="I760" s="38"/>
      <c r="J760" s="37"/>
      <c r="N760" s="37"/>
    </row>
    <row r="761" ht="15.75" customHeight="1">
      <c r="H761" s="37"/>
      <c r="I761" s="38"/>
      <c r="J761" s="37"/>
      <c r="N761" s="37"/>
    </row>
    <row r="762" ht="15.75" customHeight="1">
      <c r="H762" s="37"/>
      <c r="I762" s="38"/>
      <c r="J762" s="37"/>
      <c r="N762" s="37"/>
    </row>
    <row r="763" ht="15.75" customHeight="1">
      <c r="H763" s="37"/>
      <c r="I763" s="38"/>
      <c r="J763" s="37"/>
      <c r="N763" s="37"/>
    </row>
    <row r="764" ht="15.75" customHeight="1">
      <c r="H764" s="37"/>
      <c r="I764" s="38"/>
      <c r="J764" s="37"/>
      <c r="N764" s="37"/>
    </row>
    <row r="765" ht="15.75" customHeight="1">
      <c r="H765" s="37"/>
      <c r="I765" s="38"/>
      <c r="J765" s="37"/>
      <c r="N765" s="37"/>
    </row>
    <row r="766" ht="15.75" customHeight="1">
      <c r="H766" s="37"/>
      <c r="I766" s="38"/>
      <c r="J766" s="37"/>
      <c r="N766" s="37"/>
    </row>
    <row r="767" ht="15.75" customHeight="1">
      <c r="H767" s="37"/>
      <c r="I767" s="38"/>
      <c r="J767" s="37"/>
      <c r="N767" s="37"/>
    </row>
    <row r="768" ht="15.75" customHeight="1">
      <c r="H768" s="37"/>
      <c r="I768" s="38"/>
      <c r="J768" s="37"/>
      <c r="N768" s="37"/>
    </row>
    <row r="769" ht="15.75" customHeight="1">
      <c r="H769" s="37"/>
      <c r="I769" s="38"/>
      <c r="J769" s="37"/>
      <c r="N769" s="37"/>
    </row>
    <row r="770" ht="15.75" customHeight="1">
      <c r="H770" s="37"/>
      <c r="I770" s="38"/>
      <c r="J770" s="37"/>
      <c r="N770" s="37"/>
    </row>
    <row r="771" ht="15.75" customHeight="1">
      <c r="H771" s="37"/>
      <c r="I771" s="38"/>
      <c r="J771" s="37"/>
      <c r="N771" s="37"/>
    </row>
    <row r="772" ht="15.75" customHeight="1">
      <c r="H772" s="37"/>
      <c r="I772" s="38"/>
      <c r="J772" s="37"/>
      <c r="N772" s="37"/>
    </row>
    <row r="773" ht="15.75" customHeight="1">
      <c r="H773" s="37"/>
      <c r="I773" s="38"/>
      <c r="J773" s="37"/>
      <c r="N773" s="37"/>
    </row>
    <row r="774" ht="15.75" customHeight="1">
      <c r="H774" s="37"/>
      <c r="I774" s="38"/>
      <c r="J774" s="37"/>
      <c r="N774" s="37"/>
    </row>
    <row r="775" ht="15.75" customHeight="1">
      <c r="H775" s="37"/>
      <c r="I775" s="38"/>
      <c r="J775" s="37"/>
      <c r="N775" s="37"/>
    </row>
    <row r="776" ht="15.75" customHeight="1">
      <c r="H776" s="37"/>
      <c r="I776" s="38"/>
      <c r="J776" s="37"/>
      <c r="N776" s="37"/>
    </row>
    <row r="777" ht="15.75" customHeight="1">
      <c r="H777" s="37"/>
      <c r="I777" s="38"/>
      <c r="J777" s="37"/>
      <c r="N777" s="37"/>
    </row>
    <row r="778" ht="15.75" customHeight="1">
      <c r="H778" s="37"/>
      <c r="I778" s="38"/>
      <c r="J778" s="37"/>
      <c r="N778" s="37"/>
    </row>
    <row r="779" ht="15.75" customHeight="1">
      <c r="H779" s="37"/>
      <c r="I779" s="38"/>
      <c r="J779" s="37"/>
      <c r="N779" s="37"/>
    </row>
    <row r="780" ht="15.75" customHeight="1">
      <c r="H780" s="37"/>
      <c r="I780" s="38"/>
      <c r="J780" s="37"/>
      <c r="N780" s="37"/>
    </row>
    <row r="781" ht="15.75" customHeight="1">
      <c r="H781" s="37"/>
      <c r="I781" s="38"/>
      <c r="J781" s="37"/>
      <c r="N781" s="37"/>
    </row>
    <row r="782" ht="15.75" customHeight="1">
      <c r="H782" s="37"/>
      <c r="I782" s="38"/>
      <c r="J782" s="37"/>
      <c r="N782" s="37"/>
    </row>
    <row r="783" ht="15.75" customHeight="1">
      <c r="H783" s="37"/>
      <c r="I783" s="38"/>
      <c r="J783" s="37"/>
      <c r="N783" s="37"/>
    </row>
    <row r="784" ht="15.75" customHeight="1">
      <c r="H784" s="37"/>
      <c r="I784" s="38"/>
      <c r="J784" s="37"/>
      <c r="N784" s="37"/>
    </row>
    <row r="785" ht="15.75" customHeight="1">
      <c r="H785" s="37"/>
      <c r="I785" s="38"/>
      <c r="J785" s="37"/>
      <c r="N785" s="37"/>
    </row>
    <row r="786" ht="15.75" customHeight="1">
      <c r="H786" s="37"/>
      <c r="I786" s="38"/>
      <c r="J786" s="37"/>
      <c r="N786" s="37"/>
    </row>
    <row r="787" ht="15.75" customHeight="1">
      <c r="H787" s="37"/>
      <c r="I787" s="38"/>
      <c r="J787" s="37"/>
      <c r="N787" s="37"/>
    </row>
    <row r="788" ht="15.75" customHeight="1">
      <c r="H788" s="37"/>
      <c r="I788" s="38"/>
      <c r="J788" s="37"/>
      <c r="N788" s="37"/>
    </row>
    <row r="789" ht="15.75" customHeight="1">
      <c r="H789" s="37"/>
      <c r="I789" s="38"/>
      <c r="J789" s="37"/>
      <c r="N789" s="37"/>
    </row>
    <row r="790" ht="15.75" customHeight="1">
      <c r="H790" s="37"/>
      <c r="I790" s="38"/>
      <c r="J790" s="37"/>
      <c r="N790" s="37"/>
    </row>
    <row r="791" ht="15.75" customHeight="1">
      <c r="H791" s="37"/>
      <c r="I791" s="38"/>
      <c r="J791" s="37"/>
      <c r="N791" s="37"/>
    </row>
    <row r="792" ht="15.75" customHeight="1">
      <c r="H792" s="37"/>
      <c r="I792" s="38"/>
      <c r="J792" s="37"/>
      <c r="N792" s="37"/>
    </row>
    <row r="793" ht="15.75" customHeight="1">
      <c r="H793" s="37"/>
      <c r="I793" s="38"/>
      <c r="J793" s="37"/>
      <c r="N793" s="37"/>
    </row>
    <row r="794" ht="15.75" customHeight="1">
      <c r="H794" s="37"/>
      <c r="I794" s="38"/>
      <c r="J794" s="37"/>
      <c r="N794" s="37"/>
    </row>
    <row r="795" ht="15.75" customHeight="1">
      <c r="H795" s="37"/>
      <c r="I795" s="38"/>
      <c r="J795" s="37"/>
      <c r="N795" s="37"/>
    </row>
    <row r="796" ht="15.75" customHeight="1">
      <c r="H796" s="37"/>
      <c r="I796" s="38"/>
      <c r="J796" s="37"/>
      <c r="N796" s="37"/>
    </row>
    <row r="797" ht="15.75" customHeight="1">
      <c r="H797" s="37"/>
      <c r="I797" s="38"/>
      <c r="J797" s="37"/>
      <c r="N797" s="37"/>
    </row>
    <row r="798" ht="15.75" customHeight="1">
      <c r="H798" s="37"/>
      <c r="I798" s="38"/>
      <c r="J798" s="37"/>
      <c r="N798" s="37"/>
    </row>
    <row r="799" ht="15.75" customHeight="1">
      <c r="H799" s="37"/>
      <c r="I799" s="38"/>
      <c r="J799" s="37"/>
      <c r="N799" s="37"/>
    </row>
    <row r="800" ht="15.75" customHeight="1">
      <c r="H800" s="37"/>
      <c r="I800" s="38"/>
      <c r="J800" s="37"/>
      <c r="N800" s="37"/>
    </row>
    <row r="801" ht="15.75" customHeight="1">
      <c r="H801" s="37"/>
      <c r="I801" s="38"/>
      <c r="J801" s="37"/>
      <c r="N801" s="37"/>
    </row>
    <row r="802" ht="15.75" customHeight="1">
      <c r="H802" s="37"/>
      <c r="I802" s="38"/>
      <c r="J802" s="37"/>
      <c r="N802" s="37"/>
    </row>
    <row r="803" ht="15.75" customHeight="1">
      <c r="H803" s="37"/>
      <c r="I803" s="38"/>
      <c r="J803" s="37"/>
      <c r="N803" s="37"/>
    </row>
    <row r="804" ht="15.75" customHeight="1">
      <c r="H804" s="37"/>
      <c r="I804" s="38"/>
      <c r="J804" s="37"/>
      <c r="N804" s="37"/>
    </row>
    <row r="805" ht="15.75" customHeight="1">
      <c r="H805" s="37"/>
      <c r="I805" s="38"/>
      <c r="J805" s="37"/>
      <c r="N805" s="37"/>
    </row>
    <row r="806" ht="15.75" customHeight="1">
      <c r="H806" s="37"/>
      <c r="I806" s="38"/>
      <c r="J806" s="37"/>
      <c r="N806" s="37"/>
    </row>
    <row r="807" ht="15.75" customHeight="1">
      <c r="H807" s="37"/>
      <c r="I807" s="38"/>
      <c r="J807" s="37"/>
      <c r="N807" s="37"/>
    </row>
    <row r="808" ht="15.75" customHeight="1">
      <c r="H808" s="37"/>
      <c r="I808" s="38"/>
      <c r="J808" s="37"/>
      <c r="N808" s="37"/>
    </row>
    <row r="809" ht="15.75" customHeight="1">
      <c r="H809" s="37"/>
      <c r="I809" s="38"/>
      <c r="J809" s="37"/>
      <c r="N809" s="37"/>
    </row>
    <row r="810" ht="15.75" customHeight="1">
      <c r="H810" s="37"/>
      <c r="I810" s="38"/>
      <c r="J810" s="37"/>
      <c r="N810" s="37"/>
    </row>
    <row r="811" ht="15.75" customHeight="1">
      <c r="H811" s="37"/>
      <c r="I811" s="38"/>
      <c r="J811" s="37"/>
      <c r="N811" s="37"/>
    </row>
    <row r="812" ht="15.75" customHeight="1">
      <c r="H812" s="37"/>
      <c r="I812" s="38"/>
      <c r="J812" s="37"/>
      <c r="N812" s="37"/>
    </row>
    <row r="813" ht="15.75" customHeight="1">
      <c r="H813" s="37"/>
      <c r="I813" s="38"/>
      <c r="J813" s="37"/>
      <c r="N813" s="37"/>
    </row>
    <row r="814" ht="15.75" customHeight="1">
      <c r="H814" s="37"/>
      <c r="I814" s="38"/>
      <c r="J814" s="37"/>
      <c r="N814" s="37"/>
    </row>
    <row r="815" ht="15.75" customHeight="1">
      <c r="H815" s="37"/>
      <c r="I815" s="38"/>
      <c r="J815" s="37"/>
      <c r="N815" s="37"/>
    </row>
    <row r="816" ht="15.75" customHeight="1">
      <c r="H816" s="37"/>
      <c r="I816" s="38"/>
      <c r="J816" s="37"/>
      <c r="N816" s="37"/>
    </row>
    <row r="817" ht="15.75" customHeight="1">
      <c r="H817" s="37"/>
      <c r="I817" s="38"/>
      <c r="J817" s="37"/>
      <c r="N817" s="37"/>
    </row>
    <row r="818" ht="15.75" customHeight="1">
      <c r="H818" s="37"/>
      <c r="I818" s="38"/>
      <c r="J818" s="37"/>
      <c r="N818" s="37"/>
    </row>
    <row r="819" ht="15.75" customHeight="1">
      <c r="H819" s="37"/>
      <c r="I819" s="38"/>
      <c r="J819" s="37"/>
      <c r="N819" s="37"/>
    </row>
    <row r="820" ht="15.75" customHeight="1">
      <c r="H820" s="37"/>
      <c r="I820" s="38"/>
      <c r="J820" s="37"/>
      <c r="N820" s="37"/>
    </row>
    <row r="821" ht="15.75" customHeight="1">
      <c r="H821" s="37"/>
      <c r="I821" s="38"/>
      <c r="J821" s="37"/>
      <c r="N821" s="37"/>
    </row>
    <row r="822" ht="15.75" customHeight="1">
      <c r="H822" s="37"/>
      <c r="I822" s="38"/>
      <c r="J822" s="37"/>
      <c r="N822" s="37"/>
    </row>
    <row r="823" ht="15.75" customHeight="1">
      <c r="H823" s="37"/>
      <c r="I823" s="38"/>
      <c r="J823" s="37"/>
      <c r="N823" s="37"/>
    </row>
    <row r="824" ht="15.75" customHeight="1">
      <c r="H824" s="37"/>
      <c r="I824" s="38"/>
      <c r="J824" s="37"/>
      <c r="N824" s="37"/>
    </row>
    <row r="825" ht="15.75" customHeight="1">
      <c r="H825" s="37"/>
      <c r="I825" s="38"/>
      <c r="J825" s="37"/>
      <c r="N825" s="37"/>
    </row>
    <row r="826" ht="15.75" customHeight="1">
      <c r="H826" s="37"/>
      <c r="I826" s="38"/>
      <c r="J826" s="37"/>
      <c r="N826" s="37"/>
    </row>
    <row r="827" ht="15.75" customHeight="1">
      <c r="H827" s="37"/>
      <c r="I827" s="38"/>
      <c r="J827" s="37"/>
      <c r="N827" s="37"/>
    </row>
    <row r="828" ht="15.75" customHeight="1">
      <c r="H828" s="37"/>
      <c r="I828" s="38"/>
      <c r="J828" s="37"/>
      <c r="N828" s="37"/>
    </row>
    <row r="829" ht="15.75" customHeight="1">
      <c r="H829" s="37"/>
      <c r="I829" s="38"/>
      <c r="J829" s="37"/>
      <c r="N829" s="37"/>
    </row>
    <row r="830" ht="15.75" customHeight="1">
      <c r="H830" s="37"/>
      <c r="I830" s="38"/>
      <c r="J830" s="37"/>
      <c r="N830" s="37"/>
    </row>
    <row r="831" ht="15.75" customHeight="1">
      <c r="H831" s="37"/>
      <c r="I831" s="38"/>
      <c r="J831" s="37"/>
      <c r="N831" s="37"/>
    </row>
    <row r="832" ht="15.75" customHeight="1">
      <c r="H832" s="37"/>
      <c r="I832" s="38"/>
      <c r="J832" s="37"/>
      <c r="N832" s="37"/>
    </row>
    <row r="833" ht="15.75" customHeight="1">
      <c r="H833" s="37"/>
      <c r="I833" s="38"/>
      <c r="J833" s="37"/>
      <c r="N833" s="37"/>
    </row>
    <row r="834" ht="15.75" customHeight="1">
      <c r="H834" s="37"/>
      <c r="I834" s="38"/>
      <c r="J834" s="37"/>
      <c r="N834" s="37"/>
    </row>
    <row r="835" ht="15.75" customHeight="1">
      <c r="H835" s="37"/>
      <c r="I835" s="38"/>
      <c r="J835" s="37"/>
      <c r="N835" s="37"/>
    </row>
    <row r="836" ht="15.75" customHeight="1">
      <c r="H836" s="37"/>
      <c r="I836" s="38"/>
      <c r="J836" s="37"/>
      <c r="N836" s="37"/>
    </row>
    <row r="837" ht="15.75" customHeight="1">
      <c r="H837" s="37"/>
      <c r="I837" s="38"/>
      <c r="J837" s="37"/>
      <c r="N837" s="37"/>
    </row>
    <row r="838" ht="15.75" customHeight="1">
      <c r="H838" s="37"/>
      <c r="I838" s="38"/>
      <c r="J838" s="37"/>
      <c r="N838" s="37"/>
    </row>
    <row r="839" ht="15.75" customHeight="1">
      <c r="H839" s="37"/>
      <c r="I839" s="38"/>
      <c r="J839" s="37"/>
      <c r="N839" s="37"/>
    </row>
    <row r="840" ht="15.75" customHeight="1">
      <c r="H840" s="37"/>
      <c r="I840" s="38"/>
      <c r="J840" s="37"/>
      <c r="N840" s="37"/>
    </row>
    <row r="841" ht="15.75" customHeight="1">
      <c r="H841" s="37"/>
      <c r="I841" s="38"/>
      <c r="J841" s="37"/>
      <c r="N841" s="37"/>
    </row>
    <row r="842" ht="15.75" customHeight="1">
      <c r="H842" s="37"/>
      <c r="I842" s="38"/>
      <c r="J842" s="37"/>
      <c r="N842" s="37"/>
    </row>
    <row r="843" ht="15.75" customHeight="1">
      <c r="H843" s="37"/>
      <c r="I843" s="38"/>
      <c r="J843" s="37"/>
      <c r="N843" s="37"/>
    </row>
    <row r="844" ht="15.75" customHeight="1">
      <c r="H844" s="37"/>
      <c r="I844" s="38"/>
      <c r="J844" s="37"/>
      <c r="N844" s="37"/>
    </row>
    <row r="845" ht="15.75" customHeight="1">
      <c r="H845" s="37"/>
      <c r="I845" s="38"/>
      <c r="J845" s="37"/>
      <c r="N845" s="37"/>
    </row>
    <row r="846" ht="15.75" customHeight="1">
      <c r="H846" s="37"/>
      <c r="I846" s="38"/>
      <c r="J846" s="37"/>
      <c r="N846" s="37"/>
    </row>
    <row r="847" ht="15.75" customHeight="1">
      <c r="H847" s="37"/>
      <c r="I847" s="38"/>
      <c r="J847" s="37"/>
      <c r="N847" s="37"/>
    </row>
    <row r="848" ht="15.75" customHeight="1">
      <c r="H848" s="37"/>
      <c r="I848" s="38"/>
      <c r="J848" s="37"/>
      <c r="N848" s="37"/>
    </row>
    <row r="849" ht="15.75" customHeight="1">
      <c r="H849" s="37"/>
      <c r="I849" s="38"/>
      <c r="J849" s="37"/>
      <c r="N849" s="37"/>
    </row>
    <row r="850" ht="15.75" customHeight="1">
      <c r="H850" s="37"/>
      <c r="I850" s="38"/>
      <c r="J850" s="37"/>
      <c r="N850" s="37"/>
    </row>
    <row r="851" ht="15.75" customHeight="1">
      <c r="H851" s="37"/>
      <c r="I851" s="38"/>
      <c r="J851" s="37"/>
      <c r="N851" s="37"/>
    </row>
    <row r="852" ht="15.75" customHeight="1">
      <c r="H852" s="37"/>
      <c r="I852" s="38"/>
      <c r="J852" s="37"/>
      <c r="N852" s="37"/>
    </row>
    <row r="853" ht="15.75" customHeight="1">
      <c r="H853" s="37"/>
      <c r="I853" s="38"/>
      <c r="J853" s="37"/>
      <c r="N853" s="37"/>
    </row>
    <row r="854" ht="15.75" customHeight="1">
      <c r="H854" s="37"/>
      <c r="I854" s="38"/>
      <c r="J854" s="37"/>
      <c r="N854" s="37"/>
    </row>
    <row r="855" ht="15.75" customHeight="1">
      <c r="H855" s="37"/>
      <c r="I855" s="38"/>
      <c r="J855" s="37"/>
      <c r="N855" s="37"/>
    </row>
    <row r="856" ht="15.75" customHeight="1">
      <c r="H856" s="37"/>
      <c r="I856" s="38"/>
      <c r="J856" s="37"/>
      <c r="N856" s="37"/>
    </row>
    <row r="857" ht="15.75" customHeight="1">
      <c r="H857" s="37"/>
      <c r="I857" s="38"/>
      <c r="J857" s="37"/>
      <c r="N857" s="37"/>
    </row>
    <row r="858" ht="15.75" customHeight="1">
      <c r="H858" s="37"/>
      <c r="I858" s="38"/>
      <c r="J858" s="37"/>
      <c r="N858" s="37"/>
    </row>
    <row r="859" ht="15.75" customHeight="1">
      <c r="H859" s="37"/>
      <c r="I859" s="38"/>
      <c r="J859" s="37"/>
      <c r="N859" s="37"/>
    </row>
    <row r="860" ht="15.75" customHeight="1">
      <c r="H860" s="37"/>
      <c r="I860" s="38"/>
      <c r="J860" s="37"/>
      <c r="N860" s="37"/>
    </row>
    <row r="861" ht="15.75" customHeight="1">
      <c r="H861" s="37"/>
      <c r="I861" s="38"/>
      <c r="J861" s="37"/>
      <c r="N861" s="37"/>
    </row>
    <row r="862" ht="15.75" customHeight="1">
      <c r="H862" s="37"/>
      <c r="I862" s="38"/>
      <c r="J862" s="37"/>
      <c r="N862" s="37"/>
    </row>
    <row r="863" ht="15.75" customHeight="1">
      <c r="H863" s="37"/>
      <c r="I863" s="38"/>
      <c r="J863" s="37"/>
      <c r="N863" s="37"/>
    </row>
    <row r="864" ht="15.75" customHeight="1">
      <c r="H864" s="37"/>
      <c r="I864" s="38"/>
      <c r="J864" s="37"/>
      <c r="N864" s="37"/>
    </row>
    <row r="865" ht="15.75" customHeight="1">
      <c r="H865" s="37"/>
      <c r="I865" s="38"/>
      <c r="J865" s="37"/>
      <c r="N865" s="37"/>
    </row>
    <row r="866" ht="15.75" customHeight="1">
      <c r="H866" s="37"/>
      <c r="I866" s="38"/>
      <c r="J866" s="37"/>
      <c r="N866" s="37"/>
    </row>
    <row r="867" ht="15.75" customHeight="1">
      <c r="H867" s="37"/>
      <c r="I867" s="38"/>
      <c r="J867" s="37"/>
      <c r="N867" s="37"/>
    </row>
    <row r="868" ht="15.75" customHeight="1">
      <c r="H868" s="37"/>
      <c r="I868" s="38"/>
      <c r="J868" s="37"/>
      <c r="N868" s="37"/>
    </row>
    <row r="869" ht="15.75" customHeight="1">
      <c r="H869" s="37"/>
      <c r="I869" s="38"/>
      <c r="J869" s="37"/>
      <c r="N869" s="37"/>
    </row>
    <row r="870" ht="15.75" customHeight="1">
      <c r="H870" s="37"/>
      <c r="I870" s="38"/>
      <c r="J870" s="37"/>
      <c r="N870" s="37"/>
    </row>
    <row r="871" ht="15.75" customHeight="1">
      <c r="H871" s="37"/>
      <c r="I871" s="38"/>
      <c r="J871" s="37"/>
      <c r="N871" s="37"/>
    </row>
    <row r="872" ht="15.75" customHeight="1">
      <c r="H872" s="37"/>
      <c r="I872" s="38"/>
      <c r="J872" s="37"/>
      <c r="N872" s="37"/>
    </row>
    <row r="873" ht="15.75" customHeight="1">
      <c r="H873" s="37"/>
      <c r="I873" s="38"/>
      <c r="J873" s="37"/>
      <c r="N873" s="37"/>
    </row>
    <row r="874" ht="15.75" customHeight="1">
      <c r="H874" s="37"/>
      <c r="I874" s="38"/>
      <c r="J874" s="37"/>
      <c r="N874" s="37"/>
    </row>
    <row r="875" ht="15.75" customHeight="1">
      <c r="H875" s="37"/>
      <c r="I875" s="38"/>
      <c r="J875" s="37"/>
      <c r="N875" s="37"/>
    </row>
    <row r="876" ht="15.75" customHeight="1">
      <c r="H876" s="37"/>
      <c r="I876" s="38"/>
      <c r="J876" s="37"/>
      <c r="N876" s="37"/>
    </row>
    <row r="877" ht="15.75" customHeight="1">
      <c r="H877" s="37"/>
      <c r="I877" s="38"/>
      <c r="J877" s="37"/>
      <c r="N877" s="37"/>
    </row>
    <row r="878" ht="15.75" customHeight="1">
      <c r="H878" s="37"/>
      <c r="I878" s="38"/>
      <c r="J878" s="37"/>
      <c r="N878" s="37"/>
    </row>
    <row r="879" ht="15.75" customHeight="1">
      <c r="H879" s="37"/>
      <c r="I879" s="38"/>
      <c r="J879" s="37"/>
      <c r="N879" s="37"/>
    </row>
    <row r="880" ht="15.75" customHeight="1">
      <c r="H880" s="37"/>
      <c r="I880" s="38"/>
      <c r="J880" s="37"/>
      <c r="N880" s="37"/>
    </row>
    <row r="881" ht="15.75" customHeight="1">
      <c r="H881" s="37"/>
      <c r="I881" s="38"/>
      <c r="J881" s="37"/>
      <c r="N881" s="37"/>
    </row>
    <row r="882" ht="15.75" customHeight="1">
      <c r="H882" s="37"/>
      <c r="I882" s="38"/>
      <c r="J882" s="37"/>
      <c r="N882" s="37"/>
    </row>
    <row r="883" ht="15.75" customHeight="1">
      <c r="H883" s="37"/>
      <c r="I883" s="38"/>
      <c r="J883" s="37"/>
      <c r="N883" s="37"/>
    </row>
    <row r="884" ht="15.75" customHeight="1">
      <c r="H884" s="37"/>
      <c r="I884" s="38"/>
      <c r="J884" s="37"/>
      <c r="N884" s="37"/>
    </row>
    <row r="885" ht="15.75" customHeight="1">
      <c r="H885" s="37"/>
      <c r="I885" s="38"/>
      <c r="J885" s="37"/>
      <c r="N885" s="37"/>
    </row>
    <row r="886" ht="15.75" customHeight="1">
      <c r="H886" s="37"/>
      <c r="I886" s="38"/>
      <c r="J886" s="37"/>
      <c r="N886" s="37"/>
    </row>
    <row r="887" ht="15.75" customHeight="1">
      <c r="H887" s="37"/>
      <c r="I887" s="38"/>
      <c r="J887" s="37"/>
      <c r="N887" s="37"/>
    </row>
    <row r="888" ht="15.75" customHeight="1">
      <c r="H888" s="37"/>
      <c r="I888" s="38"/>
      <c r="J888" s="37"/>
      <c r="N888" s="37"/>
    </row>
    <row r="889" ht="15.75" customHeight="1">
      <c r="H889" s="37"/>
      <c r="I889" s="38"/>
      <c r="J889" s="37"/>
      <c r="N889" s="37"/>
    </row>
    <row r="890" ht="15.75" customHeight="1">
      <c r="H890" s="37"/>
      <c r="I890" s="38"/>
      <c r="J890" s="37"/>
      <c r="N890" s="37"/>
    </row>
    <row r="891" ht="15.75" customHeight="1">
      <c r="H891" s="37"/>
      <c r="I891" s="38"/>
      <c r="J891" s="37"/>
      <c r="N891" s="37"/>
    </row>
    <row r="892" ht="15.75" customHeight="1">
      <c r="H892" s="37"/>
      <c r="I892" s="38"/>
      <c r="J892" s="37"/>
      <c r="N892" s="37"/>
    </row>
    <row r="893" ht="15.75" customHeight="1">
      <c r="H893" s="37"/>
      <c r="I893" s="38"/>
      <c r="J893" s="37"/>
      <c r="N893" s="37"/>
    </row>
    <row r="894" ht="15.75" customHeight="1">
      <c r="H894" s="37"/>
      <c r="I894" s="38"/>
      <c r="J894" s="37"/>
      <c r="N894" s="37"/>
    </row>
    <row r="895" ht="15.75" customHeight="1">
      <c r="H895" s="37"/>
      <c r="I895" s="38"/>
      <c r="J895" s="37"/>
      <c r="N895" s="37"/>
    </row>
    <row r="896" ht="15.75" customHeight="1">
      <c r="H896" s="37"/>
      <c r="I896" s="38"/>
      <c r="J896" s="37"/>
      <c r="N896" s="37"/>
    </row>
    <row r="897" ht="15.75" customHeight="1">
      <c r="H897" s="37"/>
      <c r="I897" s="38"/>
      <c r="J897" s="37"/>
      <c r="N897" s="37"/>
    </row>
    <row r="898" ht="15.75" customHeight="1">
      <c r="H898" s="37"/>
      <c r="I898" s="38"/>
      <c r="J898" s="37"/>
      <c r="N898" s="37"/>
    </row>
    <row r="899" ht="15.75" customHeight="1">
      <c r="H899" s="37"/>
      <c r="I899" s="38"/>
      <c r="J899" s="37"/>
      <c r="N899" s="37"/>
    </row>
    <row r="900" ht="15.75" customHeight="1">
      <c r="H900" s="37"/>
      <c r="I900" s="38"/>
      <c r="J900" s="37"/>
      <c r="N900" s="37"/>
    </row>
    <row r="901" ht="15.75" customHeight="1">
      <c r="H901" s="37"/>
      <c r="I901" s="38"/>
      <c r="J901" s="37"/>
      <c r="N901" s="37"/>
    </row>
    <row r="902" ht="15.75" customHeight="1">
      <c r="H902" s="37"/>
      <c r="I902" s="38"/>
      <c r="J902" s="37"/>
      <c r="N902" s="37"/>
    </row>
    <row r="903" ht="15.75" customHeight="1">
      <c r="H903" s="37"/>
      <c r="I903" s="38"/>
      <c r="J903" s="37"/>
      <c r="N903" s="37"/>
    </row>
    <row r="904" ht="15.75" customHeight="1">
      <c r="H904" s="37"/>
      <c r="I904" s="38"/>
      <c r="J904" s="37"/>
      <c r="N904" s="37"/>
    </row>
    <row r="905" ht="15.75" customHeight="1">
      <c r="H905" s="37"/>
      <c r="I905" s="38"/>
      <c r="J905" s="37"/>
      <c r="N905" s="37"/>
    </row>
    <row r="906" ht="15.75" customHeight="1">
      <c r="H906" s="37"/>
      <c r="I906" s="38"/>
      <c r="J906" s="37"/>
      <c r="N906" s="37"/>
    </row>
    <row r="907" ht="15.75" customHeight="1">
      <c r="H907" s="37"/>
      <c r="I907" s="38"/>
      <c r="J907" s="37"/>
      <c r="N907" s="37"/>
    </row>
    <row r="908" ht="15.75" customHeight="1">
      <c r="H908" s="37"/>
      <c r="I908" s="38"/>
      <c r="J908" s="37"/>
      <c r="N908" s="37"/>
    </row>
    <row r="909" ht="15.75" customHeight="1">
      <c r="H909" s="37"/>
      <c r="I909" s="38"/>
      <c r="J909" s="37"/>
      <c r="N909" s="37"/>
    </row>
    <row r="910" ht="15.75" customHeight="1">
      <c r="H910" s="37"/>
      <c r="I910" s="38"/>
      <c r="J910" s="37"/>
      <c r="N910" s="37"/>
    </row>
    <row r="911" ht="15.75" customHeight="1">
      <c r="H911" s="37"/>
      <c r="I911" s="38"/>
      <c r="J911" s="37"/>
      <c r="N911" s="37"/>
    </row>
    <row r="912" ht="15.75" customHeight="1">
      <c r="H912" s="37"/>
      <c r="I912" s="38"/>
      <c r="J912" s="37"/>
      <c r="N912" s="37"/>
    </row>
    <row r="913" ht="15.75" customHeight="1">
      <c r="H913" s="37"/>
      <c r="I913" s="38"/>
      <c r="J913" s="37"/>
      <c r="N913" s="37"/>
    </row>
    <row r="914" ht="15.75" customHeight="1">
      <c r="H914" s="37"/>
      <c r="I914" s="38"/>
      <c r="J914" s="37"/>
      <c r="N914" s="37"/>
    </row>
    <row r="915" ht="15.75" customHeight="1">
      <c r="H915" s="37"/>
      <c r="I915" s="38"/>
      <c r="J915" s="37"/>
      <c r="N915" s="37"/>
    </row>
    <row r="916" ht="15.75" customHeight="1">
      <c r="H916" s="37"/>
      <c r="I916" s="38"/>
      <c r="J916" s="37"/>
      <c r="N916" s="37"/>
    </row>
    <row r="917" ht="15.75" customHeight="1">
      <c r="H917" s="37"/>
      <c r="I917" s="38"/>
      <c r="J917" s="37"/>
      <c r="N917" s="37"/>
    </row>
    <row r="918" ht="15.75" customHeight="1">
      <c r="H918" s="37"/>
      <c r="I918" s="38"/>
      <c r="J918" s="37"/>
      <c r="N918" s="37"/>
    </row>
    <row r="919" ht="15.75" customHeight="1">
      <c r="H919" s="37"/>
      <c r="I919" s="38"/>
      <c r="J919" s="37"/>
      <c r="N919" s="37"/>
    </row>
    <row r="920" ht="15.75" customHeight="1">
      <c r="H920" s="37"/>
      <c r="I920" s="38"/>
      <c r="J920" s="37"/>
      <c r="N920" s="37"/>
    </row>
    <row r="921" ht="15.75" customHeight="1">
      <c r="H921" s="37"/>
      <c r="I921" s="38"/>
      <c r="J921" s="37"/>
      <c r="N921" s="37"/>
    </row>
    <row r="922" ht="15.75" customHeight="1">
      <c r="H922" s="37"/>
      <c r="I922" s="38"/>
      <c r="J922" s="37"/>
      <c r="N922" s="37"/>
    </row>
    <row r="923" ht="15.75" customHeight="1">
      <c r="H923" s="37"/>
      <c r="I923" s="38"/>
      <c r="J923" s="37"/>
      <c r="N923" s="37"/>
    </row>
    <row r="924" ht="15.75" customHeight="1">
      <c r="H924" s="37"/>
      <c r="I924" s="38"/>
      <c r="J924" s="37"/>
      <c r="N924" s="37"/>
    </row>
    <row r="925" ht="15.75" customHeight="1">
      <c r="H925" s="37"/>
      <c r="I925" s="38"/>
      <c r="J925" s="37"/>
      <c r="N925" s="37"/>
    </row>
    <row r="926" ht="15.75" customHeight="1">
      <c r="H926" s="37"/>
      <c r="I926" s="38"/>
      <c r="J926" s="37"/>
      <c r="N926" s="37"/>
    </row>
    <row r="927" ht="15.75" customHeight="1">
      <c r="H927" s="37"/>
      <c r="I927" s="38"/>
      <c r="J927" s="37"/>
      <c r="N927" s="37"/>
    </row>
    <row r="928" ht="15.75" customHeight="1">
      <c r="H928" s="37"/>
      <c r="I928" s="38"/>
      <c r="J928" s="37"/>
      <c r="N928" s="37"/>
    </row>
    <row r="929" ht="15.75" customHeight="1">
      <c r="H929" s="37"/>
      <c r="I929" s="38"/>
      <c r="J929" s="37"/>
      <c r="N929" s="37"/>
    </row>
    <row r="930" ht="15.75" customHeight="1">
      <c r="H930" s="37"/>
      <c r="I930" s="38"/>
      <c r="J930" s="37"/>
      <c r="N930" s="37"/>
    </row>
    <row r="931" ht="15.75" customHeight="1">
      <c r="H931" s="37"/>
      <c r="I931" s="38"/>
      <c r="J931" s="37"/>
      <c r="N931" s="37"/>
    </row>
    <row r="932" ht="15.75" customHeight="1">
      <c r="H932" s="37"/>
      <c r="I932" s="38"/>
      <c r="J932" s="37"/>
      <c r="N932" s="37"/>
    </row>
    <row r="933" ht="15.75" customHeight="1">
      <c r="H933" s="37"/>
      <c r="I933" s="38"/>
      <c r="J933" s="37"/>
      <c r="N933" s="37"/>
    </row>
    <row r="934" ht="15.75" customHeight="1">
      <c r="H934" s="37"/>
      <c r="I934" s="38"/>
      <c r="J934" s="37"/>
      <c r="N934" s="37"/>
    </row>
    <row r="935" ht="15.75" customHeight="1">
      <c r="H935" s="37"/>
      <c r="I935" s="38"/>
      <c r="J935" s="37"/>
      <c r="N935" s="37"/>
    </row>
    <row r="936" ht="15.75" customHeight="1">
      <c r="H936" s="37"/>
      <c r="I936" s="38"/>
      <c r="J936" s="37"/>
      <c r="N936" s="37"/>
    </row>
    <row r="937" ht="15.75" customHeight="1">
      <c r="H937" s="37"/>
      <c r="I937" s="38"/>
      <c r="J937" s="37"/>
      <c r="N937" s="37"/>
    </row>
    <row r="938" ht="15.75" customHeight="1">
      <c r="H938" s="37"/>
      <c r="I938" s="38"/>
      <c r="J938" s="37"/>
      <c r="N938" s="37"/>
    </row>
    <row r="939" ht="15.75" customHeight="1">
      <c r="H939" s="37"/>
      <c r="I939" s="38"/>
      <c r="J939" s="37"/>
      <c r="N939" s="37"/>
    </row>
    <row r="940" ht="15.75" customHeight="1">
      <c r="H940" s="37"/>
      <c r="I940" s="38"/>
      <c r="J940" s="37"/>
      <c r="N940" s="37"/>
    </row>
    <row r="941" ht="15.75" customHeight="1">
      <c r="H941" s="37"/>
      <c r="I941" s="38"/>
      <c r="J941" s="37"/>
      <c r="N941" s="37"/>
    </row>
    <row r="942" ht="15.75" customHeight="1">
      <c r="H942" s="37"/>
      <c r="I942" s="38"/>
      <c r="J942" s="37"/>
      <c r="N942" s="37"/>
    </row>
    <row r="943" ht="15.75" customHeight="1">
      <c r="H943" s="37"/>
      <c r="I943" s="38"/>
      <c r="J943" s="37"/>
      <c r="N943" s="37"/>
    </row>
    <row r="944" ht="15.75" customHeight="1">
      <c r="H944" s="37"/>
      <c r="I944" s="38"/>
      <c r="J944" s="37"/>
      <c r="N944" s="37"/>
    </row>
    <row r="945" ht="15.75" customHeight="1">
      <c r="H945" s="37"/>
      <c r="I945" s="38"/>
      <c r="J945" s="37"/>
      <c r="N945" s="37"/>
    </row>
    <row r="946" ht="15.75" customHeight="1">
      <c r="H946" s="37"/>
      <c r="I946" s="38"/>
      <c r="J946" s="37"/>
      <c r="N946" s="37"/>
    </row>
    <row r="947" ht="15.75" customHeight="1">
      <c r="H947" s="37"/>
      <c r="I947" s="38"/>
      <c r="J947" s="37"/>
      <c r="N947" s="37"/>
    </row>
    <row r="948" ht="15.75" customHeight="1">
      <c r="H948" s="37"/>
      <c r="I948" s="38"/>
      <c r="J948" s="37"/>
      <c r="N948" s="37"/>
    </row>
    <row r="949" ht="15.75" customHeight="1">
      <c r="H949" s="37"/>
      <c r="I949" s="38"/>
      <c r="J949" s="37"/>
      <c r="N949" s="37"/>
    </row>
    <row r="950" ht="15.75" customHeight="1">
      <c r="H950" s="37"/>
      <c r="I950" s="38"/>
      <c r="J950" s="37"/>
      <c r="N950" s="37"/>
    </row>
    <row r="951" ht="15.75" customHeight="1">
      <c r="H951" s="37"/>
      <c r="I951" s="38"/>
      <c r="J951" s="37"/>
      <c r="N951" s="37"/>
    </row>
    <row r="952" ht="15.75" customHeight="1">
      <c r="H952" s="37"/>
      <c r="I952" s="38"/>
      <c r="J952" s="37"/>
      <c r="N952" s="37"/>
    </row>
    <row r="953" ht="15.75" customHeight="1">
      <c r="H953" s="37"/>
      <c r="I953" s="38"/>
      <c r="J953" s="37"/>
      <c r="N953" s="37"/>
    </row>
    <row r="954" ht="15.75" customHeight="1">
      <c r="H954" s="37"/>
      <c r="I954" s="38"/>
      <c r="J954" s="37"/>
      <c r="N954" s="37"/>
    </row>
    <row r="955" ht="15.75" customHeight="1">
      <c r="H955" s="37"/>
      <c r="I955" s="38"/>
      <c r="J955" s="37"/>
      <c r="N955" s="37"/>
    </row>
    <row r="956" ht="15.75" customHeight="1">
      <c r="H956" s="37"/>
      <c r="I956" s="38"/>
      <c r="J956" s="37"/>
      <c r="N956" s="37"/>
    </row>
    <row r="957" ht="15.75" customHeight="1">
      <c r="H957" s="37"/>
      <c r="I957" s="38"/>
      <c r="J957" s="37"/>
      <c r="N957" s="37"/>
    </row>
    <row r="958" ht="15.75" customHeight="1">
      <c r="H958" s="37"/>
      <c r="I958" s="38"/>
      <c r="J958" s="37"/>
      <c r="N958" s="37"/>
    </row>
    <row r="959" ht="15.75" customHeight="1">
      <c r="H959" s="37"/>
      <c r="I959" s="38"/>
      <c r="J959" s="37"/>
      <c r="N959" s="37"/>
    </row>
    <row r="960" ht="15.75" customHeight="1">
      <c r="H960" s="37"/>
      <c r="I960" s="38"/>
      <c r="J960" s="37"/>
      <c r="N960" s="37"/>
    </row>
    <row r="961" ht="15.75" customHeight="1">
      <c r="H961" s="37"/>
      <c r="I961" s="38"/>
      <c r="J961" s="37"/>
      <c r="N961" s="37"/>
    </row>
    <row r="962" ht="15.75" customHeight="1">
      <c r="H962" s="37"/>
      <c r="I962" s="38"/>
      <c r="J962" s="37"/>
      <c r="N962" s="37"/>
    </row>
    <row r="963" ht="15.75" customHeight="1">
      <c r="H963" s="37"/>
      <c r="I963" s="38"/>
      <c r="J963" s="37"/>
      <c r="N963" s="37"/>
    </row>
    <row r="964" ht="15.75" customHeight="1">
      <c r="H964" s="37"/>
      <c r="I964" s="38"/>
      <c r="J964" s="37"/>
      <c r="N964" s="37"/>
    </row>
    <row r="965" ht="15.75" customHeight="1">
      <c r="H965" s="37"/>
      <c r="I965" s="38"/>
      <c r="J965" s="37"/>
      <c r="N965" s="37"/>
    </row>
    <row r="966" ht="15.75" customHeight="1">
      <c r="H966" s="37"/>
      <c r="I966" s="38"/>
      <c r="J966" s="37"/>
      <c r="N966" s="37"/>
    </row>
    <row r="967" ht="15.75" customHeight="1">
      <c r="H967" s="37"/>
      <c r="I967" s="38"/>
      <c r="J967" s="37"/>
      <c r="N967" s="37"/>
    </row>
    <row r="968" ht="15.75" customHeight="1">
      <c r="H968" s="37"/>
      <c r="I968" s="38"/>
      <c r="J968" s="37"/>
      <c r="N968" s="37"/>
    </row>
    <row r="969" ht="15.75" customHeight="1">
      <c r="H969" s="37"/>
      <c r="I969" s="38"/>
      <c r="J969" s="37"/>
      <c r="N969" s="37"/>
    </row>
    <row r="970" ht="15.75" customHeight="1">
      <c r="H970" s="37"/>
      <c r="I970" s="38"/>
      <c r="J970" s="37"/>
      <c r="N970" s="37"/>
    </row>
    <row r="971" ht="15.75" customHeight="1">
      <c r="H971" s="37"/>
      <c r="I971" s="38"/>
      <c r="J971" s="37"/>
      <c r="N971" s="37"/>
    </row>
    <row r="972" ht="15.75" customHeight="1">
      <c r="H972" s="37"/>
      <c r="I972" s="38"/>
      <c r="J972" s="37"/>
      <c r="N972" s="37"/>
    </row>
    <row r="973" ht="15.75" customHeight="1">
      <c r="H973" s="37"/>
      <c r="I973" s="38"/>
      <c r="J973" s="37"/>
      <c r="N973" s="37"/>
    </row>
    <row r="974" ht="15.75" customHeight="1">
      <c r="H974" s="37"/>
      <c r="I974" s="38"/>
      <c r="J974" s="37"/>
      <c r="N974" s="37"/>
    </row>
    <row r="975" ht="15.75" customHeight="1">
      <c r="H975" s="37"/>
      <c r="I975" s="38"/>
      <c r="J975" s="37"/>
      <c r="N975" s="37"/>
    </row>
    <row r="976" ht="15.75" customHeight="1">
      <c r="H976" s="37"/>
      <c r="I976" s="38"/>
      <c r="J976" s="37"/>
      <c r="N976" s="37"/>
    </row>
    <row r="977" ht="15.75" customHeight="1">
      <c r="H977" s="37"/>
      <c r="I977" s="38"/>
      <c r="J977" s="37"/>
      <c r="N977" s="37"/>
    </row>
    <row r="978" ht="15.75" customHeight="1">
      <c r="H978" s="37"/>
      <c r="I978" s="38"/>
      <c r="J978" s="37"/>
      <c r="N978" s="37"/>
    </row>
    <row r="979" ht="15.75" customHeight="1">
      <c r="H979" s="37"/>
      <c r="I979" s="38"/>
      <c r="J979" s="37"/>
      <c r="N979" s="37"/>
    </row>
    <row r="980" ht="15.75" customHeight="1">
      <c r="H980" s="37"/>
      <c r="I980" s="38"/>
      <c r="J980" s="37"/>
      <c r="N980" s="37"/>
    </row>
    <row r="981" ht="15.75" customHeight="1">
      <c r="H981" s="37"/>
      <c r="I981" s="38"/>
      <c r="J981" s="37"/>
      <c r="N981" s="37"/>
    </row>
    <row r="982" ht="15.75" customHeight="1">
      <c r="H982" s="37"/>
      <c r="I982" s="38"/>
      <c r="J982" s="37"/>
      <c r="N982" s="37"/>
    </row>
    <row r="983" ht="15.75" customHeight="1">
      <c r="H983" s="37"/>
      <c r="I983" s="38"/>
      <c r="J983" s="37"/>
      <c r="N983" s="37"/>
    </row>
    <row r="984" ht="15.75" customHeight="1">
      <c r="H984" s="37"/>
      <c r="I984" s="38"/>
      <c r="J984" s="37"/>
      <c r="N984" s="37"/>
    </row>
    <row r="985" ht="15.75" customHeight="1">
      <c r="H985" s="37"/>
      <c r="I985" s="38"/>
      <c r="J985" s="37"/>
      <c r="N985" s="37"/>
    </row>
    <row r="986" ht="15.75" customHeight="1">
      <c r="H986" s="37"/>
      <c r="I986" s="38"/>
      <c r="J986" s="37"/>
      <c r="N986" s="37"/>
    </row>
    <row r="987" ht="15.75" customHeight="1">
      <c r="H987" s="37"/>
      <c r="I987" s="38"/>
      <c r="J987" s="37"/>
      <c r="N987" s="37"/>
    </row>
    <row r="988" ht="15.75" customHeight="1">
      <c r="H988" s="37"/>
      <c r="I988" s="38"/>
      <c r="J988" s="37"/>
      <c r="N988" s="37"/>
    </row>
    <row r="989" ht="15.75" customHeight="1">
      <c r="H989" s="37"/>
      <c r="I989" s="38"/>
      <c r="J989" s="37"/>
      <c r="N989" s="37"/>
    </row>
    <row r="990" ht="15.75" customHeight="1">
      <c r="H990" s="37"/>
      <c r="I990" s="38"/>
      <c r="J990" s="37"/>
      <c r="N990" s="37"/>
    </row>
    <row r="991" ht="15.75" customHeight="1">
      <c r="H991" s="37"/>
      <c r="I991" s="38"/>
      <c r="J991" s="37"/>
      <c r="N991" s="37"/>
    </row>
    <row r="992" ht="15.75" customHeight="1">
      <c r="H992" s="37"/>
      <c r="I992" s="38"/>
      <c r="J992" s="37"/>
      <c r="N992" s="37"/>
    </row>
    <row r="993" ht="15.75" customHeight="1">
      <c r="H993" s="37"/>
      <c r="I993" s="38"/>
      <c r="J993" s="37"/>
      <c r="N993" s="37"/>
    </row>
    <row r="994" ht="15.75" customHeight="1">
      <c r="H994" s="37"/>
      <c r="I994" s="38"/>
      <c r="J994" s="37"/>
      <c r="N994" s="37"/>
    </row>
    <row r="995" ht="15.75" customHeight="1">
      <c r="H995" s="37"/>
      <c r="I995" s="38"/>
      <c r="J995" s="37"/>
      <c r="N995" s="37"/>
    </row>
    <row r="996" ht="15.75" customHeight="1">
      <c r="H996" s="37"/>
      <c r="I996" s="38"/>
      <c r="J996" s="37"/>
      <c r="N996" s="37"/>
    </row>
    <row r="997" ht="15.75" customHeight="1">
      <c r="H997" s="37"/>
      <c r="I997" s="38"/>
      <c r="J997" s="37"/>
      <c r="N997" s="37"/>
    </row>
    <row r="998" ht="15.75" customHeight="1">
      <c r="H998" s="37"/>
      <c r="I998" s="38"/>
      <c r="J998" s="37"/>
      <c r="N998" s="37"/>
    </row>
    <row r="999" ht="15.75" customHeight="1">
      <c r="H999" s="37"/>
      <c r="I999" s="38"/>
      <c r="J999" s="37"/>
      <c r="N999" s="37"/>
    </row>
    <row r="1000" ht="15.75" customHeight="1">
      <c r="H1000" s="37"/>
      <c r="I1000" s="38"/>
      <c r="J1000" s="37"/>
      <c r="N1000" s="37"/>
    </row>
    <row r="1001" ht="15.75" customHeight="1">
      <c r="H1001" s="37"/>
      <c r="I1001" s="38"/>
      <c r="J1001" s="37"/>
      <c r="N1001" s="37"/>
    </row>
    <row r="1002" ht="15.75" customHeight="1">
      <c r="H1002" s="37"/>
      <c r="I1002" s="38"/>
      <c r="J1002" s="37"/>
      <c r="N1002" s="37"/>
    </row>
    <row r="1003" ht="15.75" customHeight="1">
      <c r="H1003" s="37"/>
      <c r="I1003" s="38"/>
      <c r="J1003" s="37"/>
      <c r="N1003" s="37"/>
    </row>
    <row r="1004" ht="15.75" customHeight="1">
      <c r="H1004" s="37"/>
      <c r="I1004" s="38"/>
      <c r="J1004" s="37"/>
      <c r="N1004" s="37"/>
    </row>
    <row r="1005" ht="15.75" customHeight="1">
      <c r="H1005" s="37"/>
      <c r="I1005" s="38"/>
      <c r="J1005" s="37"/>
      <c r="N1005" s="37"/>
    </row>
    <row r="1006" ht="15.75" customHeight="1">
      <c r="H1006" s="37"/>
      <c r="I1006" s="38"/>
      <c r="J1006" s="37"/>
      <c r="N1006" s="37"/>
    </row>
    <row r="1007" ht="15.75" customHeight="1">
      <c r="H1007" s="37"/>
      <c r="I1007" s="38"/>
      <c r="J1007" s="37"/>
      <c r="N1007" s="37"/>
    </row>
    <row r="1008" ht="15.75" customHeight="1">
      <c r="H1008" s="37"/>
      <c r="I1008" s="38"/>
      <c r="J1008" s="37"/>
      <c r="N1008" s="37"/>
    </row>
    <row r="1009" ht="15.75" customHeight="1">
      <c r="H1009" s="37"/>
      <c r="I1009" s="38"/>
      <c r="J1009" s="37"/>
      <c r="N1009" s="37"/>
    </row>
    <row r="1010" ht="15.75" customHeight="1">
      <c r="H1010" s="37"/>
      <c r="I1010" s="38"/>
      <c r="J1010" s="37"/>
      <c r="N1010" s="37"/>
    </row>
    <row r="1011" ht="15.75" customHeight="1">
      <c r="H1011" s="37"/>
      <c r="I1011" s="38"/>
      <c r="J1011" s="37"/>
      <c r="N1011" s="37"/>
    </row>
    <row r="1012" ht="15.75" customHeight="1">
      <c r="H1012" s="37"/>
      <c r="I1012" s="38"/>
      <c r="J1012" s="37"/>
      <c r="N1012" s="37"/>
    </row>
    <row r="1013" ht="15.75" customHeight="1">
      <c r="H1013" s="37"/>
      <c r="I1013" s="38"/>
      <c r="J1013" s="37"/>
      <c r="N1013" s="37"/>
    </row>
    <row r="1014" ht="15.75" customHeight="1">
      <c r="H1014" s="37"/>
      <c r="I1014" s="38"/>
      <c r="J1014" s="37"/>
      <c r="N1014" s="37"/>
    </row>
    <row r="1015" ht="15.75" customHeight="1">
      <c r="H1015" s="37"/>
      <c r="I1015" s="38"/>
      <c r="J1015" s="37"/>
      <c r="N1015" s="37"/>
    </row>
    <row r="1016" ht="15.75" customHeight="1">
      <c r="H1016" s="37"/>
      <c r="I1016" s="38"/>
      <c r="J1016" s="37"/>
      <c r="N1016" s="37"/>
    </row>
    <row r="1017" ht="15.75" customHeight="1">
      <c r="H1017" s="37"/>
      <c r="I1017" s="38"/>
      <c r="J1017" s="37"/>
      <c r="N1017" s="37"/>
    </row>
    <row r="1018" ht="15.75" customHeight="1">
      <c r="H1018" s="37"/>
      <c r="I1018" s="38"/>
      <c r="J1018" s="37"/>
      <c r="N1018" s="37"/>
    </row>
    <row r="1019" ht="15.75" customHeight="1">
      <c r="H1019" s="37"/>
      <c r="I1019" s="38"/>
      <c r="J1019" s="37"/>
      <c r="N1019" s="37"/>
    </row>
    <row r="1020" ht="15.75" customHeight="1">
      <c r="H1020" s="37"/>
      <c r="I1020" s="38"/>
      <c r="J1020" s="37"/>
      <c r="N1020" s="37"/>
    </row>
    <row r="1021" ht="15.75" customHeight="1">
      <c r="H1021" s="37"/>
      <c r="I1021" s="38"/>
      <c r="J1021" s="37"/>
      <c r="N1021" s="37"/>
    </row>
    <row r="1022" ht="15.75" customHeight="1">
      <c r="H1022" s="37"/>
      <c r="I1022" s="38"/>
      <c r="J1022" s="37"/>
      <c r="N1022" s="37"/>
    </row>
    <row r="1023" ht="15.75" customHeight="1">
      <c r="H1023" s="37"/>
      <c r="I1023" s="38"/>
      <c r="J1023" s="37"/>
      <c r="N1023" s="37"/>
    </row>
    <row r="1024" ht="15.75" customHeight="1">
      <c r="H1024" s="37"/>
      <c r="I1024" s="38"/>
      <c r="J1024" s="37"/>
      <c r="N1024" s="37"/>
    </row>
    <row r="1025" ht="15.75" customHeight="1">
      <c r="H1025" s="37"/>
      <c r="I1025" s="38"/>
      <c r="J1025" s="37"/>
      <c r="N1025" s="37"/>
    </row>
    <row r="1026" ht="15.75" customHeight="1">
      <c r="H1026" s="37"/>
      <c r="I1026" s="38"/>
      <c r="J1026" s="37"/>
      <c r="N1026" s="37"/>
    </row>
    <row r="1027" ht="15.75" customHeight="1">
      <c r="H1027" s="37"/>
      <c r="I1027" s="38"/>
      <c r="J1027" s="37"/>
      <c r="N1027" s="37"/>
    </row>
    <row r="1028" ht="15.75" customHeight="1">
      <c r="H1028" s="37"/>
      <c r="I1028" s="38"/>
      <c r="J1028" s="37"/>
      <c r="N1028" s="37"/>
    </row>
    <row r="1029" ht="15.75" customHeight="1">
      <c r="H1029" s="37"/>
      <c r="I1029" s="38"/>
      <c r="J1029" s="37"/>
      <c r="N1029" s="37"/>
    </row>
    <row r="1030" ht="15.75" customHeight="1">
      <c r="H1030" s="37"/>
      <c r="I1030" s="38"/>
      <c r="J1030" s="37"/>
      <c r="N1030" s="37"/>
    </row>
    <row r="1031" ht="15.75" customHeight="1">
      <c r="H1031" s="37"/>
      <c r="I1031" s="38"/>
      <c r="J1031" s="37"/>
      <c r="N1031" s="37"/>
    </row>
    <row r="1032" ht="15.75" customHeight="1">
      <c r="H1032" s="37"/>
      <c r="I1032" s="38"/>
      <c r="J1032" s="37"/>
      <c r="N1032" s="37"/>
    </row>
    <row r="1033" ht="15.75" customHeight="1">
      <c r="H1033" s="37"/>
      <c r="I1033" s="38"/>
      <c r="J1033" s="37"/>
      <c r="N1033" s="37"/>
    </row>
    <row r="1034" ht="15.75" customHeight="1">
      <c r="H1034" s="37"/>
      <c r="I1034" s="38"/>
      <c r="J1034" s="37"/>
      <c r="N1034" s="37"/>
    </row>
    <row r="1035" ht="15.75" customHeight="1">
      <c r="H1035" s="37"/>
      <c r="I1035" s="38"/>
      <c r="J1035" s="37"/>
      <c r="N1035" s="37"/>
    </row>
    <row r="1036" ht="15.75" customHeight="1">
      <c r="H1036" s="37"/>
      <c r="I1036" s="38"/>
      <c r="J1036" s="37"/>
      <c r="N1036" s="37"/>
    </row>
    <row r="1037" ht="15.75" customHeight="1">
      <c r="H1037" s="37"/>
      <c r="I1037" s="38"/>
      <c r="J1037" s="37"/>
      <c r="N1037" s="37"/>
    </row>
    <row r="1038" ht="15.75" customHeight="1">
      <c r="H1038" s="37"/>
      <c r="I1038" s="38"/>
      <c r="J1038" s="37"/>
      <c r="N1038" s="37"/>
    </row>
    <row r="1039" ht="15.75" customHeight="1">
      <c r="H1039" s="37"/>
      <c r="I1039" s="38"/>
      <c r="J1039" s="37"/>
      <c r="N1039" s="37"/>
    </row>
    <row r="1040" ht="15.75" customHeight="1">
      <c r="H1040" s="37"/>
      <c r="I1040" s="38"/>
      <c r="J1040" s="37"/>
      <c r="N1040" s="37"/>
    </row>
    <row r="1041" ht="15.75" customHeight="1">
      <c r="H1041" s="37"/>
      <c r="I1041" s="38"/>
      <c r="J1041" s="37"/>
      <c r="N1041" s="37"/>
    </row>
    <row r="1042" ht="15.75" customHeight="1">
      <c r="H1042" s="37"/>
      <c r="I1042" s="38"/>
      <c r="J1042" s="37"/>
      <c r="N1042" s="37"/>
    </row>
    <row r="1043" ht="15.75" customHeight="1">
      <c r="H1043" s="37"/>
      <c r="I1043" s="38"/>
      <c r="J1043" s="37"/>
      <c r="N1043" s="37"/>
    </row>
    <row r="1044" ht="15.75" customHeight="1">
      <c r="H1044" s="37"/>
      <c r="I1044" s="38"/>
      <c r="J1044" s="37"/>
      <c r="N1044" s="37"/>
    </row>
    <row r="1045" ht="15.75" customHeight="1">
      <c r="H1045" s="37"/>
      <c r="I1045" s="38"/>
      <c r="J1045" s="37"/>
      <c r="N1045" s="37"/>
    </row>
    <row r="1046" ht="15.75" customHeight="1">
      <c r="H1046" s="37"/>
      <c r="I1046" s="38"/>
      <c r="J1046" s="37"/>
      <c r="N1046" s="37"/>
    </row>
    <row r="1047" ht="15.75" customHeight="1">
      <c r="H1047" s="37"/>
      <c r="I1047" s="38"/>
      <c r="J1047" s="37"/>
      <c r="N1047" s="37"/>
    </row>
    <row r="1048" ht="15.75" customHeight="1">
      <c r="H1048" s="37"/>
      <c r="I1048" s="38"/>
      <c r="J1048" s="37"/>
      <c r="N1048" s="37"/>
    </row>
    <row r="1049" ht="15.75" customHeight="1">
      <c r="H1049" s="37"/>
      <c r="I1049" s="38"/>
      <c r="J1049" s="37"/>
      <c r="N1049" s="37"/>
    </row>
    <row r="1050" ht="15.75" customHeight="1">
      <c r="H1050" s="37"/>
      <c r="I1050" s="38"/>
      <c r="J1050" s="37"/>
      <c r="N1050" s="37"/>
    </row>
    <row r="1051" ht="15.75" customHeight="1">
      <c r="H1051" s="37"/>
      <c r="I1051" s="38"/>
      <c r="J1051" s="37"/>
      <c r="N1051" s="37"/>
    </row>
    <row r="1052" ht="15.75" customHeight="1">
      <c r="H1052" s="37"/>
      <c r="I1052" s="38"/>
      <c r="J1052" s="37"/>
      <c r="N1052" s="37"/>
    </row>
    <row r="1053" ht="15.75" customHeight="1">
      <c r="H1053" s="37"/>
      <c r="I1053" s="38"/>
      <c r="J1053" s="37"/>
      <c r="N1053" s="37"/>
    </row>
    <row r="1054" ht="15.75" customHeight="1">
      <c r="H1054" s="37"/>
      <c r="I1054" s="38"/>
      <c r="J1054" s="37"/>
      <c r="N1054" s="37"/>
    </row>
    <row r="1055" ht="15.75" customHeight="1">
      <c r="H1055" s="37"/>
      <c r="I1055" s="38"/>
      <c r="J1055" s="37"/>
      <c r="N1055" s="37"/>
    </row>
    <row r="1056" ht="15.75" customHeight="1">
      <c r="H1056" s="37"/>
      <c r="I1056" s="38"/>
      <c r="J1056" s="37"/>
      <c r="N1056" s="37"/>
    </row>
    <row r="1057" ht="15.75" customHeight="1">
      <c r="H1057" s="37"/>
      <c r="I1057" s="38"/>
      <c r="J1057" s="37"/>
      <c r="N1057" s="37"/>
    </row>
    <row r="1058" ht="15.75" customHeight="1">
      <c r="H1058" s="37"/>
      <c r="I1058" s="38"/>
      <c r="J1058" s="37"/>
      <c r="N1058" s="37"/>
    </row>
    <row r="1059" ht="15.75" customHeight="1">
      <c r="H1059" s="37"/>
      <c r="I1059" s="38"/>
      <c r="J1059" s="37"/>
      <c r="N1059" s="37"/>
    </row>
    <row r="1060" ht="15.75" customHeight="1">
      <c r="H1060" s="37"/>
      <c r="I1060" s="38"/>
      <c r="J1060" s="37"/>
      <c r="N1060" s="37"/>
    </row>
    <row r="1061" ht="15.75" customHeight="1">
      <c r="H1061" s="37"/>
      <c r="I1061" s="38"/>
      <c r="J1061" s="37"/>
      <c r="N1061" s="37"/>
    </row>
    <row r="1062" ht="15.75" customHeight="1">
      <c r="H1062" s="37"/>
      <c r="I1062" s="38"/>
      <c r="J1062" s="37"/>
      <c r="N1062" s="37"/>
    </row>
    <row r="1063" ht="15.75" customHeight="1">
      <c r="H1063" s="37"/>
      <c r="I1063" s="38"/>
      <c r="J1063" s="37"/>
      <c r="N1063" s="37"/>
    </row>
    <row r="1064" ht="15.75" customHeight="1">
      <c r="H1064" s="37"/>
      <c r="I1064" s="38"/>
      <c r="J1064" s="37"/>
      <c r="N1064" s="37"/>
    </row>
    <row r="1065" ht="15.75" customHeight="1">
      <c r="H1065" s="37"/>
      <c r="I1065" s="38"/>
      <c r="J1065" s="37"/>
      <c r="N1065" s="37"/>
    </row>
    <row r="1066" ht="15.75" customHeight="1">
      <c r="H1066" s="37"/>
      <c r="I1066" s="38"/>
      <c r="J1066" s="37"/>
      <c r="N1066" s="37"/>
    </row>
    <row r="1067" ht="15.75" customHeight="1">
      <c r="H1067" s="37"/>
      <c r="I1067" s="38"/>
      <c r="J1067" s="37"/>
      <c r="N1067" s="37"/>
    </row>
    <row r="1068" ht="15.75" customHeight="1">
      <c r="H1068" s="37"/>
      <c r="I1068" s="38"/>
      <c r="J1068" s="37"/>
      <c r="N1068" s="37"/>
    </row>
    <row r="1069" ht="15.75" customHeight="1">
      <c r="H1069" s="37"/>
      <c r="I1069" s="38"/>
      <c r="J1069" s="37"/>
      <c r="N1069" s="37"/>
    </row>
    <row r="1070" ht="15.75" customHeight="1">
      <c r="H1070" s="37"/>
      <c r="I1070" s="38"/>
      <c r="J1070" s="37"/>
      <c r="N1070" s="37"/>
    </row>
    <row r="1071" ht="15.75" customHeight="1">
      <c r="H1071" s="37"/>
      <c r="I1071" s="38"/>
      <c r="J1071" s="37"/>
      <c r="N1071" s="37"/>
    </row>
    <row r="1072" ht="15.75" customHeight="1">
      <c r="H1072" s="37"/>
      <c r="I1072" s="38"/>
      <c r="J1072" s="37"/>
      <c r="N1072" s="37"/>
    </row>
    <row r="1073" ht="15.75" customHeight="1">
      <c r="H1073" s="37"/>
      <c r="I1073" s="38"/>
      <c r="J1073" s="37"/>
      <c r="N1073" s="37"/>
    </row>
    <row r="1074" ht="15.75" customHeight="1">
      <c r="H1074" s="37"/>
      <c r="I1074" s="38"/>
      <c r="J1074" s="37"/>
      <c r="N1074" s="37"/>
    </row>
    <row r="1075" ht="15.75" customHeight="1">
      <c r="H1075" s="37"/>
      <c r="I1075" s="38"/>
      <c r="J1075" s="37"/>
      <c r="N1075" s="37"/>
    </row>
    <row r="1076" ht="15.75" customHeight="1">
      <c r="H1076" s="37"/>
      <c r="I1076" s="38"/>
      <c r="J1076" s="37"/>
      <c r="N1076" s="37"/>
    </row>
    <row r="1077" ht="15.75" customHeight="1">
      <c r="H1077" s="37"/>
      <c r="I1077" s="38"/>
      <c r="J1077" s="37"/>
      <c r="N1077" s="37"/>
    </row>
    <row r="1078" ht="15.75" customHeight="1">
      <c r="H1078" s="37"/>
      <c r="I1078" s="38"/>
      <c r="J1078" s="37"/>
      <c r="N1078" s="37"/>
    </row>
    <row r="1079" ht="15.75" customHeight="1">
      <c r="H1079" s="37"/>
      <c r="I1079" s="38"/>
      <c r="J1079" s="37"/>
      <c r="N1079" s="37"/>
    </row>
    <row r="1080" ht="15.75" customHeight="1">
      <c r="H1080" s="37"/>
      <c r="I1080" s="38"/>
      <c r="J1080" s="37"/>
      <c r="N1080" s="37"/>
    </row>
    <row r="1081" ht="15.75" customHeight="1">
      <c r="H1081" s="37"/>
      <c r="I1081" s="38"/>
      <c r="J1081" s="37"/>
      <c r="N1081" s="37"/>
    </row>
    <row r="1082" ht="15.75" customHeight="1">
      <c r="H1082" s="37"/>
      <c r="I1082" s="38"/>
      <c r="J1082" s="37"/>
      <c r="N1082" s="37"/>
    </row>
    <row r="1083" ht="15.75" customHeight="1">
      <c r="H1083" s="37"/>
      <c r="I1083" s="38"/>
      <c r="J1083" s="37"/>
      <c r="N1083" s="37"/>
    </row>
    <row r="1084" ht="15.75" customHeight="1">
      <c r="H1084" s="37"/>
      <c r="I1084" s="38"/>
      <c r="J1084" s="37"/>
      <c r="N1084" s="37"/>
    </row>
    <row r="1085" ht="15.75" customHeight="1">
      <c r="H1085" s="37"/>
      <c r="I1085" s="38"/>
      <c r="J1085" s="37"/>
      <c r="N1085" s="37"/>
    </row>
    <row r="1086" ht="15.75" customHeight="1">
      <c r="H1086" s="37"/>
      <c r="I1086" s="38"/>
      <c r="J1086" s="37"/>
      <c r="N1086" s="37"/>
    </row>
    <row r="1087" ht="15.75" customHeight="1">
      <c r="H1087" s="37"/>
      <c r="I1087" s="38"/>
      <c r="J1087" s="37"/>
      <c r="N1087" s="37"/>
    </row>
    <row r="1088" ht="15.75" customHeight="1">
      <c r="H1088" s="37"/>
      <c r="I1088" s="38"/>
      <c r="J1088" s="37"/>
      <c r="N1088" s="37"/>
    </row>
    <row r="1089" ht="15.75" customHeight="1">
      <c r="H1089" s="37"/>
      <c r="I1089" s="38"/>
      <c r="J1089" s="37"/>
      <c r="N1089" s="37"/>
    </row>
    <row r="1090" ht="15.75" customHeight="1">
      <c r="H1090" s="37"/>
      <c r="I1090" s="38"/>
      <c r="J1090" s="37"/>
      <c r="N1090" s="37"/>
    </row>
    <row r="1091" ht="15.75" customHeight="1">
      <c r="H1091" s="37"/>
      <c r="I1091" s="38"/>
      <c r="J1091" s="37"/>
      <c r="N1091" s="37"/>
    </row>
    <row r="1092" ht="15.75" customHeight="1">
      <c r="H1092" s="37"/>
      <c r="I1092" s="38"/>
      <c r="J1092" s="37"/>
      <c r="N1092" s="37"/>
    </row>
    <row r="1093" ht="15.75" customHeight="1">
      <c r="H1093" s="37"/>
      <c r="I1093" s="38"/>
      <c r="J1093" s="37"/>
      <c r="N1093" s="37"/>
    </row>
    <row r="1094" ht="15.75" customHeight="1">
      <c r="H1094" s="37"/>
      <c r="I1094" s="38"/>
      <c r="J1094" s="37"/>
      <c r="N1094" s="37"/>
    </row>
    <row r="1095" ht="15.75" customHeight="1">
      <c r="H1095" s="37"/>
      <c r="I1095" s="38"/>
      <c r="J1095" s="37"/>
      <c r="N1095" s="37"/>
    </row>
    <row r="1096" ht="15.75" customHeight="1">
      <c r="H1096" s="37"/>
      <c r="I1096" s="38"/>
      <c r="J1096" s="37"/>
      <c r="N1096" s="37"/>
    </row>
    <row r="1097" ht="15.75" customHeight="1">
      <c r="H1097" s="37"/>
      <c r="I1097" s="38"/>
      <c r="J1097" s="37"/>
      <c r="N1097" s="37"/>
    </row>
    <row r="1098" ht="15.75" customHeight="1">
      <c r="H1098" s="37"/>
      <c r="I1098" s="38"/>
      <c r="J1098" s="37"/>
      <c r="N1098" s="37"/>
    </row>
    <row r="1099" ht="15.75" customHeight="1">
      <c r="H1099" s="37"/>
      <c r="I1099" s="38"/>
      <c r="J1099" s="37"/>
      <c r="N1099" s="37"/>
    </row>
    <row r="1100" ht="15.75" customHeight="1">
      <c r="H1100" s="37"/>
      <c r="I1100" s="38"/>
      <c r="J1100" s="37"/>
      <c r="N1100" s="37"/>
    </row>
    <row r="1101" ht="15.75" customHeight="1">
      <c r="H1101" s="37"/>
      <c r="I1101" s="38"/>
      <c r="J1101" s="37"/>
      <c r="N1101" s="37"/>
    </row>
    <row r="1102" ht="15.75" customHeight="1">
      <c r="H1102" s="37"/>
      <c r="I1102" s="38"/>
      <c r="J1102" s="37"/>
      <c r="N1102" s="37"/>
    </row>
    <row r="1103" ht="15.75" customHeight="1">
      <c r="H1103" s="37"/>
      <c r="I1103" s="38"/>
      <c r="J1103" s="37"/>
      <c r="N1103" s="37"/>
    </row>
    <row r="1104" ht="15.75" customHeight="1">
      <c r="H1104" s="37"/>
      <c r="I1104" s="38"/>
      <c r="J1104" s="37"/>
      <c r="N1104" s="37"/>
    </row>
    <row r="1105" ht="15.75" customHeight="1">
      <c r="H1105" s="37"/>
      <c r="I1105" s="38"/>
      <c r="J1105" s="37"/>
      <c r="N1105" s="37"/>
    </row>
    <row r="1106" ht="15.75" customHeight="1">
      <c r="H1106" s="37"/>
      <c r="I1106" s="38"/>
      <c r="J1106" s="37"/>
      <c r="N1106" s="37"/>
    </row>
    <row r="1107" ht="15.75" customHeight="1">
      <c r="H1107" s="37"/>
      <c r="I1107" s="38"/>
      <c r="J1107" s="37"/>
      <c r="N1107" s="37"/>
    </row>
    <row r="1108" ht="15.75" customHeight="1">
      <c r="H1108" s="37"/>
      <c r="I1108" s="38"/>
      <c r="J1108" s="37"/>
      <c r="N1108" s="37"/>
    </row>
    <row r="1109" ht="15.75" customHeight="1">
      <c r="H1109" s="37"/>
      <c r="I1109" s="38"/>
      <c r="J1109" s="37"/>
      <c r="N1109" s="37"/>
    </row>
    <row r="1110" ht="15.75" customHeight="1">
      <c r="H1110" s="37"/>
      <c r="I1110" s="38"/>
      <c r="J1110" s="37"/>
      <c r="N1110" s="37"/>
    </row>
    <row r="1111" ht="15.75" customHeight="1">
      <c r="H1111" s="37"/>
      <c r="I1111" s="38"/>
      <c r="J1111" s="37"/>
      <c r="N1111" s="37"/>
    </row>
    <row r="1112" ht="15.75" customHeight="1">
      <c r="H1112" s="37"/>
      <c r="I1112" s="38"/>
      <c r="J1112" s="37"/>
      <c r="N1112" s="37"/>
    </row>
    <row r="1113" ht="15.75" customHeight="1">
      <c r="H1113" s="37"/>
      <c r="I1113" s="38"/>
      <c r="J1113" s="37"/>
      <c r="N1113" s="37"/>
    </row>
    <row r="1114" ht="15.75" customHeight="1">
      <c r="H1114" s="37"/>
      <c r="I1114" s="38"/>
      <c r="J1114" s="37"/>
      <c r="N1114" s="37"/>
    </row>
    <row r="1115" ht="15.75" customHeight="1">
      <c r="H1115" s="37"/>
      <c r="I1115" s="38"/>
      <c r="J1115" s="37"/>
      <c r="N1115" s="37"/>
    </row>
    <row r="1116" ht="15.75" customHeight="1">
      <c r="H1116" s="37"/>
      <c r="I1116" s="38"/>
      <c r="J1116" s="37"/>
      <c r="N1116" s="37"/>
    </row>
    <row r="1117" ht="15.75" customHeight="1">
      <c r="H1117" s="37"/>
      <c r="I1117" s="38"/>
      <c r="J1117" s="37"/>
      <c r="N1117" s="37"/>
    </row>
    <row r="1118" ht="15.75" customHeight="1">
      <c r="H1118" s="37"/>
      <c r="I1118" s="38"/>
      <c r="J1118" s="37"/>
      <c r="N1118" s="37"/>
    </row>
    <row r="1119" ht="15.75" customHeight="1">
      <c r="H1119" s="37"/>
      <c r="I1119" s="38"/>
      <c r="J1119" s="37"/>
      <c r="N1119" s="37"/>
    </row>
    <row r="1120" ht="15.75" customHeight="1">
      <c r="H1120" s="37"/>
      <c r="I1120" s="38"/>
      <c r="J1120" s="37"/>
      <c r="N1120" s="37"/>
    </row>
    <row r="1121" ht="15.75" customHeight="1">
      <c r="H1121" s="37"/>
      <c r="I1121" s="38"/>
      <c r="J1121" s="37"/>
      <c r="N1121" s="37"/>
    </row>
    <row r="1122" ht="15.75" customHeight="1">
      <c r="H1122" s="37"/>
      <c r="I1122" s="38"/>
      <c r="J1122" s="37"/>
      <c r="N1122" s="37"/>
    </row>
    <row r="1123" ht="15.75" customHeight="1">
      <c r="H1123" s="37"/>
      <c r="I1123" s="38"/>
      <c r="J1123" s="37"/>
      <c r="N1123" s="37"/>
    </row>
    <row r="1124" ht="15.75" customHeight="1">
      <c r="H1124" s="37"/>
      <c r="I1124" s="38"/>
      <c r="J1124" s="37"/>
      <c r="N1124" s="37"/>
    </row>
    <row r="1125" ht="15.75" customHeight="1">
      <c r="H1125" s="37"/>
      <c r="I1125" s="38"/>
      <c r="J1125" s="37"/>
      <c r="N1125" s="37"/>
    </row>
    <row r="1126" ht="15.75" customHeight="1">
      <c r="H1126" s="37"/>
      <c r="I1126" s="38"/>
      <c r="J1126" s="37"/>
      <c r="N1126" s="37"/>
    </row>
    <row r="1127" ht="15.75" customHeight="1">
      <c r="H1127" s="37"/>
      <c r="I1127" s="38"/>
      <c r="J1127" s="37"/>
      <c r="N1127" s="37"/>
    </row>
    <row r="1128" ht="15.75" customHeight="1">
      <c r="H1128" s="37"/>
      <c r="I1128" s="38"/>
      <c r="J1128" s="37"/>
      <c r="N1128" s="37"/>
    </row>
    <row r="1129" ht="15.75" customHeight="1">
      <c r="H1129" s="37"/>
      <c r="I1129" s="38"/>
      <c r="J1129" s="37"/>
      <c r="N1129" s="37"/>
    </row>
    <row r="1130" ht="15.75" customHeight="1">
      <c r="H1130" s="37"/>
      <c r="I1130" s="38"/>
      <c r="J1130" s="37"/>
      <c r="N1130" s="37"/>
    </row>
    <row r="1131" ht="15.75" customHeight="1">
      <c r="H1131" s="37"/>
      <c r="I1131" s="38"/>
      <c r="J1131" s="37"/>
      <c r="N1131" s="37"/>
    </row>
    <row r="1132" ht="15.75" customHeight="1">
      <c r="H1132" s="37"/>
      <c r="I1132" s="38"/>
      <c r="J1132" s="37"/>
      <c r="N1132" s="37"/>
    </row>
    <row r="1133" ht="15.75" customHeight="1">
      <c r="H1133" s="37"/>
      <c r="I1133" s="38"/>
      <c r="J1133" s="37"/>
      <c r="N1133" s="37"/>
    </row>
    <row r="1134" ht="15.75" customHeight="1">
      <c r="H1134" s="37"/>
      <c r="I1134" s="38"/>
      <c r="J1134" s="37"/>
      <c r="N1134" s="37"/>
    </row>
    <row r="1135" ht="15.75" customHeight="1">
      <c r="H1135" s="37"/>
      <c r="I1135" s="38"/>
      <c r="J1135" s="37"/>
      <c r="N1135" s="37"/>
    </row>
    <row r="1136" ht="15.75" customHeight="1">
      <c r="H1136" s="37"/>
      <c r="I1136" s="38"/>
      <c r="J1136" s="37"/>
      <c r="N1136" s="37"/>
    </row>
    <row r="1137" ht="15.75" customHeight="1">
      <c r="H1137" s="37"/>
      <c r="I1137" s="38"/>
      <c r="J1137" s="37"/>
      <c r="N1137" s="37"/>
    </row>
    <row r="1138" ht="15.75" customHeight="1">
      <c r="H1138" s="37"/>
      <c r="I1138" s="38"/>
      <c r="J1138" s="37"/>
      <c r="N1138" s="37"/>
    </row>
    <row r="1139" ht="15.75" customHeight="1">
      <c r="H1139" s="37"/>
      <c r="I1139" s="38"/>
      <c r="J1139" s="37"/>
      <c r="N1139" s="37"/>
    </row>
    <row r="1140" ht="15.75" customHeight="1">
      <c r="H1140" s="37"/>
      <c r="I1140" s="38"/>
      <c r="J1140" s="37"/>
      <c r="N1140" s="37"/>
    </row>
    <row r="1141" ht="15.75" customHeight="1">
      <c r="H1141" s="37"/>
      <c r="I1141" s="38"/>
      <c r="J1141" s="37"/>
      <c r="N1141" s="37"/>
    </row>
    <row r="1142" ht="15.75" customHeight="1">
      <c r="H1142" s="37"/>
      <c r="I1142" s="38"/>
      <c r="J1142" s="37"/>
      <c r="N1142" s="37"/>
    </row>
    <row r="1143" ht="15.75" customHeight="1">
      <c r="H1143" s="37"/>
      <c r="I1143" s="38"/>
      <c r="J1143" s="37"/>
      <c r="N1143" s="37"/>
    </row>
    <row r="1144" ht="15.75" customHeight="1">
      <c r="H1144" s="37"/>
      <c r="I1144" s="38"/>
      <c r="J1144" s="37"/>
      <c r="N1144" s="37"/>
    </row>
    <row r="1145" ht="15.75" customHeight="1">
      <c r="H1145" s="37"/>
      <c r="I1145" s="38"/>
      <c r="J1145" s="37"/>
      <c r="N1145" s="37"/>
    </row>
    <row r="1146" ht="15.75" customHeight="1">
      <c r="H1146" s="37"/>
      <c r="I1146" s="38"/>
      <c r="J1146" s="37"/>
      <c r="N1146" s="37"/>
    </row>
    <row r="1147" ht="15.75" customHeight="1">
      <c r="H1147" s="37"/>
      <c r="I1147" s="38"/>
      <c r="J1147" s="37"/>
      <c r="N1147" s="37"/>
    </row>
    <row r="1148" ht="15.75" customHeight="1">
      <c r="H1148" s="37"/>
      <c r="I1148" s="38"/>
      <c r="J1148" s="37"/>
      <c r="N1148" s="37"/>
    </row>
    <row r="1149" ht="15.75" customHeight="1">
      <c r="H1149" s="37"/>
      <c r="I1149" s="38"/>
      <c r="J1149" s="37"/>
      <c r="N1149" s="37"/>
    </row>
    <row r="1150" ht="15.75" customHeight="1">
      <c r="H1150" s="37"/>
      <c r="I1150" s="38"/>
      <c r="J1150" s="37"/>
      <c r="N1150" s="37"/>
    </row>
    <row r="1151" ht="15.75" customHeight="1">
      <c r="H1151" s="37"/>
      <c r="I1151" s="38"/>
      <c r="J1151" s="37"/>
      <c r="N1151" s="37"/>
    </row>
    <row r="1152" ht="15.75" customHeight="1">
      <c r="H1152" s="37"/>
      <c r="I1152" s="38"/>
      <c r="J1152" s="37"/>
      <c r="N1152" s="37"/>
    </row>
    <row r="1153" ht="15.75" customHeight="1">
      <c r="H1153" s="37"/>
      <c r="I1153" s="38"/>
      <c r="J1153" s="37"/>
      <c r="N1153" s="37"/>
    </row>
    <row r="1154" ht="15.75" customHeight="1">
      <c r="H1154" s="37"/>
      <c r="I1154" s="38"/>
      <c r="J1154" s="37"/>
      <c r="N1154" s="37"/>
    </row>
    <row r="1155" ht="15.75" customHeight="1">
      <c r="H1155" s="37"/>
      <c r="I1155" s="38"/>
      <c r="J1155" s="37"/>
      <c r="N1155" s="37"/>
    </row>
    <row r="1156" ht="15.75" customHeight="1">
      <c r="H1156" s="37"/>
      <c r="I1156" s="38"/>
      <c r="J1156" s="37"/>
      <c r="N1156" s="37"/>
    </row>
    <row r="1157" ht="15.75" customHeight="1">
      <c r="H1157" s="37"/>
      <c r="I1157" s="38"/>
      <c r="J1157" s="37"/>
      <c r="N1157" s="37"/>
    </row>
    <row r="1158" ht="15.75" customHeight="1">
      <c r="H1158" s="37"/>
      <c r="I1158" s="38"/>
      <c r="J1158" s="37"/>
      <c r="N1158" s="37"/>
    </row>
    <row r="1159" ht="15.75" customHeight="1">
      <c r="H1159" s="37"/>
      <c r="I1159" s="38"/>
      <c r="J1159" s="37"/>
      <c r="N1159" s="37"/>
    </row>
    <row r="1160" ht="15.75" customHeight="1">
      <c r="H1160" s="37"/>
      <c r="I1160" s="38"/>
      <c r="J1160" s="37"/>
      <c r="N1160" s="37"/>
    </row>
    <row r="1161" ht="15.75" customHeight="1">
      <c r="H1161" s="37"/>
      <c r="I1161" s="38"/>
      <c r="J1161" s="37"/>
      <c r="N1161" s="37"/>
    </row>
    <row r="1162" ht="15.75" customHeight="1">
      <c r="H1162" s="37"/>
      <c r="I1162" s="38"/>
      <c r="J1162" s="37"/>
      <c r="N1162" s="37"/>
    </row>
    <row r="1163" ht="15.75" customHeight="1">
      <c r="H1163" s="37"/>
      <c r="I1163" s="38"/>
      <c r="J1163" s="37"/>
      <c r="N1163" s="37"/>
    </row>
    <row r="1164" ht="15.75" customHeight="1">
      <c r="H1164" s="37"/>
      <c r="I1164" s="38"/>
      <c r="J1164" s="37"/>
      <c r="N1164" s="37"/>
    </row>
    <row r="1165" ht="15.75" customHeight="1">
      <c r="H1165" s="37"/>
      <c r="I1165" s="38"/>
      <c r="J1165" s="37"/>
      <c r="N1165" s="37"/>
    </row>
    <row r="1166" ht="15.75" customHeight="1">
      <c r="H1166" s="37"/>
      <c r="I1166" s="38"/>
      <c r="J1166" s="37"/>
      <c r="N1166" s="37"/>
    </row>
    <row r="1167" ht="15.75" customHeight="1">
      <c r="H1167" s="37"/>
      <c r="I1167" s="38"/>
      <c r="J1167" s="37"/>
      <c r="N1167" s="37"/>
    </row>
    <row r="1168" ht="15.75" customHeight="1">
      <c r="H1168" s="37"/>
      <c r="I1168" s="38"/>
      <c r="J1168" s="37"/>
      <c r="N1168" s="37"/>
    </row>
    <row r="1169" ht="15.75" customHeight="1">
      <c r="H1169" s="37"/>
      <c r="I1169" s="38"/>
      <c r="J1169" s="37"/>
      <c r="N1169" s="37"/>
    </row>
    <row r="1170" ht="15.75" customHeight="1">
      <c r="H1170" s="37"/>
      <c r="I1170" s="38"/>
      <c r="J1170" s="37"/>
      <c r="N1170" s="37"/>
    </row>
    <row r="1171" ht="15.75" customHeight="1">
      <c r="H1171" s="37"/>
      <c r="I1171" s="38"/>
      <c r="J1171" s="37"/>
      <c r="N1171" s="37"/>
    </row>
    <row r="1172" ht="15.75" customHeight="1">
      <c r="H1172" s="37"/>
      <c r="I1172" s="38"/>
      <c r="J1172" s="37"/>
      <c r="N1172" s="37"/>
    </row>
    <row r="1173" ht="15.75" customHeight="1">
      <c r="H1173" s="37"/>
      <c r="I1173" s="38"/>
      <c r="J1173" s="37"/>
      <c r="N1173" s="37"/>
    </row>
    <row r="1174" ht="15.75" customHeight="1">
      <c r="H1174" s="37"/>
      <c r="I1174" s="38"/>
      <c r="J1174" s="37"/>
      <c r="N1174" s="37"/>
    </row>
    <row r="1175" ht="15.75" customHeight="1">
      <c r="H1175" s="37"/>
      <c r="I1175" s="38"/>
      <c r="J1175" s="37"/>
      <c r="N1175" s="37"/>
    </row>
    <row r="1176" ht="15.75" customHeight="1">
      <c r="H1176" s="37"/>
      <c r="I1176" s="38"/>
      <c r="J1176" s="37"/>
      <c r="N1176" s="37"/>
    </row>
    <row r="1177" ht="15.75" customHeight="1">
      <c r="H1177" s="37"/>
      <c r="I1177" s="38"/>
      <c r="J1177" s="37"/>
      <c r="N1177" s="37"/>
    </row>
    <row r="1178" ht="15.75" customHeight="1">
      <c r="H1178" s="37"/>
      <c r="I1178" s="38"/>
      <c r="J1178" s="37"/>
      <c r="N1178" s="37"/>
    </row>
    <row r="1179" ht="15.75" customHeight="1">
      <c r="H1179" s="37"/>
      <c r="I1179" s="38"/>
      <c r="J1179" s="37"/>
      <c r="N1179" s="37"/>
    </row>
    <row r="1180" ht="15.75" customHeight="1">
      <c r="H1180" s="37"/>
      <c r="I1180" s="38"/>
      <c r="J1180" s="37"/>
      <c r="N1180" s="37"/>
    </row>
    <row r="1181" ht="15.75" customHeight="1">
      <c r="H1181" s="37"/>
      <c r="I1181" s="38"/>
      <c r="J1181" s="37"/>
      <c r="N1181" s="37"/>
    </row>
    <row r="1182" ht="15.75" customHeight="1">
      <c r="H1182" s="37"/>
      <c r="I1182" s="38"/>
      <c r="J1182" s="37"/>
      <c r="N1182" s="37"/>
    </row>
    <row r="1183" ht="15.75" customHeight="1">
      <c r="H1183" s="37"/>
      <c r="I1183" s="38"/>
      <c r="J1183" s="37"/>
      <c r="N1183" s="37"/>
    </row>
    <row r="1184" ht="15.75" customHeight="1">
      <c r="H1184" s="37"/>
      <c r="I1184" s="38"/>
      <c r="J1184" s="37"/>
      <c r="N1184" s="37"/>
    </row>
    <row r="1185" ht="15.75" customHeight="1">
      <c r="H1185" s="37"/>
      <c r="I1185" s="38"/>
      <c r="J1185" s="37"/>
      <c r="N1185" s="37"/>
    </row>
    <row r="1186" ht="15.75" customHeight="1">
      <c r="H1186" s="37"/>
      <c r="I1186" s="38"/>
      <c r="J1186" s="37"/>
      <c r="N1186" s="37"/>
    </row>
    <row r="1187" ht="15.75" customHeight="1">
      <c r="H1187" s="37"/>
      <c r="I1187" s="38"/>
      <c r="J1187" s="37"/>
      <c r="N1187" s="37"/>
    </row>
    <row r="1188" ht="15.75" customHeight="1">
      <c r="H1188" s="37"/>
      <c r="I1188" s="38"/>
      <c r="J1188" s="37"/>
      <c r="N1188" s="37"/>
    </row>
    <row r="1189" ht="15.75" customHeight="1">
      <c r="H1189" s="37"/>
      <c r="I1189" s="38"/>
      <c r="J1189" s="37"/>
      <c r="N1189" s="37"/>
    </row>
    <row r="1190" ht="15.75" customHeight="1">
      <c r="H1190" s="37"/>
      <c r="I1190" s="38"/>
      <c r="J1190" s="37"/>
      <c r="N1190" s="37"/>
    </row>
    <row r="1191" ht="15.75" customHeight="1">
      <c r="H1191" s="37"/>
      <c r="I1191" s="38"/>
      <c r="J1191" s="37"/>
      <c r="N1191" s="37"/>
    </row>
    <row r="1192" ht="15.75" customHeight="1">
      <c r="H1192" s="37"/>
      <c r="I1192" s="38"/>
      <c r="J1192" s="37"/>
      <c r="N1192" s="37"/>
    </row>
    <row r="1193" ht="15.75" customHeight="1">
      <c r="H1193" s="37"/>
      <c r="I1193" s="38"/>
      <c r="J1193" s="37"/>
      <c r="N1193" s="37"/>
    </row>
    <row r="1194" ht="15.75" customHeight="1">
      <c r="H1194" s="37"/>
      <c r="I1194" s="38"/>
      <c r="J1194" s="37"/>
      <c r="N1194" s="37"/>
    </row>
    <row r="1195" ht="15.75" customHeight="1">
      <c r="H1195" s="37"/>
      <c r="I1195" s="38"/>
      <c r="J1195" s="37"/>
      <c r="N1195" s="37"/>
    </row>
    <row r="1196" ht="15.75" customHeight="1">
      <c r="H1196" s="37"/>
      <c r="I1196" s="38"/>
      <c r="J1196" s="37"/>
      <c r="N1196" s="37"/>
    </row>
    <row r="1197" ht="15.75" customHeight="1">
      <c r="H1197" s="37"/>
      <c r="I1197" s="38"/>
      <c r="J1197" s="37"/>
      <c r="N1197" s="37"/>
    </row>
    <row r="1198" ht="15.75" customHeight="1">
      <c r="H1198" s="37"/>
      <c r="I1198" s="38"/>
      <c r="J1198" s="37"/>
      <c r="N1198" s="37"/>
    </row>
    <row r="1199" ht="15.75" customHeight="1">
      <c r="H1199" s="37"/>
      <c r="I1199" s="38"/>
      <c r="J1199" s="37"/>
      <c r="N1199" s="37"/>
    </row>
    <row r="1200" ht="15.75" customHeight="1">
      <c r="H1200" s="37"/>
      <c r="I1200" s="38"/>
      <c r="J1200" s="37"/>
      <c r="N1200" s="37"/>
    </row>
    <row r="1201" ht="15.75" customHeight="1">
      <c r="H1201" s="37"/>
      <c r="I1201" s="38"/>
      <c r="J1201" s="37"/>
      <c r="N1201" s="37"/>
    </row>
    <row r="1202" ht="15.75" customHeight="1">
      <c r="H1202" s="37"/>
      <c r="I1202" s="38"/>
      <c r="J1202" s="37"/>
      <c r="N1202" s="37"/>
    </row>
    <row r="1203" ht="15.75" customHeight="1">
      <c r="H1203" s="37"/>
      <c r="I1203" s="38"/>
      <c r="J1203" s="37"/>
      <c r="N1203" s="37"/>
    </row>
    <row r="1204" ht="15.75" customHeight="1">
      <c r="H1204" s="37"/>
      <c r="I1204" s="38"/>
      <c r="J1204" s="37"/>
      <c r="N1204" s="37"/>
    </row>
    <row r="1205" ht="15.75" customHeight="1">
      <c r="H1205" s="37"/>
      <c r="I1205" s="38"/>
      <c r="J1205" s="37"/>
      <c r="N1205" s="37"/>
    </row>
    <row r="1206" ht="15.75" customHeight="1">
      <c r="H1206" s="37"/>
      <c r="I1206" s="38"/>
      <c r="J1206" s="37"/>
      <c r="N1206" s="37"/>
    </row>
    <row r="1207" ht="15.75" customHeight="1">
      <c r="H1207" s="37"/>
      <c r="I1207" s="38"/>
      <c r="J1207" s="37"/>
      <c r="N1207" s="37"/>
    </row>
    <row r="1208" ht="15.75" customHeight="1">
      <c r="H1208" s="37"/>
      <c r="I1208" s="38"/>
      <c r="J1208" s="37"/>
      <c r="N1208" s="37"/>
    </row>
    <row r="1209" ht="15.75" customHeight="1">
      <c r="H1209" s="37"/>
      <c r="I1209" s="38"/>
      <c r="J1209" s="37"/>
      <c r="N1209" s="37"/>
    </row>
    <row r="1210" ht="15.75" customHeight="1">
      <c r="H1210" s="37"/>
      <c r="I1210" s="38"/>
      <c r="J1210" s="37"/>
      <c r="N1210" s="37"/>
    </row>
    <row r="1211" ht="15.75" customHeight="1">
      <c r="H1211" s="37"/>
      <c r="I1211" s="38"/>
      <c r="J1211" s="37"/>
      <c r="N1211" s="37"/>
    </row>
    <row r="1212" ht="15.75" customHeight="1">
      <c r="H1212" s="37"/>
      <c r="I1212" s="38"/>
      <c r="J1212" s="37"/>
      <c r="N1212" s="37"/>
    </row>
    <row r="1213" ht="15.75" customHeight="1">
      <c r="H1213" s="37"/>
      <c r="I1213" s="38"/>
      <c r="J1213" s="37"/>
      <c r="N1213" s="37"/>
    </row>
    <row r="1214" ht="15.75" customHeight="1">
      <c r="H1214" s="37"/>
      <c r="I1214" s="38"/>
      <c r="J1214" s="37"/>
      <c r="N1214" s="37"/>
    </row>
    <row r="1215" ht="15.75" customHeight="1">
      <c r="H1215" s="37"/>
      <c r="I1215" s="38"/>
      <c r="J1215" s="37"/>
      <c r="N1215" s="37"/>
    </row>
    <row r="1216" ht="15.75" customHeight="1">
      <c r="H1216" s="37"/>
      <c r="I1216" s="38"/>
      <c r="J1216" s="37"/>
      <c r="N1216" s="37"/>
    </row>
    <row r="1217" ht="15.75" customHeight="1">
      <c r="H1217" s="37"/>
      <c r="I1217" s="38"/>
      <c r="J1217" s="37"/>
      <c r="N1217" s="37"/>
    </row>
    <row r="1218" ht="15.75" customHeight="1">
      <c r="H1218" s="37"/>
      <c r="I1218" s="38"/>
      <c r="J1218" s="37"/>
      <c r="N1218" s="37"/>
    </row>
    <row r="1219" ht="15.75" customHeight="1">
      <c r="H1219" s="37"/>
      <c r="I1219" s="38"/>
      <c r="J1219" s="37"/>
      <c r="N1219" s="37"/>
    </row>
    <row r="1220" ht="15.75" customHeight="1">
      <c r="H1220" s="37"/>
      <c r="I1220" s="38"/>
      <c r="J1220" s="37"/>
      <c r="N1220" s="37"/>
    </row>
    <row r="1221" ht="15.75" customHeight="1">
      <c r="H1221" s="37"/>
      <c r="I1221" s="38"/>
      <c r="J1221" s="37"/>
      <c r="N1221" s="37"/>
    </row>
    <row r="1222" ht="15.75" customHeight="1">
      <c r="H1222" s="37"/>
      <c r="I1222" s="38"/>
      <c r="J1222" s="37"/>
      <c r="N1222" s="37"/>
    </row>
    <row r="1223" ht="15.75" customHeight="1">
      <c r="H1223" s="37"/>
      <c r="I1223" s="38"/>
      <c r="J1223" s="37"/>
      <c r="N1223" s="37"/>
    </row>
    <row r="1224" ht="15.75" customHeight="1">
      <c r="H1224" s="37"/>
      <c r="I1224" s="38"/>
      <c r="J1224" s="37"/>
      <c r="N1224" s="37"/>
    </row>
    <row r="1225" ht="15.75" customHeight="1">
      <c r="H1225" s="37"/>
      <c r="I1225" s="38"/>
      <c r="J1225" s="37"/>
      <c r="N1225" s="37"/>
    </row>
    <row r="1226" ht="15.75" customHeight="1">
      <c r="H1226" s="37"/>
      <c r="I1226" s="38"/>
      <c r="J1226" s="37"/>
      <c r="N1226" s="37"/>
    </row>
  </sheetData>
  <mergeCells count="9">
    <mergeCell ref="R4:V4"/>
    <mergeCell ref="W4:W5"/>
    <mergeCell ref="A4:B4"/>
    <mergeCell ref="C4:D4"/>
    <mergeCell ref="E4:F4"/>
    <mergeCell ref="G4:H4"/>
    <mergeCell ref="I4:J4"/>
    <mergeCell ref="K4:L4"/>
    <mergeCell ref="M4:N4"/>
  </mergeCells>
  <printOptions/>
  <pageMargins bottom="0.75" footer="0.0" header="0.0" left="0.7" right="0.7" top="0.75"/>
  <pageSetup orientation="landscape"/>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0"/>
  <cols>
    <col customWidth="1" min="1" max="1" width="3.22"/>
    <col customWidth="1" min="2" max="2" width="18.56"/>
    <col customWidth="1" min="3" max="3" width="26.56"/>
    <col customWidth="1" min="4" max="4" width="35.11"/>
    <col customWidth="1" min="5" max="5" width="42.67"/>
    <col customWidth="1" min="6" max="6" width="28.78"/>
    <col customWidth="1" min="7" max="7" width="6.22"/>
    <col customWidth="1" min="8" max="8" width="28.67"/>
    <col customWidth="1" min="9" max="27" width="18.56"/>
  </cols>
  <sheetData>
    <row r="1">
      <c r="A1" s="347" t="s">
        <v>11838</v>
      </c>
      <c r="I1" s="347" t="s">
        <v>11838</v>
      </c>
    </row>
    <row r="2" hidden="1"/>
    <row r="3" hidden="1"/>
    <row r="4" hidden="1"/>
    <row r="5" hidden="1"/>
    <row r="6" hidden="1"/>
    <row r="7" hidden="1"/>
    <row r="8" hidden="1"/>
    <row r="9" hidden="1"/>
    <row r="10" hidden="1"/>
    <row r="11" hidden="1"/>
    <row r="12" hidden="1"/>
    <row r="13" hidden="1"/>
    <row r="14" hidden="1"/>
    <row r="15" hidden="1"/>
    <row r="16" hidden="1"/>
    <row r="17" hidden="1"/>
    <row r="18" hidden="1"/>
    <row r="19" hidden="1"/>
    <row r="20" hidden="1"/>
    <row r="21" hidden="1"/>
    <row r="22" hidden="1"/>
    <row r="23" hidden="1"/>
    <row r="24" hidden="1"/>
    <row r="25" hidden="1"/>
    <row r="26" hidden="1"/>
    <row r="27" hidden="1"/>
    <row r="28" hidden="1"/>
    <row r="29" hidden="1"/>
    <row r="30" hidden="1"/>
    <row r="31" hidden="1"/>
    <row r="32" hidden="1"/>
    <row r="33" hidden="1"/>
    <row r="34" hidden="1"/>
    <row r="35" hidden="1"/>
    <row r="36" hidden="1"/>
    <row r="37" hidden="1"/>
    <row r="38" hidden="1"/>
    <row r="39" hidden="1"/>
    <row r="40" hidden="1"/>
    <row r="41" hidden="1"/>
    <row r="42" hidden="1"/>
    <row r="43" hidden="1"/>
    <row r="44" hidden="1"/>
    <row r="45" hidden="1"/>
    <row r="46" hidden="1"/>
    <row r="47" hidden="1"/>
    <row r="48" hidden="1"/>
    <row r="49" hidden="1"/>
    <row r="50" hidden="1"/>
    <row r="51" hidden="1"/>
    <row r="52" hidden="1"/>
    <row r="53" hidden="1"/>
    <row r="54" hidden="1"/>
    <row r="55" hidden="1"/>
    <row r="56" hidden="1"/>
    <row r="57" hidden="1"/>
    <row r="58" hidden="1"/>
    <row r="59" hidden="1"/>
    <row r="60" hidden="1"/>
    <row r="61" hidden="1"/>
    <row r="62" hidden="1"/>
    <row r="63" hidden="1"/>
    <row r="64"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hidden="1"/>
    <row r="114" hidden="1"/>
    <row r="115" hidden="1"/>
    <row r="116" hidden="1"/>
    <row r="117" hidden="1"/>
    <row r="118" hidden="1"/>
    <row r="119" hidden="1"/>
    <row r="120" hidden="1"/>
    <row r="121" hidden="1"/>
    <row r="122" hidden="1"/>
    <row r="123" hidden="1"/>
    <row r="124" hidden="1"/>
    <row r="125" hidden="1"/>
    <row r="126" hidden="1"/>
    <row r="127" hidden="1"/>
    <row r="128">
      <c r="A128" s="347" t="s">
        <v>10530</v>
      </c>
      <c r="I128" s="347" t="s">
        <v>10530</v>
      </c>
    </row>
    <row r="129">
      <c r="A129" s="347" t="s">
        <v>10530</v>
      </c>
    </row>
    <row r="130"/>
    <row r="131"/>
    <row r="132"/>
    <row r="133"/>
    <row r="134"/>
    <row r="135"/>
    <row r="136"/>
    <row r="137"/>
    <row r="138"/>
    <row r="139"/>
    <row r="140"/>
    <row r="141"/>
    <row r="142"/>
    <row r="143"/>
    <row r="144"/>
    <row r="145"/>
    <row r="146"/>
    <row r="147"/>
    <row r="148"/>
    <row r="149"/>
    <row r="150"/>
    <row r="151"/>
    <row r="152"/>
    <row r="153"/>
    <row r="154"/>
    <row r="155"/>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c r="A177" s="380"/>
      <c r="I177" s="380"/>
      <c r="J177" s="380"/>
      <c r="K177" s="380"/>
      <c r="L177" s="380"/>
      <c r="M177" s="380"/>
      <c r="N177" s="380"/>
      <c r="O177" s="380"/>
      <c r="P177" s="380"/>
      <c r="Q177" s="380"/>
      <c r="R177" s="380"/>
      <c r="S177" s="380"/>
      <c r="T177" s="380"/>
      <c r="U177" s="380"/>
      <c r="V177" s="380"/>
      <c r="W177" s="380"/>
      <c r="X177" s="380"/>
      <c r="Y177" s="380"/>
      <c r="Z177" s="380"/>
      <c r="AA177" s="380"/>
    </row>
    <row r="178" hidden="1">
      <c r="A178" s="380"/>
      <c r="I178" s="380"/>
      <c r="J178" s="380"/>
      <c r="K178" s="380"/>
      <c r="L178" s="380"/>
      <c r="M178" s="380"/>
      <c r="N178" s="380"/>
      <c r="O178" s="380"/>
      <c r="P178" s="380"/>
      <c r="Q178" s="380"/>
      <c r="R178" s="380"/>
      <c r="S178" s="380"/>
      <c r="T178" s="380"/>
      <c r="U178" s="380"/>
      <c r="V178" s="380"/>
      <c r="W178" s="380"/>
      <c r="X178" s="380"/>
      <c r="Y178" s="380"/>
      <c r="Z178" s="380"/>
      <c r="AA178" s="380"/>
    </row>
    <row r="179" hidden="1"/>
    <row r="180" hidden="1">
      <c r="A180" s="380"/>
      <c r="I180" s="380"/>
      <c r="J180" s="380"/>
      <c r="K180" s="380"/>
      <c r="L180" s="380"/>
      <c r="M180" s="380"/>
      <c r="N180" s="380"/>
      <c r="O180" s="380"/>
      <c r="P180" s="380"/>
      <c r="Q180" s="380"/>
      <c r="R180" s="380"/>
      <c r="S180" s="380"/>
      <c r="T180" s="380"/>
      <c r="U180" s="380"/>
      <c r="V180" s="380"/>
      <c r="W180" s="380"/>
      <c r="X180" s="380"/>
      <c r="Y180" s="380"/>
      <c r="Z180" s="380"/>
      <c r="AA180" s="380"/>
    </row>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sheetData>
  <autoFilter ref="$B$1:$AA$408">
    <filterColumn colId="1">
      <filters>
        <filter val="Trung tâm Tư vấn &amp; Hỗ trợ khách hàng"/>
      </filters>
    </filterColumn>
  </autoFilter>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4" max="4" width="15.11"/>
  </cols>
  <sheetData>
    <row r="20">
      <c r="L20" s="347" t="s">
        <v>12520</v>
      </c>
    </row>
    <row r="21">
      <c r="A21" s="347" t="s">
        <v>12521</v>
      </c>
      <c r="B21" s="347" t="s">
        <v>12522</v>
      </c>
      <c r="C21" s="347" t="s">
        <v>12523</v>
      </c>
      <c r="D21" s="347" t="s">
        <v>12524</v>
      </c>
      <c r="E21" s="347" t="s">
        <v>12525</v>
      </c>
      <c r="F21" s="347" t="s">
        <v>12526</v>
      </c>
    </row>
    <row r="22">
      <c r="A22" s="347" t="s">
        <v>26</v>
      </c>
      <c r="B22" s="347" t="s">
        <v>78</v>
      </c>
      <c r="C22" s="347" t="s">
        <v>10917</v>
      </c>
      <c r="D22" s="347" t="s">
        <v>12527</v>
      </c>
      <c r="E22" s="347" t="s">
        <v>12528</v>
      </c>
      <c r="F22" s="347" t="s">
        <v>12529</v>
      </c>
    </row>
    <row r="23">
      <c r="A23" s="347" t="s">
        <v>77</v>
      </c>
      <c r="B23" s="347" t="s">
        <v>89</v>
      </c>
      <c r="C23" s="347" t="s">
        <v>10994</v>
      </c>
      <c r="D23" s="347" t="s">
        <v>12530</v>
      </c>
      <c r="E23" s="347" t="s">
        <v>12531</v>
      </c>
      <c r="F23" s="347" t="s">
        <v>12532</v>
      </c>
    </row>
    <row r="24">
      <c r="A24" s="347" t="s">
        <v>12533</v>
      </c>
      <c r="B24" s="347" t="s">
        <v>12534</v>
      </c>
      <c r="C24" s="347" t="s">
        <v>11169</v>
      </c>
      <c r="E24" s="347" t="s">
        <v>12535</v>
      </c>
      <c r="F24" s="347" t="s">
        <v>12536</v>
      </c>
    </row>
    <row r="25">
      <c r="A25" s="347" t="s">
        <v>206</v>
      </c>
      <c r="B25" s="347" t="s">
        <v>11427</v>
      </c>
      <c r="C25" s="347" t="s">
        <v>11399</v>
      </c>
      <c r="E25" s="347" t="s">
        <v>12537</v>
      </c>
      <c r="F25" s="347" t="s">
        <v>12538</v>
      </c>
    </row>
    <row r="26">
      <c r="B26" s="347" t="s">
        <v>74</v>
      </c>
      <c r="C26" s="347" t="s">
        <v>11413</v>
      </c>
      <c r="F26" s="347" t="s">
        <v>12539</v>
      </c>
    </row>
    <row r="27">
      <c r="F27" s="347" t="s">
        <v>12540</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8" width="9.89"/>
  </cols>
  <sheetData>
    <row r="1">
      <c r="A1" s="347" t="s">
        <v>12541</v>
      </c>
      <c r="B1" s="347" t="s">
        <v>12542</v>
      </c>
      <c r="C1" s="703" t="s">
        <v>10485</v>
      </c>
      <c r="D1" s="703" t="s">
        <v>10486</v>
      </c>
      <c r="E1" s="703" t="s">
        <v>10487</v>
      </c>
      <c r="F1" s="703" t="s">
        <v>10488</v>
      </c>
      <c r="G1" s="703" t="s">
        <v>12543</v>
      </c>
    </row>
    <row r="2">
      <c r="A2" s="347" t="s">
        <v>77</v>
      </c>
      <c r="B2" s="347" t="s">
        <v>12544</v>
      </c>
      <c r="C2" s="704" t="s">
        <v>11169</v>
      </c>
      <c r="D2" s="704" t="s">
        <v>9664</v>
      </c>
      <c r="E2" s="704" t="s">
        <v>12545</v>
      </c>
      <c r="F2" s="704" t="s">
        <v>12546</v>
      </c>
      <c r="G2" s="704" t="str">
        <f>C2&amp;"_"&amp;D2&amp;"_"&amp;E2&amp;"_"&amp;F2</f>
        <v>DNV_HAN_BM01_GPKT</v>
      </c>
    </row>
    <row r="3">
      <c r="B3" s="347" t="s">
        <v>12544</v>
      </c>
      <c r="C3" s="704" t="s">
        <v>10994</v>
      </c>
      <c r="D3" s="704" t="s">
        <v>12547</v>
      </c>
      <c r="E3" s="704" t="s">
        <v>12548</v>
      </c>
      <c r="F3" s="705"/>
      <c r="G3" s="704" t="str">
        <f t="shared" ref="G3:G5" si="1">C3&amp;"_"&amp;D3&amp;"_"&amp;E3</f>
        <v>DNN_HAN_GPKT_GPKT01</v>
      </c>
    </row>
    <row r="4">
      <c r="B4" s="347" t="s">
        <v>12544</v>
      </c>
      <c r="C4" s="704" t="s">
        <v>10994</v>
      </c>
      <c r="D4" s="704" t="s">
        <v>12549</v>
      </c>
      <c r="E4" s="704" t="s">
        <v>12550</v>
      </c>
      <c r="F4" s="705"/>
      <c r="G4" s="704" t="str">
        <f t="shared" si="1"/>
        <v>DNN_HAN_BT_HDDT</v>
      </c>
    </row>
    <row r="5">
      <c r="C5" s="704" t="s">
        <v>11169</v>
      </c>
      <c r="D5" s="704" t="s">
        <v>9664</v>
      </c>
      <c r="E5" s="704" t="s">
        <v>12551</v>
      </c>
      <c r="F5" s="705"/>
      <c r="G5" s="704" t="str">
        <f t="shared" si="1"/>
        <v>DNV_HAN_ONB</v>
      </c>
    </row>
    <row r="6">
      <c r="C6" s="704" t="s">
        <v>11431</v>
      </c>
      <c r="D6" s="705"/>
      <c r="E6" s="704" t="s">
        <v>12552</v>
      </c>
      <c r="F6" s="706" t="s">
        <v>29</v>
      </c>
      <c r="G6" s="704" t="str">
        <f>C6&amp;"_"&amp;D6&amp;"_"&amp;E6&amp;"_"&amp;F6</f>
        <v>HT&amp;CSKH__HT_KT_01</v>
      </c>
    </row>
    <row r="8">
      <c r="A8" s="347"/>
      <c r="B8" s="347"/>
    </row>
    <row r="9">
      <c r="A9" s="707"/>
      <c r="B9" s="707"/>
      <c r="C9" s="347" t="s">
        <v>12553</v>
      </c>
      <c r="D9" s="707" t="s">
        <v>12554</v>
      </c>
      <c r="E9" s="707" t="s">
        <v>12555</v>
      </c>
      <c r="F9" s="707" t="s">
        <v>12556</v>
      </c>
      <c r="G9" s="4"/>
      <c r="H9" s="4"/>
    </row>
    <row r="10">
      <c r="A10" s="707" t="s">
        <v>12557</v>
      </c>
      <c r="B10" s="707" t="s">
        <v>12558</v>
      </c>
      <c r="D10" s="707">
        <v>80.0</v>
      </c>
      <c r="E10" s="707">
        <v>81.0</v>
      </c>
      <c r="F10" s="707"/>
      <c r="G10" s="4"/>
      <c r="H10" s="4"/>
    </row>
    <row r="11">
      <c r="A11" s="707" t="s">
        <v>12559</v>
      </c>
      <c r="B11" s="707" t="s">
        <v>12560</v>
      </c>
      <c r="C11" s="4"/>
      <c r="D11" s="4"/>
      <c r="E11" s="707" t="s">
        <v>12559</v>
      </c>
      <c r="F11" s="707" t="s">
        <v>12546</v>
      </c>
      <c r="G11" s="707" t="s">
        <v>12561</v>
      </c>
      <c r="H11" s="707" t="s">
        <v>12562</v>
      </c>
    </row>
    <row r="12">
      <c r="A12" s="10"/>
      <c r="B12" s="9"/>
      <c r="C12" s="9"/>
      <c r="D12" s="9"/>
      <c r="E12" s="707"/>
      <c r="F12" s="707">
        <v>90.0</v>
      </c>
      <c r="G12" s="707">
        <v>91.0</v>
      </c>
      <c r="H12" s="707">
        <v>92.0</v>
      </c>
    </row>
    <row r="13">
      <c r="A13" s="347"/>
      <c r="B13" s="347"/>
      <c r="E13" s="707"/>
      <c r="F13" s="707"/>
      <c r="G13" s="707"/>
      <c r="H13" s="707"/>
    </row>
    <row r="14">
      <c r="A14" s="347"/>
      <c r="B14" s="347"/>
      <c r="E14" s="707"/>
      <c r="F14" s="707"/>
      <c r="G14" s="707"/>
      <c r="H14" s="707"/>
    </row>
    <row r="15">
      <c r="A15" s="347"/>
      <c r="B15" s="347"/>
      <c r="E15" s="707"/>
      <c r="F15" s="707"/>
      <c r="G15" s="707"/>
      <c r="H15" s="707"/>
    </row>
    <row r="16">
      <c r="A16" s="347"/>
      <c r="B16" s="347"/>
      <c r="E16" s="707"/>
      <c r="F16" s="707"/>
      <c r="G16" s="707"/>
      <c r="H16" s="707"/>
    </row>
    <row r="17">
      <c r="A17" s="347"/>
      <c r="B17" s="347"/>
      <c r="E17" s="707"/>
      <c r="F17" s="707"/>
      <c r="G17" s="707"/>
      <c r="H17" s="707"/>
    </row>
    <row r="18" hidden="1">
      <c r="A18" s="347" t="s">
        <v>12563</v>
      </c>
      <c r="B18" s="347" t="s">
        <v>12564</v>
      </c>
      <c r="E18" s="707"/>
      <c r="F18" s="707"/>
      <c r="G18" s="707"/>
      <c r="H18" s="707"/>
    </row>
    <row r="19" hidden="1">
      <c r="A19" s="347" t="s">
        <v>12565</v>
      </c>
      <c r="B19" s="347" t="s">
        <v>12566</v>
      </c>
      <c r="E19" s="707"/>
      <c r="F19" s="707"/>
      <c r="G19" s="707"/>
      <c r="H19" s="707"/>
    </row>
    <row r="20" hidden="1">
      <c r="E20" s="707"/>
      <c r="F20" s="707"/>
      <c r="G20" s="707"/>
      <c r="H20" s="707"/>
    </row>
    <row r="21" hidden="1">
      <c r="E21" s="707"/>
      <c r="F21" s="707"/>
      <c r="G21" s="707"/>
      <c r="H21" s="707"/>
    </row>
    <row r="22" hidden="1">
      <c r="A22" s="703" t="s">
        <v>12567</v>
      </c>
      <c r="B22" s="703" t="s">
        <v>12568</v>
      </c>
      <c r="E22" s="707"/>
      <c r="F22" s="707"/>
      <c r="G22" s="707"/>
      <c r="H22" s="707"/>
    </row>
    <row r="23" hidden="1">
      <c r="A23" s="704" t="s">
        <v>12569</v>
      </c>
      <c r="B23" s="704" t="s">
        <v>12570</v>
      </c>
      <c r="E23" s="707"/>
      <c r="F23" s="707"/>
      <c r="G23" s="707"/>
      <c r="H23" s="707"/>
    </row>
    <row r="24" hidden="1">
      <c r="A24" s="704" t="s">
        <v>10483</v>
      </c>
      <c r="B24" s="704" t="s">
        <v>12571</v>
      </c>
      <c r="E24" s="707"/>
      <c r="F24" s="707"/>
      <c r="G24" s="707"/>
      <c r="H24" s="707"/>
    </row>
    <row r="25" hidden="1">
      <c r="A25" s="704" t="s">
        <v>11850</v>
      </c>
      <c r="B25" s="704" t="s">
        <v>12572</v>
      </c>
      <c r="E25" s="707"/>
      <c r="F25" s="707"/>
      <c r="G25" s="707"/>
      <c r="H25" s="707"/>
    </row>
    <row r="26" hidden="1">
      <c r="A26" s="704" t="s">
        <v>11844</v>
      </c>
      <c r="B26" s="704" t="s">
        <v>12573</v>
      </c>
      <c r="E26" s="707"/>
      <c r="F26" s="707"/>
      <c r="G26" s="707"/>
      <c r="H26" s="707"/>
    </row>
    <row r="27" hidden="1">
      <c r="A27" s="704" t="s">
        <v>11854</v>
      </c>
      <c r="B27" s="704" t="s">
        <v>12574</v>
      </c>
      <c r="E27" s="707"/>
      <c r="F27" s="707"/>
      <c r="G27" s="707"/>
      <c r="H27" s="707"/>
    </row>
    <row r="28">
      <c r="E28" s="707"/>
      <c r="F28" s="707"/>
      <c r="G28" s="707"/>
      <c r="H28" s="707"/>
    </row>
    <row r="29">
      <c r="E29" s="707"/>
      <c r="F29" s="707"/>
      <c r="G29" s="707"/>
      <c r="H29" s="707"/>
    </row>
    <row r="30">
      <c r="E30" s="707"/>
      <c r="F30" s="707"/>
      <c r="G30" s="707"/>
      <c r="H30" s="707"/>
    </row>
    <row r="31">
      <c r="E31" s="707"/>
      <c r="F31" s="707"/>
      <c r="G31" s="707"/>
      <c r="H31" s="707"/>
    </row>
    <row r="32">
      <c r="E32" s="707"/>
      <c r="F32" s="707"/>
      <c r="G32" s="707"/>
      <c r="H32" s="707"/>
    </row>
    <row r="33">
      <c r="E33" s="707"/>
      <c r="F33" s="707"/>
      <c r="G33" s="707"/>
      <c r="H33" s="707"/>
    </row>
    <row r="34">
      <c r="E34" s="707"/>
      <c r="F34" s="707"/>
      <c r="G34" s="707"/>
      <c r="H34" s="707"/>
    </row>
    <row r="35">
      <c r="E35" s="707"/>
      <c r="F35" s="707"/>
      <c r="G35" s="707"/>
      <c r="H35" s="707"/>
    </row>
    <row r="36">
      <c r="E36" s="707"/>
      <c r="F36" s="707"/>
      <c r="G36" s="707"/>
      <c r="H36" s="707"/>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4.0" topLeftCell="A15" activePane="bottomLeft" state="frozen"/>
      <selection activeCell="B16" sqref="B16" pane="bottomLeft"/>
    </sheetView>
  </sheetViews>
  <sheetFormatPr customHeight="1" defaultColWidth="11.22" defaultRowHeight="15.0"/>
  <cols>
    <col customWidth="1" min="1" max="1" width="13.78"/>
    <col customWidth="1" min="2" max="2" width="21.33"/>
    <col customWidth="1" min="3" max="3" width="20.11"/>
    <col customWidth="1" min="4" max="4" width="30.78"/>
    <col customWidth="1" min="8" max="8" width="27.78"/>
    <col customWidth="1" min="9" max="9" width="17.0"/>
    <col customWidth="1" min="10" max="10" width="20.33"/>
    <col customWidth="1" min="13" max="13" width="19.78"/>
  </cols>
  <sheetData>
    <row r="1" ht="15.75" customHeight="1">
      <c r="A1" s="708" t="str">
        <f>IFERROR(__xludf.DUMMYFUNCTION("IMPORTRANGE(""https://docs.google.com/spreadsheets/d/14KsbTCwb0muyPc3nDKbu5zxHft9kXcvOhM7NDRI7Hrs/edit#gid=0"",""Vị trí công việc!a1:o1000"")"),"")</f>
        <v/>
      </c>
      <c r="B1" s="708"/>
      <c r="C1" s="709" t="str">
        <f>IFERROR(__xludf.DUMMYFUNCTION("""COMPUTED_VALUE"""),"E đang nghĩ có nên để giống CCTC, nếu cái nào ko có thì để là 00 hay NA gì đó ko")</f>
        <v>E đang nghĩ có nên để giống CCTC, nếu cái nào ko có thì để là 00 hay NA gì đó ko</v>
      </c>
      <c r="D1" s="708"/>
      <c r="E1" s="708"/>
      <c r="F1" s="708"/>
      <c r="G1" s="708"/>
      <c r="H1" s="708"/>
      <c r="I1" s="708"/>
      <c r="J1" s="708"/>
      <c r="K1" s="708"/>
      <c r="L1" s="708"/>
      <c r="M1" s="708"/>
      <c r="N1" s="708"/>
      <c r="O1" s="708"/>
      <c r="P1" s="708"/>
      <c r="Q1" s="708"/>
      <c r="R1" s="708"/>
      <c r="S1" s="708"/>
      <c r="T1" s="708"/>
      <c r="U1" s="708"/>
      <c r="V1" s="708"/>
      <c r="W1" s="708"/>
      <c r="X1" s="708"/>
      <c r="Y1" s="708"/>
      <c r="Z1" s="708"/>
      <c r="AA1" s="708"/>
      <c r="AB1" s="708"/>
      <c r="AC1" s="708"/>
      <c r="AD1" s="708"/>
      <c r="AE1" s="708"/>
    </row>
    <row r="2" ht="15.75" customHeight="1">
      <c r="A2" s="710" t="str">
        <f>IFERROR(__xludf.DUMMYFUNCTION("""COMPUTED_VALUE"""),"Khối BO, SX, TTTV")</f>
        <v>Khối BO, SX, TTTV</v>
      </c>
      <c r="B2" s="710" t="str">
        <f>IFERROR(__xludf.DUMMYFUNCTION("""COMPUTED_VALUE"""),"Tên viết tắt khối")</f>
        <v>Tên viết tắt khối</v>
      </c>
      <c r="C2" s="710" t="str">
        <f>IFERROR(__xludf.DUMMYFUNCTION("""COMPUTED_VALUE"""),"Tên viết tắt mảng công việc")</f>
        <v>Tên viết tắt mảng công việc</v>
      </c>
      <c r="D2" s="710" t="str">
        <f>IFERROR(__xludf.DUMMYFUNCTION("""COMPUTED_VALUE"""),"Tên viết tắt của vị trí")</f>
        <v>Tên viết tắt của vị trí</v>
      </c>
      <c r="E2" s="708"/>
      <c r="F2" s="711" t="str">
        <f>IFERROR(__xludf.DUMMYFUNCTION("""COMPUTED_VALUE"""),"Mã khối")</f>
        <v>Mã khối</v>
      </c>
      <c r="G2" s="712" t="str">
        <f>IFERROR(__xludf.DUMMYFUNCTION("""COMPUTED_VALUE"""),"Mã thị trường")</f>
        <v>Mã thị trường</v>
      </c>
      <c r="H2" s="711" t="str">
        <f>IFERROR(__xludf.DUMMYFUNCTION("""COMPUTED_VALUE"""),"Mã khối KD")</f>
        <v>Mã khối KD</v>
      </c>
      <c r="I2" s="713"/>
      <c r="J2" s="711" t="str">
        <f>IFERROR(__xludf.DUMMYFUNCTION("""COMPUTED_VALUE"""),"Hình thức KD (Bán mới/Bán thêm/Online)")</f>
        <v>Hình thức KD (Bán mới/Bán thêm/Online)</v>
      </c>
      <c r="K2" s="710" t="str">
        <f>IFERROR(__xludf.DUMMYFUNCTION("""COMPUTED_VALUE"""),"Vị trí")</f>
        <v>Vị trí</v>
      </c>
      <c r="L2" s="708"/>
      <c r="M2" s="708"/>
      <c r="N2" s="708"/>
      <c r="O2" s="708"/>
      <c r="P2" s="708"/>
      <c r="Q2" s="708"/>
      <c r="R2" s="708"/>
      <c r="S2" s="708"/>
      <c r="T2" s="708"/>
      <c r="U2" s="708"/>
      <c r="V2" s="708"/>
      <c r="W2" s="708"/>
      <c r="X2" s="708"/>
      <c r="Y2" s="708"/>
      <c r="Z2" s="708"/>
      <c r="AA2" s="708"/>
      <c r="AB2" s="708"/>
      <c r="AC2" s="708"/>
      <c r="AD2" s="708"/>
      <c r="AE2" s="708"/>
    </row>
    <row r="3" ht="15.75" customHeight="1">
      <c r="A3" s="710" t="str">
        <f>IFERROR(__xludf.DUMMYFUNCTION("""COMPUTED_VALUE"""),"Khối kinh doanh")</f>
        <v>Khối kinh doanh</v>
      </c>
      <c r="B3" s="710" t="str">
        <f>IFERROR(__xludf.DUMMYFUNCTION("""COMPUTED_VALUE"""),"Tên viết tắt khối")</f>
        <v>Tên viết tắt khối</v>
      </c>
      <c r="C3" s="710" t="str">
        <f>IFERROR(__xludf.DUMMYFUNCTION("""COMPUTED_VALUE"""),"Mảng kinh doanh")</f>
        <v>Mảng kinh doanh</v>
      </c>
      <c r="D3" s="710" t="str">
        <f>IFERROR(__xludf.DUMMYFUNCTION("""COMPUTED_VALUE"""),"Vị trí")</f>
        <v>Vị trí</v>
      </c>
      <c r="E3" s="710" t="str">
        <f>IFERROR(__xludf.DUMMYFUNCTION("""COMPUTED_VALUE"""),"Sản phẩm/mảng ")</f>
        <v>Sản phẩm/mảng </v>
      </c>
      <c r="F3" s="714" t="str">
        <f>IFERROR(__xludf.DUMMYFUNCTION("""COMPUTED_VALUE"""),"KD: các vị trí thuộc khối KD (AE, AM,ONB, SM, SD)")</f>
        <v>KD: các vị trí thuộc khối KD (AE, AM,ONB, SM, SD)</v>
      </c>
      <c r="G3" s="714" t="str">
        <f>IFERROR(__xludf.DUMMYFUNCTION("""COMPUTED_VALUE"""),"HCSN")</f>
        <v>HCSN</v>
      </c>
      <c r="H3" s="708"/>
      <c r="I3" s="708"/>
      <c r="J3" s="708"/>
      <c r="K3" s="710" t="str">
        <f>IFERROR(__xludf.DUMMYFUNCTION("""COMPUTED_VALUE"""),"AM,AML,AMM
ONB")</f>
        <v>AM,AML,AMM
ONB</v>
      </c>
      <c r="L3" s="708"/>
      <c r="M3" s="708"/>
      <c r="N3" s="708"/>
      <c r="O3" s="708"/>
      <c r="P3" s="708"/>
      <c r="Q3" s="708"/>
      <c r="R3" s="708"/>
      <c r="S3" s="708"/>
      <c r="T3" s="708"/>
      <c r="U3" s="708"/>
      <c r="V3" s="708"/>
      <c r="W3" s="708"/>
      <c r="X3" s="708"/>
      <c r="Y3" s="708"/>
      <c r="Z3" s="708"/>
      <c r="AA3" s="708"/>
      <c r="AB3" s="708"/>
      <c r="AC3" s="708"/>
      <c r="AD3" s="708"/>
      <c r="AE3" s="708"/>
    </row>
    <row r="4" ht="15.75" customHeight="1">
      <c r="A4" s="708"/>
      <c r="B4" s="710" t="str">
        <f>IFERROR(__xludf.DUMMYFUNCTION("""COMPUTED_VALUE"""),"BO")</f>
        <v>BO</v>
      </c>
      <c r="C4" s="710" t="str">
        <f>IFERROR(__xludf.DUMMYFUNCTION("""COMPUTED_VALUE"""),"HR/FIN/MIBI,.....")</f>
        <v>HR/FIN/MIBI,.....</v>
      </c>
      <c r="D4" s="710" t="str">
        <f>IFERROR(__xludf.DUMMYFUNCTION("""COMPUTED_VALUE"""),"AM, AML,AMM,....")</f>
        <v>AM, AML,AMM,....</v>
      </c>
      <c r="E4" s="708"/>
      <c r="F4" s="708"/>
      <c r="G4" s="714" t="str">
        <f>IFERROR(__xludf.DUMMYFUNCTION("""COMPUTED_VALUE"""),"DN")</f>
        <v>DN</v>
      </c>
      <c r="H4" s="715" t="str">
        <f>IFERROR(__xludf.DUMMYFUNCTION("""COMPUTED_VALUE"""),"DNN
GPBL
DNV
DNL
KTDV
NTGD")</f>
        <v>DNN
GPBL
DNV
DNL
KTDV
NTGD</v>
      </c>
      <c r="I4" s="708"/>
      <c r="J4" s="715" t="str">
        <f>IFERROR(__xludf.DUMMYFUNCTION("""COMPUTED_VALUE"""),"BM
BT
ONL")</f>
        <v>BM
BT
ONL</v>
      </c>
      <c r="K4" s="708"/>
      <c r="L4" s="708"/>
      <c r="M4" s="708"/>
      <c r="N4" s="708"/>
      <c r="O4" s="708"/>
      <c r="P4" s="708"/>
      <c r="Q4" s="708"/>
      <c r="R4" s="708"/>
      <c r="S4" s="708"/>
      <c r="T4" s="708"/>
      <c r="U4" s="708"/>
      <c r="V4" s="708"/>
      <c r="W4" s="708"/>
      <c r="X4" s="708"/>
      <c r="Y4" s="708"/>
      <c r="Z4" s="708"/>
      <c r="AA4" s="708"/>
      <c r="AB4" s="708"/>
      <c r="AC4" s="708"/>
      <c r="AD4" s="708"/>
      <c r="AE4" s="708"/>
    </row>
    <row r="5" ht="15.75" customHeight="1">
      <c r="A5" s="708"/>
      <c r="B5" s="710" t="str">
        <f>IFERROR(__xludf.DUMMYFUNCTION("""COMPUTED_VALUE"""),"SB")</f>
        <v>SB</v>
      </c>
      <c r="C5" s="710" t="str">
        <f>IFERROR(__xludf.DUMMYFUNCTION("""COMPUTED_VALUE"""),"NS/CS/ONL")</f>
        <v>NS/CS/ONL</v>
      </c>
      <c r="D5" s="710" t="str">
        <f>IFERROR(__xludf.DUMMYFUNCTION("""COMPUTED_VALUE"""),"AE, SM, ONB, ONBL")</f>
        <v>AE, SM, ONB, ONBL</v>
      </c>
      <c r="E5" s="710" t="str">
        <f>IFERROR(__xludf.DUMMYFUNCTION("""COMPUTED_VALUE"""),"ACT, MEI, DS")</f>
        <v>ACT, MEI, DS</v>
      </c>
      <c r="F5" s="708"/>
      <c r="G5" s="714" t="str">
        <f>IFERROR(__xludf.DUMMYFUNCTION("""COMPUTED_VALUE"""),"TTTC")</f>
        <v>TTTC</v>
      </c>
      <c r="H5" s="708"/>
      <c r="I5" s="708"/>
      <c r="J5" s="708"/>
      <c r="K5" s="708"/>
      <c r="L5" s="708"/>
      <c r="M5" s="708"/>
      <c r="N5" s="708"/>
      <c r="O5" s="708"/>
      <c r="P5" s="708"/>
      <c r="Q5" s="708"/>
      <c r="R5" s="708"/>
      <c r="S5" s="708"/>
      <c r="T5" s="708"/>
      <c r="U5" s="708"/>
      <c r="V5" s="708"/>
      <c r="W5" s="708"/>
      <c r="X5" s="708"/>
      <c r="Y5" s="708"/>
      <c r="Z5" s="708"/>
      <c r="AA5" s="708"/>
      <c r="AB5" s="708"/>
      <c r="AC5" s="708"/>
      <c r="AD5" s="708"/>
      <c r="AE5" s="708"/>
    </row>
    <row r="6" ht="15.75" customHeight="1">
      <c r="A6" s="708"/>
      <c r="B6" s="710" t="str">
        <f>IFERROR(__xludf.DUMMYFUNCTION("""COMPUTED_VALUE"""),"MB")</f>
        <v>MB</v>
      </c>
      <c r="C6" s="710" t="str">
        <f>IFERROR(__xludf.DUMMYFUNCTION("""COMPUTED_VALUE"""),"NS/CS")</f>
        <v>NS/CS</v>
      </c>
      <c r="D6" s="710" t="str">
        <f>IFERROR(__xludf.DUMMYFUNCTION("""COMPUTED_VALUE"""),"AE")</f>
        <v>AE</v>
      </c>
      <c r="E6" s="708"/>
      <c r="F6" s="708"/>
      <c r="G6" s="716" t="str">
        <f>IFERROR(__xludf.DUMMYFUNCTION("""COMPUTED_VALUE"""),"KHCN")</f>
        <v>KHCN</v>
      </c>
      <c r="H6" s="708"/>
      <c r="I6" s="708"/>
      <c r="J6" s="708"/>
      <c r="K6" s="708"/>
      <c r="L6" s="708"/>
      <c r="M6" s="708"/>
      <c r="N6" s="708"/>
      <c r="O6" s="708"/>
      <c r="P6" s="708"/>
      <c r="Q6" s="708"/>
      <c r="R6" s="708"/>
      <c r="S6" s="708"/>
      <c r="T6" s="708"/>
      <c r="U6" s="708"/>
      <c r="V6" s="708"/>
      <c r="W6" s="708"/>
      <c r="X6" s="708"/>
      <c r="Y6" s="708"/>
      <c r="Z6" s="708"/>
      <c r="AA6" s="708"/>
      <c r="AB6" s="708"/>
      <c r="AC6" s="708"/>
      <c r="AD6" s="708"/>
      <c r="AE6" s="708"/>
    </row>
    <row r="7" ht="15.75" customHeight="1">
      <c r="A7" s="708"/>
      <c r="B7" s="710" t="str">
        <f>IFERROR(__xludf.DUMMYFUNCTION("""COMPUTED_VALUE"""),"GPBL")</f>
        <v>GPBL</v>
      </c>
      <c r="C7" s="708"/>
      <c r="D7" s="710" t="str">
        <f>IFERROR(__xludf.DUMMYFUNCTION("""COMPUTED_VALUE"""),"....")</f>
        <v>....</v>
      </c>
      <c r="E7" s="710" t="str">
        <f>IFERROR(__xludf.DUMMYFUNCTION("""COMPUTED_VALUE"""),"CUK, ESHOP")</f>
        <v>CUK, ESHOP</v>
      </c>
      <c r="F7" s="708"/>
      <c r="G7" s="714" t="str">
        <f>IFERROR(__xludf.DUMMYFUNCTION("""COMPUTED_VALUE"""),"JETPAY")</f>
        <v>JETPAY</v>
      </c>
      <c r="H7" s="708"/>
      <c r="I7" s="708"/>
      <c r="J7" s="708"/>
      <c r="K7" s="708"/>
      <c r="L7" s="708"/>
      <c r="M7" s="708"/>
      <c r="N7" s="708"/>
      <c r="O7" s="708"/>
      <c r="P7" s="708"/>
      <c r="Q7" s="708"/>
      <c r="R7" s="708"/>
      <c r="S7" s="708"/>
      <c r="T7" s="708"/>
      <c r="U7" s="708"/>
      <c r="V7" s="708"/>
      <c r="W7" s="708"/>
      <c r="X7" s="708"/>
      <c r="Y7" s="708"/>
      <c r="Z7" s="708"/>
      <c r="AA7" s="708"/>
      <c r="AB7" s="708"/>
      <c r="AC7" s="708"/>
      <c r="AD7" s="708"/>
      <c r="AE7" s="708"/>
    </row>
    <row r="8" ht="15.75" customHeight="1">
      <c r="A8" s="708"/>
      <c r="B8" s="710" t="str">
        <f>IFERROR(__xludf.DUMMYFUNCTION("""COMPUTED_VALUE"""),"EMIS")</f>
        <v>EMIS</v>
      </c>
      <c r="C8" s="708"/>
      <c r="D8" s="710" t="str">
        <f>IFERROR(__xludf.DUMMYFUNCTION("""COMPUTED_VALUE"""),"PDR, PSM")</f>
        <v>PDR, PSM</v>
      </c>
      <c r="E8" s="708"/>
      <c r="F8" s="714" t="str">
        <f>IFERROR(__xludf.DUMMYFUNCTION("""COMPUTED_VALUE"""),"SX: các vị trí thuộc khối  SX (trừ VPSX)")</f>
        <v>SX: các vị trí thuộc khối  SX (trừ VPSX)</v>
      </c>
      <c r="G8" s="708"/>
      <c r="H8" s="708"/>
      <c r="I8" s="708"/>
      <c r="J8" s="708"/>
      <c r="K8" s="708"/>
      <c r="L8" s="708"/>
      <c r="M8" s="708"/>
      <c r="N8" s="708"/>
      <c r="O8" s="708"/>
      <c r="P8" s="708"/>
      <c r="Q8" s="708"/>
      <c r="R8" s="708"/>
      <c r="S8" s="708"/>
      <c r="T8" s="708"/>
      <c r="U8" s="708"/>
      <c r="V8" s="708"/>
      <c r="W8" s="708"/>
      <c r="X8" s="708"/>
      <c r="Y8" s="708"/>
      <c r="Z8" s="708"/>
      <c r="AA8" s="708"/>
      <c r="AB8" s="708"/>
      <c r="AC8" s="708"/>
      <c r="AD8" s="708"/>
      <c r="AE8" s="708"/>
    </row>
    <row r="9" ht="15.75" customHeight="1">
      <c r="A9" s="708"/>
      <c r="B9" s="710" t="str">
        <f>IFERROR(__xludf.DUMMYFUNCTION("""COMPUTED_VALUE"""),"KTDV")</f>
        <v>KTDV</v>
      </c>
      <c r="C9" s="708"/>
      <c r="D9" s="710" t="str">
        <f>IFERROR(__xludf.DUMMYFUNCTION("""COMPUTED_VALUE"""),"PDR, ONB")</f>
        <v>PDR, ONB</v>
      </c>
      <c r="E9" s="710" t="str">
        <f>IFERROR(__xludf.DUMMYFUNCTION("""COMPUTED_VALUE"""),"MKT/HTDT")</f>
        <v>MKT/HTDT</v>
      </c>
      <c r="F9" s="714" t="str">
        <f>IFERROR(__xludf.DUMMYFUNCTION("""COMPUTED_VALUE"""),"HT&amp;CSKH: các vị trí thuộc TT HT &amp;CSKH (trừ P.HCTH)")</f>
        <v>HT&amp;CSKH: các vị trí thuộc TT HT &amp;CSKH (trừ P.HCTH)</v>
      </c>
      <c r="G9" s="708"/>
      <c r="H9" s="708"/>
      <c r="I9" s="708"/>
      <c r="J9" s="708"/>
      <c r="K9" s="708"/>
      <c r="L9" s="708"/>
      <c r="M9" s="708"/>
      <c r="N9" s="708"/>
      <c r="O9" s="708"/>
      <c r="P9" s="708"/>
      <c r="Q9" s="708"/>
      <c r="R9" s="708"/>
      <c r="S9" s="708"/>
      <c r="T9" s="708"/>
      <c r="U9" s="708"/>
      <c r="V9" s="708"/>
      <c r="W9" s="708"/>
      <c r="X9" s="708"/>
      <c r="Y9" s="708"/>
      <c r="Z9" s="708"/>
      <c r="AA9" s="708"/>
      <c r="AB9" s="708"/>
      <c r="AC9" s="708"/>
      <c r="AD9" s="708"/>
      <c r="AE9" s="708"/>
    </row>
    <row r="10" ht="15.75" customHeight="1">
      <c r="A10" s="708"/>
      <c r="B10" s="710" t="str">
        <f>IFERROR(__xludf.DUMMYFUNCTION("""COMPUTED_VALUE"""),"KHCN")</f>
        <v>KHCN</v>
      </c>
      <c r="C10" s="708"/>
      <c r="D10" s="710" t="str">
        <f>IFERROR(__xludf.DUMMYFUNCTION("""COMPUTED_VALUE"""),"....")</f>
        <v>....</v>
      </c>
      <c r="E10" s="708"/>
      <c r="F10" s="714" t="str">
        <f>IFERROR(__xludf.DUMMYFUNCTION("""COMPUTED_VALUE"""),"BO: các vị trí còn lại")</f>
        <v>BO: các vị trí còn lại</v>
      </c>
      <c r="G10" s="708"/>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row>
    <row r="11" ht="15.75" customHeight="1">
      <c r="A11" s="708"/>
      <c r="B11" s="708"/>
      <c r="C11" s="708"/>
      <c r="D11" s="717" t="str">
        <f>IFERROR(__xludf.DUMMYFUNCTION("""COMPUTED_VALUE"""),"....")</f>
        <v>....</v>
      </c>
      <c r="E11" s="708"/>
      <c r="F11" s="708"/>
      <c r="G11" s="708"/>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row>
    <row r="12" ht="15.75" customHeight="1">
      <c r="A12" s="708"/>
      <c r="B12" s="708"/>
      <c r="C12" s="708"/>
      <c r="D12" s="717" t="str">
        <f>IFERROR(__xludf.DUMMYFUNCTION("""COMPUTED_VALUE"""),"....")</f>
        <v>....</v>
      </c>
      <c r="E12" s="708"/>
      <c r="F12" s="708"/>
      <c r="G12" s="708"/>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row>
    <row r="13" ht="15.75" customHeight="1">
      <c r="A13" s="718" t="str">
        <f>IFERROR(__xludf.DUMMYFUNCTION("""COMPUTED_VALUE"""),"Nhu cầu")</f>
        <v>Nhu cầu</v>
      </c>
      <c r="B13" s="719" t="str">
        <f>IFERROR(__xludf.DUMMYFUNCTION("""COMPUTED_VALUE"""),"1, Thống kê số lượng nhân sự theo vị trí: KD, SX, BO, HT &amp; CSKH
2, Thống kê số lượng nhân sự chi tiết của KD theo khối KD trực tiếp và ONB
3, Thống kê số lượng KD theo từng khối KD
4, Thống kê số lượng KD theo từng khối KD bán mới, bán thêm ở các khối có "&amp;"nhiều mảng KD
5, Thống kê số lượng KD theo từng khối KD, theo từng sản phẩm cụ thể 
6, Thông kê số lượng HT &amp; CSKH gồm bao nhiêu TV, bao nhiêu CSM
7, Thống kê số lượng BO theo từng mảng: HR, HC, QA, KT, PR. Mỗi mảng theo từng vị trí cụ thể
8, Thống số số "&amp;"lượng KSX theo từng vị trí DEV, QC, BA,....")</f>
        <v>1, Thống kê số lượng nhân sự theo vị trí: KD, SX, BO, HT &amp; CSKH
2, Thống kê số lượng nhân sự chi tiết của KD theo khối KD trực tiếp và ONB
3, Thống kê số lượng KD theo từng khối KD
4, Thống kê số lượng KD theo từng khối KD bán mới, bán thêm ở các khối có nhiều mảng KD
5, Thống kê số lượng KD theo từng khối KD, theo từng sản phẩm cụ thể 
6, Thông kê số lượng HT &amp; CSKH gồm bao nhiêu TV, bao nhiêu CSM
7, Thống kê số lượng BO theo từng mảng: HR, HC, QA, KT, PR. Mỗi mảng theo từng vị trí cụ thể
8, Thống số số lượng KSX theo từng vị trí DEV, QC, BA,....</v>
      </c>
      <c r="C13" s="720"/>
      <c r="D13" s="720"/>
      <c r="E13" s="720"/>
      <c r="F13" s="720"/>
      <c r="G13" s="720"/>
      <c r="H13" s="720"/>
      <c r="I13" s="720"/>
      <c r="J13" s="720"/>
      <c r="K13" s="720"/>
      <c r="L13" s="720"/>
      <c r="M13" s="720"/>
      <c r="N13" s="720"/>
      <c r="O13" s="708"/>
      <c r="P13" s="708"/>
      <c r="Q13" s="708"/>
      <c r="R13" s="708"/>
      <c r="S13" s="708"/>
      <c r="T13" s="708"/>
      <c r="U13" s="708"/>
      <c r="V13" s="708"/>
      <c r="W13" s="708"/>
      <c r="X13" s="708"/>
      <c r="Y13" s="708"/>
      <c r="Z13" s="708"/>
      <c r="AA13" s="708"/>
      <c r="AB13" s="708"/>
      <c r="AC13" s="708"/>
      <c r="AD13" s="708"/>
      <c r="AE13" s="708"/>
    </row>
    <row r="14">
      <c r="A14" s="721" t="str">
        <f>IFERROR(__xludf.DUMMYFUNCTION("""COMPUTED_VALUE"""),"Mã vị trí mới")</f>
        <v>Mã vị trí mới</v>
      </c>
      <c r="B14" s="722" t="str">
        <f>IFERROR(__xludf.DUMMYFUNCTION("""COMPUTED_VALUE"""),"Mapping với vị trí cũ")</f>
        <v>Mapping với vị trí cũ</v>
      </c>
      <c r="C14" s="723" t="str">
        <f>IFERROR(__xludf.DUMMYFUNCTION("""COMPUTED_VALUE"""),"Mã vị trí mới")</f>
        <v>Mã vị trí mới</v>
      </c>
      <c r="D14" s="722" t="str">
        <f>IFERROR(__xludf.DUMMYFUNCTION("""COMPUTED_VALUE"""),"Tên vị trí")</f>
        <v>Tên vị trí</v>
      </c>
      <c r="E14" s="722" t="str">
        <f>IFERROR(__xludf.DUMMYFUNCTION("""COMPUTED_VALUE"""),"Nhóm vị trí")</f>
        <v>Nhóm vị trí</v>
      </c>
      <c r="F14" s="722" t="str">
        <f>IFERROR(__xludf.DUMMYFUNCTION("""COMPUTED_VALUE"""),"Cấp")</f>
        <v>Cấp</v>
      </c>
      <c r="G14" s="722" t="str">
        <f>IFERROR(__xludf.DUMMYFUNCTION("""COMPUTED_VALUE"""),"Mã khối")</f>
        <v>Mã khối</v>
      </c>
      <c r="H14" s="722" t="str">
        <f>IFERROR(__xludf.DUMMYFUNCTION("""COMPUTED_VALUE"""),"Chức danh")</f>
        <v>Chức danh</v>
      </c>
      <c r="I14" s="722" t="str">
        <f>IFERROR(__xludf.DUMMYFUNCTION("""COMPUTED_VALUE"""),"Mã đơn vị công tác")</f>
        <v>Mã đơn vị công tác</v>
      </c>
      <c r="J14" s="722" t="str">
        <f>IFERROR(__xludf.DUMMYFUNCTION("""COMPUTED_VALUE"""),"Đơn vị công tác")</f>
        <v>Đơn vị công tác</v>
      </c>
      <c r="K14" s="722" t="str">
        <f>IFERROR(__xludf.DUMMYFUNCTION("""COMPUTED_VALUE"""),"Vai trò")</f>
        <v>Vai trò</v>
      </c>
      <c r="L14" s="722" t="str">
        <f>IFERROR(__xludf.DUMMYFUNCTION("""COMPUTED_VALUE"""),"Trạng thái")</f>
        <v>Trạng thái</v>
      </c>
      <c r="M14" s="722" t="str">
        <f>IFERROR(__xludf.DUMMYFUNCTION("""COMPUTED_VALUE"""),"Ghi chú")</f>
        <v>Ghi chú</v>
      </c>
      <c r="N14" s="722" t="str">
        <f>IFERROR(__xludf.DUMMYFUNCTION("""COMPUTED_VALUE"""),"Tình trạng")</f>
        <v>Tình trạng</v>
      </c>
      <c r="O14" s="708"/>
      <c r="P14" s="708"/>
      <c r="Q14" s="708"/>
      <c r="R14" s="708"/>
      <c r="S14" s="708"/>
      <c r="T14" s="708"/>
      <c r="U14" s="708"/>
      <c r="V14" s="708"/>
      <c r="W14" s="708"/>
      <c r="X14" s="708"/>
      <c r="Y14" s="708"/>
      <c r="Z14" s="708"/>
      <c r="AA14" s="708"/>
      <c r="AB14" s="708"/>
      <c r="AC14" s="708"/>
      <c r="AD14" s="708"/>
      <c r="AE14" s="708"/>
    </row>
    <row r="15">
      <c r="A15" s="724" t="str">
        <f>IFERROR(__xludf.DUMMYFUNCTION("""COMPUTED_VALUE"""),"Khối BO")</f>
        <v>Khối BO</v>
      </c>
      <c r="B15" s="725"/>
      <c r="C15" s="725"/>
      <c r="D15" s="725"/>
      <c r="E15" s="725"/>
      <c r="F15" s="725"/>
      <c r="G15" s="725"/>
      <c r="H15" s="725"/>
      <c r="I15" s="725"/>
      <c r="J15" s="725"/>
      <c r="K15" s="725"/>
      <c r="L15" s="725"/>
      <c r="M15" s="725"/>
      <c r="N15" s="725"/>
      <c r="O15" s="726"/>
      <c r="P15" s="726"/>
      <c r="Q15" s="726"/>
      <c r="R15" s="726"/>
      <c r="S15" s="726"/>
      <c r="T15" s="726"/>
      <c r="U15" s="726"/>
      <c r="V15" s="726"/>
      <c r="W15" s="726"/>
      <c r="X15" s="726"/>
      <c r="Y15" s="726"/>
      <c r="Z15" s="726"/>
      <c r="AA15" s="726"/>
      <c r="AB15" s="726"/>
      <c r="AC15" s="726"/>
      <c r="AD15" s="726"/>
      <c r="AE15" s="726"/>
    </row>
    <row r="16">
      <c r="A16" s="727">
        <f>IFERROR(__xludf.DUMMYFUNCTION("""COMPUTED_VALUE"""),1.0)</f>
        <v>1</v>
      </c>
      <c r="B16" s="728" t="str">
        <f>IFERROR(__xludf.DUMMYFUNCTION("""COMPUTED_VALUE"""),"BO_A.QA.DEP")</f>
        <v>BO_A.QA.DEP</v>
      </c>
      <c r="C16" s="728" t="str">
        <f>IFERROR(__xludf.DUMMYFUNCTION("""COMPUTED_VALUE"""),"BO_A.QA.DEP")</f>
        <v>BO_A.QA.DEP</v>
      </c>
      <c r="D16" s="728" t="str">
        <f>IFERROR(__xludf.DUMMYFUNCTION("""COMPUTED_VALUE"""),"Q. Phó phòng QA")</f>
        <v>Q. Phó phòng QA</v>
      </c>
      <c r="E16" s="728" t="str">
        <f>IFERROR(__xludf.DUMMYFUNCTION("""COMPUTED_VALUE"""),"BO_COD")</f>
        <v>BO_COD</v>
      </c>
      <c r="F16" s="728">
        <f>IFERROR(__xludf.DUMMYFUNCTION("""COMPUTED_VALUE"""),2.0)</f>
        <v>2</v>
      </c>
      <c r="G16" s="728" t="str">
        <f>IFERROR(__xludf.DUMMYFUNCTION("""COMPUTED_VALUE"""),"BO")</f>
        <v>BO</v>
      </c>
      <c r="H16" s="728" t="str">
        <f>IFERROR(__xludf.DUMMYFUNCTION("""COMPUTED_VALUE"""),"TPP/ Trưởng ban")</f>
        <v>TPP/ Trưởng ban</v>
      </c>
      <c r="I16" s="728" t="str">
        <f>IFERROR(__xludf.DUMMYFUNCTION("""COMPUTED_VALUE"""),"L00")</f>
        <v>L00</v>
      </c>
      <c r="J16" s="728" t="str">
        <f>IFERROR(__xludf.DUMMYFUNCTION("""COMPUTED_VALUE"""),"Công ty cổ phần MISA")</f>
        <v>Công ty cổ phần MISA</v>
      </c>
      <c r="K16" s="729"/>
      <c r="L16" s="728" t="str">
        <f>IFERROR(__xludf.DUMMYFUNCTION("""COMPUTED_VALUE"""),"Đang theo dõi")</f>
        <v>Đang theo dõi</v>
      </c>
      <c r="M16" s="729"/>
      <c r="N16" s="728" t="str">
        <f>IFERROR(__xludf.DUMMYFUNCTION("""COMPUTED_VALUE"""),"giữ nguyên")</f>
        <v>giữ nguyên</v>
      </c>
      <c r="O16" s="730"/>
      <c r="P16" s="730"/>
      <c r="Q16" s="730"/>
      <c r="R16" s="730"/>
      <c r="S16" s="730"/>
      <c r="T16" s="730"/>
      <c r="U16" s="730"/>
      <c r="V16" s="730"/>
      <c r="W16" s="730"/>
      <c r="X16" s="730"/>
      <c r="Y16" s="730"/>
      <c r="Z16" s="730"/>
      <c r="AA16" s="730"/>
      <c r="AB16" s="730"/>
      <c r="AC16" s="730"/>
      <c r="AD16" s="730"/>
      <c r="AE16" s="730"/>
    </row>
    <row r="17">
      <c r="A17" s="727">
        <f>IFERROR(__xludf.DUMMYFUNCTION("""COMPUTED_VALUE"""),2.0)</f>
        <v>2</v>
      </c>
      <c r="B17" s="728" t="str">
        <f>IFERROR(__xludf.DUMMYFUNCTION("""COMPUTED_VALUE"""),"BO_AD_A.DEP")</f>
        <v>BO_AD_A.DEP</v>
      </c>
      <c r="C17" s="728" t="str">
        <f>IFERROR(__xludf.DUMMYFUNCTION("""COMPUTED_VALUE"""),"BO_AD_A.DEP")</f>
        <v>BO_AD_A.DEP</v>
      </c>
      <c r="D17" s="728" t="str">
        <f>IFERROR(__xludf.DUMMYFUNCTION("""COMPUTED_VALUE"""),"Q. Phó phòng HCTH")</f>
        <v>Q. Phó phòng HCTH</v>
      </c>
      <c r="E17" s="728" t="str">
        <f>IFERROR(__xludf.DUMMYFUNCTION("""COMPUTED_VALUE"""),"BO_COD")</f>
        <v>BO_COD</v>
      </c>
      <c r="F17" s="728">
        <f>IFERROR(__xludf.DUMMYFUNCTION("""COMPUTED_VALUE"""),2.0)</f>
        <v>2</v>
      </c>
      <c r="G17" s="728" t="str">
        <f>IFERROR(__xludf.DUMMYFUNCTION("""COMPUTED_VALUE"""),"BO")</f>
        <v>BO</v>
      </c>
      <c r="H17" s="728" t="str">
        <f>IFERROR(__xludf.DUMMYFUNCTION("""COMPUTED_VALUE"""),"TPP/ Trưởng ban")</f>
        <v>TPP/ Trưởng ban</v>
      </c>
      <c r="I17" s="728" t="str">
        <f>IFERROR(__xludf.DUMMYFUNCTION("""COMPUTED_VALUE"""),"L00")</f>
        <v>L00</v>
      </c>
      <c r="J17" s="728" t="str">
        <f>IFERROR(__xludf.DUMMYFUNCTION("""COMPUTED_VALUE"""),"Công ty cổ phần MISA")</f>
        <v>Công ty cổ phần MISA</v>
      </c>
      <c r="K17" s="729"/>
      <c r="L17" s="728" t="str">
        <f>IFERROR(__xludf.DUMMYFUNCTION("""COMPUTED_VALUE"""),"Đang theo dõi")</f>
        <v>Đang theo dõi</v>
      </c>
      <c r="M17" s="729"/>
      <c r="N17" s="728" t="str">
        <f>IFERROR(__xludf.DUMMYFUNCTION("""COMPUTED_VALUE"""),"giữ nguyên")</f>
        <v>giữ nguyên</v>
      </c>
      <c r="O17" s="708"/>
      <c r="P17" s="708"/>
      <c r="Q17" s="708"/>
      <c r="R17" s="708"/>
      <c r="S17" s="708"/>
      <c r="T17" s="708"/>
      <c r="U17" s="708"/>
      <c r="V17" s="708"/>
      <c r="W17" s="708"/>
      <c r="X17" s="708"/>
      <c r="Y17" s="708"/>
      <c r="Z17" s="708"/>
      <c r="AA17" s="708"/>
      <c r="AB17" s="708"/>
      <c r="AC17" s="708"/>
      <c r="AD17" s="708"/>
      <c r="AE17" s="708"/>
    </row>
    <row r="18">
      <c r="A18" s="727">
        <f>IFERROR(__xludf.DUMMYFUNCTION("""COMPUTED_VALUE"""),3.0)</f>
        <v>3</v>
      </c>
      <c r="B18" s="728" t="str">
        <f>IFERROR(__xludf.DUMMYFUNCTION("""COMPUTED_VALUE"""),"BO_AD_A.MGR")</f>
        <v>BO_AD_A.MGR</v>
      </c>
      <c r="C18" s="728" t="str">
        <f>IFERROR(__xludf.DUMMYFUNCTION("""COMPUTED_VALUE"""),"BO_AD_A.MGR")</f>
        <v>BO_AD_A.MGR</v>
      </c>
      <c r="D18" s="728" t="str">
        <f>IFERROR(__xludf.DUMMYFUNCTION("""COMPUTED_VALUE"""),"Q. Trưởng phòng HCTH")</f>
        <v>Q. Trưởng phòng HCTH</v>
      </c>
      <c r="E18" s="728" t="str">
        <f>IFERROR(__xludf.DUMMYFUNCTION("""COMPUTED_VALUE"""),"BO_COD")</f>
        <v>BO_COD</v>
      </c>
      <c r="F18" s="728">
        <f>IFERROR(__xludf.DUMMYFUNCTION("""COMPUTED_VALUE"""),2.0)</f>
        <v>2</v>
      </c>
      <c r="G18" s="728" t="str">
        <f>IFERROR(__xludf.DUMMYFUNCTION("""COMPUTED_VALUE"""),"BO")</f>
        <v>BO</v>
      </c>
      <c r="H18" s="728" t="str">
        <f>IFERROR(__xludf.DUMMYFUNCTION("""COMPUTED_VALUE"""),"TPP/ Trưởng ban")</f>
        <v>TPP/ Trưởng ban</v>
      </c>
      <c r="I18" s="728" t="str">
        <f>IFERROR(__xludf.DUMMYFUNCTION("""COMPUTED_VALUE"""),"L00")</f>
        <v>L00</v>
      </c>
      <c r="J18" s="728" t="str">
        <f>IFERROR(__xludf.DUMMYFUNCTION("""COMPUTED_VALUE"""),"Công ty cổ phần MISA")</f>
        <v>Công ty cổ phần MISA</v>
      </c>
      <c r="K18" s="729"/>
      <c r="L18" s="728" t="str">
        <f>IFERROR(__xludf.DUMMYFUNCTION("""COMPUTED_VALUE"""),"Đang theo dõi")</f>
        <v>Đang theo dõi</v>
      </c>
      <c r="M18" s="729"/>
      <c r="N18" s="728" t="str">
        <f>IFERROR(__xludf.DUMMYFUNCTION("""COMPUTED_VALUE"""),"giữ nguyên")</f>
        <v>giữ nguyên</v>
      </c>
      <c r="O18" s="708"/>
      <c r="P18" s="708"/>
      <c r="Q18" s="708"/>
      <c r="R18" s="708"/>
      <c r="S18" s="708"/>
      <c r="T18" s="708"/>
      <c r="U18" s="708"/>
      <c r="V18" s="708"/>
      <c r="W18" s="708"/>
      <c r="X18" s="708"/>
      <c r="Y18" s="708"/>
      <c r="Z18" s="708"/>
      <c r="AA18" s="708"/>
      <c r="AB18" s="708"/>
      <c r="AC18" s="708"/>
      <c r="AD18" s="708"/>
      <c r="AE18" s="708"/>
    </row>
    <row r="19">
      <c r="A19" s="727">
        <f>IFERROR(__xludf.DUMMYFUNCTION("""COMPUTED_VALUE"""),4.0)</f>
        <v>4</v>
      </c>
      <c r="B19" s="728" t="str">
        <f>IFERROR(__xludf.DUMMYFUNCTION("""COMPUTED_VALUE"""),"BO_AD_ADS")</f>
        <v>BO_AD_ADS</v>
      </c>
      <c r="C19" s="728" t="str">
        <f>IFERROR(__xludf.DUMMYFUNCTION("""COMPUTED_VALUE"""),"BO_AD_ADS")</f>
        <v>BO_AD_ADS</v>
      </c>
      <c r="D19" s="728" t="str">
        <f>IFERROR(__xludf.DUMMYFUNCTION("""COMPUTED_VALUE"""),"NV Hành chính tổng hợp")</f>
        <v>NV Hành chính tổng hợp</v>
      </c>
      <c r="E19" s="728" t="str">
        <f>IFERROR(__xludf.DUMMYFUNCTION("""COMPUTED_VALUE"""),"BO")</f>
        <v>BO</v>
      </c>
      <c r="F19" s="729"/>
      <c r="G19" s="728" t="str">
        <f>IFERROR(__xludf.DUMMYFUNCTION("""COMPUTED_VALUE"""),"BO")</f>
        <v>BO</v>
      </c>
      <c r="H19" s="728" t="str">
        <f>IFERROR(__xludf.DUMMYFUNCTION("""COMPUTED_VALUE"""),"Nhân viên/ Chuyên viên/ Chuyên gia")</f>
        <v>Nhân viên/ Chuyên viên/ Chuyên gia</v>
      </c>
      <c r="I19" s="728" t="str">
        <f>IFERROR(__xludf.DUMMYFUNCTION("""COMPUTED_VALUE"""),"L00")</f>
        <v>L00</v>
      </c>
      <c r="J19" s="728" t="str">
        <f>IFERROR(__xludf.DUMMYFUNCTION("""COMPUTED_VALUE"""),"Công ty cổ phần MISA")</f>
        <v>Công ty cổ phần MISA</v>
      </c>
      <c r="K19" s="729"/>
      <c r="L19" s="728" t="str">
        <f>IFERROR(__xludf.DUMMYFUNCTION("""COMPUTED_VALUE"""),"Đang theo dõi")</f>
        <v>Đang theo dõi</v>
      </c>
      <c r="M19" s="729"/>
      <c r="N19" s="728" t="str">
        <f>IFERROR(__xludf.DUMMYFUNCTION("""COMPUTED_VALUE"""),"giữ nguyên")</f>
        <v>giữ nguyên</v>
      </c>
      <c r="O19" s="708"/>
      <c r="P19" s="708"/>
      <c r="Q19" s="708"/>
      <c r="R19" s="708"/>
      <c r="S19" s="708"/>
      <c r="T19" s="708"/>
      <c r="U19" s="708"/>
      <c r="V19" s="708"/>
      <c r="W19" s="708"/>
      <c r="X19" s="708"/>
      <c r="Y19" s="708"/>
      <c r="Z19" s="708"/>
      <c r="AA19" s="708"/>
      <c r="AB19" s="708"/>
      <c r="AC19" s="708"/>
      <c r="AD19" s="708"/>
      <c r="AE19" s="708"/>
    </row>
    <row r="20">
      <c r="A20" s="727">
        <f>IFERROR(__xludf.DUMMYFUNCTION("""COMPUTED_VALUE"""),5.0)</f>
        <v>5</v>
      </c>
      <c r="B20" s="728" t="str">
        <f>IFERROR(__xludf.DUMMYFUNCTION("""COMPUTED_VALUE"""),"BO_AD_ASS")</f>
        <v>BO_AD_ASS</v>
      </c>
      <c r="C20" s="728" t="str">
        <f>IFERROR(__xludf.DUMMYFUNCTION("""COMPUTED_VALUE"""),"BO_AD_ASS")</f>
        <v>BO_AD_ASS</v>
      </c>
      <c r="D20" s="728" t="str">
        <f>IFERROR(__xludf.DUMMYFUNCTION("""COMPUTED_VALUE"""),"Trợ lý")</f>
        <v>Trợ lý</v>
      </c>
      <c r="E20" s="728" t="str">
        <f>IFERROR(__xludf.DUMMYFUNCTION("""COMPUTED_VALUE"""),"BO")</f>
        <v>BO</v>
      </c>
      <c r="F20" s="729"/>
      <c r="G20" s="728" t="str">
        <f>IFERROR(__xludf.DUMMYFUNCTION("""COMPUTED_VALUE"""),"BO")</f>
        <v>BO</v>
      </c>
      <c r="H20" s="728" t="str">
        <f>IFERROR(__xludf.DUMMYFUNCTION("""COMPUTED_VALUE"""),"Nhân viên/ Chuyên viên/ Chuyên gia")</f>
        <v>Nhân viên/ Chuyên viên/ Chuyên gia</v>
      </c>
      <c r="I20" s="728" t="str">
        <f>IFERROR(__xludf.DUMMYFUNCTION("""COMPUTED_VALUE"""),"L00")</f>
        <v>L00</v>
      </c>
      <c r="J20" s="728" t="str">
        <f>IFERROR(__xludf.DUMMYFUNCTION("""COMPUTED_VALUE"""),"Công ty cổ phần MISA")</f>
        <v>Công ty cổ phần MISA</v>
      </c>
      <c r="K20" s="729"/>
      <c r="L20" s="728" t="str">
        <f>IFERROR(__xludf.DUMMYFUNCTION("""COMPUTED_VALUE"""),"Đang theo dõi")</f>
        <v>Đang theo dõi</v>
      </c>
      <c r="M20" s="729"/>
      <c r="N20" s="728" t="str">
        <f>IFERROR(__xludf.DUMMYFUNCTION("""COMPUTED_VALUE"""),"giữ nguyên")</f>
        <v>giữ nguyên</v>
      </c>
      <c r="O20" s="708"/>
      <c r="P20" s="708"/>
      <c r="Q20" s="708"/>
      <c r="R20" s="708"/>
      <c r="S20" s="708"/>
      <c r="T20" s="708"/>
      <c r="U20" s="708"/>
      <c r="V20" s="708"/>
      <c r="W20" s="708"/>
      <c r="X20" s="708"/>
      <c r="Y20" s="708"/>
      <c r="Z20" s="708"/>
      <c r="AA20" s="708"/>
      <c r="AB20" s="708"/>
      <c r="AC20" s="708"/>
      <c r="AD20" s="708"/>
      <c r="AE20" s="708"/>
    </row>
    <row r="21">
      <c r="A21" s="727">
        <f>IFERROR(__xludf.DUMMYFUNCTION("""COMPUTED_VALUE"""),6.0)</f>
        <v>6</v>
      </c>
      <c r="B21" s="731" t="str">
        <f>IFERROR(__xludf.DUMMYFUNCTION("""COMPUTED_VALUE"""),"BO_AD_AVP")</f>
        <v>BO_AD_AVP</v>
      </c>
      <c r="C21" s="731" t="str">
        <f>IFERROR(__xludf.DUMMYFUNCTION("""COMPUTED_VALUE"""),"BO_AD_AVP")</f>
        <v>BO_AD_AVP</v>
      </c>
      <c r="D21" s="731" t="str">
        <f>IFERROR(__xludf.DUMMYFUNCTION("""COMPUTED_VALUE"""),"Trợ lý Phó Tổng Giám Đốc")</f>
        <v>Trợ lý Phó Tổng Giám Đốc</v>
      </c>
      <c r="E21" s="731" t="str">
        <f>IFERROR(__xludf.DUMMYFUNCTION("""COMPUTED_VALUE"""),"BO")</f>
        <v>BO</v>
      </c>
      <c r="F21" s="729"/>
      <c r="G21" s="731" t="str">
        <f>IFERROR(__xludf.DUMMYFUNCTION("""COMPUTED_VALUE"""),"BO")</f>
        <v>BO</v>
      </c>
      <c r="H21" s="731" t="str">
        <f>IFERROR(__xludf.DUMMYFUNCTION("""COMPUTED_VALUE"""),"Nhân viên/ Chuyên viên/ Chuyên gia")</f>
        <v>Nhân viên/ Chuyên viên/ Chuyên gia</v>
      </c>
      <c r="I21" s="729"/>
      <c r="J21" s="731" t="str">
        <f>IFERROR(__xludf.DUMMYFUNCTION("""COMPUTED_VALUE"""),"Công ty cổ phần MISA")</f>
        <v>Công ty cổ phần MISA</v>
      </c>
      <c r="K21" s="729"/>
      <c r="L21" s="731" t="str">
        <f>IFERROR(__xludf.DUMMYFUNCTION("""COMPUTED_VALUE"""),"Ngừng")</f>
        <v>Ngừng</v>
      </c>
      <c r="M21" s="731" t="str">
        <f>IFERROR(__xludf.DUMMYFUNCTION("""COMPUTED_VALUE"""),"ko còn vị trí này")</f>
        <v>ko còn vị trí này</v>
      </c>
      <c r="N21" s="728" t="str">
        <f>IFERROR(__xludf.DUMMYFUNCTION("""COMPUTED_VALUE"""),"ngừng")</f>
        <v>ngừng</v>
      </c>
      <c r="O21" s="708"/>
      <c r="P21" s="708"/>
      <c r="Q21" s="708"/>
      <c r="R21" s="708"/>
      <c r="S21" s="708"/>
      <c r="T21" s="708"/>
      <c r="U21" s="708"/>
      <c r="V21" s="708"/>
      <c r="W21" s="708"/>
      <c r="X21" s="708"/>
      <c r="Y21" s="708"/>
      <c r="Z21" s="708"/>
      <c r="AA21" s="708"/>
      <c r="AB21" s="708"/>
      <c r="AC21" s="708"/>
      <c r="AD21" s="708"/>
      <c r="AE21" s="708"/>
    </row>
    <row r="22">
      <c r="A22" s="727">
        <f>IFERROR(__xludf.DUMMYFUNCTION("""COMPUTED_VALUE"""),7.0)</f>
        <v>7</v>
      </c>
      <c r="B22" s="728" t="str">
        <f>IFERROR(__xludf.DUMMYFUNCTION("""COMPUTED_VALUE"""),"BO_AD_DEP")</f>
        <v>BO_AD_DEP</v>
      </c>
      <c r="C22" s="728" t="str">
        <f>IFERROR(__xludf.DUMMYFUNCTION("""COMPUTED_VALUE"""),"BO_AD_DEP")</f>
        <v>BO_AD_DEP</v>
      </c>
      <c r="D22" s="728" t="str">
        <f>IFERROR(__xludf.DUMMYFUNCTION("""COMPUTED_VALUE"""),"Phó phòng HCTH")</f>
        <v>Phó phòng HCTH</v>
      </c>
      <c r="E22" s="728" t="str">
        <f>IFERROR(__xludf.DUMMYFUNCTION("""COMPUTED_VALUE"""),"BO_COD")</f>
        <v>BO_COD</v>
      </c>
      <c r="F22" s="728">
        <f>IFERROR(__xludf.DUMMYFUNCTION("""COMPUTED_VALUE"""),2.0)</f>
        <v>2</v>
      </c>
      <c r="G22" s="728" t="str">
        <f>IFERROR(__xludf.DUMMYFUNCTION("""COMPUTED_VALUE"""),"BO")</f>
        <v>BO</v>
      </c>
      <c r="H22" s="728" t="str">
        <f>IFERROR(__xludf.DUMMYFUNCTION("""COMPUTED_VALUE"""),"TPP/ Trưởng ban")</f>
        <v>TPP/ Trưởng ban</v>
      </c>
      <c r="I22" s="728" t="str">
        <f>IFERROR(__xludf.DUMMYFUNCTION("""COMPUTED_VALUE"""),"L00")</f>
        <v>L00</v>
      </c>
      <c r="J22" s="728" t="str">
        <f>IFERROR(__xludf.DUMMYFUNCTION("""COMPUTED_VALUE"""),"Công ty cổ phần MISA")</f>
        <v>Công ty cổ phần MISA</v>
      </c>
      <c r="K22" s="729"/>
      <c r="L22" s="728" t="str">
        <f>IFERROR(__xludf.DUMMYFUNCTION("""COMPUTED_VALUE"""),"Đang theo dõi")</f>
        <v>Đang theo dõi</v>
      </c>
      <c r="M22" s="729"/>
      <c r="N22" s="728" t="str">
        <f>IFERROR(__xludf.DUMMYFUNCTION("""COMPUTED_VALUE"""),"giữ nguyên")</f>
        <v>giữ nguyên</v>
      </c>
      <c r="O22" s="708"/>
      <c r="P22" s="708"/>
      <c r="Q22" s="708"/>
      <c r="R22" s="708"/>
      <c r="S22" s="708"/>
      <c r="T22" s="708"/>
      <c r="U22" s="708"/>
      <c r="V22" s="708"/>
      <c r="W22" s="708"/>
      <c r="X22" s="708"/>
      <c r="Y22" s="708"/>
      <c r="Z22" s="708"/>
      <c r="AA22" s="708"/>
      <c r="AB22" s="708"/>
      <c r="AC22" s="708"/>
      <c r="AD22" s="708"/>
      <c r="AE22" s="708"/>
    </row>
    <row r="23">
      <c r="A23" s="727">
        <f>IFERROR(__xludf.DUMMYFUNCTION("""COMPUTED_VALUE"""),8.0)</f>
        <v>8</v>
      </c>
      <c r="B23" s="728" t="str">
        <f>IFERROR(__xludf.DUMMYFUNCTION("""COMPUTED_VALUE"""),"BO_AD_DRV")</f>
        <v>BO_AD_DRV</v>
      </c>
      <c r="C23" s="728" t="str">
        <f>IFERROR(__xludf.DUMMYFUNCTION("""COMPUTED_VALUE"""),"BO_AD_DRV")</f>
        <v>BO_AD_DRV</v>
      </c>
      <c r="D23" s="728" t="str">
        <f>IFERROR(__xludf.DUMMYFUNCTION("""COMPUTED_VALUE"""),"NV lái xe")</f>
        <v>NV lái xe</v>
      </c>
      <c r="E23" s="728" t="str">
        <f>IFERROR(__xludf.DUMMYFUNCTION("""COMPUTED_VALUE"""),"BO")</f>
        <v>BO</v>
      </c>
      <c r="F23" s="729"/>
      <c r="G23" s="728" t="str">
        <f>IFERROR(__xludf.DUMMYFUNCTION("""COMPUTED_VALUE"""),"BO")</f>
        <v>BO</v>
      </c>
      <c r="H23" s="728" t="str">
        <f>IFERROR(__xludf.DUMMYFUNCTION("""COMPUTED_VALUE"""),"Nhân viên/ Chuyên viên/ Chuyên gia")</f>
        <v>Nhân viên/ Chuyên viên/ Chuyên gia</v>
      </c>
      <c r="I23" s="728" t="str">
        <f>IFERROR(__xludf.DUMMYFUNCTION("""COMPUTED_VALUE"""),"L00")</f>
        <v>L00</v>
      </c>
      <c r="J23" s="728" t="str">
        <f>IFERROR(__xludf.DUMMYFUNCTION("""COMPUTED_VALUE"""),"Công ty cổ phần MISA")</f>
        <v>Công ty cổ phần MISA</v>
      </c>
      <c r="K23" s="729"/>
      <c r="L23" s="728" t="str">
        <f>IFERROR(__xludf.DUMMYFUNCTION("""COMPUTED_VALUE"""),"Đang theo dõi")</f>
        <v>Đang theo dõi</v>
      </c>
      <c r="M23" s="729"/>
      <c r="N23" s="728" t="str">
        <f>IFERROR(__xludf.DUMMYFUNCTION("""COMPUTED_VALUE"""),"giữ nguyên")</f>
        <v>giữ nguyên</v>
      </c>
      <c r="O23" s="708"/>
      <c r="P23" s="708"/>
      <c r="Q23" s="708"/>
      <c r="R23" s="708"/>
      <c r="S23" s="708"/>
      <c r="T23" s="708"/>
      <c r="U23" s="708"/>
      <c r="V23" s="708"/>
      <c r="W23" s="708"/>
      <c r="X23" s="708"/>
      <c r="Y23" s="708"/>
      <c r="Z23" s="708"/>
      <c r="AA23" s="708"/>
      <c r="AB23" s="708"/>
      <c r="AC23" s="708"/>
      <c r="AD23" s="708"/>
      <c r="AE23" s="708"/>
    </row>
    <row r="24">
      <c r="A24" s="727">
        <f>IFERROR(__xludf.DUMMYFUNCTION("""COMPUTED_VALUE"""),9.0)</f>
        <v>9</v>
      </c>
      <c r="B24" s="728" t="str">
        <f>IFERROR(__xludf.DUMMYFUNCTION("""COMPUTED_VALUE"""),"BO_AD_GSBH")</f>
        <v>BO_AD_GSBH</v>
      </c>
      <c r="C24" s="728" t="str">
        <f>IFERROR(__xludf.DUMMYFUNCTION("""COMPUTED_VALUE"""),"BO_AD_GSBH")</f>
        <v>BO_AD_GSBH</v>
      </c>
      <c r="D24" s="728" t="str">
        <f>IFERROR(__xludf.DUMMYFUNCTION("""COMPUTED_VALUE"""),"Nhân viên giám sát bán hàng")</f>
        <v>Nhân viên giám sát bán hàng</v>
      </c>
      <c r="E24" s="728" t="str">
        <f>IFERROR(__xludf.DUMMYFUNCTION("""COMPUTED_VALUE"""),"BO")</f>
        <v>BO</v>
      </c>
      <c r="F24" s="729"/>
      <c r="G24" s="728" t="str">
        <f>IFERROR(__xludf.DUMMYFUNCTION("""COMPUTED_VALUE"""),"BO")</f>
        <v>BO</v>
      </c>
      <c r="H24" s="728" t="str">
        <f>IFERROR(__xludf.DUMMYFUNCTION("""COMPUTED_VALUE"""),"Nhân viên/ Chuyên viên/ Chuyên gia")</f>
        <v>Nhân viên/ Chuyên viên/ Chuyên gia</v>
      </c>
      <c r="I24" s="728" t="str">
        <f>IFERROR(__xludf.DUMMYFUNCTION("""COMPUTED_VALUE"""),"L00")</f>
        <v>L00</v>
      </c>
      <c r="J24" s="728" t="str">
        <f>IFERROR(__xludf.DUMMYFUNCTION("""COMPUTED_VALUE"""),"Công ty cổ phần MISA")</f>
        <v>Công ty cổ phần MISA</v>
      </c>
      <c r="K24" s="729"/>
      <c r="L24" s="728" t="str">
        <f>IFERROR(__xludf.DUMMYFUNCTION("""COMPUTED_VALUE"""),"Đang theo dõi")</f>
        <v>Đang theo dõi</v>
      </c>
      <c r="M24" s="729"/>
      <c r="N24" s="728" t="str">
        <f>IFERROR(__xludf.DUMMYFUNCTION("""COMPUTED_VALUE"""),"giữ nguyên")</f>
        <v>giữ nguyên</v>
      </c>
      <c r="O24" s="708"/>
      <c r="P24" s="708"/>
      <c r="Q24" s="708"/>
      <c r="R24" s="708"/>
      <c r="S24" s="708"/>
      <c r="T24" s="708"/>
      <c r="U24" s="708"/>
      <c r="V24" s="708"/>
      <c r="W24" s="708"/>
      <c r="X24" s="708"/>
      <c r="Y24" s="708"/>
      <c r="Z24" s="708"/>
      <c r="AA24" s="708"/>
      <c r="AB24" s="708"/>
      <c r="AC24" s="708"/>
      <c r="AD24" s="708"/>
      <c r="AE24" s="708"/>
    </row>
    <row r="25">
      <c r="A25" s="727">
        <f>IFERROR(__xludf.DUMMYFUNCTION("""COMPUTED_VALUE"""),10.0)</f>
        <v>10</v>
      </c>
      <c r="B25" s="728" t="str">
        <f>IFERROR(__xludf.DUMMYFUNCTION("""COMPUTED_VALUE"""),"BO_AD_MGR")</f>
        <v>BO_AD_MGR</v>
      </c>
      <c r="C25" s="728" t="str">
        <f>IFERROR(__xludf.DUMMYFUNCTION("""COMPUTED_VALUE"""),"BO_AD_MGR")</f>
        <v>BO_AD_MGR</v>
      </c>
      <c r="D25" s="728" t="str">
        <f>IFERROR(__xludf.DUMMYFUNCTION("""COMPUTED_VALUE"""),"Trưởng phòng HCTH")</f>
        <v>Trưởng phòng HCTH</v>
      </c>
      <c r="E25" s="728" t="str">
        <f>IFERROR(__xludf.DUMMYFUNCTION("""COMPUTED_VALUE"""),"BO_COD")</f>
        <v>BO_COD</v>
      </c>
      <c r="F25" s="728">
        <f>IFERROR(__xludf.DUMMYFUNCTION("""COMPUTED_VALUE"""),2.0)</f>
        <v>2</v>
      </c>
      <c r="G25" s="728" t="str">
        <f>IFERROR(__xludf.DUMMYFUNCTION("""COMPUTED_VALUE"""),"BO")</f>
        <v>BO</v>
      </c>
      <c r="H25" s="728" t="str">
        <f>IFERROR(__xludf.DUMMYFUNCTION("""COMPUTED_VALUE"""),"TPP/ Trưởng ban")</f>
        <v>TPP/ Trưởng ban</v>
      </c>
      <c r="I25" s="728" t="str">
        <f>IFERROR(__xludf.DUMMYFUNCTION("""COMPUTED_VALUE"""),"L00")</f>
        <v>L00</v>
      </c>
      <c r="J25" s="728" t="str">
        <f>IFERROR(__xludf.DUMMYFUNCTION("""COMPUTED_VALUE"""),"Công ty cổ phần MISA")</f>
        <v>Công ty cổ phần MISA</v>
      </c>
      <c r="K25" s="729"/>
      <c r="L25" s="728" t="str">
        <f>IFERROR(__xludf.DUMMYFUNCTION("""COMPUTED_VALUE"""),"Đang theo dõi")</f>
        <v>Đang theo dõi</v>
      </c>
      <c r="M25" s="729"/>
      <c r="N25" s="728" t="str">
        <f>IFERROR(__xludf.DUMMYFUNCTION("""COMPUTED_VALUE"""),"giữ nguyên")</f>
        <v>giữ nguyên</v>
      </c>
      <c r="O25" s="708"/>
      <c r="P25" s="708"/>
      <c r="Q25" s="708"/>
      <c r="R25" s="708"/>
      <c r="S25" s="708"/>
      <c r="T25" s="708"/>
      <c r="U25" s="708"/>
      <c r="V25" s="708"/>
      <c r="W25" s="708"/>
      <c r="X25" s="708"/>
      <c r="Y25" s="708"/>
      <c r="Z25" s="708"/>
      <c r="AA25" s="708"/>
      <c r="AB25" s="708"/>
      <c r="AC25" s="708"/>
      <c r="AD25" s="708"/>
      <c r="AE25" s="708"/>
    </row>
    <row r="26">
      <c r="A26" s="727">
        <f>IFERROR(__xludf.DUMMYFUNCTION("""COMPUTED_VALUE"""),11.0)</f>
        <v>11</v>
      </c>
      <c r="B26" s="728" t="str">
        <f>IFERROR(__xludf.DUMMYFUNCTION("""COMPUTED_VALUE"""),"BO_AD_QA")</f>
        <v>BO_AD_QA</v>
      </c>
      <c r="C26" s="728" t="str">
        <f>IFERROR(__xludf.DUMMYFUNCTION("""COMPUTED_VALUE"""),"BO_AD_QA")</f>
        <v>BO_AD_QA</v>
      </c>
      <c r="D26" s="728" t="str">
        <f>IFERROR(__xludf.DUMMYFUNCTION("""COMPUTED_VALUE"""),"NV đảm bảo chất lượng")</f>
        <v>NV đảm bảo chất lượng</v>
      </c>
      <c r="E26" s="728" t="str">
        <f>IFERROR(__xludf.DUMMYFUNCTION("""COMPUTED_VALUE"""),"BO")</f>
        <v>BO</v>
      </c>
      <c r="F26" s="729"/>
      <c r="G26" s="728" t="str">
        <f>IFERROR(__xludf.DUMMYFUNCTION("""COMPUTED_VALUE"""),"BO")</f>
        <v>BO</v>
      </c>
      <c r="H26" s="728" t="str">
        <f>IFERROR(__xludf.DUMMYFUNCTION("""COMPUTED_VALUE"""),"Nhân viên/ Chuyên viên/ Chuyên gia")</f>
        <v>Nhân viên/ Chuyên viên/ Chuyên gia</v>
      </c>
      <c r="I26" s="728" t="str">
        <f>IFERROR(__xludf.DUMMYFUNCTION("""COMPUTED_VALUE"""),"L00")</f>
        <v>L00</v>
      </c>
      <c r="J26" s="728" t="str">
        <f>IFERROR(__xludf.DUMMYFUNCTION("""COMPUTED_VALUE"""),"Công ty cổ phần MISA")</f>
        <v>Công ty cổ phần MISA</v>
      </c>
      <c r="K26" s="729"/>
      <c r="L26" s="728" t="str">
        <f>IFERROR(__xludf.DUMMYFUNCTION("""COMPUTED_VALUE"""),"Đang theo dõi")</f>
        <v>Đang theo dõi</v>
      </c>
      <c r="M26" s="729"/>
      <c r="N26" s="728" t="str">
        <f>IFERROR(__xludf.DUMMYFUNCTION("""COMPUTED_VALUE"""),"giữ nguyên")</f>
        <v>giữ nguyên</v>
      </c>
      <c r="O26" s="708"/>
      <c r="P26" s="708"/>
      <c r="Q26" s="708"/>
      <c r="R26" s="708"/>
      <c r="S26" s="708"/>
      <c r="T26" s="708"/>
      <c r="U26" s="708"/>
      <c r="V26" s="708"/>
      <c r="W26" s="708"/>
      <c r="X26" s="708"/>
      <c r="Y26" s="708"/>
      <c r="Z26" s="708"/>
      <c r="AA26" s="708"/>
      <c r="AB26" s="708"/>
      <c r="AC26" s="708"/>
      <c r="AD26" s="708"/>
      <c r="AE26" s="708"/>
    </row>
    <row r="27">
      <c r="A27" s="727">
        <f>IFERROR(__xludf.DUMMYFUNCTION("""COMPUTED_VALUE"""),12.0)</f>
        <v>12</v>
      </c>
      <c r="B27" s="728" t="str">
        <f>IFERROR(__xludf.DUMMYFUNCTION("""COMPUTED_VALUE"""),"BO_AD_REC")</f>
        <v>BO_AD_REC</v>
      </c>
      <c r="C27" s="728" t="str">
        <f>IFERROR(__xludf.DUMMYFUNCTION("""COMPUTED_VALUE"""),"BO_AD_REC")</f>
        <v>BO_AD_REC</v>
      </c>
      <c r="D27" s="728" t="str">
        <f>IFERROR(__xludf.DUMMYFUNCTION("""COMPUTED_VALUE"""),"Nhân viên lễ tân")</f>
        <v>Nhân viên lễ tân</v>
      </c>
      <c r="E27" s="728" t="str">
        <f>IFERROR(__xludf.DUMMYFUNCTION("""COMPUTED_VALUE"""),"BO")</f>
        <v>BO</v>
      </c>
      <c r="F27" s="729"/>
      <c r="G27" s="728" t="str">
        <f>IFERROR(__xludf.DUMMYFUNCTION("""COMPUTED_VALUE"""),"BO")</f>
        <v>BO</v>
      </c>
      <c r="H27" s="728" t="str">
        <f>IFERROR(__xludf.DUMMYFUNCTION("""COMPUTED_VALUE"""),"Nhân viên/ Chuyên viên/ Chuyên gia")</f>
        <v>Nhân viên/ Chuyên viên/ Chuyên gia</v>
      </c>
      <c r="I27" s="728" t="str">
        <f>IFERROR(__xludf.DUMMYFUNCTION("""COMPUTED_VALUE"""),"L00")</f>
        <v>L00</v>
      </c>
      <c r="J27" s="728" t="str">
        <f>IFERROR(__xludf.DUMMYFUNCTION("""COMPUTED_VALUE"""),"Công ty cổ phần MISA")</f>
        <v>Công ty cổ phần MISA</v>
      </c>
      <c r="K27" s="729"/>
      <c r="L27" s="728" t="str">
        <f>IFERROR(__xludf.DUMMYFUNCTION("""COMPUTED_VALUE"""),"Đang theo dõi")</f>
        <v>Đang theo dõi</v>
      </c>
      <c r="M27" s="729"/>
      <c r="N27" s="728" t="str">
        <f>IFERROR(__xludf.DUMMYFUNCTION("""COMPUTED_VALUE"""),"giữ nguyên")</f>
        <v>giữ nguyên</v>
      </c>
      <c r="O27" s="708"/>
      <c r="P27" s="708"/>
      <c r="Q27" s="708"/>
      <c r="R27" s="708"/>
      <c r="S27" s="708"/>
      <c r="T27" s="708"/>
      <c r="U27" s="708"/>
      <c r="V27" s="708"/>
      <c r="W27" s="708"/>
      <c r="X27" s="708"/>
      <c r="Y27" s="708"/>
      <c r="Z27" s="708"/>
      <c r="AA27" s="708"/>
      <c r="AB27" s="708"/>
      <c r="AC27" s="708"/>
      <c r="AD27" s="708"/>
      <c r="AE27" s="708"/>
    </row>
    <row r="28">
      <c r="A28" s="727">
        <f>IFERROR(__xludf.DUMMYFUNCTION("""COMPUTED_VALUE"""),13.0)</f>
        <v>13</v>
      </c>
      <c r="B28" s="728" t="str">
        <f>IFERROR(__xludf.DUMMYFUNCTION("""COMPUTED_VALUE"""),"BO_AD_SAD")</f>
        <v>BO_AD_SAD</v>
      </c>
      <c r="C28" s="728" t="str">
        <f>IFERROR(__xludf.DUMMYFUNCTION("""COMPUTED_VALUE"""),"BO_AD_SAD")</f>
        <v>BO_AD_SAD</v>
      </c>
      <c r="D28" s="728" t="str">
        <f>IFERROR(__xludf.DUMMYFUNCTION("""COMPUTED_VALUE"""),"NV Quản trị mạng")</f>
        <v>NV Quản trị mạng</v>
      </c>
      <c r="E28" s="728" t="str">
        <f>IFERROR(__xludf.DUMMYFUNCTION("""COMPUTED_VALUE"""),"BO")</f>
        <v>BO</v>
      </c>
      <c r="F28" s="729"/>
      <c r="G28" s="728" t="str">
        <f>IFERROR(__xludf.DUMMYFUNCTION("""COMPUTED_VALUE"""),"BO")</f>
        <v>BO</v>
      </c>
      <c r="H28" s="728" t="str">
        <f>IFERROR(__xludf.DUMMYFUNCTION("""COMPUTED_VALUE"""),"Nhân viên/ Chuyên viên/ Chuyên gia")</f>
        <v>Nhân viên/ Chuyên viên/ Chuyên gia</v>
      </c>
      <c r="I28" s="728" t="str">
        <f>IFERROR(__xludf.DUMMYFUNCTION("""COMPUTED_VALUE"""),"L00")</f>
        <v>L00</v>
      </c>
      <c r="J28" s="728" t="str">
        <f>IFERROR(__xludf.DUMMYFUNCTION("""COMPUTED_VALUE"""),"Công ty cổ phần MISA")</f>
        <v>Công ty cổ phần MISA</v>
      </c>
      <c r="K28" s="729"/>
      <c r="L28" s="728" t="str">
        <f>IFERROR(__xludf.DUMMYFUNCTION("""COMPUTED_VALUE"""),"Đang theo dõi")</f>
        <v>Đang theo dõi</v>
      </c>
      <c r="M28" s="729"/>
      <c r="N28" s="728" t="str">
        <f>IFERROR(__xludf.DUMMYFUNCTION("""COMPUTED_VALUE"""),"giữ nguyên")</f>
        <v>giữ nguyên</v>
      </c>
      <c r="O28" s="708"/>
      <c r="P28" s="708"/>
      <c r="Q28" s="708"/>
      <c r="R28" s="708"/>
      <c r="S28" s="708"/>
      <c r="T28" s="708"/>
      <c r="U28" s="708"/>
      <c r="V28" s="708"/>
      <c r="W28" s="708"/>
      <c r="X28" s="708"/>
      <c r="Y28" s="708"/>
      <c r="Z28" s="708"/>
      <c r="AA28" s="708"/>
      <c r="AB28" s="708"/>
      <c r="AC28" s="708"/>
      <c r="AD28" s="708"/>
      <c r="AE28" s="708"/>
    </row>
    <row r="29">
      <c r="A29" s="727">
        <f>IFERROR(__xludf.DUMMYFUNCTION("""COMPUTED_VALUE"""),14.0)</f>
        <v>14</v>
      </c>
      <c r="B29" s="728" t="str">
        <f>IFERROR(__xludf.DUMMYFUNCTION("""COMPUTED_VALUE"""),"BO_AD_SEC")</f>
        <v>BO_AD_SEC</v>
      </c>
      <c r="C29" s="728" t="str">
        <f>IFERROR(__xludf.DUMMYFUNCTION("""COMPUTED_VALUE"""),"BO_AD_SEC")</f>
        <v>BO_AD_SEC</v>
      </c>
      <c r="D29" s="728" t="str">
        <f>IFERROR(__xludf.DUMMYFUNCTION("""COMPUTED_VALUE"""),"NV bảo vệ")</f>
        <v>NV bảo vệ</v>
      </c>
      <c r="E29" s="728" t="str">
        <f>IFERROR(__xludf.DUMMYFUNCTION("""COMPUTED_VALUE"""),"BO")</f>
        <v>BO</v>
      </c>
      <c r="F29" s="729"/>
      <c r="G29" s="728" t="str">
        <f>IFERROR(__xludf.DUMMYFUNCTION("""COMPUTED_VALUE"""),"BO")</f>
        <v>BO</v>
      </c>
      <c r="H29" s="728" t="str">
        <f>IFERROR(__xludf.DUMMYFUNCTION("""COMPUTED_VALUE"""),"Nhân viên/ Chuyên viên/ Chuyên gia")</f>
        <v>Nhân viên/ Chuyên viên/ Chuyên gia</v>
      </c>
      <c r="I29" s="728" t="str">
        <f>IFERROR(__xludf.DUMMYFUNCTION("""COMPUTED_VALUE"""),"L00")</f>
        <v>L00</v>
      </c>
      <c r="J29" s="728" t="str">
        <f>IFERROR(__xludf.DUMMYFUNCTION("""COMPUTED_VALUE"""),"Công ty cổ phần MISA")</f>
        <v>Công ty cổ phần MISA</v>
      </c>
      <c r="K29" s="729"/>
      <c r="L29" s="728" t="str">
        <f>IFERROR(__xludf.DUMMYFUNCTION("""COMPUTED_VALUE"""),"Đang theo dõi")</f>
        <v>Đang theo dõi</v>
      </c>
      <c r="M29" s="729"/>
      <c r="N29" s="728" t="str">
        <f>IFERROR(__xludf.DUMMYFUNCTION("""COMPUTED_VALUE"""),"giữ nguyên")</f>
        <v>giữ nguyên</v>
      </c>
      <c r="O29" s="708"/>
      <c r="P29" s="708"/>
      <c r="Q29" s="708"/>
      <c r="R29" s="708"/>
      <c r="S29" s="708"/>
      <c r="T29" s="708"/>
      <c r="U29" s="708"/>
      <c r="V29" s="708"/>
      <c r="W29" s="708"/>
      <c r="X29" s="708"/>
      <c r="Y29" s="708"/>
      <c r="Z29" s="708"/>
      <c r="AA29" s="708"/>
      <c r="AB29" s="708"/>
      <c r="AC29" s="708"/>
      <c r="AD29" s="708"/>
      <c r="AE29" s="708"/>
    </row>
    <row r="30">
      <c r="A30" s="727">
        <f>IFERROR(__xludf.DUMMYFUNCTION("""COMPUTED_VALUE"""),15.0)</f>
        <v>15</v>
      </c>
      <c r="B30" s="728" t="str">
        <f>IFERROR(__xludf.DUMMYFUNCTION("""COMPUTED_VALUE"""),"BO_AD_SECR")</f>
        <v>BO_AD_SECR</v>
      </c>
      <c r="C30" s="728" t="str">
        <f>IFERROR(__xludf.DUMMYFUNCTION("""COMPUTED_VALUE"""),"BO_AD_SECR")</f>
        <v>BO_AD_SECR</v>
      </c>
      <c r="D30" s="728" t="str">
        <f>IFERROR(__xludf.DUMMYFUNCTION("""COMPUTED_VALUE"""),"Thư ký chủ tịch HĐQT")</f>
        <v>Thư ký chủ tịch HĐQT</v>
      </c>
      <c r="E30" s="728" t="str">
        <f>IFERROR(__xludf.DUMMYFUNCTION("""COMPUTED_VALUE"""),"BO")</f>
        <v>BO</v>
      </c>
      <c r="F30" s="729"/>
      <c r="G30" s="728" t="str">
        <f>IFERROR(__xludf.DUMMYFUNCTION("""COMPUTED_VALUE"""),"BO")</f>
        <v>BO</v>
      </c>
      <c r="H30" s="728" t="str">
        <f>IFERROR(__xludf.DUMMYFUNCTION("""COMPUTED_VALUE"""),"Nhân viên/ Chuyên viên/ Chuyên gia")</f>
        <v>Nhân viên/ Chuyên viên/ Chuyên gia</v>
      </c>
      <c r="I30" s="728" t="str">
        <f>IFERROR(__xludf.DUMMYFUNCTION("""COMPUTED_VALUE"""),"L00")</f>
        <v>L00</v>
      </c>
      <c r="J30" s="728" t="str">
        <f>IFERROR(__xludf.DUMMYFUNCTION("""COMPUTED_VALUE"""),"Công ty cổ phần MISA")</f>
        <v>Công ty cổ phần MISA</v>
      </c>
      <c r="K30" s="729"/>
      <c r="L30" s="728" t="str">
        <f>IFERROR(__xludf.DUMMYFUNCTION("""COMPUTED_VALUE"""),"Đang theo dõi")</f>
        <v>Đang theo dõi</v>
      </c>
      <c r="M30" s="729"/>
      <c r="N30" s="728" t="str">
        <f>IFERROR(__xludf.DUMMYFUNCTION("""COMPUTED_VALUE"""),"giữ nguyên")</f>
        <v>giữ nguyên</v>
      </c>
      <c r="O30" s="708"/>
      <c r="P30" s="708"/>
      <c r="Q30" s="708"/>
      <c r="R30" s="708"/>
      <c r="S30" s="708"/>
      <c r="T30" s="708"/>
      <c r="U30" s="708"/>
      <c r="V30" s="708"/>
      <c r="W30" s="708"/>
      <c r="X30" s="708"/>
      <c r="Y30" s="708"/>
      <c r="Z30" s="708"/>
      <c r="AA30" s="708"/>
      <c r="AB30" s="708"/>
      <c r="AC30" s="708"/>
      <c r="AD30" s="708"/>
      <c r="AE30" s="708"/>
    </row>
    <row r="31">
      <c r="A31" s="727">
        <f>IFERROR(__xludf.DUMMYFUNCTION("""COMPUTED_VALUE"""),16.0)</f>
        <v>16</v>
      </c>
      <c r="B31" s="728" t="str">
        <f>IFERROR(__xludf.DUMMYFUNCTION("""COMPUTED_VALUE"""),"BO_AD_TRA")</f>
        <v>BO_AD_TRA</v>
      </c>
      <c r="C31" s="728" t="str">
        <f>IFERROR(__xludf.DUMMYFUNCTION("""COMPUTED_VALUE"""),"BO_AD_TRA")</f>
        <v>BO_AD_TRA</v>
      </c>
      <c r="D31" s="728" t="str">
        <f>IFERROR(__xludf.DUMMYFUNCTION("""COMPUTED_VALUE"""),"Biên dịch viên")</f>
        <v>Biên dịch viên</v>
      </c>
      <c r="E31" s="728" t="str">
        <f>IFERROR(__xludf.DUMMYFUNCTION("""COMPUTED_VALUE"""),"BO")</f>
        <v>BO</v>
      </c>
      <c r="F31" s="729"/>
      <c r="G31" s="728" t="str">
        <f>IFERROR(__xludf.DUMMYFUNCTION("""COMPUTED_VALUE"""),"BO")</f>
        <v>BO</v>
      </c>
      <c r="H31" s="728" t="str">
        <f>IFERROR(__xludf.DUMMYFUNCTION("""COMPUTED_VALUE"""),"Nhân viên/ Chuyên viên/ Chuyên gia")</f>
        <v>Nhân viên/ Chuyên viên/ Chuyên gia</v>
      </c>
      <c r="I31" s="728" t="str">
        <f>IFERROR(__xludf.DUMMYFUNCTION("""COMPUTED_VALUE"""),"L00")</f>
        <v>L00</v>
      </c>
      <c r="J31" s="728" t="str">
        <f>IFERROR(__xludf.DUMMYFUNCTION("""COMPUTED_VALUE"""),"Công ty cổ phần MISA")</f>
        <v>Công ty cổ phần MISA</v>
      </c>
      <c r="K31" s="729"/>
      <c r="L31" s="728" t="str">
        <f>IFERROR(__xludf.DUMMYFUNCTION("""COMPUTED_VALUE"""),"Đang theo dõi")</f>
        <v>Đang theo dõi</v>
      </c>
      <c r="M31" s="729"/>
      <c r="N31" s="728" t="str">
        <f>IFERROR(__xludf.DUMMYFUNCTION("""COMPUTED_VALUE"""),"giữ nguyên")</f>
        <v>giữ nguyên</v>
      </c>
      <c r="O31" s="708"/>
      <c r="P31" s="708"/>
      <c r="Q31" s="708"/>
      <c r="R31" s="708"/>
      <c r="S31" s="708"/>
      <c r="T31" s="708"/>
      <c r="U31" s="708"/>
      <c r="V31" s="708"/>
      <c r="W31" s="708"/>
      <c r="X31" s="708"/>
      <c r="Y31" s="708"/>
      <c r="Z31" s="708"/>
      <c r="AA31" s="708"/>
      <c r="AB31" s="708"/>
      <c r="AC31" s="708"/>
      <c r="AD31" s="708"/>
      <c r="AE31" s="708"/>
    </row>
    <row r="32">
      <c r="A32" s="727">
        <f>IFERROR(__xludf.DUMMYFUNCTION("""COMPUTED_VALUE"""),17.0)</f>
        <v>17</v>
      </c>
      <c r="B32" s="731" t="str">
        <f>IFERROR(__xludf.DUMMYFUNCTION("""COMPUTED_VALUE"""),"BO_AD_TSP")</f>
        <v>BO_AD_TSP</v>
      </c>
      <c r="C32" s="731" t="str">
        <f>IFERROR(__xludf.DUMMYFUNCTION("""COMPUTED_VALUE"""),"BO_AD_TSP")</f>
        <v>BO_AD_TSP</v>
      </c>
      <c r="D32" s="731" t="str">
        <f>IFERROR(__xludf.DUMMYFUNCTION("""COMPUTED_VALUE"""),"NV Hỗ trợ kỹ thuật")</f>
        <v>NV Hỗ trợ kỹ thuật</v>
      </c>
      <c r="E32" s="731" t="str">
        <f>IFERROR(__xludf.DUMMYFUNCTION("""COMPUTED_VALUE"""),"BO")</f>
        <v>BO</v>
      </c>
      <c r="F32" s="729"/>
      <c r="G32" s="731" t="str">
        <f>IFERROR(__xludf.DUMMYFUNCTION("""COMPUTED_VALUE"""),"BO")</f>
        <v>BO</v>
      </c>
      <c r="H32" s="731" t="str">
        <f>IFERROR(__xludf.DUMMYFUNCTION("""COMPUTED_VALUE"""),"Nhân viên/ Chuyên viên/ Chuyên gia")</f>
        <v>Nhân viên/ Chuyên viên/ Chuyên gia</v>
      </c>
      <c r="I32" s="729"/>
      <c r="J32" s="731" t="str">
        <f>IFERROR(__xludf.DUMMYFUNCTION("""COMPUTED_VALUE"""),"Công ty cổ phần MISA")</f>
        <v>Công ty cổ phần MISA</v>
      </c>
      <c r="K32" s="729"/>
      <c r="L32" s="731" t="str">
        <f>IFERROR(__xludf.DUMMYFUNCTION("""COMPUTED_VALUE"""),"Ngừng")</f>
        <v>Ngừng</v>
      </c>
      <c r="M32" s="731" t="str">
        <f>IFERROR(__xludf.DUMMYFUNCTION("""COMPUTED_VALUE"""),"ko còn vị trí này")</f>
        <v>ko còn vị trí này</v>
      </c>
      <c r="N32" s="728" t="str">
        <f>IFERROR(__xludf.DUMMYFUNCTION("""COMPUTED_VALUE"""),"ngừng")</f>
        <v>ngừng</v>
      </c>
      <c r="O32" s="720"/>
      <c r="P32" s="708"/>
      <c r="Q32" s="708"/>
      <c r="R32" s="708"/>
      <c r="S32" s="708"/>
      <c r="T32" s="708"/>
      <c r="U32" s="708"/>
      <c r="V32" s="708"/>
      <c r="W32" s="708"/>
      <c r="X32" s="708"/>
      <c r="Y32" s="708"/>
      <c r="Z32" s="708"/>
      <c r="AA32" s="708"/>
      <c r="AB32" s="708"/>
      <c r="AC32" s="708"/>
      <c r="AD32" s="708"/>
      <c r="AE32" s="708"/>
    </row>
    <row r="33">
      <c r="A33" s="727">
        <f>IFERROR(__xludf.DUMMYFUNCTION("""COMPUTED_VALUE"""),18.0)</f>
        <v>18</v>
      </c>
      <c r="B33" s="731" t="str">
        <f>IFERROR(__xludf.DUMMYFUNCTION("""COMPUTED_VALUE"""),"BO_BD")</f>
        <v>BO_BD</v>
      </c>
      <c r="C33" s="731" t="str">
        <f>IFERROR(__xludf.DUMMYFUNCTION("""COMPUTED_VALUE"""),"BO_BD")</f>
        <v>BO_BD</v>
      </c>
      <c r="D33" s="731" t="str">
        <f>IFERROR(__xludf.DUMMYFUNCTION("""COMPUTED_VALUE"""),"NV phát triển kinh doanh")</f>
        <v>NV phát triển kinh doanh</v>
      </c>
      <c r="E33" s="731" t="str">
        <f>IFERROR(__xludf.DUMMYFUNCTION("""COMPUTED_VALUE"""),"BO")</f>
        <v>BO</v>
      </c>
      <c r="F33" s="729"/>
      <c r="G33" s="731" t="str">
        <f>IFERROR(__xludf.DUMMYFUNCTION("""COMPUTED_VALUE"""),"BO")</f>
        <v>BO</v>
      </c>
      <c r="H33" s="731" t="str">
        <f>IFERROR(__xludf.DUMMYFUNCTION("""COMPUTED_VALUE"""),"Nhân viên/ Chuyên viên/ Chuyên gia")</f>
        <v>Nhân viên/ Chuyên viên/ Chuyên gia</v>
      </c>
      <c r="I33" s="729"/>
      <c r="J33" s="731" t="str">
        <f>IFERROR(__xludf.DUMMYFUNCTION("""COMPUTED_VALUE"""),"Công ty cổ phần MISA")</f>
        <v>Công ty cổ phần MISA</v>
      </c>
      <c r="K33" s="729"/>
      <c r="L33" s="731" t="str">
        <f>IFERROR(__xludf.DUMMYFUNCTION("""COMPUTED_VALUE"""),"Ngừng")</f>
        <v>Ngừng</v>
      </c>
      <c r="M33" s="731" t="str">
        <f>IFERROR(__xludf.DUMMYFUNCTION("""COMPUTED_VALUE"""),"ko còn vị trí này nữa, chuyển thành nhân viên hợp tác đào tạo")</f>
        <v>ko còn vị trí này nữa, chuyển thành nhân viên hợp tác đào tạo</v>
      </c>
      <c r="N33" s="728" t="str">
        <f>IFERROR(__xludf.DUMMYFUNCTION("""COMPUTED_VALUE"""),"ngừng")</f>
        <v>ngừng</v>
      </c>
      <c r="O33" s="729"/>
      <c r="P33" s="708"/>
      <c r="Q33" s="708"/>
      <c r="R33" s="708"/>
      <c r="S33" s="708"/>
      <c r="T33" s="708"/>
      <c r="U33" s="708"/>
      <c r="V33" s="708"/>
      <c r="W33" s="708"/>
      <c r="X33" s="708"/>
      <c r="Y33" s="708"/>
      <c r="Z33" s="708"/>
      <c r="AA33" s="708"/>
      <c r="AB33" s="708"/>
      <c r="AC33" s="708"/>
      <c r="AD33" s="708"/>
      <c r="AE33" s="708"/>
    </row>
    <row r="34">
      <c r="A34" s="727">
        <f>IFERROR(__xludf.DUMMYFUNCTION("""COMPUTED_VALUE"""),19.0)</f>
        <v>19</v>
      </c>
      <c r="B34" s="731" t="str">
        <f>IFERROR(__xludf.DUMMYFUNCTION("""COMPUTED_VALUE"""),"BO_BD_A.DDT")</f>
        <v>BO_BD_A.DDT</v>
      </c>
      <c r="C34" s="731" t="str">
        <f>IFERROR(__xludf.DUMMYFUNCTION("""COMPUTED_VALUE"""),"BO_BD_A.DDT")</f>
        <v>BO_BD_A.DDT</v>
      </c>
      <c r="D34" s="731" t="str">
        <f>IFERROR(__xludf.DUMMYFUNCTION("""COMPUTED_VALUE"""),"Q. GĐKD Chuyển đổi số")</f>
        <v>Q. GĐKD Chuyển đổi số</v>
      </c>
      <c r="E34" s="731" t="str">
        <f>IFERROR(__xludf.DUMMYFUNCTION("""COMPUTED_VALUE"""),"BO_COD")</f>
        <v>BO_COD</v>
      </c>
      <c r="F34" s="731">
        <f>IFERROR(__xludf.DUMMYFUNCTION("""COMPUTED_VALUE"""),2.0)</f>
        <v>2</v>
      </c>
      <c r="G34" s="731" t="str">
        <f>IFERROR(__xludf.DUMMYFUNCTION("""COMPUTED_VALUE"""),"BO")</f>
        <v>BO</v>
      </c>
      <c r="H34" s="731" t="str">
        <f>IFERROR(__xludf.DUMMYFUNCTION("""COMPUTED_VALUE"""),"TPP/ Trưởng ban")</f>
        <v>TPP/ Trưởng ban</v>
      </c>
      <c r="I34" s="729"/>
      <c r="J34" s="731" t="str">
        <f>IFERROR(__xludf.DUMMYFUNCTION("""COMPUTED_VALUE"""),"Công ty cổ phần MISA")</f>
        <v>Công ty cổ phần MISA</v>
      </c>
      <c r="K34" s="729"/>
      <c r="L34" s="731" t="str">
        <f>IFERROR(__xludf.DUMMYFUNCTION("""COMPUTED_VALUE"""),"Ngừng")</f>
        <v>Ngừng</v>
      </c>
      <c r="M34" s="731" t="str">
        <f>IFERROR(__xludf.DUMMYFUNCTION("""COMPUTED_VALUE"""),"ko còn vị trí này")</f>
        <v>ko còn vị trí này</v>
      </c>
      <c r="N34" s="728" t="str">
        <f>IFERROR(__xludf.DUMMYFUNCTION("""COMPUTED_VALUE"""),"ngừng")</f>
        <v>ngừng</v>
      </c>
      <c r="O34" s="720"/>
      <c r="P34" s="708"/>
      <c r="Q34" s="708"/>
      <c r="R34" s="708"/>
      <c r="S34" s="708"/>
      <c r="T34" s="708"/>
      <c r="U34" s="708"/>
      <c r="V34" s="708"/>
      <c r="W34" s="708"/>
      <c r="X34" s="708"/>
      <c r="Y34" s="708"/>
      <c r="Z34" s="708"/>
      <c r="AA34" s="708"/>
      <c r="AB34" s="708"/>
      <c r="AC34" s="708"/>
      <c r="AD34" s="708"/>
      <c r="AE34" s="708"/>
    </row>
    <row r="35">
      <c r="A35" s="727">
        <f>IFERROR(__xludf.DUMMYFUNCTION("""COMPUTED_VALUE"""),20.0)</f>
        <v>20</v>
      </c>
      <c r="B35" s="731" t="str">
        <f>IFERROR(__xludf.DUMMYFUNCTION("""COMPUTED_VALUE"""),"BO_BD_A.MGR")</f>
        <v>BO_BD_A.MGR</v>
      </c>
      <c r="C35" s="731" t="str">
        <f>IFERROR(__xludf.DUMMYFUNCTION("""COMPUTED_VALUE"""),"BO_BD_A.MGR")</f>
        <v>BO_BD_A.MGR</v>
      </c>
      <c r="D35" s="731" t="str">
        <f>IFERROR(__xludf.DUMMYFUNCTION("""COMPUTED_VALUE"""),"Q. Trưởng ban PTKD")</f>
        <v>Q. Trưởng ban PTKD</v>
      </c>
      <c r="E35" s="731" t="str">
        <f>IFERROR(__xludf.DUMMYFUNCTION("""COMPUTED_VALUE"""),"BO_COD")</f>
        <v>BO_COD</v>
      </c>
      <c r="F35" s="731">
        <f>IFERROR(__xludf.DUMMYFUNCTION("""COMPUTED_VALUE"""),2.0)</f>
        <v>2</v>
      </c>
      <c r="G35" s="731" t="str">
        <f>IFERROR(__xludf.DUMMYFUNCTION("""COMPUTED_VALUE"""),"BO")</f>
        <v>BO</v>
      </c>
      <c r="H35" s="731" t="str">
        <f>IFERROR(__xludf.DUMMYFUNCTION("""COMPUTED_VALUE"""),"TPP/ Trưởng ban")</f>
        <v>TPP/ Trưởng ban</v>
      </c>
      <c r="I35" s="729"/>
      <c r="J35" s="731" t="str">
        <f>IFERROR(__xludf.DUMMYFUNCTION("""COMPUTED_VALUE"""),"Công ty cổ phần MISA")</f>
        <v>Công ty cổ phần MISA</v>
      </c>
      <c r="K35" s="729"/>
      <c r="L35" s="731" t="str">
        <f>IFERROR(__xludf.DUMMYFUNCTION("""COMPUTED_VALUE"""),"Ngừng")</f>
        <v>Ngừng</v>
      </c>
      <c r="M35" s="731" t="str">
        <f>IFERROR(__xludf.DUMMYFUNCTION("""COMPUTED_VALUE"""),"ko còn vị trí này nữa, chuyển thành Trưởng ban hợp tác đào tạo")</f>
        <v>ko còn vị trí này nữa, chuyển thành Trưởng ban hợp tác đào tạo</v>
      </c>
      <c r="N35" s="728" t="str">
        <f>IFERROR(__xludf.DUMMYFUNCTION("""COMPUTED_VALUE"""),"ngừng")</f>
        <v>ngừng</v>
      </c>
      <c r="O35" s="729"/>
      <c r="P35" s="708"/>
      <c r="Q35" s="708"/>
      <c r="R35" s="708"/>
      <c r="S35" s="708"/>
      <c r="T35" s="708"/>
      <c r="U35" s="708"/>
      <c r="V35" s="708"/>
      <c r="W35" s="708"/>
      <c r="X35" s="708"/>
      <c r="Y35" s="708"/>
      <c r="Z35" s="708"/>
      <c r="AA35" s="708"/>
      <c r="AB35" s="708"/>
      <c r="AC35" s="708"/>
      <c r="AD35" s="708"/>
      <c r="AE35" s="708"/>
    </row>
    <row r="36">
      <c r="A36" s="727">
        <f>IFERROR(__xludf.DUMMYFUNCTION("""COMPUTED_VALUE"""),21.0)</f>
        <v>21</v>
      </c>
      <c r="B36" s="731" t="str">
        <f>IFERROR(__xludf.DUMMYFUNCTION("""COMPUTED_VALUE"""),"BO_BD_DDT")</f>
        <v>BO_BD_DDT</v>
      </c>
      <c r="C36" s="731" t="str">
        <f>IFERROR(__xludf.DUMMYFUNCTION("""COMPUTED_VALUE"""),"BO_BD_DDT")</f>
        <v>BO_BD_DDT</v>
      </c>
      <c r="D36" s="731" t="str">
        <f>IFERROR(__xludf.DUMMYFUNCTION("""COMPUTED_VALUE"""),"GĐKD Chuyển đổi số")</f>
        <v>GĐKD Chuyển đổi số</v>
      </c>
      <c r="E36" s="731" t="str">
        <f>IFERROR(__xludf.DUMMYFUNCTION("""COMPUTED_VALUE"""),"BO_COD")</f>
        <v>BO_COD</v>
      </c>
      <c r="F36" s="731">
        <f>IFERROR(__xludf.DUMMYFUNCTION("""COMPUTED_VALUE"""),2.0)</f>
        <v>2</v>
      </c>
      <c r="G36" s="731" t="str">
        <f>IFERROR(__xludf.DUMMYFUNCTION("""COMPUTED_VALUE"""),"BO")</f>
        <v>BO</v>
      </c>
      <c r="H36" s="731" t="str">
        <f>IFERROR(__xludf.DUMMYFUNCTION("""COMPUTED_VALUE"""),"TPP/ Trưởng ban")</f>
        <v>TPP/ Trưởng ban</v>
      </c>
      <c r="I36" s="729"/>
      <c r="J36" s="731" t="str">
        <f>IFERROR(__xludf.DUMMYFUNCTION("""COMPUTED_VALUE"""),"Công ty cổ phần MISA")</f>
        <v>Công ty cổ phần MISA</v>
      </c>
      <c r="K36" s="729"/>
      <c r="L36" s="731" t="str">
        <f>IFERROR(__xludf.DUMMYFUNCTION("""COMPUTED_VALUE"""),"Ngừng")</f>
        <v>Ngừng</v>
      </c>
      <c r="M36" s="731" t="str">
        <f>IFERROR(__xludf.DUMMYFUNCTION("""COMPUTED_VALUE"""),"ko còn vị trí này")</f>
        <v>ko còn vị trí này</v>
      </c>
      <c r="N36" s="728" t="str">
        <f>IFERROR(__xludf.DUMMYFUNCTION("""COMPUTED_VALUE"""),"ngừng")</f>
        <v>ngừng</v>
      </c>
      <c r="O36" s="720"/>
      <c r="P36" s="708"/>
      <c r="Q36" s="708"/>
      <c r="R36" s="708"/>
      <c r="S36" s="708"/>
      <c r="T36" s="708"/>
      <c r="U36" s="708"/>
      <c r="V36" s="708"/>
      <c r="W36" s="708"/>
      <c r="X36" s="708"/>
      <c r="Y36" s="708"/>
      <c r="Z36" s="708"/>
      <c r="AA36" s="708"/>
      <c r="AB36" s="708"/>
      <c r="AC36" s="708"/>
      <c r="AD36" s="708"/>
      <c r="AE36" s="708"/>
    </row>
    <row r="37">
      <c r="A37" s="727">
        <f>IFERROR(__xludf.DUMMYFUNCTION("""COMPUTED_VALUE"""),22.0)</f>
        <v>22</v>
      </c>
      <c r="B37" s="731" t="str">
        <f>IFERROR(__xludf.DUMMYFUNCTION("""COMPUTED_VALUE"""),"BO_BD_MGR")</f>
        <v>BO_BD_MGR</v>
      </c>
      <c r="C37" s="731" t="str">
        <f>IFERROR(__xludf.DUMMYFUNCTION("""COMPUTED_VALUE"""),"BO_BD_MGR")</f>
        <v>BO_BD_MGR</v>
      </c>
      <c r="D37" s="731" t="str">
        <f>IFERROR(__xludf.DUMMYFUNCTION("""COMPUTED_VALUE"""),"Trưởng ban PTKD")</f>
        <v>Trưởng ban PTKD</v>
      </c>
      <c r="E37" s="731" t="str">
        <f>IFERROR(__xludf.DUMMYFUNCTION("""COMPUTED_VALUE"""),"BO_COD")</f>
        <v>BO_COD</v>
      </c>
      <c r="F37" s="731">
        <f>IFERROR(__xludf.DUMMYFUNCTION("""COMPUTED_VALUE"""),2.0)</f>
        <v>2</v>
      </c>
      <c r="G37" s="731" t="str">
        <f>IFERROR(__xludf.DUMMYFUNCTION("""COMPUTED_VALUE"""),"BO")</f>
        <v>BO</v>
      </c>
      <c r="H37" s="731" t="str">
        <f>IFERROR(__xludf.DUMMYFUNCTION("""COMPUTED_VALUE"""),"TPP/ Trưởng ban")</f>
        <v>TPP/ Trưởng ban</v>
      </c>
      <c r="I37" s="729"/>
      <c r="J37" s="731" t="str">
        <f>IFERROR(__xludf.DUMMYFUNCTION("""COMPUTED_VALUE"""),"Công ty cổ phần MISA")</f>
        <v>Công ty cổ phần MISA</v>
      </c>
      <c r="K37" s="729"/>
      <c r="L37" s="731" t="str">
        <f>IFERROR(__xludf.DUMMYFUNCTION("""COMPUTED_VALUE"""),"Ngừng")</f>
        <v>Ngừng</v>
      </c>
      <c r="M37" s="731" t="str">
        <f>IFERROR(__xludf.DUMMYFUNCTION("""COMPUTED_VALUE"""),"ko còn vị trí này nữa, chuyển thành Trưởng ban hợp tác đào tạo")</f>
        <v>ko còn vị trí này nữa, chuyển thành Trưởng ban hợp tác đào tạo</v>
      </c>
      <c r="N37" s="728" t="str">
        <f>IFERROR(__xludf.DUMMYFUNCTION("""COMPUTED_VALUE"""),"ngừng")</f>
        <v>ngừng</v>
      </c>
      <c r="O37" s="729"/>
      <c r="P37" s="708"/>
      <c r="Q37" s="708"/>
      <c r="R37" s="708"/>
      <c r="S37" s="708"/>
      <c r="T37" s="708"/>
      <c r="U37" s="708"/>
      <c r="V37" s="708"/>
      <c r="W37" s="708"/>
      <c r="X37" s="708"/>
      <c r="Y37" s="708"/>
      <c r="Z37" s="708"/>
      <c r="AA37" s="708"/>
      <c r="AB37" s="708"/>
      <c r="AC37" s="708"/>
      <c r="AD37" s="708"/>
      <c r="AE37" s="708"/>
    </row>
    <row r="38">
      <c r="A38" s="727">
        <f>IFERROR(__xludf.DUMMYFUNCTION("""COMPUTED_VALUE"""),23.0)</f>
        <v>23</v>
      </c>
      <c r="B38" s="728" t="str">
        <f>IFERROR(__xludf.DUMMYFUNCTION("""COMPUTED_VALUE"""),"BO_BD_PDR")</f>
        <v>BO_BD_PDR</v>
      </c>
      <c r="C38" s="728" t="str">
        <f>IFERROR(__xludf.DUMMYFUNCTION("""COMPUTED_VALUE"""),"BO_BD_PDR")</f>
        <v>BO_BD_PDR</v>
      </c>
      <c r="D38" s="728" t="str">
        <f>IFERROR(__xludf.DUMMYFUNCTION("""COMPUTED_VALUE"""),"NV phát triển đối tác")</f>
        <v>NV phát triển đối tác</v>
      </c>
      <c r="E38" s="728" t="str">
        <f>IFERROR(__xludf.DUMMYFUNCTION("""COMPUTED_VALUE"""),"BO")</f>
        <v>BO</v>
      </c>
      <c r="F38" s="729"/>
      <c r="G38" s="728" t="str">
        <f>IFERROR(__xludf.DUMMYFUNCTION("""COMPUTED_VALUE"""),"BO")</f>
        <v>BO</v>
      </c>
      <c r="H38" s="728" t="str">
        <f>IFERROR(__xludf.DUMMYFUNCTION("""COMPUTED_VALUE"""),"Nhân viên/ Chuyên viên/ Chuyên gia")</f>
        <v>Nhân viên/ Chuyên viên/ Chuyên gia</v>
      </c>
      <c r="I38" s="728" t="str">
        <f>IFERROR(__xludf.DUMMYFUNCTION("""COMPUTED_VALUE"""),"L00")</f>
        <v>L00</v>
      </c>
      <c r="J38" s="728" t="str">
        <f>IFERROR(__xludf.DUMMYFUNCTION("""COMPUTED_VALUE"""),"Công ty cổ phần MISA")</f>
        <v>Công ty cổ phần MISA</v>
      </c>
      <c r="K38" s="729"/>
      <c r="L38" s="728" t="str">
        <f>IFERROR(__xludf.DUMMYFUNCTION("""COMPUTED_VALUE"""),"Đang theo dõi")</f>
        <v>Đang theo dõi</v>
      </c>
      <c r="M38" s="729"/>
      <c r="N38" s="728" t="str">
        <f>IFERROR(__xludf.DUMMYFUNCTION("""COMPUTED_VALUE"""),"giữ nguyên")</f>
        <v>giữ nguyên</v>
      </c>
      <c r="O38" s="708"/>
      <c r="P38" s="708"/>
      <c r="Q38" s="708"/>
      <c r="R38" s="708"/>
      <c r="S38" s="708"/>
      <c r="T38" s="708"/>
      <c r="U38" s="708"/>
      <c r="V38" s="708"/>
      <c r="W38" s="708"/>
      <c r="X38" s="708"/>
      <c r="Y38" s="708"/>
      <c r="Z38" s="708"/>
      <c r="AA38" s="708"/>
      <c r="AB38" s="708"/>
      <c r="AC38" s="708"/>
      <c r="AD38" s="708"/>
      <c r="AE38" s="708"/>
    </row>
    <row r="39">
      <c r="A39" s="727">
        <f>IFERROR(__xludf.DUMMYFUNCTION("""COMPUTED_VALUE"""),24.0)</f>
        <v>24</v>
      </c>
      <c r="B39" s="731" t="str">
        <f>IFERROR(__xludf.DUMMYFUNCTION("""COMPUTED_VALUE"""),"BO_CCS_A.CSML")</f>
        <v>BO_CCS_A.CSML</v>
      </c>
      <c r="C39" s="731" t="str">
        <f>IFERROR(__xludf.DUMMYFUNCTION("""COMPUTED_VALUE"""),"BO_CCS_A.CSML")</f>
        <v>BO_CCS_A.CSML</v>
      </c>
      <c r="D39" s="731" t="str">
        <f>IFERROR(__xludf.DUMMYFUNCTION("""COMPUTED_VALUE"""),"Q. Trưởng nhóm CSKH")</f>
        <v>Q. Trưởng nhóm CSKH</v>
      </c>
      <c r="E39" s="731" t="str">
        <f>IFERROR(__xludf.DUMMYFUNCTION("""COMPUTED_VALUE"""),"CSML")</f>
        <v>CSML</v>
      </c>
      <c r="F39" s="731">
        <f>IFERROR(__xludf.DUMMYFUNCTION("""COMPUTED_VALUE"""),1.0)</f>
        <v>1</v>
      </c>
      <c r="G39" s="731" t="str">
        <f>IFERROR(__xludf.DUMMYFUNCTION("""COMPUTED_VALUE"""),"CCS")</f>
        <v>CCS</v>
      </c>
      <c r="H39" s="731" t="str">
        <f>IFERROR(__xludf.DUMMYFUNCTION("""COMPUTED_VALUE"""),"Q. Trưởng nhóm")</f>
        <v>Q. Trưởng nhóm</v>
      </c>
      <c r="I39" s="729"/>
      <c r="J39" s="731" t="str">
        <f>IFERROR(__xludf.DUMMYFUNCTION("""COMPUTED_VALUE"""),"Công ty cổ phần MISA")</f>
        <v>Công ty cổ phần MISA</v>
      </c>
      <c r="K39" s="729"/>
      <c r="L39" s="731" t="str">
        <f>IFERROR(__xludf.DUMMYFUNCTION("""COMPUTED_VALUE"""),"Ngừng")</f>
        <v>Ngừng</v>
      </c>
      <c r="M39" s="729"/>
      <c r="N39" s="728" t="str">
        <f>IFERROR(__xludf.DUMMYFUNCTION("""COMPUTED_VALUE"""),"ngừng")</f>
        <v>ngừng</v>
      </c>
      <c r="O39" s="708"/>
      <c r="P39" s="708"/>
      <c r="Q39" s="708"/>
      <c r="R39" s="708"/>
      <c r="S39" s="708"/>
      <c r="T39" s="708"/>
      <c r="U39" s="708"/>
      <c r="V39" s="708"/>
      <c r="W39" s="708"/>
      <c r="X39" s="708"/>
      <c r="Y39" s="708"/>
      <c r="Z39" s="708"/>
      <c r="AA39" s="708"/>
      <c r="AB39" s="708"/>
      <c r="AC39" s="708"/>
      <c r="AD39" s="708"/>
      <c r="AE39" s="708"/>
    </row>
    <row r="40">
      <c r="A40" s="727">
        <f>IFERROR(__xludf.DUMMYFUNCTION("""COMPUTED_VALUE"""),25.0)</f>
        <v>25</v>
      </c>
      <c r="B40" s="731" t="str">
        <f>IFERROR(__xludf.DUMMYFUNCTION("""COMPUTED_VALUE"""),"BO_CCS_A.CSMM")</f>
        <v>BO_CCS_A.CSMM</v>
      </c>
      <c r="C40" s="731" t="str">
        <f>IFERROR(__xludf.DUMMYFUNCTION("""COMPUTED_VALUE"""),"BO_CCS_A.CSMM")</f>
        <v>BO_CCS_A.CSMM</v>
      </c>
      <c r="D40" s="731" t="str">
        <f>IFERROR(__xludf.DUMMYFUNCTION("""COMPUTED_VALUE"""),"Q. Trưởng phòng CSKH")</f>
        <v>Q. Trưởng phòng CSKH</v>
      </c>
      <c r="E40" s="731" t="str">
        <f>IFERROR(__xludf.DUMMYFUNCTION("""COMPUTED_VALUE"""),"CSMM")</f>
        <v>CSMM</v>
      </c>
      <c r="F40" s="731">
        <f>IFERROR(__xludf.DUMMYFUNCTION("""COMPUTED_VALUE"""),2.0)</f>
        <v>2</v>
      </c>
      <c r="G40" s="731" t="str">
        <f>IFERROR(__xludf.DUMMYFUNCTION("""COMPUTED_VALUE"""),"CCS")</f>
        <v>CCS</v>
      </c>
      <c r="H40" s="731" t="str">
        <f>IFERROR(__xludf.DUMMYFUNCTION("""COMPUTED_VALUE"""),"TPP/ Trưởng ban")</f>
        <v>TPP/ Trưởng ban</v>
      </c>
      <c r="I40" s="729"/>
      <c r="J40" s="731" t="str">
        <f>IFERROR(__xludf.DUMMYFUNCTION("""COMPUTED_VALUE"""),"Công ty cổ phần MISA")</f>
        <v>Công ty cổ phần MISA</v>
      </c>
      <c r="K40" s="729"/>
      <c r="L40" s="731" t="str">
        <f>IFERROR(__xludf.DUMMYFUNCTION("""COMPUTED_VALUE"""),"Ngừng")</f>
        <v>Ngừng</v>
      </c>
      <c r="M40" s="729"/>
      <c r="N40" s="728" t="str">
        <f>IFERROR(__xludf.DUMMYFUNCTION("""COMPUTED_VALUE"""),"ngừng")</f>
        <v>ngừng</v>
      </c>
      <c r="O40" s="732"/>
      <c r="P40" s="732"/>
      <c r="Q40" s="732"/>
      <c r="R40" s="732"/>
      <c r="S40" s="732"/>
      <c r="T40" s="732"/>
      <c r="U40" s="732"/>
      <c r="V40" s="732"/>
      <c r="W40" s="732"/>
      <c r="X40" s="732"/>
      <c r="Y40" s="732"/>
      <c r="Z40" s="732"/>
      <c r="AA40" s="732"/>
      <c r="AB40" s="732"/>
      <c r="AC40" s="732"/>
      <c r="AD40" s="732"/>
      <c r="AE40" s="732"/>
    </row>
    <row r="41">
      <c r="A41" s="727">
        <f>IFERROR(__xludf.DUMMYFUNCTION("""COMPUTED_VALUE"""),26.0)</f>
        <v>26</v>
      </c>
      <c r="B41" s="731" t="str">
        <f>IFERROR(__xludf.DUMMYFUNCTION("""COMPUTED_VALUE"""),"BO_CCS_A.LEAD")</f>
        <v>BO_CCS_A.LEAD</v>
      </c>
      <c r="C41" s="731" t="str">
        <f>IFERROR(__xludf.DUMMYFUNCTION("""COMPUTED_VALUE"""),"BO_CCS_A.LEAD")</f>
        <v>BO_CCS_A.LEAD</v>
      </c>
      <c r="D41" s="731" t="str">
        <f>IFERROR(__xludf.DUMMYFUNCTION("""COMPUTED_VALUE"""),"Q. Trưởng nhóm Tư vấn &amp;HTK")</f>
        <v>Q. Trưởng nhóm Tư vấn &amp;HTK</v>
      </c>
      <c r="E41" s="731" t="str">
        <f>IFERROR(__xludf.DUMMYFUNCTION("""COMPUTED_VALUE"""),"CCS_LEAD")</f>
        <v>CCS_LEAD</v>
      </c>
      <c r="F41" s="731">
        <f>IFERROR(__xludf.DUMMYFUNCTION("""COMPUTED_VALUE"""),1.0)</f>
        <v>1</v>
      </c>
      <c r="G41" s="731" t="str">
        <f>IFERROR(__xludf.DUMMYFUNCTION("""COMPUTED_VALUE"""),"CCS")</f>
        <v>CCS</v>
      </c>
      <c r="H41" s="731" t="str">
        <f>IFERROR(__xludf.DUMMYFUNCTION("""COMPUTED_VALUE"""),"Trưởng nhóm")</f>
        <v>Trưởng nhóm</v>
      </c>
      <c r="I41" s="729"/>
      <c r="J41" s="731" t="str">
        <f>IFERROR(__xludf.DUMMYFUNCTION("""COMPUTED_VALUE"""),"Công ty cổ phần MISA")</f>
        <v>Công ty cổ phần MISA</v>
      </c>
      <c r="K41" s="731" t="str">
        <f>IFERROR(__xludf.DUMMYFUNCTION("""COMPUTED_VALUE"""),"P11-006-1 - Quyền trưởng nhóm Tư vấn &amp; hỗ trợ khác hàng")</f>
        <v>P11-006-1 - Quyền trưởng nhóm Tư vấn &amp; hỗ trợ khác hàng</v>
      </c>
      <c r="L41" s="731" t="str">
        <f>IFERROR(__xludf.DUMMYFUNCTION("""COMPUTED_VALUE"""),"Ngừng")</f>
        <v>Ngừng</v>
      </c>
      <c r="M41" s="729"/>
      <c r="N41" s="728" t="str">
        <f>IFERROR(__xludf.DUMMYFUNCTION("""COMPUTED_VALUE"""),"ngừng")</f>
        <v>ngừng</v>
      </c>
      <c r="O41" s="732"/>
      <c r="P41" s="732"/>
      <c r="Q41" s="732"/>
      <c r="R41" s="732"/>
      <c r="S41" s="732"/>
      <c r="T41" s="732"/>
      <c r="U41" s="732"/>
      <c r="V41" s="732"/>
      <c r="W41" s="732"/>
      <c r="X41" s="732"/>
      <c r="Y41" s="732"/>
      <c r="Z41" s="732"/>
      <c r="AA41" s="732"/>
      <c r="AB41" s="732"/>
      <c r="AC41" s="732"/>
      <c r="AD41" s="732"/>
      <c r="AE41" s="732"/>
    </row>
    <row r="42">
      <c r="A42" s="727">
        <f>IFERROR(__xludf.DUMMYFUNCTION("""COMPUTED_VALUE"""),27.0)</f>
        <v>27</v>
      </c>
      <c r="B42" s="731" t="str">
        <f>IFERROR(__xludf.DUMMYFUNCTION("""COMPUTED_VALUE"""),"BO_CCS_A.LEAD_COM")</f>
        <v>BO_CCS_A.LEAD_COM</v>
      </c>
      <c r="C42" s="731" t="str">
        <f>IFERROR(__xludf.DUMMYFUNCTION("""COMPUTED_VALUE"""),"BO_CCS_A.LEAD_COM")</f>
        <v>BO_CCS_A.LEAD_COM</v>
      </c>
      <c r="D42" s="731" t="str">
        <f>IFERROR(__xludf.DUMMYFUNCTION("""COMPUTED_VALUE"""),"Q. Trưởng nhóm Tư vấn cộng đồng")</f>
        <v>Q. Trưởng nhóm Tư vấn cộng đồng</v>
      </c>
      <c r="E42" s="731" t="str">
        <f>IFERROR(__xludf.DUMMYFUNCTION("""COMPUTED_VALUE"""),"CCS_LEAD")</f>
        <v>CCS_LEAD</v>
      </c>
      <c r="F42" s="731">
        <f>IFERROR(__xludf.DUMMYFUNCTION("""COMPUTED_VALUE"""),1.0)</f>
        <v>1</v>
      </c>
      <c r="G42" s="731" t="str">
        <f>IFERROR(__xludf.DUMMYFUNCTION("""COMPUTED_VALUE"""),"CCS")</f>
        <v>CCS</v>
      </c>
      <c r="H42" s="731" t="str">
        <f>IFERROR(__xludf.DUMMYFUNCTION("""COMPUTED_VALUE"""),"Trưởng nhóm")</f>
        <v>Trưởng nhóm</v>
      </c>
      <c r="I42" s="729"/>
      <c r="J42" s="731" t="str">
        <f>IFERROR(__xludf.DUMMYFUNCTION("""COMPUTED_VALUE"""),"Công ty cổ phần MISA")</f>
        <v>Công ty cổ phần MISA</v>
      </c>
      <c r="K42" s="729"/>
      <c r="L42" s="731" t="str">
        <f>IFERROR(__xludf.DUMMYFUNCTION("""COMPUTED_VALUE"""),"Ngừng")</f>
        <v>Ngừng</v>
      </c>
      <c r="M42" s="729"/>
      <c r="N42" s="728" t="str">
        <f>IFERROR(__xludf.DUMMYFUNCTION("""COMPUTED_VALUE"""),"ngừng")</f>
        <v>ngừng</v>
      </c>
      <c r="O42" s="732"/>
      <c r="P42" s="732"/>
      <c r="Q42" s="732"/>
      <c r="R42" s="732"/>
      <c r="S42" s="732"/>
      <c r="T42" s="732"/>
      <c r="U42" s="732"/>
      <c r="V42" s="732"/>
      <c r="W42" s="732"/>
      <c r="X42" s="732"/>
      <c r="Y42" s="732"/>
      <c r="Z42" s="732"/>
      <c r="AA42" s="732"/>
      <c r="AB42" s="732"/>
      <c r="AC42" s="732"/>
      <c r="AD42" s="732"/>
      <c r="AE42" s="732"/>
    </row>
    <row r="43">
      <c r="A43" s="727">
        <f>IFERROR(__xludf.DUMMYFUNCTION("""COMPUTED_VALUE"""),28.0)</f>
        <v>28</v>
      </c>
      <c r="B43" s="731" t="str">
        <f>IFERROR(__xludf.DUMMYFUNCTION("""COMPUTED_VALUE"""),"BO_CCS_A.LEAD_OTRN")</f>
        <v>BO_CCS_A.LEAD_OTRN</v>
      </c>
      <c r="C43" s="731" t="str">
        <f>IFERROR(__xludf.DUMMYFUNCTION("""COMPUTED_VALUE"""),"BO_CCS_A.LEAD_OTRN")</f>
        <v>BO_CCS_A.LEAD_OTRN</v>
      </c>
      <c r="D43" s="731" t="str">
        <f>IFERROR(__xludf.DUMMYFUNCTION("""COMPUTED_VALUE"""),"Q. Trưởng nhóm Tư vấn đào tạo trực tuyến")</f>
        <v>Q. Trưởng nhóm Tư vấn đào tạo trực tuyến</v>
      </c>
      <c r="E43" s="731" t="str">
        <f>IFERROR(__xludf.DUMMYFUNCTION("""COMPUTED_VALUE"""),"CCS_LEAD")</f>
        <v>CCS_LEAD</v>
      </c>
      <c r="F43" s="731">
        <f>IFERROR(__xludf.DUMMYFUNCTION("""COMPUTED_VALUE"""),1.0)</f>
        <v>1</v>
      </c>
      <c r="G43" s="731" t="str">
        <f>IFERROR(__xludf.DUMMYFUNCTION("""COMPUTED_VALUE"""),"CCS")</f>
        <v>CCS</v>
      </c>
      <c r="H43" s="731" t="str">
        <f>IFERROR(__xludf.DUMMYFUNCTION("""COMPUTED_VALUE"""),"Trưởng nhóm")</f>
        <v>Trưởng nhóm</v>
      </c>
      <c r="I43" s="729"/>
      <c r="J43" s="731" t="str">
        <f>IFERROR(__xludf.DUMMYFUNCTION("""COMPUTED_VALUE"""),"Công ty cổ phần MISA")</f>
        <v>Công ty cổ phần MISA</v>
      </c>
      <c r="K43" s="729"/>
      <c r="L43" s="731" t="str">
        <f>IFERROR(__xludf.DUMMYFUNCTION("""COMPUTED_VALUE"""),"Ngừng")</f>
        <v>Ngừng</v>
      </c>
      <c r="M43" s="729"/>
      <c r="N43" s="728" t="str">
        <f>IFERROR(__xludf.DUMMYFUNCTION("""COMPUTED_VALUE"""),"ngừng")</f>
        <v>ngừng</v>
      </c>
      <c r="O43" s="732"/>
      <c r="P43" s="732"/>
      <c r="Q43" s="732"/>
      <c r="R43" s="732"/>
      <c r="S43" s="732"/>
      <c r="T43" s="732"/>
      <c r="U43" s="732"/>
      <c r="V43" s="732"/>
      <c r="W43" s="732"/>
      <c r="X43" s="732"/>
      <c r="Y43" s="732"/>
      <c r="Z43" s="732"/>
      <c r="AA43" s="732"/>
      <c r="AB43" s="732"/>
      <c r="AC43" s="732"/>
      <c r="AD43" s="732"/>
      <c r="AE43" s="732"/>
    </row>
    <row r="44">
      <c r="A44" s="727">
        <f>IFERROR(__xludf.DUMMYFUNCTION("""COMPUTED_VALUE"""),29.0)</f>
        <v>29</v>
      </c>
      <c r="B44" s="731" t="str">
        <f>IFERROR(__xludf.DUMMYFUNCTION("""COMPUTED_VALUE"""),"BO_CCS_A.MGR")</f>
        <v>BO_CCS_A.MGR</v>
      </c>
      <c r="C44" s="731" t="str">
        <f>IFERROR(__xludf.DUMMYFUNCTION("""COMPUTED_VALUE"""),"BO_CCS_A.MGR")</f>
        <v>BO_CCS_A.MGR</v>
      </c>
      <c r="D44" s="731" t="str">
        <f>IFERROR(__xludf.DUMMYFUNCTION("""COMPUTED_VALUE"""),"Q. Trưởng phòng Tư vấn&amp;HTKH")</f>
        <v>Q. Trưởng phòng Tư vấn&amp;HTKH</v>
      </c>
      <c r="E44" s="731" t="str">
        <f>IFERROR(__xludf.DUMMYFUNCTION("""COMPUTED_VALUE"""),"CCS_COD")</f>
        <v>CCS_COD</v>
      </c>
      <c r="F44" s="731">
        <f>IFERROR(__xludf.DUMMYFUNCTION("""COMPUTED_VALUE"""),2.0)</f>
        <v>2</v>
      </c>
      <c r="G44" s="731" t="str">
        <f>IFERROR(__xludf.DUMMYFUNCTION("""COMPUTED_VALUE"""),"CCS")</f>
        <v>CCS</v>
      </c>
      <c r="H44" s="731" t="str">
        <f>IFERROR(__xludf.DUMMYFUNCTION("""COMPUTED_VALUE"""),"TPP/ Trưởng ban")</f>
        <v>TPP/ Trưởng ban</v>
      </c>
      <c r="I44" s="729"/>
      <c r="J44" s="731" t="str">
        <f>IFERROR(__xludf.DUMMYFUNCTION("""COMPUTED_VALUE"""),"Công ty cổ phần MISA")</f>
        <v>Công ty cổ phần MISA</v>
      </c>
      <c r="K44" s="729"/>
      <c r="L44" s="731" t="str">
        <f>IFERROR(__xludf.DUMMYFUNCTION("""COMPUTED_VALUE"""),"Ngừng")</f>
        <v>Ngừng</v>
      </c>
      <c r="M44" s="729"/>
      <c r="N44" s="728" t="str">
        <f>IFERROR(__xludf.DUMMYFUNCTION("""COMPUTED_VALUE"""),"ngừng")</f>
        <v>ngừng</v>
      </c>
      <c r="O44" s="732"/>
      <c r="P44" s="732"/>
      <c r="Q44" s="732"/>
      <c r="R44" s="732"/>
      <c r="S44" s="732"/>
      <c r="T44" s="732"/>
      <c r="U44" s="732"/>
      <c r="V44" s="732"/>
      <c r="W44" s="732"/>
      <c r="X44" s="732"/>
      <c r="Y44" s="732"/>
      <c r="Z44" s="732"/>
      <c r="AA44" s="732"/>
      <c r="AB44" s="732"/>
      <c r="AC44" s="732"/>
      <c r="AD44" s="732"/>
      <c r="AE44" s="732"/>
    </row>
    <row r="45">
      <c r="A45" s="727">
        <f>IFERROR(__xludf.DUMMYFUNCTION("""COMPUTED_VALUE"""),30.0)</f>
        <v>30</v>
      </c>
      <c r="B45" s="731" t="str">
        <f>IFERROR(__xludf.DUMMYFUNCTION("""COMPUTED_VALUE"""),"BO_CCS_A.MGR_ACTIV")</f>
        <v>BO_CCS_A.MGR_ACTIV</v>
      </c>
      <c r="C45" s="731" t="str">
        <f>IFERROR(__xludf.DUMMYFUNCTION("""COMPUTED_VALUE"""),"BO_CCS_A.MGR_ACTIV")</f>
        <v>BO_CCS_A.MGR_ACTIV</v>
      </c>
      <c r="D45" s="731" t="str">
        <f>IFERROR(__xludf.DUMMYFUNCTION("""COMPUTED_VALUE"""),"Q. Trưởng phòng Tư vấn chủ động")</f>
        <v>Q. Trưởng phòng Tư vấn chủ động</v>
      </c>
      <c r="E45" s="731" t="str">
        <f>IFERROR(__xludf.DUMMYFUNCTION("""COMPUTED_VALUE"""),"CCS_COD")</f>
        <v>CCS_COD</v>
      </c>
      <c r="F45" s="731">
        <f>IFERROR(__xludf.DUMMYFUNCTION("""COMPUTED_VALUE"""),1.0)</f>
        <v>1</v>
      </c>
      <c r="G45" s="731" t="str">
        <f>IFERROR(__xludf.DUMMYFUNCTION("""COMPUTED_VALUE"""),"CCS")</f>
        <v>CCS</v>
      </c>
      <c r="H45" s="731" t="str">
        <f>IFERROR(__xludf.DUMMYFUNCTION("""COMPUTED_VALUE"""),"Trưởng nhóm")</f>
        <v>Trưởng nhóm</v>
      </c>
      <c r="I45" s="729"/>
      <c r="J45" s="731" t="str">
        <f>IFERROR(__xludf.DUMMYFUNCTION("""COMPUTED_VALUE"""),"Công ty cổ phần MISA")</f>
        <v>Công ty cổ phần MISA</v>
      </c>
      <c r="K45" s="729"/>
      <c r="L45" s="731" t="str">
        <f>IFERROR(__xludf.DUMMYFUNCTION("""COMPUTED_VALUE"""),"Ngừng")</f>
        <v>Ngừng</v>
      </c>
      <c r="M45" s="729"/>
      <c r="N45" s="728" t="str">
        <f>IFERROR(__xludf.DUMMYFUNCTION("""COMPUTED_VALUE"""),"ngừng")</f>
        <v>ngừng</v>
      </c>
      <c r="O45" s="732"/>
      <c r="P45" s="732"/>
      <c r="Q45" s="732"/>
      <c r="R45" s="732"/>
      <c r="S45" s="732"/>
      <c r="T45" s="732"/>
      <c r="U45" s="732"/>
      <c r="V45" s="732"/>
      <c r="W45" s="732"/>
      <c r="X45" s="732"/>
      <c r="Y45" s="732"/>
      <c r="Z45" s="732"/>
      <c r="AA45" s="732"/>
      <c r="AB45" s="732"/>
      <c r="AC45" s="732"/>
      <c r="AD45" s="732"/>
      <c r="AE45" s="732"/>
    </row>
    <row r="46">
      <c r="A46" s="727">
        <f>IFERROR(__xludf.DUMMYFUNCTION("""COMPUTED_VALUE"""),31.0)</f>
        <v>31</v>
      </c>
      <c r="B46" s="731" t="str">
        <f>IFERROR(__xludf.DUMMYFUNCTION("""COMPUTED_VALUE"""),"BO_CCS_COM")</f>
        <v>BO_CCS_COM</v>
      </c>
      <c r="C46" s="731" t="str">
        <f>IFERROR(__xludf.DUMMYFUNCTION("""COMPUTED_VALUE"""),"BO_CCS_COM")</f>
        <v>BO_CCS_COM</v>
      </c>
      <c r="D46" s="731" t="str">
        <f>IFERROR(__xludf.DUMMYFUNCTION("""COMPUTED_VALUE"""),"NV Tư vấn cộng đồng")</f>
        <v>NV Tư vấn cộng đồng</v>
      </c>
      <c r="E46" s="731" t="str">
        <f>IFERROR(__xludf.DUMMYFUNCTION("""COMPUTED_VALUE"""),"CCS")</f>
        <v>CCS</v>
      </c>
      <c r="F46" s="729"/>
      <c r="G46" s="731" t="str">
        <f>IFERROR(__xludf.DUMMYFUNCTION("""COMPUTED_VALUE"""),"CCS")</f>
        <v>CCS</v>
      </c>
      <c r="H46" s="731" t="str">
        <f>IFERROR(__xludf.DUMMYFUNCTION("""COMPUTED_VALUE"""),"Nhân viên/ Chuyên viên/ Chuyên gia")</f>
        <v>Nhân viên/ Chuyên viên/ Chuyên gia</v>
      </c>
      <c r="I46" s="729"/>
      <c r="J46" s="731" t="str">
        <f>IFERROR(__xludf.DUMMYFUNCTION("""COMPUTED_VALUE"""),"Công ty cổ phần MISA")</f>
        <v>Công ty cổ phần MISA</v>
      </c>
      <c r="K46" s="729"/>
      <c r="L46" s="731" t="str">
        <f>IFERROR(__xludf.DUMMYFUNCTION("""COMPUTED_VALUE"""),"Ngừng")</f>
        <v>Ngừng</v>
      </c>
      <c r="M46" s="729"/>
      <c r="N46" s="728" t="str">
        <f>IFERROR(__xludf.DUMMYFUNCTION("""COMPUTED_VALUE"""),"ngừng")</f>
        <v>ngừng</v>
      </c>
      <c r="O46" s="732"/>
      <c r="P46" s="732"/>
      <c r="Q46" s="732"/>
      <c r="R46" s="732"/>
      <c r="S46" s="732"/>
      <c r="T46" s="732"/>
      <c r="U46" s="732"/>
      <c r="V46" s="732"/>
      <c r="W46" s="732"/>
      <c r="X46" s="732"/>
      <c r="Y46" s="732"/>
      <c r="Z46" s="732"/>
      <c r="AA46" s="732"/>
      <c r="AB46" s="732"/>
      <c r="AC46" s="732"/>
      <c r="AD46" s="732"/>
      <c r="AE46" s="732"/>
    </row>
    <row r="47">
      <c r="A47" s="727">
        <f>IFERROR(__xludf.DUMMYFUNCTION("""COMPUTED_VALUE"""),32.0)</f>
        <v>32</v>
      </c>
      <c r="B47" s="731" t="str">
        <f>IFERROR(__xludf.DUMMYFUNCTION("""COMPUTED_VALUE"""),"BO_CCS_CSM")</f>
        <v>BO_CCS_CSM</v>
      </c>
      <c r="C47" s="731" t="str">
        <f>IFERROR(__xludf.DUMMYFUNCTION("""COMPUTED_VALUE"""),"BO_CCS_CSM")</f>
        <v>BO_CCS_CSM</v>
      </c>
      <c r="D47" s="731" t="str">
        <f>IFERROR(__xludf.DUMMYFUNCTION("""COMPUTED_VALUE"""),"NV CSKH")</f>
        <v>NV CSKH</v>
      </c>
      <c r="E47" s="731" t="str">
        <f>IFERROR(__xludf.DUMMYFUNCTION("""COMPUTED_VALUE"""),"CSM")</f>
        <v>CSM</v>
      </c>
      <c r="F47" s="729"/>
      <c r="G47" s="731" t="str">
        <f>IFERROR(__xludf.DUMMYFUNCTION("""COMPUTED_VALUE"""),"CCS")</f>
        <v>CCS</v>
      </c>
      <c r="H47" s="731" t="str">
        <f>IFERROR(__xludf.DUMMYFUNCTION("""COMPUTED_VALUE"""),"Nhân viên/ Chuyên viên/ Chuyên gia")</f>
        <v>Nhân viên/ Chuyên viên/ Chuyên gia</v>
      </c>
      <c r="I47" s="729"/>
      <c r="J47" s="729"/>
      <c r="K47" s="729"/>
      <c r="L47" s="731" t="str">
        <f>IFERROR(__xludf.DUMMYFUNCTION("""COMPUTED_VALUE"""),"Ngừng")</f>
        <v>Ngừng</v>
      </c>
      <c r="M47" s="729"/>
      <c r="N47" s="728" t="str">
        <f>IFERROR(__xludf.DUMMYFUNCTION("""COMPUTED_VALUE"""),"ngừng")</f>
        <v>ngừng</v>
      </c>
      <c r="O47" s="732"/>
      <c r="P47" s="732"/>
      <c r="Q47" s="732"/>
      <c r="R47" s="732"/>
      <c r="S47" s="732"/>
      <c r="T47" s="732"/>
      <c r="U47" s="732"/>
      <c r="V47" s="732"/>
      <c r="W47" s="732"/>
      <c r="X47" s="732"/>
      <c r="Y47" s="732"/>
      <c r="Z47" s="732"/>
      <c r="AA47" s="732"/>
      <c r="AB47" s="732"/>
      <c r="AC47" s="732"/>
      <c r="AD47" s="732"/>
      <c r="AE47" s="732"/>
    </row>
    <row r="48">
      <c r="A48" s="727">
        <f>IFERROR(__xludf.DUMMYFUNCTION("""COMPUTED_VALUE"""),33.0)</f>
        <v>33</v>
      </c>
      <c r="B48" s="731" t="str">
        <f>IFERROR(__xludf.DUMMYFUNCTION("""COMPUTED_VALUE"""),"BO_CCS_CSML")</f>
        <v>BO_CCS_CSML</v>
      </c>
      <c r="C48" s="731" t="str">
        <f>IFERROR(__xludf.DUMMYFUNCTION("""COMPUTED_VALUE"""),"BO_CCS_CSML")</f>
        <v>BO_CCS_CSML</v>
      </c>
      <c r="D48" s="731" t="str">
        <f>IFERROR(__xludf.DUMMYFUNCTION("""COMPUTED_VALUE"""),"Trưởng nhóm CSKH")</f>
        <v>Trưởng nhóm CSKH</v>
      </c>
      <c r="E48" s="731" t="str">
        <f>IFERROR(__xludf.DUMMYFUNCTION("""COMPUTED_VALUE"""),"CSML")</f>
        <v>CSML</v>
      </c>
      <c r="F48" s="731">
        <f>IFERROR(__xludf.DUMMYFUNCTION("""COMPUTED_VALUE"""),1.0)</f>
        <v>1</v>
      </c>
      <c r="G48" s="731" t="str">
        <f>IFERROR(__xludf.DUMMYFUNCTION("""COMPUTED_VALUE"""),"CCS")</f>
        <v>CCS</v>
      </c>
      <c r="H48" s="731" t="str">
        <f>IFERROR(__xludf.DUMMYFUNCTION("""COMPUTED_VALUE"""),"Trưởng nhóm")</f>
        <v>Trưởng nhóm</v>
      </c>
      <c r="I48" s="729"/>
      <c r="J48" s="729"/>
      <c r="K48" s="729"/>
      <c r="L48" s="731" t="str">
        <f>IFERROR(__xludf.DUMMYFUNCTION("""COMPUTED_VALUE"""),"Ngừng")</f>
        <v>Ngừng</v>
      </c>
      <c r="M48" s="729"/>
      <c r="N48" s="728" t="str">
        <f>IFERROR(__xludf.DUMMYFUNCTION("""COMPUTED_VALUE"""),"ngừng")</f>
        <v>ngừng</v>
      </c>
      <c r="O48" s="732"/>
      <c r="P48" s="732"/>
      <c r="Q48" s="732"/>
      <c r="R48" s="732"/>
      <c r="S48" s="732"/>
      <c r="T48" s="732"/>
      <c r="U48" s="732"/>
      <c r="V48" s="732"/>
      <c r="W48" s="732"/>
      <c r="X48" s="732"/>
      <c r="Y48" s="732"/>
      <c r="Z48" s="732"/>
      <c r="AA48" s="732"/>
      <c r="AB48" s="732"/>
      <c r="AC48" s="732"/>
      <c r="AD48" s="732"/>
      <c r="AE48" s="732"/>
    </row>
    <row r="49">
      <c r="A49" s="727">
        <f>IFERROR(__xludf.DUMMYFUNCTION("""COMPUTED_VALUE"""),34.0)</f>
        <v>34</v>
      </c>
      <c r="B49" s="731" t="str">
        <f>IFERROR(__xludf.DUMMYFUNCTION("""COMPUTED_VALUE"""),"BO_CCS_CSMM")</f>
        <v>BO_CCS_CSMM</v>
      </c>
      <c r="C49" s="731" t="str">
        <f>IFERROR(__xludf.DUMMYFUNCTION("""COMPUTED_VALUE"""),"BO_CCS_CSMM")</f>
        <v>BO_CCS_CSMM</v>
      </c>
      <c r="D49" s="731" t="str">
        <f>IFERROR(__xludf.DUMMYFUNCTION("""COMPUTED_VALUE"""),"Trưởng phòng CSKH")</f>
        <v>Trưởng phòng CSKH</v>
      </c>
      <c r="E49" s="731" t="str">
        <f>IFERROR(__xludf.DUMMYFUNCTION("""COMPUTED_VALUE"""),"CSMM")</f>
        <v>CSMM</v>
      </c>
      <c r="F49" s="731">
        <f>IFERROR(__xludf.DUMMYFUNCTION("""COMPUTED_VALUE"""),2.0)</f>
        <v>2</v>
      </c>
      <c r="G49" s="731" t="str">
        <f>IFERROR(__xludf.DUMMYFUNCTION("""COMPUTED_VALUE"""),"CCS")</f>
        <v>CCS</v>
      </c>
      <c r="H49" s="731" t="str">
        <f>IFERROR(__xludf.DUMMYFUNCTION("""COMPUTED_VALUE"""),"TPP/ Trưởng ban")</f>
        <v>TPP/ Trưởng ban</v>
      </c>
      <c r="I49" s="729"/>
      <c r="J49" s="729"/>
      <c r="K49" s="729"/>
      <c r="L49" s="731" t="str">
        <f>IFERROR(__xludf.DUMMYFUNCTION("""COMPUTED_VALUE"""),"Ngừng")</f>
        <v>Ngừng</v>
      </c>
      <c r="M49" s="729"/>
      <c r="N49" s="728" t="str">
        <f>IFERROR(__xludf.DUMMYFUNCTION("""COMPUTED_VALUE"""),"ngừng")</f>
        <v>ngừng</v>
      </c>
      <c r="O49" s="732"/>
      <c r="P49" s="732"/>
      <c r="Q49" s="732"/>
      <c r="R49" s="732"/>
      <c r="S49" s="732"/>
      <c r="T49" s="732"/>
      <c r="U49" s="732"/>
      <c r="V49" s="732"/>
      <c r="W49" s="732"/>
      <c r="X49" s="732"/>
      <c r="Y49" s="732"/>
      <c r="Z49" s="732"/>
      <c r="AA49" s="732"/>
      <c r="AB49" s="732"/>
      <c r="AC49" s="732"/>
      <c r="AD49" s="732"/>
      <c r="AE49" s="732"/>
    </row>
    <row r="50">
      <c r="A50" s="727">
        <f>IFERROR(__xludf.DUMMYFUNCTION("""COMPUTED_VALUE"""),35.0)</f>
        <v>35</v>
      </c>
      <c r="B50" s="731" t="str">
        <f>IFERROR(__xludf.DUMMYFUNCTION("""COMPUTED_VALUE"""),"BO_CCS_DEP")</f>
        <v>BO_CCS_DEP</v>
      </c>
      <c r="C50" s="731" t="str">
        <f>IFERROR(__xludf.DUMMYFUNCTION("""COMPUTED_VALUE"""),"BO_CCS_DEP")</f>
        <v>BO_CCS_DEP</v>
      </c>
      <c r="D50" s="731" t="str">
        <f>IFERROR(__xludf.DUMMYFUNCTION("""COMPUTED_VALUE"""),"Phó phòng Tư vấn&amp;HTKH")</f>
        <v>Phó phòng Tư vấn&amp;HTKH</v>
      </c>
      <c r="E50" s="731" t="str">
        <f>IFERROR(__xludf.DUMMYFUNCTION("""COMPUTED_VALUE"""),"CCS_COD")</f>
        <v>CCS_COD</v>
      </c>
      <c r="F50" s="731">
        <f>IFERROR(__xludf.DUMMYFUNCTION("""COMPUTED_VALUE"""),2.0)</f>
        <v>2</v>
      </c>
      <c r="G50" s="731" t="str">
        <f>IFERROR(__xludf.DUMMYFUNCTION("""COMPUTED_VALUE"""),"CCS")</f>
        <v>CCS</v>
      </c>
      <c r="H50" s="731" t="str">
        <f>IFERROR(__xludf.DUMMYFUNCTION("""COMPUTED_VALUE"""),"TPP/ Trưởng ban")</f>
        <v>TPP/ Trưởng ban</v>
      </c>
      <c r="I50" s="729"/>
      <c r="J50" s="731" t="str">
        <f>IFERROR(__xludf.DUMMYFUNCTION("""COMPUTED_VALUE"""),"Công ty cổ phần MISA")</f>
        <v>Công ty cổ phần MISA</v>
      </c>
      <c r="K50" s="729"/>
      <c r="L50" s="731" t="str">
        <f>IFERROR(__xludf.DUMMYFUNCTION("""COMPUTED_VALUE"""),"Ngừng")</f>
        <v>Ngừng</v>
      </c>
      <c r="M50" s="729"/>
      <c r="N50" s="728" t="str">
        <f>IFERROR(__xludf.DUMMYFUNCTION("""COMPUTED_VALUE"""),"ngừng")</f>
        <v>ngừng</v>
      </c>
      <c r="O50" s="732"/>
      <c r="P50" s="732"/>
      <c r="Q50" s="732"/>
      <c r="R50" s="732"/>
      <c r="S50" s="732"/>
      <c r="T50" s="732"/>
      <c r="U50" s="732"/>
      <c r="V50" s="732"/>
      <c r="W50" s="732"/>
      <c r="X50" s="732"/>
      <c r="Y50" s="732"/>
      <c r="Z50" s="732"/>
      <c r="AA50" s="732"/>
      <c r="AB50" s="732"/>
      <c r="AC50" s="732"/>
      <c r="AD50" s="732"/>
      <c r="AE50" s="732"/>
    </row>
    <row r="51">
      <c r="A51" s="727">
        <f>IFERROR(__xludf.DUMMYFUNCTION("""COMPUTED_VALUE"""),36.0)</f>
        <v>36</v>
      </c>
      <c r="B51" s="731" t="str">
        <f>IFERROR(__xludf.DUMMYFUNCTION("""COMPUTED_VALUE"""),"BO_CCS_LEAD")</f>
        <v>BO_CCS_LEAD</v>
      </c>
      <c r="C51" s="731" t="str">
        <f>IFERROR(__xludf.DUMMYFUNCTION("""COMPUTED_VALUE"""),"BO_CCS_LEAD")</f>
        <v>BO_CCS_LEAD</v>
      </c>
      <c r="D51" s="731" t="str">
        <f>IFERROR(__xludf.DUMMYFUNCTION("""COMPUTED_VALUE"""),"Trưởng nhóm Tư vấn&amp;HTKH")</f>
        <v>Trưởng nhóm Tư vấn&amp;HTKH</v>
      </c>
      <c r="E51" s="731" t="str">
        <f>IFERROR(__xludf.DUMMYFUNCTION("""COMPUTED_VALUE"""),"CCS_LEAD")</f>
        <v>CCS_LEAD</v>
      </c>
      <c r="F51" s="731">
        <f>IFERROR(__xludf.DUMMYFUNCTION("""COMPUTED_VALUE"""),1.0)</f>
        <v>1</v>
      </c>
      <c r="G51" s="731" t="str">
        <f>IFERROR(__xludf.DUMMYFUNCTION("""COMPUTED_VALUE"""),"CCS")</f>
        <v>CCS</v>
      </c>
      <c r="H51" s="731" t="str">
        <f>IFERROR(__xludf.DUMMYFUNCTION("""COMPUTED_VALUE"""),"Trưởng nhóm")</f>
        <v>Trưởng nhóm</v>
      </c>
      <c r="I51" s="729"/>
      <c r="J51" s="731" t="str">
        <f>IFERROR(__xludf.DUMMYFUNCTION("""COMPUTED_VALUE"""),"Công ty cổ phần MISA")</f>
        <v>Công ty cổ phần MISA</v>
      </c>
      <c r="K51" s="729"/>
      <c r="L51" s="731" t="str">
        <f>IFERROR(__xludf.DUMMYFUNCTION("""COMPUTED_VALUE"""),"Ngừng")</f>
        <v>Ngừng</v>
      </c>
      <c r="M51" s="729"/>
      <c r="N51" s="728" t="str">
        <f>IFERROR(__xludf.DUMMYFUNCTION("""COMPUTED_VALUE"""),"ngừng")</f>
        <v>ngừng</v>
      </c>
      <c r="O51" s="732"/>
      <c r="P51" s="732"/>
      <c r="Q51" s="732"/>
      <c r="R51" s="732"/>
      <c r="S51" s="732"/>
      <c r="T51" s="732"/>
      <c r="U51" s="732"/>
      <c r="V51" s="732"/>
      <c r="W51" s="732"/>
      <c r="X51" s="732"/>
      <c r="Y51" s="732"/>
      <c r="Z51" s="732"/>
      <c r="AA51" s="732"/>
      <c r="AB51" s="732"/>
      <c r="AC51" s="732"/>
      <c r="AD51" s="732"/>
      <c r="AE51" s="732"/>
    </row>
    <row r="52">
      <c r="A52" s="727">
        <f>IFERROR(__xludf.DUMMYFUNCTION("""COMPUTED_VALUE"""),37.0)</f>
        <v>37</v>
      </c>
      <c r="B52" s="731" t="str">
        <f>IFERROR(__xludf.DUMMYFUNCTION("""COMPUTED_VALUE"""),"BO_CCS_LEAD_COM")</f>
        <v>BO_CCS_LEAD_COM</v>
      </c>
      <c r="C52" s="731" t="str">
        <f>IFERROR(__xludf.DUMMYFUNCTION("""COMPUTED_VALUE"""),"BO_CCS_LEAD_COM")</f>
        <v>BO_CCS_LEAD_COM</v>
      </c>
      <c r="D52" s="731" t="str">
        <f>IFERROR(__xludf.DUMMYFUNCTION("""COMPUTED_VALUE"""),"Trưởng nhóm Tư vấn cộng đồng")</f>
        <v>Trưởng nhóm Tư vấn cộng đồng</v>
      </c>
      <c r="E52" s="731" t="str">
        <f>IFERROR(__xludf.DUMMYFUNCTION("""COMPUTED_VALUE"""),"CCS_LEAD")</f>
        <v>CCS_LEAD</v>
      </c>
      <c r="F52" s="731">
        <f>IFERROR(__xludf.DUMMYFUNCTION("""COMPUTED_VALUE"""),1.0)</f>
        <v>1</v>
      </c>
      <c r="G52" s="731" t="str">
        <f>IFERROR(__xludf.DUMMYFUNCTION("""COMPUTED_VALUE"""),"CCS")</f>
        <v>CCS</v>
      </c>
      <c r="H52" s="731" t="str">
        <f>IFERROR(__xludf.DUMMYFUNCTION("""COMPUTED_VALUE"""),"Trưởng nhóm")</f>
        <v>Trưởng nhóm</v>
      </c>
      <c r="I52" s="729"/>
      <c r="J52" s="731" t="str">
        <f>IFERROR(__xludf.DUMMYFUNCTION("""COMPUTED_VALUE"""),"Công ty cổ phần MISA")</f>
        <v>Công ty cổ phần MISA</v>
      </c>
      <c r="K52" s="729"/>
      <c r="L52" s="731" t="str">
        <f>IFERROR(__xludf.DUMMYFUNCTION("""COMPUTED_VALUE"""),"Ngừng")</f>
        <v>Ngừng</v>
      </c>
      <c r="M52" s="729"/>
      <c r="N52" s="728" t="str">
        <f>IFERROR(__xludf.DUMMYFUNCTION("""COMPUTED_VALUE"""),"ngừng")</f>
        <v>ngừng</v>
      </c>
      <c r="O52" s="732"/>
      <c r="P52" s="732"/>
      <c r="Q52" s="732"/>
      <c r="R52" s="732"/>
      <c r="S52" s="732"/>
      <c r="T52" s="732"/>
      <c r="U52" s="732"/>
      <c r="V52" s="732"/>
      <c r="W52" s="732"/>
      <c r="X52" s="732"/>
      <c r="Y52" s="732"/>
      <c r="Z52" s="732"/>
      <c r="AA52" s="732"/>
      <c r="AB52" s="732"/>
      <c r="AC52" s="732"/>
      <c r="AD52" s="732"/>
      <c r="AE52" s="732"/>
    </row>
    <row r="53">
      <c r="A53" s="727">
        <f>IFERROR(__xludf.DUMMYFUNCTION("""COMPUTED_VALUE"""),38.0)</f>
        <v>38</v>
      </c>
      <c r="B53" s="731" t="str">
        <f>IFERROR(__xludf.DUMMYFUNCTION("""COMPUTED_VALUE"""),"BO_CCS_LEAD_OTRN")</f>
        <v>BO_CCS_LEAD_OTRN</v>
      </c>
      <c r="C53" s="731" t="str">
        <f>IFERROR(__xludf.DUMMYFUNCTION("""COMPUTED_VALUE"""),"BO_CCS_LEAD_OTRN")</f>
        <v>BO_CCS_LEAD_OTRN</v>
      </c>
      <c r="D53" s="731" t="str">
        <f>IFERROR(__xludf.DUMMYFUNCTION("""COMPUTED_VALUE"""),"Trưởng nhóm Tư vấn đào tạo trực tuyến")</f>
        <v>Trưởng nhóm Tư vấn đào tạo trực tuyến</v>
      </c>
      <c r="E53" s="731" t="str">
        <f>IFERROR(__xludf.DUMMYFUNCTION("""COMPUTED_VALUE"""),"CCS_LEAD")</f>
        <v>CCS_LEAD</v>
      </c>
      <c r="F53" s="731">
        <f>IFERROR(__xludf.DUMMYFUNCTION("""COMPUTED_VALUE"""),1.0)</f>
        <v>1</v>
      </c>
      <c r="G53" s="731" t="str">
        <f>IFERROR(__xludf.DUMMYFUNCTION("""COMPUTED_VALUE"""),"CCS")</f>
        <v>CCS</v>
      </c>
      <c r="H53" s="731" t="str">
        <f>IFERROR(__xludf.DUMMYFUNCTION("""COMPUTED_VALUE"""),"Trưởng nhóm")</f>
        <v>Trưởng nhóm</v>
      </c>
      <c r="I53" s="729"/>
      <c r="J53" s="731" t="str">
        <f>IFERROR(__xludf.DUMMYFUNCTION("""COMPUTED_VALUE"""),"Công ty cổ phần MISA")</f>
        <v>Công ty cổ phần MISA</v>
      </c>
      <c r="K53" s="729"/>
      <c r="L53" s="731" t="str">
        <f>IFERROR(__xludf.DUMMYFUNCTION("""COMPUTED_VALUE"""),"Ngừng")</f>
        <v>Ngừng</v>
      </c>
      <c r="M53" s="729"/>
      <c r="N53" s="728" t="str">
        <f>IFERROR(__xludf.DUMMYFUNCTION("""COMPUTED_VALUE"""),"ngừng")</f>
        <v>ngừng</v>
      </c>
      <c r="O53" s="732"/>
      <c r="P53" s="732"/>
      <c r="Q53" s="732"/>
      <c r="R53" s="732"/>
      <c r="S53" s="732"/>
      <c r="T53" s="732"/>
      <c r="U53" s="732"/>
      <c r="V53" s="732"/>
      <c r="W53" s="732"/>
      <c r="X53" s="732"/>
      <c r="Y53" s="732"/>
      <c r="Z53" s="732"/>
      <c r="AA53" s="732"/>
      <c r="AB53" s="732"/>
      <c r="AC53" s="732"/>
      <c r="AD53" s="732"/>
      <c r="AE53" s="732"/>
    </row>
    <row r="54">
      <c r="A54" s="727">
        <f>IFERROR(__xludf.DUMMYFUNCTION("""COMPUTED_VALUE"""),39.0)</f>
        <v>39</v>
      </c>
      <c r="B54" s="731" t="str">
        <f>IFERROR(__xludf.DUMMYFUNCTION("""COMPUTED_VALUE"""),"BO_CCS_MGR")</f>
        <v>BO_CCS_MGR</v>
      </c>
      <c r="C54" s="731" t="str">
        <f>IFERROR(__xludf.DUMMYFUNCTION("""COMPUTED_VALUE"""),"BO_CCS_MGR")</f>
        <v>BO_CCS_MGR</v>
      </c>
      <c r="D54" s="731" t="str">
        <f>IFERROR(__xludf.DUMMYFUNCTION("""COMPUTED_VALUE"""),"Trưởng phòng Tư vấn&amp;HTKH")</f>
        <v>Trưởng phòng Tư vấn&amp;HTKH</v>
      </c>
      <c r="E54" s="731" t="str">
        <f>IFERROR(__xludf.DUMMYFUNCTION("""COMPUTED_VALUE"""),"CCS_COD")</f>
        <v>CCS_COD</v>
      </c>
      <c r="F54" s="731">
        <f>IFERROR(__xludf.DUMMYFUNCTION("""COMPUTED_VALUE"""),2.0)</f>
        <v>2</v>
      </c>
      <c r="G54" s="731" t="str">
        <f>IFERROR(__xludf.DUMMYFUNCTION("""COMPUTED_VALUE"""),"CCS")</f>
        <v>CCS</v>
      </c>
      <c r="H54" s="731" t="str">
        <f>IFERROR(__xludf.DUMMYFUNCTION("""COMPUTED_VALUE"""),"TPP/ Trưởng ban")</f>
        <v>TPP/ Trưởng ban</v>
      </c>
      <c r="I54" s="729"/>
      <c r="J54" s="731" t="str">
        <f>IFERROR(__xludf.DUMMYFUNCTION("""COMPUTED_VALUE"""),"Công ty cổ phần MISA")</f>
        <v>Công ty cổ phần MISA</v>
      </c>
      <c r="K54" s="729"/>
      <c r="L54" s="731" t="str">
        <f>IFERROR(__xludf.DUMMYFUNCTION("""COMPUTED_VALUE"""),"Ngừng")</f>
        <v>Ngừng</v>
      </c>
      <c r="M54" s="729"/>
      <c r="N54" s="728" t="str">
        <f>IFERROR(__xludf.DUMMYFUNCTION("""COMPUTED_VALUE"""),"ngừng")</f>
        <v>ngừng</v>
      </c>
      <c r="O54" s="732"/>
      <c r="P54" s="732"/>
      <c r="Q54" s="732"/>
      <c r="R54" s="732"/>
      <c r="S54" s="732"/>
      <c r="T54" s="732"/>
      <c r="U54" s="732"/>
      <c r="V54" s="732"/>
      <c r="W54" s="732"/>
      <c r="X54" s="732"/>
      <c r="Y54" s="732"/>
      <c r="Z54" s="732"/>
      <c r="AA54" s="732"/>
      <c r="AB54" s="732"/>
      <c r="AC54" s="732"/>
      <c r="AD54" s="732"/>
      <c r="AE54" s="732"/>
    </row>
    <row r="55">
      <c r="A55" s="727">
        <f>IFERROR(__xludf.DUMMYFUNCTION("""COMPUTED_VALUE"""),40.0)</f>
        <v>40</v>
      </c>
      <c r="B55" s="731" t="str">
        <f>IFERROR(__xludf.DUMMYFUNCTION("""COMPUTED_VALUE"""),"BO_CCS_MGR_ACTIV")</f>
        <v>BO_CCS_MGR_ACTIV</v>
      </c>
      <c r="C55" s="731" t="str">
        <f>IFERROR(__xludf.DUMMYFUNCTION("""COMPUTED_VALUE"""),"BO_CCS_MGR_ACTIV")</f>
        <v>BO_CCS_MGR_ACTIV</v>
      </c>
      <c r="D55" s="731" t="str">
        <f>IFERROR(__xludf.DUMMYFUNCTION("""COMPUTED_VALUE"""),"Trưởng phòng Tư vấn chủ động")</f>
        <v>Trưởng phòng Tư vấn chủ động</v>
      </c>
      <c r="E55" s="731" t="str">
        <f>IFERROR(__xludf.DUMMYFUNCTION("""COMPUTED_VALUE"""),"CCS_COD")</f>
        <v>CCS_COD</v>
      </c>
      <c r="F55" s="731">
        <f>IFERROR(__xludf.DUMMYFUNCTION("""COMPUTED_VALUE"""),2.0)</f>
        <v>2</v>
      </c>
      <c r="G55" s="731" t="str">
        <f>IFERROR(__xludf.DUMMYFUNCTION("""COMPUTED_VALUE"""),"CCS")</f>
        <v>CCS</v>
      </c>
      <c r="H55" s="731" t="str">
        <f>IFERROR(__xludf.DUMMYFUNCTION("""COMPUTED_VALUE"""),"TPP/ Trưởng ban")</f>
        <v>TPP/ Trưởng ban</v>
      </c>
      <c r="I55" s="729"/>
      <c r="J55" s="731" t="str">
        <f>IFERROR(__xludf.DUMMYFUNCTION("""COMPUTED_VALUE"""),"Công ty cổ phần MISA")</f>
        <v>Công ty cổ phần MISA</v>
      </c>
      <c r="K55" s="729"/>
      <c r="L55" s="731" t="str">
        <f>IFERROR(__xludf.DUMMYFUNCTION("""COMPUTED_VALUE"""),"Ngừng")</f>
        <v>Ngừng</v>
      </c>
      <c r="M55" s="729"/>
      <c r="N55" s="728" t="str">
        <f>IFERROR(__xludf.DUMMYFUNCTION("""COMPUTED_VALUE"""),"ngừng")</f>
        <v>ngừng</v>
      </c>
      <c r="O55" s="732"/>
      <c r="P55" s="732"/>
      <c r="Q55" s="732"/>
      <c r="R55" s="732"/>
      <c r="S55" s="732"/>
      <c r="T55" s="732"/>
      <c r="U55" s="732"/>
      <c r="V55" s="732"/>
      <c r="W55" s="732"/>
      <c r="X55" s="732"/>
      <c r="Y55" s="732"/>
      <c r="Z55" s="732"/>
      <c r="AA55" s="732"/>
      <c r="AB55" s="732"/>
      <c r="AC55" s="732"/>
      <c r="AD55" s="732"/>
      <c r="AE55" s="732"/>
    </row>
    <row r="56">
      <c r="A56" s="727">
        <f>IFERROR(__xludf.DUMMYFUNCTION("""COMPUTED_VALUE"""),41.0)</f>
        <v>41</v>
      </c>
      <c r="B56" s="731" t="str">
        <f>IFERROR(__xludf.DUMMYFUNCTION("""COMPUTED_VALUE"""),"BO_CCS_NV")</f>
        <v>BO_CCS_NV</v>
      </c>
      <c r="C56" s="731" t="str">
        <f>IFERROR(__xludf.DUMMYFUNCTION("""COMPUTED_VALUE"""),"BO_CCS_NV")</f>
        <v>BO_CCS_NV</v>
      </c>
      <c r="D56" s="731" t="str">
        <f>IFERROR(__xludf.DUMMYFUNCTION("""COMPUTED_VALUE"""),"NV Tư vấn")</f>
        <v>NV Tư vấn</v>
      </c>
      <c r="E56" s="731" t="str">
        <f>IFERROR(__xludf.DUMMYFUNCTION("""COMPUTED_VALUE"""),"CCS")</f>
        <v>CCS</v>
      </c>
      <c r="F56" s="729"/>
      <c r="G56" s="731" t="str">
        <f>IFERROR(__xludf.DUMMYFUNCTION("""COMPUTED_VALUE"""),"CCS")</f>
        <v>CCS</v>
      </c>
      <c r="H56" s="731" t="str">
        <f>IFERROR(__xludf.DUMMYFUNCTION("""COMPUTED_VALUE"""),"Nhân viên/ Chuyên viên/ Chuyên gia")</f>
        <v>Nhân viên/ Chuyên viên/ Chuyên gia</v>
      </c>
      <c r="I56" s="729"/>
      <c r="J56" s="731" t="str">
        <f>IFERROR(__xludf.DUMMYFUNCTION("""COMPUTED_VALUE"""),"Công ty cổ phần MISA")</f>
        <v>Công ty cổ phần MISA</v>
      </c>
      <c r="K56" s="729"/>
      <c r="L56" s="731" t="str">
        <f>IFERROR(__xludf.DUMMYFUNCTION("""COMPUTED_VALUE"""),"Ngừng")</f>
        <v>Ngừng</v>
      </c>
      <c r="M56" s="729"/>
      <c r="N56" s="728" t="str">
        <f>IFERROR(__xludf.DUMMYFUNCTION("""COMPUTED_VALUE"""),"ngừng")</f>
        <v>ngừng</v>
      </c>
      <c r="O56" s="732"/>
      <c r="P56" s="732"/>
      <c r="Q56" s="732"/>
      <c r="R56" s="732"/>
      <c r="S56" s="732"/>
      <c r="T56" s="732"/>
      <c r="U56" s="732"/>
      <c r="V56" s="732"/>
      <c r="W56" s="732"/>
      <c r="X56" s="732"/>
      <c r="Y56" s="732"/>
      <c r="Z56" s="732"/>
      <c r="AA56" s="732"/>
      <c r="AB56" s="732"/>
      <c r="AC56" s="732"/>
      <c r="AD56" s="732"/>
      <c r="AE56" s="732"/>
    </row>
    <row r="57">
      <c r="A57" s="727">
        <f>IFERROR(__xludf.DUMMYFUNCTION("""COMPUTED_VALUE"""),42.0)</f>
        <v>42</v>
      </c>
      <c r="B57" s="731" t="str">
        <f>IFERROR(__xludf.DUMMYFUNCTION("""COMPUTED_VALUE"""),"BO_CCS_OTRN")</f>
        <v>BO_CCS_OTRN</v>
      </c>
      <c r="C57" s="731" t="str">
        <f>IFERROR(__xludf.DUMMYFUNCTION("""COMPUTED_VALUE"""),"BO_CCS_OTRN")</f>
        <v>BO_CCS_OTRN</v>
      </c>
      <c r="D57" s="731" t="str">
        <f>IFERROR(__xludf.DUMMYFUNCTION("""COMPUTED_VALUE"""),"NV Tư vấn đào tạo trực tuyến")</f>
        <v>NV Tư vấn đào tạo trực tuyến</v>
      </c>
      <c r="E57" s="731" t="str">
        <f>IFERROR(__xludf.DUMMYFUNCTION("""COMPUTED_VALUE"""),"CCS")</f>
        <v>CCS</v>
      </c>
      <c r="F57" s="729"/>
      <c r="G57" s="731" t="str">
        <f>IFERROR(__xludf.DUMMYFUNCTION("""COMPUTED_VALUE"""),"CCS")</f>
        <v>CCS</v>
      </c>
      <c r="H57" s="731" t="str">
        <f>IFERROR(__xludf.DUMMYFUNCTION("""COMPUTED_VALUE"""),"Nhân viên/ Chuyên viên/ Chuyên gia")</f>
        <v>Nhân viên/ Chuyên viên/ Chuyên gia</v>
      </c>
      <c r="I57" s="729"/>
      <c r="J57" s="731" t="str">
        <f>IFERROR(__xludf.DUMMYFUNCTION("""COMPUTED_VALUE"""),"Công ty cổ phần MISA")</f>
        <v>Công ty cổ phần MISA</v>
      </c>
      <c r="K57" s="729"/>
      <c r="L57" s="731" t="str">
        <f>IFERROR(__xludf.DUMMYFUNCTION("""COMPUTED_VALUE"""),"Ngừng")</f>
        <v>Ngừng</v>
      </c>
      <c r="M57" s="729"/>
      <c r="N57" s="728" t="str">
        <f>IFERROR(__xludf.DUMMYFUNCTION("""COMPUTED_VALUE"""),"ngừng")</f>
        <v>ngừng</v>
      </c>
      <c r="O57" s="732"/>
      <c r="P57" s="732"/>
      <c r="Q57" s="732"/>
      <c r="R57" s="732"/>
      <c r="S57" s="732"/>
      <c r="T57" s="732"/>
      <c r="U57" s="732"/>
      <c r="V57" s="732"/>
      <c r="W57" s="732"/>
      <c r="X57" s="732"/>
      <c r="Y57" s="732"/>
      <c r="Z57" s="732"/>
      <c r="AA57" s="732"/>
      <c r="AB57" s="732"/>
      <c r="AC57" s="732"/>
      <c r="AD57" s="732"/>
      <c r="AE57" s="732"/>
    </row>
    <row r="58">
      <c r="A58" s="727">
        <f>IFERROR(__xludf.DUMMYFUNCTION("""COMPUTED_VALUE"""),43.0)</f>
        <v>43</v>
      </c>
      <c r="B58" s="728" t="str">
        <f>IFERROR(__xludf.DUMMYFUNCTION("""COMPUTED_VALUE"""),"BO_CX")</f>
        <v>BO_CX</v>
      </c>
      <c r="C58" s="728" t="str">
        <f>IFERROR(__xludf.DUMMYFUNCTION("""COMPUTED_VALUE"""),"BO_CX")</f>
        <v>BO_CX</v>
      </c>
      <c r="D58" s="728" t="str">
        <f>IFERROR(__xludf.DUMMYFUNCTION("""COMPUTED_VALUE"""),"NV quản trị trải nghiệm khách hàng")</f>
        <v>NV quản trị trải nghiệm khách hàng</v>
      </c>
      <c r="E58" s="728" t="str">
        <f>IFERROR(__xludf.DUMMYFUNCTION("""COMPUTED_VALUE"""),"BO")</f>
        <v>BO</v>
      </c>
      <c r="F58" s="729"/>
      <c r="G58" s="728" t="str">
        <f>IFERROR(__xludf.DUMMYFUNCTION("""COMPUTED_VALUE"""),"BO")</f>
        <v>BO</v>
      </c>
      <c r="H58" s="728" t="str">
        <f>IFERROR(__xludf.DUMMYFUNCTION("""COMPUTED_VALUE"""),"Nhân viên/ Chuyên viên/ Chuyên gia")</f>
        <v>Nhân viên/ Chuyên viên/ Chuyên gia</v>
      </c>
      <c r="I58" s="728" t="str">
        <f>IFERROR(__xludf.DUMMYFUNCTION("""COMPUTED_VALUE"""),"L00")</f>
        <v>L00</v>
      </c>
      <c r="J58" s="728" t="str">
        <f>IFERROR(__xludf.DUMMYFUNCTION("""COMPUTED_VALUE"""),"Công ty cổ phần MISA")</f>
        <v>Công ty cổ phần MISA</v>
      </c>
      <c r="K58" s="729"/>
      <c r="L58" s="728" t="str">
        <f>IFERROR(__xludf.DUMMYFUNCTION("""COMPUTED_VALUE"""),"Đang theo dõi")</f>
        <v>Đang theo dõi</v>
      </c>
      <c r="M58" s="729"/>
      <c r="N58" s="728" t="str">
        <f>IFERROR(__xludf.DUMMYFUNCTION("""COMPUTED_VALUE"""),"giữ nguyên")</f>
        <v>giữ nguyên</v>
      </c>
      <c r="O58" s="732"/>
      <c r="P58" s="732"/>
      <c r="Q58" s="732"/>
      <c r="R58" s="732"/>
      <c r="S58" s="732"/>
      <c r="T58" s="732"/>
      <c r="U58" s="732"/>
      <c r="V58" s="732"/>
      <c r="W58" s="732"/>
      <c r="X58" s="732"/>
      <c r="Y58" s="732"/>
      <c r="Z58" s="732"/>
      <c r="AA58" s="732"/>
      <c r="AB58" s="732"/>
      <c r="AC58" s="732"/>
      <c r="AD58" s="732"/>
      <c r="AE58" s="732"/>
    </row>
    <row r="59">
      <c r="A59" s="727">
        <f>IFERROR(__xludf.DUMMYFUNCTION("""COMPUTED_VALUE"""),44.0)</f>
        <v>44</v>
      </c>
      <c r="B59" s="731" t="str">
        <f>IFERROR(__xludf.DUMMYFUNCTION("""COMPUTED_VALUE"""),"BO_CX_A.MGR")</f>
        <v>BO_CX_A.MGR</v>
      </c>
      <c r="C59" s="731" t="str">
        <f>IFERROR(__xludf.DUMMYFUNCTION("""COMPUTED_VALUE"""),"BO_CX_A.MGR")</f>
        <v>BO_CX_A.MGR</v>
      </c>
      <c r="D59" s="731" t="str">
        <f>IFERROR(__xludf.DUMMYFUNCTION("""COMPUTED_VALUE"""),"Q. Trưởng ban Trải nghiệm khách hàng")</f>
        <v>Q. Trưởng ban Trải nghiệm khách hàng</v>
      </c>
      <c r="E59" s="731" t="str">
        <f>IFERROR(__xludf.DUMMYFUNCTION("""COMPUTED_VALUE"""),"BO_COD")</f>
        <v>BO_COD</v>
      </c>
      <c r="F59" s="731">
        <f>IFERROR(__xludf.DUMMYFUNCTION("""COMPUTED_VALUE"""),2.0)</f>
        <v>2</v>
      </c>
      <c r="G59" s="731" t="str">
        <f>IFERROR(__xludf.DUMMYFUNCTION("""COMPUTED_VALUE"""),"BO")</f>
        <v>BO</v>
      </c>
      <c r="H59" s="731" t="str">
        <f>IFERROR(__xludf.DUMMYFUNCTION("""COMPUTED_VALUE"""),"TPP/ Trưởng ban")</f>
        <v>TPP/ Trưởng ban</v>
      </c>
      <c r="I59" s="729"/>
      <c r="J59" s="731" t="str">
        <f>IFERROR(__xludf.DUMMYFUNCTION("""COMPUTED_VALUE"""),"Công ty cổ phần MISA")</f>
        <v>Công ty cổ phần MISA</v>
      </c>
      <c r="K59" s="729"/>
      <c r="L59" s="731" t="str">
        <f>IFERROR(__xludf.DUMMYFUNCTION("""COMPUTED_VALUE"""),"Ngừng")</f>
        <v>Ngừng</v>
      </c>
      <c r="M59" s="729"/>
      <c r="N59" s="728" t="str">
        <f>IFERROR(__xludf.DUMMYFUNCTION("""COMPUTED_VALUE"""),"ngừng")</f>
        <v>ngừng</v>
      </c>
      <c r="O59" s="732"/>
      <c r="P59" s="732"/>
      <c r="Q59" s="732"/>
      <c r="R59" s="732"/>
      <c r="S59" s="732"/>
      <c r="T59" s="732"/>
      <c r="U59" s="732"/>
      <c r="V59" s="732"/>
      <c r="W59" s="732"/>
      <c r="X59" s="732"/>
      <c r="Y59" s="732"/>
      <c r="Z59" s="732"/>
      <c r="AA59" s="732"/>
      <c r="AB59" s="732"/>
      <c r="AC59" s="732"/>
      <c r="AD59" s="732"/>
      <c r="AE59" s="732"/>
    </row>
    <row r="60">
      <c r="A60" s="727">
        <f>IFERROR(__xludf.DUMMYFUNCTION("""COMPUTED_VALUE"""),45.0)</f>
        <v>45</v>
      </c>
      <c r="B60" s="731" t="str">
        <f>IFERROR(__xludf.DUMMYFUNCTION("""COMPUTED_VALUE"""),"BO_CX_MGR")</f>
        <v>BO_CX_MGR</v>
      </c>
      <c r="C60" s="731" t="str">
        <f>IFERROR(__xludf.DUMMYFUNCTION("""COMPUTED_VALUE"""),"BO_CX_MGR")</f>
        <v>BO_CX_MGR</v>
      </c>
      <c r="D60" s="731" t="str">
        <f>IFERROR(__xludf.DUMMYFUNCTION("""COMPUTED_VALUE"""),"Trưởng ban trải nghiệm khách hàng")</f>
        <v>Trưởng ban trải nghiệm khách hàng</v>
      </c>
      <c r="E60" s="731" t="str">
        <f>IFERROR(__xludf.DUMMYFUNCTION("""COMPUTED_VALUE"""),"BO_COD")</f>
        <v>BO_COD</v>
      </c>
      <c r="F60" s="731">
        <f>IFERROR(__xludf.DUMMYFUNCTION("""COMPUTED_VALUE"""),2.0)</f>
        <v>2</v>
      </c>
      <c r="G60" s="731" t="str">
        <f>IFERROR(__xludf.DUMMYFUNCTION("""COMPUTED_VALUE"""),"BO")</f>
        <v>BO</v>
      </c>
      <c r="H60" s="731" t="str">
        <f>IFERROR(__xludf.DUMMYFUNCTION("""COMPUTED_VALUE"""),"TPP/ Trưởng ban")</f>
        <v>TPP/ Trưởng ban</v>
      </c>
      <c r="I60" s="729"/>
      <c r="J60" s="731" t="str">
        <f>IFERROR(__xludf.DUMMYFUNCTION("""COMPUTED_VALUE"""),"Công ty cổ phần MISA")</f>
        <v>Công ty cổ phần MISA</v>
      </c>
      <c r="K60" s="729"/>
      <c r="L60" s="731" t="str">
        <f>IFERROR(__xludf.DUMMYFUNCTION("""COMPUTED_VALUE"""),"Ngừng")</f>
        <v>Ngừng</v>
      </c>
      <c r="M60" s="729"/>
      <c r="N60" s="728" t="str">
        <f>IFERROR(__xludf.DUMMYFUNCTION("""COMPUTED_VALUE"""),"ngừng")</f>
        <v>ngừng</v>
      </c>
      <c r="O60" s="708"/>
      <c r="P60" s="708"/>
      <c r="Q60" s="708"/>
      <c r="R60" s="708"/>
      <c r="S60" s="708"/>
      <c r="T60" s="708"/>
      <c r="U60" s="708"/>
      <c r="V60" s="708"/>
      <c r="W60" s="708"/>
      <c r="X60" s="708"/>
      <c r="Y60" s="708"/>
      <c r="Z60" s="708"/>
      <c r="AA60" s="708"/>
      <c r="AB60" s="708"/>
      <c r="AC60" s="708"/>
      <c r="AD60" s="708"/>
      <c r="AE60" s="708"/>
    </row>
    <row r="61">
      <c r="A61" s="727">
        <f>IFERROR(__xludf.DUMMYFUNCTION("""COMPUTED_VALUE"""),46.0)</f>
        <v>46</v>
      </c>
      <c r="B61" s="728" t="str">
        <f>IFERROR(__xludf.DUMMYFUNCTION("""COMPUTED_VALUE"""),"BO_ESIGN")</f>
        <v>BO_ESIGN</v>
      </c>
      <c r="C61" s="728" t="str">
        <f>IFERROR(__xludf.DUMMYFUNCTION("""COMPUTED_VALUE"""),"BO_ESIGN")</f>
        <v>BO_ESIGN</v>
      </c>
      <c r="D61" s="728" t="str">
        <f>IFERROR(__xludf.DUMMYFUNCTION("""COMPUTED_VALUE"""),"NV Thẩm định CTS")</f>
        <v>NV Thẩm định CTS</v>
      </c>
      <c r="E61" s="728" t="str">
        <f>IFERROR(__xludf.DUMMYFUNCTION("""COMPUTED_VALUE"""),"BO")</f>
        <v>BO</v>
      </c>
      <c r="F61" s="729"/>
      <c r="G61" s="728" t="str">
        <f>IFERROR(__xludf.DUMMYFUNCTION("""COMPUTED_VALUE"""),"BO")</f>
        <v>BO</v>
      </c>
      <c r="H61" s="728" t="str">
        <f>IFERROR(__xludf.DUMMYFUNCTION("""COMPUTED_VALUE"""),"Nhân viên/ Chuyên viên/ Chuyên gia")</f>
        <v>Nhân viên/ Chuyên viên/ Chuyên gia</v>
      </c>
      <c r="I61" s="728" t="str">
        <f>IFERROR(__xludf.DUMMYFUNCTION("""COMPUTED_VALUE"""),"L00")</f>
        <v>L00</v>
      </c>
      <c r="J61" s="728" t="str">
        <f>IFERROR(__xludf.DUMMYFUNCTION("""COMPUTED_VALUE"""),"Công ty cổ phần MISA")</f>
        <v>Công ty cổ phần MISA</v>
      </c>
      <c r="K61" s="729"/>
      <c r="L61" s="728" t="str">
        <f>IFERROR(__xludf.DUMMYFUNCTION("""COMPUTED_VALUE"""),"Đang theo dõi")</f>
        <v>Đang theo dõi</v>
      </c>
      <c r="M61" s="729"/>
      <c r="N61" s="728" t="str">
        <f>IFERROR(__xludf.DUMMYFUNCTION("""COMPUTED_VALUE"""),"giữ nguyên")</f>
        <v>giữ nguyên</v>
      </c>
      <c r="O61" s="708"/>
      <c r="P61" s="708"/>
      <c r="Q61" s="708"/>
      <c r="R61" s="708"/>
      <c r="S61" s="708"/>
      <c r="T61" s="708"/>
      <c r="U61" s="708"/>
      <c r="V61" s="708"/>
      <c r="W61" s="708"/>
      <c r="X61" s="708"/>
      <c r="Y61" s="708"/>
      <c r="Z61" s="708"/>
      <c r="AA61" s="708"/>
      <c r="AB61" s="708"/>
      <c r="AC61" s="708"/>
      <c r="AD61" s="708"/>
      <c r="AE61" s="708"/>
    </row>
    <row r="62">
      <c r="A62" s="727">
        <f>IFERROR(__xludf.DUMMYFUNCTION("""COMPUTED_VALUE"""),47.0)</f>
        <v>47</v>
      </c>
      <c r="B62" s="728" t="str">
        <f>IFERROR(__xludf.DUMMYFUNCTION("""COMPUTED_VALUE"""),"BO_ESIGN_MGR")</f>
        <v>BO_ESIGN_MGR</v>
      </c>
      <c r="C62" s="728" t="str">
        <f>IFERROR(__xludf.DUMMYFUNCTION("""COMPUTED_VALUE"""),"BO_ESIGN_MGR")</f>
        <v>BO_ESIGN_MGR</v>
      </c>
      <c r="D62" s="728" t="str">
        <f>IFERROR(__xludf.DUMMYFUNCTION("""COMPUTED_VALUE"""),"Trưởng ban QL CTS")</f>
        <v>Trưởng ban QL CTS</v>
      </c>
      <c r="E62" s="728" t="str">
        <f>IFERROR(__xludf.DUMMYFUNCTION("""COMPUTED_VALUE"""),"BO_COD")</f>
        <v>BO_COD</v>
      </c>
      <c r="F62" s="728">
        <f>IFERROR(__xludf.DUMMYFUNCTION("""COMPUTED_VALUE"""),2.0)</f>
        <v>2</v>
      </c>
      <c r="G62" s="728" t="str">
        <f>IFERROR(__xludf.DUMMYFUNCTION("""COMPUTED_VALUE"""),"BO")</f>
        <v>BO</v>
      </c>
      <c r="H62" s="728" t="str">
        <f>IFERROR(__xludf.DUMMYFUNCTION("""COMPUTED_VALUE"""),"TPP/ Trưởng ban")</f>
        <v>TPP/ Trưởng ban</v>
      </c>
      <c r="I62" s="728" t="str">
        <f>IFERROR(__xludf.DUMMYFUNCTION("""COMPUTED_VALUE"""),"L00")</f>
        <v>L00</v>
      </c>
      <c r="J62" s="728" t="str">
        <f>IFERROR(__xludf.DUMMYFUNCTION("""COMPUTED_VALUE"""),"Công ty cổ phần MISA")</f>
        <v>Công ty cổ phần MISA</v>
      </c>
      <c r="K62" s="729"/>
      <c r="L62" s="728" t="str">
        <f>IFERROR(__xludf.DUMMYFUNCTION("""COMPUTED_VALUE"""),"Đang theo dõi")</f>
        <v>Đang theo dõi</v>
      </c>
      <c r="M62" s="729"/>
      <c r="N62" s="728" t="str">
        <f>IFERROR(__xludf.DUMMYFUNCTION("""COMPUTED_VALUE"""),"giữ nguyên")</f>
        <v>giữ nguyên</v>
      </c>
      <c r="O62" s="708"/>
      <c r="P62" s="708"/>
      <c r="Q62" s="708"/>
      <c r="R62" s="708"/>
      <c r="S62" s="708"/>
      <c r="T62" s="708"/>
      <c r="U62" s="708"/>
      <c r="V62" s="708"/>
      <c r="W62" s="708"/>
      <c r="X62" s="708"/>
      <c r="Y62" s="708"/>
      <c r="Z62" s="708"/>
      <c r="AA62" s="708"/>
      <c r="AB62" s="708"/>
      <c r="AC62" s="708"/>
      <c r="AD62" s="708"/>
      <c r="AE62" s="708"/>
    </row>
    <row r="63">
      <c r="A63" s="727">
        <f>IFERROR(__xludf.DUMMYFUNCTION("""COMPUTED_VALUE"""),48.0)</f>
        <v>48</v>
      </c>
      <c r="B63" s="728" t="str">
        <f>IFERROR(__xludf.DUMMYFUNCTION("""COMPUTED_VALUE"""),"BO_FIN")</f>
        <v>BO_FIN</v>
      </c>
      <c r="C63" s="728" t="str">
        <f>IFERROR(__xludf.DUMMYFUNCTION("""COMPUTED_VALUE"""),"BO_FIN")</f>
        <v>BO_FIN</v>
      </c>
      <c r="D63" s="728" t="str">
        <f>IFERROR(__xludf.DUMMYFUNCTION("""COMPUTED_VALUE"""),"NV Kế toán")</f>
        <v>NV Kế toán</v>
      </c>
      <c r="E63" s="728" t="str">
        <f>IFERROR(__xludf.DUMMYFUNCTION("""COMPUTED_VALUE"""),"BO")</f>
        <v>BO</v>
      </c>
      <c r="F63" s="729"/>
      <c r="G63" s="728" t="str">
        <f>IFERROR(__xludf.DUMMYFUNCTION("""COMPUTED_VALUE"""),"BO")</f>
        <v>BO</v>
      </c>
      <c r="H63" s="728" t="str">
        <f>IFERROR(__xludf.DUMMYFUNCTION("""COMPUTED_VALUE"""),"Nhân viên/ Chuyên viên/ Chuyên gia")</f>
        <v>Nhân viên/ Chuyên viên/ Chuyên gia</v>
      </c>
      <c r="I63" s="728" t="str">
        <f>IFERROR(__xludf.DUMMYFUNCTION("""COMPUTED_VALUE"""),"L00")</f>
        <v>L00</v>
      </c>
      <c r="J63" s="728" t="str">
        <f>IFERROR(__xludf.DUMMYFUNCTION("""COMPUTED_VALUE"""),"Công ty cổ phần MISA")</f>
        <v>Công ty cổ phần MISA</v>
      </c>
      <c r="K63" s="729"/>
      <c r="L63" s="728" t="str">
        <f>IFERROR(__xludf.DUMMYFUNCTION("""COMPUTED_VALUE"""),"Đang theo dõi")</f>
        <v>Đang theo dõi</v>
      </c>
      <c r="M63" s="729"/>
      <c r="N63" s="728" t="str">
        <f>IFERROR(__xludf.DUMMYFUNCTION("""COMPUTED_VALUE"""),"giữ nguyên")</f>
        <v>giữ nguyên</v>
      </c>
      <c r="O63" s="708"/>
      <c r="P63" s="708"/>
      <c r="Q63" s="708"/>
      <c r="R63" s="708"/>
      <c r="S63" s="708"/>
      <c r="T63" s="708"/>
      <c r="U63" s="708"/>
      <c r="V63" s="708"/>
      <c r="W63" s="708"/>
      <c r="X63" s="708"/>
      <c r="Y63" s="708"/>
      <c r="Z63" s="708"/>
      <c r="AA63" s="708"/>
      <c r="AB63" s="708"/>
      <c r="AC63" s="708"/>
      <c r="AD63" s="708"/>
      <c r="AE63" s="708"/>
    </row>
    <row r="64">
      <c r="A64" s="727">
        <f>IFERROR(__xludf.DUMMYFUNCTION("""COMPUTED_VALUE"""),49.0)</f>
        <v>49</v>
      </c>
      <c r="B64" s="728" t="str">
        <f>IFERROR(__xludf.DUMMYFUNCTION("""COMPUTED_VALUE"""),"BO_FIN_A.MGR")</f>
        <v>BO_FIN_A.MGR</v>
      </c>
      <c r="C64" s="728" t="str">
        <f>IFERROR(__xludf.DUMMYFUNCTION("""COMPUTED_VALUE"""),"BO_FIN_A.MGR")</f>
        <v>BO_FIN_A.MGR</v>
      </c>
      <c r="D64" s="728" t="str">
        <f>IFERROR(__xludf.DUMMYFUNCTION("""COMPUTED_VALUE"""),"Q. Trưởng phòng kế toán")</f>
        <v>Q. Trưởng phòng kế toán</v>
      </c>
      <c r="E64" s="728" t="str">
        <f>IFERROR(__xludf.DUMMYFUNCTION("""COMPUTED_VALUE"""),"BO_COD")</f>
        <v>BO_COD</v>
      </c>
      <c r="F64" s="728">
        <f>IFERROR(__xludf.DUMMYFUNCTION("""COMPUTED_VALUE"""),2.0)</f>
        <v>2</v>
      </c>
      <c r="G64" s="728" t="str">
        <f>IFERROR(__xludf.DUMMYFUNCTION("""COMPUTED_VALUE"""),"BO")</f>
        <v>BO</v>
      </c>
      <c r="H64" s="728" t="str">
        <f>IFERROR(__xludf.DUMMYFUNCTION("""COMPUTED_VALUE"""),"TPP/ Trưởng ban")</f>
        <v>TPP/ Trưởng ban</v>
      </c>
      <c r="I64" s="728" t="str">
        <f>IFERROR(__xludf.DUMMYFUNCTION("""COMPUTED_VALUE"""),"L00")</f>
        <v>L00</v>
      </c>
      <c r="J64" s="728" t="str">
        <f>IFERROR(__xludf.DUMMYFUNCTION("""COMPUTED_VALUE"""),"Công ty cổ phần MISA")</f>
        <v>Công ty cổ phần MISA</v>
      </c>
      <c r="K64" s="729"/>
      <c r="L64" s="728" t="str">
        <f>IFERROR(__xludf.DUMMYFUNCTION("""COMPUTED_VALUE"""),"Đang theo dõi")</f>
        <v>Đang theo dõi</v>
      </c>
      <c r="M64" s="729"/>
      <c r="N64" s="728" t="str">
        <f>IFERROR(__xludf.DUMMYFUNCTION("""COMPUTED_VALUE"""),"giữ nguyên")</f>
        <v>giữ nguyên</v>
      </c>
      <c r="O64" s="708"/>
      <c r="P64" s="708"/>
      <c r="Q64" s="708"/>
      <c r="R64" s="708"/>
      <c r="S64" s="708"/>
      <c r="T64" s="708"/>
      <c r="U64" s="708"/>
      <c r="V64" s="708"/>
      <c r="W64" s="708"/>
      <c r="X64" s="708"/>
      <c r="Y64" s="708"/>
      <c r="Z64" s="708"/>
      <c r="AA64" s="708"/>
      <c r="AB64" s="708"/>
      <c r="AC64" s="708"/>
      <c r="AD64" s="708"/>
      <c r="AE64" s="708"/>
    </row>
    <row r="65">
      <c r="A65" s="727">
        <f>IFERROR(__xludf.DUMMYFUNCTION("""COMPUTED_VALUE"""),50.0)</f>
        <v>50</v>
      </c>
      <c r="B65" s="728" t="str">
        <f>IFERROR(__xludf.DUMMYFUNCTION("""COMPUTED_VALUE"""),"BO_FIN_AL")</f>
        <v>BO_FIN_AL</v>
      </c>
      <c r="C65" s="728" t="str">
        <f>IFERROR(__xludf.DUMMYFUNCTION("""COMPUTED_VALUE"""),"BO_FIN_AL")</f>
        <v>BO_FIN_AL</v>
      </c>
      <c r="D65" s="728" t="str">
        <f>IFERROR(__xludf.DUMMYFUNCTION("""COMPUTED_VALUE"""),"Kế toán công nợ")</f>
        <v>Kế toán công nợ</v>
      </c>
      <c r="E65" s="728" t="str">
        <f>IFERROR(__xludf.DUMMYFUNCTION("""COMPUTED_VALUE"""),"BO")</f>
        <v>BO</v>
      </c>
      <c r="F65" s="729"/>
      <c r="G65" s="728" t="str">
        <f>IFERROR(__xludf.DUMMYFUNCTION("""COMPUTED_VALUE"""),"BO")</f>
        <v>BO</v>
      </c>
      <c r="H65" s="728" t="str">
        <f>IFERROR(__xludf.DUMMYFUNCTION("""COMPUTED_VALUE"""),"Nhân viên/ Chuyên viên/ Chuyên gia")</f>
        <v>Nhân viên/ Chuyên viên/ Chuyên gia</v>
      </c>
      <c r="I65" s="728" t="str">
        <f>IFERROR(__xludf.DUMMYFUNCTION("""COMPUTED_VALUE"""),"L00")</f>
        <v>L00</v>
      </c>
      <c r="J65" s="728" t="str">
        <f>IFERROR(__xludf.DUMMYFUNCTION("""COMPUTED_VALUE"""),"Công ty cổ phần MISA")</f>
        <v>Công ty cổ phần MISA</v>
      </c>
      <c r="K65" s="729"/>
      <c r="L65" s="728" t="str">
        <f>IFERROR(__xludf.DUMMYFUNCTION("""COMPUTED_VALUE"""),"Đang theo dõi")</f>
        <v>Đang theo dõi</v>
      </c>
      <c r="M65" s="729"/>
      <c r="N65" s="728" t="str">
        <f>IFERROR(__xludf.DUMMYFUNCTION("""COMPUTED_VALUE"""),"giữ nguyên")</f>
        <v>giữ nguyên</v>
      </c>
      <c r="O65" s="708"/>
      <c r="P65" s="708"/>
      <c r="Q65" s="708"/>
      <c r="R65" s="708"/>
      <c r="S65" s="708"/>
      <c r="T65" s="708"/>
      <c r="U65" s="708"/>
      <c r="V65" s="708"/>
      <c r="W65" s="708"/>
      <c r="X65" s="708"/>
      <c r="Y65" s="708"/>
      <c r="Z65" s="708"/>
      <c r="AA65" s="708"/>
      <c r="AB65" s="708"/>
      <c r="AC65" s="708"/>
      <c r="AD65" s="708"/>
      <c r="AE65" s="708"/>
    </row>
    <row r="66">
      <c r="A66" s="727">
        <f>IFERROR(__xludf.DUMMYFUNCTION("""COMPUTED_VALUE"""),51.0)</f>
        <v>51</v>
      </c>
      <c r="B66" s="728" t="str">
        <f>IFERROR(__xludf.DUMMYFUNCTION("""COMPUTED_VALUE"""),"BO_FIN_AP")</f>
        <v>BO_FIN_AP</v>
      </c>
      <c r="C66" s="728" t="str">
        <f>IFERROR(__xludf.DUMMYFUNCTION("""COMPUTED_VALUE"""),"BO_FIN_AP")</f>
        <v>BO_FIN_AP</v>
      </c>
      <c r="D66" s="728" t="str">
        <f>IFERROR(__xludf.DUMMYFUNCTION("""COMPUTED_VALUE"""),"Kế toán thanh toán")</f>
        <v>Kế toán thanh toán</v>
      </c>
      <c r="E66" s="728" t="str">
        <f>IFERROR(__xludf.DUMMYFUNCTION("""COMPUTED_VALUE"""),"BO")</f>
        <v>BO</v>
      </c>
      <c r="F66" s="729"/>
      <c r="G66" s="728" t="str">
        <f>IFERROR(__xludf.DUMMYFUNCTION("""COMPUTED_VALUE"""),"BO")</f>
        <v>BO</v>
      </c>
      <c r="H66" s="728" t="str">
        <f>IFERROR(__xludf.DUMMYFUNCTION("""COMPUTED_VALUE"""),"Nhân viên/ Chuyên viên/ Chuyên gia")</f>
        <v>Nhân viên/ Chuyên viên/ Chuyên gia</v>
      </c>
      <c r="I66" s="728" t="str">
        <f>IFERROR(__xludf.DUMMYFUNCTION("""COMPUTED_VALUE"""),"L00")</f>
        <v>L00</v>
      </c>
      <c r="J66" s="728" t="str">
        <f>IFERROR(__xludf.DUMMYFUNCTION("""COMPUTED_VALUE"""),"Công ty cổ phần MISA")</f>
        <v>Công ty cổ phần MISA</v>
      </c>
      <c r="K66" s="729"/>
      <c r="L66" s="728" t="str">
        <f>IFERROR(__xludf.DUMMYFUNCTION("""COMPUTED_VALUE"""),"Đang theo dõi")</f>
        <v>Đang theo dõi</v>
      </c>
      <c r="M66" s="729"/>
      <c r="N66" s="728" t="str">
        <f>IFERROR(__xludf.DUMMYFUNCTION("""COMPUTED_VALUE"""),"giữ nguyên")</f>
        <v>giữ nguyên</v>
      </c>
      <c r="O66" s="708"/>
      <c r="P66" s="708"/>
      <c r="Q66" s="708"/>
      <c r="R66" s="708"/>
      <c r="S66" s="708"/>
      <c r="T66" s="708"/>
      <c r="U66" s="708"/>
      <c r="V66" s="708"/>
      <c r="W66" s="708"/>
      <c r="X66" s="708"/>
      <c r="Y66" s="708"/>
      <c r="Z66" s="708"/>
      <c r="AA66" s="708"/>
      <c r="AB66" s="708"/>
      <c r="AC66" s="708"/>
      <c r="AD66" s="708"/>
      <c r="AE66" s="708"/>
    </row>
    <row r="67">
      <c r="A67" s="727">
        <f>IFERROR(__xludf.DUMMYFUNCTION("""COMPUTED_VALUE"""),52.0)</f>
        <v>52</v>
      </c>
      <c r="B67" s="728" t="str">
        <f>IFERROR(__xludf.DUMMYFUNCTION("""COMPUTED_VALUE"""),"BO_FIN_CACT")</f>
        <v>BO_FIN_CACT</v>
      </c>
      <c r="C67" s="728" t="str">
        <f>IFERROR(__xludf.DUMMYFUNCTION("""COMPUTED_VALUE"""),"BO_FIN_CACT")</f>
        <v>BO_FIN_CACT</v>
      </c>
      <c r="D67" s="728" t="str">
        <f>IFERROR(__xludf.DUMMYFUNCTION("""COMPUTED_VALUE"""),"Kế toán trưởng")</f>
        <v>Kế toán trưởng</v>
      </c>
      <c r="E67" s="728" t="str">
        <f>IFERROR(__xludf.DUMMYFUNCTION("""COMPUTED_VALUE"""),"BO_COD")</f>
        <v>BO_COD</v>
      </c>
      <c r="F67" s="728">
        <f>IFERROR(__xludf.DUMMYFUNCTION("""COMPUTED_VALUE"""),2.0)</f>
        <v>2</v>
      </c>
      <c r="G67" s="728" t="str">
        <f>IFERROR(__xludf.DUMMYFUNCTION("""COMPUTED_VALUE"""),"BO")</f>
        <v>BO</v>
      </c>
      <c r="H67" s="728" t="str">
        <f>IFERROR(__xludf.DUMMYFUNCTION("""COMPUTED_VALUE"""),"TPP/ Trưởng ban")</f>
        <v>TPP/ Trưởng ban</v>
      </c>
      <c r="I67" s="728" t="str">
        <f>IFERROR(__xludf.DUMMYFUNCTION("""COMPUTED_VALUE"""),"L00")</f>
        <v>L00</v>
      </c>
      <c r="J67" s="728" t="str">
        <f>IFERROR(__xludf.DUMMYFUNCTION("""COMPUTED_VALUE"""),"Công ty cổ phần MISA")</f>
        <v>Công ty cổ phần MISA</v>
      </c>
      <c r="K67" s="729"/>
      <c r="L67" s="728" t="str">
        <f>IFERROR(__xludf.DUMMYFUNCTION("""COMPUTED_VALUE"""),"Đang theo dõi")</f>
        <v>Đang theo dõi</v>
      </c>
      <c r="M67" s="729"/>
      <c r="N67" s="728" t="str">
        <f>IFERROR(__xludf.DUMMYFUNCTION("""COMPUTED_VALUE"""),"giữ nguyên")</f>
        <v>giữ nguyên</v>
      </c>
      <c r="O67" s="708"/>
      <c r="P67" s="708"/>
      <c r="Q67" s="708"/>
      <c r="R67" s="708"/>
      <c r="S67" s="708"/>
      <c r="T67" s="708"/>
      <c r="U67" s="708"/>
      <c r="V67" s="708"/>
      <c r="W67" s="708"/>
      <c r="X67" s="708"/>
      <c r="Y67" s="708"/>
      <c r="Z67" s="708"/>
      <c r="AA67" s="708"/>
      <c r="AB67" s="708"/>
      <c r="AC67" s="708"/>
      <c r="AD67" s="708"/>
      <c r="AE67" s="708"/>
    </row>
    <row r="68">
      <c r="A68" s="727">
        <f>IFERROR(__xludf.DUMMYFUNCTION("""COMPUTED_VALUE"""),53.0)</f>
        <v>53</v>
      </c>
      <c r="B68" s="728" t="str">
        <f>IFERROR(__xludf.DUMMYFUNCTION("""COMPUTED_VALUE"""),"BO_FIN_FA")</f>
        <v>BO_FIN_FA</v>
      </c>
      <c r="C68" s="728" t="str">
        <f>IFERROR(__xludf.DUMMYFUNCTION("""COMPUTED_VALUE"""),"BO_FIN_FA")</f>
        <v>BO_FIN_FA</v>
      </c>
      <c r="D68" s="728" t="str">
        <f>IFERROR(__xludf.DUMMYFUNCTION("""COMPUTED_VALUE"""),"Cố vấn tài chính")</f>
        <v>Cố vấn tài chính</v>
      </c>
      <c r="E68" s="728" t="str">
        <f>IFERROR(__xludf.DUMMYFUNCTION("""COMPUTED_VALUE"""),"BO")</f>
        <v>BO</v>
      </c>
      <c r="F68" s="728">
        <f>IFERROR(__xludf.DUMMYFUNCTION("""COMPUTED_VALUE"""),3.0)</f>
        <v>3</v>
      </c>
      <c r="G68" s="728" t="str">
        <f>IFERROR(__xludf.DUMMYFUNCTION("""COMPUTED_VALUE"""),"BO")</f>
        <v>BO</v>
      </c>
      <c r="H68" s="728" t="str">
        <f>IFERROR(__xludf.DUMMYFUNCTION("""COMPUTED_VALUE"""),"TPP/ Trưởng ban")</f>
        <v>TPP/ Trưởng ban</v>
      </c>
      <c r="I68" s="728" t="str">
        <f>IFERROR(__xludf.DUMMYFUNCTION("""COMPUTED_VALUE"""),"L00")</f>
        <v>L00</v>
      </c>
      <c r="J68" s="728" t="str">
        <f>IFERROR(__xludf.DUMMYFUNCTION("""COMPUTED_VALUE"""),"Công ty cổ phần MISA")</f>
        <v>Công ty cổ phần MISA</v>
      </c>
      <c r="K68" s="729"/>
      <c r="L68" s="728" t="str">
        <f>IFERROR(__xludf.DUMMYFUNCTION("""COMPUTED_VALUE"""),"Đang theo dõi")</f>
        <v>Đang theo dõi</v>
      </c>
      <c r="M68" s="729"/>
      <c r="N68" s="728" t="str">
        <f>IFERROR(__xludf.DUMMYFUNCTION("""COMPUTED_VALUE"""),"giữ nguyên")</f>
        <v>giữ nguyên</v>
      </c>
      <c r="O68" s="708"/>
      <c r="P68" s="708"/>
      <c r="Q68" s="708"/>
      <c r="R68" s="708"/>
      <c r="S68" s="708"/>
      <c r="T68" s="708"/>
      <c r="U68" s="708"/>
      <c r="V68" s="708"/>
      <c r="W68" s="708"/>
      <c r="X68" s="708"/>
      <c r="Y68" s="708"/>
      <c r="Z68" s="708"/>
      <c r="AA68" s="708"/>
      <c r="AB68" s="708"/>
      <c r="AC68" s="708"/>
      <c r="AD68" s="708"/>
      <c r="AE68" s="708"/>
    </row>
    <row r="69">
      <c r="A69" s="727">
        <f>IFERROR(__xludf.DUMMYFUNCTION("""COMPUTED_VALUE"""),54.0)</f>
        <v>54</v>
      </c>
      <c r="B69" s="728" t="str">
        <f>IFERROR(__xludf.DUMMYFUNCTION("""COMPUTED_VALUE"""),"BO_FIN_GACT")</f>
        <v>BO_FIN_GACT</v>
      </c>
      <c r="C69" s="728" t="str">
        <f>IFERROR(__xludf.DUMMYFUNCTION("""COMPUTED_VALUE"""),"BO_FIN_GACT")</f>
        <v>BO_FIN_GACT</v>
      </c>
      <c r="D69" s="728" t="str">
        <f>IFERROR(__xludf.DUMMYFUNCTION("""COMPUTED_VALUE"""),"Kế toán tổng hợp")</f>
        <v>Kế toán tổng hợp</v>
      </c>
      <c r="E69" s="728" t="str">
        <f>IFERROR(__xludf.DUMMYFUNCTION("""COMPUTED_VALUE"""),"BO")</f>
        <v>BO</v>
      </c>
      <c r="F69" s="729"/>
      <c r="G69" s="728" t="str">
        <f>IFERROR(__xludf.DUMMYFUNCTION("""COMPUTED_VALUE"""),"BO")</f>
        <v>BO</v>
      </c>
      <c r="H69" s="728" t="str">
        <f>IFERROR(__xludf.DUMMYFUNCTION("""COMPUTED_VALUE"""),"Nhân viên/ Chuyên viên/ Chuyên gia")</f>
        <v>Nhân viên/ Chuyên viên/ Chuyên gia</v>
      </c>
      <c r="I69" s="728" t="str">
        <f>IFERROR(__xludf.DUMMYFUNCTION("""COMPUTED_VALUE"""),"L00")</f>
        <v>L00</v>
      </c>
      <c r="J69" s="728" t="str">
        <f>IFERROR(__xludf.DUMMYFUNCTION("""COMPUTED_VALUE"""),"Công ty cổ phần MISA")</f>
        <v>Công ty cổ phần MISA</v>
      </c>
      <c r="K69" s="729"/>
      <c r="L69" s="728" t="str">
        <f>IFERROR(__xludf.DUMMYFUNCTION("""COMPUTED_VALUE"""),"Đang theo dõi")</f>
        <v>Đang theo dõi</v>
      </c>
      <c r="M69" s="729"/>
      <c r="N69" s="728" t="str">
        <f>IFERROR(__xludf.DUMMYFUNCTION("""COMPUTED_VALUE"""),"giữ nguyên")</f>
        <v>giữ nguyên</v>
      </c>
      <c r="O69" s="708"/>
      <c r="P69" s="708"/>
      <c r="Q69" s="708"/>
      <c r="R69" s="708"/>
      <c r="S69" s="708"/>
      <c r="T69" s="708"/>
      <c r="U69" s="708"/>
      <c r="V69" s="708"/>
      <c r="W69" s="708"/>
      <c r="X69" s="708"/>
      <c r="Y69" s="708"/>
      <c r="Z69" s="708"/>
      <c r="AA69" s="708"/>
      <c r="AB69" s="708"/>
      <c r="AC69" s="708"/>
      <c r="AD69" s="708"/>
      <c r="AE69" s="708"/>
    </row>
    <row r="70">
      <c r="A70" s="727">
        <f>IFERROR(__xludf.DUMMYFUNCTION("""COMPUTED_VALUE"""),55.0)</f>
        <v>55</v>
      </c>
      <c r="B70" s="728" t="str">
        <f>IFERROR(__xludf.DUMMYFUNCTION("""COMPUTED_VALUE"""),"BO_FIN_IC")</f>
        <v>BO_FIN_IC</v>
      </c>
      <c r="C70" s="728" t="str">
        <f>IFERROR(__xludf.DUMMYFUNCTION("""COMPUTED_VALUE"""),"BO_FIN_IC")</f>
        <v>BO_FIN_IC</v>
      </c>
      <c r="D70" s="728" t="str">
        <f>IFERROR(__xludf.DUMMYFUNCTION("""COMPUTED_VALUE"""),"Phụ trách kế toán")</f>
        <v>Phụ trách kế toán</v>
      </c>
      <c r="E70" s="728" t="str">
        <f>IFERROR(__xludf.DUMMYFUNCTION("""COMPUTED_VALUE"""),"BO")</f>
        <v>BO</v>
      </c>
      <c r="F70" s="729"/>
      <c r="G70" s="728" t="str">
        <f>IFERROR(__xludf.DUMMYFUNCTION("""COMPUTED_VALUE"""),"BO")</f>
        <v>BO</v>
      </c>
      <c r="H70" s="728" t="str">
        <f>IFERROR(__xludf.DUMMYFUNCTION("""COMPUTED_VALUE"""),"Nhân viên/ Chuyên viên/ Chuyên gia")</f>
        <v>Nhân viên/ Chuyên viên/ Chuyên gia</v>
      </c>
      <c r="I70" s="728" t="str">
        <f>IFERROR(__xludf.DUMMYFUNCTION("""COMPUTED_VALUE"""),"L00")</f>
        <v>L00</v>
      </c>
      <c r="J70" s="728" t="str">
        <f>IFERROR(__xludf.DUMMYFUNCTION("""COMPUTED_VALUE"""),"Công ty cổ phần MISA")</f>
        <v>Công ty cổ phần MISA</v>
      </c>
      <c r="K70" s="729"/>
      <c r="L70" s="728" t="str">
        <f>IFERROR(__xludf.DUMMYFUNCTION("""COMPUTED_VALUE"""),"Đang theo dõi")</f>
        <v>Đang theo dõi</v>
      </c>
      <c r="M70" s="729"/>
      <c r="N70" s="728" t="str">
        <f>IFERROR(__xludf.DUMMYFUNCTION("""COMPUTED_VALUE"""),"giữ nguyên")</f>
        <v>giữ nguyên</v>
      </c>
      <c r="O70" s="708"/>
      <c r="P70" s="708"/>
      <c r="Q70" s="708"/>
      <c r="R70" s="708"/>
      <c r="S70" s="708"/>
      <c r="T70" s="708"/>
      <c r="U70" s="708"/>
      <c r="V70" s="708"/>
      <c r="W70" s="708"/>
      <c r="X70" s="708"/>
      <c r="Y70" s="708"/>
      <c r="Z70" s="708"/>
      <c r="AA70" s="708"/>
      <c r="AB70" s="708"/>
      <c r="AC70" s="708"/>
      <c r="AD70" s="708"/>
      <c r="AE70" s="708"/>
    </row>
    <row r="71">
      <c r="A71" s="727">
        <f>IFERROR(__xludf.DUMMYFUNCTION("""COMPUTED_VALUE"""),56.0)</f>
        <v>56</v>
      </c>
      <c r="B71" s="728" t="str">
        <f>IFERROR(__xludf.DUMMYFUNCTION("""COMPUTED_VALUE"""),"BO_FIN_MGR")</f>
        <v>BO_FIN_MGR</v>
      </c>
      <c r="C71" s="728" t="str">
        <f>IFERROR(__xludf.DUMMYFUNCTION("""COMPUTED_VALUE"""),"BO_FIN_MGR")</f>
        <v>BO_FIN_MGR</v>
      </c>
      <c r="D71" s="728" t="str">
        <f>IFERROR(__xludf.DUMMYFUNCTION("""COMPUTED_VALUE"""),"Trưởng phòng kế toán")</f>
        <v>Trưởng phòng kế toán</v>
      </c>
      <c r="E71" s="728" t="str">
        <f>IFERROR(__xludf.DUMMYFUNCTION("""COMPUTED_VALUE"""),"BO_COD")</f>
        <v>BO_COD</v>
      </c>
      <c r="F71" s="728">
        <f>IFERROR(__xludf.DUMMYFUNCTION("""COMPUTED_VALUE"""),2.0)</f>
        <v>2</v>
      </c>
      <c r="G71" s="728" t="str">
        <f>IFERROR(__xludf.DUMMYFUNCTION("""COMPUTED_VALUE"""),"BO")</f>
        <v>BO</v>
      </c>
      <c r="H71" s="728" t="str">
        <f>IFERROR(__xludf.DUMMYFUNCTION("""COMPUTED_VALUE"""),"TPP/ Trưởng ban")</f>
        <v>TPP/ Trưởng ban</v>
      </c>
      <c r="I71" s="728" t="str">
        <f>IFERROR(__xludf.DUMMYFUNCTION("""COMPUTED_VALUE"""),"L00")</f>
        <v>L00</v>
      </c>
      <c r="J71" s="728" t="str">
        <f>IFERROR(__xludf.DUMMYFUNCTION("""COMPUTED_VALUE"""),"Công ty cổ phần MISA")</f>
        <v>Công ty cổ phần MISA</v>
      </c>
      <c r="K71" s="729"/>
      <c r="L71" s="728" t="str">
        <f>IFERROR(__xludf.DUMMYFUNCTION("""COMPUTED_VALUE"""),"Đang theo dõi")</f>
        <v>Đang theo dõi</v>
      </c>
      <c r="M71" s="729"/>
      <c r="N71" s="728" t="str">
        <f>IFERROR(__xludf.DUMMYFUNCTION("""COMPUTED_VALUE"""),"giữ nguyên")</f>
        <v>giữ nguyên</v>
      </c>
      <c r="O71" s="708"/>
      <c r="P71" s="708"/>
      <c r="Q71" s="708"/>
      <c r="R71" s="708"/>
      <c r="S71" s="708"/>
      <c r="T71" s="708"/>
      <c r="U71" s="708"/>
      <c r="V71" s="708"/>
      <c r="W71" s="708"/>
      <c r="X71" s="708"/>
      <c r="Y71" s="708"/>
      <c r="Z71" s="708"/>
      <c r="AA71" s="708"/>
      <c r="AB71" s="708"/>
      <c r="AC71" s="708"/>
      <c r="AD71" s="708"/>
      <c r="AE71" s="708"/>
    </row>
    <row r="72">
      <c r="A72" s="727">
        <f>IFERROR(__xludf.DUMMYFUNCTION("""COMPUTED_VALUE"""),57.0)</f>
        <v>57</v>
      </c>
      <c r="B72" s="728" t="str">
        <f>IFERROR(__xludf.DUMMYFUNCTION("""COMPUTED_VALUE"""),"BO_FIN_SACT")</f>
        <v>BO_FIN_SACT</v>
      </c>
      <c r="C72" s="728" t="str">
        <f>IFERROR(__xludf.DUMMYFUNCTION("""COMPUTED_VALUE"""),"BO_FIN_SACT")</f>
        <v>BO_FIN_SACT</v>
      </c>
      <c r="D72" s="728" t="str">
        <f>IFERROR(__xludf.DUMMYFUNCTION("""COMPUTED_VALUE"""),"Kế toán bán hàng")</f>
        <v>Kế toán bán hàng</v>
      </c>
      <c r="E72" s="728" t="str">
        <f>IFERROR(__xludf.DUMMYFUNCTION("""COMPUTED_VALUE"""),"BO")</f>
        <v>BO</v>
      </c>
      <c r="F72" s="729"/>
      <c r="G72" s="728" t="str">
        <f>IFERROR(__xludf.DUMMYFUNCTION("""COMPUTED_VALUE"""),"BO")</f>
        <v>BO</v>
      </c>
      <c r="H72" s="728" t="str">
        <f>IFERROR(__xludf.DUMMYFUNCTION("""COMPUTED_VALUE"""),"Nhân viên/ Chuyên viên/ Chuyên gia")</f>
        <v>Nhân viên/ Chuyên viên/ Chuyên gia</v>
      </c>
      <c r="I72" s="728" t="str">
        <f>IFERROR(__xludf.DUMMYFUNCTION("""COMPUTED_VALUE"""),"L00")</f>
        <v>L00</v>
      </c>
      <c r="J72" s="728" t="str">
        <f>IFERROR(__xludf.DUMMYFUNCTION("""COMPUTED_VALUE"""),"Công ty cổ phần MISA")</f>
        <v>Công ty cổ phần MISA</v>
      </c>
      <c r="K72" s="729"/>
      <c r="L72" s="728" t="str">
        <f>IFERROR(__xludf.DUMMYFUNCTION("""COMPUTED_VALUE"""),"Đang theo dõi")</f>
        <v>Đang theo dõi</v>
      </c>
      <c r="M72" s="729"/>
      <c r="N72" s="728" t="str">
        <f>IFERROR(__xludf.DUMMYFUNCTION("""COMPUTED_VALUE"""),"giữ nguyên")</f>
        <v>giữ nguyên</v>
      </c>
      <c r="O72" s="708"/>
      <c r="P72" s="708"/>
      <c r="Q72" s="708"/>
      <c r="R72" s="708"/>
      <c r="S72" s="708"/>
      <c r="T72" s="708"/>
      <c r="U72" s="708"/>
      <c r="V72" s="708"/>
      <c r="W72" s="708"/>
      <c r="X72" s="708"/>
      <c r="Y72" s="708"/>
      <c r="Z72" s="708"/>
      <c r="AA72" s="708"/>
      <c r="AB72" s="708"/>
      <c r="AC72" s="708"/>
      <c r="AD72" s="708"/>
      <c r="AE72" s="708"/>
    </row>
    <row r="73">
      <c r="A73" s="727">
        <f>IFERROR(__xludf.DUMMYFUNCTION("""COMPUTED_VALUE"""),58.0)</f>
        <v>58</v>
      </c>
      <c r="B73" s="731" t="str">
        <f>IFERROR(__xludf.DUMMYFUNCTION("""COMPUTED_VALUE"""),"BO_HCTH_HR")</f>
        <v>BO_HCTH_HR</v>
      </c>
      <c r="C73" s="731" t="str">
        <f>IFERROR(__xludf.DUMMYFUNCTION("""COMPUTED_VALUE"""),"BO_HCTH_HR")</f>
        <v>BO_HCTH_HR</v>
      </c>
      <c r="D73" s="731" t="str">
        <f>IFERROR(__xludf.DUMMYFUNCTION("""COMPUTED_VALUE"""),"Nhân viên HR")</f>
        <v>Nhân viên HR</v>
      </c>
      <c r="E73" s="731" t="str">
        <f>IFERROR(__xludf.DUMMYFUNCTION("""COMPUTED_VALUE"""),"BO")</f>
        <v>BO</v>
      </c>
      <c r="F73" s="729"/>
      <c r="G73" s="731" t="str">
        <f>IFERROR(__xludf.DUMMYFUNCTION("""COMPUTED_VALUE"""),"BO")</f>
        <v>BO</v>
      </c>
      <c r="H73" s="731" t="str">
        <f>IFERROR(__xludf.DUMMYFUNCTION("""COMPUTED_VALUE"""),"Nhân viên/ Chuyên viên/ Chuyên gia")</f>
        <v>Nhân viên/ Chuyên viên/ Chuyên gia</v>
      </c>
      <c r="I73" s="729"/>
      <c r="J73" s="731" t="str">
        <f>IFERROR(__xludf.DUMMYFUNCTION("""COMPUTED_VALUE"""),"Công ty cổ phần MISA")</f>
        <v>Công ty cổ phần MISA</v>
      </c>
      <c r="K73" s="729"/>
      <c r="L73" s="731" t="str">
        <f>IFERROR(__xludf.DUMMYFUNCTION("""COMPUTED_VALUE"""),"Ngừng")</f>
        <v>Ngừng</v>
      </c>
      <c r="M73" s="729"/>
      <c r="N73" s="728" t="str">
        <f>IFERROR(__xludf.DUMMYFUNCTION("""COMPUTED_VALUE"""),"ngừng")</f>
        <v>ngừng</v>
      </c>
      <c r="O73" s="708"/>
      <c r="P73" s="708"/>
      <c r="Q73" s="708"/>
      <c r="R73" s="708"/>
      <c r="S73" s="708"/>
      <c r="T73" s="708"/>
      <c r="U73" s="708"/>
      <c r="V73" s="708"/>
      <c r="W73" s="708"/>
      <c r="X73" s="708"/>
      <c r="Y73" s="708"/>
      <c r="Z73" s="708"/>
      <c r="AA73" s="708"/>
      <c r="AB73" s="708"/>
      <c r="AC73" s="708"/>
      <c r="AD73" s="708"/>
      <c r="AE73" s="708"/>
    </row>
    <row r="74">
      <c r="A74" s="727">
        <f>IFERROR(__xludf.DUMMYFUNCTION("""COMPUTED_VALUE"""),59.0)</f>
        <v>59</v>
      </c>
      <c r="B74" s="731" t="str">
        <f>IFERROR(__xludf.DUMMYFUNCTION("""COMPUTED_VALUE"""),"BO_HCTH_TROLY_TGĐ")</f>
        <v>BO_HCTH_TROLY_TGĐ</v>
      </c>
      <c r="C74" s="731" t="str">
        <f>IFERROR(__xludf.DUMMYFUNCTION("""COMPUTED_VALUE"""),"BO_HCTH_TROLY_TGĐ")</f>
        <v>BO_HCTH_TROLY_TGĐ</v>
      </c>
      <c r="D74" s="731" t="str">
        <f>IFERROR(__xludf.DUMMYFUNCTION("""COMPUTED_VALUE"""),"Trợ lý Tổng giám đốc")</f>
        <v>Trợ lý Tổng giám đốc</v>
      </c>
      <c r="E74" s="731" t="str">
        <f>IFERROR(__xludf.DUMMYFUNCTION("""COMPUTED_VALUE"""),"BO")</f>
        <v>BO</v>
      </c>
      <c r="F74" s="729"/>
      <c r="G74" s="731" t="str">
        <f>IFERROR(__xludf.DUMMYFUNCTION("""COMPUTED_VALUE"""),"BO")</f>
        <v>BO</v>
      </c>
      <c r="H74" s="731" t="str">
        <f>IFERROR(__xludf.DUMMYFUNCTION("""COMPUTED_VALUE"""),"Nhân viên/ Chuyên viên/ Chuyên gia")</f>
        <v>Nhân viên/ Chuyên viên/ Chuyên gia</v>
      </c>
      <c r="I74" s="729"/>
      <c r="J74" s="731" t="str">
        <f>IFERROR(__xludf.DUMMYFUNCTION("""COMPUTED_VALUE"""),"Công ty cổ phần MISA")</f>
        <v>Công ty cổ phần MISA</v>
      </c>
      <c r="K74" s="729"/>
      <c r="L74" s="731" t="str">
        <f>IFERROR(__xludf.DUMMYFUNCTION("""COMPUTED_VALUE"""),"Ngừng")</f>
        <v>Ngừng</v>
      </c>
      <c r="M74" s="729"/>
      <c r="N74" s="728" t="str">
        <f>IFERROR(__xludf.DUMMYFUNCTION("""COMPUTED_VALUE"""),"ngừng")</f>
        <v>ngừng</v>
      </c>
      <c r="O74" s="708"/>
      <c r="P74" s="708"/>
      <c r="Q74" s="708"/>
      <c r="R74" s="708"/>
      <c r="S74" s="708"/>
      <c r="T74" s="708"/>
      <c r="U74" s="708"/>
      <c r="V74" s="708"/>
      <c r="W74" s="708"/>
      <c r="X74" s="708"/>
      <c r="Y74" s="708"/>
      <c r="Z74" s="708"/>
      <c r="AA74" s="708"/>
      <c r="AB74" s="708"/>
      <c r="AC74" s="708"/>
      <c r="AD74" s="708"/>
      <c r="AE74" s="708"/>
    </row>
    <row r="75">
      <c r="A75" s="727">
        <f>IFERROR(__xludf.DUMMYFUNCTION("""COMPUTED_VALUE"""),60.0)</f>
        <v>60</v>
      </c>
      <c r="B75" s="731" t="str">
        <f>IFERROR(__xludf.DUMMYFUNCTION("""COMPUTED_VALUE"""),"BO_HR")</f>
        <v>BO_HR</v>
      </c>
      <c r="C75" s="731" t="str">
        <f>IFERROR(__xludf.DUMMYFUNCTION("""COMPUTED_VALUE"""),"BO_HR")</f>
        <v>BO_HR</v>
      </c>
      <c r="D75" s="731" t="str">
        <f>IFERROR(__xludf.DUMMYFUNCTION("""COMPUTED_VALUE"""),"NV Nhân sự")</f>
        <v>NV Nhân sự</v>
      </c>
      <c r="E75" s="731" t="str">
        <f>IFERROR(__xludf.DUMMYFUNCTION("""COMPUTED_VALUE"""),"BO")</f>
        <v>BO</v>
      </c>
      <c r="F75" s="729"/>
      <c r="G75" s="731" t="str">
        <f>IFERROR(__xludf.DUMMYFUNCTION("""COMPUTED_VALUE"""),"BO")</f>
        <v>BO</v>
      </c>
      <c r="H75" s="731" t="str">
        <f>IFERROR(__xludf.DUMMYFUNCTION("""COMPUTED_VALUE"""),"Nhân viên/ Chuyên viên/ Chuyên gia")</f>
        <v>Nhân viên/ Chuyên viên/ Chuyên gia</v>
      </c>
      <c r="I75" s="731" t="str">
        <f>IFERROR(__xludf.DUMMYFUNCTION("""COMPUTED_VALUE"""),"L00")</f>
        <v>L00</v>
      </c>
      <c r="J75" s="731" t="str">
        <f>IFERROR(__xludf.DUMMYFUNCTION("""COMPUTED_VALUE"""),"Công ty cổ phần MISA")</f>
        <v>Công ty cổ phần MISA</v>
      </c>
      <c r="K75" s="729"/>
      <c r="L75" s="731" t="str">
        <f>IFERROR(__xludf.DUMMYFUNCTION("""COMPUTED_VALUE"""),"Ngừng")</f>
        <v>Ngừng</v>
      </c>
      <c r="M75" s="731" t="str">
        <f>IFERROR(__xludf.DUMMYFUNCTION("""COMPUTED_VALUE"""),"HR tổng hợp tại VP")</f>
        <v>HR tổng hợp tại VP</v>
      </c>
      <c r="N75" s="728" t="str">
        <f>IFERROR(__xludf.DUMMYFUNCTION("""COMPUTED_VALUE"""),"ngừng")</f>
        <v>ngừng</v>
      </c>
      <c r="O75" s="708"/>
      <c r="P75" s="708"/>
      <c r="Q75" s="708"/>
      <c r="R75" s="708"/>
      <c r="S75" s="708"/>
      <c r="T75" s="708"/>
      <c r="U75" s="708"/>
      <c r="V75" s="708"/>
      <c r="W75" s="708"/>
      <c r="X75" s="708"/>
      <c r="Y75" s="708"/>
      <c r="Z75" s="708"/>
      <c r="AA75" s="708"/>
      <c r="AB75" s="708"/>
      <c r="AC75" s="708"/>
      <c r="AD75" s="708"/>
      <c r="AE75" s="708"/>
    </row>
    <row r="76">
      <c r="A76" s="727">
        <f>IFERROR(__xludf.DUMMYFUNCTION("""COMPUTED_VALUE"""),61.0)</f>
        <v>61</v>
      </c>
      <c r="B76" s="731" t="str">
        <f>IFERROR(__xludf.DUMMYFUNCTION("""COMPUTED_VALUE"""),"BO_HR_A. HRBPD")</f>
        <v>BO_HR_A. HRBPD</v>
      </c>
      <c r="C76" s="731" t="str">
        <f>IFERROR(__xludf.DUMMYFUNCTION("""COMPUTED_VALUE"""),"BO_HR_A. HRBPD")</f>
        <v>BO_HR_A. HRBPD</v>
      </c>
      <c r="D76" s="731" t="str">
        <f>IFERROR(__xludf.DUMMYFUNCTION("""COMPUTED_VALUE"""),"Q. GĐ DVNS")</f>
        <v>Q. GĐ DVNS</v>
      </c>
      <c r="E76" s="731" t="str">
        <f>IFERROR(__xludf.DUMMYFUNCTION("""COMPUTED_VALUE"""),"BO_COD")</f>
        <v>BO_COD</v>
      </c>
      <c r="F76" s="731">
        <f>IFERROR(__xludf.DUMMYFUNCTION("""COMPUTED_VALUE"""),2.0)</f>
        <v>2</v>
      </c>
      <c r="G76" s="731" t="str">
        <f>IFERROR(__xludf.DUMMYFUNCTION("""COMPUTED_VALUE"""),"BO")</f>
        <v>BO</v>
      </c>
      <c r="H76" s="731" t="str">
        <f>IFERROR(__xludf.DUMMYFUNCTION("""COMPUTED_VALUE"""),"TPP/ Trưởng ban")</f>
        <v>TPP/ Trưởng ban</v>
      </c>
      <c r="I76" s="729"/>
      <c r="J76" s="729"/>
      <c r="K76" s="729"/>
      <c r="L76" s="731" t="str">
        <f>IFERROR(__xludf.DUMMYFUNCTION("""COMPUTED_VALUE"""),"Ngừng")</f>
        <v>Ngừng</v>
      </c>
      <c r="M76" s="729"/>
      <c r="N76" s="728" t="str">
        <f>IFERROR(__xludf.DUMMYFUNCTION("""COMPUTED_VALUE"""),"ngừng")</f>
        <v>ngừng</v>
      </c>
      <c r="O76" s="708"/>
      <c r="P76" s="708"/>
      <c r="Q76" s="708"/>
      <c r="R76" s="708"/>
      <c r="S76" s="708"/>
      <c r="T76" s="708"/>
      <c r="U76" s="708"/>
      <c r="V76" s="708"/>
      <c r="W76" s="708"/>
      <c r="X76" s="708"/>
      <c r="Y76" s="708"/>
      <c r="Z76" s="708"/>
      <c r="AA76" s="708"/>
      <c r="AB76" s="708"/>
      <c r="AC76" s="708"/>
      <c r="AD76" s="708"/>
      <c r="AE76" s="708"/>
    </row>
    <row r="77">
      <c r="A77" s="727">
        <f>IFERROR(__xludf.DUMMYFUNCTION("""COMPUTED_VALUE"""),62.0)</f>
        <v>62</v>
      </c>
      <c r="B77" s="728" t="str">
        <f>IFERROR(__xludf.DUMMYFUNCTION("""COMPUTED_VALUE"""),"BO_HR_A.DEP")</f>
        <v>BO_HR_A.DEP</v>
      </c>
      <c r="C77" s="728" t="str">
        <f>IFERROR(__xludf.DUMMYFUNCTION("""COMPUTED_VALUE"""),"BO_HR_A.DEP")</f>
        <v>BO_HR_A.DEP</v>
      </c>
      <c r="D77" s="728" t="str">
        <f>IFERROR(__xludf.DUMMYFUNCTION("""COMPUTED_VALUE"""),"Q. Phó phòng QTNNL")</f>
        <v>Q. Phó phòng QTNNL</v>
      </c>
      <c r="E77" s="728" t="str">
        <f>IFERROR(__xludf.DUMMYFUNCTION("""COMPUTED_VALUE"""),"BO_COD")</f>
        <v>BO_COD</v>
      </c>
      <c r="F77" s="728">
        <f>IFERROR(__xludf.DUMMYFUNCTION("""COMPUTED_VALUE"""),2.0)</f>
        <v>2</v>
      </c>
      <c r="G77" s="728" t="str">
        <f>IFERROR(__xludf.DUMMYFUNCTION("""COMPUTED_VALUE"""),"BO")</f>
        <v>BO</v>
      </c>
      <c r="H77" s="728" t="str">
        <f>IFERROR(__xludf.DUMMYFUNCTION("""COMPUTED_VALUE"""),"TPP/ Trưởng ban")</f>
        <v>TPP/ Trưởng ban</v>
      </c>
      <c r="I77" s="728" t="str">
        <f>IFERROR(__xludf.DUMMYFUNCTION("""COMPUTED_VALUE"""),"L00")</f>
        <v>L00</v>
      </c>
      <c r="J77" s="728" t="str">
        <f>IFERROR(__xludf.DUMMYFUNCTION("""COMPUTED_VALUE"""),"Công ty cổ phần MISA")</f>
        <v>Công ty cổ phần MISA</v>
      </c>
      <c r="K77" s="729"/>
      <c r="L77" s="728" t="str">
        <f>IFERROR(__xludf.DUMMYFUNCTION("""COMPUTED_VALUE"""),"Đang theo dõi")</f>
        <v>Đang theo dõi</v>
      </c>
      <c r="M77" s="729"/>
      <c r="N77" s="728" t="str">
        <f>IFERROR(__xludf.DUMMYFUNCTION("""COMPUTED_VALUE"""),"giữ nguyên")</f>
        <v>giữ nguyên</v>
      </c>
      <c r="O77" s="708"/>
      <c r="P77" s="708"/>
      <c r="Q77" s="708"/>
      <c r="R77" s="708"/>
      <c r="S77" s="708"/>
      <c r="T77" s="708"/>
      <c r="U77" s="708"/>
      <c r="V77" s="708"/>
      <c r="W77" s="708"/>
      <c r="X77" s="708"/>
      <c r="Y77" s="708"/>
      <c r="Z77" s="708"/>
      <c r="AA77" s="708"/>
      <c r="AB77" s="708"/>
      <c r="AC77" s="708"/>
      <c r="AD77" s="708"/>
      <c r="AE77" s="708"/>
    </row>
    <row r="78">
      <c r="A78" s="727">
        <f>IFERROR(__xludf.DUMMYFUNCTION("""COMPUTED_VALUE"""),63.0)</f>
        <v>63</v>
      </c>
      <c r="B78" s="728" t="str">
        <f>IFERROR(__xludf.DUMMYFUNCTION("""COMPUTED_VALUE"""),"BO_HR_A.MGR")</f>
        <v>BO_HR_A.MGR</v>
      </c>
      <c r="C78" s="728" t="str">
        <f>IFERROR(__xludf.DUMMYFUNCTION("""COMPUTED_VALUE"""),"BO_HR_A.MGR")</f>
        <v>BO_HR_A.MGR</v>
      </c>
      <c r="D78" s="728" t="str">
        <f>IFERROR(__xludf.DUMMYFUNCTION("""COMPUTED_VALUE"""),"Q. Trưởng phòng QTNNL")</f>
        <v>Q. Trưởng phòng QTNNL</v>
      </c>
      <c r="E78" s="728" t="str">
        <f>IFERROR(__xludf.DUMMYFUNCTION("""COMPUTED_VALUE"""),"BO_COD")</f>
        <v>BO_COD</v>
      </c>
      <c r="F78" s="728">
        <f>IFERROR(__xludf.DUMMYFUNCTION("""COMPUTED_VALUE"""),2.0)</f>
        <v>2</v>
      </c>
      <c r="G78" s="728" t="str">
        <f>IFERROR(__xludf.DUMMYFUNCTION("""COMPUTED_VALUE"""),"BO")</f>
        <v>BO</v>
      </c>
      <c r="H78" s="728" t="str">
        <f>IFERROR(__xludf.DUMMYFUNCTION("""COMPUTED_VALUE"""),"TPP/ Trưởng ban")</f>
        <v>TPP/ Trưởng ban</v>
      </c>
      <c r="I78" s="728" t="str">
        <f>IFERROR(__xludf.DUMMYFUNCTION("""COMPUTED_VALUE"""),"L00")</f>
        <v>L00</v>
      </c>
      <c r="J78" s="728" t="str">
        <f>IFERROR(__xludf.DUMMYFUNCTION("""COMPUTED_VALUE"""),"Công ty cổ phần MISA")</f>
        <v>Công ty cổ phần MISA</v>
      </c>
      <c r="K78" s="729"/>
      <c r="L78" s="728" t="str">
        <f>IFERROR(__xludf.DUMMYFUNCTION("""COMPUTED_VALUE"""),"Đang theo dõi")</f>
        <v>Đang theo dõi</v>
      </c>
      <c r="M78" s="729"/>
      <c r="N78" s="728" t="str">
        <f>IFERROR(__xludf.DUMMYFUNCTION("""COMPUTED_VALUE"""),"giữ nguyên")</f>
        <v>giữ nguyên</v>
      </c>
      <c r="O78" s="708"/>
      <c r="P78" s="708"/>
      <c r="Q78" s="708"/>
      <c r="R78" s="708"/>
      <c r="S78" s="708"/>
      <c r="T78" s="708"/>
      <c r="U78" s="708"/>
      <c r="V78" s="708"/>
      <c r="W78" s="708"/>
      <c r="X78" s="708"/>
      <c r="Y78" s="708"/>
      <c r="Z78" s="708"/>
      <c r="AA78" s="708"/>
      <c r="AB78" s="708"/>
      <c r="AC78" s="708"/>
      <c r="AD78" s="708"/>
      <c r="AE78" s="708"/>
    </row>
    <row r="79">
      <c r="A79" s="727">
        <f>IFERROR(__xludf.DUMMYFUNCTION("""COMPUTED_VALUE"""),64.0)</f>
        <v>64</v>
      </c>
      <c r="B79" s="728" t="str">
        <f>IFERROR(__xludf.DUMMYFUNCTION("""COMPUTED_VALUE"""),"BO_HR_A.RD")</f>
        <v>BO_HR_A.RD</v>
      </c>
      <c r="C79" s="728" t="str">
        <f>IFERROR(__xludf.DUMMYFUNCTION("""COMPUTED_VALUE"""),"BO_HR_A.RD")</f>
        <v>BO_HR_A.RD</v>
      </c>
      <c r="D79" s="728" t="str">
        <f>IFERROR(__xludf.DUMMYFUNCTION("""COMPUTED_VALUE"""),"Q. Giám đốc tuyển dụng")</f>
        <v>Q. Giám đốc tuyển dụng</v>
      </c>
      <c r="E79" s="728" t="str">
        <f>IFERROR(__xludf.DUMMYFUNCTION("""COMPUTED_VALUE"""),"BOD")</f>
        <v>BOD</v>
      </c>
      <c r="F79" s="728">
        <f>IFERROR(__xludf.DUMMYFUNCTION("""COMPUTED_VALUE"""),2.0)</f>
        <v>2</v>
      </c>
      <c r="G79" s="728" t="str">
        <f>IFERROR(__xludf.DUMMYFUNCTION("""COMPUTED_VALUE"""),"BO")</f>
        <v>BO</v>
      </c>
      <c r="H79" s="728" t="str">
        <f>IFERROR(__xludf.DUMMYFUNCTION("""COMPUTED_VALUE"""),"TPP/ Trưởng ban")</f>
        <v>TPP/ Trưởng ban</v>
      </c>
      <c r="I79" s="728" t="str">
        <f>IFERROR(__xludf.DUMMYFUNCTION("""COMPUTED_VALUE"""),"L00")</f>
        <v>L00</v>
      </c>
      <c r="J79" s="728" t="str">
        <f>IFERROR(__xludf.DUMMYFUNCTION("""COMPUTED_VALUE"""),"Công ty cổ phần MISA")</f>
        <v>Công ty cổ phần MISA</v>
      </c>
      <c r="K79" s="729"/>
      <c r="L79" s="728" t="str">
        <f>IFERROR(__xludf.DUMMYFUNCTION("""COMPUTED_VALUE"""),"Đang theo dõi")</f>
        <v>Đang theo dõi</v>
      </c>
      <c r="M79" s="729"/>
      <c r="N79" s="728" t="str">
        <f>IFERROR(__xludf.DUMMYFUNCTION("""COMPUTED_VALUE"""),"giữ nguyên")</f>
        <v>giữ nguyên</v>
      </c>
      <c r="O79" s="708"/>
      <c r="P79" s="708"/>
      <c r="Q79" s="708"/>
      <c r="R79" s="708"/>
      <c r="S79" s="708"/>
      <c r="T79" s="708"/>
      <c r="U79" s="708"/>
      <c r="V79" s="708"/>
      <c r="W79" s="708"/>
      <c r="X79" s="708"/>
      <c r="Y79" s="708"/>
      <c r="Z79" s="708"/>
      <c r="AA79" s="708"/>
      <c r="AB79" s="708"/>
      <c r="AC79" s="708"/>
      <c r="AD79" s="708"/>
      <c r="AE79" s="708"/>
    </row>
    <row r="80">
      <c r="A80" s="727">
        <f>IFERROR(__xludf.DUMMYFUNCTION("""COMPUTED_VALUE"""),65.0)</f>
        <v>65</v>
      </c>
      <c r="B80" s="728" t="str">
        <f>IFERROR(__xludf.DUMMYFUNCTION("""COMPUTED_VALUE"""),"BO_HR_A.TRND")</f>
        <v>BO_HR_A.TRND</v>
      </c>
      <c r="C80" s="728" t="str">
        <f>IFERROR(__xludf.DUMMYFUNCTION("""COMPUTED_VALUE"""),"BO_HR_A.TRND")</f>
        <v>BO_HR_A.TRND</v>
      </c>
      <c r="D80" s="728" t="str">
        <f>IFERROR(__xludf.DUMMYFUNCTION("""COMPUTED_VALUE"""),"Q. Giám đốc Đào tạo")</f>
        <v>Q. Giám đốc Đào tạo</v>
      </c>
      <c r="E80" s="728" t="str">
        <f>IFERROR(__xludf.DUMMYFUNCTION("""COMPUTED_VALUE"""),"BO_COD")</f>
        <v>BO_COD</v>
      </c>
      <c r="F80" s="728">
        <f>IFERROR(__xludf.DUMMYFUNCTION("""COMPUTED_VALUE"""),2.0)</f>
        <v>2</v>
      </c>
      <c r="G80" s="728" t="str">
        <f>IFERROR(__xludf.DUMMYFUNCTION("""COMPUTED_VALUE"""),"BO")</f>
        <v>BO</v>
      </c>
      <c r="H80" s="728" t="str">
        <f>IFERROR(__xludf.DUMMYFUNCTION("""COMPUTED_VALUE"""),"TPP/ Trưởng ban")</f>
        <v>TPP/ Trưởng ban</v>
      </c>
      <c r="I80" s="728" t="str">
        <f>IFERROR(__xludf.DUMMYFUNCTION("""COMPUTED_VALUE"""),"L00")</f>
        <v>L00</v>
      </c>
      <c r="J80" s="728" t="str">
        <f>IFERROR(__xludf.DUMMYFUNCTION("""COMPUTED_VALUE"""),"Công ty cổ phần MISA")</f>
        <v>Công ty cổ phần MISA</v>
      </c>
      <c r="K80" s="729"/>
      <c r="L80" s="728" t="str">
        <f>IFERROR(__xludf.DUMMYFUNCTION("""COMPUTED_VALUE"""),"Đang theo dõi")</f>
        <v>Đang theo dõi</v>
      </c>
      <c r="M80" s="729"/>
      <c r="N80" s="728" t="str">
        <f>IFERROR(__xludf.DUMMYFUNCTION("""COMPUTED_VALUE"""),"giữ nguyên")</f>
        <v>giữ nguyên</v>
      </c>
      <c r="O80" s="708"/>
      <c r="P80" s="708"/>
      <c r="Q80" s="708"/>
      <c r="R80" s="708"/>
      <c r="S80" s="708"/>
      <c r="T80" s="708"/>
      <c r="U80" s="708"/>
      <c r="V80" s="708"/>
      <c r="W80" s="708"/>
      <c r="X80" s="708"/>
      <c r="Y80" s="708"/>
      <c r="Z80" s="708"/>
      <c r="AA80" s="708"/>
      <c r="AB80" s="708"/>
      <c r="AC80" s="708"/>
      <c r="AD80" s="708"/>
      <c r="AE80" s="708"/>
    </row>
    <row r="81">
      <c r="A81" s="727">
        <f>IFERROR(__xludf.DUMMYFUNCTION("""COMPUTED_VALUE"""),66.0)</f>
        <v>66</v>
      </c>
      <c r="B81" s="733"/>
      <c r="C81" s="734" t="str">
        <f>IFERROR(__xludf.DUMMYFUNCTION("""COMPUTED_VALUE"""),"BO_HR_AD")</f>
        <v>BO_HR_AD</v>
      </c>
      <c r="D81" s="734" t="str">
        <f>IFERROR(__xludf.DUMMYFUNCTION("""COMPUTED_VALUE"""),"HR Amind")</f>
        <v>HR Amind</v>
      </c>
      <c r="E81" s="734" t="str">
        <f>IFERROR(__xludf.DUMMYFUNCTION("""COMPUTED_VALUE"""),"BO")</f>
        <v>BO</v>
      </c>
      <c r="F81" s="733"/>
      <c r="G81" s="728" t="str">
        <f>IFERROR(__xludf.DUMMYFUNCTION("""COMPUTED_VALUE"""),"BO")</f>
        <v>BO</v>
      </c>
      <c r="H81" s="728" t="str">
        <f>IFERROR(__xludf.DUMMYFUNCTION("""COMPUTED_VALUE"""),"Nhân viên/ Chuyên viên/ Chuyên gia")</f>
        <v>Nhân viên/ Chuyên viên/ Chuyên gia</v>
      </c>
      <c r="I81" s="728" t="str">
        <f>IFERROR(__xludf.DUMMYFUNCTION("""COMPUTED_VALUE"""),"L00")</f>
        <v>L00</v>
      </c>
      <c r="J81" s="728" t="str">
        <f>IFERROR(__xludf.DUMMYFUNCTION("""COMPUTED_VALUE"""),"Công ty cổ phần MISA")</f>
        <v>Công ty cổ phần MISA</v>
      </c>
      <c r="K81" s="733"/>
      <c r="L81" s="734" t="str">
        <f>IFERROR(__xludf.DUMMYFUNCTION("""COMPUTED_VALUE"""),"mới")</f>
        <v>mới</v>
      </c>
      <c r="M81" s="733"/>
      <c r="N81" s="728" t="str">
        <f>IFERROR(__xludf.DUMMYFUNCTION("""COMPUTED_VALUE"""),"thêm mới")</f>
        <v>thêm mới</v>
      </c>
      <c r="O81" s="708"/>
      <c r="P81" s="708"/>
      <c r="Q81" s="708"/>
      <c r="R81" s="708"/>
      <c r="S81" s="708"/>
      <c r="T81" s="708"/>
      <c r="U81" s="708"/>
      <c r="V81" s="708"/>
      <c r="W81" s="708"/>
      <c r="X81" s="708"/>
      <c r="Y81" s="708"/>
      <c r="Z81" s="708"/>
      <c r="AA81" s="708"/>
      <c r="AB81" s="708"/>
      <c r="AC81" s="708"/>
      <c r="AD81" s="708"/>
      <c r="AE81" s="708"/>
    </row>
    <row r="82">
      <c r="A82" s="727">
        <f>IFERROR(__xludf.DUMMYFUNCTION("""COMPUTED_VALUE"""),67.0)</f>
        <v>67</v>
      </c>
      <c r="B82" s="728" t="str">
        <f>IFERROR(__xludf.DUMMYFUNCTION("""COMPUTED_VALUE"""),"BO_HR_C&amp;B_INTERN")</f>
        <v>BO_HR_C&amp;B_INTERN</v>
      </c>
      <c r="C82" s="728" t="str">
        <f>IFERROR(__xludf.DUMMYFUNCTION("""COMPUTED_VALUE"""),"BO_HR_C&amp;B_INTERN")</f>
        <v>BO_HR_C&amp;B_INTERN</v>
      </c>
      <c r="D82" s="728" t="str">
        <f>IFERROR(__xludf.DUMMYFUNCTION("""COMPUTED_VALUE"""),"TTS C&amp;B")</f>
        <v>TTS C&amp;B</v>
      </c>
      <c r="E82" s="728" t="str">
        <f>IFERROR(__xludf.DUMMYFUNCTION("""COMPUTED_VALUE"""),"BO_TTS")</f>
        <v>BO_TTS</v>
      </c>
      <c r="F82" s="729"/>
      <c r="G82" s="728" t="str">
        <f>IFERROR(__xludf.DUMMYFUNCTION("""COMPUTED_VALUE"""),"BO_TTS")</f>
        <v>BO_TTS</v>
      </c>
      <c r="H82" s="729"/>
      <c r="I82" s="728" t="str">
        <f>IFERROR(__xludf.DUMMYFUNCTION("""COMPUTED_VALUE"""),"L00")</f>
        <v>L00</v>
      </c>
      <c r="J82" s="728" t="str">
        <f>IFERROR(__xludf.DUMMYFUNCTION("""COMPUTED_VALUE"""),"Công ty cổ phần MISA")</f>
        <v>Công ty cổ phần MISA</v>
      </c>
      <c r="K82" s="729"/>
      <c r="L82" s="728" t="str">
        <f>IFERROR(__xludf.DUMMYFUNCTION("""COMPUTED_VALUE"""),"Đang theo dõi")</f>
        <v>Đang theo dõi</v>
      </c>
      <c r="M82" s="729"/>
      <c r="N82" s="728" t="str">
        <f>IFERROR(__xludf.DUMMYFUNCTION("""COMPUTED_VALUE"""),"giữ nguyên")</f>
        <v>giữ nguyên</v>
      </c>
      <c r="O82" s="708"/>
      <c r="P82" s="708"/>
      <c r="Q82" s="708"/>
      <c r="R82" s="708"/>
      <c r="S82" s="708"/>
      <c r="T82" s="708"/>
      <c r="U82" s="708"/>
      <c r="V82" s="708"/>
      <c r="W82" s="708"/>
      <c r="X82" s="708"/>
      <c r="Y82" s="708"/>
      <c r="Z82" s="708"/>
      <c r="AA82" s="708"/>
      <c r="AB82" s="708"/>
      <c r="AC82" s="708"/>
      <c r="AD82" s="708"/>
      <c r="AE82" s="708"/>
    </row>
    <row r="83">
      <c r="A83" s="727">
        <f>IFERROR(__xludf.DUMMYFUNCTION("""COMPUTED_VALUE"""),68.0)</f>
        <v>68</v>
      </c>
      <c r="B83" s="728" t="str">
        <f>IFERROR(__xludf.DUMMYFUNCTION("""COMPUTED_VALUE"""),"BO_HR_CB")</f>
        <v>BO_HR_CB</v>
      </c>
      <c r="C83" s="728" t="str">
        <f>IFERROR(__xludf.DUMMYFUNCTION("""COMPUTED_VALUE"""),"BO_HR_CB")</f>
        <v>BO_HR_CB</v>
      </c>
      <c r="D83" s="728" t="str">
        <f>IFERROR(__xludf.DUMMYFUNCTION("""COMPUTED_VALUE"""),"HR C&amp;B")</f>
        <v>HR C&amp;B</v>
      </c>
      <c r="E83" s="728" t="str">
        <f>IFERROR(__xludf.DUMMYFUNCTION("""COMPUTED_VALUE"""),"BO")</f>
        <v>BO</v>
      </c>
      <c r="F83" s="729"/>
      <c r="G83" s="728" t="str">
        <f>IFERROR(__xludf.DUMMYFUNCTION("""COMPUTED_VALUE"""),"BO")</f>
        <v>BO</v>
      </c>
      <c r="H83" s="728" t="str">
        <f>IFERROR(__xludf.DUMMYFUNCTION("""COMPUTED_VALUE"""),"Nhân viên/ Chuyên viên/ Chuyên gia")</f>
        <v>Nhân viên/ Chuyên viên/ Chuyên gia</v>
      </c>
      <c r="I83" s="728" t="str">
        <f>IFERROR(__xludf.DUMMYFUNCTION("""COMPUTED_VALUE"""),"L00")</f>
        <v>L00</v>
      </c>
      <c r="J83" s="728" t="str">
        <f>IFERROR(__xludf.DUMMYFUNCTION("""COMPUTED_VALUE"""),"Công ty cổ phần MISA")</f>
        <v>Công ty cổ phần MISA</v>
      </c>
      <c r="K83" s="729"/>
      <c r="L83" s="728" t="str">
        <f>IFERROR(__xludf.DUMMYFUNCTION("""COMPUTED_VALUE"""),"Đang theo dõi")</f>
        <v>Đang theo dõi</v>
      </c>
      <c r="M83" s="729"/>
      <c r="N83" s="728" t="str">
        <f>IFERROR(__xludf.DUMMYFUNCTION("""COMPUTED_VALUE"""),"giữ nguyên")</f>
        <v>giữ nguyên</v>
      </c>
      <c r="O83" s="708"/>
      <c r="P83" s="708"/>
      <c r="Q83" s="708"/>
      <c r="R83" s="708"/>
      <c r="S83" s="708"/>
      <c r="T83" s="708"/>
      <c r="U83" s="708"/>
      <c r="V83" s="708"/>
      <c r="W83" s="708"/>
      <c r="X83" s="708"/>
      <c r="Y83" s="708"/>
      <c r="Z83" s="708"/>
      <c r="AA83" s="708"/>
      <c r="AB83" s="708"/>
      <c r="AC83" s="708"/>
      <c r="AD83" s="708"/>
      <c r="AE83" s="708"/>
    </row>
    <row r="84">
      <c r="A84" s="727">
        <f>IFERROR(__xludf.DUMMYFUNCTION("""COMPUTED_VALUE"""),69.0)</f>
        <v>69</v>
      </c>
      <c r="B84" s="731" t="str">
        <f>IFERROR(__xludf.DUMMYFUNCTION("""COMPUTED_VALUE"""),"BO_HR_CBA")</f>
        <v>BO_HR_CBA</v>
      </c>
      <c r="C84" s="731" t="str">
        <f>IFERROR(__xludf.DUMMYFUNCTION("""COMPUTED_VALUE"""),"BO_HR_CBA")</f>
        <v>BO_HR_CBA</v>
      </c>
      <c r="D84" s="731" t="str">
        <f>IFERROR(__xludf.DUMMYFUNCTION("""COMPUTED_VALUE"""),"Trợ lý C&amp;B")</f>
        <v>Trợ lý C&amp;B</v>
      </c>
      <c r="E84" s="731" t="str">
        <f>IFERROR(__xludf.DUMMYFUNCTION("""COMPUTED_VALUE"""),"BO")</f>
        <v>BO</v>
      </c>
      <c r="F84" s="729"/>
      <c r="G84" s="731" t="str">
        <f>IFERROR(__xludf.DUMMYFUNCTION("""COMPUTED_VALUE"""),"BO")</f>
        <v>BO</v>
      </c>
      <c r="H84" s="731" t="str">
        <f>IFERROR(__xludf.DUMMYFUNCTION("""COMPUTED_VALUE"""),"Nhân viên/ Chuyên viên/ Chuyên gia")</f>
        <v>Nhân viên/ Chuyên viên/ Chuyên gia</v>
      </c>
      <c r="I84" s="731" t="str">
        <f>IFERROR(__xludf.DUMMYFUNCTION("""COMPUTED_VALUE"""),"L00")</f>
        <v>L00</v>
      </c>
      <c r="J84" s="731" t="str">
        <f>IFERROR(__xludf.DUMMYFUNCTION("""COMPUTED_VALUE"""),"Công ty cổ phần MISA")</f>
        <v>Công ty cổ phần MISA</v>
      </c>
      <c r="K84" s="729"/>
      <c r="L84" s="731" t="str">
        <f>IFERROR(__xludf.DUMMYFUNCTION("""COMPUTED_VALUE"""),"Ngừng")</f>
        <v>Ngừng</v>
      </c>
      <c r="M84" s="728" t="str">
        <f>IFERROR(__xludf.DUMMYFUNCTION("""COMPUTED_VALUE"""),"ko còn trên CCTC mới")</f>
        <v>ko còn trên CCTC mới</v>
      </c>
      <c r="N84" s="728" t="str">
        <f>IFERROR(__xludf.DUMMYFUNCTION("""COMPUTED_VALUE"""),"ngừng")</f>
        <v>ngừng</v>
      </c>
      <c r="O84" s="708"/>
      <c r="P84" s="708"/>
      <c r="Q84" s="708"/>
      <c r="R84" s="708"/>
      <c r="S84" s="708"/>
      <c r="T84" s="708"/>
      <c r="U84" s="708"/>
      <c r="V84" s="708"/>
      <c r="W84" s="708"/>
      <c r="X84" s="708"/>
      <c r="Y84" s="708"/>
      <c r="Z84" s="708"/>
      <c r="AA84" s="708"/>
      <c r="AB84" s="708"/>
      <c r="AC84" s="708"/>
      <c r="AD84" s="708"/>
      <c r="AE84" s="708"/>
    </row>
    <row r="85">
      <c r="A85" s="727">
        <f>IFERROR(__xludf.DUMMYFUNCTION("""COMPUTED_VALUE"""),70.0)</f>
        <v>70</v>
      </c>
      <c r="B85" s="728" t="str">
        <f>IFERROR(__xludf.DUMMYFUNCTION("""COMPUTED_VALUE"""),"BO_HR_DEP")</f>
        <v>BO_HR_DEP</v>
      </c>
      <c r="C85" s="728" t="str">
        <f>IFERROR(__xludf.DUMMYFUNCTION("""COMPUTED_VALUE"""),"BO_HR_DEP")</f>
        <v>BO_HR_DEP</v>
      </c>
      <c r="D85" s="728" t="str">
        <f>IFERROR(__xludf.DUMMYFUNCTION("""COMPUTED_VALUE"""),"Phó phòng QTNNL")</f>
        <v>Phó phòng QTNNL</v>
      </c>
      <c r="E85" s="728" t="str">
        <f>IFERROR(__xludf.DUMMYFUNCTION("""COMPUTED_VALUE"""),"BO_COD")</f>
        <v>BO_COD</v>
      </c>
      <c r="F85" s="728">
        <f>IFERROR(__xludf.DUMMYFUNCTION("""COMPUTED_VALUE"""),2.0)</f>
        <v>2</v>
      </c>
      <c r="G85" s="728" t="str">
        <f>IFERROR(__xludf.DUMMYFUNCTION("""COMPUTED_VALUE"""),"BO")</f>
        <v>BO</v>
      </c>
      <c r="H85" s="728" t="str">
        <f>IFERROR(__xludf.DUMMYFUNCTION("""COMPUTED_VALUE"""),"TPP/ Trưởng ban")</f>
        <v>TPP/ Trưởng ban</v>
      </c>
      <c r="I85" s="728" t="str">
        <f>IFERROR(__xludf.DUMMYFUNCTION("""COMPUTED_VALUE"""),"L00")</f>
        <v>L00</v>
      </c>
      <c r="J85" s="728" t="str">
        <f>IFERROR(__xludf.DUMMYFUNCTION("""COMPUTED_VALUE"""),"Công ty cổ phần MISA")</f>
        <v>Công ty cổ phần MISA</v>
      </c>
      <c r="K85" s="729"/>
      <c r="L85" s="728" t="str">
        <f>IFERROR(__xludf.DUMMYFUNCTION("""COMPUTED_VALUE"""),"Đang theo dõi")</f>
        <v>Đang theo dõi</v>
      </c>
      <c r="M85" s="729"/>
      <c r="N85" s="728" t="str">
        <f>IFERROR(__xludf.DUMMYFUNCTION("""COMPUTED_VALUE"""),"giữ nguyên")</f>
        <v>giữ nguyên</v>
      </c>
      <c r="O85" s="708"/>
      <c r="P85" s="708"/>
      <c r="Q85" s="708"/>
      <c r="R85" s="708"/>
      <c r="S85" s="708"/>
      <c r="T85" s="708"/>
      <c r="U85" s="708"/>
      <c r="V85" s="708"/>
      <c r="W85" s="708"/>
      <c r="X85" s="708"/>
      <c r="Y85" s="708"/>
      <c r="Z85" s="708"/>
      <c r="AA85" s="708"/>
      <c r="AB85" s="708"/>
      <c r="AC85" s="708"/>
      <c r="AD85" s="708"/>
      <c r="AE85" s="708"/>
    </row>
    <row r="86">
      <c r="A86" s="727">
        <f>IFERROR(__xludf.DUMMYFUNCTION("""COMPUTED_VALUE"""),71.0)</f>
        <v>71</v>
      </c>
      <c r="B86" s="728" t="str">
        <f>IFERROR(__xludf.DUMMYFUNCTION("""COMPUTED_VALUE"""),"BO_HR_EB_INTERN")</f>
        <v>BO_HR_EB_INTERN</v>
      </c>
      <c r="C86" s="728" t="str">
        <f>IFERROR(__xludf.DUMMYFUNCTION("""COMPUTED_VALUE"""),"BO_HR_EB_INTERN")</f>
        <v>BO_HR_EB_INTERN</v>
      </c>
      <c r="D86" s="728" t="str">
        <f>IFERROR(__xludf.DUMMYFUNCTION("""COMPUTED_VALUE"""),"TTS Phát triển thương hiệu tuyển dụng")</f>
        <v>TTS Phát triển thương hiệu tuyển dụng</v>
      </c>
      <c r="E86" s="728" t="str">
        <f>IFERROR(__xludf.DUMMYFUNCTION("""COMPUTED_VALUE"""),"BO_TTS")</f>
        <v>BO_TTS</v>
      </c>
      <c r="F86" s="729"/>
      <c r="G86" s="728" t="str">
        <f>IFERROR(__xludf.DUMMYFUNCTION("""COMPUTED_VALUE"""),"BO_TTS")</f>
        <v>BO_TTS</v>
      </c>
      <c r="H86" s="729"/>
      <c r="I86" s="728" t="str">
        <f>IFERROR(__xludf.DUMMYFUNCTION("""COMPUTED_VALUE"""),"L00")</f>
        <v>L00</v>
      </c>
      <c r="J86" s="728" t="str">
        <f>IFERROR(__xludf.DUMMYFUNCTION("""COMPUTED_VALUE"""),"Công ty cổ phần MISA")</f>
        <v>Công ty cổ phần MISA</v>
      </c>
      <c r="K86" s="729"/>
      <c r="L86" s="728" t="str">
        <f>IFERROR(__xludf.DUMMYFUNCTION("""COMPUTED_VALUE"""),"Đang theo dõi")</f>
        <v>Đang theo dõi</v>
      </c>
      <c r="M86" s="729"/>
      <c r="N86" s="728" t="str">
        <f>IFERROR(__xludf.DUMMYFUNCTION("""COMPUTED_VALUE"""),"giữ nguyên")</f>
        <v>giữ nguyên</v>
      </c>
      <c r="O86" s="708"/>
      <c r="P86" s="708"/>
      <c r="Q86" s="708"/>
      <c r="R86" s="708"/>
      <c r="S86" s="708"/>
      <c r="T86" s="708"/>
      <c r="U86" s="708"/>
      <c r="V86" s="708"/>
      <c r="W86" s="708"/>
      <c r="X86" s="708"/>
      <c r="Y86" s="708"/>
      <c r="Z86" s="708"/>
      <c r="AA86" s="708"/>
      <c r="AB86" s="708"/>
      <c r="AC86" s="708"/>
      <c r="AD86" s="708"/>
      <c r="AE86" s="708"/>
    </row>
    <row r="87">
      <c r="A87" s="727">
        <f>IFERROR(__xludf.DUMMYFUNCTION("""COMPUTED_VALUE"""),72.0)</f>
        <v>72</v>
      </c>
      <c r="B87" s="731" t="str">
        <f>IFERROR(__xludf.DUMMYFUNCTION("""COMPUTED_VALUE"""),"BO_HR_EBA")</f>
        <v>BO_HR_EBA</v>
      </c>
      <c r="C87" s="731" t="str">
        <f>IFERROR(__xludf.DUMMYFUNCTION("""COMPUTED_VALUE"""),"BO_HR_EBA")</f>
        <v>BO_HR_EBA</v>
      </c>
      <c r="D87" s="731" t="str">
        <f>IFERROR(__xludf.DUMMYFUNCTION("""COMPUTED_VALUE"""),"Trợ lý Phát triển thương hiệu tuyển dụng")</f>
        <v>Trợ lý Phát triển thương hiệu tuyển dụng</v>
      </c>
      <c r="E87" s="731" t="str">
        <f>IFERROR(__xludf.DUMMYFUNCTION("""COMPUTED_VALUE"""),"BO")</f>
        <v>BO</v>
      </c>
      <c r="F87" s="729"/>
      <c r="G87" s="731" t="str">
        <f>IFERROR(__xludf.DUMMYFUNCTION("""COMPUTED_VALUE"""),"BO")</f>
        <v>BO</v>
      </c>
      <c r="H87" s="731" t="str">
        <f>IFERROR(__xludf.DUMMYFUNCTION("""COMPUTED_VALUE"""),"Nhân viên/ Chuyên viên/ Chuyên gia")</f>
        <v>Nhân viên/ Chuyên viên/ Chuyên gia</v>
      </c>
      <c r="I87" s="731" t="str">
        <f>IFERROR(__xludf.DUMMYFUNCTION("""COMPUTED_VALUE"""),"L00")</f>
        <v>L00</v>
      </c>
      <c r="J87" s="731" t="str">
        <f>IFERROR(__xludf.DUMMYFUNCTION("""COMPUTED_VALUE"""),"Công ty cổ phần MISA")</f>
        <v>Công ty cổ phần MISA</v>
      </c>
      <c r="K87" s="729"/>
      <c r="L87" s="731" t="str">
        <f>IFERROR(__xludf.DUMMYFUNCTION("""COMPUTED_VALUE"""),"Ngừng")</f>
        <v>Ngừng</v>
      </c>
      <c r="M87" s="728" t="str">
        <f>IFERROR(__xludf.DUMMYFUNCTION("""COMPUTED_VALUE"""),"ko còn trên CCTC mới")</f>
        <v>ko còn trên CCTC mới</v>
      </c>
      <c r="N87" s="728" t="str">
        <f>IFERROR(__xludf.DUMMYFUNCTION("""COMPUTED_VALUE"""),"ngừng")</f>
        <v>ngừng</v>
      </c>
      <c r="O87" s="708"/>
      <c r="P87" s="708"/>
      <c r="Q87" s="708"/>
      <c r="R87" s="708"/>
      <c r="S87" s="708"/>
      <c r="T87" s="708"/>
      <c r="U87" s="708"/>
      <c r="V87" s="708"/>
      <c r="W87" s="708"/>
      <c r="X87" s="708"/>
      <c r="Y87" s="708"/>
      <c r="Z87" s="708"/>
      <c r="AA87" s="708"/>
      <c r="AB87" s="708"/>
      <c r="AC87" s="708"/>
      <c r="AD87" s="708"/>
      <c r="AE87" s="708"/>
    </row>
    <row r="88">
      <c r="A88" s="727">
        <f>IFERROR(__xludf.DUMMYFUNCTION("""COMPUTED_VALUE"""),73.0)</f>
        <v>73</v>
      </c>
      <c r="B88" s="728" t="str">
        <f>IFERROR(__xludf.DUMMYFUNCTION("""COMPUTED_VALUE"""),"BO_HR_ER")</f>
        <v>BO_HR_ER</v>
      </c>
      <c r="C88" s="728" t="str">
        <f>IFERROR(__xludf.DUMMYFUNCTION("""COMPUTED_VALUE"""),"BO_HR_ER")</f>
        <v>BO_HR_ER</v>
      </c>
      <c r="D88" s="728" t="str">
        <f>IFERROR(__xludf.DUMMYFUNCTION("""COMPUTED_VALUE"""),"HR Quan hệ lao động")</f>
        <v>HR Quan hệ lao động</v>
      </c>
      <c r="E88" s="728" t="str">
        <f>IFERROR(__xludf.DUMMYFUNCTION("""COMPUTED_VALUE"""),"BO")</f>
        <v>BO</v>
      </c>
      <c r="F88" s="729"/>
      <c r="G88" s="728" t="str">
        <f>IFERROR(__xludf.DUMMYFUNCTION("""COMPUTED_VALUE"""),"BO")</f>
        <v>BO</v>
      </c>
      <c r="H88" s="728" t="str">
        <f>IFERROR(__xludf.DUMMYFUNCTION("""COMPUTED_VALUE"""),"Nhân viên/ Chuyên viên/ Chuyên gia")</f>
        <v>Nhân viên/ Chuyên viên/ Chuyên gia</v>
      </c>
      <c r="I88" s="729"/>
      <c r="J88" s="728" t="str">
        <f>IFERROR(__xludf.DUMMYFUNCTION("""COMPUTED_VALUE"""),"Công ty cổ phần MISA")</f>
        <v>Công ty cổ phần MISA</v>
      </c>
      <c r="K88" s="729"/>
      <c r="L88" s="728" t="str">
        <f>IFERROR(__xludf.DUMMYFUNCTION("""COMPUTED_VALUE"""),"Đang theo dõi")</f>
        <v>Đang theo dõi</v>
      </c>
      <c r="M88" s="729"/>
      <c r="N88" s="728" t="str">
        <f>IFERROR(__xludf.DUMMYFUNCTION("""COMPUTED_VALUE"""),"giữ nguyên")</f>
        <v>giữ nguyên</v>
      </c>
      <c r="O88" s="708"/>
      <c r="P88" s="708"/>
      <c r="Q88" s="708"/>
      <c r="R88" s="708"/>
      <c r="S88" s="708"/>
      <c r="T88" s="708"/>
      <c r="U88" s="708"/>
      <c r="V88" s="708"/>
      <c r="W88" s="708"/>
      <c r="X88" s="708"/>
      <c r="Y88" s="708"/>
      <c r="Z88" s="708"/>
      <c r="AA88" s="708"/>
      <c r="AB88" s="708"/>
      <c r="AC88" s="708"/>
      <c r="AD88" s="708"/>
      <c r="AE88" s="708"/>
    </row>
    <row r="89">
      <c r="A89" s="727">
        <f>IFERROR(__xludf.DUMMYFUNCTION("""COMPUTED_VALUE"""),74.0)</f>
        <v>74</v>
      </c>
      <c r="B89" s="728" t="str">
        <f>IFERROR(__xludf.DUMMYFUNCTION("""COMPUTED_VALUE"""),"BO_HR_ER_INTERN")</f>
        <v>BO_HR_ER_INTERN</v>
      </c>
      <c r="C89" s="728" t="str">
        <f>IFERROR(__xludf.DUMMYFUNCTION("""COMPUTED_VALUE"""),"BO_HR_ER_INTERN")</f>
        <v>BO_HR_ER_INTERN</v>
      </c>
      <c r="D89" s="728" t="str">
        <f>IFERROR(__xludf.DUMMYFUNCTION("""COMPUTED_VALUE"""),"TTS Quan hệ lao động")</f>
        <v>TTS Quan hệ lao động</v>
      </c>
      <c r="E89" s="728" t="str">
        <f>IFERROR(__xludf.DUMMYFUNCTION("""COMPUTED_VALUE"""),"BO_TTS")</f>
        <v>BO_TTS</v>
      </c>
      <c r="F89" s="729"/>
      <c r="G89" s="728" t="str">
        <f>IFERROR(__xludf.DUMMYFUNCTION("""COMPUTED_VALUE"""),"BO_TTS")</f>
        <v>BO_TTS</v>
      </c>
      <c r="H89" s="729"/>
      <c r="I89" s="728" t="str">
        <f>IFERROR(__xludf.DUMMYFUNCTION("""COMPUTED_VALUE"""),"L00")</f>
        <v>L00</v>
      </c>
      <c r="J89" s="728" t="str">
        <f>IFERROR(__xludf.DUMMYFUNCTION("""COMPUTED_VALUE"""),"Công ty cổ phần MISA")</f>
        <v>Công ty cổ phần MISA</v>
      </c>
      <c r="K89" s="729"/>
      <c r="L89" s="728" t="str">
        <f>IFERROR(__xludf.DUMMYFUNCTION("""COMPUTED_VALUE"""),"Đang theo dõi")</f>
        <v>Đang theo dõi</v>
      </c>
      <c r="M89" s="729"/>
      <c r="N89" s="728" t="str">
        <f>IFERROR(__xludf.DUMMYFUNCTION("""COMPUTED_VALUE"""),"giữ nguyên")</f>
        <v>giữ nguyên</v>
      </c>
      <c r="O89" s="708"/>
      <c r="P89" s="708"/>
      <c r="Q89" s="708"/>
      <c r="R89" s="708"/>
      <c r="S89" s="708"/>
      <c r="T89" s="708"/>
      <c r="U89" s="708"/>
      <c r="V89" s="708"/>
      <c r="W89" s="708"/>
      <c r="X89" s="708"/>
      <c r="Y89" s="708"/>
      <c r="Z89" s="708"/>
      <c r="AA89" s="708"/>
      <c r="AB89" s="708"/>
      <c r="AC89" s="708"/>
      <c r="AD89" s="708"/>
      <c r="AE89" s="708"/>
    </row>
    <row r="90">
      <c r="A90" s="727">
        <f>IFERROR(__xludf.DUMMYFUNCTION("""COMPUTED_VALUE"""),75.0)</f>
        <v>75</v>
      </c>
      <c r="B90" s="731" t="str">
        <f>IFERROR(__xludf.DUMMYFUNCTION("""COMPUTED_VALUE"""),"BO_HR_ERA")</f>
        <v>BO_HR_ERA</v>
      </c>
      <c r="C90" s="731" t="str">
        <f>IFERROR(__xludf.DUMMYFUNCTION("""COMPUTED_VALUE"""),"BO_HR_ERA")</f>
        <v>BO_HR_ERA</v>
      </c>
      <c r="D90" s="731" t="str">
        <f>IFERROR(__xludf.DUMMYFUNCTION("""COMPUTED_VALUE"""),"Trợ lý Quan hệ lao động")</f>
        <v>Trợ lý Quan hệ lao động</v>
      </c>
      <c r="E90" s="731" t="str">
        <f>IFERROR(__xludf.DUMMYFUNCTION("""COMPUTED_VALUE"""),"BO")</f>
        <v>BO</v>
      </c>
      <c r="F90" s="729"/>
      <c r="G90" s="731" t="str">
        <f>IFERROR(__xludf.DUMMYFUNCTION("""COMPUTED_VALUE"""),"BO")</f>
        <v>BO</v>
      </c>
      <c r="H90" s="731" t="str">
        <f>IFERROR(__xludf.DUMMYFUNCTION("""COMPUTED_VALUE"""),"Nhân viên/ Chuyên viên/ Chuyên gia")</f>
        <v>Nhân viên/ Chuyên viên/ Chuyên gia</v>
      </c>
      <c r="I90" s="731" t="str">
        <f>IFERROR(__xludf.DUMMYFUNCTION("""COMPUTED_VALUE"""),"L00")</f>
        <v>L00</v>
      </c>
      <c r="J90" s="731" t="str">
        <f>IFERROR(__xludf.DUMMYFUNCTION("""COMPUTED_VALUE"""),"Công ty cổ phần MISA")</f>
        <v>Công ty cổ phần MISA</v>
      </c>
      <c r="K90" s="729"/>
      <c r="L90" s="731" t="str">
        <f>IFERROR(__xludf.DUMMYFUNCTION("""COMPUTED_VALUE"""),"Ngừng")</f>
        <v>Ngừng</v>
      </c>
      <c r="M90" s="729"/>
      <c r="N90" s="728" t="str">
        <f>IFERROR(__xludf.DUMMYFUNCTION("""COMPUTED_VALUE"""),"ngừng")</f>
        <v>ngừng</v>
      </c>
      <c r="O90" s="708"/>
      <c r="P90" s="708"/>
      <c r="Q90" s="708"/>
      <c r="R90" s="708"/>
      <c r="S90" s="708"/>
      <c r="T90" s="708"/>
      <c r="U90" s="708"/>
      <c r="V90" s="708"/>
      <c r="W90" s="708"/>
      <c r="X90" s="708"/>
      <c r="Y90" s="708"/>
      <c r="Z90" s="708"/>
      <c r="AA90" s="708"/>
      <c r="AB90" s="708"/>
      <c r="AC90" s="708"/>
      <c r="AD90" s="708"/>
      <c r="AE90" s="708"/>
    </row>
    <row r="91">
      <c r="A91" s="727">
        <f>IFERROR(__xludf.DUMMYFUNCTION("""COMPUTED_VALUE"""),76.0)</f>
        <v>76</v>
      </c>
      <c r="B91" s="731" t="str">
        <f>IFERROR(__xludf.DUMMYFUNCTION("""COMPUTED_VALUE"""),"BO_HR_HCB")</f>
        <v>BO_HR_HCB</v>
      </c>
      <c r="C91" s="731" t="str">
        <f>IFERROR(__xludf.DUMMYFUNCTION("""COMPUTED_VALUE"""),"BO_HR_HCB")</f>
        <v>BO_HR_HCB</v>
      </c>
      <c r="D91" s="731" t="str">
        <f>IFERROR(__xludf.DUMMYFUNCTION("""COMPUTED_VALUE"""),"Trưởng ban C&amp;B")</f>
        <v>Trưởng ban C&amp;B</v>
      </c>
      <c r="E91" s="731" t="str">
        <f>IFERROR(__xludf.DUMMYFUNCTION("""COMPUTED_VALUE"""),"BO_COD")</f>
        <v>BO_COD</v>
      </c>
      <c r="F91" s="731">
        <f>IFERROR(__xludf.DUMMYFUNCTION("""COMPUTED_VALUE"""),2.0)</f>
        <v>2</v>
      </c>
      <c r="G91" s="731" t="str">
        <f>IFERROR(__xludf.DUMMYFUNCTION("""COMPUTED_VALUE"""),"BO")</f>
        <v>BO</v>
      </c>
      <c r="H91" s="731" t="str">
        <f>IFERROR(__xludf.DUMMYFUNCTION("""COMPUTED_VALUE"""),"TPP/ Trưởng ban")</f>
        <v>TPP/ Trưởng ban</v>
      </c>
      <c r="I91" s="729"/>
      <c r="J91" s="731" t="str">
        <f>IFERROR(__xludf.DUMMYFUNCTION("""COMPUTED_VALUE"""),"Công ty cổ phần MISA")</f>
        <v>Công ty cổ phần MISA</v>
      </c>
      <c r="K91" s="729"/>
      <c r="L91" s="731" t="str">
        <f>IFERROR(__xludf.DUMMYFUNCTION("""COMPUTED_VALUE"""),"Ngừng")</f>
        <v>Ngừng</v>
      </c>
      <c r="M91" s="728" t="str">
        <f>IFERROR(__xludf.DUMMYFUNCTION("""COMPUTED_VALUE"""),"ko còn trên CCTC mới")</f>
        <v>ko còn trên CCTC mới</v>
      </c>
      <c r="N91" s="728" t="str">
        <f>IFERROR(__xludf.DUMMYFUNCTION("""COMPUTED_VALUE"""),"ngừng")</f>
        <v>ngừng</v>
      </c>
      <c r="O91" s="708"/>
      <c r="P91" s="708"/>
      <c r="Q91" s="708"/>
      <c r="R91" s="708"/>
      <c r="S91" s="708"/>
      <c r="T91" s="708"/>
      <c r="U91" s="708"/>
      <c r="V91" s="708"/>
      <c r="W91" s="708"/>
      <c r="X91" s="708"/>
      <c r="Y91" s="708"/>
      <c r="Z91" s="708"/>
      <c r="AA91" s="708"/>
      <c r="AB91" s="708"/>
      <c r="AC91" s="708"/>
      <c r="AD91" s="708"/>
      <c r="AE91" s="708"/>
    </row>
    <row r="92">
      <c r="A92" s="727">
        <f>IFERROR(__xludf.DUMMYFUNCTION("""COMPUTED_VALUE"""),77.0)</f>
        <v>77</v>
      </c>
      <c r="B92" s="728" t="str">
        <f>IFERROR(__xludf.DUMMYFUNCTION("""COMPUTED_VALUE"""),"BO_HR_HRBP")</f>
        <v>BO_HR_HRBP</v>
      </c>
      <c r="C92" s="728" t="str">
        <f>IFERROR(__xludf.DUMMYFUNCTION("""COMPUTED_VALUE"""),"BO_HR_HRBP")</f>
        <v>BO_HR_HRBP</v>
      </c>
      <c r="D92" s="728" t="str">
        <f>IFERROR(__xludf.DUMMYFUNCTION("""COMPUTED_VALUE"""),"HRBP")</f>
        <v>HRBP</v>
      </c>
      <c r="E92" s="728" t="str">
        <f>IFERROR(__xludf.DUMMYFUNCTION("""COMPUTED_VALUE"""),"BO")</f>
        <v>BO</v>
      </c>
      <c r="F92" s="729"/>
      <c r="G92" s="728" t="str">
        <f>IFERROR(__xludf.DUMMYFUNCTION("""COMPUTED_VALUE"""),"BO")</f>
        <v>BO</v>
      </c>
      <c r="H92" s="728" t="str">
        <f>IFERROR(__xludf.DUMMYFUNCTION("""COMPUTED_VALUE"""),"Nhân viên/ Chuyên viên/ Chuyên gia")</f>
        <v>Nhân viên/ Chuyên viên/ Chuyên gia</v>
      </c>
      <c r="I92" s="728" t="str">
        <f>IFERROR(__xludf.DUMMYFUNCTION("""COMPUTED_VALUE"""),"L00")</f>
        <v>L00</v>
      </c>
      <c r="J92" s="728" t="str">
        <f>IFERROR(__xludf.DUMMYFUNCTION("""COMPUTED_VALUE"""),"Công ty cổ phần MISA")</f>
        <v>Công ty cổ phần MISA</v>
      </c>
      <c r="K92" s="729"/>
      <c r="L92" s="728" t="str">
        <f>IFERROR(__xludf.DUMMYFUNCTION("""COMPUTED_VALUE"""),"Đang theo dõi")</f>
        <v>Đang theo dõi</v>
      </c>
      <c r="M92" s="729"/>
      <c r="N92" s="728" t="str">
        <f>IFERROR(__xludf.DUMMYFUNCTION("""COMPUTED_VALUE"""),"giữ nguyên")</f>
        <v>giữ nguyên</v>
      </c>
      <c r="O92" s="708"/>
      <c r="P92" s="708"/>
      <c r="Q92" s="708"/>
      <c r="R92" s="708"/>
      <c r="S92" s="708"/>
      <c r="T92" s="708"/>
      <c r="U92" s="708"/>
      <c r="V92" s="708"/>
      <c r="W92" s="708"/>
      <c r="X92" s="708"/>
      <c r="Y92" s="708"/>
      <c r="Z92" s="708"/>
      <c r="AA92" s="708"/>
      <c r="AB92" s="708"/>
      <c r="AC92" s="708"/>
      <c r="AD92" s="708"/>
      <c r="AE92" s="708"/>
    </row>
    <row r="93">
      <c r="A93" s="727">
        <f>IFERROR(__xludf.DUMMYFUNCTION("""COMPUTED_VALUE"""),78.0)</f>
        <v>78</v>
      </c>
      <c r="B93" s="731" t="str">
        <f>IFERROR(__xludf.DUMMYFUNCTION("""COMPUTED_VALUE"""),"BO_HR_HRBPA")</f>
        <v>BO_HR_HRBPA</v>
      </c>
      <c r="C93" s="731" t="str">
        <f>IFERROR(__xludf.DUMMYFUNCTION("""COMPUTED_VALUE"""),"BO_HR_HRBPA")</f>
        <v>BO_HR_HRBPA</v>
      </c>
      <c r="D93" s="731" t="str">
        <f>IFERROR(__xludf.DUMMYFUNCTION("""COMPUTED_VALUE"""),"Trợ lý Giám đốc DVNS")</f>
        <v>Trợ lý Giám đốc DVNS</v>
      </c>
      <c r="E93" s="731" t="str">
        <f>IFERROR(__xludf.DUMMYFUNCTION("""COMPUTED_VALUE"""),"BO")</f>
        <v>BO</v>
      </c>
      <c r="F93" s="729"/>
      <c r="G93" s="731" t="str">
        <f>IFERROR(__xludf.DUMMYFUNCTION("""COMPUTED_VALUE"""),"BO")</f>
        <v>BO</v>
      </c>
      <c r="H93" s="731" t="str">
        <f>IFERROR(__xludf.DUMMYFUNCTION("""COMPUTED_VALUE"""),"Nhân viên/ Chuyên viên/ Chuyên gia")</f>
        <v>Nhân viên/ Chuyên viên/ Chuyên gia</v>
      </c>
      <c r="I93" s="729"/>
      <c r="J93" s="731" t="str">
        <f>IFERROR(__xludf.DUMMYFUNCTION("""COMPUTED_VALUE"""),"Công ty cổ phần MISA")</f>
        <v>Công ty cổ phần MISA</v>
      </c>
      <c r="K93" s="729"/>
      <c r="L93" s="731" t="str">
        <f>IFERROR(__xludf.DUMMYFUNCTION("""COMPUTED_VALUE"""),"Ngừng")</f>
        <v>Ngừng</v>
      </c>
      <c r="M93" s="728" t="str">
        <f>IFERROR(__xludf.DUMMYFUNCTION("""COMPUTED_VALUE"""),"ko còn trên CCTC mới")</f>
        <v>ko còn trên CCTC mới</v>
      </c>
      <c r="N93" s="728" t="str">
        <f>IFERROR(__xludf.DUMMYFUNCTION("""COMPUTED_VALUE"""),"ngừng")</f>
        <v>ngừng</v>
      </c>
      <c r="O93" s="708"/>
      <c r="P93" s="708"/>
      <c r="Q93" s="708"/>
      <c r="R93" s="708"/>
      <c r="S93" s="708"/>
      <c r="T93" s="708"/>
      <c r="U93" s="708"/>
      <c r="V93" s="708"/>
      <c r="W93" s="708"/>
      <c r="X93" s="708"/>
      <c r="Y93" s="708"/>
      <c r="Z93" s="708"/>
      <c r="AA93" s="708"/>
      <c r="AB93" s="708"/>
      <c r="AC93" s="708"/>
      <c r="AD93" s="708"/>
      <c r="AE93" s="708"/>
    </row>
    <row r="94">
      <c r="A94" s="727">
        <f>IFERROR(__xludf.DUMMYFUNCTION("""COMPUTED_VALUE"""),79.0)</f>
        <v>79</v>
      </c>
      <c r="B94" s="733"/>
      <c r="C94" s="734" t="str">
        <f>IFERROR(__xludf.DUMMYFUNCTION("""COMPUTED_VALUE"""),"BO_HR_A. HRBPDIR")</f>
        <v>BO_HR_A. HRBPDIR</v>
      </c>
      <c r="D94" s="734" t="str">
        <f>IFERROR(__xludf.DUMMYFUNCTION("""COMPUTED_VALUE"""),"Q. Giám đốc HRBP")</f>
        <v>Q. Giám đốc HRBP</v>
      </c>
      <c r="E94" s="734" t="str">
        <f>IFERROR(__xludf.DUMMYFUNCTION("""COMPUTED_VALUE"""),"BO_COD")</f>
        <v>BO_COD</v>
      </c>
      <c r="F94" s="734">
        <f>IFERROR(__xludf.DUMMYFUNCTION("""COMPUTED_VALUE"""),2.0)</f>
        <v>2</v>
      </c>
      <c r="G94" s="728" t="str">
        <f>IFERROR(__xludf.DUMMYFUNCTION("""COMPUTED_VALUE"""),"BO")</f>
        <v>BO</v>
      </c>
      <c r="H94" s="728" t="str">
        <f>IFERROR(__xludf.DUMMYFUNCTION("""COMPUTED_VALUE"""),"TPP/ Trưởng ban")</f>
        <v>TPP/ Trưởng ban</v>
      </c>
      <c r="I94" s="728" t="str">
        <f>IFERROR(__xludf.DUMMYFUNCTION("""COMPUTED_VALUE"""),"L00")</f>
        <v>L00</v>
      </c>
      <c r="J94" s="728" t="str">
        <f>IFERROR(__xludf.DUMMYFUNCTION("""COMPUTED_VALUE"""),"Công ty cổ phần MISA")</f>
        <v>Công ty cổ phần MISA</v>
      </c>
      <c r="K94" s="733"/>
      <c r="L94" s="734" t="str">
        <f>IFERROR(__xludf.DUMMYFUNCTION("""COMPUTED_VALUE"""),"mới")</f>
        <v>mới</v>
      </c>
      <c r="M94" s="733"/>
      <c r="N94" s="728" t="str">
        <f>IFERROR(__xludf.DUMMYFUNCTION("""COMPUTED_VALUE"""),"thêm mới")</f>
        <v>thêm mới</v>
      </c>
      <c r="O94" s="732"/>
      <c r="P94" s="732"/>
      <c r="Q94" s="732"/>
      <c r="R94" s="732"/>
      <c r="S94" s="732"/>
      <c r="T94" s="732"/>
      <c r="U94" s="732"/>
      <c r="V94" s="732"/>
      <c r="W94" s="732"/>
      <c r="X94" s="732"/>
      <c r="Y94" s="732"/>
      <c r="Z94" s="732"/>
      <c r="AA94" s="732"/>
      <c r="AB94" s="732"/>
      <c r="AC94" s="732"/>
      <c r="AD94" s="732"/>
      <c r="AE94" s="732"/>
    </row>
    <row r="95">
      <c r="A95" s="727">
        <f>IFERROR(__xludf.DUMMYFUNCTION("""COMPUTED_VALUE"""),80.0)</f>
        <v>80</v>
      </c>
      <c r="B95" s="731" t="str">
        <f>IFERROR(__xludf.DUMMYFUNCTION("""COMPUTED_VALUE"""),"BO_HR_HRBPD")</f>
        <v>BO_HR_HRBPD</v>
      </c>
      <c r="C95" s="731" t="str">
        <f>IFERROR(__xludf.DUMMYFUNCTION("""COMPUTED_VALUE"""),"BO_HR_HRBPD")</f>
        <v>BO_HR_HRBPD</v>
      </c>
      <c r="D95" s="731" t="str">
        <f>IFERROR(__xludf.DUMMYFUNCTION("""COMPUTED_VALUE"""),"GĐ DVNS")</f>
        <v>GĐ DVNS</v>
      </c>
      <c r="E95" s="731" t="str">
        <f>IFERROR(__xludf.DUMMYFUNCTION("""COMPUTED_VALUE"""),"BO_COD")</f>
        <v>BO_COD</v>
      </c>
      <c r="F95" s="731">
        <f>IFERROR(__xludf.DUMMYFUNCTION("""COMPUTED_VALUE"""),2.0)</f>
        <v>2</v>
      </c>
      <c r="G95" s="731" t="str">
        <f>IFERROR(__xludf.DUMMYFUNCTION("""COMPUTED_VALUE"""),"BO")</f>
        <v>BO</v>
      </c>
      <c r="H95" s="731" t="str">
        <f>IFERROR(__xludf.DUMMYFUNCTION("""COMPUTED_VALUE"""),"TPP/ Trưởng ban")</f>
        <v>TPP/ Trưởng ban</v>
      </c>
      <c r="I95" s="729"/>
      <c r="J95" s="731" t="str">
        <f>IFERROR(__xludf.DUMMYFUNCTION("""COMPUTED_VALUE"""),"Công ty cổ phần MISA")</f>
        <v>Công ty cổ phần MISA</v>
      </c>
      <c r="K95" s="729"/>
      <c r="L95" s="731" t="str">
        <f>IFERROR(__xludf.DUMMYFUNCTION("""COMPUTED_VALUE"""),"Ngừng")</f>
        <v>Ngừng</v>
      </c>
      <c r="M95" s="728" t="str">
        <f>IFERROR(__xludf.DUMMYFUNCTION("""COMPUTED_VALUE"""),"ko còn trên CCTC mới")</f>
        <v>ko còn trên CCTC mới</v>
      </c>
      <c r="N95" s="728" t="str">
        <f>IFERROR(__xludf.DUMMYFUNCTION("""COMPUTED_VALUE"""),"ngừng")</f>
        <v>ngừng</v>
      </c>
      <c r="O95" s="708"/>
      <c r="P95" s="708"/>
      <c r="Q95" s="708"/>
      <c r="R95" s="708"/>
      <c r="S95" s="708"/>
      <c r="T95" s="708"/>
      <c r="U95" s="708"/>
      <c r="V95" s="708"/>
      <c r="W95" s="708"/>
      <c r="X95" s="708"/>
      <c r="Y95" s="708"/>
      <c r="Z95" s="708"/>
      <c r="AA95" s="708"/>
      <c r="AB95" s="708"/>
      <c r="AC95" s="708"/>
      <c r="AD95" s="708"/>
      <c r="AE95" s="708"/>
    </row>
    <row r="96">
      <c r="A96" s="727">
        <f>IFERROR(__xludf.DUMMYFUNCTION("""COMPUTED_VALUE"""),81.0)</f>
        <v>81</v>
      </c>
      <c r="B96" s="728" t="str">
        <f>IFERROR(__xludf.DUMMYFUNCTION("""COMPUTED_VALUE"""),"BO_HR_MGR")</f>
        <v>BO_HR_MGR</v>
      </c>
      <c r="C96" s="728" t="str">
        <f>IFERROR(__xludf.DUMMYFUNCTION("""COMPUTED_VALUE"""),"BO_HR_MGR")</f>
        <v>BO_HR_MGR</v>
      </c>
      <c r="D96" s="728" t="str">
        <f>IFERROR(__xludf.DUMMYFUNCTION("""COMPUTED_VALUE"""),"Trưởng phòng QTNNL")</f>
        <v>Trưởng phòng QTNNL</v>
      </c>
      <c r="E96" s="728" t="str">
        <f>IFERROR(__xludf.DUMMYFUNCTION("""COMPUTED_VALUE"""),"BO_COD")</f>
        <v>BO_COD</v>
      </c>
      <c r="F96" s="728">
        <f>IFERROR(__xludf.DUMMYFUNCTION("""COMPUTED_VALUE"""),2.0)</f>
        <v>2</v>
      </c>
      <c r="G96" s="728" t="str">
        <f>IFERROR(__xludf.DUMMYFUNCTION("""COMPUTED_VALUE"""),"BO")</f>
        <v>BO</v>
      </c>
      <c r="H96" s="728" t="str">
        <f>IFERROR(__xludf.DUMMYFUNCTION("""COMPUTED_VALUE"""),"TPP/ Trưởng ban")</f>
        <v>TPP/ Trưởng ban</v>
      </c>
      <c r="I96" s="728" t="str">
        <f>IFERROR(__xludf.DUMMYFUNCTION("""COMPUTED_VALUE"""),"L00")</f>
        <v>L00</v>
      </c>
      <c r="J96" s="728" t="str">
        <f>IFERROR(__xludf.DUMMYFUNCTION("""COMPUTED_VALUE"""),"Công ty cổ phần MISA")</f>
        <v>Công ty cổ phần MISA</v>
      </c>
      <c r="K96" s="729"/>
      <c r="L96" s="728" t="str">
        <f>IFERROR(__xludf.DUMMYFUNCTION("""COMPUTED_VALUE"""),"Đang theo dõi")</f>
        <v>Đang theo dõi</v>
      </c>
      <c r="M96" s="729"/>
      <c r="N96" s="728" t="str">
        <f>IFERROR(__xludf.DUMMYFUNCTION("""COMPUTED_VALUE"""),"giữ nguyên")</f>
        <v>giữ nguyên</v>
      </c>
      <c r="O96" s="708"/>
      <c r="P96" s="708"/>
      <c r="Q96" s="708"/>
      <c r="R96" s="708"/>
      <c r="S96" s="708"/>
      <c r="T96" s="708"/>
      <c r="U96" s="708"/>
      <c r="V96" s="708"/>
      <c r="W96" s="708"/>
      <c r="X96" s="708"/>
      <c r="Y96" s="708"/>
      <c r="Z96" s="708"/>
      <c r="AA96" s="708"/>
      <c r="AB96" s="708"/>
      <c r="AC96" s="708"/>
      <c r="AD96" s="708"/>
      <c r="AE96" s="708"/>
    </row>
    <row r="97">
      <c r="A97" s="727">
        <f>IFERROR(__xludf.DUMMYFUNCTION("""COMPUTED_VALUE"""),79.0)</f>
        <v>79</v>
      </c>
      <c r="B97" s="733"/>
      <c r="C97" s="734" t="str">
        <f>IFERROR(__xludf.DUMMYFUNCTION("""COMPUTED_VALUE"""),"BO_HR_HRBPDIR")</f>
        <v>BO_HR_HRBPDIR</v>
      </c>
      <c r="D97" s="734" t="str">
        <f>IFERROR(__xludf.DUMMYFUNCTION("""COMPUTED_VALUE"""),"Giám đốc HRBP")</f>
        <v>Giám đốc HRBP</v>
      </c>
      <c r="E97" s="734" t="str">
        <f>IFERROR(__xludf.DUMMYFUNCTION("""COMPUTED_VALUE"""),"BO_COD")</f>
        <v>BO_COD</v>
      </c>
      <c r="F97" s="734">
        <f>IFERROR(__xludf.DUMMYFUNCTION("""COMPUTED_VALUE"""),2.0)</f>
        <v>2</v>
      </c>
      <c r="G97" s="728" t="str">
        <f>IFERROR(__xludf.DUMMYFUNCTION("""COMPUTED_VALUE"""),"BO")</f>
        <v>BO</v>
      </c>
      <c r="H97" s="728" t="str">
        <f>IFERROR(__xludf.DUMMYFUNCTION("""COMPUTED_VALUE"""),"TPP/ Trưởng ban")</f>
        <v>TPP/ Trưởng ban</v>
      </c>
      <c r="I97" s="728" t="str">
        <f>IFERROR(__xludf.DUMMYFUNCTION("""COMPUTED_VALUE"""),"L00")</f>
        <v>L00</v>
      </c>
      <c r="J97" s="728" t="str">
        <f>IFERROR(__xludf.DUMMYFUNCTION("""COMPUTED_VALUE"""),"Công ty cổ phần MISA")</f>
        <v>Công ty cổ phần MISA</v>
      </c>
      <c r="K97" s="733"/>
      <c r="L97" s="734" t="str">
        <f>IFERROR(__xludf.DUMMYFUNCTION("""COMPUTED_VALUE"""),"mới")</f>
        <v>mới</v>
      </c>
      <c r="M97" s="733"/>
      <c r="N97" s="728" t="str">
        <f>IFERROR(__xludf.DUMMYFUNCTION("""COMPUTED_VALUE"""),"thêm mới")</f>
        <v>thêm mới</v>
      </c>
      <c r="O97" s="732"/>
      <c r="P97" s="732"/>
      <c r="Q97" s="732"/>
      <c r="R97" s="732"/>
      <c r="S97" s="732"/>
      <c r="T97" s="732"/>
      <c r="U97" s="732"/>
      <c r="V97" s="732"/>
      <c r="W97" s="732"/>
      <c r="X97" s="732"/>
      <c r="Y97" s="732"/>
      <c r="Z97" s="732"/>
      <c r="AA97" s="732"/>
      <c r="AB97" s="708"/>
      <c r="AC97" s="708"/>
      <c r="AD97" s="708"/>
      <c r="AE97" s="708"/>
    </row>
    <row r="98">
      <c r="A98" s="727">
        <f>IFERROR(__xludf.DUMMYFUNCTION("""COMPUTED_VALUE"""),82.0)</f>
        <v>82</v>
      </c>
      <c r="B98" s="733"/>
      <c r="C98" s="734" t="str">
        <f>IFERROR(__xludf.DUMMYFUNCTION("""COMPUTED_VALUE"""),"BO_HR_PLRD")</f>
        <v>BO_HR_PLRD</v>
      </c>
      <c r="D98" s="734" t="str">
        <f>IFERROR(__xludf.DUMMYFUNCTION("""COMPUTED_VALUE"""),"Giám đốc Chính sách và Quan hệ lao động")</f>
        <v>Giám đốc Chính sách và Quan hệ lao động</v>
      </c>
      <c r="E98" s="734" t="str">
        <f>IFERROR(__xludf.DUMMYFUNCTION("""COMPUTED_VALUE"""),"BO_COD")</f>
        <v>BO_COD</v>
      </c>
      <c r="F98" s="733"/>
      <c r="G98" s="734" t="str">
        <f>IFERROR(__xludf.DUMMYFUNCTION("""COMPUTED_VALUE"""),"BO")</f>
        <v>BO</v>
      </c>
      <c r="H98" s="734" t="str">
        <f>IFERROR(__xludf.DUMMYFUNCTION("""COMPUTED_VALUE"""),"TPP/ Trưởng ban")</f>
        <v>TPP/ Trưởng ban</v>
      </c>
      <c r="I98" s="734" t="str">
        <f>IFERROR(__xludf.DUMMYFUNCTION("""COMPUTED_VALUE"""),"L00")</f>
        <v>L00</v>
      </c>
      <c r="J98" s="734" t="str">
        <f>IFERROR(__xludf.DUMMYFUNCTION("""COMPUTED_VALUE"""),"Công ty cổ phần MISA")</f>
        <v>Công ty cổ phần MISA</v>
      </c>
      <c r="K98" s="733"/>
      <c r="L98" s="734" t="str">
        <f>IFERROR(__xludf.DUMMYFUNCTION("""COMPUTED_VALUE"""),"mới")</f>
        <v>mới</v>
      </c>
      <c r="M98" s="734" t="str">
        <f>IFERROR(__xludf.DUMMYFUNCTION("""COMPUTED_VALUE"""),"Policy and Labor Relations director")</f>
        <v>Policy and Labor Relations director</v>
      </c>
      <c r="N98" s="728" t="str">
        <f>IFERROR(__xludf.DUMMYFUNCTION("""COMPUTED_VALUE"""),"thêm mới")</f>
        <v>thêm mới</v>
      </c>
      <c r="O98" s="708"/>
      <c r="P98" s="708"/>
      <c r="Q98" s="708"/>
      <c r="R98" s="708"/>
      <c r="S98" s="708"/>
      <c r="T98" s="708"/>
      <c r="U98" s="708"/>
      <c r="V98" s="708"/>
      <c r="W98" s="708"/>
      <c r="X98" s="708"/>
      <c r="Y98" s="708"/>
      <c r="Z98" s="708"/>
      <c r="AA98" s="708"/>
      <c r="AB98" s="732"/>
      <c r="AC98" s="732"/>
      <c r="AD98" s="732"/>
      <c r="AE98" s="732"/>
    </row>
    <row r="99">
      <c r="A99" s="727">
        <f>IFERROR(__xludf.DUMMYFUNCTION("""COMPUTED_VALUE"""),83.0)</f>
        <v>83</v>
      </c>
      <c r="B99" s="728" t="str">
        <f>IFERROR(__xludf.DUMMYFUNCTION("""COMPUTED_VALUE"""),"BO_HR_TA")</f>
        <v>BO_HR_TA</v>
      </c>
      <c r="C99" s="728" t="str">
        <f>IFERROR(__xludf.DUMMYFUNCTION("""COMPUTED_VALUE"""),"BO_HR_TA")</f>
        <v>BO_HR_TA</v>
      </c>
      <c r="D99" s="728" t="str">
        <f>IFERROR(__xludf.DUMMYFUNCTION("""COMPUTED_VALUE"""),"HR Tuyển dụng")</f>
        <v>HR Tuyển dụng</v>
      </c>
      <c r="E99" s="728" t="str">
        <f>IFERROR(__xludf.DUMMYFUNCTION("""COMPUTED_VALUE"""),"BO")</f>
        <v>BO</v>
      </c>
      <c r="F99" s="729"/>
      <c r="G99" s="728" t="str">
        <f>IFERROR(__xludf.DUMMYFUNCTION("""COMPUTED_VALUE"""),"BO")</f>
        <v>BO</v>
      </c>
      <c r="H99" s="728" t="str">
        <f>IFERROR(__xludf.DUMMYFUNCTION("""COMPUTED_VALUE"""),"Nhân viên/ Chuyên viên/ Chuyên gia")</f>
        <v>Nhân viên/ Chuyên viên/ Chuyên gia</v>
      </c>
      <c r="I99" s="729"/>
      <c r="J99" s="728" t="str">
        <f>IFERROR(__xludf.DUMMYFUNCTION("""COMPUTED_VALUE"""),"Công ty cổ phần MISA")</f>
        <v>Công ty cổ phần MISA</v>
      </c>
      <c r="K99" s="729"/>
      <c r="L99" s="728" t="str">
        <f>IFERROR(__xludf.DUMMYFUNCTION("""COMPUTED_VALUE"""),"Đang theo dõi")</f>
        <v>Đang theo dõi</v>
      </c>
      <c r="M99" s="729"/>
      <c r="N99" s="728" t="str">
        <f>IFERROR(__xludf.DUMMYFUNCTION("""COMPUTED_VALUE"""),"giữ nguyên")</f>
        <v>giữ nguyên</v>
      </c>
      <c r="O99" s="732"/>
      <c r="P99" s="732"/>
      <c r="Q99" s="732"/>
      <c r="R99" s="732"/>
      <c r="S99" s="732"/>
      <c r="T99" s="732"/>
      <c r="U99" s="732"/>
      <c r="V99" s="732"/>
      <c r="W99" s="732"/>
      <c r="X99" s="732"/>
      <c r="Y99" s="732"/>
      <c r="Z99" s="732"/>
      <c r="AA99" s="732"/>
      <c r="AB99" s="708"/>
      <c r="AC99" s="708"/>
      <c r="AD99" s="708"/>
      <c r="AE99" s="708"/>
    </row>
    <row r="100">
      <c r="A100" s="727">
        <f>IFERROR(__xludf.DUMMYFUNCTION("""COMPUTED_VALUE"""),84.0)</f>
        <v>84</v>
      </c>
      <c r="B100" s="728" t="str">
        <f>IFERROR(__xludf.DUMMYFUNCTION("""COMPUTED_VALUE"""),"BO_HR_TA_INTERN")</f>
        <v>BO_HR_TA_INTERN</v>
      </c>
      <c r="C100" s="728" t="str">
        <f>IFERROR(__xludf.DUMMYFUNCTION("""COMPUTED_VALUE"""),"BO_HR_TA_INTERN")</f>
        <v>BO_HR_TA_INTERN</v>
      </c>
      <c r="D100" s="728" t="str">
        <f>IFERROR(__xludf.DUMMYFUNCTION("""COMPUTED_VALUE"""),"TTS Tuyển dụng")</f>
        <v>TTS Tuyển dụng</v>
      </c>
      <c r="E100" s="728" t="str">
        <f>IFERROR(__xludf.DUMMYFUNCTION("""COMPUTED_VALUE"""),"BO_TTS")</f>
        <v>BO_TTS</v>
      </c>
      <c r="F100" s="729"/>
      <c r="G100" s="728" t="str">
        <f>IFERROR(__xludf.DUMMYFUNCTION("""COMPUTED_VALUE"""),"BO")</f>
        <v>BO</v>
      </c>
      <c r="H100" s="728" t="str">
        <f>IFERROR(__xludf.DUMMYFUNCTION("""COMPUTED_VALUE"""),"Thực tập")</f>
        <v>Thực tập</v>
      </c>
      <c r="I100" s="728" t="str">
        <f>IFERROR(__xludf.DUMMYFUNCTION("""COMPUTED_VALUE"""),"L00")</f>
        <v>L00</v>
      </c>
      <c r="J100" s="728" t="str">
        <f>IFERROR(__xludf.DUMMYFUNCTION("""COMPUTED_VALUE"""),"Công ty cổ phần MISA")</f>
        <v>Công ty cổ phần MISA</v>
      </c>
      <c r="K100" s="729"/>
      <c r="L100" s="728" t="str">
        <f>IFERROR(__xludf.DUMMYFUNCTION("""COMPUTED_VALUE"""),"Đang theo dõi")</f>
        <v>Đang theo dõi</v>
      </c>
      <c r="M100" s="729"/>
      <c r="N100" s="728" t="str">
        <f>IFERROR(__xludf.DUMMYFUNCTION("""COMPUTED_VALUE"""),"giữ nguyên")</f>
        <v>giữ nguyên</v>
      </c>
      <c r="O100" s="708"/>
      <c r="P100" s="708"/>
      <c r="Q100" s="708"/>
      <c r="R100" s="708"/>
      <c r="S100" s="708"/>
      <c r="T100" s="708"/>
      <c r="U100" s="708"/>
      <c r="V100" s="708"/>
      <c r="W100" s="708"/>
      <c r="X100" s="708"/>
      <c r="Y100" s="708"/>
      <c r="Z100" s="708"/>
      <c r="AA100" s="708"/>
      <c r="AB100" s="708"/>
      <c r="AC100" s="708"/>
      <c r="AD100" s="708"/>
      <c r="AE100" s="708"/>
    </row>
    <row r="101">
      <c r="A101" s="727">
        <f>IFERROR(__xludf.DUMMYFUNCTION("""COMPUTED_VALUE"""),85.0)</f>
        <v>85</v>
      </c>
      <c r="B101" s="731" t="str">
        <f>IFERROR(__xludf.DUMMYFUNCTION("""COMPUTED_VALUE"""),"BO_HR_TAA")</f>
        <v>BO_HR_TAA</v>
      </c>
      <c r="C101" s="731" t="str">
        <f>IFERROR(__xludf.DUMMYFUNCTION("""COMPUTED_VALUE"""),"BO_HR_TAA")</f>
        <v>BO_HR_TAA</v>
      </c>
      <c r="D101" s="731" t="str">
        <f>IFERROR(__xludf.DUMMYFUNCTION("""COMPUTED_VALUE"""),"Trợ lý Tuyển dụng")</f>
        <v>Trợ lý Tuyển dụng</v>
      </c>
      <c r="E101" s="731" t="str">
        <f>IFERROR(__xludf.DUMMYFUNCTION("""COMPUTED_VALUE"""),"BO")</f>
        <v>BO</v>
      </c>
      <c r="F101" s="729"/>
      <c r="G101" s="731" t="str">
        <f>IFERROR(__xludf.DUMMYFUNCTION("""COMPUTED_VALUE"""),"BO")</f>
        <v>BO</v>
      </c>
      <c r="H101" s="731" t="str">
        <f>IFERROR(__xludf.DUMMYFUNCTION("""COMPUTED_VALUE"""),"Nhân viên/ Chuyên viên/ Chuyên gia")</f>
        <v>Nhân viên/ Chuyên viên/ Chuyên gia</v>
      </c>
      <c r="I101" s="731" t="str">
        <f>IFERROR(__xludf.DUMMYFUNCTION("""COMPUTED_VALUE"""),"L00")</f>
        <v>L00</v>
      </c>
      <c r="J101" s="731" t="str">
        <f>IFERROR(__xludf.DUMMYFUNCTION("""COMPUTED_VALUE"""),"Công ty cổ phần MISA")</f>
        <v>Công ty cổ phần MISA</v>
      </c>
      <c r="K101" s="729"/>
      <c r="L101" s="731" t="str">
        <f>IFERROR(__xludf.DUMMYFUNCTION("""COMPUTED_VALUE"""),"Ngừng")</f>
        <v>Ngừng</v>
      </c>
      <c r="M101" s="728" t="str">
        <f>IFERROR(__xludf.DUMMYFUNCTION("""COMPUTED_VALUE"""),"ko còn trên CCTC mới")</f>
        <v>ko còn trên CCTC mới</v>
      </c>
      <c r="N101" s="728" t="str">
        <f>IFERROR(__xludf.DUMMYFUNCTION("""COMPUTED_VALUE"""),"ngừng")</f>
        <v>ngừng</v>
      </c>
      <c r="O101" s="708"/>
      <c r="P101" s="708"/>
      <c r="Q101" s="708"/>
      <c r="R101" s="708"/>
      <c r="S101" s="708"/>
      <c r="T101" s="708"/>
      <c r="U101" s="708"/>
      <c r="V101" s="708"/>
      <c r="W101" s="708"/>
      <c r="X101" s="708"/>
      <c r="Y101" s="708"/>
      <c r="Z101" s="708"/>
      <c r="AA101" s="708"/>
      <c r="AB101" s="708"/>
      <c r="AC101" s="708"/>
      <c r="AD101" s="708"/>
      <c r="AE101" s="708"/>
    </row>
    <row r="102">
      <c r="A102" s="727">
        <f>IFERROR(__xludf.DUMMYFUNCTION("""COMPUTED_VALUE"""),86.0)</f>
        <v>86</v>
      </c>
      <c r="B102" s="728" t="str">
        <f>IFERROR(__xludf.DUMMYFUNCTION("""COMPUTED_VALUE"""),"BO_HR_TAD")</f>
        <v>BO_HR_TAD</v>
      </c>
      <c r="C102" s="728" t="str">
        <f>IFERROR(__xludf.DUMMYFUNCTION("""COMPUTED_VALUE"""),"BO_HR_TAD")</f>
        <v>BO_HR_TAD</v>
      </c>
      <c r="D102" s="728" t="str">
        <f>IFERROR(__xludf.DUMMYFUNCTION("""COMPUTED_VALUE"""),"Giám đốc Tuyển dụng")</f>
        <v>Giám đốc Tuyển dụng</v>
      </c>
      <c r="E102" s="728" t="str">
        <f>IFERROR(__xludf.DUMMYFUNCTION("""COMPUTED_VALUE"""),"BO_COD")</f>
        <v>BO_COD</v>
      </c>
      <c r="F102" s="728">
        <f>IFERROR(__xludf.DUMMYFUNCTION("""COMPUTED_VALUE"""),2.0)</f>
        <v>2</v>
      </c>
      <c r="G102" s="728" t="str">
        <f>IFERROR(__xludf.DUMMYFUNCTION("""COMPUTED_VALUE"""),"BO")</f>
        <v>BO</v>
      </c>
      <c r="H102" s="728" t="str">
        <f>IFERROR(__xludf.DUMMYFUNCTION("""COMPUTED_VALUE"""),"TPP/ Trưởng ban")</f>
        <v>TPP/ Trưởng ban</v>
      </c>
      <c r="I102" s="728" t="str">
        <f>IFERROR(__xludf.DUMMYFUNCTION("""COMPUTED_VALUE"""),"L00")</f>
        <v>L00</v>
      </c>
      <c r="J102" s="728" t="str">
        <f>IFERROR(__xludf.DUMMYFUNCTION("""COMPUTED_VALUE"""),"Công ty cổ phần MISA")</f>
        <v>Công ty cổ phần MISA</v>
      </c>
      <c r="K102" s="729"/>
      <c r="L102" s="728" t="str">
        <f>IFERROR(__xludf.DUMMYFUNCTION("""COMPUTED_VALUE"""),"Đang theo dõi")</f>
        <v>Đang theo dõi</v>
      </c>
      <c r="M102" s="729"/>
      <c r="N102" s="728" t="str">
        <f>IFERROR(__xludf.DUMMYFUNCTION("""COMPUTED_VALUE"""),"giữ nguyên")</f>
        <v>giữ nguyên</v>
      </c>
      <c r="O102" s="708"/>
      <c r="P102" s="708"/>
      <c r="Q102" s="708"/>
      <c r="R102" s="708"/>
      <c r="S102" s="708"/>
      <c r="T102" s="708"/>
      <c r="U102" s="708"/>
      <c r="V102" s="708"/>
      <c r="W102" s="708"/>
      <c r="X102" s="708"/>
      <c r="Y102" s="708"/>
      <c r="Z102" s="708"/>
      <c r="AA102" s="708"/>
      <c r="AB102" s="708"/>
      <c r="AC102" s="708"/>
      <c r="AD102" s="708"/>
      <c r="AE102" s="708"/>
    </row>
    <row r="103">
      <c r="A103" s="727">
        <f>IFERROR(__xludf.DUMMYFUNCTION("""COMPUTED_VALUE"""),87.0)</f>
        <v>87</v>
      </c>
      <c r="B103" s="731" t="str">
        <f>IFERROR(__xludf.DUMMYFUNCTION("""COMPUTED_VALUE"""),"BO_HR_TD&amp;DT")</f>
        <v>BO_HR_TD&amp;DT</v>
      </c>
      <c r="C103" s="731" t="str">
        <f>IFERROR(__xludf.DUMMYFUNCTION("""COMPUTED_VALUE"""),"BO_HR_TD&amp;DT")</f>
        <v>BO_HR_TD&amp;DT</v>
      </c>
      <c r="D103" s="731" t="str">
        <f>IFERROR(__xludf.DUMMYFUNCTION("""COMPUTED_VALUE"""),"Q. Giám đốc Tuyển dụng và Đào tạo")</f>
        <v>Q. Giám đốc Tuyển dụng và Đào tạo</v>
      </c>
      <c r="E103" s="729"/>
      <c r="F103" s="731">
        <f>IFERROR(__xludf.DUMMYFUNCTION("""COMPUTED_VALUE"""),2.0)</f>
        <v>2</v>
      </c>
      <c r="G103" s="731" t="str">
        <f>IFERROR(__xludf.DUMMYFUNCTION("""COMPUTED_VALUE"""),"KDDN")</f>
        <v>KDDN</v>
      </c>
      <c r="H103" s="729"/>
      <c r="I103" s="729"/>
      <c r="J103" s="731" t="str">
        <f>IFERROR(__xludf.DUMMYFUNCTION("""COMPUTED_VALUE"""),"Công ty cổ phần MISA")</f>
        <v>Công ty cổ phần MISA</v>
      </c>
      <c r="K103" s="729"/>
      <c r="L103" s="731" t="str">
        <f>IFERROR(__xludf.DUMMYFUNCTION("""COMPUTED_VALUE"""),"Ngừng")</f>
        <v>Ngừng</v>
      </c>
      <c r="M103" s="728" t="str">
        <f>IFERROR(__xludf.DUMMYFUNCTION("""COMPUTED_VALUE"""),"ko còn trên CCTC mới")</f>
        <v>ko còn trên CCTC mới</v>
      </c>
      <c r="N103" s="728" t="str">
        <f>IFERROR(__xludf.DUMMYFUNCTION("""COMPUTED_VALUE"""),"ngừng")</f>
        <v>ngừng</v>
      </c>
      <c r="O103" s="708"/>
      <c r="P103" s="708"/>
      <c r="Q103" s="708"/>
      <c r="R103" s="708"/>
      <c r="S103" s="708"/>
      <c r="T103" s="708"/>
      <c r="U103" s="708"/>
      <c r="V103" s="708"/>
      <c r="W103" s="708"/>
      <c r="X103" s="708"/>
      <c r="Y103" s="708"/>
      <c r="Z103" s="708"/>
      <c r="AA103" s="708"/>
      <c r="AB103" s="708"/>
      <c r="AC103" s="708"/>
      <c r="AD103" s="708"/>
      <c r="AE103" s="708"/>
    </row>
    <row r="104">
      <c r="A104" s="727">
        <f>IFERROR(__xludf.DUMMYFUNCTION("""COMPUTED_VALUE"""),88.0)</f>
        <v>88</v>
      </c>
      <c r="B104" s="728" t="str">
        <f>IFERROR(__xludf.DUMMYFUNCTION("""COMPUTED_VALUE"""),"BO_HR_TRN")</f>
        <v>BO_HR_TRN</v>
      </c>
      <c r="C104" s="728" t="str">
        <f>IFERROR(__xludf.DUMMYFUNCTION("""COMPUTED_VALUE"""),"BO_HR_TRN")</f>
        <v>BO_HR_TRN</v>
      </c>
      <c r="D104" s="728" t="str">
        <f>IFERROR(__xludf.DUMMYFUNCTION("""COMPUTED_VALUE"""),"HR Đào tạo")</f>
        <v>HR Đào tạo</v>
      </c>
      <c r="E104" s="728" t="str">
        <f>IFERROR(__xludf.DUMMYFUNCTION("""COMPUTED_VALUE"""),"BO")</f>
        <v>BO</v>
      </c>
      <c r="F104" s="729"/>
      <c r="G104" s="728" t="str">
        <f>IFERROR(__xludf.DUMMYFUNCTION("""COMPUTED_VALUE"""),"BO")</f>
        <v>BO</v>
      </c>
      <c r="H104" s="728" t="str">
        <f>IFERROR(__xludf.DUMMYFUNCTION("""COMPUTED_VALUE"""),"Nhân viên/ Chuyên viên/ Chuyên gia")</f>
        <v>Nhân viên/ Chuyên viên/ Chuyên gia</v>
      </c>
      <c r="I104" s="728" t="str">
        <f>IFERROR(__xludf.DUMMYFUNCTION("""COMPUTED_VALUE"""),"L00")</f>
        <v>L00</v>
      </c>
      <c r="J104" s="728" t="str">
        <f>IFERROR(__xludf.DUMMYFUNCTION("""COMPUTED_VALUE"""),"Công ty cổ phần MISA")</f>
        <v>Công ty cổ phần MISA</v>
      </c>
      <c r="K104" s="729"/>
      <c r="L104" s="728" t="str">
        <f>IFERROR(__xludf.DUMMYFUNCTION("""COMPUTED_VALUE"""),"Đang theo dõi")</f>
        <v>Đang theo dõi</v>
      </c>
      <c r="M104" s="729"/>
      <c r="N104" s="728" t="str">
        <f>IFERROR(__xludf.DUMMYFUNCTION("""COMPUTED_VALUE"""),"giữ nguyên")</f>
        <v>giữ nguyên</v>
      </c>
      <c r="O104" s="708"/>
      <c r="P104" s="708"/>
      <c r="Q104" s="708"/>
      <c r="R104" s="708"/>
      <c r="S104" s="708"/>
      <c r="T104" s="708"/>
      <c r="U104" s="708"/>
      <c r="V104" s="708"/>
      <c r="W104" s="708"/>
      <c r="X104" s="708"/>
      <c r="Y104" s="708"/>
      <c r="Z104" s="708"/>
      <c r="AA104" s="708"/>
      <c r="AB104" s="708"/>
      <c r="AC104" s="708"/>
      <c r="AD104" s="708"/>
      <c r="AE104" s="708"/>
    </row>
    <row r="105">
      <c r="A105" s="727">
        <f>IFERROR(__xludf.DUMMYFUNCTION("""COMPUTED_VALUE"""),89.0)</f>
        <v>89</v>
      </c>
      <c r="B105" s="728" t="str">
        <f>IFERROR(__xludf.DUMMYFUNCTION("""COMPUTED_VALUE"""),"BO_HR_TRN_INTERN")</f>
        <v>BO_HR_TRN_INTERN</v>
      </c>
      <c r="C105" s="728" t="str">
        <f>IFERROR(__xludf.DUMMYFUNCTION("""COMPUTED_VALUE"""),"BO_HR_TRN_INTERN")</f>
        <v>BO_HR_TRN_INTERN</v>
      </c>
      <c r="D105" s="728" t="str">
        <f>IFERROR(__xludf.DUMMYFUNCTION("""COMPUTED_VALUE"""),"TTS Đào tạo")</f>
        <v>TTS Đào tạo</v>
      </c>
      <c r="E105" s="728" t="str">
        <f>IFERROR(__xludf.DUMMYFUNCTION("""COMPUTED_VALUE"""),"BO_TTS")</f>
        <v>BO_TTS</v>
      </c>
      <c r="F105" s="729"/>
      <c r="G105" s="728" t="str">
        <f>IFERROR(__xludf.DUMMYFUNCTION("""COMPUTED_VALUE"""),"BO")</f>
        <v>BO</v>
      </c>
      <c r="H105" s="729"/>
      <c r="I105" s="728" t="str">
        <f>IFERROR(__xludf.DUMMYFUNCTION("""COMPUTED_VALUE"""),"L00")</f>
        <v>L00</v>
      </c>
      <c r="J105" s="728" t="str">
        <f>IFERROR(__xludf.DUMMYFUNCTION("""COMPUTED_VALUE"""),"Công ty cổ phần MISA")</f>
        <v>Công ty cổ phần MISA</v>
      </c>
      <c r="K105" s="729"/>
      <c r="L105" s="728" t="str">
        <f>IFERROR(__xludf.DUMMYFUNCTION("""COMPUTED_VALUE"""),"Đang theo dõi")</f>
        <v>Đang theo dõi</v>
      </c>
      <c r="M105" s="729"/>
      <c r="N105" s="728" t="str">
        <f>IFERROR(__xludf.DUMMYFUNCTION("""COMPUTED_VALUE"""),"giữ nguyên")</f>
        <v>giữ nguyên</v>
      </c>
      <c r="O105" s="708"/>
      <c r="P105" s="708"/>
      <c r="Q105" s="708"/>
      <c r="R105" s="708"/>
      <c r="S105" s="708"/>
      <c r="T105" s="708"/>
      <c r="U105" s="708"/>
      <c r="V105" s="708"/>
      <c r="W105" s="708"/>
      <c r="X105" s="708"/>
      <c r="Y105" s="708"/>
      <c r="Z105" s="708"/>
      <c r="AA105" s="708"/>
      <c r="AB105" s="708"/>
      <c r="AC105" s="708"/>
      <c r="AD105" s="708"/>
      <c r="AE105" s="708"/>
    </row>
    <row r="106">
      <c r="A106" s="727">
        <f>IFERROR(__xludf.DUMMYFUNCTION("""COMPUTED_VALUE"""),90.0)</f>
        <v>90</v>
      </c>
      <c r="B106" s="731" t="str">
        <f>IFERROR(__xludf.DUMMYFUNCTION("""COMPUTED_VALUE"""),"BO_HR_TRNA")</f>
        <v>BO_HR_TRNA</v>
      </c>
      <c r="C106" s="731" t="str">
        <f>IFERROR(__xludf.DUMMYFUNCTION("""COMPUTED_VALUE"""),"BO_HR_TRNA")</f>
        <v>BO_HR_TRNA</v>
      </c>
      <c r="D106" s="731" t="str">
        <f>IFERROR(__xludf.DUMMYFUNCTION("""COMPUTED_VALUE"""),"Trợ lý Đào tạo")</f>
        <v>Trợ lý Đào tạo</v>
      </c>
      <c r="E106" s="731" t="str">
        <f>IFERROR(__xludf.DUMMYFUNCTION("""COMPUTED_VALUE"""),"BO")</f>
        <v>BO</v>
      </c>
      <c r="F106" s="729"/>
      <c r="G106" s="731" t="str">
        <f>IFERROR(__xludf.DUMMYFUNCTION("""COMPUTED_VALUE"""),"BO")</f>
        <v>BO</v>
      </c>
      <c r="H106" s="731" t="str">
        <f>IFERROR(__xludf.DUMMYFUNCTION("""COMPUTED_VALUE"""),"Nhân viên/ Chuyên viên/ Chuyên gia")</f>
        <v>Nhân viên/ Chuyên viên/ Chuyên gia</v>
      </c>
      <c r="I106" s="731" t="str">
        <f>IFERROR(__xludf.DUMMYFUNCTION("""COMPUTED_VALUE"""),"L00")</f>
        <v>L00</v>
      </c>
      <c r="J106" s="731" t="str">
        <f>IFERROR(__xludf.DUMMYFUNCTION("""COMPUTED_VALUE"""),"Công ty cổ phần MISA")</f>
        <v>Công ty cổ phần MISA</v>
      </c>
      <c r="K106" s="729"/>
      <c r="L106" s="731" t="str">
        <f>IFERROR(__xludf.DUMMYFUNCTION("""COMPUTED_VALUE"""),"Ngừng")</f>
        <v>Ngừng</v>
      </c>
      <c r="M106" s="728" t="str">
        <f>IFERROR(__xludf.DUMMYFUNCTION("""COMPUTED_VALUE"""),"ko còn trên CCTC mới")</f>
        <v>ko còn trên CCTC mới</v>
      </c>
      <c r="N106" s="728" t="str">
        <f>IFERROR(__xludf.DUMMYFUNCTION("""COMPUTED_VALUE"""),"ngừng")</f>
        <v>ngừng</v>
      </c>
      <c r="O106" s="708"/>
      <c r="P106" s="708"/>
      <c r="Q106" s="708"/>
      <c r="R106" s="708"/>
      <c r="S106" s="708"/>
      <c r="T106" s="708"/>
      <c r="U106" s="708"/>
      <c r="V106" s="708"/>
      <c r="W106" s="708"/>
      <c r="X106" s="708"/>
      <c r="Y106" s="708"/>
      <c r="Z106" s="708"/>
      <c r="AA106" s="708"/>
      <c r="AB106" s="708"/>
      <c r="AC106" s="708"/>
      <c r="AD106" s="708"/>
      <c r="AE106" s="708"/>
    </row>
    <row r="107">
      <c r="A107" s="727">
        <f>IFERROR(__xludf.DUMMYFUNCTION("""COMPUTED_VALUE"""),91.0)</f>
        <v>91</v>
      </c>
      <c r="B107" s="728" t="str">
        <f>IFERROR(__xludf.DUMMYFUNCTION("""COMPUTED_VALUE"""),"BO_HR_TRND")</f>
        <v>BO_HR_TRND</v>
      </c>
      <c r="C107" s="728" t="str">
        <f>IFERROR(__xludf.DUMMYFUNCTION("""COMPUTED_VALUE"""),"BO_HR_TRND")</f>
        <v>BO_HR_TRND</v>
      </c>
      <c r="D107" s="728" t="str">
        <f>IFERROR(__xludf.DUMMYFUNCTION("""COMPUTED_VALUE"""),"Giám đốc Đào tạo")</f>
        <v>Giám đốc Đào tạo</v>
      </c>
      <c r="E107" s="728" t="str">
        <f>IFERROR(__xludf.DUMMYFUNCTION("""COMPUTED_VALUE"""),"BO_COD")</f>
        <v>BO_COD</v>
      </c>
      <c r="F107" s="728">
        <f>IFERROR(__xludf.DUMMYFUNCTION("""COMPUTED_VALUE"""),2.0)</f>
        <v>2</v>
      </c>
      <c r="G107" s="728" t="str">
        <f>IFERROR(__xludf.DUMMYFUNCTION("""COMPUTED_VALUE"""),"BO")</f>
        <v>BO</v>
      </c>
      <c r="H107" s="728" t="str">
        <f>IFERROR(__xludf.DUMMYFUNCTION("""COMPUTED_VALUE"""),"TPP/ Trưởng ban")</f>
        <v>TPP/ Trưởng ban</v>
      </c>
      <c r="I107" s="728" t="str">
        <f>IFERROR(__xludf.DUMMYFUNCTION("""COMPUTED_VALUE"""),"L00")</f>
        <v>L00</v>
      </c>
      <c r="J107" s="728" t="str">
        <f>IFERROR(__xludf.DUMMYFUNCTION("""COMPUTED_VALUE"""),"Công ty cổ phần MISA")</f>
        <v>Công ty cổ phần MISA</v>
      </c>
      <c r="K107" s="729"/>
      <c r="L107" s="728" t="str">
        <f>IFERROR(__xludf.DUMMYFUNCTION("""COMPUTED_VALUE"""),"Đang theo dõi")</f>
        <v>Đang theo dõi</v>
      </c>
      <c r="M107" s="729"/>
      <c r="N107" s="728" t="str">
        <f>IFERROR(__xludf.DUMMYFUNCTION("""COMPUTED_VALUE"""),"giữ nguyên")</f>
        <v>giữ nguyên</v>
      </c>
      <c r="O107" s="708"/>
      <c r="P107" s="708"/>
      <c r="Q107" s="708"/>
      <c r="R107" s="708"/>
      <c r="S107" s="708"/>
      <c r="T107" s="708"/>
      <c r="U107" s="708"/>
      <c r="V107" s="708"/>
      <c r="W107" s="708"/>
      <c r="X107" s="708"/>
      <c r="Y107" s="708"/>
      <c r="Z107" s="708"/>
      <c r="AA107" s="708"/>
      <c r="AB107" s="708"/>
      <c r="AC107" s="708"/>
      <c r="AD107" s="708"/>
      <c r="AE107" s="708"/>
    </row>
    <row r="108">
      <c r="A108" s="727">
        <f>IFERROR(__xludf.DUMMYFUNCTION("""COMPUTED_VALUE"""),92.0)</f>
        <v>92</v>
      </c>
      <c r="B108" s="728" t="str">
        <f>IFERROR(__xludf.DUMMYFUNCTION("""COMPUTED_VALUE"""),"BO_INVE_ASS")</f>
        <v>BO_INVE_ASS</v>
      </c>
      <c r="C108" s="728" t="str">
        <f>IFERROR(__xludf.DUMMYFUNCTION("""COMPUTED_VALUE"""),"BO_INVE_ASS")</f>
        <v>BO_INVE_ASS</v>
      </c>
      <c r="D108" s="728" t="str">
        <f>IFERROR(__xludf.DUMMYFUNCTION("""COMPUTED_VALUE"""),"Trợ lý kế hoạch đầu tư")</f>
        <v>Trợ lý kế hoạch đầu tư</v>
      </c>
      <c r="E108" s="728" t="str">
        <f>IFERROR(__xludf.DUMMYFUNCTION("""COMPUTED_VALUE"""),"BO")</f>
        <v>BO</v>
      </c>
      <c r="F108" s="729"/>
      <c r="G108" s="728" t="str">
        <f>IFERROR(__xludf.DUMMYFUNCTION("""COMPUTED_VALUE"""),"BO")</f>
        <v>BO</v>
      </c>
      <c r="H108" s="728" t="str">
        <f>IFERROR(__xludf.DUMMYFUNCTION("""COMPUTED_VALUE"""),"Nhân viên/ Chuyên viên/ Chuyên gia")</f>
        <v>Nhân viên/ Chuyên viên/ Chuyên gia</v>
      </c>
      <c r="I108" s="728" t="str">
        <f>IFERROR(__xludf.DUMMYFUNCTION("""COMPUTED_VALUE"""),"L00")</f>
        <v>L00</v>
      </c>
      <c r="J108" s="728" t="str">
        <f>IFERROR(__xludf.DUMMYFUNCTION("""COMPUTED_VALUE"""),"Công ty cổ phần MISA")</f>
        <v>Công ty cổ phần MISA</v>
      </c>
      <c r="K108" s="729"/>
      <c r="L108" s="728" t="str">
        <f>IFERROR(__xludf.DUMMYFUNCTION("""COMPUTED_VALUE"""),"Đang theo dõi")</f>
        <v>Đang theo dõi</v>
      </c>
      <c r="M108" s="729"/>
      <c r="N108" s="728" t="str">
        <f>IFERROR(__xludf.DUMMYFUNCTION("""COMPUTED_VALUE"""),"giữ nguyên")</f>
        <v>giữ nguyên</v>
      </c>
      <c r="O108" s="708"/>
      <c r="P108" s="708"/>
      <c r="Q108" s="708"/>
      <c r="R108" s="708"/>
      <c r="S108" s="708"/>
      <c r="T108" s="708"/>
      <c r="U108" s="708"/>
      <c r="V108" s="708"/>
      <c r="W108" s="708"/>
      <c r="X108" s="708"/>
      <c r="Y108" s="708"/>
      <c r="Z108" s="708"/>
      <c r="AA108" s="708"/>
      <c r="AB108" s="708"/>
      <c r="AC108" s="708"/>
      <c r="AD108" s="708"/>
      <c r="AE108" s="708"/>
    </row>
    <row r="109">
      <c r="A109" s="727">
        <f>IFERROR(__xludf.DUMMYFUNCTION("""COMPUTED_VALUE"""),93.0)</f>
        <v>93</v>
      </c>
      <c r="B109" s="728" t="str">
        <f>IFERROR(__xludf.DUMMYFUNCTION("""COMPUTED_VALUE"""),"BO_INVE_FC")</f>
        <v>BO_INVE_FC</v>
      </c>
      <c r="C109" s="728" t="str">
        <f>IFERROR(__xludf.DUMMYFUNCTION("""COMPUTED_VALUE"""),"BO_INVE_FC")</f>
        <v>BO_INVE_FC</v>
      </c>
      <c r="D109" s="728" t="str">
        <f>IFERROR(__xludf.DUMMYFUNCTION("""COMPUTED_VALUE"""),"Kiểm soát tài chính")</f>
        <v>Kiểm soát tài chính</v>
      </c>
      <c r="E109" s="728" t="str">
        <f>IFERROR(__xludf.DUMMYFUNCTION("""COMPUTED_VALUE"""),"BO_COD")</f>
        <v>BO_COD</v>
      </c>
      <c r="F109" s="728">
        <f>IFERROR(__xludf.DUMMYFUNCTION("""COMPUTED_VALUE"""),2.0)</f>
        <v>2</v>
      </c>
      <c r="G109" s="728" t="str">
        <f>IFERROR(__xludf.DUMMYFUNCTION("""COMPUTED_VALUE"""),"BO")</f>
        <v>BO</v>
      </c>
      <c r="H109" s="728" t="str">
        <f>IFERROR(__xludf.DUMMYFUNCTION("""COMPUTED_VALUE"""),"TPP/ Trưởng ban")</f>
        <v>TPP/ Trưởng ban</v>
      </c>
      <c r="I109" s="728" t="str">
        <f>IFERROR(__xludf.DUMMYFUNCTION("""COMPUTED_VALUE"""),"L00")</f>
        <v>L00</v>
      </c>
      <c r="J109" s="728" t="str">
        <f>IFERROR(__xludf.DUMMYFUNCTION("""COMPUTED_VALUE"""),"Công ty cổ phần MISA")</f>
        <v>Công ty cổ phần MISA</v>
      </c>
      <c r="K109" s="729"/>
      <c r="L109" s="728" t="str">
        <f>IFERROR(__xludf.DUMMYFUNCTION("""COMPUTED_VALUE"""),"Đang theo dõi")</f>
        <v>Đang theo dõi</v>
      </c>
      <c r="M109" s="729"/>
      <c r="N109" s="728" t="str">
        <f>IFERROR(__xludf.DUMMYFUNCTION("""COMPUTED_VALUE"""),"giữ nguyên")</f>
        <v>giữ nguyên</v>
      </c>
      <c r="O109" s="708"/>
      <c r="P109" s="708"/>
      <c r="Q109" s="708"/>
      <c r="R109" s="708"/>
      <c r="S109" s="708"/>
      <c r="T109" s="708"/>
      <c r="U109" s="708"/>
      <c r="V109" s="708"/>
      <c r="W109" s="708"/>
      <c r="X109" s="708"/>
      <c r="Y109" s="708"/>
      <c r="Z109" s="708"/>
      <c r="AA109" s="708"/>
      <c r="AB109" s="708"/>
      <c r="AC109" s="708"/>
      <c r="AD109" s="708"/>
      <c r="AE109" s="708"/>
    </row>
    <row r="110">
      <c r="A110" s="727">
        <f>IFERROR(__xludf.DUMMYFUNCTION("""COMPUTED_VALUE"""),94.0)</f>
        <v>94</v>
      </c>
      <c r="B110" s="728" t="str">
        <f>IFERROR(__xludf.DUMMYFUNCTION("""COMPUTED_VALUE"""),"BO_INVE_MGR")</f>
        <v>BO_INVE_MGR</v>
      </c>
      <c r="C110" s="728" t="str">
        <f>IFERROR(__xludf.DUMMYFUNCTION("""COMPUTED_VALUE"""),"BO_INVE_MGR")</f>
        <v>BO_INVE_MGR</v>
      </c>
      <c r="D110" s="728" t="str">
        <f>IFERROR(__xludf.DUMMYFUNCTION("""COMPUTED_VALUE"""),"Trưởng phòng Kế hoạch đầu tư")</f>
        <v>Trưởng phòng Kế hoạch đầu tư</v>
      </c>
      <c r="E110" s="728" t="str">
        <f>IFERROR(__xludf.DUMMYFUNCTION("""COMPUTED_VALUE"""),"BO_COD")</f>
        <v>BO_COD</v>
      </c>
      <c r="F110" s="728">
        <f>IFERROR(__xludf.DUMMYFUNCTION("""COMPUTED_VALUE"""),2.0)</f>
        <v>2</v>
      </c>
      <c r="G110" s="728" t="str">
        <f>IFERROR(__xludf.DUMMYFUNCTION("""COMPUTED_VALUE"""),"BO")</f>
        <v>BO</v>
      </c>
      <c r="H110" s="728" t="str">
        <f>IFERROR(__xludf.DUMMYFUNCTION("""COMPUTED_VALUE"""),"TPP/ Trưởng ban")</f>
        <v>TPP/ Trưởng ban</v>
      </c>
      <c r="I110" s="728" t="str">
        <f>IFERROR(__xludf.DUMMYFUNCTION("""COMPUTED_VALUE"""),"L00")</f>
        <v>L00</v>
      </c>
      <c r="J110" s="728" t="str">
        <f>IFERROR(__xludf.DUMMYFUNCTION("""COMPUTED_VALUE"""),"Công ty cổ phần MISA")</f>
        <v>Công ty cổ phần MISA</v>
      </c>
      <c r="K110" s="729"/>
      <c r="L110" s="728" t="str">
        <f>IFERROR(__xludf.DUMMYFUNCTION("""COMPUTED_VALUE"""),"Đang theo dõi")</f>
        <v>Đang theo dõi</v>
      </c>
      <c r="M110" s="729"/>
      <c r="N110" s="728" t="str">
        <f>IFERROR(__xludf.DUMMYFUNCTION("""COMPUTED_VALUE"""),"giữ nguyên")</f>
        <v>giữ nguyên</v>
      </c>
      <c r="O110" s="708"/>
      <c r="P110" s="708"/>
      <c r="Q110" s="708"/>
      <c r="R110" s="708"/>
      <c r="S110" s="708"/>
      <c r="T110" s="708"/>
      <c r="U110" s="708"/>
      <c r="V110" s="708"/>
      <c r="W110" s="708"/>
      <c r="X110" s="708"/>
      <c r="Y110" s="708"/>
      <c r="Z110" s="708"/>
      <c r="AA110" s="708"/>
      <c r="AB110" s="708"/>
      <c r="AC110" s="708"/>
      <c r="AD110" s="708"/>
      <c r="AE110" s="708"/>
    </row>
    <row r="111">
      <c r="A111" s="727">
        <f>IFERROR(__xludf.DUMMYFUNCTION("""COMPUTED_VALUE"""),95.0)</f>
        <v>95</v>
      </c>
      <c r="B111" s="728" t="str">
        <f>IFERROR(__xludf.DUMMYFUNCTION("""COMPUTED_VALUE"""),"BO_LD")</f>
        <v>BO_LD</v>
      </c>
      <c r="C111" s="728" t="str">
        <f>IFERROR(__xludf.DUMMYFUNCTION("""COMPUTED_VALUE"""),"BO_LD")</f>
        <v>BO_LD</v>
      </c>
      <c r="D111" s="728" t="str">
        <f>IFERROR(__xludf.DUMMYFUNCTION("""COMPUTED_VALUE"""),"NV pháp chế")</f>
        <v>NV pháp chế</v>
      </c>
      <c r="E111" s="728" t="str">
        <f>IFERROR(__xludf.DUMMYFUNCTION("""COMPUTED_VALUE"""),"BO")</f>
        <v>BO</v>
      </c>
      <c r="F111" s="729"/>
      <c r="G111" s="728" t="str">
        <f>IFERROR(__xludf.DUMMYFUNCTION("""COMPUTED_VALUE"""),"BO")</f>
        <v>BO</v>
      </c>
      <c r="H111" s="728" t="str">
        <f>IFERROR(__xludf.DUMMYFUNCTION("""COMPUTED_VALUE"""),"Nhân viên/ Chuyên viên/ Chuyên gia")</f>
        <v>Nhân viên/ Chuyên viên/ Chuyên gia</v>
      </c>
      <c r="I111" s="728" t="str">
        <f>IFERROR(__xludf.DUMMYFUNCTION("""COMPUTED_VALUE"""),"L00")</f>
        <v>L00</v>
      </c>
      <c r="J111" s="728" t="str">
        <f>IFERROR(__xludf.DUMMYFUNCTION("""COMPUTED_VALUE"""),"Công ty cổ phần MISA")</f>
        <v>Công ty cổ phần MISA</v>
      </c>
      <c r="K111" s="729"/>
      <c r="L111" s="728" t="str">
        <f>IFERROR(__xludf.DUMMYFUNCTION("""COMPUTED_VALUE"""),"Đang theo dõi")</f>
        <v>Đang theo dõi</v>
      </c>
      <c r="M111" s="729"/>
      <c r="N111" s="728" t="str">
        <f>IFERROR(__xludf.DUMMYFUNCTION("""COMPUTED_VALUE"""),"giữ nguyên")</f>
        <v>giữ nguyên</v>
      </c>
      <c r="O111" s="708"/>
      <c r="P111" s="708"/>
      <c r="Q111" s="708"/>
      <c r="R111" s="708"/>
      <c r="S111" s="708"/>
      <c r="T111" s="708"/>
      <c r="U111" s="708"/>
      <c r="V111" s="708"/>
      <c r="W111" s="708"/>
      <c r="X111" s="708"/>
      <c r="Y111" s="708"/>
      <c r="Z111" s="708"/>
      <c r="AA111" s="708"/>
      <c r="AB111" s="708"/>
      <c r="AC111" s="708"/>
      <c r="AD111" s="708"/>
      <c r="AE111" s="708"/>
    </row>
    <row r="112">
      <c r="A112" s="727">
        <f>IFERROR(__xludf.DUMMYFUNCTION("""COMPUTED_VALUE"""),96.0)</f>
        <v>96</v>
      </c>
      <c r="B112" s="728" t="str">
        <f>IFERROR(__xludf.DUMMYFUNCTION("""COMPUTED_VALUE"""),"BO_LD_A.MGR")</f>
        <v>BO_LD_A.MGR</v>
      </c>
      <c r="C112" s="728" t="str">
        <f>IFERROR(__xludf.DUMMYFUNCTION("""COMPUTED_VALUE"""),"BO_LD_A.MGR")</f>
        <v>BO_LD_A.MGR</v>
      </c>
      <c r="D112" s="728" t="str">
        <f>IFERROR(__xludf.DUMMYFUNCTION("""COMPUTED_VALUE"""),"Q. Trưởng ban pháp chế")</f>
        <v>Q. Trưởng ban pháp chế</v>
      </c>
      <c r="E112" s="728" t="str">
        <f>IFERROR(__xludf.DUMMYFUNCTION("""COMPUTED_VALUE"""),"BO_COD")</f>
        <v>BO_COD</v>
      </c>
      <c r="F112" s="728">
        <f>IFERROR(__xludf.DUMMYFUNCTION("""COMPUTED_VALUE"""),2.0)</f>
        <v>2</v>
      </c>
      <c r="G112" s="728" t="str">
        <f>IFERROR(__xludf.DUMMYFUNCTION("""COMPUTED_VALUE"""),"BO")</f>
        <v>BO</v>
      </c>
      <c r="H112" s="728" t="str">
        <f>IFERROR(__xludf.DUMMYFUNCTION("""COMPUTED_VALUE"""),"TPP/ Trưởng ban")</f>
        <v>TPP/ Trưởng ban</v>
      </c>
      <c r="I112" s="728" t="str">
        <f>IFERROR(__xludf.DUMMYFUNCTION("""COMPUTED_VALUE"""),"L00")</f>
        <v>L00</v>
      </c>
      <c r="J112" s="728" t="str">
        <f>IFERROR(__xludf.DUMMYFUNCTION("""COMPUTED_VALUE"""),"Công ty cổ phần MISA")</f>
        <v>Công ty cổ phần MISA</v>
      </c>
      <c r="K112" s="729"/>
      <c r="L112" s="728" t="str">
        <f>IFERROR(__xludf.DUMMYFUNCTION("""COMPUTED_VALUE"""),"Đang theo dõi")</f>
        <v>Đang theo dõi</v>
      </c>
      <c r="M112" s="729"/>
      <c r="N112" s="728" t="str">
        <f>IFERROR(__xludf.DUMMYFUNCTION("""COMPUTED_VALUE"""),"giữ nguyên")</f>
        <v>giữ nguyên</v>
      </c>
      <c r="O112" s="708"/>
      <c r="P112" s="708"/>
      <c r="Q112" s="708"/>
      <c r="R112" s="708"/>
      <c r="S112" s="708"/>
      <c r="T112" s="708"/>
      <c r="U112" s="708"/>
      <c r="V112" s="708"/>
      <c r="W112" s="708"/>
      <c r="X112" s="708"/>
      <c r="Y112" s="708"/>
      <c r="Z112" s="708"/>
      <c r="AA112" s="708"/>
      <c r="AB112" s="708"/>
      <c r="AC112" s="708"/>
      <c r="AD112" s="708"/>
      <c r="AE112" s="708"/>
    </row>
    <row r="113">
      <c r="A113" s="727">
        <f>IFERROR(__xludf.DUMMYFUNCTION("""COMPUTED_VALUE"""),97.0)</f>
        <v>97</v>
      </c>
      <c r="B113" s="728" t="str">
        <f>IFERROR(__xludf.DUMMYFUNCTION("""COMPUTED_VALUE"""),"BO_LD_INTERN")</f>
        <v>BO_LD_INTERN</v>
      </c>
      <c r="C113" s="728" t="str">
        <f>IFERROR(__xludf.DUMMYFUNCTION("""COMPUTED_VALUE"""),"BO_LD_INTERN")</f>
        <v>BO_LD_INTERN</v>
      </c>
      <c r="D113" s="728" t="str">
        <f>IFERROR(__xludf.DUMMYFUNCTION("""COMPUTED_VALUE"""),"TTS Pháp chế")</f>
        <v>TTS Pháp chế</v>
      </c>
      <c r="E113" s="728" t="str">
        <f>IFERROR(__xludf.DUMMYFUNCTION("""COMPUTED_VALUE"""),"BO_TTS")</f>
        <v>BO_TTS</v>
      </c>
      <c r="F113" s="729"/>
      <c r="G113" s="728" t="str">
        <f>IFERROR(__xludf.DUMMYFUNCTION("""COMPUTED_VALUE"""),"BO_TTS")</f>
        <v>BO_TTS</v>
      </c>
      <c r="H113" s="728" t="str">
        <f>IFERROR(__xludf.DUMMYFUNCTION("""COMPUTED_VALUE"""),"Thực tập")</f>
        <v>Thực tập</v>
      </c>
      <c r="I113" s="728" t="str">
        <f>IFERROR(__xludf.DUMMYFUNCTION("""COMPUTED_VALUE"""),"L00")</f>
        <v>L00</v>
      </c>
      <c r="J113" s="728" t="str">
        <f>IFERROR(__xludf.DUMMYFUNCTION("""COMPUTED_VALUE"""),"Công ty cổ phần MISA")</f>
        <v>Công ty cổ phần MISA</v>
      </c>
      <c r="K113" s="729"/>
      <c r="L113" s="728" t="str">
        <f>IFERROR(__xludf.DUMMYFUNCTION("""COMPUTED_VALUE"""),"Đang theo dõi")</f>
        <v>Đang theo dõi</v>
      </c>
      <c r="M113" s="729"/>
      <c r="N113" s="728" t="str">
        <f>IFERROR(__xludf.DUMMYFUNCTION("""COMPUTED_VALUE"""),"giữ nguyên")</f>
        <v>giữ nguyên</v>
      </c>
      <c r="O113" s="708"/>
      <c r="P113" s="708"/>
      <c r="Q113" s="708"/>
      <c r="R113" s="708"/>
      <c r="S113" s="708"/>
      <c r="T113" s="708"/>
      <c r="U113" s="708"/>
      <c r="V113" s="708"/>
      <c r="W113" s="708"/>
      <c r="X113" s="708"/>
      <c r="Y113" s="708"/>
      <c r="Z113" s="708"/>
      <c r="AA113" s="708"/>
      <c r="AB113" s="732"/>
      <c r="AC113" s="732"/>
      <c r="AD113" s="732"/>
      <c r="AE113" s="732"/>
    </row>
    <row r="114">
      <c r="A114" s="727">
        <f>IFERROR(__xludf.DUMMYFUNCTION("""COMPUTED_VALUE"""),98.0)</f>
        <v>98</v>
      </c>
      <c r="B114" s="728" t="str">
        <f>IFERROR(__xludf.DUMMYFUNCTION("""COMPUTED_VALUE"""),"BO_LD_MGR")</f>
        <v>BO_LD_MGR</v>
      </c>
      <c r="C114" s="728" t="str">
        <f>IFERROR(__xludf.DUMMYFUNCTION("""COMPUTED_VALUE"""),"BO_LD_MGR")</f>
        <v>BO_LD_MGR</v>
      </c>
      <c r="D114" s="728" t="str">
        <f>IFERROR(__xludf.DUMMYFUNCTION("""COMPUTED_VALUE"""),"Trưởng ban pháp chế")</f>
        <v>Trưởng ban pháp chế</v>
      </c>
      <c r="E114" s="728" t="str">
        <f>IFERROR(__xludf.DUMMYFUNCTION("""COMPUTED_VALUE"""),"BO_COD")</f>
        <v>BO_COD</v>
      </c>
      <c r="F114" s="728">
        <f>IFERROR(__xludf.DUMMYFUNCTION("""COMPUTED_VALUE"""),2.0)</f>
        <v>2</v>
      </c>
      <c r="G114" s="728" t="str">
        <f>IFERROR(__xludf.DUMMYFUNCTION("""COMPUTED_VALUE"""),"BO")</f>
        <v>BO</v>
      </c>
      <c r="H114" s="728" t="str">
        <f>IFERROR(__xludf.DUMMYFUNCTION("""COMPUTED_VALUE"""),"TPP/ Trưởng ban")</f>
        <v>TPP/ Trưởng ban</v>
      </c>
      <c r="I114" s="728" t="str">
        <f>IFERROR(__xludf.DUMMYFUNCTION("""COMPUTED_VALUE"""),"L00")</f>
        <v>L00</v>
      </c>
      <c r="J114" s="728" t="str">
        <f>IFERROR(__xludf.DUMMYFUNCTION("""COMPUTED_VALUE"""),"Công ty cổ phần MISA")</f>
        <v>Công ty cổ phần MISA</v>
      </c>
      <c r="K114" s="729"/>
      <c r="L114" s="728" t="str">
        <f>IFERROR(__xludf.DUMMYFUNCTION("""COMPUTED_VALUE"""),"Đang theo dõi")</f>
        <v>Đang theo dõi</v>
      </c>
      <c r="M114" s="729"/>
      <c r="N114" s="728" t="str">
        <f>IFERROR(__xludf.DUMMYFUNCTION("""COMPUTED_VALUE"""),"giữ nguyên")</f>
        <v>giữ nguyên</v>
      </c>
      <c r="O114" s="732"/>
      <c r="P114" s="732"/>
      <c r="Q114" s="732"/>
      <c r="R114" s="732"/>
      <c r="S114" s="732"/>
      <c r="T114" s="732"/>
      <c r="U114" s="732"/>
      <c r="V114" s="732"/>
      <c r="W114" s="732"/>
      <c r="X114" s="732"/>
      <c r="Y114" s="732"/>
      <c r="Z114" s="732"/>
      <c r="AA114" s="732"/>
      <c r="AB114" s="708"/>
      <c r="AC114" s="708"/>
      <c r="AD114" s="708"/>
      <c r="AE114" s="708"/>
    </row>
    <row r="115">
      <c r="A115" s="727">
        <f>IFERROR(__xludf.DUMMYFUNCTION("""COMPUTED_VALUE"""),99.0)</f>
        <v>99</v>
      </c>
      <c r="B115" s="728" t="str">
        <f>IFERROR(__xludf.DUMMYFUNCTION("""COMPUTED_VALUE"""),"BO_MIBI_A.DIR")</f>
        <v>BO_MIBI_A.DIR</v>
      </c>
      <c r="C115" s="728" t="str">
        <f>IFERROR(__xludf.DUMMYFUNCTION("""COMPUTED_VALUE"""),"BO_MIBI_A.DIR")</f>
        <v>BO_MIBI_A.DIR</v>
      </c>
      <c r="D115" s="728" t="str">
        <f>IFERROR(__xludf.DUMMYFUNCTION("""COMPUTED_VALUE"""),"Q. Viện trưởng viện đổi mới DN")</f>
        <v>Q. Viện trưởng viện đổi mới DN</v>
      </c>
      <c r="E115" s="728" t="str">
        <f>IFERROR(__xludf.DUMMYFUNCTION("""COMPUTED_VALUE"""),"BOM")</f>
        <v>BOM</v>
      </c>
      <c r="F115" s="728">
        <f>IFERROR(__xludf.DUMMYFUNCTION("""COMPUTED_VALUE"""),4.0)</f>
        <v>4</v>
      </c>
      <c r="G115" s="728" t="str">
        <f>IFERROR(__xludf.DUMMYFUNCTION("""COMPUTED_VALUE"""),"BO")</f>
        <v>BO</v>
      </c>
      <c r="H115" s="728" t="str">
        <f>IFERROR(__xludf.DUMMYFUNCTION("""COMPUTED_VALUE"""),"Ban GĐVP")</f>
        <v>Ban GĐVP</v>
      </c>
      <c r="I115" s="728" t="str">
        <f>IFERROR(__xludf.DUMMYFUNCTION("""COMPUTED_VALUE"""),"L00")</f>
        <v>L00</v>
      </c>
      <c r="J115" s="728" t="str">
        <f>IFERROR(__xludf.DUMMYFUNCTION("""COMPUTED_VALUE"""),"Công ty cổ phần MISA")</f>
        <v>Công ty cổ phần MISA</v>
      </c>
      <c r="K115" s="729"/>
      <c r="L115" s="728" t="str">
        <f>IFERROR(__xludf.DUMMYFUNCTION("""COMPUTED_VALUE"""),"Đang theo dõi")</f>
        <v>Đang theo dõi</v>
      </c>
      <c r="M115" s="729"/>
      <c r="N115" s="728" t="str">
        <f>IFERROR(__xludf.DUMMYFUNCTION("""COMPUTED_VALUE"""),"giữ nguyên")</f>
        <v>giữ nguyên</v>
      </c>
      <c r="O115" s="708"/>
      <c r="P115" s="708"/>
      <c r="Q115" s="708"/>
      <c r="R115" s="708"/>
      <c r="S115" s="708"/>
      <c r="T115" s="708"/>
      <c r="U115" s="708"/>
      <c r="V115" s="708"/>
      <c r="W115" s="708"/>
      <c r="X115" s="708"/>
      <c r="Y115" s="708"/>
      <c r="Z115" s="708"/>
      <c r="AA115" s="708"/>
      <c r="AB115" s="708"/>
      <c r="AC115" s="708"/>
      <c r="AD115" s="708"/>
      <c r="AE115" s="708"/>
    </row>
    <row r="116">
      <c r="A116" s="727">
        <f>IFERROR(__xludf.DUMMYFUNCTION("""COMPUTED_VALUE"""),100.0)</f>
        <v>100</v>
      </c>
      <c r="B116" s="731" t="str">
        <f>IFERROR(__xludf.DUMMYFUNCTION("""COMPUTED_VALUE"""),"BO_MIBI_CAM")</f>
        <v>BO_MIBI_CAM</v>
      </c>
      <c r="C116" s="731" t="str">
        <f>IFERROR(__xludf.DUMMYFUNCTION("""COMPUTED_VALUE"""),"BO_MIBI_CAM")</f>
        <v>BO_MIBI_CAM</v>
      </c>
      <c r="D116" s="731" t="str">
        <f>IFERROR(__xludf.DUMMYFUNCTION("""COMPUTED_VALUE"""),"NV Truyền thông và Marketing")</f>
        <v>NV Truyền thông và Marketing</v>
      </c>
      <c r="E116" s="731" t="str">
        <f>IFERROR(__xludf.DUMMYFUNCTION("""COMPUTED_VALUE"""),"BO")</f>
        <v>BO</v>
      </c>
      <c r="F116" s="729"/>
      <c r="G116" s="731" t="str">
        <f>IFERROR(__xludf.DUMMYFUNCTION("""COMPUTED_VALUE"""),"BO")</f>
        <v>BO</v>
      </c>
      <c r="H116" s="731" t="str">
        <f>IFERROR(__xludf.DUMMYFUNCTION("""COMPUTED_VALUE"""),"Nhân viên/ Chuyên viên/ Chuyên gia")</f>
        <v>Nhân viên/ Chuyên viên/ Chuyên gia</v>
      </c>
      <c r="I116" s="729"/>
      <c r="J116" s="731" t="str">
        <f>IFERROR(__xludf.DUMMYFUNCTION("""COMPUTED_VALUE"""),"Công ty cổ phần MISA")</f>
        <v>Công ty cổ phần MISA</v>
      </c>
      <c r="K116" s="729"/>
      <c r="L116" s="731" t="str">
        <f>IFERROR(__xludf.DUMMYFUNCTION("""COMPUTED_VALUE"""),"Ngừng")</f>
        <v>Ngừng</v>
      </c>
      <c r="M116" s="728" t="str">
        <f>IFERROR(__xludf.DUMMYFUNCTION("""COMPUTED_VALUE"""),"ko còn trên CCTC mới")</f>
        <v>ko còn trên CCTC mới</v>
      </c>
      <c r="N116" s="728" t="str">
        <f>IFERROR(__xludf.DUMMYFUNCTION("""COMPUTED_VALUE"""),"ngừng")</f>
        <v>ngừng</v>
      </c>
      <c r="O116" s="708"/>
      <c r="P116" s="708"/>
      <c r="Q116" s="708"/>
      <c r="R116" s="708"/>
      <c r="S116" s="708"/>
      <c r="T116" s="708"/>
      <c r="U116" s="708"/>
      <c r="V116" s="708"/>
      <c r="W116" s="708"/>
      <c r="X116" s="708"/>
      <c r="Y116" s="708"/>
      <c r="Z116" s="708"/>
      <c r="AA116" s="708"/>
      <c r="AB116" s="708"/>
      <c r="AC116" s="708"/>
      <c r="AD116" s="708"/>
      <c r="AE116" s="708"/>
    </row>
    <row r="117">
      <c r="A117" s="727">
        <f>IFERROR(__xludf.DUMMYFUNCTION("""COMPUTED_VALUE"""),101.0)</f>
        <v>101</v>
      </c>
      <c r="B117" s="731" t="str">
        <f>IFERROR(__xludf.DUMMYFUNCTION("""COMPUTED_VALUE"""),"BO_MIBI_CONT")</f>
        <v>BO_MIBI_CONT</v>
      </c>
      <c r="C117" s="731" t="str">
        <f>IFERROR(__xludf.DUMMYFUNCTION("""COMPUTED_VALUE"""),"BO_MIBI_CONT")</f>
        <v>BO_MIBI_CONT</v>
      </c>
      <c r="D117" s="731" t="str">
        <f>IFERROR(__xludf.DUMMYFUNCTION("""COMPUTED_VALUE"""),"NV Nội dung (Content Creator)")</f>
        <v>NV Nội dung (Content Creator)</v>
      </c>
      <c r="E117" s="731" t="str">
        <f>IFERROR(__xludf.DUMMYFUNCTION("""COMPUTED_VALUE"""),"BO")</f>
        <v>BO</v>
      </c>
      <c r="F117" s="729"/>
      <c r="G117" s="731" t="str">
        <f>IFERROR(__xludf.DUMMYFUNCTION("""COMPUTED_VALUE"""),"BO")</f>
        <v>BO</v>
      </c>
      <c r="H117" s="731" t="str">
        <f>IFERROR(__xludf.DUMMYFUNCTION("""COMPUTED_VALUE"""),"Nhân viên/ Chuyên viên/ Chuyên gia")</f>
        <v>Nhân viên/ Chuyên viên/ Chuyên gia</v>
      </c>
      <c r="I117" s="729"/>
      <c r="J117" s="731" t="str">
        <f>IFERROR(__xludf.DUMMYFUNCTION("""COMPUTED_VALUE"""),"Công ty cổ phần MISA")</f>
        <v>Công ty cổ phần MISA</v>
      </c>
      <c r="K117" s="729"/>
      <c r="L117" s="731" t="str">
        <f>IFERROR(__xludf.DUMMYFUNCTION("""COMPUTED_VALUE"""),"Ngừng")</f>
        <v>Ngừng</v>
      </c>
      <c r="M117" s="728" t="str">
        <f>IFERROR(__xludf.DUMMYFUNCTION("""COMPUTED_VALUE"""),"ko còn trên CCTC mới")</f>
        <v>ko còn trên CCTC mới</v>
      </c>
      <c r="N117" s="728" t="str">
        <f>IFERROR(__xludf.DUMMYFUNCTION("""COMPUTED_VALUE"""),"ngừng")</f>
        <v>ngừng</v>
      </c>
      <c r="O117" s="708"/>
      <c r="P117" s="708"/>
      <c r="Q117" s="708"/>
      <c r="R117" s="708"/>
      <c r="S117" s="708"/>
      <c r="T117" s="708"/>
      <c r="U117" s="708"/>
      <c r="V117" s="708"/>
      <c r="W117" s="708"/>
      <c r="X117" s="708"/>
      <c r="Y117" s="708"/>
      <c r="Z117" s="708"/>
      <c r="AA117" s="708"/>
      <c r="AB117" s="708"/>
      <c r="AC117" s="708"/>
      <c r="AD117" s="708"/>
      <c r="AE117" s="708"/>
    </row>
    <row r="118">
      <c r="A118" s="727">
        <f>IFERROR(__xludf.DUMMYFUNCTION("""COMPUTED_VALUE"""),102.0)</f>
        <v>102</v>
      </c>
      <c r="B118" s="728" t="str">
        <f>IFERROR(__xludf.DUMMYFUNCTION("""COMPUTED_VALUE"""),"BO_MKT_CONT")</f>
        <v>BO_MKT_CONT</v>
      </c>
      <c r="C118" s="728" t="str">
        <f>IFERROR(__xludf.DUMMYFUNCTION("""COMPUTED_VALUE"""),"BO_MIBI_CONT")</f>
        <v>BO_MIBI_CONT</v>
      </c>
      <c r="D118" s="728" t="str">
        <f>IFERROR(__xludf.DUMMYFUNCTION("""COMPUTED_VALUE"""),"NV Content Marketing")</f>
        <v>NV Content Marketing</v>
      </c>
      <c r="E118" s="728" t="str">
        <f>IFERROR(__xludf.DUMMYFUNCTION("""COMPUTED_VALUE"""),"MKT")</f>
        <v>MKT</v>
      </c>
      <c r="F118" s="729"/>
      <c r="G118" s="728" t="str">
        <f>IFERROR(__xludf.DUMMYFUNCTION("""COMPUTED_VALUE"""),"BO")</f>
        <v>BO</v>
      </c>
      <c r="H118" s="728" t="str">
        <f>IFERROR(__xludf.DUMMYFUNCTION("""COMPUTED_VALUE"""),"Nhân viên/ Chuyên viên/ Chuyên gia")</f>
        <v>Nhân viên/ Chuyên viên/ Chuyên gia</v>
      </c>
      <c r="I118" s="728" t="str">
        <f>IFERROR(__xludf.DUMMYFUNCTION("""COMPUTED_VALUE"""),"L00")</f>
        <v>L00</v>
      </c>
      <c r="J118" s="728" t="str">
        <f>IFERROR(__xludf.DUMMYFUNCTION("""COMPUTED_VALUE"""),"Công ty cổ phần MISA")</f>
        <v>Công ty cổ phần MISA</v>
      </c>
      <c r="K118" s="729"/>
      <c r="L118" s="728" t="str">
        <f>IFERROR(__xludf.DUMMYFUNCTION("""COMPUTED_VALUE"""),"Đang theo dõi")</f>
        <v>Đang theo dõi</v>
      </c>
      <c r="M118" s="729"/>
      <c r="N118" s="728" t="str">
        <f>IFERROR(__xludf.DUMMYFUNCTION("""COMPUTED_VALUE"""),"đổi mã")</f>
        <v>đổi mã</v>
      </c>
      <c r="O118" s="708"/>
      <c r="P118" s="708"/>
      <c r="Q118" s="708"/>
      <c r="R118" s="708"/>
      <c r="S118" s="708"/>
      <c r="T118" s="708"/>
      <c r="U118" s="708"/>
      <c r="V118" s="708"/>
      <c r="W118" s="708"/>
      <c r="X118" s="708"/>
      <c r="Y118" s="708"/>
      <c r="Z118" s="708"/>
      <c r="AA118" s="708"/>
      <c r="AB118" s="708"/>
      <c r="AC118" s="708"/>
      <c r="AD118" s="708"/>
      <c r="AE118" s="708"/>
    </row>
    <row r="119">
      <c r="A119" s="727">
        <f>IFERROR(__xludf.DUMMYFUNCTION("""COMPUTED_VALUE"""),103.0)</f>
        <v>103</v>
      </c>
      <c r="B119" s="731" t="str">
        <f>IFERROR(__xludf.DUMMYFUNCTION("""COMPUTED_VALUE"""),"BO_MIBI_CONTCOOR")</f>
        <v>BO_MIBI_CONTCOOR</v>
      </c>
      <c r="C119" s="731" t="str">
        <f>IFERROR(__xludf.DUMMYFUNCTION("""COMPUTED_VALUE"""),"BO_MIBI_CONTCOOR")</f>
        <v>BO_MIBI_CONTCOOR</v>
      </c>
      <c r="D119" s="731" t="str">
        <f>IFERROR(__xludf.DUMMYFUNCTION("""COMPUTED_VALUE"""),"NV Điều phối nội dung")</f>
        <v>NV Điều phối nội dung</v>
      </c>
      <c r="E119" s="731" t="str">
        <f>IFERROR(__xludf.DUMMYFUNCTION("""COMPUTED_VALUE"""),"BO")</f>
        <v>BO</v>
      </c>
      <c r="F119" s="729"/>
      <c r="G119" s="731" t="str">
        <f>IFERROR(__xludf.DUMMYFUNCTION("""COMPUTED_VALUE"""),"BO")</f>
        <v>BO</v>
      </c>
      <c r="H119" s="731" t="str">
        <f>IFERROR(__xludf.DUMMYFUNCTION("""COMPUTED_VALUE"""),"Nhân viên/ Chuyên viên/ Chuyên gia")</f>
        <v>Nhân viên/ Chuyên viên/ Chuyên gia</v>
      </c>
      <c r="I119" s="729"/>
      <c r="J119" s="731" t="str">
        <f>IFERROR(__xludf.DUMMYFUNCTION("""COMPUTED_VALUE"""),"Công ty cổ phần MISA")</f>
        <v>Công ty cổ phần MISA</v>
      </c>
      <c r="K119" s="729"/>
      <c r="L119" s="731" t="str">
        <f>IFERROR(__xludf.DUMMYFUNCTION("""COMPUTED_VALUE"""),"Ngừng")</f>
        <v>Ngừng</v>
      </c>
      <c r="M119" s="728" t="str">
        <f>IFERROR(__xludf.DUMMYFUNCTION("""COMPUTED_VALUE"""),"ko còn trên CCTC mới")</f>
        <v>ko còn trên CCTC mới</v>
      </c>
      <c r="N119" s="728" t="str">
        <f>IFERROR(__xludf.DUMMYFUNCTION("""COMPUTED_VALUE"""),"ngừng")</f>
        <v>ngừng</v>
      </c>
      <c r="O119" s="708"/>
      <c r="P119" s="708"/>
      <c r="Q119" s="708"/>
      <c r="R119" s="708"/>
      <c r="S119" s="708"/>
      <c r="T119" s="708"/>
      <c r="U119" s="708"/>
      <c r="V119" s="708"/>
      <c r="W119" s="708"/>
      <c r="X119" s="708"/>
      <c r="Y119" s="708"/>
      <c r="Z119" s="708"/>
      <c r="AA119" s="708"/>
      <c r="AB119" s="708"/>
      <c r="AC119" s="708"/>
      <c r="AD119" s="708"/>
      <c r="AE119" s="708"/>
    </row>
    <row r="120">
      <c r="A120" s="727">
        <f>IFERROR(__xludf.DUMMYFUNCTION("""COMPUTED_VALUE"""),104.0)</f>
        <v>104</v>
      </c>
      <c r="B120" s="728" t="str">
        <f>IFERROR(__xludf.DUMMYFUNCTION("""COMPUTED_VALUE"""),"BO_MIBI_CONTL")</f>
        <v>BO_MIBI_CONTL</v>
      </c>
      <c r="C120" s="728" t="str">
        <f>IFERROR(__xludf.DUMMYFUNCTION("""COMPUTED_VALUE"""),"BO_MIBI_CONTL")</f>
        <v>BO_MIBI_CONTL</v>
      </c>
      <c r="D120" s="728" t="str">
        <f>IFERROR(__xludf.DUMMYFUNCTION("""COMPUTED_VALUE"""),"Trưởng nhóm Nội dung")</f>
        <v>Trưởng nhóm Nội dung</v>
      </c>
      <c r="E120" s="728" t="str">
        <f>IFERROR(__xludf.DUMMYFUNCTION("""COMPUTED_VALUE"""),"MKT_LEAD")</f>
        <v>MKT_LEAD</v>
      </c>
      <c r="F120" s="728">
        <f>IFERROR(__xludf.DUMMYFUNCTION("""COMPUTED_VALUE"""),1.0)</f>
        <v>1</v>
      </c>
      <c r="G120" s="728" t="str">
        <f>IFERROR(__xludf.DUMMYFUNCTION("""COMPUTED_VALUE"""),"BO")</f>
        <v>BO</v>
      </c>
      <c r="H120" s="728" t="str">
        <f>IFERROR(__xludf.DUMMYFUNCTION("""COMPUTED_VALUE"""),"Trưởng nhóm")</f>
        <v>Trưởng nhóm</v>
      </c>
      <c r="I120" s="728" t="str">
        <f>IFERROR(__xludf.DUMMYFUNCTION("""COMPUTED_VALUE"""),"L00")</f>
        <v>L00</v>
      </c>
      <c r="J120" s="728" t="str">
        <f>IFERROR(__xludf.DUMMYFUNCTION("""COMPUTED_VALUE"""),"Công ty cổ phần MISA")</f>
        <v>Công ty cổ phần MISA</v>
      </c>
      <c r="K120" s="729"/>
      <c r="L120" s="728" t="str">
        <f>IFERROR(__xludf.DUMMYFUNCTION("""COMPUTED_VALUE"""),"Đang theo dõi")</f>
        <v>Đang theo dõi</v>
      </c>
      <c r="M120" s="729"/>
      <c r="N120" s="728" t="str">
        <f>IFERROR(__xludf.DUMMYFUNCTION("""COMPUTED_VALUE"""),"giữ nguyên")</f>
        <v>giữ nguyên</v>
      </c>
      <c r="O120" s="708"/>
      <c r="P120" s="708"/>
      <c r="Q120" s="708"/>
      <c r="R120" s="708"/>
      <c r="S120" s="708"/>
      <c r="T120" s="708"/>
      <c r="U120" s="708"/>
      <c r="V120" s="708"/>
      <c r="W120" s="708"/>
      <c r="X120" s="708"/>
      <c r="Y120" s="708"/>
      <c r="Z120" s="708"/>
      <c r="AA120" s="708"/>
      <c r="AB120" s="708"/>
      <c r="AC120" s="708"/>
      <c r="AD120" s="708"/>
      <c r="AE120" s="708"/>
    </row>
    <row r="121">
      <c r="A121" s="727">
        <f>IFERROR(__xludf.DUMMYFUNCTION("""COMPUTED_VALUE"""),105.0)</f>
        <v>105</v>
      </c>
      <c r="B121" s="731" t="str">
        <f>IFERROR(__xludf.DUMMYFUNCTION("""COMPUTED_VALUE"""),"BO_MIBI_DCTE")</f>
        <v>BO_MIBI_DCTE</v>
      </c>
      <c r="C121" s="731" t="str">
        <f>IFERROR(__xludf.DUMMYFUNCTION("""COMPUTED_VALUE"""),"BO_MIBI_DCTE")</f>
        <v>BO_MIBI_DCTE</v>
      </c>
      <c r="D121" s="731" t="str">
        <f>IFERROR(__xludf.DUMMYFUNCTION("""COMPUTED_VALUE"""),"NV phát triển nội dung số (Elearning)")</f>
        <v>NV phát triển nội dung số (Elearning)</v>
      </c>
      <c r="E121" s="731" t="str">
        <f>IFERROR(__xludf.DUMMYFUNCTION("""COMPUTED_VALUE"""),"BO")</f>
        <v>BO</v>
      </c>
      <c r="F121" s="729"/>
      <c r="G121" s="731" t="str">
        <f>IFERROR(__xludf.DUMMYFUNCTION("""COMPUTED_VALUE"""),"BO")</f>
        <v>BO</v>
      </c>
      <c r="H121" s="731" t="str">
        <f>IFERROR(__xludf.DUMMYFUNCTION("""COMPUTED_VALUE"""),"Nhân viên/ Chuyên viên/ Chuyên gia")</f>
        <v>Nhân viên/ Chuyên viên/ Chuyên gia</v>
      </c>
      <c r="I121" s="729"/>
      <c r="J121" s="731" t="str">
        <f>IFERROR(__xludf.DUMMYFUNCTION("""COMPUTED_VALUE"""),"Công ty cổ phần MISA")</f>
        <v>Công ty cổ phần MISA</v>
      </c>
      <c r="K121" s="729"/>
      <c r="L121" s="731" t="str">
        <f>IFERROR(__xludf.DUMMYFUNCTION("""COMPUTED_VALUE"""),"Ngừng")</f>
        <v>Ngừng</v>
      </c>
      <c r="M121" s="728" t="str">
        <f>IFERROR(__xludf.DUMMYFUNCTION("""COMPUTED_VALUE"""),"ko còn trên CCTC mới")</f>
        <v>ko còn trên CCTC mới</v>
      </c>
      <c r="N121" s="728" t="str">
        <f>IFERROR(__xludf.DUMMYFUNCTION("""COMPUTED_VALUE"""),"ngừng")</f>
        <v>ngừng</v>
      </c>
      <c r="O121" s="708"/>
      <c r="P121" s="708"/>
      <c r="Q121" s="708"/>
      <c r="R121" s="708"/>
      <c r="S121" s="708"/>
      <c r="T121" s="708"/>
      <c r="U121" s="708"/>
      <c r="V121" s="708"/>
      <c r="W121" s="708"/>
      <c r="X121" s="708"/>
      <c r="Y121" s="708"/>
      <c r="Z121" s="708"/>
      <c r="AA121" s="708"/>
      <c r="AB121" s="708"/>
      <c r="AC121" s="708"/>
      <c r="AD121" s="708"/>
      <c r="AE121" s="708"/>
    </row>
    <row r="122">
      <c r="A122" s="727">
        <f>IFERROR(__xludf.DUMMYFUNCTION("""COMPUTED_VALUE"""),106.0)</f>
        <v>106</v>
      </c>
      <c r="B122" s="728" t="str">
        <f>IFERROR(__xludf.DUMMYFUNCTION("""COMPUTED_VALUE"""),"BO_MIBI_DDIR")</f>
        <v>BO_MIBI_DDIR</v>
      </c>
      <c r="C122" s="728" t="str">
        <f>IFERROR(__xludf.DUMMYFUNCTION("""COMPUTED_VALUE"""),"BO_MIBI_DDIR")</f>
        <v>BO_MIBI_DDIR</v>
      </c>
      <c r="D122" s="728" t="str">
        <f>IFERROR(__xludf.DUMMYFUNCTION("""COMPUTED_VALUE"""),"Viện phó Viện đổi mới DN")</f>
        <v>Viện phó Viện đổi mới DN</v>
      </c>
      <c r="E122" s="728" t="str">
        <f>IFERROR(__xludf.DUMMYFUNCTION("""COMPUTED_VALUE"""),"BOM")</f>
        <v>BOM</v>
      </c>
      <c r="F122" s="728">
        <f>IFERROR(__xludf.DUMMYFUNCTION("""COMPUTED_VALUE"""),4.0)</f>
        <v>4</v>
      </c>
      <c r="G122" s="728" t="str">
        <f>IFERROR(__xludf.DUMMYFUNCTION("""COMPUTED_VALUE"""),"BO")</f>
        <v>BO</v>
      </c>
      <c r="H122" s="728" t="str">
        <f>IFERROR(__xludf.DUMMYFUNCTION("""COMPUTED_VALUE"""),"Ban GĐVP")</f>
        <v>Ban GĐVP</v>
      </c>
      <c r="I122" s="728" t="str">
        <f>IFERROR(__xludf.DUMMYFUNCTION("""COMPUTED_VALUE"""),"L00")</f>
        <v>L00</v>
      </c>
      <c r="J122" s="728" t="str">
        <f>IFERROR(__xludf.DUMMYFUNCTION("""COMPUTED_VALUE"""),"Công ty cổ phần MISA")</f>
        <v>Công ty cổ phần MISA</v>
      </c>
      <c r="K122" s="729"/>
      <c r="L122" s="728" t="str">
        <f>IFERROR(__xludf.DUMMYFUNCTION("""COMPUTED_VALUE"""),"Đang theo dõi")</f>
        <v>Đang theo dõi</v>
      </c>
      <c r="M122" s="729"/>
      <c r="N122" s="728" t="str">
        <f>IFERROR(__xludf.DUMMYFUNCTION("""COMPUTED_VALUE"""),"giữ nguyên")</f>
        <v>giữ nguyên</v>
      </c>
      <c r="O122" s="708"/>
      <c r="P122" s="708"/>
      <c r="Q122" s="708"/>
      <c r="R122" s="708"/>
      <c r="S122" s="708"/>
      <c r="T122" s="708"/>
      <c r="U122" s="708"/>
      <c r="V122" s="708"/>
      <c r="W122" s="708"/>
      <c r="X122" s="708"/>
      <c r="Y122" s="708"/>
      <c r="Z122" s="708"/>
      <c r="AA122" s="708"/>
      <c r="AB122" s="708"/>
      <c r="AC122" s="708"/>
      <c r="AD122" s="708"/>
      <c r="AE122" s="708"/>
    </row>
    <row r="123">
      <c r="A123" s="727">
        <f>IFERROR(__xludf.DUMMYFUNCTION("""COMPUTED_VALUE"""),107.0)</f>
        <v>107</v>
      </c>
      <c r="B123" s="728" t="str">
        <f>IFERROR(__xludf.DUMMYFUNCTION("""COMPUTED_VALUE"""),"BO_MIBI_DIR")</f>
        <v>BO_MIBI_DIR</v>
      </c>
      <c r="C123" s="728" t="str">
        <f>IFERROR(__xludf.DUMMYFUNCTION("""COMPUTED_VALUE"""),"BO_MIBI_DIR")</f>
        <v>BO_MIBI_DIR</v>
      </c>
      <c r="D123" s="728" t="str">
        <f>IFERROR(__xludf.DUMMYFUNCTION("""COMPUTED_VALUE"""),"Viện trưởng Viện đổi mới DN")</f>
        <v>Viện trưởng Viện đổi mới DN</v>
      </c>
      <c r="E123" s="728" t="str">
        <f>IFERROR(__xludf.DUMMYFUNCTION("""COMPUTED_VALUE"""),"BOM")</f>
        <v>BOM</v>
      </c>
      <c r="F123" s="728">
        <f>IFERROR(__xludf.DUMMYFUNCTION("""COMPUTED_VALUE"""),4.0)</f>
        <v>4</v>
      </c>
      <c r="G123" s="728" t="str">
        <f>IFERROR(__xludf.DUMMYFUNCTION("""COMPUTED_VALUE"""),"BO")</f>
        <v>BO</v>
      </c>
      <c r="H123" s="728" t="str">
        <f>IFERROR(__xludf.DUMMYFUNCTION("""COMPUTED_VALUE"""),"Ban GĐVP")</f>
        <v>Ban GĐVP</v>
      </c>
      <c r="I123" s="728" t="str">
        <f>IFERROR(__xludf.DUMMYFUNCTION("""COMPUTED_VALUE"""),"L00")</f>
        <v>L00</v>
      </c>
      <c r="J123" s="728" t="str">
        <f>IFERROR(__xludf.DUMMYFUNCTION("""COMPUTED_VALUE"""),"Công ty cổ phần MISA")</f>
        <v>Công ty cổ phần MISA</v>
      </c>
      <c r="K123" s="729"/>
      <c r="L123" s="728" t="str">
        <f>IFERROR(__xludf.DUMMYFUNCTION("""COMPUTED_VALUE"""),"Đang theo dõi")</f>
        <v>Đang theo dõi</v>
      </c>
      <c r="M123" s="729"/>
      <c r="N123" s="728" t="str">
        <f>IFERROR(__xludf.DUMMYFUNCTION("""COMPUTED_VALUE"""),"giữ nguyên")</f>
        <v>giữ nguyên</v>
      </c>
      <c r="O123" s="708"/>
      <c r="P123" s="708"/>
      <c r="Q123" s="708"/>
      <c r="R123" s="708"/>
      <c r="S123" s="708"/>
      <c r="T123" s="708"/>
      <c r="U123" s="708"/>
      <c r="V123" s="708"/>
      <c r="W123" s="708"/>
      <c r="X123" s="708"/>
      <c r="Y123" s="708"/>
      <c r="Z123" s="708"/>
      <c r="AA123" s="708"/>
      <c r="AB123" s="708"/>
      <c r="AC123" s="708"/>
      <c r="AD123" s="708"/>
      <c r="AE123" s="708"/>
    </row>
    <row r="124">
      <c r="A124" s="727">
        <f>IFERROR(__xludf.DUMMYFUNCTION("""COMPUTED_VALUE"""),108.0)</f>
        <v>108</v>
      </c>
      <c r="B124" s="735"/>
      <c r="C124" s="736" t="str">
        <f>IFERROR(__xludf.DUMMYFUNCTION("""COMPUTED_VALUE"""),"BO_MIBI_IMM")</f>
        <v>BO_MIBI_IMM</v>
      </c>
      <c r="D124" s="736" t="str">
        <f>IFERROR(__xludf.DUMMYFUNCTION("""COMPUTED_VALUE"""),"Inbound Marketing Manager")</f>
        <v>Inbound Marketing Manager</v>
      </c>
      <c r="E124" s="736" t="str">
        <f>IFERROR(__xludf.DUMMYFUNCTION("""COMPUTED_VALUE"""),"MKT")</f>
        <v>MKT</v>
      </c>
      <c r="F124" s="736">
        <f>IFERROR(__xludf.DUMMYFUNCTION("""COMPUTED_VALUE"""),2.0)</f>
        <v>2</v>
      </c>
      <c r="G124" s="736" t="str">
        <f>IFERROR(__xludf.DUMMYFUNCTION("""COMPUTED_VALUE"""),"BO")</f>
        <v>BO</v>
      </c>
      <c r="H124" s="736" t="str">
        <f>IFERROR(__xludf.DUMMYFUNCTION("""COMPUTED_VALUE"""),"TPP/ Trưởng ban")</f>
        <v>TPP/ Trưởng ban</v>
      </c>
      <c r="I124" s="736" t="str">
        <f>IFERROR(__xludf.DUMMYFUNCTION("""COMPUTED_VALUE"""),"L00")</f>
        <v>L00</v>
      </c>
      <c r="J124" s="736" t="str">
        <f>IFERROR(__xludf.DUMMYFUNCTION("""COMPUTED_VALUE"""),"Công ty cổ phần MISA")</f>
        <v>Công ty cổ phần MISA</v>
      </c>
      <c r="K124" s="735"/>
      <c r="L124" s="736" t="str">
        <f>IFERROR(__xludf.DUMMYFUNCTION("""COMPUTED_VALUE"""),"mới")</f>
        <v>mới</v>
      </c>
      <c r="M124" s="735"/>
      <c r="N124" s="728" t="str">
        <f>IFERROR(__xludf.DUMMYFUNCTION("""COMPUTED_VALUE"""),"thêm mới")</f>
        <v>thêm mới</v>
      </c>
      <c r="O124" s="708"/>
      <c r="P124" s="708"/>
      <c r="Q124" s="708"/>
      <c r="R124" s="708"/>
      <c r="S124" s="708"/>
      <c r="T124" s="708"/>
      <c r="U124" s="708"/>
      <c r="V124" s="708"/>
      <c r="W124" s="708"/>
      <c r="X124" s="708"/>
      <c r="Y124" s="708"/>
      <c r="Z124" s="708"/>
      <c r="AA124" s="708"/>
      <c r="AB124" s="708"/>
      <c r="AC124" s="708"/>
      <c r="AD124" s="708"/>
      <c r="AE124" s="708"/>
    </row>
    <row r="125">
      <c r="A125" s="727">
        <f>IFERROR(__xludf.DUMMYFUNCTION("""COMPUTED_VALUE"""),109.0)</f>
        <v>109</v>
      </c>
      <c r="B125" s="733"/>
      <c r="C125" s="734" t="str">
        <f>IFERROR(__xludf.DUMMYFUNCTION("""COMPUTED_VALUE"""),"BO_MIBI_PSEO")</f>
        <v>BO_MIBI_PSEO</v>
      </c>
      <c r="D125" s="734" t="str">
        <f>IFERROR(__xludf.DUMMYFUNCTION("""COMPUTED_VALUE"""),"Principal SEO")</f>
        <v>Principal SEO</v>
      </c>
      <c r="E125" s="734" t="str">
        <f>IFERROR(__xludf.DUMMYFUNCTION("""COMPUTED_VALUE"""),"MKT")</f>
        <v>MKT</v>
      </c>
      <c r="F125" s="733"/>
      <c r="G125" s="734" t="str">
        <f>IFERROR(__xludf.DUMMYFUNCTION("""COMPUTED_VALUE"""),"BO")</f>
        <v>BO</v>
      </c>
      <c r="H125" s="728" t="str">
        <f>IFERROR(__xludf.DUMMYFUNCTION("""COMPUTED_VALUE"""),"Nhân viên/ Chuyên viên/ Chuyên gia")</f>
        <v>Nhân viên/ Chuyên viên/ Chuyên gia</v>
      </c>
      <c r="I125" s="734" t="str">
        <f>IFERROR(__xludf.DUMMYFUNCTION("""COMPUTED_VALUE"""),"L00")</f>
        <v>L00</v>
      </c>
      <c r="J125" s="734" t="str">
        <f>IFERROR(__xludf.DUMMYFUNCTION("""COMPUTED_VALUE"""),"Công ty cổ phần MISA")</f>
        <v>Công ty cổ phần MISA</v>
      </c>
      <c r="K125" s="733"/>
      <c r="L125" s="734" t="str">
        <f>IFERROR(__xludf.DUMMYFUNCTION("""COMPUTED_VALUE"""),"mới")</f>
        <v>mới</v>
      </c>
      <c r="M125" s="733"/>
      <c r="N125" s="728" t="str">
        <f>IFERROR(__xludf.DUMMYFUNCTION("""COMPUTED_VALUE"""),"thêm mới")</f>
        <v>thêm mới</v>
      </c>
      <c r="O125" s="708"/>
      <c r="P125" s="708"/>
      <c r="Q125" s="708"/>
      <c r="R125" s="708"/>
      <c r="S125" s="708"/>
      <c r="T125" s="708"/>
      <c r="U125" s="708"/>
      <c r="V125" s="708"/>
      <c r="W125" s="708"/>
      <c r="X125" s="708"/>
      <c r="Y125" s="708"/>
      <c r="Z125" s="708"/>
      <c r="AA125" s="708"/>
      <c r="AB125" s="708"/>
      <c r="AC125" s="708"/>
      <c r="AD125" s="708"/>
      <c r="AE125" s="708"/>
    </row>
    <row r="126">
      <c r="A126" s="727">
        <f>IFERROR(__xludf.DUMMYFUNCTION("""COMPUTED_VALUE"""),110.0)</f>
        <v>110</v>
      </c>
      <c r="B126" s="728" t="str">
        <f>IFERROR(__xludf.DUMMYFUNCTION("""COMPUTED_VALUE"""),"BO_MKT_SEO")</f>
        <v>BO_MKT_SEO</v>
      </c>
      <c r="C126" s="728" t="str">
        <f>IFERROR(__xludf.DUMMYFUNCTION("""COMPUTED_VALUE"""),"BO_MIBI_SEO")</f>
        <v>BO_MIBI_SEO</v>
      </c>
      <c r="D126" s="728" t="str">
        <f>IFERROR(__xludf.DUMMYFUNCTION("""COMPUTED_VALUE"""),"NV SEO")</f>
        <v>NV SEO</v>
      </c>
      <c r="E126" s="728" t="str">
        <f>IFERROR(__xludf.DUMMYFUNCTION("""COMPUTED_VALUE"""),"MKT")</f>
        <v>MKT</v>
      </c>
      <c r="F126" s="729"/>
      <c r="G126" s="728" t="str">
        <f>IFERROR(__xludf.DUMMYFUNCTION("""COMPUTED_VALUE"""),"BO")</f>
        <v>BO</v>
      </c>
      <c r="H126" s="728" t="str">
        <f>IFERROR(__xludf.DUMMYFUNCTION("""COMPUTED_VALUE"""),"Nhân viên/ Chuyên viên/ Chuyên gia")</f>
        <v>Nhân viên/ Chuyên viên/ Chuyên gia</v>
      </c>
      <c r="I126" s="728" t="str">
        <f>IFERROR(__xludf.DUMMYFUNCTION("""COMPUTED_VALUE"""),"L00")</f>
        <v>L00</v>
      </c>
      <c r="J126" s="728" t="str">
        <f>IFERROR(__xludf.DUMMYFUNCTION("""COMPUTED_VALUE"""),"Công ty cổ phần MISA")</f>
        <v>Công ty cổ phần MISA</v>
      </c>
      <c r="K126" s="729"/>
      <c r="L126" s="728" t="str">
        <f>IFERROR(__xludf.DUMMYFUNCTION("""COMPUTED_VALUE"""),"Đang theo dõi")</f>
        <v>Đang theo dõi</v>
      </c>
      <c r="M126" s="729"/>
      <c r="N126" s="728" t="str">
        <f>IFERROR(__xludf.DUMMYFUNCTION("""COMPUTED_VALUE"""),"đổi mã")</f>
        <v>đổi mã</v>
      </c>
      <c r="O126" s="708"/>
      <c r="P126" s="708"/>
      <c r="Q126" s="708"/>
      <c r="R126" s="708"/>
      <c r="S126" s="708"/>
      <c r="T126" s="708"/>
      <c r="U126" s="708"/>
      <c r="V126" s="708"/>
      <c r="W126" s="708"/>
      <c r="X126" s="708"/>
      <c r="Y126" s="708"/>
      <c r="Z126" s="708"/>
      <c r="AA126" s="708"/>
      <c r="AB126" s="708"/>
      <c r="AC126" s="708"/>
      <c r="AD126" s="708"/>
      <c r="AE126" s="708"/>
    </row>
    <row r="127">
      <c r="A127" s="727">
        <f>IFERROR(__xludf.DUMMYFUNCTION("""COMPUTED_VALUE"""),111.0)</f>
        <v>111</v>
      </c>
      <c r="B127" s="728" t="str">
        <f>IFERROR(__xludf.DUMMYFUNCTION("""COMPUTED_VALUE"""),"BO_MKT_SOC")</f>
        <v>BO_MKT_SOC</v>
      </c>
      <c r="C127" s="728" t="str">
        <f>IFERROR(__xludf.DUMMYFUNCTION("""COMPUTED_VALUE"""),"BO_MIBI_SOC")</f>
        <v>BO_MIBI_SOC</v>
      </c>
      <c r="D127" s="728" t="str">
        <f>IFERROR(__xludf.DUMMYFUNCTION("""COMPUTED_VALUE"""),"NV Social Media")</f>
        <v>NV Social Media</v>
      </c>
      <c r="E127" s="728" t="str">
        <f>IFERROR(__xludf.DUMMYFUNCTION("""COMPUTED_VALUE"""),"MKT")</f>
        <v>MKT</v>
      </c>
      <c r="F127" s="729"/>
      <c r="G127" s="728" t="str">
        <f>IFERROR(__xludf.DUMMYFUNCTION("""COMPUTED_VALUE"""),"BO")</f>
        <v>BO</v>
      </c>
      <c r="H127" s="728" t="str">
        <f>IFERROR(__xludf.DUMMYFUNCTION("""COMPUTED_VALUE"""),"Nhân viên/ Chuyên viên/ Chuyên gia")</f>
        <v>Nhân viên/ Chuyên viên/ Chuyên gia</v>
      </c>
      <c r="I127" s="728" t="str">
        <f>IFERROR(__xludf.DUMMYFUNCTION("""COMPUTED_VALUE"""),"L00")</f>
        <v>L00</v>
      </c>
      <c r="J127" s="728" t="str">
        <f>IFERROR(__xludf.DUMMYFUNCTION("""COMPUTED_VALUE"""),"Công ty cổ phần MISA")</f>
        <v>Công ty cổ phần MISA</v>
      </c>
      <c r="K127" s="729"/>
      <c r="L127" s="728" t="str">
        <f>IFERROR(__xludf.DUMMYFUNCTION("""COMPUTED_VALUE"""),"Đang theo dõi")</f>
        <v>Đang theo dõi</v>
      </c>
      <c r="M127" s="729"/>
      <c r="N127" s="728" t="str">
        <f>IFERROR(__xludf.DUMMYFUNCTION("""COMPUTED_VALUE"""),"đổi mã")</f>
        <v>đổi mã</v>
      </c>
      <c r="O127" s="708"/>
      <c r="P127" s="708"/>
      <c r="Q127" s="708"/>
      <c r="R127" s="708"/>
      <c r="S127" s="708"/>
      <c r="T127" s="708"/>
      <c r="U127" s="708"/>
      <c r="V127" s="708"/>
      <c r="W127" s="708"/>
      <c r="X127" s="708"/>
      <c r="Y127" s="708"/>
      <c r="Z127" s="708"/>
      <c r="AA127" s="708"/>
      <c r="AB127" s="708"/>
      <c r="AC127" s="708"/>
      <c r="AD127" s="708"/>
      <c r="AE127" s="708"/>
    </row>
    <row r="128">
      <c r="A128" s="727">
        <f>IFERROR(__xludf.DUMMYFUNCTION("""COMPUTED_VALUE"""),112.0)</f>
        <v>112</v>
      </c>
      <c r="B128" s="728" t="str">
        <f>IFERROR(__xludf.DUMMYFUNCTION("""COMPUTED_VALUE"""),"BO_TC")</f>
        <v>BO_TC</v>
      </c>
      <c r="C128" s="728" t="str">
        <f>IFERROR(__xludf.DUMMYFUNCTION("""COMPUTED_VALUE"""),"BO_MIBI_TC")</f>
        <v>BO_MIBI_TC</v>
      </c>
      <c r="D128" s="728" t="str">
        <f>IFERROR(__xludf.DUMMYFUNCTION("""COMPUTED_VALUE"""),"Quản lý hợp tác đào tạo")</f>
        <v>Quản lý hợp tác đào tạo</v>
      </c>
      <c r="E128" s="728" t="str">
        <f>IFERROR(__xludf.DUMMYFUNCTION("""COMPUTED_VALUE"""),"HTDT")</f>
        <v>HTDT</v>
      </c>
      <c r="F128" s="729"/>
      <c r="G128" s="728" t="str">
        <f>IFERROR(__xludf.DUMMYFUNCTION("""COMPUTED_VALUE"""),"BO")</f>
        <v>BO</v>
      </c>
      <c r="H128" s="728" t="str">
        <f>IFERROR(__xludf.DUMMYFUNCTION("""COMPUTED_VALUE"""),"Nhân viên/ Chuyên viên/ Chuyên gia")</f>
        <v>Nhân viên/ Chuyên viên/ Chuyên gia</v>
      </c>
      <c r="I128" s="728" t="str">
        <f>IFERROR(__xludf.DUMMYFUNCTION("""COMPUTED_VALUE"""),"L00")</f>
        <v>L00</v>
      </c>
      <c r="J128" s="728" t="str">
        <f>IFERROR(__xludf.DUMMYFUNCTION("""COMPUTED_VALUE"""),"Công ty cổ phần MISA")</f>
        <v>Công ty cổ phần MISA</v>
      </c>
      <c r="K128" s="729"/>
      <c r="L128" s="728" t="str">
        <f>IFERROR(__xludf.DUMMYFUNCTION("""COMPUTED_VALUE"""),"Đang theo dõi")</f>
        <v>Đang theo dõi</v>
      </c>
      <c r="M128" s="729"/>
      <c r="N128" s="728" t="str">
        <f>IFERROR(__xludf.DUMMYFUNCTION("""COMPUTED_VALUE"""),"đổi mã")</f>
        <v>đổi mã</v>
      </c>
      <c r="O128" s="708"/>
      <c r="P128" s="708"/>
      <c r="Q128" s="708"/>
      <c r="R128" s="708"/>
      <c r="S128" s="708"/>
      <c r="T128" s="708"/>
      <c r="U128" s="708"/>
      <c r="V128" s="708"/>
      <c r="W128" s="708"/>
      <c r="X128" s="708"/>
      <c r="Y128" s="708"/>
      <c r="Z128" s="708"/>
      <c r="AA128" s="708"/>
      <c r="AB128" s="708"/>
      <c r="AC128" s="708"/>
      <c r="AD128" s="708"/>
      <c r="AE128" s="708"/>
    </row>
    <row r="129">
      <c r="A129" s="727">
        <f>IFERROR(__xludf.DUMMYFUNCTION("""COMPUTED_VALUE"""),113.0)</f>
        <v>113</v>
      </c>
      <c r="B129" s="728" t="str">
        <f>IFERROR(__xludf.DUMMYFUNCTION("""COMPUTED_VALUE"""),"BO_TCM")</f>
        <v>BO_TCM</v>
      </c>
      <c r="C129" s="728" t="str">
        <f>IFERROR(__xludf.DUMMYFUNCTION("""COMPUTED_VALUE"""),"BO_MIBI_TCM")</f>
        <v>BO_MIBI_TCM</v>
      </c>
      <c r="D129" s="728" t="str">
        <f>IFERROR(__xludf.DUMMYFUNCTION("""COMPUTED_VALUE"""),"Trưởng ban hợp tác đào tạo")</f>
        <v>Trưởng ban hợp tác đào tạo</v>
      </c>
      <c r="E129" s="728" t="str">
        <f>IFERROR(__xludf.DUMMYFUNCTION("""COMPUTED_VALUE"""),"HTDT")</f>
        <v>HTDT</v>
      </c>
      <c r="F129" s="728">
        <f>IFERROR(__xludf.DUMMYFUNCTION("""COMPUTED_VALUE"""),2.0)</f>
        <v>2</v>
      </c>
      <c r="G129" s="728" t="str">
        <f>IFERROR(__xludf.DUMMYFUNCTION("""COMPUTED_VALUE"""),"BO")</f>
        <v>BO</v>
      </c>
      <c r="H129" s="728" t="str">
        <f>IFERROR(__xludf.DUMMYFUNCTION("""COMPUTED_VALUE"""),"TPP/ Trưởng ban")</f>
        <v>TPP/ Trưởng ban</v>
      </c>
      <c r="I129" s="728" t="str">
        <f>IFERROR(__xludf.DUMMYFUNCTION("""COMPUTED_VALUE"""),"L00")</f>
        <v>L00</v>
      </c>
      <c r="J129" s="728" t="str">
        <f>IFERROR(__xludf.DUMMYFUNCTION("""COMPUTED_VALUE"""),"Công ty cổ phần MISA")</f>
        <v>Công ty cổ phần MISA</v>
      </c>
      <c r="K129" s="729"/>
      <c r="L129" s="728" t="str">
        <f>IFERROR(__xludf.DUMMYFUNCTION("""COMPUTED_VALUE"""),"Đang theo dõi")</f>
        <v>Đang theo dõi</v>
      </c>
      <c r="M129" s="729"/>
      <c r="N129" s="728" t="str">
        <f>IFERROR(__xludf.DUMMYFUNCTION("""COMPUTED_VALUE"""),"đổi mã")</f>
        <v>đổi mã</v>
      </c>
      <c r="O129" s="708"/>
      <c r="P129" s="708"/>
      <c r="Q129" s="708"/>
      <c r="R129" s="708"/>
      <c r="S129" s="708"/>
      <c r="T129" s="708"/>
      <c r="U129" s="708"/>
      <c r="V129" s="708"/>
      <c r="W129" s="708"/>
      <c r="X129" s="708"/>
      <c r="Y129" s="708"/>
      <c r="Z129" s="708"/>
      <c r="AA129" s="708"/>
      <c r="AB129" s="708"/>
      <c r="AC129" s="708"/>
      <c r="AD129" s="708"/>
      <c r="AE129" s="708"/>
    </row>
    <row r="130">
      <c r="A130" s="727">
        <f>IFERROR(__xludf.DUMMYFUNCTION("""COMPUTED_VALUE"""),114.0)</f>
        <v>114</v>
      </c>
      <c r="B130" s="731" t="str">
        <f>IFERROR(__xludf.DUMMYFUNCTION("""COMPUTED_VALUE"""),"BO_MKT_A.MDRL")</f>
        <v>BO_MKT_A.MDRL</v>
      </c>
      <c r="C130" s="731" t="str">
        <f>IFERROR(__xludf.DUMMYFUNCTION("""COMPUTED_VALUE"""),"BO_MKT_A.MDRL")</f>
        <v>BO_MKT_A.MDRL</v>
      </c>
      <c r="D130" s="731" t="str">
        <f>IFERROR(__xludf.DUMMYFUNCTION("""COMPUTED_VALUE"""),"Q. Trưởng nhóm MDR")</f>
        <v>Q. Trưởng nhóm MDR</v>
      </c>
      <c r="E130" s="731" t="str">
        <f>IFERROR(__xludf.DUMMYFUNCTION("""COMPUTED_VALUE"""),"BO_LEAD")</f>
        <v>BO_LEAD</v>
      </c>
      <c r="F130" s="731">
        <f>IFERROR(__xludf.DUMMYFUNCTION("""COMPUTED_VALUE"""),1.0)</f>
        <v>1</v>
      </c>
      <c r="G130" s="731" t="str">
        <f>IFERROR(__xludf.DUMMYFUNCTION("""COMPUTED_VALUE"""),"BO")</f>
        <v>BO</v>
      </c>
      <c r="H130" s="731" t="str">
        <f>IFERROR(__xludf.DUMMYFUNCTION("""COMPUTED_VALUE"""),"Trưởng nhóm")</f>
        <v>Trưởng nhóm</v>
      </c>
      <c r="I130" s="731" t="str">
        <f>IFERROR(__xludf.DUMMYFUNCTION("""COMPUTED_VALUE"""),"L00")</f>
        <v>L00</v>
      </c>
      <c r="J130" s="731" t="str">
        <f>IFERROR(__xludf.DUMMYFUNCTION("""COMPUTED_VALUE"""),"Công ty cổ phần MISA")</f>
        <v>Công ty cổ phần MISA</v>
      </c>
      <c r="K130" s="729"/>
      <c r="L130" s="731" t="str">
        <f>IFERROR(__xludf.DUMMYFUNCTION("""COMPUTED_VALUE"""),"ngừng")</f>
        <v>ngừng</v>
      </c>
      <c r="M130" s="729"/>
      <c r="N130" s="728" t="str">
        <f>IFERROR(__xludf.DUMMYFUNCTION("""COMPUTED_VALUE"""),"ngừng")</f>
        <v>ngừng</v>
      </c>
      <c r="O130" s="708"/>
      <c r="P130" s="708"/>
      <c r="Q130" s="708"/>
      <c r="R130" s="708"/>
      <c r="S130" s="708"/>
      <c r="T130" s="708"/>
      <c r="U130" s="708"/>
      <c r="V130" s="708"/>
      <c r="W130" s="708"/>
      <c r="X130" s="708"/>
      <c r="Y130" s="708"/>
      <c r="Z130" s="708"/>
      <c r="AA130" s="708"/>
      <c r="AB130" s="708"/>
      <c r="AC130" s="708"/>
      <c r="AD130" s="708"/>
      <c r="AE130" s="708"/>
    </row>
    <row r="131">
      <c r="A131" s="727">
        <f>IFERROR(__xludf.DUMMYFUNCTION("""COMPUTED_VALUE"""),115.0)</f>
        <v>115</v>
      </c>
      <c r="B131" s="728" t="str">
        <f>IFERROR(__xludf.DUMMYFUNCTION("""COMPUTED_VALUE"""),"BO_MKT_CMO")</f>
        <v>BO_MKT_CMO</v>
      </c>
      <c r="C131" s="728" t="str">
        <f>IFERROR(__xludf.DUMMYFUNCTION("""COMPUTED_VALUE"""),"BO_MKT_CMO")</f>
        <v>BO_MKT_CMO</v>
      </c>
      <c r="D131" s="728" t="str">
        <f>IFERROR(__xludf.DUMMYFUNCTION("""COMPUTED_VALUE"""),"Giám đốc Marketing")</f>
        <v>Giám đốc Marketing</v>
      </c>
      <c r="E131" s="728" t="str">
        <f>IFERROR(__xludf.DUMMYFUNCTION("""COMPUTED_VALUE"""),"BOM")</f>
        <v>BOM</v>
      </c>
      <c r="F131" s="728">
        <f>IFERROR(__xludf.DUMMYFUNCTION("""COMPUTED_VALUE"""),3.0)</f>
        <v>3</v>
      </c>
      <c r="G131" s="728" t="str">
        <f>IFERROR(__xludf.DUMMYFUNCTION("""COMPUTED_VALUE"""),"BO")</f>
        <v>BO</v>
      </c>
      <c r="H131" s="728" t="str">
        <f>IFERROR(__xludf.DUMMYFUNCTION("""COMPUTED_VALUE"""),"Ban GĐTTKD/ BGĐ khối DA")</f>
        <v>Ban GĐTTKD/ BGĐ khối DA</v>
      </c>
      <c r="I131" s="728" t="str">
        <f>IFERROR(__xludf.DUMMYFUNCTION("""COMPUTED_VALUE"""),"L00")</f>
        <v>L00</v>
      </c>
      <c r="J131" s="728" t="str">
        <f>IFERROR(__xludf.DUMMYFUNCTION("""COMPUTED_VALUE"""),"Công ty cổ phần MISA")</f>
        <v>Công ty cổ phần MISA</v>
      </c>
      <c r="K131" s="729"/>
      <c r="L131" s="728" t="str">
        <f>IFERROR(__xludf.DUMMYFUNCTION("""COMPUTED_VALUE"""),"Đang theo dõi")</f>
        <v>Đang theo dõi</v>
      </c>
      <c r="M131" s="729"/>
      <c r="N131" s="728" t="str">
        <f>IFERROR(__xludf.DUMMYFUNCTION("""COMPUTED_VALUE"""),"giữ nguyên")</f>
        <v>giữ nguyên</v>
      </c>
      <c r="O131" s="708"/>
      <c r="P131" s="708"/>
      <c r="Q131" s="708"/>
      <c r="R131" s="708"/>
      <c r="S131" s="708"/>
      <c r="T131" s="708"/>
      <c r="U131" s="708"/>
      <c r="V131" s="708"/>
      <c r="W131" s="708"/>
      <c r="X131" s="708"/>
      <c r="Y131" s="708"/>
      <c r="Z131" s="708"/>
      <c r="AA131" s="708"/>
      <c r="AB131" s="708"/>
      <c r="AC131" s="708"/>
      <c r="AD131" s="708"/>
      <c r="AE131" s="708"/>
    </row>
    <row r="132">
      <c r="A132" s="727">
        <f>IFERROR(__xludf.DUMMYFUNCTION("""COMPUTED_VALUE"""),116.0)</f>
        <v>116</v>
      </c>
      <c r="B132" s="728" t="str">
        <f>IFERROR(__xludf.DUMMYFUNCTION("""COMPUTED_VALUE"""),"BO_MKT_CONT_INTERN")</f>
        <v>BO_MKT_CONT_INTERN</v>
      </c>
      <c r="C132" s="728" t="str">
        <f>IFERROR(__xludf.DUMMYFUNCTION("""COMPUTED_VALUE"""),"BO_MKT_CONT_INTERN")</f>
        <v>BO_MKT_CONT_INTERN</v>
      </c>
      <c r="D132" s="728" t="str">
        <f>IFERROR(__xludf.DUMMYFUNCTION("""COMPUTED_VALUE"""),"TTS Content marketing")</f>
        <v>TTS Content marketing</v>
      </c>
      <c r="E132" s="728" t="str">
        <f>IFERROR(__xludf.DUMMYFUNCTION("""COMPUTED_VALUE"""),"BO_TTS")</f>
        <v>BO_TTS</v>
      </c>
      <c r="F132" s="729"/>
      <c r="G132" s="728" t="str">
        <f>IFERROR(__xludf.DUMMYFUNCTION("""COMPUTED_VALUE"""),"BO")</f>
        <v>BO</v>
      </c>
      <c r="H132" s="728" t="str">
        <f>IFERROR(__xludf.DUMMYFUNCTION("""COMPUTED_VALUE"""),"Thực tập")</f>
        <v>Thực tập</v>
      </c>
      <c r="I132" s="728" t="str">
        <f>IFERROR(__xludf.DUMMYFUNCTION("""COMPUTED_VALUE"""),"L00")</f>
        <v>L00</v>
      </c>
      <c r="J132" s="728" t="str">
        <f>IFERROR(__xludf.DUMMYFUNCTION("""COMPUTED_VALUE"""),"Công ty cổ phần MISA")</f>
        <v>Công ty cổ phần MISA</v>
      </c>
      <c r="K132" s="729"/>
      <c r="L132" s="728" t="str">
        <f>IFERROR(__xludf.DUMMYFUNCTION("""COMPUTED_VALUE"""),"Đang theo dõi")</f>
        <v>Đang theo dõi</v>
      </c>
      <c r="M132" s="729"/>
      <c r="N132" s="728" t="str">
        <f>IFERROR(__xludf.DUMMYFUNCTION("""COMPUTED_VALUE"""),"giữ nguyên")</f>
        <v>giữ nguyên</v>
      </c>
      <c r="O132" s="708"/>
      <c r="P132" s="708"/>
      <c r="Q132" s="708"/>
      <c r="R132" s="708"/>
      <c r="S132" s="708"/>
      <c r="T132" s="708"/>
      <c r="U132" s="708"/>
      <c r="V132" s="708"/>
      <c r="W132" s="708"/>
      <c r="X132" s="708"/>
      <c r="Y132" s="708"/>
      <c r="Z132" s="708"/>
      <c r="AA132" s="708"/>
      <c r="AB132" s="708"/>
      <c r="AC132" s="708"/>
      <c r="AD132" s="708"/>
      <c r="AE132" s="708"/>
    </row>
    <row r="133">
      <c r="A133" s="727">
        <f>IFERROR(__xludf.DUMMYFUNCTION("""COMPUTED_VALUE"""),117.0)</f>
        <v>117</v>
      </c>
      <c r="B133" s="731" t="str">
        <f>IFERROR(__xludf.DUMMYFUNCTION("""COMPUTED_VALUE"""),"BO_MKT_CONTL")</f>
        <v>BO_MKT_CONTL</v>
      </c>
      <c r="C133" s="731" t="str">
        <f>IFERROR(__xludf.DUMMYFUNCTION("""COMPUTED_VALUE"""),"BO_MKT_CONTL")</f>
        <v>BO_MKT_CONTL</v>
      </c>
      <c r="D133" s="731" t="str">
        <f>IFERROR(__xludf.DUMMYFUNCTION("""COMPUTED_VALUE"""),"Trưởng nhóm Content Marketing")</f>
        <v>Trưởng nhóm Content Marketing</v>
      </c>
      <c r="E133" s="731" t="str">
        <f>IFERROR(__xludf.DUMMYFUNCTION("""COMPUTED_VALUE"""),"BO_LEAD")</f>
        <v>BO_LEAD</v>
      </c>
      <c r="F133" s="731">
        <f>IFERROR(__xludf.DUMMYFUNCTION("""COMPUTED_VALUE"""),1.0)</f>
        <v>1</v>
      </c>
      <c r="G133" s="731" t="str">
        <f>IFERROR(__xludf.DUMMYFUNCTION("""COMPUTED_VALUE"""),"BO")</f>
        <v>BO</v>
      </c>
      <c r="H133" s="731" t="str">
        <f>IFERROR(__xludf.DUMMYFUNCTION("""COMPUTED_VALUE"""),"Trưởng nhóm")</f>
        <v>Trưởng nhóm</v>
      </c>
      <c r="I133" s="731" t="str">
        <f>IFERROR(__xludf.DUMMYFUNCTION("""COMPUTED_VALUE"""),"L00")</f>
        <v>L00</v>
      </c>
      <c r="J133" s="731" t="str">
        <f>IFERROR(__xludf.DUMMYFUNCTION("""COMPUTED_VALUE"""),"Công ty cổ phần MISA")</f>
        <v>Công ty cổ phần MISA</v>
      </c>
      <c r="K133" s="729"/>
      <c r="L133" s="731" t="str">
        <f>IFERROR(__xludf.DUMMYFUNCTION("""COMPUTED_VALUE"""),"ngừng")</f>
        <v>ngừng</v>
      </c>
      <c r="M133" s="729"/>
      <c r="N133" s="728" t="str">
        <f>IFERROR(__xludf.DUMMYFUNCTION("""COMPUTED_VALUE"""),"ngừng")</f>
        <v>ngừng</v>
      </c>
      <c r="O133" s="708"/>
      <c r="P133" s="708"/>
      <c r="Q133" s="708"/>
      <c r="R133" s="708"/>
      <c r="S133" s="708"/>
      <c r="T133" s="708"/>
      <c r="U133" s="708"/>
      <c r="V133" s="708"/>
      <c r="W133" s="708"/>
      <c r="X133" s="708"/>
      <c r="Y133" s="708"/>
      <c r="Z133" s="708"/>
      <c r="AA133" s="708"/>
      <c r="AB133" s="708"/>
      <c r="AC133" s="708"/>
      <c r="AD133" s="708"/>
      <c r="AE133" s="708"/>
    </row>
    <row r="134">
      <c r="A134" s="727">
        <f>IFERROR(__xludf.DUMMYFUNCTION("""COMPUTED_VALUE"""),118.0)</f>
        <v>118</v>
      </c>
      <c r="B134" s="728" t="str">
        <f>IFERROR(__xludf.DUMMYFUNCTION("""COMPUTED_VALUE"""),"BO_MKT_DA")</f>
        <v>BO_MKT_DA</v>
      </c>
      <c r="C134" s="728" t="str">
        <f>IFERROR(__xludf.DUMMYFUNCTION("""COMPUTED_VALUE"""),"BO_MKT_DA")</f>
        <v>BO_MKT_DA</v>
      </c>
      <c r="D134" s="728" t="str">
        <f>IFERROR(__xludf.DUMMYFUNCTION("""COMPUTED_VALUE"""),"NV Phân tích Dữ liệu")</f>
        <v>NV Phân tích Dữ liệu</v>
      </c>
      <c r="E134" s="728" t="str">
        <f>IFERROR(__xludf.DUMMYFUNCTION("""COMPUTED_VALUE"""),"MKT")</f>
        <v>MKT</v>
      </c>
      <c r="F134" s="729"/>
      <c r="G134" s="728" t="str">
        <f>IFERROR(__xludf.DUMMYFUNCTION("""COMPUTED_VALUE"""),"BO")</f>
        <v>BO</v>
      </c>
      <c r="H134" s="728" t="str">
        <f>IFERROR(__xludf.DUMMYFUNCTION("""COMPUTED_VALUE"""),"Nhân viên/ Chuyên viên/ Chuyên gia")</f>
        <v>Nhân viên/ Chuyên viên/ Chuyên gia</v>
      </c>
      <c r="I134" s="728" t="str">
        <f>IFERROR(__xludf.DUMMYFUNCTION("""COMPUTED_VALUE"""),"L00")</f>
        <v>L00</v>
      </c>
      <c r="J134" s="728" t="str">
        <f>IFERROR(__xludf.DUMMYFUNCTION("""COMPUTED_VALUE"""),"Công ty cổ phần MISA")</f>
        <v>Công ty cổ phần MISA</v>
      </c>
      <c r="K134" s="729"/>
      <c r="L134" s="728" t="str">
        <f>IFERROR(__xludf.DUMMYFUNCTION("""COMPUTED_VALUE"""),"Đang theo dõi")</f>
        <v>Đang theo dõi</v>
      </c>
      <c r="M134" s="729"/>
      <c r="N134" s="728" t="str">
        <f>IFERROR(__xludf.DUMMYFUNCTION("""COMPUTED_VALUE"""),"giữ nguyên")</f>
        <v>giữ nguyên</v>
      </c>
      <c r="O134" s="708"/>
      <c r="P134" s="708"/>
      <c r="Q134" s="708"/>
      <c r="R134" s="708"/>
      <c r="S134" s="708"/>
      <c r="T134" s="708"/>
      <c r="U134" s="708"/>
      <c r="V134" s="708"/>
      <c r="W134" s="708"/>
      <c r="X134" s="708"/>
      <c r="Y134" s="708"/>
      <c r="Z134" s="708"/>
      <c r="AA134" s="708"/>
      <c r="AB134" s="708"/>
      <c r="AC134" s="708"/>
      <c r="AD134" s="708"/>
      <c r="AE134" s="708"/>
    </row>
    <row r="135">
      <c r="A135" s="727">
        <f>IFERROR(__xludf.DUMMYFUNCTION("""COMPUTED_VALUE"""),119.0)</f>
        <v>119</v>
      </c>
      <c r="B135" s="736" t="str">
        <f>IFERROR(__xludf.DUMMYFUNCTION("""COMPUTED_VALUE"""),"BO_MKT_DGT")</f>
        <v>BO_MKT_DGT</v>
      </c>
      <c r="C135" s="736" t="str">
        <f>IFERROR(__xludf.DUMMYFUNCTION("""COMPUTED_VALUE"""),"BO_MKT_DGT")</f>
        <v>BO_MKT_DGT</v>
      </c>
      <c r="D135" s="736" t="str">
        <f>IFERROR(__xludf.DUMMYFUNCTION("""COMPUTED_VALUE"""),"NV Digital Marketing")</f>
        <v>NV Digital Marketing</v>
      </c>
      <c r="E135" s="736" t="str">
        <f>IFERROR(__xludf.DUMMYFUNCTION("""COMPUTED_VALUE"""),"MKT")</f>
        <v>MKT</v>
      </c>
      <c r="F135" s="735"/>
      <c r="G135" s="736" t="str">
        <f>IFERROR(__xludf.DUMMYFUNCTION("""COMPUTED_VALUE"""),"BO")</f>
        <v>BO</v>
      </c>
      <c r="H135" s="736" t="str">
        <f>IFERROR(__xludf.DUMMYFUNCTION("""COMPUTED_VALUE"""),"Nhân viên/ Chuyên viên/ Chuyên gia")</f>
        <v>Nhân viên/ Chuyên viên/ Chuyên gia</v>
      </c>
      <c r="I135" s="736" t="str">
        <f>IFERROR(__xludf.DUMMYFUNCTION("""COMPUTED_VALUE"""),"L00")</f>
        <v>L00</v>
      </c>
      <c r="J135" s="736" t="str">
        <f>IFERROR(__xludf.DUMMYFUNCTION("""COMPUTED_VALUE"""),"Công ty cổ phần MISA")</f>
        <v>Công ty cổ phần MISA</v>
      </c>
      <c r="K135" s="735"/>
      <c r="L135" s="736" t="str">
        <f>IFERROR(__xludf.DUMMYFUNCTION("""COMPUTED_VALUE"""),"Đang theo dõi")</f>
        <v>Đang theo dõi</v>
      </c>
      <c r="M135" s="735"/>
      <c r="N135" s="728" t="str">
        <f>IFERROR(__xludf.DUMMYFUNCTION("""COMPUTED_VALUE"""),"giữ nguyên")</f>
        <v>giữ nguyên</v>
      </c>
      <c r="O135" s="708"/>
      <c r="P135" s="708"/>
      <c r="Q135" s="708"/>
      <c r="R135" s="708"/>
      <c r="S135" s="708"/>
      <c r="T135" s="708"/>
      <c r="U135" s="708"/>
      <c r="V135" s="708"/>
      <c r="W135" s="708"/>
      <c r="X135" s="708"/>
      <c r="Y135" s="708"/>
      <c r="Z135" s="708"/>
      <c r="AA135" s="708"/>
      <c r="AB135" s="708"/>
      <c r="AC135" s="708"/>
      <c r="AD135" s="708"/>
      <c r="AE135" s="708"/>
    </row>
    <row r="136">
      <c r="A136" s="727">
        <f>IFERROR(__xludf.DUMMYFUNCTION("""COMPUTED_VALUE"""),120.0)</f>
        <v>120</v>
      </c>
      <c r="B136" s="736" t="str">
        <f>IFERROR(__xludf.DUMMYFUNCTION("""COMPUTED_VALUE"""),"BO_MKT_DGTL")</f>
        <v>BO_MKT_DGTL</v>
      </c>
      <c r="C136" s="736" t="str">
        <f>IFERROR(__xludf.DUMMYFUNCTION("""COMPUTED_VALUE"""),"BO_MKT_DGTL")</f>
        <v>BO_MKT_DGTL</v>
      </c>
      <c r="D136" s="736" t="str">
        <f>IFERROR(__xludf.DUMMYFUNCTION("""COMPUTED_VALUE"""),"Trưởng nhóm Digital Marketing")</f>
        <v>Trưởng nhóm Digital Marketing</v>
      </c>
      <c r="E136" s="736" t="str">
        <f>IFERROR(__xludf.DUMMYFUNCTION("""COMPUTED_VALUE"""),"MKT_LEAD")</f>
        <v>MKT_LEAD</v>
      </c>
      <c r="F136" s="736">
        <f>IFERROR(__xludf.DUMMYFUNCTION("""COMPUTED_VALUE"""),1.0)</f>
        <v>1</v>
      </c>
      <c r="G136" s="736" t="str">
        <f>IFERROR(__xludf.DUMMYFUNCTION("""COMPUTED_VALUE"""),"BO")</f>
        <v>BO</v>
      </c>
      <c r="H136" s="736" t="str">
        <f>IFERROR(__xludf.DUMMYFUNCTION("""COMPUTED_VALUE"""),"Trưởng nhóm")</f>
        <v>Trưởng nhóm</v>
      </c>
      <c r="I136" s="735"/>
      <c r="J136" s="736" t="str">
        <f>IFERROR(__xludf.DUMMYFUNCTION("""COMPUTED_VALUE"""),"Công ty cổ phần MISA")</f>
        <v>Công ty cổ phần MISA</v>
      </c>
      <c r="K136" s="735"/>
      <c r="L136" s="736" t="str">
        <f>IFERROR(__xludf.DUMMYFUNCTION("""COMPUTED_VALUE"""),"Đang theo dõi")</f>
        <v>Đang theo dõi</v>
      </c>
      <c r="M136" s="735"/>
      <c r="N136" s="728" t="str">
        <f>IFERROR(__xludf.DUMMYFUNCTION("""COMPUTED_VALUE"""),"giữ nguyên")</f>
        <v>giữ nguyên</v>
      </c>
      <c r="O136" s="708"/>
      <c r="P136" s="708"/>
      <c r="Q136" s="708"/>
      <c r="R136" s="708"/>
      <c r="S136" s="708"/>
      <c r="T136" s="708"/>
      <c r="U136" s="708"/>
      <c r="V136" s="708"/>
      <c r="W136" s="708"/>
      <c r="X136" s="708"/>
      <c r="Y136" s="708"/>
      <c r="Z136" s="708"/>
      <c r="AA136" s="708"/>
      <c r="AB136" s="708"/>
      <c r="AC136" s="708"/>
      <c r="AD136" s="708"/>
      <c r="AE136" s="708"/>
    </row>
    <row r="137">
      <c r="A137" s="727">
        <f>IFERROR(__xludf.DUMMYFUNCTION("""COMPUTED_VALUE"""),121.0)</f>
        <v>121</v>
      </c>
      <c r="B137" s="731" t="str">
        <f>IFERROR(__xludf.DUMMYFUNCTION("""COMPUTED_VALUE"""),"BO_MKT_EMAIL")</f>
        <v>BO_MKT_EMAIL</v>
      </c>
      <c r="C137" s="731" t="str">
        <f>IFERROR(__xludf.DUMMYFUNCTION("""COMPUTED_VALUE"""),"BO_MKT_EMAIL")</f>
        <v>BO_MKT_EMAIL</v>
      </c>
      <c r="D137" s="731" t="str">
        <f>IFERROR(__xludf.DUMMYFUNCTION("""COMPUTED_VALUE"""),"NV Email Marketing")</f>
        <v>NV Email Marketing</v>
      </c>
      <c r="E137" s="731" t="str">
        <f>IFERROR(__xludf.DUMMYFUNCTION("""COMPUTED_VALUE"""),"BO")</f>
        <v>BO</v>
      </c>
      <c r="F137" s="729"/>
      <c r="G137" s="731" t="str">
        <f>IFERROR(__xludf.DUMMYFUNCTION("""COMPUTED_VALUE"""),"BO")</f>
        <v>BO</v>
      </c>
      <c r="H137" s="731" t="str">
        <f>IFERROR(__xludf.DUMMYFUNCTION("""COMPUTED_VALUE"""),"Nhân viên/ Chuyên viên/ Chuyên gia")</f>
        <v>Nhân viên/ Chuyên viên/ Chuyên gia</v>
      </c>
      <c r="I137" s="729"/>
      <c r="J137" s="731" t="str">
        <f>IFERROR(__xludf.DUMMYFUNCTION("""COMPUTED_VALUE"""),"Công ty cổ phần MISA")</f>
        <v>Công ty cổ phần MISA</v>
      </c>
      <c r="K137" s="729"/>
      <c r="L137" s="731" t="str">
        <f>IFERROR(__xludf.DUMMYFUNCTION("""COMPUTED_VALUE"""),"ngừng")</f>
        <v>ngừng</v>
      </c>
      <c r="M137" s="731" t="str">
        <f>IFERROR(__xludf.DUMMYFUNCTION("""COMPUTED_VALUE"""),"ko còn trên CCTC mới")</f>
        <v>ko còn trên CCTC mới</v>
      </c>
      <c r="N137" s="728" t="str">
        <f>IFERROR(__xludf.DUMMYFUNCTION("""COMPUTED_VALUE"""),"ngừng")</f>
        <v>ngừng</v>
      </c>
      <c r="O137" s="708"/>
      <c r="P137" s="708"/>
      <c r="Q137" s="708"/>
      <c r="R137" s="708"/>
      <c r="S137" s="708"/>
      <c r="T137" s="708"/>
      <c r="U137" s="708"/>
      <c r="V137" s="708"/>
      <c r="W137" s="708"/>
      <c r="X137" s="708"/>
      <c r="Y137" s="708"/>
      <c r="Z137" s="708"/>
      <c r="AA137" s="708"/>
      <c r="AB137" s="708"/>
      <c r="AC137" s="708"/>
      <c r="AD137" s="708"/>
      <c r="AE137" s="708"/>
    </row>
    <row r="138">
      <c r="A138" s="727">
        <f>IFERROR(__xludf.DUMMYFUNCTION("""COMPUTED_VALUE"""),122.0)</f>
        <v>122</v>
      </c>
      <c r="B138" s="731" t="str">
        <f>IFERROR(__xludf.DUMMYFUNCTION("""COMPUTED_VALUE"""),"BO_MKT_EVENT")</f>
        <v>BO_MKT_EVENT</v>
      </c>
      <c r="C138" s="731" t="str">
        <f>IFERROR(__xludf.DUMMYFUNCTION("""COMPUTED_VALUE"""),"BO_MKT_EVENT")</f>
        <v>BO_MKT_EVENT</v>
      </c>
      <c r="D138" s="731" t="str">
        <f>IFERROR(__xludf.DUMMYFUNCTION("""COMPUTED_VALUE"""),"NV điều phối sự kiện")</f>
        <v>NV điều phối sự kiện</v>
      </c>
      <c r="E138" s="731" t="str">
        <f>IFERROR(__xludf.DUMMYFUNCTION("""COMPUTED_VALUE"""),"BO")</f>
        <v>BO</v>
      </c>
      <c r="F138" s="729"/>
      <c r="G138" s="731" t="str">
        <f>IFERROR(__xludf.DUMMYFUNCTION("""COMPUTED_VALUE"""),"BO")</f>
        <v>BO</v>
      </c>
      <c r="H138" s="731" t="str">
        <f>IFERROR(__xludf.DUMMYFUNCTION("""COMPUTED_VALUE"""),"Nhân viên/ Chuyên viên/ Chuyên gia")</f>
        <v>Nhân viên/ Chuyên viên/ Chuyên gia</v>
      </c>
      <c r="I138" s="729"/>
      <c r="J138" s="731" t="str">
        <f>IFERROR(__xludf.DUMMYFUNCTION("""COMPUTED_VALUE"""),"Công ty cổ phần MISA")</f>
        <v>Công ty cổ phần MISA</v>
      </c>
      <c r="K138" s="729"/>
      <c r="L138" s="731" t="str">
        <f>IFERROR(__xludf.DUMMYFUNCTION("""COMPUTED_VALUE"""),"ngừng")</f>
        <v>ngừng</v>
      </c>
      <c r="M138" s="729"/>
      <c r="N138" s="728" t="str">
        <f>IFERROR(__xludf.DUMMYFUNCTION("""COMPUTED_VALUE"""),"ngừng")</f>
        <v>ngừng</v>
      </c>
      <c r="O138" s="708"/>
      <c r="P138" s="708"/>
      <c r="Q138" s="708"/>
      <c r="R138" s="708"/>
      <c r="S138" s="708"/>
      <c r="T138" s="708"/>
      <c r="U138" s="708"/>
      <c r="V138" s="708"/>
      <c r="W138" s="708"/>
      <c r="X138" s="708"/>
      <c r="Y138" s="708"/>
      <c r="Z138" s="708"/>
      <c r="AA138" s="708"/>
      <c r="AB138" s="708"/>
      <c r="AC138" s="708"/>
      <c r="AD138" s="708"/>
      <c r="AE138" s="708"/>
    </row>
    <row r="139">
      <c r="A139" s="727">
        <f>IFERROR(__xludf.DUMMYFUNCTION("""COMPUTED_VALUE"""),123.0)</f>
        <v>123</v>
      </c>
      <c r="B139" s="731" t="str">
        <f>IFERROR(__xludf.DUMMYFUNCTION("""COMPUTED_VALUE"""),"BO_MKT_MAT")</f>
        <v>BO_MKT_MAT</v>
      </c>
      <c r="C139" s="731" t="str">
        <f>IFERROR(__xludf.DUMMYFUNCTION("""COMPUTED_VALUE"""),"BO_MKT_MAT")</f>
        <v>BO_MKT_MAT</v>
      </c>
      <c r="D139" s="731" t="str">
        <f>IFERROR(__xludf.DUMMYFUNCTION("""COMPUTED_VALUE"""),"Quản lý Marketing Automation")</f>
        <v>Quản lý Marketing Automation</v>
      </c>
      <c r="E139" s="731" t="str">
        <f>IFERROR(__xludf.DUMMYFUNCTION("""COMPUTED_VALUE"""),"MKT_LEAD")</f>
        <v>MKT_LEAD</v>
      </c>
      <c r="F139" s="731">
        <f>IFERROR(__xludf.DUMMYFUNCTION("""COMPUTED_VALUE"""),1.0)</f>
        <v>1</v>
      </c>
      <c r="G139" s="731" t="str">
        <f>IFERROR(__xludf.DUMMYFUNCTION("""COMPUTED_VALUE"""),"BO")</f>
        <v>BO</v>
      </c>
      <c r="H139" s="731" t="str">
        <f>IFERROR(__xludf.DUMMYFUNCTION("""COMPUTED_VALUE"""),"Trưởng nhóm")</f>
        <v>Trưởng nhóm</v>
      </c>
      <c r="I139" s="729"/>
      <c r="J139" s="731" t="str">
        <f>IFERROR(__xludf.DUMMYFUNCTION("""COMPUTED_VALUE"""),"Công ty cổ phần MISA")</f>
        <v>Công ty cổ phần MISA</v>
      </c>
      <c r="K139" s="729"/>
      <c r="L139" s="731" t="str">
        <f>IFERROR(__xludf.DUMMYFUNCTION("""COMPUTED_VALUE"""),"ngừng")</f>
        <v>ngừng</v>
      </c>
      <c r="M139" s="731" t="str">
        <f>IFERROR(__xludf.DUMMYFUNCTION("""COMPUTED_VALUE"""),"ko còn trên CCTC mới")</f>
        <v>ko còn trên CCTC mới</v>
      </c>
      <c r="N139" s="728" t="str">
        <f>IFERROR(__xludf.DUMMYFUNCTION("""COMPUTED_VALUE"""),"ngừng")</f>
        <v>ngừng</v>
      </c>
      <c r="O139" s="708"/>
      <c r="P139" s="708"/>
      <c r="Q139" s="708"/>
      <c r="R139" s="708"/>
      <c r="S139" s="708"/>
      <c r="T139" s="708"/>
      <c r="U139" s="708"/>
      <c r="V139" s="708"/>
      <c r="W139" s="708"/>
      <c r="X139" s="708"/>
      <c r="Y139" s="708"/>
      <c r="Z139" s="708"/>
      <c r="AA139" s="708"/>
      <c r="AB139" s="708"/>
      <c r="AC139" s="708"/>
      <c r="AD139" s="708"/>
      <c r="AE139" s="708"/>
    </row>
    <row r="140">
      <c r="A140" s="727">
        <f>IFERROR(__xludf.DUMMYFUNCTION("""COMPUTED_VALUE"""),124.0)</f>
        <v>124</v>
      </c>
      <c r="B140" s="736" t="str">
        <f>IFERROR(__xludf.DUMMYFUNCTION("""COMPUTED_VALUE"""),"BO_MKT_MDR")</f>
        <v>BO_MKT_MDR</v>
      </c>
      <c r="C140" s="736" t="str">
        <f>IFERROR(__xludf.DUMMYFUNCTION("""COMPUTED_VALUE"""),"BO_MKT_MDR")</f>
        <v>BO_MKT_MDR</v>
      </c>
      <c r="D140" s="736" t="str">
        <f>IFERROR(__xludf.DUMMYFUNCTION("""COMPUTED_VALUE"""),"NV hỗ trợ bán hàng trực tuyến")</f>
        <v>NV hỗ trợ bán hàng trực tuyến</v>
      </c>
      <c r="E140" s="736" t="str">
        <f>IFERROR(__xludf.DUMMYFUNCTION("""COMPUTED_VALUE"""),"BO")</f>
        <v>BO</v>
      </c>
      <c r="F140" s="735"/>
      <c r="G140" s="736" t="str">
        <f>IFERROR(__xludf.DUMMYFUNCTION("""COMPUTED_VALUE"""),"BO")</f>
        <v>BO</v>
      </c>
      <c r="H140" s="736" t="str">
        <f>IFERROR(__xludf.DUMMYFUNCTION("""COMPUTED_VALUE"""),"Nhân viên/ Chuyên viên/ Chuyên gia")</f>
        <v>Nhân viên/ Chuyên viên/ Chuyên gia</v>
      </c>
      <c r="I140" s="735"/>
      <c r="J140" s="736" t="str">
        <f>IFERROR(__xludf.DUMMYFUNCTION("""COMPUTED_VALUE"""),"Công ty cổ phần MISA")</f>
        <v>Công ty cổ phần MISA</v>
      </c>
      <c r="K140" s="735"/>
      <c r="L140" s="736" t="str">
        <f>IFERROR(__xludf.DUMMYFUNCTION("""COMPUTED_VALUE"""),"Đang theo dõi")</f>
        <v>Đang theo dõi</v>
      </c>
      <c r="M140" s="735"/>
      <c r="N140" s="728" t="str">
        <f>IFERROR(__xludf.DUMMYFUNCTION("""COMPUTED_VALUE"""),"giữ nguyên")</f>
        <v>giữ nguyên</v>
      </c>
      <c r="O140" s="708"/>
      <c r="P140" s="708"/>
      <c r="Q140" s="708"/>
      <c r="R140" s="708"/>
      <c r="S140" s="708"/>
      <c r="T140" s="708"/>
      <c r="U140" s="708"/>
      <c r="V140" s="708"/>
      <c r="W140" s="708"/>
      <c r="X140" s="708"/>
      <c r="Y140" s="708"/>
      <c r="Z140" s="708"/>
      <c r="AA140" s="708"/>
      <c r="AB140" s="708"/>
      <c r="AC140" s="708"/>
      <c r="AD140" s="708"/>
      <c r="AE140" s="708"/>
    </row>
    <row r="141">
      <c r="A141" s="727">
        <f>IFERROR(__xludf.DUMMYFUNCTION("""COMPUTED_VALUE"""),125.0)</f>
        <v>125</v>
      </c>
      <c r="B141" s="736" t="str">
        <f>IFERROR(__xludf.DUMMYFUNCTION("""COMPUTED_VALUE"""),"BO_MKT_MDRL")</f>
        <v>BO_MKT_MDRL</v>
      </c>
      <c r="C141" s="736" t="str">
        <f>IFERROR(__xludf.DUMMYFUNCTION("""COMPUTED_VALUE"""),"BO_MKT_MDRL")</f>
        <v>BO_MKT_MDRL</v>
      </c>
      <c r="D141" s="736" t="str">
        <f>IFERROR(__xludf.DUMMYFUNCTION("""COMPUTED_VALUE"""),"Trưởng nhóm MDR")</f>
        <v>Trưởng nhóm MDR</v>
      </c>
      <c r="E141" s="736" t="str">
        <f>IFERROR(__xludf.DUMMYFUNCTION("""COMPUTED_VALUE"""),"BO_LEAD")</f>
        <v>BO_LEAD</v>
      </c>
      <c r="F141" s="736">
        <f>IFERROR(__xludf.DUMMYFUNCTION("""COMPUTED_VALUE"""),1.0)</f>
        <v>1</v>
      </c>
      <c r="G141" s="736" t="str">
        <f>IFERROR(__xludf.DUMMYFUNCTION("""COMPUTED_VALUE"""),"BO")</f>
        <v>BO</v>
      </c>
      <c r="H141" s="736" t="str">
        <f>IFERROR(__xludf.DUMMYFUNCTION("""COMPUTED_VALUE"""),"Trưởng nhóm")</f>
        <v>Trưởng nhóm</v>
      </c>
      <c r="I141" s="735"/>
      <c r="J141" s="736" t="str">
        <f>IFERROR(__xludf.DUMMYFUNCTION("""COMPUTED_VALUE"""),"Công ty cổ phần MISA")</f>
        <v>Công ty cổ phần MISA</v>
      </c>
      <c r="K141" s="735"/>
      <c r="L141" s="736" t="str">
        <f>IFERROR(__xludf.DUMMYFUNCTION("""COMPUTED_VALUE"""),"Đang theo dõi")</f>
        <v>Đang theo dõi</v>
      </c>
      <c r="M141" s="735"/>
      <c r="N141" s="728" t="str">
        <f>IFERROR(__xludf.DUMMYFUNCTION("""COMPUTED_VALUE"""),"giữ nguyên")</f>
        <v>giữ nguyên</v>
      </c>
      <c r="O141" s="708"/>
      <c r="P141" s="708"/>
      <c r="Q141" s="708"/>
      <c r="R141" s="708"/>
      <c r="S141" s="708"/>
      <c r="T141" s="708"/>
      <c r="U141" s="708"/>
      <c r="V141" s="708"/>
      <c r="W141" s="708"/>
      <c r="X141" s="708"/>
      <c r="Y141" s="708"/>
      <c r="Z141" s="708"/>
      <c r="AA141" s="708"/>
      <c r="AB141" s="708"/>
      <c r="AC141" s="708"/>
      <c r="AD141" s="708"/>
      <c r="AE141" s="708"/>
    </row>
    <row r="142">
      <c r="A142" s="727">
        <f>IFERROR(__xludf.DUMMYFUNCTION("""COMPUTED_VALUE"""),109.0)</f>
        <v>109</v>
      </c>
      <c r="B142" s="733"/>
      <c r="C142" s="734" t="str">
        <f>IFERROR(__xludf.DUMMYFUNCTION("""COMPUTED_VALUE"""),"BO_MIBI_PSOC")</f>
        <v>BO_MIBI_PSOC</v>
      </c>
      <c r="D142" s="734" t="str">
        <f>IFERROR(__xludf.DUMMYFUNCTION("""COMPUTED_VALUE"""),"Pricipal Social")</f>
        <v>Pricipal Social</v>
      </c>
      <c r="E142" s="734" t="str">
        <f>IFERROR(__xludf.DUMMYFUNCTION("""COMPUTED_VALUE"""),"MKT")</f>
        <v>MKT</v>
      </c>
      <c r="F142" s="733"/>
      <c r="G142" s="734" t="str">
        <f>IFERROR(__xludf.DUMMYFUNCTION("""COMPUTED_VALUE"""),"BO")</f>
        <v>BO</v>
      </c>
      <c r="H142" s="728" t="str">
        <f>IFERROR(__xludf.DUMMYFUNCTION("""COMPUTED_VALUE"""),"Nhân viên/ Chuyên viên/ Chuyên gia")</f>
        <v>Nhân viên/ Chuyên viên/ Chuyên gia</v>
      </c>
      <c r="I142" s="734" t="str">
        <f>IFERROR(__xludf.DUMMYFUNCTION("""COMPUTED_VALUE"""),"L00")</f>
        <v>L00</v>
      </c>
      <c r="J142" s="734" t="str">
        <f>IFERROR(__xludf.DUMMYFUNCTION("""COMPUTED_VALUE"""),"Công ty cổ phần MISA")</f>
        <v>Công ty cổ phần MISA</v>
      </c>
      <c r="K142" s="733"/>
      <c r="L142" s="734" t="str">
        <f>IFERROR(__xludf.DUMMYFUNCTION("""COMPUTED_VALUE"""),"mới")</f>
        <v>mới</v>
      </c>
      <c r="M142" s="733"/>
      <c r="N142" s="728" t="str">
        <f>IFERROR(__xludf.DUMMYFUNCTION("""COMPUTED_VALUE"""),"thêm mới")</f>
        <v>thêm mới</v>
      </c>
      <c r="O142" s="708"/>
      <c r="P142" s="708"/>
      <c r="Q142" s="708"/>
      <c r="R142" s="708"/>
      <c r="S142" s="708"/>
      <c r="T142" s="708"/>
      <c r="U142" s="708"/>
      <c r="V142" s="708"/>
      <c r="W142" s="708"/>
      <c r="X142" s="708"/>
      <c r="Y142" s="708"/>
      <c r="Z142" s="708"/>
      <c r="AA142" s="708"/>
      <c r="AB142" s="737"/>
      <c r="AC142" s="737"/>
      <c r="AD142" s="737"/>
      <c r="AE142" s="737"/>
    </row>
    <row r="143">
      <c r="A143" s="727">
        <f>IFERROR(__xludf.DUMMYFUNCTION("""COMPUTED_VALUE"""),126.0)</f>
        <v>126</v>
      </c>
      <c r="B143" s="733"/>
      <c r="C143" s="734" t="str">
        <f>IFERROR(__xludf.DUMMYFUNCTION("""COMPUTED_VALUE"""),"BO_MKT_PAE")</f>
        <v>BO_MKT_PAE</v>
      </c>
      <c r="D143" s="734" t="str">
        <f>IFERROR(__xludf.DUMMYFUNCTION("""COMPUTED_VALUE"""),"NV Partnership &amp; Event")</f>
        <v>NV Partnership &amp; Event</v>
      </c>
      <c r="E143" s="734" t="str">
        <f>IFERROR(__xludf.DUMMYFUNCTION("""COMPUTED_VALUE"""),"BO")</f>
        <v>BO</v>
      </c>
      <c r="F143" s="733"/>
      <c r="G143" s="734" t="str">
        <f>IFERROR(__xludf.DUMMYFUNCTION("""COMPUTED_VALUE"""),"BO")</f>
        <v>BO</v>
      </c>
      <c r="H143" s="734" t="str">
        <f>IFERROR(__xludf.DUMMYFUNCTION("""COMPUTED_VALUE"""),"Nhân viên/ Chuyên viên/ Chuyên gia")</f>
        <v>Nhân viên/ Chuyên viên/ Chuyên gia</v>
      </c>
      <c r="I143" s="734" t="str">
        <f>IFERROR(__xludf.DUMMYFUNCTION("""COMPUTED_VALUE"""),"L00")</f>
        <v>L00</v>
      </c>
      <c r="J143" s="734" t="str">
        <f>IFERROR(__xludf.DUMMYFUNCTION("""COMPUTED_VALUE"""),"Công ty cổ phần MISA")</f>
        <v>Công ty cổ phần MISA</v>
      </c>
      <c r="K143" s="733"/>
      <c r="L143" s="734" t="str">
        <f>IFERROR(__xludf.DUMMYFUNCTION("""COMPUTED_VALUE"""),"mới")</f>
        <v>mới</v>
      </c>
      <c r="M143" s="733"/>
      <c r="N143" s="728" t="str">
        <f>IFERROR(__xludf.DUMMYFUNCTION("""COMPUTED_VALUE"""),"thêm mới")</f>
        <v>thêm mới</v>
      </c>
      <c r="O143" s="708"/>
      <c r="P143" s="708"/>
      <c r="Q143" s="708"/>
      <c r="R143" s="708"/>
      <c r="S143" s="708"/>
      <c r="T143" s="708"/>
      <c r="U143" s="708"/>
      <c r="V143" s="708"/>
      <c r="W143" s="708"/>
      <c r="X143" s="708"/>
      <c r="Y143" s="708"/>
      <c r="Z143" s="708"/>
      <c r="AA143" s="708"/>
      <c r="AB143" s="732"/>
      <c r="AC143" s="732"/>
      <c r="AD143" s="732"/>
      <c r="AE143" s="732"/>
    </row>
    <row r="144">
      <c r="A144" s="727">
        <f>IFERROR(__xludf.DUMMYFUNCTION("""COMPUTED_VALUE"""),127.0)</f>
        <v>127</v>
      </c>
      <c r="B144" s="736" t="str">
        <f>IFERROR(__xludf.DUMMYFUNCTION("""COMPUTED_VALUE"""),"BO_MKT_PMM")</f>
        <v>BO_MKT_PMM</v>
      </c>
      <c r="C144" s="736" t="str">
        <f>IFERROR(__xludf.DUMMYFUNCTION("""COMPUTED_VALUE"""),"BO_MKT_PMM")</f>
        <v>BO_MKT_PMM</v>
      </c>
      <c r="D144" s="736" t="str">
        <f>IFERROR(__xludf.DUMMYFUNCTION("""COMPUTED_VALUE"""),"Quản lý Marketing Sản phẩm")</f>
        <v>Quản lý Marketing Sản phẩm</v>
      </c>
      <c r="E144" s="736" t="str">
        <f>IFERROR(__xludf.DUMMYFUNCTION("""COMPUTED_VALUE"""),"BO_LEAD")</f>
        <v>BO_LEAD</v>
      </c>
      <c r="F144" s="736">
        <f>IFERROR(__xludf.DUMMYFUNCTION("""COMPUTED_VALUE"""),1.0)</f>
        <v>1</v>
      </c>
      <c r="G144" s="736" t="str">
        <f>IFERROR(__xludf.DUMMYFUNCTION("""COMPUTED_VALUE"""),"BO")</f>
        <v>BO</v>
      </c>
      <c r="H144" s="736" t="str">
        <f>IFERROR(__xludf.DUMMYFUNCTION("""COMPUTED_VALUE"""),"Trưởng nhóm")</f>
        <v>Trưởng nhóm</v>
      </c>
      <c r="I144" s="735"/>
      <c r="J144" s="736" t="str">
        <f>IFERROR(__xludf.DUMMYFUNCTION("""COMPUTED_VALUE"""),"Công ty cổ phần MISA")</f>
        <v>Công ty cổ phần MISA</v>
      </c>
      <c r="K144" s="735"/>
      <c r="L144" s="736" t="str">
        <f>IFERROR(__xludf.DUMMYFUNCTION("""COMPUTED_VALUE"""),"Đang theo dõi")</f>
        <v>Đang theo dõi</v>
      </c>
      <c r="M144" s="735"/>
      <c r="N144" s="728" t="str">
        <f>IFERROR(__xludf.DUMMYFUNCTION("""COMPUTED_VALUE"""),"giữ nguyên")</f>
        <v>giữ nguyên</v>
      </c>
      <c r="O144" s="737"/>
      <c r="P144" s="737"/>
      <c r="Q144" s="737"/>
      <c r="R144" s="737"/>
      <c r="S144" s="737"/>
      <c r="T144" s="737"/>
      <c r="U144" s="737"/>
      <c r="V144" s="737"/>
      <c r="W144" s="737"/>
      <c r="X144" s="737"/>
      <c r="Y144" s="737"/>
      <c r="Z144" s="737"/>
      <c r="AA144" s="737"/>
      <c r="AB144" s="708"/>
      <c r="AC144" s="708"/>
      <c r="AD144" s="708"/>
      <c r="AE144" s="708"/>
    </row>
    <row r="145">
      <c r="A145" s="727">
        <f>IFERROR(__xludf.DUMMYFUNCTION("""COMPUTED_VALUE"""),128.0)</f>
        <v>128</v>
      </c>
      <c r="B145" s="728" t="str">
        <f>IFERROR(__xludf.DUMMYFUNCTION("""COMPUTED_VALUE"""),"BO_MKT_SEOL")</f>
        <v>BO_MKT_SEOL</v>
      </c>
      <c r="C145" s="728" t="str">
        <f>IFERROR(__xludf.DUMMYFUNCTION("""COMPUTED_VALUE"""),"BO_MKT_SEOL")</f>
        <v>BO_MKT_SEOL</v>
      </c>
      <c r="D145" s="728" t="str">
        <f>IFERROR(__xludf.DUMMYFUNCTION("""COMPUTED_VALUE"""),"Trưởng nhóm SEO")</f>
        <v>Trưởng nhóm SEO</v>
      </c>
      <c r="E145" s="728" t="str">
        <f>IFERROR(__xludf.DUMMYFUNCTION("""COMPUTED_VALUE"""),"BO_LEAD")</f>
        <v>BO_LEAD</v>
      </c>
      <c r="F145" s="728">
        <f>IFERROR(__xludf.DUMMYFUNCTION("""COMPUTED_VALUE"""),1.0)</f>
        <v>1</v>
      </c>
      <c r="G145" s="728" t="str">
        <f>IFERROR(__xludf.DUMMYFUNCTION("""COMPUTED_VALUE"""),"BO")</f>
        <v>BO</v>
      </c>
      <c r="H145" s="728" t="str">
        <f>IFERROR(__xludf.DUMMYFUNCTION("""COMPUTED_VALUE"""),"Trưởng nhóm")</f>
        <v>Trưởng nhóm</v>
      </c>
      <c r="I145" s="728" t="str">
        <f>IFERROR(__xludf.DUMMYFUNCTION("""COMPUTED_VALUE"""),"L00")</f>
        <v>L00</v>
      </c>
      <c r="J145" s="728" t="str">
        <f>IFERROR(__xludf.DUMMYFUNCTION("""COMPUTED_VALUE"""),"Công ty cổ phần MISA")</f>
        <v>Công ty cổ phần MISA</v>
      </c>
      <c r="K145" s="729"/>
      <c r="L145" s="728" t="str">
        <f>IFERROR(__xludf.DUMMYFUNCTION("""COMPUTED_VALUE"""),"ngừng")</f>
        <v>ngừng</v>
      </c>
      <c r="M145" s="729"/>
      <c r="N145" s="728" t="str">
        <f>IFERROR(__xludf.DUMMYFUNCTION("""COMPUTED_VALUE"""),"giữ nguyên")</f>
        <v>giữ nguyên</v>
      </c>
      <c r="O145" s="732"/>
      <c r="P145" s="732"/>
      <c r="Q145" s="732"/>
      <c r="R145" s="732"/>
      <c r="S145" s="732"/>
      <c r="T145" s="732"/>
      <c r="U145" s="732"/>
      <c r="V145" s="732"/>
      <c r="W145" s="732"/>
      <c r="X145" s="732"/>
      <c r="Y145" s="732"/>
      <c r="Z145" s="732"/>
      <c r="AA145" s="732"/>
      <c r="AB145" s="708"/>
      <c r="AC145" s="708"/>
      <c r="AD145" s="708"/>
      <c r="AE145" s="708"/>
    </row>
    <row r="146">
      <c r="A146" s="727">
        <f>IFERROR(__xludf.DUMMYFUNCTION("""COMPUTED_VALUE"""),129.0)</f>
        <v>129</v>
      </c>
      <c r="B146" s="728" t="str">
        <f>IFERROR(__xludf.DUMMYFUNCTION("""COMPUTED_VALUE"""),"BO_MKT_SOC_INTERN")</f>
        <v>BO_MKT_SOC_INTERN</v>
      </c>
      <c r="C146" s="728" t="str">
        <f>IFERROR(__xludf.DUMMYFUNCTION("""COMPUTED_VALUE"""),"BO_MKT_SOC_INTERN")</f>
        <v>BO_MKT_SOC_INTERN</v>
      </c>
      <c r="D146" s="728" t="str">
        <f>IFERROR(__xludf.DUMMYFUNCTION("""COMPUTED_VALUE"""),"TTS Social MKT")</f>
        <v>TTS Social MKT</v>
      </c>
      <c r="E146" s="728" t="str">
        <f>IFERROR(__xludf.DUMMYFUNCTION("""COMPUTED_VALUE"""),"BO_TTS")</f>
        <v>BO_TTS</v>
      </c>
      <c r="F146" s="729"/>
      <c r="G146" s="728" t="str">
        <f>IFERROR(__xludf.DUMMYFUNCTION("""COMPUTED_VALUE"""),"BO")</f>
        <v>BO</v>
      </c>
      <c r="H146" s="728" t="str">
        <f>IFERROR(__xludf.DUMMYFUNCTION("""COMPUTED_VALUE"""),"Thực tập")</f>
        <v>Thực tập</v>
      </c>
      <c r="I146" s="728" t="str">
        <f>IFERROR(__xludf.DUMMYFUNCTION("""COMPUTED_VALUE"""),"L00")</f>
        <v>L00</v>
      </c>
      <c r="J146" s="728" t="str">
        <f>IFERROR(__xludf.DUMMYFUNCTION("""COMPUTED_VALUE"""),"Công ty cổ phần MISA")</f>
        <v>Công ty cổ phần MISA</v>
      </c>
      <c r="K146" s="729"/>
      <c r="L146" s="728" t="str">
        <f>IFERROR(__xludf.DUMMYFUNCTION("""COMPUTED_VALUE"""),"Đang theo dõi")</f>
        <v>Đang theo dõi</v>
      </c>
      <c r="M146" s="729"/>
      <c r="N146" s="728" t="str">
        <f>IFERROR(__xludf.DUMMYFUNCTION("""COMPUTED_VALUE"""),"giữ nguyên")</f>
        <v>giữ nguyên</v>
      </c>
      <c r="O146" s="708"/>
      <c r="P146" s="708"/>
      <c r="Q146" s="708"/>
      <c r="R146" s="708"/>
      <c r="S146" s="708"/>
      <c r="T146" s="708"/>
      <c r="U146" s="708"/>
      <c r="V146" s="708"/>
      <c r="W146" s="708"/>
      <c r="X146" s="708"/>
      <c r="Y146" s="708"/>
      <c r="Z146" s="708"/>
      <c r="AA146" s="708"/>
      <c r="AB146" s="708"/>
      <c r="AC146" s="708"/>
      <c r="AD146" s="708"/>
      <c r="AE146" s="708"/>
    </row>
    <row r="147">
      <c r="A147" s="727">
        <f>IFERROR(__xludf.DUMMYFUNCTION("""COMPUTED_VALUE"""),130.0)</f>
        <v>130</v>
      </c>
      <c r="B147" s="728" t="str">
        <f>IFERROR(__xludf.DUMMYFUNCTION("""COMPUTED_VALUE"""),"BO_MKT_SWE_INTERN")</f>
        <v>BO_MKT_SWE_INTERN</v>
      </c>
      <c r="C147" s="728" t="str">
        <f>IFERROR(__xludf.DUMMYFUNCTION("""COMPUTED_VALUE"""),"BO_MKT_SWE_INTERN")</f>
        <v>BO_MKT_SWE_INTERN</v>
      </c>
      <c r="D147" s="728" t="str">
        <f>IFERROR(__xludf.DUMMYFUNCTION("""COMPUTED_VALUE"""),"TTS Web Dev")</f>
        <v>TTS Web Dev</v>
      </c>
      <c r="E147" s="728" t="str">
        <f>IFERROR(__xludf.DUMMYFUNCTION("""COMPUTED_VALUE"""),"BO_TTS")</f>
        <v>BO_TTS</v>
      </c>
      <c r="F147" s="729"/>
      <c r="G147" s="728" t="str">
        <f>IFERROR(__xludf.DUMMYFUNCTION("""COMPUTED_VALUE"""),"BO")</f>
        <v>BO</v>
      </c>
      <c r="H147" s="728" t="str">
        <f>IFERROR(__xludf.DUMMYFUNCTION("""COMPUTED_VALUE"""),"Thực tập")</f>
        <v>Thực tập</v>
      </c>
      <c r="I147" s="728" t="str">
        <f>IFERROR(__xludf.DUMMYFUNCTION("""COMPUTED_VALUE"""),"L00")</f>
        <v>L00</v>
      </c>
      <c r="J147" s="728" t="str">
        <f>IFERROR(__xludf.DUMMYFUNCTION("""COMPUTED_VALUE"""),"Công ty cổ phần MISA")</f>
        <v>Công ty cổ phần MISA</v>
      </c>
      <c r="K147" s="729"/>
      <c r="L147" s="728" t="str">
        <f>IFERROR(__xludf.DUMMYFUNCTION("""COMPUTED_VALUE"""),"ngừng")</f>
        <v>ngừng</v>
      </c>
      <c r="M147" s="729"/>
      <c r="N147" s="728" t="str">
        <f>IFERROR(__xludf.DUMMYFUNCTION("""COMPUTED_VALUE"""),"giữ nguyên")</f>
        <v>giữ nguyên</v>
      </c>
      <c r="O147" s="708"/>
      <c r="P147" s="708"/>
      <c r="Q147" s="708"/>
      <c r="R147" s="708"/>
      <c r="S147" s="708"/>
      <c r="T147" s="708"/>
      <c r="U147" s="708"/>
      <c r="V147" s="708"/>
      <c r="W147" s="708"/>
      <c r="X147" s="708"/>
      <c r="Y147" s="708"/>
      <c r="Z147" s="708"/>
      <c r="AA147" s="708"/>
      <c r="AB147" s="708"/>
      <c r="AC147" s="708"/>
      <c r="AD147" s="708"/>
      <c r="AE147" s="708"/>
    </row>
    <row r="148">
      <c r="A148" s="727">
        <f>IFERROR(__xludf.DUMMYFUNCTION("""COMPUTED_VALUE"""),131.0)</f>
        <v>131</v>
      </c>
      <c r="B148" s="728" t="str">
        <f>IFERROR(__xludf.DUMMYFUNCTION("""COMPUTED_VALUE"""),"BO_MKT_VMO")</f>
        <v>BO_MKT_VMO</v>
      </c>
      <c r="C148" s="728" t="str">
        <f>IFERROR(__xludf.DUMMYFUNCTION("""COMPUTED_VALUE"""),"BO_MKT_VMO")</f>
        <v>BO_MKT_VMO</v>
      </c>
      <c r="D148" s="728" t="str">
        <f>IFERROR(__xludf.DUMMYFUNCTION("""COMPUTED_VALUE"""),"Phó giám đốc Trung tâm KD Online")</f>
        <v>Phó giám đốc Trung tâm KD Online</v>
      </c>
      <c r="E148" s="728" t="str">
        <f>IFERROR(__xludf.DUMMYFUNCTION("""COMPUTED_VALUE"""),"BO_COD")</f>
        <v>BO_COD</v>
      </c>
      <c r="F148" s="728">
        <f>IFERROR(__xludf.DUMMYFUNCTION("""COMPUTED_VALUE"""),2.0)</f>
        <v>2</v>
      </c>
      <c r="G148" s="728" t="str">
        <f>IFERROR(__xludf.DUMMYFUNCTION("""COMPUTED_VALUE"""),"BO")</f>
        <v>BO</v>
      </c>
      <c r="H148" s="728" t="str">
        <f>IFERROR(__xludf.DUMMYFUNCTION("""COMPUTED_VALUE"""),"TPP/ Trưởng ban")</f>
        <v>TPP/ Trưởng ban</v>
      </c>
      <c r="I148" s="728" t="str">
        <f>IFERROR(__xludf.DUMMYFUNCTION("""COMPUTED_VALUE"""),"L00")</f>
        <v>L00</v>
      </c>
      <c r="J148" s="728" t="str">
        <f>IFERROR(__xludf.DUMMYFUNCTION("""COMPUTED_VALUE"""),"Công ty cổ phần MISA")</f>
        <v>Công ty cổ phần MISA</v>
      </c>
      <c r="K148" s="729"/>
      <c r="L148" s="728" t="str">
        <f>IFERROR(__xludf.DUMMYFUNCTION("""COMPUTED_VALUE"""),"ngừng")</f>
        <v>ngừng</v>
      </c>
      <c r="M148" s="729"/>
      <c r="N148" s="728" t="str">
        <f>IFERROR(__xludf.DUMMYFUNCTION("""COMPUTED_VALUE"""),"giữ nguyên")</f>
        <v>giữ nguyên</v>
      </c>
      <c r="O148" s="708"/>
      <c r="P148" s="708"/>
      <c r="Q148" s="708"/>
      <c r="R148" s="708"/>
      <c r="S148" s="708"/>
      <c r="T148" s="708"/>
      <c r="U148" s="708"/>
      <c r="V148" s="708"/>
      <c r="W148" s="708"/>
      <c r="X148" s="708"/>
      <c r="Y148" s="708"/>
      <c r="Z148" s="708"/>
      <c r="AA148" s="708"/>
      <c r="AB148" s="708"/>
      <c r="AC148" s="708"/>
      <c r="AD148" s="708"/>
      <c r="AE148" s="708"/>
    </row>
    <row r="149">
      <c r="A149" s="727">
        <f>IFERROR(__xludf.DUMMYFUNCTION("""COMPUTED_VALUE"""),132.0)</f>
        <v>132</v>
      </c>
      <c r="B149" s="728" t="str">
        <f>IFERROR(__xludf.DUMMYFUNCTION("""COMPUTED_VALUE"""),"BO_MKT_VMO1")</f>
        <v>BO_MKT_VMO1</v>
      </c>
      <c r="C149" s="728" t="str">
        <f>IFERROR(__xludf.DUMMYFUNCTION("""COMPUTED_VALUE"""),"BO_MKT_VMO1")</f>
        <v>BO_MKT_VMO1</v>
      </c>
      <c r="D149" s="728" t="str">
        <f>IFERROR(__xludf.DUMMYFUNCTION("""COMPUTED_VALUE"""),"Phó giám đốc Trung tâm KD Online (phụ trách chuyên môn)")</f>
        <v>Phó giám đốc Trung tâm KD Online (phụ trách chuyên môn)</v>
      </c>
      <c r="E149" s="728" t="str">
        <f>IFERROR(__xludf.DUMMYFUNCTION("""COMPUTED_VALUE"""),"BO_COD")</f>
        <v>BO_COD</v>
      </c>
      <c r="F149" s="728">
        <f>IFERROR(__xludf.DUMMYFUNCTION("""COMPUTED_VALUE"""),3.0)</f>
        <v>3</v>
      </c>
      <c r="G149" s="728" t="str">
        <f>IFERROR(__xludf.DUMMYFUNCTION("""COMPUTED_VALUE"""),"BO")</f>
        <v>BO</v>
      </c>
      <c r="H149" s="728" t="str">
        <f>IFERROR(__xludf.DUMMYFUNCTION("""COMPUTED_VALUE"""),"Ban GĐTTKD/ BGĐ khối DA")</f>
        <v>Ban GĐTTKD/ BGĐ khối DA</v>
      </c>
      <c r="I149" s="728" t="str">
        <f>IFERROR(__xludf.DUMMYFUNCTION("""COMPUTED_VALUE"""),"L00")</f>
        <v>L00</v>
      </c>
      <c r="J149" s="728" t="str">
        <f>IFERROR(__xludf.DUMMYFUNCTION("""COMPUTED_VALUE"""),"Công ty cổ phần MISA")</f>
        <v>Công ty cổ phần MISA</v>
      </c>
      <c r="K149" s="729"/>
      <c r="L149" s="728" t="str">
        <f>IFERROR(__xludf.DUMMYFUNCTION("""COMPUTED_VALUE"""),"ngừng")</f>
        <v>ngừng</v>
      </c>
      <c r="M149" s="729"/>
      <c r="N149" s="728" t="str">
        <f>IFERROR(__xludf.DUMMYFUNCTION("""COMPUTED_VALUE"""),"giữ nguyên")</f>
        <v>giữ nguyên</v>
      </c>
      <c r="O149" s="708"/>
      <c r="P149" s="708"/>
      <c r="Q149" s="708"/>
      <c r="R149" s="708"/>
      <c r="S149" s="708"/>
      <c r="T149" s="708"/>
      <c r="U149" s="708"/>
      <c r="V149" s="708"/>
      <c r="W149" s="708"/>
      <c r="X149" s="708"/>
      <c r="Y149" s="708"/>
      <c r="Z149" s="708"/>
      <c r="AA149" s="708"/>
      <c r="AB149" s="708"/>
      <c r="AC149" s="708"/>
      <c r="AD149" s="708"/>
      <c r="AE149" s="708"/>
    </row>
    <row r="150">
      <c r="A150" s="727">
        <f>IFERROR(__xludf.DUMMYFUNCTION("""COMPUTED_VALUE"""),133.0)</f>
        <v>133</v>
      </c>
      <c r="B150" s="728" t="str">
        <f>IFERROR(__xludf.DUMMYFUNCTION("""COMPUTED_VALUE"""),"BO_MKT_WDEV")</f>
        <v>BO_MKT_WDEV</v>
      </c>
      <c r="C150" s="728" t="str">
        <f>IFERROR(__xludf.DUMMYFUNCTION("""COMPUTED_VALUE"""),"BO_MKT_WDEV")</f>
        <v>BO_MKT_WDEV</v>
      </c>
      <c r="D150" s="728" t="str">
        <f>IFERROR(__xludf.DUMMYFUNCTION("""COMPUTED_VALUE"""),"Web dev")</f>
        <v>Web dev</v>
      </c>
      <c r="E150" s="728" t="str">
        <f>IFERROR(__xludf.DUMMYFUNCTION("""COMPUTED_VALUE"""),"BO")</f>
        <v>BO</v>
      </c>
      <c r="F150" s="729"/>
      <c r="G150" s="728" t="str">
        <f>IFERROR(__xludf.DUMMYFUNCTION("""COMPUTED_VALUE"""),"BO")</f>
        <v>BO</v>
      </c>
      <c r="H150" s="728" t="str">
        <f>IFERROR(__xludf.DUMMYFUNCTION("""COMPUTED_VALUE"""),"Nhân viên/ Chuyên viên/ Chuyên gia")</f>
        <v>Nhân viên/ Chuyên viên/ Chuyên gia</v>
      </c>
      <c r="I150" s="728" t="str">
        <f>IFERROR(__xludf.DUMMYFUNCTION("""COMPUTED_VALUE"""),"L00")</f>
        <v>L00</v>
      </c>
      <c r="J150" s="728" t="str">
        <f>IFERROR(__xludf.DUMMYFUNCTION("""COMPUTED_VALUE"""),"Công ty cổ phần MISA")</f>
        <v>Công ty cổ phần MISA</v>
      </c>
      <c r="K150" s="729"/>
      <c r="L150" s="728" t="str">
        <f>IFERROR(__xludf.DUMMYFUNCTION("""COMPUTED_VALUE"""),"ngừng")</f>
        <v>ngừng</v>
      </c>
      <c r="M150" s="729"/>
      <c r="N150" s="728" t="str">
        <f>IFERROR(__xludf.DUMMYFUNCTION("""COMPUTED_VALUE"""),"giữ nguyên")</f>
        <v>giữ nguyên</v>
      </c>
      <c r="O150" s="708"/>
      <c r="P150" s="708"/>
      <c r="Q150" s="708"/>
      <c r="R150" s="708"/>
      <c r="S150" s="708"/>
      <c r="T150" s="708"/>
      <c r="U150" s="708"/>
      <c r="V150" s="708"/>
      <c r="W150" s="708"/>
      <c r="X150" s="708"/>
      <c r="Y150" s="708"/>
      <c r="Z150" s="708"/>
      <c r="AA150" s="708"/>
      <c r="AB150" s="708"/>
      <c r="AC150" s="708"/>
      <c r="AD150" s="708"/>
      <c r="AE150" s="708"/>
    </row>
    <row r="151">
      <c r="A151" s="727">
        <f>IFERROR(__xludf.DUMMYFUNCTION("""COMPUTED_VALUE"""),134.0)</f>
        <v>134</v>
      </c>
      <c r="B151" s="728" t="str">
        <f>IFERROR(__xludf.DUMMYFUNCTION("""COMPUTED_VALUE"""),"BO_MM_AVP")</f>
        <v>BO_MM_AVP</v>
      </c>
      <c r="C151" s="728" t="str">
        <f>IFERROR(__xludf.DUMMYFUNCTION("""COMPUTED_VALUE"""),"BO_MM_AVP")</f>
        <v>BO_MM_AVP</v>
      </c>
      <c r="D151" s="728" t="str">
        <f>IFERROR(__xludf.DUMMYFUNCTION("""COMPUTED_VALUE"""),"Trợ lý kinh doanh")</f>
        <v>Trợ lý kinh doanh</v>
      </c>
      <c r="E151" s="728" t="str">
        <f>IFERROR(__xludf.DUMMYFUNCTION("""COMPUTED_VALUE"""),"BO")</f>
        <v>BO</v>
      </c>
      <c r="F151" s="729"/>
      <c r="G151" s="728" t="str">
        <f>IFERROR(__xludf.DUMMYFUNCTION("""COMPUTED_VALUE"""),"BO")</f>
        <v>BO</v>
      </c>
      <c r="H151" s="728" t="str">
        <f>IFERROR(__xludf.DUMMYFUNCTION("""COMPUTED_VALUE"""),"Nhân viên/ Chuyên viên/ Chuyên gia")</f>
        <v>Nhân viên/ Chuyên viên/ Chuyên gia</v>
      </c>
      <c r="I151" s="728" t="str">
        <f>IFERROR(__xludf.DUMMYFUNCTION("""COMPUTED_VALUE"""),"L00")</f>
        <v>L00</v>
      </c>
      <c r="J151" s="728" t="str">
        <f>IFERROR(__xludf.DUMMYFUNCTION("""COMPUTED_VALUE"""),"Công ty cổ phần MISA")</f>
        <v>Công ty cổ phần MISA</v>
      </c>
      <c r="K151" s="729"/>
      <c r="L151" s="728" t="str">
        <f>IFERROR(__xludf.DUMMYFUNCTION("""COMPUTED_VALUE"""),"Đang theo dõi")</f>
        <v>Đang theo dõi</v>
      </c>
      <c r="M151" s="729"/>
      <c r="N151" s="728" t="str">
        <f>IFERROR(__xludf.DUMMYFUNCTION("""COMPUTED_VALUE"""),"giữ nguyên")</f>
        <v>giữ nguyên</v>
      </c>
      <c r="O151" s="708"/>
      <c r="P151" s="708"/>
      <c r="Q151" s="708"/>
      <c r="R151" s="708"/>
      <c r="S151" s="708"/>
      <c r="T151" s="708"/>
      <c r="U151" s="708"/>
      <c r="V151" s="708"/>
      <c r="W151" s="708"/>
      <c r="X151" s="708"/>
      <c r="Y151" s="708"/>
      <c r="Z151" s="708"/>
      <c r="AA151" s="708"/>
      <c r="AB151" s="708"/>
      <c r="AC151" s="708"/>
      <c r="AD151" s="708"/>
      <c r="AE151" s="708"/>
    </row>
    <row r="152">
      <c r="A152" s="727">
        <f>IFERROR(__xludf.DUMMYFUNCTION("""COMPUTED_VALUE"""),135.0)</f>
        <v>135</v>
      </c>
      <c r="B152" s="728" t="str">
        <f>IFERROR(__xludf.DUMMYFUNCTION("""COMPUTED_VALUE"""),"BO_MM_MRA")</f>
        <v>BO_MM_MRA</v>
      </c>
      <c r="C152" s="728" t="str">
        <f>IFERROR(__xludf.DUMMYFUNCTION("""COMPUTED_VALUE"""),"BO_MM_MRA")</f>
        <v>BO_MM_MRA</v>
      </c>
      <c r="D152" s="728" t="str">
        <f>IFERROR(__xludf.DUMMYFUNCTION("""COMPUTED_VALUE"""),"Chuyên viên nghiên cứu thị trường")</f>
        <v>Chuyên viên nghiên cứu thị trường</v>
      </c>
      <c r="E152" s="728" t="str">
        <f>IFERROR(__xludf.DUMMYFUNCTION("""COMPUTED_VALUE"""),"BO")</f>
        <v>BO</v>
      </c>
      <c r="F152" s="729"/>
      <c r="G152" s="728" t="str">
        <f>IFERROR(__xludf.DUMMYFUNCTION("""COMPUTED_VALUE"""),"BO")</f>
        <v>BO</v>
      </c>
      <c r="H152" s="728" t="str">
        <f>IFERROR(__xludf.DUMMYFUNCTION("""COMPUTED_VALUE"""),"Nhân viên/ Chuyên viên/ Chuyên gia")</f>
        <v>Nhân viên/ Chuyên viên/ Chuyên gia</v>
      </c>
      <c r="I152" s="728" t="str">
        <f>IFERROR(__xludf.DUMMYFUNCTION("""COMPUTED_VALUE"""),"L00")</f>
        <v>L00</v>
      </c>
      <c r="J152" s="728" t="str">
        <f>IFERROR(__xludf.DUMMYFUNCTION("""COMPUTED_VALUE"""),"Công ty cổ phần MISA")</f>
        <v>Công ty cổ phần MISA</v>
      </c>
      <c r="K152" s="729"/>
      <c r="L152" s="728" t="str">
        <f>IFERROR(__xludf.DUMMYFUNCTION("""COMPUTED_VALUE"""),"Đang theo dõi")</f>
        <v>Đang theo dõi</v>
      </c>
      <c r="M152" s="729"/>
      <c r="N152" s="728" t="str">
        <f>IFERROR(__xludf.DUMMYFUNCTION("""COMPUTED_VALUE"""),"giữ nguyên")</f>
        <v>giữ nguyên</v>
      </c>
      <c r="O152" s="708"/>
      <c r="P152" s="708"/>
      <c r="Q152" s="708"/>
      <c r="R152" s="708"/>
      <c r="S152" s="708"/>
      <c r="T152" s="708"/>
      <c r="U152" s="708"/>
      <c r="V152" s="708"/>
      <c r="W152" s="708"/>
      <c r="X152" s="708"/>
      <c r="Y152" s="708"/>
      <c r="Z152" s="708"/>
      <c r="AA152" s="708"/>
      <c r="AB152" s="708"/>
      <c r="AC152" s="708"/>
      <c r="AD152" s="708"/>
      <c r="AE152" s="708"/>
    </row>
    <row r="153">
      <c r="A153" s="727">
        <f>IFERROR(__xludf.DUMMYFUNCTION("""COMPUTED_VALUE"""),136.0)</f>
        <v>136</v>
      </c>
      <c r="B153" s="728" t="str">
        <f>IFERROR(__xludf.DUMMYFUNCTION("""COMPUTED_VALUE"""),"BO_PR")</f>
        <v>BO_PR</v>
      </c>
      <c r="C153" s="728" t="str">
        <f>IFERROR(__xludf.DUMMYFUNCTION("""COMPUTED_VALUE"""),"BO_PR")</f>
        <v>BO_PR</v>
      </c>
      <c r="D153" s="728" t="str">
        <f>IFERROR(__xludf.DUMMYFUNCTION("""COMPUTED_VALUE"""),"NV PR")</f>
        <v>NV PR</v>
      </c>
      <c r="E153" s="728" t="str">
        <f>IFERROR(__xludf.DUMMYFUNCTION("""COMPUTED_VALUE"""),"BO")</f>
        <v>BO</v>
      </c>
      <c r="F153" s="729"/>
      <c r="G153" s="728" t="str">
        <f>IFERROR(__xludf.DUMMYFUNCTION("""COMPUTED_VALUE"""),"BO")</f>
        <v>BO</v>
      </c>
      <c r="H153" s="728" t="str">
        <f>IFERROR(__xludf.DUMMYFUNCTION("""COMPUTED_VALUE"""),"Nhân viên/ Chuyên viên/ Chuyên gia")</f>
        <v>Nhân viên/ Chuyên viên/ Chuyên gia</v>
      </c>
      <c r="I153" s="728" t="str">
        <f>IFERROR(__xludf.DUMMYFUNCTION("""COMPUTED_VALUE"""),"L00")</f>
        <v>L00</v>
      </c>
      <c r="J153" s="728" t="str">
        <f>IFERROR(__xludf.DUMMYFUNCTION("""COMPUTED_VALUE"""),"Công ty cổ phần MISA")</f>
        <v>Công ty cổ phần MISA</v>
      </c>
      <c r="K153" s="729"/>
      <c r="L153" s="728" t="str">
        <f>IFERROR(__xludf.DUMMYFUNCTION("""COMPUTED_VALUE"""),"Đang theo dõi")</f>
        <v>Đang theo dõi</v>
      </c>
      <c r="M153" s="729"/>
      <c r="N153" s="728" t="str">
        <f>IFERROR(__xludf.DUMMYFUNCTION("""COMPUTED_VALUE"""),"giữ nguyên")</f>
        <v>giữ nguyên</v>
      </c>
      <c r="O153" s="708"/>
      <c r="P153" s="708"/>
      <c r="Q153" s="708"/>
      <c r="R153" s="708"/>
      <c r="S153" s="708"/>
      <c r="T153" s="708"/>
      <c r="U153" s="708"/>
      <c r="V153" s="708"/>
      <c r="W153" s="708"/>
      <c r="X153" s="708"/>
      <c r="Y153" s="708"/>
      <c r="Z153" s="708"/>
      <c r="AA153" s="708"/>
      <c r="AB153" s="708"/>
      <c r="AC153" s="708"/>
      <c r="AD153" s="708"/>
      <c r="AE153" s="708"/>
    </row>
    <row r="154">
      <c r="A154" s="727">
        <f>IFERROR(__xludf.DUMMYFUNCTION("""COMPUTED_VALUE"""),137.0)</f>
        <v>137</v>
      </c>
      <c r="B154" s="728" t="str">
        <f>IFERROR(__xludf.DUMMYFUNCTION("""COMPUTED_VALUE"""),"BO_PR_A.MGR")</f>
        <v>BO_PR_A.MGR</v>
      </c>
      <c r="C154" s="728" t="str">
        <f>IFERROR(__xludf.DUMMYFUNCTION("""COMPUTED_VALUE"""),"BO_PR_A.MGR")</f>
        <v>BO_PR_A.MGR</v>
      </c>
      <c r="D154" s="728" t="str">
        <f>IFERROR(__xludf.DUMMYFUNCTION("""COMPUTED_VALUE"""),"Q. Trưởng phòng PR")</f>
        <v>Q. Trưởng phòng PR</v>
      </c>
      <c r="E154" s="728" t="str">
        <f>IFERROR(__xludf.DUMMYFUNCTION("""COMPUTED_VALUE"""),"BO_COD")</f>
        <v>BO_COD</v>
      </c>
      <c r="F154" s="728">
        <f>IFERROR(__xludf.DUMMYFUNCTION("""COMPUTED_VALUE"""),2.0)</f>
        <v>2</v>
      </c>
      <c r="G154" s="728" t="str">
        <f>IFERROR(__xludf.DUMMYFUNCTION("""COMPUTED_VALUE"""),"BO")</f>
        <v>BO</v>
      </c>
      <c r="H154" s="728" t="str">
        <f>IFERROR(__xludf.DUMMYFUNCTION("""COMPUTED_VALUE"""),"TPP/ Trưởng ban")</f>
        <v>TPP/ Trưởng ban</v>
      </c>
      <c r="I154" s="728" t="str">
        <f>IFERROR(__xludf.DUMMYFUNCTION("""COMPUTED_VALUE"""),"L00")</f>
        <v>L00</v>
      </c>
      <c r="J154" s="728" t="str">
        <f>IFERROR(__xludf.DUMMYFUNCTION("""COMPUTED_VALUE"""),"Công ty cổ phần MISA")</f>
        <v>Công ty cổ phần MISA</v>
      </c>
      <c r="K154" s="729"/>
      <c r="L154" s="728" t="str">
        <f>IFERROR(__xludf.DUMMYFUNCTION("""COMPUTED_VALUE"""),"Đang theo dõi")</f>
        <v>Đang theo dõi</v>
      </c>
      <c r="M154" s="729"/>
      <c r="N154" s="728" t="str">
        <f>IFERROR(__xludf.DUMMYFUNCTION("""COMPUTED_VALUE"""),"giữ nguyên")</f>
        <v>giữ nguyên</v>
      </c>
      <c r="O154" s="708"/>
      <c r="P154" s="708"/>
      <c r="Q154" s="708"/>
      <c r="R154" s="708"/>
      <c r="S154" s="708"/>
      <c r="T154" s="708"/>
      <c r="U154" s="708"/>
      <c r="V154" s="708"/>
      <c r="W154" s="708"/>
      <c r="X154" s="708"/>
      <c r="Y154" s="708"/>
      <c r="Z154" s="708"/>
      <c r="AA154" s="708"/>
      <c r="AB154" s="737"/>
      <c r="AC154" s="737"/>
      <c r="AD154" s="737"/>
      <c r="AE154" s="737"/>
    </row>
    <row r="155">
      <c r="A155" s="727">
        <f>IFERROR(__xludf.DUMMYFUNCTION("""COMPUTED_VALUE"""),138.0)</f>
        <v>138</v>
      </c>
      <c r="B155" s="728" t="str">
        <f>IFERROR(__xludf.DUMMYFUNCTION("""COMPUTED_VALUE"""),"BO_PR_BRD")</f>
        <v>BO_PR_BRD</v>
      </c>
      <c r="C155" s="728" t="str">
        <f>IFERROR(__xludf.DUMMYFUNCTION("""COMPUTED_VALUE"""),"BO_PR_BRD")</f>
        <v>BO_PR_BRD</v>
      </c>
      <c r="D155" s="728" t="str">
        <f>IFERROR(__xludf.DUMMYFUNCTION("""COMPUTED_VALUE"""),"NV Truyền thông thương hiệu")</f>
        <v>NV Truyền thông thương hiệu</v>
      </c>
      <c r="E155" s="728" t="str">
        <f>IFERROR(__xludf.DUMMYFUNCTION("""COMPUTED_VALUE"""),"BO")</f>
        <v>BO</v>
      </c>
      <c r="F155" s="729"/>
      <c r="G155" s="728" t="str">
        <f>IFERROR(__xludf.DUMMYFUNCTION("""COMPUTED_VALUE"""),"BO")</f>
        <v>BO</v>
      </c>
      <c r="H155" s="728" t="str">
        <f>IFERROR(__xludf.DUMMYFUNCTION("""COMPUTED_VALUE"""),"Nhân viên/ Chuyên viên/ Chuyên gia")</f>
        <v>Nhân viên/ Chuyên viên/ Chuyên gia</v>
      </c>
      <c r="I155" s="728" t="str">
        <f>IFERROR(__xludf.DUMMYFUNCTION("""COMPUTED_VALUE"""),"L00")</f>
        <v>L00</v>
      </c>
      <c r="J155" s="728" t="str">
        <f>IFERROR(__xludf.DUMMYFUNCTION("""COMPUTED_VALUE"""),"Công ty cổ phần MISA")</f>
        <v>Công ty cổ phần MISA</v>
      </c>
      <c r="K155" s="729"/>
      <c r="L155" s="728" t="str">
        <f>IFERROR(__xludf.DUMMYFUNCTION("""COMPUTED_VALUE"""),"Đang theo dõi")</f>
        <v>Đang theo dõi</v>
      </c>
      <c r="M155" s="729"/>
      <c r="N155" s="728" t="str">
        <f>IFERROR(__xludf.DUMMYFUNCTION("""COMPUTED_VALUE"""),"giữ nguyên")</f>
        <v>giữ nguyên</v>
      </c>
      <c r="O155" s="708"/>
      <c r="P155" s="708"/>
      <c r="Q155" s="708"/>
      <c r="R155" s="708"/>
      <c r="S155" s="708"/>
      <c r="T155" s="708"/>
      <c r="U155" s="708"/>
      <c r="V155" s="708"/>
      <c r="W155" s="708"/>
      <c r="X155" s="708"/>
      <c r="Y155" s="708"/>
      <c r="Z155" s="708"/>
      <c r="AA155" s="708"/>
      <c r="AB155" s="737"/>
      <c r="AC155" s="737"/>
      <c r="AD155" s="737"/>
      <c r="AE155" s="737"/>
    </row>
    <row r="156">
      <c r="A156" s="727">
        <f>IFERROR(__xludf.DUMMYFUNCTION("""COMPUTED_VALUE"""),139.0)</f>
        <v>139</v>
      </c>
      <c r="B156" s="728" t="str">
        <f>IFERROR(__xludf.DUMMYFUNCTION("""COMPUTED_VALUE"""),"BO_PR_DEP")</f>
        <v>BO_PR_DEP</v>
      </c>
      <c r="C156" s="728" t="str">
        <f>IFERROR(__xludf.DUMMYFUNCTION("""COMPUTED_VALUE"""),"BO_PR_DEP")</f>
        <v>BO_PR_DEP</v>
      </c>
      <c r="D156" s="728" t="str">
        <f>IFERROR(__xludf.DUMMYFUNCTION("""COMPUTED_VALUE"""),"Phó phòng PR")</f>
        <v>Phó phòng PR</v>
      </c>
      <c r="E156" s="728" t="str">
        <f>IFERROR(__xludf.DUMMYFUNCTION("""COMPUTED_VALUE"""),"BO_COD")</f>
        <v>BO_COD</v>
      </c>
      <c r="F156" s="728">
        <f>IFERROR(__xludf.DUMMYFUNCTION("""COMPUTED_VALUE"""),2.0)</f>
        <v>2</v>
      </c>
      <c r="G156" s="728" t="str">
        <f>IFERROR(__xludf.DUMMYFUNCTION("""COMPUTED_VALUE"""),"BO")</f>
        <v>BO</v>
      </c>
      <c r="H156" s="728" t="str">
        <f>IFERROR(__xludf.DUMMYFUNCTION("""COMPUTED_VALUE"""),"TPP/ Trưởng ban")</f>
        <v>TPP/ Trưởng ban</v>
      </c>
      <c r="I156" s="728" t="str">
        <f>IFERROR(__xludf.DUMMYFUNCTION("""COMPUTED_VALUE"""),"L00")</f>
        <v>L00</v>
      </c>
      <c r="J156" s="728" t="str">
        <f>IFERROR(__xludf.DUMMYFUNCTION("""COMPUTED_VALUE"""),"Công ty cổ phần MISA")</f>
        <v>Công ty cổ phần MISA</v>
      </c>
      <c r="K156" s="729"/>
      <c r="L156" s="728" t="str">
        <f>IFERROR(__xludf.DUMMYFUNCTION("""COMPUTED_VALUE"""),"Đang theo dõi")</f>
        <v>Đang theo dõi</v>
      </c>
      <c r="M156" s="729"/>
      <c r="N156" s="728" t="str">
        <f>IFERROR(__xludf.DUMMYFUNCTION("""COMPUTED_VALUE"""),"giữ nguyên")</f>
        <v>giữ nguyên</v>
      </c>
      <c r="O156" s="737"/>
      <c r="P156" s="737"/>
      <c r="Q156" s="737"/>
      <c r="R156" s="737"/>
      <c r="S156" s="737"/>
      <c r="T156" s="737"/>
      <c r="U156" s="737"/>
      <c r="V156" s="737"/>
      <c r="W156" s="737"/>
      <c r="X156" s="737"/>
      <c r="Y156" s="737"/>
      <c r="Z156" s="737"/>
      <c r="AA156" s="737"/>
      <c r="AB156" s="708"/>
      <c r="AC156" s="708"/>
      <c r="AD156" s="708"/>
      <c r="AE156" s="708"/>
    </row>
    <row r="157">
      <c r="A157" s="727">
        <f>IFERROR(__xludf.DUMMYFUNCTION("""COMPUTED_VALUE"""),140.0)</f>
        <v>140</v>
      </c>
      <c r="B157" s="728" t="str">
        <f>IFERROR(__xludf.DUMMYFUNCTION("""COMPUTED_VALUE"""),"BO_PR_DSN")</f>
        <v>BO_PR_DSN</v>
      </c>
      <c r="C157" s="728" t="str">
        <f>IFERROR(__xludf.DUMMYFUNCTION("""COMPUTED_VALUE"""),"BO_PR_DSN")</f>
        <v>BO_PR_DSN</v>
      </c>
      <c r="D157" s="728" t="str">
        <f>IFERROR(__xludf.DUMMYFUNCTION("""COMPUTED_VALUE"""),"NV Thiết kế")</f>
        <v>NV Thiết kế</v>
      </c>
      <c r="E157" s="728" t="str">
        <f>IFERROR(__xludf.DUMMYFUNCTION("""COMPUTED_VALUE"""),"BO")</f>
        <v>BO</v>
      </c>
      <c r="F157" s="729"/>
      <c r="G157" s="728" t="str">
        <f>IFERROR(__xludf.DUMMYFUNCTION("""COMPUTED_VALUE"""),"BO")</f>
        <v>BO</v>
      </c>
      <c r="H157" s="728" t="str">
        <f>IFERROR(__xludf.DUMMYFUNCTION("""COMPUTED_VALUE"""),"Nhân viên/ Chuyên viên/ Chuyên gia")</f>
        <v>Nhân viên/ Chuyên viên/ Chuyên gia</v>
      </c>
      <c r="I157" s="728" t="str">
        <f>IFERROR(__xludf.DUMMYFUNCTION("""COMPUTED_VALUE"""),"L00")</f>
        <v>L00</v>
      </c>
      <c r="J157" s="728" t="str">
        <f>IFERROR(__xludf.DUMMYFUNCTION("""COMPUTED_VALUE"""),"Công ty cổ phần MISA")</f>
        <v>Công ty cổ phần MISA</v>
      </c>
      <c r="K157" s="729"/>
      <c r="L157" s="728" t="str">
        <f>IFERROR(__xludf.DUMMYFUNCTION("""COMPUTED_VALUE"""),"Đang theo dõi")</f>
        <v>Đang theo dõi</v>
      </c>
      <c r="M157" s="729"/>
      <c r="N157" s="728" t="str">
        <f>IFERROR(__xludf.DUMMYFUNCTION("""COMPUTED_VALUE"""),"giữ nguyên")</f>
        <v>giữ nguyên</v>
      </c>
      <c r="O157" s="737"/>
      <c r="P157" s="737"/>
      <c r="Q157" s="737"/>
      <c r="R157" s="737"/>
      <c r="S157" s="737"/>
      <c r="T157" s="737"/>
      <c r="U157" s="737"/>
      <c r="V157" s="737"/>
      <c r="W157" s="737"/>
      <c r="X157" s="737"/>
      <c r="Y157" s="737"/>
      <c r="Z157" s="737"/>
      <c r="AA157" s="737"/>
      <c r="AB157" s="732"/>
      <c r="AC157" s="732"/>
      <c r="AD157" s="732"/>
      <c r="AE157" s="732"/>
    </row>
    <row r="158">
      <c r="A158" s="727">
        <f>IFERROR(__xludf.DUMMYFUNCTION("""COMPUTED_VALUE"""),141.0)</f>
        <v>141</v>
      </c>
      <c r="B158" s="728" t="str">
        <f>IFERROR(__xludf.DUMMYFUNCTION("""COMPUTED_VALUE"""),"BO_PR_INT")</f>
        <v>BO_PR_INT</v>
      </c>
      <c r="C158" s="728" t="str">
        <f>IFERROR(__xludf.DUMMYFUNCTION("""COMPUTED_VALUE"""),"BO_PR_INT")</f>
        <v>BO_PR_INT</v>
      </c>
      <c r="D158" s="728" t="str">
        <f>IFERROR(__xludf.DUMMYFUNCTION("""COMPUTED_VALUE"""),"NV Truyền thông nội bộ")</f>
        <v>NV Truyền thông nội bộ</v>
      </c>
      <c r="E158" s="728" t="str">
        <f>IFERROR(__xludf.DUMMYFUNCTION("""COMPUTED_VALUE"""),"BO")</f>
        <v>BO</v>
      </c>
      <c r="F158" s="729"/>
      <c r="G158" s="728" t="str">
        <f>IFERROR(__xludf.DUMMYFUNCTION("""COMPUTED_VALUE"""),"BO")</f>
        <v>BO</v>
      </c>
      <c r="H158" s="728" t="str">
        <f>IFERROR(__xludf.DUMMYFUNCTION("""COMPUTED_VALUE"""),"Nhân viên/ Chuyên viên/ Chuyên gia")</f>
        <v>Nhân viên/ Chuyên viên/ Chuyên gia</v>
      </c>
      <c r="I158" s="728" t="str">
        <f>IFERROR(__xludf.DUMMYFUNCTION("""COMPUTED_VALUE"""),"L00")</f>
        <v>L00</v>
      </c>
      <c r="J158" s="728" t="str">
        <f>IFERROR(__xludf.DUMMYFUNCTION("""COMPUTED_VALUE"""),"Công ty cổ phần MISA")</f>
        <v>Công ty cổ phần MISA</v>
      </c>
      <c r="K158" s="729"/>
      <c r="L158" s="728" t="str">
        <f>IFERROR(__xludf.DUMMYFUNCTION("""COMPUTED_VALUE"""),"Đang theo dõi")</f>
        <v>Đang theo dõi</v>
      </c>
      <c r="M158" s="729"/>
      <c r="N158" s="728" t="str">
        <f>IFERROR(__xludf.DUMMYFUNCTION("""COMPUTED_VALUE"""),"giữ nguyên")</f>
        <v>giữ nguyên</v>
      </c>
      <c r="O158" s="708"/>
      <c r="P158" s="708"/>
      <c r="Q158" s="708"/>
      <c r="R158" s="708"/>
      <c r="S158" s="708"/>
      <c r="T158" s="708"/>
      <c r="U158" s="708"/>
      <c r="V158" s="708"/>
      <c r="W158" s="708"/>
      <c r="X158" s="708"/>
      <c r="Y158" s="708"/>
      <c r="Z158" s="708"/>
      <c r="AA158" s="708"/>
      <c r="AB158" s="708"/>
      <c r="AC158" s="708"/>
      <c r="AD158" s="708"/>
      <c r="AE158" s="708"/>
    </row>
    <row r="159">
      <c r="A159" s="727">
        <f>IFERROR(__xludf.DUMMYFUNCTION("""COMPUTED_VALUE"""),142.0)</f>
        <v>142</v>
      </c>
      <c r="B159" s="728" t="str">
        <f>IFERROR(__xludf.DUMMYFUNCTION("""COMPUTED_VALUE"""),"BO_PR_INTERN")</f>
        <v>BO_PR_INTERN</v>
      </c>
      <c r="C159" s="728" t="str">
        <f>IFERROR(__xludf.DUMMYFUNCTION("""COMPUTED_VALUE"""),"BO_PR_INTERN")</f>
        <v>BO_PR_INTERN</v>
      </c>
      <c r="D159" s="728" t="str">
        <f>IFERROR(__xludf.DUMMYFUNCTION("""COMPUTED_VALUE"""),"TTS PR")</f>
        <v>TTS PR</v>
      </c>
      <c r="E159" s="728" t="str">
        <f>IFERROR(__xludf.DUMMYFUNCTION("""COMPUTED_VALUE"""),"BO_TTS")</f>
        <v>BO_TTS</v>
      </c>
      <c r="F159" s="729"/>
      <c r="G159" s="728" t="str">
        <f>IFERROR(__xludf.DUMMYFUNCTION("""COMPUTED_VALUE"""),"BO")</f>
        <v>BO</v>
      </c>
      <c r="H159" s="728" t="str">
        <f>IFERROR(__xludf.DUMMYFUNCTION("""COMPUTED_VALUE"""),"Thực tập")</f>
        <v>Thực tập</v>
      </c>
      <c r="I159" s="728" t="str">
        <f>IFERROR(__xludf.DUMMYFUNCTION("""COMPUTED_VALUE"""),"L00")</f>
        <v>L00</v>
      </c>
      <c r="J159" s="728" t="str">
        <f>IFERROR(__xludf.DUMMYFUNCTION("""COMPUTED_VALUE"""),"Công ty cổ phần MISA")</f>
        <v>Công ty cổ phần MISA</v>
      </c>
      <c r="K159" s="729"/>
      <c r="L159" s="728" t="str">
        <f>IFERROR(__xludf.DUMMYFUNCTION("""COMPUTED_VALUE"""),"Đang theo dõi")</f>
        <v>Đang theo dõi</v>
      </c>
      <c r="M159" s="729"/>
      <c r="N159" s="728" t="str">
        <f>IFERROR(__xludf.DUMMYFUNCTION("""COMPUTED_VALUE"""),"giữ nguyên")</f>
        <v>giữ nguyên</v>
      </c>
      <c r="O159" s="732"/>
      <c r="P159" s="732"/>
      <c r="Q159" s="732"/>
      <c r="R159" s="732"/>
      <c r="S159" s="732"/>
      <c r="T159" s="732"/>
      <c r="U159" s="732"/>
      <c r="V159" s="732"/>
      <c r="W159" s="732"/>
      <c r="X159" s="732"/>
      <c r="Y159" s="732"/>
      <c r="Z159" s="732"/>
      <c r="AA159" s="732"/>
      <c r="AB159" s="708"/>
      <c r="AC159" s="708"/>
      <c r="AD159" s="708"/>
      <c r="AE159" s="708"/>
    </row>
    <row r="160">
      <c r="A160" s="727">
        <f>IFERROR(__xludf.DUMMYFUNCTION("""COMPUTED_VALUE"""),143.0)</f>
        <v>143</v>
      </c>
      <c r="B160" s="728" t="str">
        <f>IFERROR(__xludf.DUMMYFUNCTION("""COMPUTED_VALUE"""),"BO_PR_MGR")</f>
        <v>BO_PR_MGR</v>
      </c>
      <c r="C160" s="728" t="str">
        <f>IFERROR(__xludf.DUMMYFUNCTION("""COMPUTED_VALUE"""),"BO_PR_MGR")</f>
        <v>BO_PR_MGR</v>
      </c>
      <c r="D160" s="728" t="str">
        <f>IFERROR(__xludf.DUMMYFUNCTION("""COMPUTED_VALUE"""),"Trưởng phòng PR")</f>
        <v>Trưởng phòng PR</v>
      </c>
      <c r="E160" s="728" t="str">
        <f>IFERROR(__xludf.DUMMYFUNCTION("""COMPUTED_VALUE"""),"BO_COD")</f>
        <v>BO_COD</v>
      </c>
      <c r="F160" s="728">
        <f>IFERROR(__xludf.DUMMYFUNCTION("""COMPUTED_VALUE"""),2.0)</f>
        <v>2</v>
      </c>
      <c r="G160" s="728" t="str">
        <f>IFERROR(__xludf.DUMMYFUNCTION("""COMPUTED_VALUE"""),"BO")</f>
        <v>BO</v>
      </c>
      <c r="H160" s="728" t="str">
        <f>IFERROR(__xludf.DUMMYFUNCTION("""COMPUTED_VALUE"""),"TPP/ Trưởng ban")</f>
        <v>TPP/ Trưởng ban</v>
      </c>
      <c r="I160" s="728" t="str">
        <f>IFERROR(__xludf.DUMMYFUNCTION("""COMPUTED_VALUE"""),"L00")</f>
        <v>L00</v>
      </c>
      <c r="J160" s="728" t="str">
        <f>IFERROR(__xludf.DUMMYFUNCTION("""COMPUTED_VALUE"""),"Công ty cổ phần MISA")</f>
        <v>Công ty cổ phần MISA</v>
      </c>
      <c r="K160" s="729"/>
      <c r="L160" s="728" t="str">
        <f>IFERROR(__xludf.DUMMYFUNCTION("""COMPUTED_VALUE"""),"Đang theo dõi")</f>
        <v>Đang theo dõi</v>
      </c>
      <c r="M160" s="729"/>
      <c r="N160" s="728" t="str">
        <f>IFERROR(__xludf.DUMMYFUNCTION("""COMPUTED_VALUE"""),"giữ nguyên")</f>
        <v>giữ nguyên</v>
      </c>
      <c r="O160" s="708"/>
      <c r="P160" s="708"/>
      <c r="Q160" s="708"/>
      <c r="R160" s="708"/>
      <c r="S160" s="708"/>
      <c r="T160" s="708"/>
      <c r="U160" s="708"/>
      <c r="V160" s="708"/>
      <c r="W160" s="708"/>
      <c r="X160" s="708"/>
      <c r="Y160" s="708"/>
      <c r="Z160" s="708"/>
      <c r="AA160" s="708"/>
      <c r="AB160" s="737"/>
      <c r="AC160" s="737"/>
      <c r="AD160" s="737"/>
      <c r="AE160" s="737"/>
    </row>
    <row r="161">
      <c r="A161" s="727">
        <f>IFERROR(__xludf.DUMMYFUNCTION("""COMPUTED_VALUE"""),144.0)</f>
        <v>144</v>
      </c>
      <c r="B161" s="728" t="str">
        <f>IFERROR(__xludf.DUMMYFUNCTION("""COMPUTED_VALUE"""),"BO_PR_MULT")</f>
        <v>BO_PR_MULT</v>
      </c>
      <c r="C161" s="728" t="str">
        <f>IFERROR(__xludf.DUMMYFUNCTION("""COMPUTED_VALUE"""),"BO_PR_MULT")</f>
        <v>BO_PR_MULT</v>
      </c>
      <c r="D161" s="728" t="str">
        <f>IFERROR(__xludf.DUMMYFUNCTION("""COMPUTED_VALUE"""),"NV Multimedia")</f>
        <v>NV Multimedia</v>
      </c>
      <c r="E161" s="728" t="str">
        <f>IFERROR(__xludf.DUMMYFUNCTION("""COMPUTED_VALUE"""),"BO")</f>
        <v>BO</v>
      </c>
      <c r="F161" s="729"/>
      <c r="G161" s="728" t="str">
        <f>IFERROR(__xludf.DUMMYFUNCTION("""COMPUTED_VALUE"""),"BO")</f>
        <v>BO</v>
      </c>
      <c r="H161" s="728" t="str">
        <f>IFERROR(__xludf.DUMMYFUNCTION("""COMPUTED_VALUE"""),"Nhân viên/ Chuyên viên/ Chuyên gia")</f>
        <v>Nhân viên/ Chuyên viên/ Chuyên gia</v>
      </c>
      <c r="I161" s="728" t="str">
        <f>IFERROR(__xludf.DUMMYFUNCTION("""COMPUTED_VALUE"""),"L00")</f>
        <v>L00</v>
      </c>
      <c r="J161" s="728" t="str">
        <f>IFERROR(__xludf.DUMMYFUNCTION("""COMPUTED_VALUE"""),"Công ty cổ phần MISA")</f>
        <v>Công ty cổ phần MISA</v>
      </c>
      <c r="K161" s="729"/>
      <c r="L161" s="728" t="str">
        <f>IFERROR(__xludf.DUMMYFUNCTION("""COMPUTED_VALUE"""),"Đang theo dõi")</f>
        <v>Đang theo dõi</v>
      </c>
      <c r="M161" s="729"/>
      <c r="N161" s="728" t="str">
        <f>IFERROR(__xludf.DUMMYFUNCTION("""COMPUTED_VALUE"""),"giữ nguyên")</f>
        <v>giữ nguyên</v>
      </c>
      <c r="O161" s="708"/>
      <c r="P161" s="708"/>
      <c r="Q161" s="708"/>
      <c r="R161" s="708"/>
      <c r="S161" s="708"/>
      <c r="T161" s="708"/>
      <c r="U161" s="708"/>
      <c r="V161" s="708"/>
      <c r="W161" s="708"/>
      <c r="X161" s="708"/>
      <c r="Y161" s="708"/>
      <c r="Z161" s="708"/>
      <c r="AA161" s="708"/>
      <c r="AB161" s="737"/>
      <c r="AC161" s="737"/>
      <c r="AD161" s="737"/>
      <c r="AE161" s="737"/>
    </row>
    <row r="162">
      <c r="A162" s="727">
        <f>IFERROR(__xludf.DUMMYFUNCTION("""COMPUTED_VALUE"""),145.0)</f>
        <v>145</v>
      </c>
      <c r="B162" s="728" t="str">
        <f>IFERROR(__xludf.DUMMYFUNCTION("""COMPUTED_VALUE"""),"BO_QA")</f>
        <v>BO_QA</v>
      </c>
      <c r="C162" s="728" t="str">
        <f>IFERROR(__xludf.DUMMYFUNCTION("""COMPUTED_VALUE"""),"BO_QA")</f>
        <v>BO_QA</v>
      </c>
      <c r="D162" s="728" t="str">
        <f>IFERROR(__xludf.DUMMYFUNCTION("""COMPUTED_VALUE"""),"NV Đảm bảo chất lượng")</f>
        <v>NV Đảm bảo chất lượng</v>
      </c>
      <c r="E162" s="728" t="str">
        <f>IFERROR(__xludf.DUMMYFUNCTION("""COMPUTED_VALUE"""),"BO")</f>
        <v>BO</v>
      </c>
      <c r="F162" s="729"/>
      <c r="G162" s="728" t="str">
        <f>IFERROR(__xludf.DUMMYFUNCTION("""COMPUTED_VALUE"""),"BO")</f>
        <v>BO</v>
      </c>
      <c r="H162" s="728" t="str">
        <f>IFERROR(__xludf.DUMMYFUNCTION("""COMPUTED_VALUE"""),"Nhân viên/ Chuyên viên/ Chuyên gia")</f>
        <v>Nhân viên/ Chuyên viên/ Chuyên gia</v>
      </c>
      <c r="I162" s="728" t="str">
        <f>IFERROR(__xludf.DUMMYFUNCTION("""COMPUTED_VALUE"""),"L00")</f>
        <v>L00</v>
      </c>
      <c r="J162" s="728" t="str">
        <f>IFERROR(__xludf.DUMMYFUNCTION("""COMPUTED_VALUE"""),"Công ty cổ phần MISA")</f>
        <v>Công ty cổ phần MISA</v>
      </c>
      <c r="K162" s="729"/>
      <c r="L162" s="728" t="str">
        <f>IFERROR(__xludf.DUMMYFUNCTION("""COMPUTED_VALUE"""),"Đang theo dõi")</f>
        <v>Đang theo dõi</v>
      </c>
      <c r="M162" s="729"/>
      <c r="N162" s="728" t="str">
        <f>IFERROR(__xludf.DUMMYFUNCTION("""COMPUTED_VALUE"""),"giữ nguyên")</f>
        <v>giữ nguyên</v>
      </c>
      <c r="O162" s="737"/>
      <c r="P162" s="737"/>
      <c r="Q162" s="737"/>
      <c r="R162" s="737"/>
      <c r="S162" s="737"/>
      <c r="T162" s="737"/>
      <c r="U162" s="737"/>
      <c r="V162" s="737"/>
      <c r="W162" s="737"/>
      <c r="X162" s="737"/>
      <c r="Y162" s="737"/>
      <c r="Z162" s="737"/>
      <c r="AA162" s="737"/>
      <c r="AB162" s="737"/>
      <c r="AC162" s="737"/>
      <c r="AD162" s="737"/>
      <c r="AE162" s="737"/>
    </row>
    <row r="163">
      <c r="A163" s="727">
        <f>IFERROR(__xludf.DUMMYFUNCTION("""COMPUTED_VALUE"""),146.0)</f>
        <v>146</v>
      </c>
      <c r="B163" s="728" t="str">
        <f>IFERROR(__xludf.DUMMYFUNCTION("""COMPUTED_VALUE"""),"BO_QA.DEP")</f>
        <v>BO_QA.DEP</v>
      </c>
      <c r="C163" s="728" t="str">
        <f>IFERROR(__xludf.DUMMYFUNCTION("""COMPUTED_VALUE"""),"BO_QA.DEP")</f>
        <v>BO_QA.DEP</v>
      </c>
      <c r="D163" s="728" t="str">
        <f>IFERROR(__xludf.DUMMYFUNCTION("""COMPUTED_VALUE"""),"Phó phòng QA")</f>
        <v>Phó phòng QA</v>
      </c>
      <c r="E163" s="728" t="str">
        <f>IFERROR(__xludf.DUMMYFUNCTION("""COMPUTED_VALUE"""),"BO_COD")</f>
        <v>BO_COD</v>
      </c>
      <c r="F163" s="728">
        <f>IFERROR(__xludf.DUMMYFUNCTION("""COMPUTED_VALUE"""),2.0)</f>
        <v>2</v>
      </c>
      <c r="G163" s="728" t="str">
        <f>IFERROR(__xludf.DUMMYFUNCTION("""COMPUTED_VALUE"""),"BO")</f>
        <v>BO</v>
      </c>
      <c r="H163" s="728" t="str">
        <f>IFERROR(__xludf.DUMMYFUNCTION("""COMPUTED_VALUE"""),"TPP/ Trưởng ban")</f>
        <v>TPP/ Trưởng ban</v>
      </c>
      <c r="I163" s="728" t="str">
        <f>IFERROR(__xludf.DUMMYFUNCTION("""COMPUTED_VALUE"""),"L00")</f>
        <v>L00</v>
      </c>
      <c r="J163" s="728" t="str">
        <f>IFERROR(__xludf.DUMMYFUNCTION("""COMPUTED_VALUE"""),"Công ty cổ phần MISA")</f>
        <v>Công ty cổ phần MISA</v>
      </c>
      <c r="K163" s="729"/>
      <c r="L163" s="728" t="str">
        <f>IFERROR(__xludf.DUMMYFUNCTION("""COMPUTED_VALUE"""),"Đang theo dõi")</f>
        <v>Đang theo dõi</v>
      </c>
      <c r="M163" s="729"/>
      <c r="N163" s="728" t="str">
        <f>IFERROR(__xludf.DUMMYFUNCTION("""COMPUTED_VALUE"""),"giữ nguyên")</f>
        <v>giữ nguyên</v>
      </c>
      <c r="O163" s="737"/>
      <c r="P163" s="737"/>
      <c r="Q163" s="737"/>
      <c r="R163" s="737"/>
      <c r="S163" s="737"/>
      <c r="T163" s="737"/>
      <c r="U163" s="737"/>
      <c r="V163" s="737"/>
      <c r="W163" s="737"/>
      <c r="X163" s="737"/>
      <c r="Y163" s="737"/>
      <c r="Z163" s="737"/>
      <c r="AA163" s="737"/>
      <c r="AB163" s="708"/>
      <c r="AC163" s="708"/>
      <c r="AD163" s="708"/>
      <c r="AE163" s="708"/>
    </row>
    <row r="164">
      <c r="A164" s="727">
        <f>IFERROR(__xludf.DUMMYFUNCTION("""COMPUTED_VALUE"""),147.0)</f>
        <v>147</v>
      </c>
      <c r="B164" s="728" t="str">
        <f>IFERROR(__xludf.DUMMYFUNCTION("""COMPUTED_VALUE"""),"BO_QA_HEAD")</f>
        <v>BO_QA_HEAD</v>
      </c>
      <c r="C164" s="728" t="str">
        <f>IFERROR(__xludf.DUMMYFUNCTION("""COMPUTED_VALUE"""),"BO_QA_HEAD")</f>
        <v>BO_QA_HEAD</v>
      </c>
      <c r="D164" s="728" t="str">
        <f>IFERROR(__xludf.DUMMYFUNCTION("""COMPUTED_VALUE"""),"Trưởng ban Đảm bảo chất lượng")</f>
        <v>Trưởng ban Đảm bảo chất lượng</v>
      </c>
      <c r="E164" s="728" t="str">
        <f>IFERROR(__xludf.DUMMYFUNCTION("""COMPUTED_VALUE"""),"BO_COD")</f>
        <v>BO_COD</v>
      </c>
      <c r="F164" s="728">
        <f>IFERROR(__xludf.DUMMYFUNCTION("""COMPUTED_VALUE"""),2.0)</f>
        <v>2</v>
      </c>
      <c r="G164" s="728" t="str">
        <f>IFERROR(__xludf.DUMMYFUNCTION("""COMPUTED_VALUE"""),"BO")</f>
        <v>BO</v>
      </c>
      <c r="H164" s="728" t="str">
        <f>IFERROR(__xludf.DUMMYFUNCTION("""COMPUTED_VALUE"""),"TPP/ Trưởng ban")</f>
        <v>TPP/ Trưởng ban</v>
      </c>
      <c r="I164" s="728" t="str">
        <f>IFERROR(__xludf.DUMMYFUNCTION("""COMPUTED_VALUE"""),"L00")</f>
        <v>L00</v>
      </c>
      <c r="J164" s="728" t="str">
        <f>IFERROR(__xludf.DUMMYFUNCTION("""COMPUTED_VALUE"""),"Công ty cổ phần MISA")</f>
        <v>Công ty cổ phần MISA</v>
      </c>
      <c r="K164" s="729"/>
      <c r="L164" s="728" t="str">
        <f>IFERROR(__xludf.DUMMYFUNCTION("""COMPUTED_VALUE"""),"Đang theo dõi")</f>
        <v>Đang theo dõi</v>
      </c>
      <c r="M164" s="729"/>
      <c r="N164" s="728" t="str">
        <f>IFERROR(__xludf.DUMMYFUNCTION("""COMPUTED_VALUE"""),"giữ nguyên")</f>
        <v>giữ nguyên</v>
      </c>
      <c r="O164" s="737"/>
      <c r="P164" s="737"/>
      <c r="Q164" s="737"/>
      <c r="R164" s="737"/>
      <c r="S164" s="737"/>
      <c r="T164" s="737"/>
      <c r="U164" s="737"/>
      <c r="V164" s="737"/>
      <c r="W164" s="737"/>
      <c r="X164" s="737"/>
      <c r="Y164" s="737"/>
      <c r="Z164" s="737"/>
      <c r="AA164" s="737"/>
      <c r="AB164" s="708"/>
      <c r="AC164" s="708"/>
      <c r="AD164" s="708"/>
      <c r="AE164" s="708"/>
    </row>
    <row r="165">
      <c r="A165" s="727">
        <f>IFERROR(__xludf.DUMMYFUNCTION("""COMPUTED_VALUE"""),148.0)</f>
        <v>148</v>
      </c>
      <c r="B165" s="728" t="str">
        <f>IFERROR(__xludf.DUMMYFUNCTION("""COMPUTED_VALUE"""),"BO_QA_MGR")</f>
        <v>BO_QA_MGR</v>
      </c>
      <c r="C165" s="728" t="str">
        <f>IFERROR(__xludf.DUMMYFUNCTION("""COMPUTED_VALUE"""),"BO_QA_MGR")</f>
        <v>BO_QA_MGR</v>
      </c>
      <c r="D165" s="728" t="str">
        <f>IFERROR(__xludf.DUMMYFUNCTION("""COMPUTED_VALUE"""),"Trưởng phòng Đảm bảo chất lượng")</f>
        <v>Trưởng phòng Đảm bảo chất lượng</v>
      </c>
      <c r="E165" s="728" t="str">
        <f>IFERROR(__xludf.DUMMYFUNCTION("""COMPUTED_VALUE"""),"BO_COD")</f>
        <v>BO_COD</v>
      </c>
      <c r="F165" s="728">
        <f>IFERROR(__xludf.DUMMYFUNCTION("""COMPUTED_VALUE"""),2.0)</f>
        <v>2</v>
      </c>
      <c r="G165" s="728" t="str">
        <f>IFERROR(__xludf.DUMMYFUNCTION("""COMPUTED_VALUE"""),"BO")</f>
        <v>BO</v>
      </c>
      <c r="H165" s="728" t="str">
        <f>IFERROR(__xludf.DUMMYFUNCTION("""COMPUTED_VALUE"""),"TPP/ Trưởng ban")</f>
        <v>TPP/ Trưởng ban</v>
      </c>
      <c r="I165" s="728" t="str">
        <f>IFERROR(__xludf.DUMMYFUNCTION("""COMPUTED_VALUE"""),"L00")</f>
        <v>L00</v>
      </c>
      <c r="J165" s="728" t="str">
        <f>IFERROR(__xludf.DUMMYFUNCTION("""COMPUTED_VALUE"""),"Công ty cổ phần MISA")</f>
        <v>Công ty cổ phần MISA</v>
      </c>
      <c r="K165" s="729"/>
      <c r="L165" s="728" t="str">
        <f>IFERROR(__xludf.DUMMYFUNCTION("""COMPUTED_VALUE"""),"Đang theo dõi")</f>
        <v>Đang theo dõi</v>
      </c>
      <c r="M165" s="729"/>
      <c r="N165" s="728" t="str">
        <f>IFERROR(__xludf.DUMMYFUNCTION("""COMPUTED_VALUE"""),"giữ nguyên")</f>
        <v>giữ nguyên</v>
      </c>
      <c r="O165" s="708"/>
      <c r="P165" s="708"/>
      <c r="Q165" s="708"/>
      <c r="R165" s="708"/>
      <c r="S165" s="708"/>
      <c r="T165" s="708"/>
      <c r="U165" s="708"/>
      <c r="V165" s="708"/>
      <c r="W165" s="708"/>
      <c r="X165" s="708"/>
      <c r="Y165" s="708"/>
      <c r="Z165" s="708"/>
      <c r="AA165" s="708"/>
      <c r="AB165" s="708"/>
      <c r="AC165" s="708"/>
      <c r="AD165" s="708"/>
      <c r="AE165" s="708"/>
    </row>
    <row r="166">
      <c r="A166" s="727">
        <f>IFERROR(__xludf.DUMMYFUNCTION("""COMPUTED_VALUE"""),149.0)</f>
        <v>149</v>
      </c>
      <c r="B166" s="728" t="str">
        <f>IFERROR(__xludf.DUMMYFUNCTION("""COMPUTED_VALUE"""),"BO_RD")</f>
        <v>BO_RD</v>
      </c>
      <c r="C166" s="728" t="str">
        <f>IFERROR(__xludf.DUMMYFUNCTION("""COMPUTED_VALUE"""),"BO_RD")</f>
        <v>BO_RD</v>
      </c>
      <c r="D166" s="728" t="str">
        <f>IFERROR(__xludf.DUMMYFUNCTION("""COMPUTED_VALUE"""),"NV Nghiên cứu thị trường và SP")</f>
        <v>NV Nghiên cứu thị trường và SP</v>
      </c>
      <c r="E166" s="728" t="str">
        <f>IFERROR(__xludf.DUMMYFUNCTION("""COMPUTED_VALUE"""),"BO")</f>
        <v>BO</v>
      </c>
      <c r="F166" s="729"/>
      <c r="G166" s="728" t="str">
        <f>IFERROR(__xludf.DUMMYFUNCTION("""COMPUTED_VALUE"""),"BO")</f>
        <v>BO</v>
      </c>
      <c r="H166" s="728" t="str">
        <f>IFERROR(__xludf.DUMMYFUNCTION("""COMPUTED_VALUE"""),"Nhân viên/ Chuyên viên/ Chuyên gia")</f>
        <v>Nhân viên/ Chuyên viên/ Chuyên gia</v>
      </c>
      <c r="I166" s="728" t="str">
        <f>IFERROR(__xludf.DUMMYFUNCTION("""COMPUTED_VALUE"""),"L00")</f>
        <v>L00</v>
      </c>
      <c r="J166" s="728" t="str">
        <f>IFERROR(__xludf.DUMMYFUNCTION("""COMPUTED_VALUE"""),"Công ty cổ phần MISA")</f>
        <v>Công ty cổ phần MISA</v>
      </c>
      <c r="K166" s="729"/>
      <c r="L166" s="728" t="str">
        <f>IFERROR(__xludf.DUMMYFUNCTION("""COMPUTED_VALUE"""),"ngừng")</f>
        <v>ngừng</v>
      </c>
      <c r="M166" s="729"/>
      <c r="N166" s="728" t="str">
        <f>IFERROR(__xludf.DUMMYFUNCTION("""COMPUTED_VALUE"""),"giữ nguyên")</f>
        <v>giữ nguyên</v>
      </c>
      <c r="O166" s="708"/>
      <c r="P166" s="708"/>
      <c r="Q166" s="708"/>
      <c r="R166" s="708"/>
      <c r="S166" s="708"/>
      <c r="T166" s="708"/>
      <c r="U166" s="708"/>
      <c r="V166" s="708"/>
      <c r="W166" s="708"/>
      <c r="X166" s="708"/>
      <c r="Y166" s="708"/>
      <c r="Z166" s="708"/>
      <c r="AA166" s="708"/>
      <c r="AB166" s="708"/>
      <c r="AC166" s="708"/>
      <c r="AD166" s="708"/>
      <c r="AE166" s="708"/>
    </row>
    <row r="167">
      <c r="A167" s="727">
        <f>IFERROR(__xludf.DUMMYFUNCTION("""COMPUTED_VALUE"""),150.0)</f>
        <v>150</v>
      </c>
      <c r="B167" s="728" t="str">
        <f>IFERROR(__xludf.DUMMYFUNCTION("""COMPUTED_VALUE"""),"BO_RDL")</f>
        <v>BO_RDL</v>
      </c>
      <c r="C167" s="728" t="str">
        <f>IFERROR(__xludf.DUMMYFUNCTION("""COMPUTED_VALUE"""),"BO_RDL")</f>
        <v>BO_RDL</v>
      </c>
      <c r="D167" s="728" t="str">
        <f>IFERROR(__xludf.DUMMYFUNCTION("""COMPUTED_VALUE"""),"Trưởng nhóm ban NCTT&amp;SP")</f>
        <v>Trưởng nhóm ban NCTT&amp;SP</v>
      </c>
      <c r="E167" s="728" t="str">
        <f>IFERROR(__xludf.DUMMYFUNCTION("""COMPUTED_VALUE"""),"BO_LEAD")</f>
        <v>BO_LEAD</v>
      </c>
      <c r="F167" s="729"/>
      <c r="G167" s="728" t="str">
        <f>IFERROR(__xludf.DUMMYFUNCTION("""COMPUTED_VALUE"""),"BO")</f>
        <v>BO</v>
      </c>
      <c r="H167" s="728" t="str">
        <f>IFERROR(__xludf.DUMMYFUNCTION("""COMPUTED_VALUE"""),"Trưởng nhóm")</f>
        <v>Trưởng nhóm</v>
      </c>
      <c r="I167" s="728" t="str">
        <f>IFERROR(__xludf.DUMMYFUNCTION("""COMPUTED_VALUE"""),"L00")</f>
        <v>L00</v>
      </c>
      <c r="J167" s="728" t="str">
        <f>IFERROR(__xludf.DUMMYFUNCTION("""COMPUTED_VALUE"""),"Công ty cổ phần MISA")</f>
        <v>Công ty cổ phần MISA</v>
      </c>
      <c r="K167" s="729"/>
      <c r="L167" s="728" t="str">
        <f>IFERROR(__xludf.DUMMYFUNCTION("""COMPUTED_VALUE"""),"ngừng")</f>
        <v>ngừng</v>
      </c>
      <c r="M167" s="729"/>
      <c r="N167" s="728" t="str">
        <f>IFERROR(__xludf.DUMMYFUNCTION("""COMPUTED_VALUE"""),"giữ nguyên")</f>
        <v>giữ nguyên</v>
      </c>
      <c r="O167" s="708"/>
      <c r="P167" s="708"/>
      <c r="Q167" s="708"/>
      <c r="R167" s="708"/>
      <c r="S167" s="708"/>
      <c r="T167" s="708"/>
      <c r="U167" s="708"/>
      <c r="V167" s="708"/>
      <c r="W167" s="708"/>
      <c r="X167" s="708"/>
      <c r="Y167" s="708"/>
      <c r="Z167" s="708"/>
      <c r="AA167" s="708"/>
      <c r="AB167" s="708"/>
      <c r="AC167" s="708"/>
      <c r="AD167" s="708"/>
      <c r="AE167" s="708"/>
    </row>
    <row r="168">
      <c r="A168" s="727">
        <f>IFERROR(__xludf.DUMMYFUNCTION("""COMPUTED_VALUE"""),151.0)</f>
        <v>151</v>
      </c>
      <c r="B168" s="728" t="str">
        <f>IFERROR(__xludf.DUMMYFUNCTION("""COMPUTED_VALUE"""),"BO_SAD")</f>
        <v>BO_SAD</v>
      </c>
      <c r="C168" s="728" t="str">
        <f>IFERROR(__xludf.DUMMYFUNCTION("""COMPUTED_VALUE"""),"BO_SAD")</f>
        <v>BO_SAD</v>
      </c>
      <c r="D168" s="728" t="str">
        <f>IFERROR(__xludf.DUMMYFUNCTION("""COMPUTED_VALUE"""),"NV Quản trị hệ thống")</f>
        <v>NV Quản trị hệ thống</v>
      </c>
      <c r="E168" s="728" t="str">
        <f>IFERROR(__xludf.DUMMYFUNCTION("""COMPUTED_VALUE"""),"BO")</f>
        <v>BO</v>
      </c>
      <c r="F168" s="729"/>
      <c r="G168" s="728" t="str">
        <f>IFERROR(__xludf.DUMMYFUNCTION("""COMPUTED_VALUE"""),"BO")</f>
        <v>BO</v>
      </c>
      <c r="H168" s="728" t="str">
        <f>IFERROR(__xludf.DUMMYFUNCTION("""COMPUTED_VALUE"""),"Nhân viên/ Chuyên viên/ Chuyên gia")</f>
        <v>Nhân viên/ Chuyên viên/ Chuyên gia</v>
      </c>
      <c r="I168" s="728" t="str">
        <f>IFERROR(__xludf.DUMMYFUNCTION("""COMPUTED_VALUE"""),"L00")</f>
        <v>L00</v>
      </c>
      <c r="J168" s="728" t="str">
        <f>IFERROR(__xludf.DUMMYFUNCTION("""COMPUTED_VALUE"""),"Công ty cổ phần MISA")</f>
        <v>Công ty cổ phần MISA</v>
      </c>
      <c r="K168" s="729"/>
      <c r="L168" s="728" t="str">
        <f>IFERROR(__xludf.DUMMYFUNCTION("""COMPUTED_VALUE"""),"Đang theo dõi")</f>
        <v>Đang theo dõi</v>
      </c>
      <c r="M168" s="729"/>
      <c r="N168" s="728" t="str">
        <f>IFERROR(__xludf.DUMMYFUNCTION("""COMPUTED_VALUE"""),"giữ nguyên")</f>
        <v>giữ nguyên</v>
      </c>
      <c r="O168" s="708"/>
      <c r="P168" s="708"/>
      <c r="Q168" s="708"/>
      <c r="R168" s="708"/>
      <c r="S168" s="708"/>
      <c r="T168" s="708"/>
      <c r="U168" s="708"/>
      <c r="V168" s="708"/>
      <c r="W168" s="708"/>
      <c r="X168" s="708"/>
      <c r="Y168" s="708"/>
      <c r="Z168" s="708"/>
      <c r="AA168" s="708"/>
      <c r="AB168" s="708"/>
      <c r="AC168" s="708"/>
      <c r="AD168" s="708"/>
      <c r="AE168" s="708"/>
    </row>
    <row r="169">
      <c r="A169" s="727">
        <f>IFERROR(__xludf.DUMMYFUNCTION("""COMPUTED_VALUE"""),152.0)</f>
        <v>152</v>
      </c>
      <c r="B169" s="728" t="str">
        <f>IFERROR(__xludf.DUMMYFUNCTION("""COMPUTED_VALUE"""),"BO_SAD_DEP")</f>
        <v>BO_SAD_DEP</v>
      </c>
      <c r="C169" s="728" t="str">
        <f>IFERROR(__xludf.DUMMYFUNCTION("""COMPUTED_VALUE"""),"BO_SAD_DEP")</f>
        <v>BO_SAD_DEP</v>
      </c>
      <c r="D169" s="728" t="str">
        <f>IFERROR(__xludf.DUMMYFUNCTION("""COMPUTED_VALUE"""),"Phó phòng Quản trị hệ thống")</f>
        <v>Phó phòng Quản trị hệ thống</v>
      </c>
      <c r="E169" s="728" t="str">
        <f>IFERROR(__xludf.DUMMYFUNCTION("""COMPUTED_VALUE"""),"BO_COD")</f>
        <v>BO_COD</v>
      </c>
      <c r="F169" s="728">
        <f>IFERROR(__xludf.DUMMYFUNCTION("""COMPUTED_VALUE"""),2.0)</f>
        <v>2</v>
      </c>
      <c r="G169" s="728" t="str">
        <f>IFERROR(__xludf.DUMMYFUNCTION("""COMPUTED_VALUE"""),"BO")</f>
        <v>BO</v>
      </c>
      <c r="H169" s="728" t="str">
        <f>IFERROR(__xludf.DUMMYFUNCTION("""COMPUTED_VALUE"""),"TPP/ Trưởng ban")</f>
        <v>TPP/ Trưởng ban</v>
      </c>
      <c r="I169" s="728" t="str">
        <f>IFERROR(__xludf.DUMMYFUNCTION("""COMPUTED_VALUE"""),"L00")</f>
        <v>L00</v>
      </c>
      <c r="J169" s="728" t="str">
        <f>IFERROR(__xludf.DUMMYFUNCTION("""COMPUTED_VALUE"""),"Công ty cổ phần MISA")</f>
        <v>Công ty cổ phần MISA</v>
      </c>
      <c r="K169" s="729"/>
      <c r="L169" s="728" t="str">
        <f>IFERROR(__xludf.DUMMYFUNCTION("""COMPUTED_VALUE"""),"Đang theo dõi")</f>
        <v>Đang theo dõi</v>
      </c>
      <c r="M169" s="729"/>
      <c r="N169" s="728" t="str">
        <f>IFERROR(__xludf.DUMMYFUNCTION("""COMPUTED_VALUE"""),"giữ nguyên")</f>
        <v>giữ nguyên</v>
      </c>
      <c r="O169" s="708"/>
      <c r="P169" s="708"/>
      <c r="Q169" s="708"/>
      <c r="R169" s="708"/>
      <c r="S169" s="708"/>
      <c r="T169" s="708"/>
      <c r="U169" s="708"/>
      <c r="V169" s="708"/>
      <c r="W169" s="708"/>
      <c r="X169" s="708"/>
      <c r="Y169" s="708"/>
      <c r="Z169" s="708"/>
      <c r="AA169" s="708"/>
      <c r="AB169" s="708"/>
      <c r="AC169" s="708"/>
      <c r="AD169" s="708"/>
      <c r="AE169" s="708"/>
    </row>
    <row r="170">
      <c r="A170" s="727">
        <f>IFERROR(__xludf.DUMMYFUNCTION("""COMPUTED_VALUE"""),153.0)</f>
        <v>153</v>
      </c>
      <c r="B170" s="728" t="str">
        <f>IFERROR(__xludf.DUMMYFUNCTION("""COMPUTED_VALUE"""),"BO_SAD_MGR")</f>
        <v>BO_SAD_MGR</v>
      </c>
      <c r="C170" s="728" t="str">
        <f>IFERROR(__xludf.DUMMYFUNCTION("""COMPUTED_VALUE"""),"BO_SAD_MGR")</f>
        <v>BO_SAD_MGR</v>
      </c>
      <c r="D170" s="728" t="str">
        <f>IFERROR(__xludf.DUMMYFUNCTION("""COMPUTED_VALUE"""),"Trưởng phòng Quản trị hệ thống")</f>
        <v>Trưởng phòng Quản trị hệ thống</v>
      </c>
      <c r="E170" s="728" t="str">
        <f>IFERROR(__xludf.DUMMYFUNCTION("""COMPUTED_VALUE"""),"BO_COD")</f>
        <v>BO_COD</v>
      </c>
      <c r="F170" s="728">
        <f>IFERROR(__xludf.DUMMYFUNCTION("""COMPUTED_VALUE"""),2.0)</f>
        <v>2</v>
      </c>
      <c r="G170" s="728" t="str">
        <f>IFERROR(__xludf.DUMMYFUNCTION("""COMPUTED_VALUE"""),"BO")</f>
        <v>BO</v>
      </c>
      <c r="H170" s="728" t="str">
        <f>IFERROR(__xludf.DUMMYFUNCTION("""COMPUTED_VALUE"""),"TPP/ Trưởng ban")</f>
        <v>TPP/ Trưởng ban</v>
      </c>
      <c r="I170" s="728" t="str">
        <f>IFERROR(__xludf.DUMMYFUNCTION("""COMPUTED_VALUE"""),"L00")</f>
        <v>L00</v>
      </c>
      <c r="J170" s="728" t="str">
        <f>IFERROR(__xludf.DUMMYFUNCTION("""COMPUTED_VALUE"""),"Công ty cổ phần MISA")</f>
        <v>Công ty cổ phần MISA</v>
      </c>
      <c r="K170" s="729"/>
      <c r="L170" s="728" t="str">
        <f>IFERROR(__xludf.DUMMYFUNCTION("""COMPUTED_VALUE"""),"Đang theo dõi")</f>
        <v>Đang theo dõi</v>
      </c>
      <c r="M170" s="729"/>
      <c r="N170" s="728" t="str">
        <f>IFERROR(__xludf.DUMMYFUNCTION("""COMPUTED_VALUE"""),"giữ nguyên")</f>
        <v>giữ nguyên</v>
      </c>
      <c r="O170" s="708"/>
      <c r="P170" s="708"/>
      <c r="Q170" s="708"/>
      <c r="R170" s="708"/>
      <c r="S170" s="708"/>
      <c r="T170" s="708"/>
      <c r="U170" s="708"/>
      <c r="V170" s="708"/>
      <c r="W170" s="708"/>
      <c r="X170" s="708"/>
      <c r="Y170" s="708"/>
      <c r="Z170" s="708"/>
      <c r="AA170" s="708"/>
      <c r="AB170" s="708"/>
      <c r="AC170" s="708"/>
      <c r="AD170" s="708"/>
      <c r="AE170" s="708"/>
    </row>
    <row r="171">
      <c r="A171" s="727">
        <f>IFERROR(__xludf.DUMMYFUNCTION("""COMPUTED_VALUE"""),154.0)</f>
        <v>154</v>
      </c>
      <c r="B171" s="728" t="str">
        <f>IFERROR(__xludf.DUMMYFUNCTION("""COMPUTED_VALUE"""),"BOD_CEO")</f>
        <v>BOD_CEO</v>
      </c>
      <c r="C171" s="728" t="str">
        <f>IFERROR(__xludf.DUMMYFUNCTION("""COMPUTED_VALUE"""),"BOD_CEO")</f>
        <v>BOD_CEO</v>
      </c>
      <c r="D171" s="728" t="str">
        <f>IFERROR(__xludf.DUMMYFUNCTION("""COMPUTED_VALUE"""),"Tổng Giám đốc")</f>
        <v>Tổng Giám đốc</v>
      </c>
      <c r="E171" s="728" t="str">
        <f>IFERROR(__xludf.DUMMYFUNCTION("""COMPUTED_VALUE"""),"BOD")</f>
        <v>BOD</v>
      </c>
      <c r="F171" s="728">
        <f>IFERROR(__xludf.DUMMYFUNCTION("""COMPUTED_VALUE"""),5.0)</f>
        <v>5</v>
      </c>
      <c r="G171" s="728" t="str">
        <f>IFERROR(__xludf.DUMMYFUNCTION("""COMPUTED_VALUE"""),"BO")</f>
        <v>BO</v>
      </c>
      <c r="H171" s="728" t="str">
        <f>IFERROR(__xludf.DUMMYFUNCTION("""COMPUTED_VALUE"""),"Ban điều hành")</f>
        <v>Ban điều hành</v>
      </c>
      <c r="I171" s="728" t="str">
        <f>IFERROR(__xludf.DUMMYFUNCTION("""COMPUTED_VALUE"""),"L00")</f>
        <v>L00</v>
      </c>
      <c r="J171" s="728" t="str">
        <f>IFERROR(__xludf.DUMMYFUNCTION("""COMPUTED_VALUE"""),"Công ty cổ phần MISA")</f>
        <v>Công ty cổ phần MISA</v>
      </c>
      <c r="K171" s="729"/>
      <c r="L171" s="728" t="str">
        <f>IFERROR(__xludf.DUMMYFUNCTION("""COMPUTED_VALUE"""),"Đang theo dõi")</f>
        <v>Đang theo dõi</v>
      </c>
      <c r="M171" s="729"/>
      <c r="N171" s="728" t="str">
        <f>IFERROR(__xludf.DUMMYFUNCTION("""COMPUTED_VALUE"""),"giữ nguyên")</f>
        <v>giữ nguyên</v>
      </c>
      <c r="O171" s="708"/>
      <c r="P171" s="708"/>
      <c r="Q171" s="708"/>
      <c r="R171" s="708"/>
      <c r="S171" s="708"/>
      <c r="T171" s="708"/>
      <c r="U171" s="708"/>
      <c r="V171" s="708"/>
      <c r="W171" s="708"/>
      <c r="X171" s="708"/>
      <c r="Y171" s="708"/>
      <c r="Z171" s="708"/>
      <c r="AA171" s="708"/>
      <c r="AB171" s="708"/>
      <c r="AC171" s="708"/>
      <c r="AD171" s="708"/>
      <c r="AE171" s="708"/>
    </row>
    <row r="172">
      <c r="A172" s="727">
        <f>IFERROR(__xludf.DUMMYFUNCTION("""COMPUTED_VALUE"""),155.0)</f>
        <v>155</v>
      </c>
      <c r="B172" s="728" t="str">
        <f>IFERROR(__xludf.DUMMYFUNCTION("""COMPUTED_VALUE"""),"BOD_CFO")</f>
        <v>BOD_CFO</v>
      </c>
      <c r="C172" s="728" t="str">
        <f>IFERROR(__xludf.DUMMYFUNCTION("""COMPUTED_VALUE"""),"BOD_CFO")</f>
        <v>BOD_CFO</v>
      </c>
      <c r="D172" s="728" t="str">
        <f>IFERROR(__xludf.DUMMYFUNCTION("""COMPUTED_VALUE"""),"Giám đốc Tài chính")</f>
        <v>Giám đốc Tài chính</v>
      </c>
      <c r="E172" s="728" t="str">
        <f>IFERROR(__xludf.DUMMYFUNCTION("""COMPUTED_VALUE"""),"BOD")</f>
        <v>BOD</v>
      </c>
      <c r="F172" s="728">
        <f>IFERROR(__xludf.DUMMYFUNCTION("""COMPUTED_VALUE"""),4.0)</f>
        <v>4</v>
      </c>
      <c r="G172" s="728" t="str">
        <f>IFERROR(__xludf.DUMMYFUNCTION("""COMPUTED_VALUE"""),"BO")</f>
        <v>BO</v>
      </c>
      <c r="H172" s="728" t="str">
        <f>IFERROR(__xludf.DUMMYFUNCTION("""COMPUTED_VALUE"""),"Ban điều hành")</f>
        <v>Ban điều hành</v>
      </c>
      <c r="I172" s="728" t="str">
        <f>IFERROR(__xludf.DUMMYFUNCTION("""COMPUTED_VALUE"""),"L00")</f>
        <v>L00</v>
      </c>
      <c r="J172" s="728" t="str">
        <f>IFERROR(__xludf.DUMMYFUNCTION("""COMPUTED_VALUE"""),"Công ty cổ phần MISA")</f>
        <v>Công ty cổ phần MISA</v>
      </c>
      <c r="K172" s="729"/>
      <c r="L172" s="728" t="str">
        <f>IFERROR(__xludf.DUMMYFUNCTION("""COMPUTED_VALUE"""),"Đang theo dõi")</f>
        <v>Đang theo dõi</v>
      </c>
      <c r="M172" s="729"/>
      <c r="N172" s="728" t="str">
        <f>IFERROR(__xludf.DUMMYFUNCTION("""COMPUTED_VALUE"""),"giữ nguyên")</f>
        <v>giữ nguyên</v>
      </c>
      <c r="O172" s="708"/>
      <c r="P172" s="708"/>
      <c r="Q172" s="708"/>
      <c r="R172" s="708"/>
      <c r="S172" s="708"/>
      <c r="T172" s="708"/>
      <c r="U172" s="708"/>
      <c r="V172" s="708"/>
      <c r="W172" s="708"/>
      <c r="X172" s="708"/>
      <c r="Y172" s="708"/>
      <c r="Z172" s="708"/>
      <c r="AA172" s="708"/>
      <c r="AB172" s="708"/>
      <c r="AC172" s="708"/>
      <c r="AD172" s="708"/>
      <c r="AE172" s="708"/>
    </row>
    <row r="173">
      <c r="A173" s="727">
        <f>IFERROR(__xludf.DUMMYFUNCTION("""COMPUTED_VALUE"""),156.0)</f>
        <v>156</v>
      </c>
      <c r="B173" s="728" t="str">
        <f>IFERROR(__xludf.DUMMYFUNCTION("""COMPUTED_VALUE"""),"BOD_CIO")</f>
        <v>BOD_CIO</v>
      </c>
      <c r="C173" s="728" t="str">
        <f>IFERROR(__xludf.DUMMYFUNCTION("""COMPUTED_VALUE"""),"BOD_CIO")</f>
        <v>BOD_CIO</v>
      </c>
      <c r="D173" s="728" t="str">
        <f>IFERROR(__xludf.DUMMYFUNCTION("""COMPUTED_VALUE"""),"Giám đốc Đổi mới sáng tạo")</f>
        <v>Giám đốc Đổi mới sáng tạo</v>
      </c>
      <c r="E173" s="728" t="str">
        <f>IFERROR(__xludf.DUMMYFUNCTION("""COMPUTED_VALUE"""),"BOD")</f>
        <v>BOD</v>
      </c>
      <c r="F173" s="728">
        <f>IFERROR(__xludf.DUMMYFUNCTION("""COMPUTED_VALUE"""),4.0)</f>
        <v>4</v>
      </c>
      <c r="G173" s="728" t="str">
        <f>IFERROR(__xludf.DUMMYFUNCTION("""COMPUTED_VALUE"""),"BO")</f>
        <v>BO</v>
      </c>
      <c r="H173" s="728" t="str">
        <f>IFERROR(__xludf.DUMMYFUNCTION("""COMPUTED_VALUE"""),"Ban điều hành")</f>
        <v>Ban điều hành</v>
      </c>
      <c r="I173" s="728" t="str">
        <f>IFERROR(__xludf.DUMMYFUNCTION("""COMPUTED_VALUE"""),"L00")</f>
        <v>L00</v>
      </c>
      <c r="J173" s="728" t="str">
        <f>IFERROR(__xludf.DUMMYFUNCTION("""COMPUTED_VALUE"""),"Công ty cổ phần MISA")</f>
        <v>Công ty cổ phần MISA</v>
      </c>
      <c r="K173" s="729"/>
      <c r="L173" s="728" t="str">
        <f>IFERROR(__xludf.DUMMYFUNCTION("""COMPUTED_VALUE"""),"Đang theo dõi")</f>
        <v>Đang theo dõi</v>
      </c>
      <c r="M173" s="729"/>
      <c r="N173" s="728" t="str">
        <f>IFERROR(__xludf.DUMMYFUNCTION("""COMPUTED_VALUE"""),"giữ nguyên")</f>
        <v>giữ nguyên</v>
      </c>
      <c r="O173" s="708"/>
      <c r="P173" s="708"/>
      <c r="Q173" s="708"/>
      <c r="R173" s="708"/>
      <c r="S173" s="708"/>
      <c r="T173" s="708"/>
      <c r="U173" s="708"/>
      <c r="V173" s="708"/>
      <c r="W173" s="708"/>
      <c r="X173" s="708"/>
      <c r="Y173" s="708"/>
      <c r="Z173" s="708"/>
      <c r="AA173" s="708"/>
      <c r="AB173" s="708"/>
      <c r="AC173" s="708"/>
      <c r="AD173" s="708"/>
      <c r="AE173" s="708"/>
    </row>
    <row r="174">
      <c r="A174" s="727">
        <f>IFERROR(__xludf.DUMMYFUNCTION("""COMPUTED_VALUE"""),157.0)</f>
        <v>157</v>
      </c>
      <c r="B174" s="728" t="str">
        <f>IFERROR(__xludf.DUMMYFUNCTION("""COMPUTED_VALUE"""),"BOD_COB")</f>
        <v>BOD_COB</v>
      </c>
      <c r="C174" s="728" t="str">
        <f>IFERROR(__xludf.DUMMYFUNCTION("""COMPUTED_VALUE"""),"BOD_COB")</f>
        <v>BOD_COB</v>
      </c>
      <c r="D174" s="728" t="str">
        <f>IFERROR(__xludf.DUMMYFUNCTION("""COMPUTED_VALUE"""),"Chủ tịch HĐQT")</f>
        <v>Chủ tịch HĐQT</v>
      </c>
      <c r="E174" s="728" t="str">
        <f>IFERROR(__xludf.DUMMYFUNCTION("""COMPUTED_VALUE"""),"BOD")</f>
        <v>BOD</v>
      </c>
      <c r="F174" s="728">
        <f>IFERROR(__xludf.DUMMYFUNCTION("""COMPUTED_VALUE"""),6.0)</f>
        <v>6</v>
      </c>
      <c r="G174" s="728" t="str">
        <f>IFERROR(__xludf.DUMMYFUNCTION("""COMPUTED_VALUE"""),"BO")</f>
        <v>BO</v>
      </c>
      <c r="H174" s="728" t="str">
        <f>IFERROR(__xludf.DUMMYFUNCTION("""COMPUTED_VALUE"""),"HĐQT")</f>
        <v>HĐQT</v>
      </c>
      <c r="I174" s="728" t="str">
        <f>IFERROR(__xludf.DUMMYFUNCTION("""COMPUTED_VALUE"""),"L00")</f>
        <v>L00</v>
      </c>
      <c r="J174" s="728" t="str">
        <f>IFERROR(__xludf.DUMMYFUNCTION("""COMPUTED_VALUE"""),"Công ty cổ phần MISA")</f>
        <v>Công ty cổ phần MISA</v>
      </c>
      <c r="K174" s="729"/>
      <c r="L174" s="728" t="str">
        <f>IFERROR(__xludf.DUMMYFUNCTION("""COMPUTED_VALUE"""),"Đang theo dõi")</f>
        <v>Đang theo dõi</v>
      </c>
      <c r="M174" s="729"/>
      <c r="N174" s="728" t="str">
        <f>IFERROR(__xludf.DUMMYFUNCTION("""COMPUTED_VALUE"""),"giữ nguyên")</f>
        <v>giữ nguyên</v>
      </c>
      <c r="O174" s="708"/>
      <c r="P174" s="708"/>
      <c r="Q174" s="708"/>
      <c r="R174" s="708"/>
      <c r="S174" s="708"/>
      <c r="T174" s="708"/>
      <c r="U174" s="708"/>
      <c r="V174" s="708"/>
      <c r="W174" s="708"/>
      <c r="X174" s="708"/>
      <c r="Y174" s="708"/>
      <c r="Z174" s="708"/>
      <c r="AA174" s="708"/>
      <c r="AB174" s="708"/>
      <c r="AC174" s="708"/>
      <c r="AD174" s="708"/>
      <c r="AE174" s="708"/>
    </row>
    <row r="175">
      <c r="A175" s="727">
        <f>IFERROR(__xludf.DUMMYFUNCTION("""COMPUTED_VALUE"""),158.0)</f>
        <v>158</v>
      </c>
      <c r="B175" s="728" t="str">
        <f>IFERROR(__xludf.DUMMYFUNCTION("""COMPUTED_VALUE"""),"BOD_DCFO")</f>
        <v>BOD_DCFO</v>
      </c>
      <c r="C175" s="728" t="str">
        <f>IFERROR(__xludf.DUMMYFUNCTION("""COMPUTED_VALUE"""),"BOD_DCFO")</f>
        <v>BOD_DCFO</v>
      </c>
      <c r="D175" s="728" t="str">
        <f>IFERROR(__xludf.DUMMYFUNCTION("""COMPUTED_VALUE"""),"Phó Giám đốc Tài chính")</f>
        <v>Phó Giám đốc Tài chính</v>
      </c>
      <c r="E175" s="728" t="str">
        <f>IFERROR(__xludf.DUMMYFUNCTION("""COMPUTED_VALUE"""),"BOD")</f>
        <v>BOD</v>
      </c>
      <c r="F175" s="728">
        <f>IFERROR(__xludf.DUMMYFUNCTION("""COMPUTED_VALUE"""),3.0)</f>
        <v>3</v>
      </c>
      <c r="G175" s="728" t="str">
        <f>IFERROR(__xludf.DUMMYFUNCTION("""COMPUTED_VALUE"""),"BO")</f>
        <v>BO</v>
      </c>
      <c r="H175" s="729"/>
      <c r="I175" s="728" t="str">
        <f>IFERROR(__xludf.DUMMYFUNCTION("""COMPUTED_VALUE"""),"L00")</f>
        <v>L00</v>
      </c>
      <c r="J175" s="728" t="str">
        <f>IFERROR(__xludf.DUMMYFUNCTION("""COMPUTED_VALUE"""),"Công ty cổ phần MISA")</f>
        <v>Công ty cổ phần MISA</v>
      </c>
      <c r="K175" s="729"/>
      <c r="L175" s="728" t="str">
        <f>IFERROR(__xludf.DUMMYFUNCTION("""COMPUTED_VALUE"""),"Đang theo dõi")</f>
        <v>Đang theo dõi</v>
      </c>
      <c r="M175" s="729"/>
      <c r="N175" s="728" t="str">
        <f>IFERROR(__xludf.DUMMYFUNCTION("""COMPUTED_VALUE"""),"giữ nguyên")</f>
        <v>giữ nguyên</v>
      </c>
      <c r="O175" s="708"/>
      <c r="P175" s="708"/>
      <c r="Q175" s="708"/>
      <c r="R175" s="708"/>
      <c r="S175" s="708"/>
      <c r="T175" s="708"/>
      <c r="U175" s="708"/>
      <c r="V175" s="708"/>
      <c r="W175" s="708"/>
      <c r="X175" s="708"/>
      <c r="Y175" s="708"/>
      <c r="Z175" s="708"/>
      <c r="AA175" s="708"/>
      <c r="AB175" s="708"/>
      <c r="AC175" s="708"/>
      <c r="AD175" s="708"/>
      <c r="AE175" s="708"/>
    </row>
    <row r="176">
      <c r="A176" s="727">
        <f>IFERROR(__xludf.DUMMYFUNCTION("""COMPUTED_VALUE"""),159.0)</f>
        <v>159</v>
      </c>
      <c r="B176" s="728" t="str">
        <f>IFERROR(__xludf.DUMMYFUNCTION("""COMPUTED_VALUE"""),"BOD_I.CEO")</f>
        <v>BOD_I.CEO</v>
      </c>
      <c r="C176" s="728" t="str">
        <f>IFERROR(__xludf.DUMMYFUNCTION("""COMPUTED_VALUE"""),"BOD_I.CEO")</f>
        <v>BOD_I.CEO</v>
      </c>
      <c r="D176" s="728" t="str">
        <f>IFERROR(__xludf.DUMMYFUNCTION("""COMPUTED_VALUE"""),"Thực tập Tổng giám đốc")</f>
        <v>Thực tập Tổng giám đốc</v>
      </c>
      <c r="E176" s="728" t="str">
        <f>IFERROR(__xludf.DUMMYFUNCTION("""COMPUTED_VALUE"""),"BOD")</f>
        <v>BOD</v>
      </c>
      <c r="F176" s="728">
        <f>IFERROR(__xludf.DUMMYFUNCTION("""COMPUTED_VALUE"""),5.0)</f>
        <v>5</v>
      </c>
      <c r="G176" s="728" t="str">
        <f>IFERROR(__xludf.DUMMYFUNCTION("""COMPUTED_VALUE"""),"BO")</f>
        <v>BO</v>
      </c>
      <c r="H176" s="728" t="str">
        <f>IFERROR(__xludf.DUMMYFUNCTION("""COMPUTED_VALUE"""),"Ban điều hành")</f>
        <v>Ban điều hành</v>
      </c>
      <c r="I176" s="728" t="str">
        <f>IFERROR(__xludf.DUMMYFUNCTION("""COMPUTED_VALUE"""),"L00")</f>
        <v>L00</v>
      </c>
      <c r="J176" s="728" t="str">
        <f>IFERROR(__xludf.DUMMYFUNCTION("""COMPUTED_VALUE"""),"Công ty cổ phần MISA")</f>
        <v>Công ty cổ phần MISA</v>
      </c>
      <c r="K176" s="729"/>
      <c r="L176" s="728" t="str">
        <f>IFERROR(__xludf.DUMMYFUNCTION("""COMPUTED_VALUE"""),"Đang theo dõi")</f>
        <v>Đang theo dõi</v>
      </c>
      <c r="M176" s="729"/>
      <c r="N176" s="728" t="str">
        <f>IFERROR(__xludf.DUMMYFUNCTION("""COMPUTED_VALUE"""),"giữ nguyên")</f>
        <v>giữ nguyên</v>
      </c>
      <c r="O176" s="708"/>
      <c r="P176" s="708"/>
      <c r="Q176" s="708"/>
      <c r="R176" s="708"/>
      <c r="S176" s="708"/>
      <c r="T176" s="708"/>
      <c r="U176" s="708"/>
      <c r="V176" s="708"/>
      <c r="W176" s="708"/>
      <c r="X176" s="708"/>
      <c r="Y176" s="708"/>
      <c r="Z176" s="708"/>
      <c r="AA176" s="708"/>
      <c r="AB176" s="708"/>
      <c r="AC176" s="708"/>
      <c r="AD176" s="708"/>
      <c r="AE176" s="708"/>
    </row>
    <row r="177">
      <c r="A177" s="727">
        <f>IFERROR(__xludf.DUMMYFUNCTION("""COMPUTED_VALUE"""),160.0)</f>
        <v>160</v>
      </c>
      <c r="B177" s="728" t="str">
        <f>IFERROR(__xludf.DUMMYFUNCTION("""COMPUTED_VALUE"""),"BOD_I.VP_GOVT")</f>
        <v>BOD_I.VP_GOVT</v>
      </c>
      <c r="C177" s="728" t="str">
        <f>IFERROR(__xludf.DUMMYFUNCTION("""COMPUTED_VALUE"""),"BOD_I.VP_GOVT")</f>
        <v>BOD_I.VP_GOVT</v>
      </c>
      <c r="D177" s="728" t="str">
        <f>IFERROR(__xludf.DUMMYFUNCTION("""COMPUTED_VALUE"""),"Thực tập Phó Tổng Giám Đốc")</f>
        <v>Thực tập Phó Tổng Giám Đốc</v>
      </c>
      <c r="E177" s="728" t="str">
        <f>IFERROR(__xludf.DUMMYFUNCTION("""COMPUTED_VALUE"""),"BOD")</f>
        <v>BOD</v>
      </c>
      <c r="F177" s="728">
        <f>IFERROR(__xludf.DUMMYFUNCTION("""COMPUTED_VALUE"""),5.0)</f>
        <v>5</v>
      </c>
      <c r="G177" s="728" t="str">
        <f>IFERROR(__xludf.DUMMYFUNCTION("""COMPUTED_VALUE"""),"BO")</f>
        <v>BO</v>
      </c>
      <c r="H177" s="728" t="str">
        <f>IFERROR(__xludf.DUMMYFUNCTION("""COMPUTED_VALUE"""),"Ban điều hành")</f>
        <v>Ban điều hành</v>
      </c>
      <c r="I177" s="728" t="str">
        <f>IFERROR(__xludf.DUMMYFUNCTION("""COMPUTED_VALUE"""),"L00")</f>
        <v>L00</v>
      </c>
      <c r="J177" s="728" t="str">
        <f>IFERROR(__xludf.DUMMYFUNCTION("""COMPUTED_VALUE"""),"Công ty cổ phần MISA")</f>
        <v>Công ty cổ phần MISA</v>
      </c>
      <c r="K177" s="729"/>
      <c r="L177" s="728" t="str">
        <f>IFERROR(__xludf.DUMMYFUNCTION("""COMPUTED_VALUE"""),"Đang theo dõi")</f>
        <v>Đang theo dõi</v>
      </c>
      <c r="M177" s="729"/>
      <c r="N177" s="728" t="str">
        <f>IFERROR(__xludf.DUMMYFUNCTION("""COMPUTED_VALUE"""),"giữ nguyên")</f>
        <v>giữ nguyên</v>
      </c>
      <c r="O177" s="708"/>
      <c r="P177" s="708"/>
      <c r="Q177" s="708"/>
      <c r="R177" s="708"/>
      <c r="S177" s="708"/>
      <c r="T177" s="708"/>
      <c r="U177" s="708"/>
      <c r="V177" s="708"/>
      <c r="W177" s="708"/>
      <c r="X177" s="708"/>
      <c r="Y177" s="708"/>
      <c r="Z177" s="708"/>
      <c r="AA177" s="708"/>
      <c r="AB177" s="708"/>
      <c r="AC177" s="708"/>
      <c r="AD177" s="708"/>
      <c r="AE177" s="708"/>
    </row>
    <row r="178">
      <c r="A178" s="727">
        <f>IFERROR(__xludf.DUMMYFUNCTION("""COMPUTED_VALUE"""),161.0)</f>
        <v>161</v>
      </c>
      <c r="B178" s="728" t="str">
        <f>IFERROR(__xludf.DUMMYFUNCTION("""COMPUTED_VALUE"""),"BOD_VCOB")</f>
        <v>BOD_VCOB</v>
      </c>
      <c r="C178" s="728" t="str">
        <f>IFERROR(__xludf.DUMMYFUNCTION("""COMPUTED_VALUE"""),"BOD_VCOB")</f>
        <v>BOD_VCOB</v>
      </c>
      <c r="D178" s="728" t="str">
        <f>IFERROR(__xludf.DUMMYFUNCTION("""COMPUTED_VALUE"""),"Phó Chủ tịch HĐQT")</f>
        <v>Phó Chủ tịch HĐQT</v>
      </c>
      <c r="E178" s="728" t="str">
        <f>IFERROR(__xludf.DUMMYFUNCTION("""COMPUTED_VALUE"""),"BOD")</f>
        <v>BOD</v>
      </c>
      <c r="F178" s="728">
        <f>IFERROR(__xludf.DUMMYFUNCTION("""COMPUTED_VALUE"""),6.0)</f>
        <v>6</v>
      </c>
      <c r="G178" s="728" t="str">
        <f>IFERROR(__xludf.DUMMYFUNCTION("""COMPUTED_VALUE"""),"BO")</f>
        <v>BO</v>
      </c>
      <c r="H178" s="728" t="str">
        <f>IFERROR(__xludf.DUMMYFUNCTION("""COMPUTED_VALUE"""),"HĐQT")</f>
        <v>HĐQT</v>
      </c>
      <c r="I178" s="728" t="str">
        <f>IFERROR(__xludf.DUMMYFUNCTION("""COMPUTED_VALUE"""),"L00")</f>
        <v>L00</v>
      </c>
      <c r="J178" s="728" t="str">
        <f>IFERROR(__xludf.DUMMYFUNCTION("""COMPUTED_VALUE"""),"Công ty cổ phần MISA")</f>
        <v>Công ty cổ phần MISA</v>
      </c>
      <c r="K178" s="729"/>
      <c r="L178" s="728" t="str">
        <f>IFERROR(__xludf.DUMMYFUNCTION("""COMPUTED_VALUE"""),"Đang theo dõi")</f>
        <v>Đang theo dõi</v>
      </c>
      <c r="M178" s="729"/>
      <c r="N178" s="728" t="str">
        <f>IFERROR(__xludf.DUMMYFUNCTION("""COMPUTED_VALUE"""),"giữ nguyên")</f>
        <v>giữ nguyên</v>
      </c>
      <c r="O178" s="708"/>
      <c r="P178" s="708"/>
      <c r="Q178" s="708"/>
      <c r="R178" s="708"/>
      <c r="S178" s="708"/>
      <c r="T178" s="708"/>
      <c r="U178" s="708"/>
      <c r="V178" s="708"/>
      <c r="W178" s="708"/>
      <c r="X178" s="708"/>
      <c r="Y178" s="708"/>
      <c r="Z178" s="708"/>
      <c r="AA178" s="708"/>
      <c r="AB178" s="708"/>
      <c r="AC178" s="708"/>
      <c r="AD178" s="708"/>
      <c r="AE178" s="708"/>
    </row>
    <row r="179">
      <c r="A179" s="727">
        <f>IFERROR(__xludf.DUMMYFUNCTION("""COMPUTED_VALUE"""),162.0)</f>
        <v>162</v>
      </c>
      <c r="B179" s="728" t="str">
        <f>IFERROR(__xludf.DUMMYFUNCTION("""COMPUTED_VALUE"""),"BOD_VP_GOVT")</f>
        <v>BOD_VP_GOVT</v>
      </c>
      <c r="C179" s="728" t="str">
        <f>IFERROR(__xludf.DUMMYFUNCTION("""COMPUTED_VALUE"""),"BOD_VP_GOVT")</f>
        <v>BOD_VP_GOVT</v>
      </c>
      <c r="D179" s="728" t="str">
        <f>IFERROR(__xludf.DUMMYFUNCTION("""COMPUTED_VALUE"""),"Phó Tổng Giám Đốc")</f>
        <v>Phó Tổng Giám Đốc</v>
      </c>
      <c r="E179" s="728" t="str">
        <f>IFERROR(__xludf.DUMMYFUNCTION("""COMPUTED_VALUE"""),"BOD")</f>
        <v>BOD</v>
      </c>
      <c r="F179" s="728">
        <f>IFERROR(__xludf.DUMMYFUNCTION("""COMPUTED_VALUE"""),5.0)</f>
        <v>5</v>
      </c>
      <c r="G179" s="728" t="str">
        <f>IFERROR(__xludf.DUMMYFUNCTION("""COMPUTED_VALUE"""),"BO")</f>
        <v>BO</v>
      </c>
      <c r="H179" s="728" t="str">
        <f>IFERROR(__xludf.DUMMYFUNCTION("""COMPUTED_VALUE"""),"Ban điều hành")</f>
        <v>Ban điều hành</v>
      </c>
      <c r="I179" s="728" t="str">
        <f>IFERROR(__xludf.DUMMYFUNCTION("""COMPUTED_VALUE"""),"L00")</f>
        <v>L00</v>
      </c>
      <c r="J179" s="728" t="str">
        <f>IFERROR(__xludf.DUMMYFUNCTION("""COMPUTED_VALUE"""),"Công ty cổ phần MISA")</f>
        <v>Công ty cổ phần MISA</v>
      </c>
      <c r="K179" s="729"/>
      <c r="L179" s="728" t="str">
        <f>IFERROR(__xludf.DUMMYFUNCTION("""COMPUTED_VALUE"""),"Đang theo dõi")</f>
        <v>Đang theo dõi</v>
      </c>
      <c r="M179" s="729"/>
      <c r="N179" s="728" t="str">
        <f>IFERROR(__xludf.DUMMYFUNCTION("""COMPUTED_VALUE"""),"giữ nguyên")</f>
        <v>giữ nguyên</v>
      </c>
      <c r="O179" s="708"/>
      <c r="P179" s="708"/>
      <c r="Q179" s="708"/>
      <c r="R179" s="708"/>
      <c r="S179" s="708"/>
      <c r="T179" s="708"/>
      <c r="U179" s="708"/>
      <c r="V179" s="708"/>
      <c r="W179" s="708"/>
      <c r="X179" s="708"/>
      <c r="Y179" s="708"/>
      <c r="Z179" s="708"/>
      <c r="AA179" s="708"/>
      <c r="AB179" s="708"/>
      <c r="AC179" s="708"/>
      <c r="AD179" s="708"/>
      <c r="AE179" s="708"/>
    </row>
    <row r="180">
      <c r="A180" s="727">
        <f>IFERROR(__xludf.DUMMYFUNCTION("""COMPUTED_VALUE"""),163.0)</f>
        <v>163</v>
      </c>
      <c r="B180" s="728" t="str">
        <f>IFERROR(__xludf.DUMMYFUNCTION("""COMPUTED_VALUE"""),"BOD_VP_HR")</f>
        <v>BOD_VP_HR</v>
      </c>
      <c r="C180" s="728" t="str">
        <f>IFERROR(__xludf.DUMMYFUNCTION("""COMPUTED_VALUE"""),"BOD_VP_HR")</f>
        <v>BOD_VP_HR</v>
      </c>
      <c r="D180" s="728" t="str">
        <f>IFERROR(__xludf.DUMMYFUNCTION("""COMPUTED_VALUE"""),"Phó Tổng Giám Đốc")</f>
        <v>Phó Tổng Giám Đốc</v>
      </c>
      <c r="E180" s="728" t="str">
        <f>IFERROR(__xludf.DUMMYFUNCTION("""COMPUTED_VALUE"""),"BOD")</f>
        <v>BOD</v>
      </c>
      <c r="F180" s="728">
        <f>IFERROR(__xludf.DUMMYFUNCTION("""COMPUTED_VALUE"""),5.0)</f>
        <v>5</v>
      </c>
      <c r="G180" s="728" t="str">
        <f>IFERROR(__xludf.DUMMYFUNCTION("""COMPUTED_VALUE"""),"BO")</f>
        <v>BO</v>
      </c>
      <c r="H180" s="728" t="str">
        <f>IFERROR(__xludf.DUMMYFUNCTION("""COMPUTED_VALUE"""),"Ban điều hành")</f>
        <v>Ban điều hành</v>
      </c>
      <c r="I180" s="728" t="str">
        <f>IFERROR(__xludf.DUMMYFUNCTION("""COMPUTED_VALUE"""),"L00")</f>
        <v>L00</v>
      </c>
      <c r="J180" s="728" t="str">
        <f>IFERROR(__xludf.DUMMYFUNCTION("""COMPUTED_VALUE"""),"Công ty cổ phần MISA")</f>
        <v>Công ty cổ phần MISA</v>
      </c>
      <c r="K180" s="729"/>
      <c r="L180" s="728" t="str">
        <f>IFERROR(__xludf.DUMMYFUNCTION("""COMPUTED_VALUE"""),"Đang theo dõi")</f>
        <v>Đang theo dõi</v>
      </c>
      <c r="M180" s="729"/>
      <c r="N180" s="728" t="str">
        <f>IFERROR(__xludf.DUMMYFUNCTION("""COMPUTED_VALUE"""),"giữ nguyên")</f>
        <v>giữ nguyên</v>
      </c>
      <c r="O180" s="708"/>
      <c r="P180" s="708"/>
      <c r="Q180" s="708"/>
      <c r="R180" s="708"/>
      <c r="S180" s="708"/>
      <c r="T180" s="708"/>
      <c r="U180" s="708"/>
      <c r="V180" s="708"/>
      <c r="W180" s="708"/>
      <c r="X180" s="708"/>
      <c r="Y180" s="708"/>
      <c r="Z180" s="708"/>
      <c r="AA180" s="708"/>
      <c r="AB180" s="708"/>
      <c r="AC180" s="708"/>
      <c r="AD180" s="708"/>
      <c r="AE180" s="708"/>
    </row>
    <row r="181">
      <c r="A181" s="727">
        <f>IFERROR(__xludf.DUMMYFUNCTION("""COMPUTED_VALUE"""),164.0)</f>
        <v>164</v>
      </c>
      <c r="B181" s="728" t="str">
        <f>IFERROR(__xludf.DUMMYFUNCTION("""COMPUTED_VALUE"""),"BOD_VP_PRODUCT")</f>
        <v>BOD_VP_PRODUCT</v>
      </c>
      <c r="C181" s="728" t="str">
        <f>IFERROR(__xludf.DUMMYFUNCTION("""COMPUTED_VALUE"""),"BOD_VP_PRODUCT")</f>
        <v>BOD_VP_PRODUCT</v>
      </c>
      <c r="D181" s="728" t="str">
        <f>IFERROR(__xludf.DUMMYFUNCTION("""COMPUTED_VALUE"""),"Phó Tổng Giám Đốc")</f>
        <v>Phó Tổng Giám Đốc</v>
      </c>
      <c r="E181" s="728" t="str">
        <f>IFERROR(__xludf.DUMMYFUNCTION("""COMPUTED_VALUE"""),"BOD")</f>
        <v>BOD</v>
      </c>
      <c r="F181" s="728">
        <f>IFERROR(__xludf.DUMMYFUNCTION("""COMPUTED_VALUE"""),5.0)</f>
        <v>5</v>
      </c>
      <c r="G181" s="728" t="str">
        <f>IFERROR(__xludf.DUMMYFUNCTION("""COMPUTED_VALUE"""),"BO")</f>
        <v>BO</v>
      </c>
      <c r="H181" s="728" t="str">
        <f>IFERROR(__xludf.DUMMYFUNCTION("""COMPUTED_VALUE"""),"Ban điều hành")</f>
        <v>Ban điều hành</v>
      </c>
      <c r="I181" s="728" t="str">
        <f>IFERROR(__xludf.DUMMYFUNCTION("""COMPUTED_VALUE"""),"L00")</f>
        <v>L00</v>
      </c>
      <c r="J181" s="728" t="str">
        <f>IFERROR(__xludf.DUMMYFUNCTION("""COMPUTED_VALUE"""),"Công ty cổ phần MISA")</f>
        <v>Công ty cổ phần MISA</v>
      </c>
      <c r="K181" s="729"/>
      <c r="L181" s="728" t="str">
        <f>IFERROR(__xludf.DUMMYFUNCTION("""COMPUTED_VALUE"""),"Đang theo dõi")</f>
        <v>Đang theo dõi</v>
      </c>
      <c r="M181" s="729"/>
      <c r="N181" s="728" t="str">
        <f>IFERROR(__xludf.DUMMYFUNCTION("""COMPUTED_VALUE"""),"giữ nguyên")</f>
        <v>giữ nguyên</v>
      </c>
      <c r="O181" s="708"/>
      <c r="P181" s="708"/>
      <c r="Q181" s="708"/>
      <c r="R181" s="708"/>
      <c r="S181" s="708"/>
      <c r="T181" s="708"/>
      <c r="U181" s="708"/>
      <c r="V181" s="708"/>
      <c r="W181" s="708"/>
      <c r="X181" s="708"/>
      <c r="Y181" s="708"/>
      <c r="Z181" s="708"/>
      <c r="AA181" s="708"/>
      <c r="AB181" s="708"/>
      <c r="AC181" s="708"/>
      <c r="AD181" s="708"/>
      <c r="AE181" s="708"/>
    </row>
    <row r="182">
      <c r="A182" s="727">
        <f>IFERROR(__xludf.DUMMYFUNCTION("""COMPUTED_VALUE"""),165.0)</f>
        <v>165</v>
      </c>
      <c r="B182" s="728" t="str">
        <f>IFERROR(__xludf.DUMMYFUNCTION("""COMPUTED_VALUE"""),"BOD_VP_SALES")</f>
        <v>BOD_VP_SALES</v>
      </c>
      <c r="C182" s="728" t="str">
        <f>IFERROR(__xludf.DUMMYFUNCTION("""COMPUTED_VALUE"""),"BOD_VP_SALES")</f>
        <v>BOD_VP_SALES</v>
      </c>
      <c r="D182" s="728" t="str">
        <f>IFERROR(__xludf.DUMMYFUNCTION("""COMPUTED_VALUE"""),"Phó Tổng Giám Đốc")</f>
        <v>Phó Tổng Giám Đốc</v>
      </c>
      <c r="E182" s="728" t="str">
        <f>IFERROR(__xludf.DUMMYFUNCTION("""COMPUTED_VALUE"""),"BOD")</f>
        <v>BOD</v>
      </c>
      <c r="F182" s="728">
        <f>IFERROR(__xludf.DUMMYFUNCTION("""COMPUTED_VALUE"""),5.0)</f>
        <v>5</v>
      </c>
      <c r="G182" s="728" t="str">
        <f>IFERROR(__xludf.DUMMYFUNCTION("""COMPUTED_VALUE"""),"BO")</f>
        <v>BO</v>
      </c>
      <c r="H182" s="728" t="str">
        <f>IFERROR(__xludf.DUMMYFUNCTION("""COMPUTED_VALUE"""),"Ban điều hành")</f>
        <v>Ban điều hành</v>
      </c>
      <c r="I182" s="728" t="str">
        <f>IFERROR(__xludf.DUMMYFUNCTION("""COMPUTED_VALUE"""),"L00")</f>
        <v>L00</v>
      </c>
      <c r="J182" s="728" t="str">
        <f>IFERROR(__xludf.DUMMYFUNCTION("""COMPUTED_VALUE"""),"Công ty cổ phần MISA")</f>
        <v>Công ty cổ phần MISA</v>
      </c>
      <c r="K182" s="729"/>
      <c r="L182" s="728" t="str">
        <f>IFERROR(__xludf.DUMMYFUNCTION("""COMPUTED_VALUE"""),"Đang theo dõi")</f>
        <v>Đang theo dõi</v>
      </c>
      <c r="M182" s="729"/>
      <c r="N182" s="728" t="str">
        <f>IFERROR(__xludf.DUMMYFUNCTION("""COMPUTED_VALUE"""),"giữ nguyên")</f>
        <v>giữ nguyên</v>
      </c>
      <c r="O182" s="708"/>
      <c r="P182" s="708"/>
      <c r="Q182" s="708"/>
      <c r="R182" s="708"/>
      <c r="S182" s="708"/>
      <c r="T182" s="708"/>
      <c r="U182" s="708"/>
      <c r="V182" s="708"/>
      <c r="W182" s="708"/>
      <c r="X182" s="708"/>
      <c r="Y182" s="708"/>
      <c r="Z182" s="708"/>
      <c r="AA182" s="708"/>
      <c r="AB182" s="708"/>
      <c r="AC182" s="708"/>
      <c r="AD182" s="708"/>
      <c r="AE182" s="708"/>
    </row>
    <row r="183">
      <c r="A183" s="727">
        <f>IFERROR(__xludf.DUMMYFUNCTION("""COMPUTED_VALUE"""),166.0)</f>
        <v>166</v>
      </c>
      <c r="B183" s="728" t="str">
        <f>IFERROR(__xludf.DUMMYFUNCTION("""COMPUTED_VALUE"""),"BOD_VP_TECH")</f>
        <v>BOD_VP_TECH</v>
      </c>
      <c r="C183" s="728" t="str">
        <f>IFERROR(__xludf.DUMMYFUNCTION("""COMPUTED_VALUE"""),"BOD_VP_TECH")</f>
        <v>BOD_VP_TECH</v>
      </c>
      <c r="D183" s="728" t="str">
        <f>IFERROR(__xludf.DUMMYFUNCTION("""COMPUTED_VALUE"""),"Phó Tổng Giám Đốc")</f>
        <v>Phó Tổng Giám Đốc</v>
      </c>
      <c r="E183" s="728" t="str">
        <f>IFERROR(__xludf.DUMMYFUNCTION("""COMPUTED_VALUE"""),"BOD")</f>
        <v>BOD</v>
      </c>
      <c r="F183" s="728">
        <f>IFERROR(__xludf.DUMMYFUNCTION("""COMPUTED_VALUE"""),5.0)</f>
        <v>5</v>
      </c>
      <c r="G183" s="728" t="str">
        <f>IFERROR(__xludf.DUMMYFUNCTION("""COMPUTED_VALUE"""),"BO")</f>
        <v>BO</v>
      </c>
      <c r="H183" s="728" t="str">
        <f>IFERROR(__xludf.DUMMYFUNCTION("""COMPUTED_VALUE"""),"Ban điều hành")</f>
        <v>Ban điều hành</v>
      </c>
      <c r="I183" s="728" t="str">
        <f>IFERROR(__xludf.DUMMYFUNCTION("""COMPUTED_VALUE"""),"L00")</f>
        <v>L00</v>
      </c>
      <c r="J183" s="728" t="str">
        <f>IFERROR(__xludf.DUMMYFUNCTION("""COMPUTED_VALUE"""),"Công ty cổ phần MISA")</f>
        <v>Công ty cổ phần MISA</v>
      </c>
      <c r="K183" s="729"/>
      <c r="L183" s="728" t="str">
        <f>IFERROR(__xludf.DUMMYFUNCTION("""COMPUTED_VALUE"""),"Đang theo dõi")</f>
        <v>Đang theo dõi</v>
      </c>
      <c r="M183" s="729"/>
      <c r="N183" s="728" t="str">
        <f>IFERROR(__xludf.DUMMYFUNCTION("""COMPUTED_VALUE"""),"giữ nguyên")</f>
        <v>giữ nguyên</v>
      </c>
      <c r="O183" s="708"/>
      <c r="P183" s="708"/>
      <c r="Q183" s="708"/>
      <c r="R183" s="708"/>
      <c r="S183" s="708"/>
      <c r="T183" s="708"/>
      <c r="U183" s="708"/>
      <c r="V183" s="708"/>
      <c r="W183" s="708"/>
      <c r="X183" s="708"/>
      <c r="Y183" s="708"/>
      <c r="Z183" s="708"/>
      <c r="AA183" s="708"/>
      <c r="AB183" s="708"/>
      <c r="AC183" s="708"/>
      <c r="AD183" s="708"/>
      <c r="AE183" s="708"/>
    </row>
    <row r="184">
      <c r="A184" s="727">
        <f>IFERROR(__xludf.DUMMYFUNCTION("""COMPUTED_VALUE"""),167.0)</f>
        <v>167</v>
      </c>
      <c r="B184" s="728" t="str">
        <f>IFERROR(__xludf.DUMMYFUNCTION("""COMPUTED_VALUE"""),"BOM_A.CCD")</f>
        <v>BOM_A.CCD</v>
      </c>
      <c r="C184" s="728" t="str">
        <f>IFERROR(__xludf.DUMMYFUNCTION("""COMPUTED_VALUE"""),"BOM_A.CCD")</f>
        <v>BOM_A.CCD</v>
      </c>
      <c r="D184" s="728" t="str">
        <f>IFERROR(__xludf.DUMMYFUNCTION("""COMPUTED_VALUE"""),"Q. GĐTT Tư vấn &amp;HTKH")</f>
        <v>Q. GĐTT Tư vấn &amp;HTKH</v>
      </c>
      <c r="E184" s="728" t="str">
        <f>IFERROR(__xludf.DUMMYFUNCTION("""COMPUTED_VALUE"""),"BOM")</f>
        <v>BOM</v>
      </c>
      <c r="F184" s="728">
        <f>IFERROR(__xludf.DUMMYFUNCTION("""COMPUTED_VALUE"""),4.0)</f>
        <v>4</v>
      </c>
      <c r="G184" s="728" t="str">
        <f>IFERROR(__xludf.DUMMYFUNCTION("""COMPUTED_VALUE"""),"BO")</f>
        <v>BO</v>
      </c>
      <c r="H184" s="728" t="str">
        <f>IFERROR(__xludf.DUMMYFUNCTION("""COMPUTED_VALUE"""),"Ban GĐVP")</f>
        <v>Ban GĐVP</v>
      </c>
      <c r="I184" s="728" t="str">
        <f>IFERROR(__xludf.DUMMYFUNCTION("""COMPUTED_VALUE"""),"L00")</f>
        <v>L00</v>
      </c>
      <c r="J184" s="728" t="str">
        <f>IFERROR(__xludf.DUMMYFUNCTION("""COMPUTED_VALUE"""),"Công ty cổ phần MISA")</f>
        <v>Công ty cổ phần MISA</v>
      </c>
      <c r="K184" s="729"/>
      <c r="L184" s="728" t="str">
        <f>IFERROR(__xludf.DUMMYFUNCTION("""COMPUTED_VALUE"""),"Đang theo dõi")</f>
        <v>Đang theo dõi</v>
      </c>
      <c r="M184" s="729"/>
      <c r="N184" s="728" t="str">
        <f>IFERROR(__xludf.DUMMYFUNCTION("""COMPUTED_VALUE"""),"giữ nguyên")</f>
        <v>giữ nguyên</v>
      </c>
      <c r="O184" s="708"/>
      <c r="P184" s="708"/>
      <c r="Q184" s="708"/>
      <c r="R184" s="708"/>
      <c r="S184" s="708"/>
      <c r="T184" s="708"/>
      <c r="U184" s="708"/>
      <c r="V184" s="708"/>
      <c r="W184" s="708"/>
      <c r="X184" s="708"/>
      <c r="Y184" s="708"/>
      <c r="Z184" s="708"/>
      <c r="AA184" s="708"/>
      <c r="AB184" s="708"/>
      <c r="AC184" s="708"/>
      <c r="AD184" s="708"/>
      <c r="AE184" s="708"/>
    </row>
    <row r="185">
      <c r="A185" s="727">
        <f>IFERROR(__xludf.DUMMYFUNCTION("""COMPUTED_VALUE"""),168.0)</f>
        <v>168</v>
      </c>
      <c r="B185" s="728" t="str">
        <f>IFERROR(__xludf.DUMMYFUNCTION("""COMPUTED_VALUE"""),"BOM_A.RSD")</f>
        <v>BOM_A.RSD</v>
      </c>
      <c r="C185" s="728" t="str">
        <f>IFERROR(__xludf.DUMMYFUNCTION("""COMPUTED_VALUE"""),"BOM_A.RSD")</f>
        <v>BOM_A.RSD</v>
      </c>
      <c r="D185" s="728" t="str">
        <f>IFERROR(__xludf.DUMMYFUNCTION("""COMPUTED_VALUE"""),"Q. Giám đốc Văn phòng")</f>
        <v>Q. Giám đốc Văn phòng</v>
      </c>
      <c r="E185" s="728" t="str">
        <f>IFERROR(__xludf.DUMMYFUNCTION("""COMPUTED_VALUE"""),"BOM")</f>
        <v>BOM</v>
      </c>
      <c r="F185" s="728">
        <f>IFERROR(__xludf.DUMMYFUNCTION("""COMPUTED_VALUE"""),4.0)</f>
        <v>4</v>
      </c>
      <c r="G185" s="728" t="str">
        <f>IFERROR(__xludf.DUMMYFUNCTION("""COMPUTED_VALUE"""),"BO")</f>
        <v>BO</v>
      </c>
      <c r="H185" s="728" t="str">
        <f>IFERROR(__xludf.DUMMYFUNCTION("""COMPUTED_VALUE"""),"Ban GĐVP")</f>
        <v>Ban GĐVP</v>
      </c>
      <c r="I185" s="728" t="str">
        <f>IFERROR(__xludf.DUMMYFUNCTION("""COMPUTED_VALUE"""),"L00")</f>
        <v>L00</v>
      </c>
      <c r="J185" s="728" t="str">
        <f>IFERROR(__xludf.DUMMYFUNCTION("""COMPUTED_VALUE"""),"Công ty cổ phần MISA")</f>
        <v>Công ty cổ phần MISA</v>
      </c>
      <c r="K185" s="729"/>
      <c r="L185" s="728" t="str">
        <f>IFERROR(__xludf.DUMMYFUNCTION("""COMPUTED_VALUE"""),"Đang theo dõi")</f>
        <v>Đang theo dõi</v>
      </c>
      <c r="M185" s="729"/>
      <c r="N185" s="728" t="str">
        <f>IFERROR(__xludf.DUMMYFUNCTION("""COMPUTED_VALUE"""),"giữ nguyên")</f>
        <v>giữ nguyên</v>
      </c>
      <c r="O185" s="708"/>
      <c r="P185" s="708"/>
      <c r="Q185" s="708"/>
      <c r="R185" s="708"/>
      <c r="S185" s="708"/>
      <c r="T185" s="708"/>
      <c r="U185" s="708"/>
      <c r="V185" s="708"/>
      <c r="W185" s="708"/>
      <c r="X185" s="708"/>
      <c r="Y185" s="708"/>
      <c r="Z185" s="708"/>
      <c r="AA185" s="708"/>
      <c r="AB185" s="708"/>
      <c r="AC185" s="708"/>
      <c r="AD185" s="708"/>
      <c r="AE185" s="708"/>
    </row>
    <row r="186">
      <c r="A186" s="727">
        <f>IFERROR(__xludf.DUMMYFUNCTION("""COMPUTED_VALUE"""),169.0)</f>
        <v>169</v>
      </c>
      <c r="B186" s="731" t="str">
        <f>IFERROR(__xludf.DUMMYFUNCTION("""COMPUTED_VALUE"""),"BOM_A.VD_BO")</f>
        <v>BOM_A.VD_BO</v>
      </c>
      <c r="C186" s="731" t="str">
        <f>IFERROR(__xludf.DUMMYFUNCTION("""COMPUTED_VALUE"""),"BOM_A.VD_BO")</f>
        <v>BOM_A.VD_BO</v>
      </c>
      <c r="D186" s="731" t="str">
        <f>IFERROR(__xludf.DUMMYFUNCTION("""COMPUTED_VALUE"""),"Q. PGĐVP phụ trách BO")</f>
        <v>Q. PGĐVP phụ trách BO</v>
      </c>
      <c r="E186" s="731" t="str">
        <f>IFERROR(__xludf.DUMMYFUNCTION("""COMPUTED_VALUE"""),"BOM")</f>
        <v>BOM</v>
      </c>
      <c r="F186" s="731">
        <f>IFERROR(__xludf.DUMMYFUNCTION("""COMPUTED_VALUE"""),4.0)</f>
        <v>4</v>
      </c>
      <c r="G186" s="731" t="str">
        <f>IFERROR(__xludf.DUMMYFUNCTION("""COMPUTED_VALUE"""),"BO")</f>
        <v>BO</v>
      </c>
      <c r="H186" s="731" t="str">
        <f>IFERROR(__xludf.DUMMYFUNCTION("""COMPUTED_VALUE"""),"Ban GĐVP")</f>
        <v>Ban GĐVP</v>
      </c>
      <c r="I186" s="729"/>
      <c r="J186" s="731" t="str">
        <f>IFERROR(__xludf.DUMMYFUNCTION("""COMPUTED_VALUE"""),"Công ty cổ phần MISA")</f>
        <v>Công ty cổ phần MISA</v>
      </c>
      <c r="K186" s="729"/>
      <c r="L186" s="731" t="str">
        <f>IFERROR(__xludf.DUMMYFUNCTION("""COMPUTED_VALUE"""),"Ngừng")</f>
        <v>Ngừng</v>
      </c>
      <c r="M186" s="729"/>
      <c r="N186" s="728" t="str">
        <f>IFERROR(__xludf.DUMMYFUNCTION("""COMPUTED_VALUE"""),"ngừng")</f>
        <v>ngừng</v>
      </c>
      <c r="O186" s="708"/>
      <c r="P186" s="708"/>
      <c r="Q186" s="708"/>
      <c r="R186" s="708"/>
      <c r="S186" s="708"/>
      <c r="T186" s="708"/>
      <c r="U186" s="708"/>
      <c r="V186" s="708"/>
      <c r="W186" s="708"/>
      <c r="X186" s="708"/>
      <c r="Y186" s="708"/>
      <c r="Z186" s="708"/>
      <c r="AA186" s="708"/>
      <c r="AB186" s="708"/>
      <c r="AC186" s="708"/>
      <c r="AD186" s="708"/>
      <c r="AE186" s="708"/>
    </row>
    <row r="187">
      <c r="A187" s="727">
        <f>IFERROR(__xludf.DUMMYFUNCTION("""COMPUTED_VALUE"""),170.0)</f>
        <v>170</v>
      </c>
      <c r="B187" s="731" t="str">
        <f>IFERROR(__xludf.DUMMYFUNCTION("""COMPUTED_VALUE"""),"BOM_A.VRSD")</f>
        <v>BOM_A.VRSD</v>
      </c>
      <c r="C187" s="731" t="str">
        <f>IFERROR(__xludf.DUMMYFUNCTION("""COMPUTED_VALUE"""),"BOM_A.VRSD")</f>
        <v>BOM_A.VRSD</v>
      </c>
      <c r="D187" s="731" t="str">
        <f>IFERROR(__xludf.DUMMYFUNCTION("""COMPUTED_VALUE"""),"Q. PGĐVP phụ trách KD")</f>
        <v>Q. PGĐVP phụ trách KD</v>
      </c>
      <c r="E187" s="731" t="str">
        <f>IFERROR(__xludf.DUMMYFUNCTION("""COMPUTED_VALUE"""),"BOM")</f>
        <v>BOM</v>
      </c>
      <c r="F187" s="731">
        <f>IFERROR(__xludf.DUMMYFUNCTION("""COMPUTED_VALUE"""),4.0)</f>
        <v>4</v>
      </c>
      <c r="G187" s="731" t="str">
        <f>IFERROR(__xludf.DUMMYFUNCTION("""COMPUTED_VALUE"""),"BO")</f>
        <v>BO</v>
      </c>
      <c r="H187" s="731" t="str">
        <f>IFERROR(__xludf.DUMMYFUNCTION("""COMPUTED_VALUE"""),"Ban GĐVP")</f>
        <v>Ban GĐVP</v>
      </c>
      <c r="I187" s="729"/>
      <c r="J187" s="731" t="str">
        <f>IFERROR(__xludf.DUMMYFUNCTION("""COMPUTED_VALUE"""),"Công ty cổ phần MISA")</f>
        <v>Công ty cổ phần MISA</v>
      </c>
      <c r="K187" s="729"/>
      <c r="L187" s="731" t="str">
        <f>IFERROR(__xludf.DUMMYFUNCTION("""COMPUTED_VALUE"""),"Ngừng")</f>
        <v>Ngừng</v>
      </c>
      <c r="M187" s="729"/>
      <c r="N187" s="728" t="str">
        <f>IFERROR(__xludf.DUMMYFUNCTION("""COMPUTED_VALUE"""),"ngừng")</f>
        <v>ngừng</v>
      </c>
      <c r="O187" s="708"/>
      <c r="P187" s="708"/>
      <c r="Q187" s="708"/>
      <c r="R187" s="708"/>
      <c r="S187" s="708"/>
      <c r="T187" s="708"/>
      <c r="U187" s="708"/>
      <c r="V187" s="708"/>
      <c r="W187" s="708"/>
      <c r="X187" s="708"/>
      <c r="Y187" s="708"/>
      <c r="Z187" s="708"/>
      <c r="AA187" s="708"/>
      <c r="AB187" s="708"/>
      <c r="AC187" s="708"/>
      <c r="AD187" s="708"/>
      <c r="AE187" s="708"/>
    </row>
    <row r="188">
      <c r="A188" s="727">
        <f>IFERROR(__xludf.DUMMYFUNCTION("""COMPUTED_VALUE"""),171.0)</f>
        <v>171</v>
      </c>
      <c r="B188" s="728" t="str">
        <f>IFERROR(__xludf.DUMMYFUNCTION("""COMPUTED_VALUE"""),"BOM_CCD")</f>
        <v>BOM_CCD</v>
      </c>
      <c r="C188" s="728" t="str">
        <f>IFERROR(__xludf.DUMMYFUNCTION("""COMPUTED_VALUE"""),"BOM_CCD")</f>
        <v>BOM_CCD</v>
      </c>
      <c r="D188" s="728" t="str">
        <f>IFERROR(__xludf.DUMMYFUNCTION("""COMPUTED_VALUE"""),"GĐTT Tư vấn&amp;HTKH")</f>
        <v>GĐTT Tư vấn&amp;HTKH</v>
      </c>
      <c r="E188" s="728" t="str">
        <f>IFERROR(__xludf.DUMMYFUNCTION("""COMPUTED_VALUE"""),"BOM")</f>
        <v>BOM</v>
      </c>
      <c r="F188" s="728">
        <f>IFERROR(__xludf.DUMMYFUNCTION("""COMPUTED_VALUE"""),4.0)</f>
        <v>4</v>
      </c>
      <c r="G188" s="728" t="str">
        <f>IFERROR(__xludf.DUMMYFUNCTION("""COMPUTED_VALUE"""),"BO")</f>
        <v>BO</v>
      </c>
      <c r="H188" s="728" t="str">
        <f>IFERROR(__xludf.DUMMYFUNCTION("""COMPUTED_VALUE"""),"Ban GĐVP")</f>
        <v>Ban GĐVP</v>
      </c>
      <c r="I188" s="728" t="str">
        <f>IFERROR(__xludf.DUMMYFUNCTION("""COMPUTED_VALUE"""),"L00")</f>
        <v>L00</v>
      </c>
      <c r="J188" s="728" t="str">
        <f>IFERROR(__xludf.DUMMYFUNCTION("""COMPUTED_VALUE"""),"Công ty cổ phần MISA")</f>
        <v>Công ty cổ phần MISA</v>
      </c>
      <c r="K188" s="729"/>
      <c r="L188" s="728" t="str">
        <f>IFERROR(__xludf.DUMMYFUNCTION("""COMPUTED_VALUE"""),"Đang theo dõi")</f>
        <v>Đang theo dõi</v>
      </c>
      <c r="M188" s="729"/>
      <c r="N188" s="728" t="str">
        <f>IFERROR(__xludf.DUMMYFUNCTION("""COMPUTED_VALUE"""),"giữ nguyên")</f>
        <v>giữ nguyên</v>
      </c>
      <c r="O188" s="708"/>
      <c r="P188" s="708"/>
      <c r="Q188" s="708"/>
      <c r="R188" s="708"/>
      <c r="S188" s="708"/>
      <c r="T188" s="708"/>
      <c r="U188" s="708"/>
      <c r="V188" s="708"/>
      <c r="W188" s="708"/>
      <c r="X188" s="708"/>
      <c r="Y188" s="708"/>
      <c r="Z188" s="708"/>
      <c r="AA188" s="708"/>
      <c r="AB188" s="708"/>
      <c r="AC188" s="708"/>
      <c r="AD188" s="708"/>
      <c r="AE188" s="708"/>
    </row>
    <row r="189">
      <c r="A189" s="727">
        <f>IFERROR(__xludf.DUMMYFUNCTION("""COMPUTED_VALUE"""),172.0)</f>
        <v>172</v>
      </c>
      <c r="B189" s="728" t="str">
        <f>IFERROR(__xludf.DUMMYFUNCTION("""COMPUTED_VALUE"""),"BOM_COO")</f>
        <v>BOM_COO</v>
      </c>
      <c r="C189" s="728" t="str">
        <f>IFERROR(__xludf.DUMMYFUNCTION("""COMPUTED_VALUE"""),"BOM_COO")</f>
        <v>BOM_COO</v>
      </c>
      <c r="D189" s="728" t="str">
        <f>IFERROR(__xludf.DUMMYFUNCTION("""COMPUTED_VALUE"""),"Giám đốc vận hành")</f>
        <v>Giám đốc vận hành</v>
      </c>
      <c r="E189" s="728" t="str">
        <f>IFERROR(__xludf.DUMMYFUNCTION("""COMPUTED_VALUE"""),"BOM")</f>
        <v>BOM</v>
      </c>
      <c r="F189" s="728">
        <f>IFERROR(__xludf.DUMMYFUNCTION("""COMPUTED_VALUE"""),4.0)</f>
        <v>4</v>
      </c>
      <c r="G189" s="728" t="str">
        <f>IFERROR(__xludf.DUMMYFUNCTION("""COMPUTED_VALUE"""),"BO")</f>
        <v>BO</v>
      </c>
      <c r="H189" s="728" t="str">
        <f>IFERROR(__xludf.DUMMYFUNCTION("""COMPUTED_VALUE"""),"Ban GĐVP")</f>
        <v>Ban GĐVP</v>
      </c>
      <c r="I189" s="728" t="str">
        <f>IFERROR(__xludf.DUMMYFUNCTION("""COMPUTED_VALUE"""),"L00")</f>
        <v>L00</v>
      </c>
      <c r="J189" s="728" t="str">
        <f>IFERROR(__xludf.DUMMYFUNCTION("""COMPUTED_VALUE"""),"Công ty cổ phần MISA")</f>
        <v>Công ty cổ phần MISA</v>
      </c>
      <c r="K189" s="729"/>
      <c r="L189" s="728" t="str">
        <f>IFERROR(__xludf.DUMMYFUNCTION("""COMPUTED_VALUE"""),"Đang theo dõi")</f>
        <v>Đang theo dõi</v>
      </c>
      <c r="M189" s="729"/>
      <c r="N189" s="728" t="str">
        <f>IFERROR(__xludf.DUMMYFUNCTION("""COMPUTED_VALUE"""),"giữ nguyên")</f>
        <v>giữ nguyên</v>
      </c>
      <c r="O189" s="708"/>
      <c r="P189" s="708"/>
      <c r="Q189" s="708"/>
      <c r="R189" s="708"/>
      <c r="S189" s="708"/>
      <c r="T189" s="708"/>
      <c r="U189" s="708"/>
      <c r="V189" s="708"/>
      <c r="W189" s="708"/>
      <c r="X189" s="708"/>
      <c r="Y189" s="708"/>
      <c r="Z189" s="708"/>
      <c r="AA189" s="708"/>
      <c r="AB189" s="708"/>
      <c r="AC189" s="708"/>
      <c r="AD189" s="708"/>
      <c r="AE189" s="708"/>
    </row>
    <row r="190">
      <c r="A190" s="727">
        <f>IFERROR(__xludf.DUMMYFUNCTION("""COMPUTED_VALUE"""),173.0)</f>
        <v>173</v>
      </c>
      <c r="B190" s="728" t="str">
        <f>IFERROR(__xludf.DUMMYFUNCTION("""COMPUTED_VALUE"""),"BOM_COS")</f>
        <v>BOM_COS</v>
      </c>
      <c r="C190" s="728" t="str">
        <f>IFERROR(__xludf.DUMMYFUNCTION("""COMPUTED_VALUE"""),"BOM_COS")</f>
        <v>BOM_COS</v>
      </c>
      <c r="D190" s="728" t="str">
        <f>IFERROR(__xludf.DUMMYFUNCTION("""COMPUTED_VALUE"""),"Chánh Văn phòng")</f>
        <v>Chánh Văn phòng</v>
      </c>
      <c r="E190" s="728" t="str">
        <f>IFERROR(__xludf.DUMMYFUNCTION("""COMPUTED_VALUE"""),"BOM")</f>
        <v>BOM</v>
      </c>
      <c r="F190" s="728">
        <f>IFERROR(__xludf.DUMMYFUNCTION("""COMPUTED_VALUE"""),4.0)</f>
        <v>4</v>
      </c>
      <c r="G190" s="728" t="str">
        <f>IFERROR(__xludf.DUMMYFUNCTION("""COMPUTED_VALUE"""),"BO")</f>
        <v>BO</v>
      </c>
      <c r="H190" s="728" t="str">
        <f>IFERROR(__xludf.DUMMYFUNCTION("""COMPUTED_VALUE"""),"Ban GĐVP")</f>
        <v>Ban GĐVP</v>
      </c>
      <c r="I190" s="728" t="str">
        <f>IFERROR(__xludf.DUMMYFUNCTION("""COMPUTED_VALUE"""),"L00")</f>
        <v>L00</v>
      </c>
      <c r="J190" s="728" t="str">
        <f>IFERROR(__xludf.DUMMYFUNCTION("""COMPUTED_VALUE"""),"Công ty cổ phần MISA")</f>
        <v>Công ty cổ phần MISA</v>
      </c>
      <c r="K190" s="729"/>
      <c r="L190" s="728" t="str">
        <f>IFERROR(__xludf.DUMMYFUNCTION("""COMPUTED_VALUE"""),"Đang theo dõi")</f>
        <v>Đang theo dõi</v>
      </c>
      <c r="M190" s="729"/>
      <c r="N190" s="728" t="str">
        <f>IFERROR(__xludf.DUMMYFUNCTION("""COMPUTED_VALUE"""),"giữ nguyên")</f>
        <v>giữ nguyên</v>
      </c>
      <c r="O190" s="708"/>
      <c r="P190" s="708"/>
      <c r="Q190" s="708"/>
      <c r="R190" s="708"/>
      <c r="S190" s="708"/>
      <c r="T190" s="708"/>
      <c r="U190" s="708"/>
      <c r="V190" s="708"/>
      <c r="W190" s="708"/>
      <c r="X190" s="708"/>
      <c r="Y190" s="708"/>
      <c r="Z190" s="708"/>
      <c r="AA190" s="708"/>
      <c r="AB190" s="708"/>
      <c r="AC190" s="708"/>
      <c r="AD190" s="708"/>
      <c r="AE190" s="708"/>
    </row>
    <row r="191">
      <c r="A191" s="727">
        <f>IFERROR(__xludf.DUMMYFUNCTION("""COMPUTED_VALUE"""),174.0)</f>
        <v>174</v>
      </c>
      <c r="B191" s="728" t="str">
        <f>IFERROR(__xludf.DUMMYFUNCTION("""COMPUTED_VALUE"""),"BOM_PR_CCO")</f>
        <v>BOM_PR_CCO</v>
      </c>
      <c r="C191" s="728" t="str">
        <f>IFERROR(__xludf.DUMMYFUNCTION("""COMPUTED_VALUE"""),"BOM_PR_CCO")</f>
        <v>BOM_PR_CCO</v>
      </c>
      <c r="D191" s="728" t="str">
        <f>IFERROR(__xludf.DUMMYFUNCTION("""COMPUTED_VALUE"""),"Giám đốc Truyền thông")</f>
        <v>Giám đốc Truyền thông</v>
      </c>
      <c r="E191" s="728" t="str">
        <f>IFERROR(__xludf.DUMMYFUNCTION("""COMPUTED_VALUE"""),"BOM")</f>
        <v>BOM</v>
      </c>
      <c r="F191" s="728">
        <f>IFERROR(__xludf.DUMMYFUNCTION("""COMPUTED_VALUE"""),4.0)</f>
        <v>4</v>
      </c>
      <c r="G191" s="728" t="str">
        <f>IFERROR(__xludf.DUMMYFUNCTION("""COMPUTED_VALUE"""),"BO")</f>
        <v>BO</v>
      </c>
      <c r="H191" s="728" t="str">
        <f>IFERROR(__xludf.DUMMYFUNCTION("""COMPUTED_VALUE"""),"Ban GĐTTKD/ BGĐ khối DA")</f>
        <v>Ban GĐTTKD/ BGĐ khối DA</v>
      </c>
      <c r="I191" s="728" t="str">
        <f>IFERROR(__xludf.DUMMYFUNCTION("""COMPUTED_VALUE"""),"L00")</f>
        <v>L00</v>
      </c>
      <c r="J191" s="728" t="str">
        <f>IFERROR(__xludf.DUMMYFUNCTION("""COMPUTED_VALUE"""),"Công ty cổ phần MISA")</f>
        <v>Công ty cổ phần MISA</v>
      </c>
      <c r="K191" s="729"/>
      <c r="L191" s="728" t="str">
        <f>IFERROR(__xludf.DUMMYFUNCTION("""COMPUTED_VALUE"""),"Đang theo dõi")</f>
        <v>Đang theo dõi</v>
      </c>
      <c r="M191" s="729"/>
      <c r="N191" s="728" t="str">
        <f>IFERROR(__xludf.DUMMYFUNCTION("""COMPUTED_VALUE"""),"giữ nguyên")</f>
        <v>giữ nguyên</v>
      </c>
      <c r="O191" s="708"/>
      <c r="P191" s="708"/>
      <c r="Q191" s="708"/>
      <c r="R191" s="708"/>
      <c r="S191" s="708"/>
      <c r="T191" s="708"/>
      <c r="U191" s="708"/>
      <c r="V191" s="708"/>
      <c r="W191" s="708"/>
      <c r="X191" s="708"/>
      <c r="Y191" s="708"/>
      <c r="Z191" s="708"/>
      <c r="AA191" s="708"/>
      <c r="AB191" s="708"/>
      <c r="AC191" s="708"/>
      <c r="AD191" s="708"/>
      <c r="AE191" s="708"/>
    </row>
    <row r="192">
      <c r="A192" s="727">
        <f>IFERROR(__xludf.DUMMYFUNCTION("""COMPUTED_VALUE"""),175.0)</f>
        <v>175</v>
      </c>
      <c r="B192" s="728" t="str">
        <f>IFERROR(__xludf.DUMMYFUNCTION("""COMPUTED_VALUE"""),"BOM_RSD")</f>
        <v>BOM_RSD</v>
      </c>
      <c r="C192" s="728" t="str">
        <f>IFERROR(__xludf.DUMMYFUNCTION("""COMPUTED_VALUE"""),"BOM_RSD")</f>
        <v>BOM_RSD</v>
      </c>
      <c r="D192" s="728" t="str">
        <f>IFERROR(__xludf.DUMMYFUNCTION("""COMPUTED_VALUE"""),"Giám đốc Văn phòng")</f>
        <v>Giám đốc Văn phòng</v>
      </c>
      <c r="E192" s="728" t="str">
        <f>IFERROR(__xludf.DUMMYFUNCTION("""COMPUTED_VALUE"""),"BOM")</f>
        <v>BOM</v>
      </c>
      <c r="F192" s="728">
        <f>IFERROR(__xludf.DUMMYFUNCTION("""COMPUTED_VALUE"""),4.0)</f>
        <v>4</v>
      </c>
      <c r="G192" s="728" t="str">
        <f>IFERROR(__xludf.DUMMYFUNCTION("""COMPUTED_VALUE"""),"BO")</f>
        <v>BO</v>
      </c>
      <c r="H192" s="728" t="str">
        <f>IFERROR(__xludf.DUMMYFUNCTION("""COMPUTED_VALUE"""),"Ban GĐVP")</f>
        <v>Ban GĐVP</v>
      </c>
      <c r="I192" s="728" t="str">
        <f>IFERROR(__xludf.DUMMYFUNCTION("""COMPUTED_VALUE"""),"L00")</f>
        <v>L00</v>
      </c>
      <c r="J192" s="728" t="str">
        <f>IFERROR(__xludf.DUMMYFUNCTION("""COMPUTED_VALUE"""),"Công ty cổ phần MISA")</f>
        <v>Công ty cổ phần MISA</v>
      </c>
      <c r="K192" s="729"/>
      <c r="L192" s="728" t="str">
        <f>IFERROR(__xludf.DUMMYFUNCTION("""COMPUTED_VALUE"""),"Đang theo dõi")</f>
        <v>Đang theo dõi</v>
      </c>
      <c r="M192" s="729"/>
      <c r="N192" s="728" t="str">
        <f>IFERROR(__xludf.DUMMYFUNCTION("""COMPUTED_VALUE"""),"giữ nguyên")</f>
        <v>giữ nguyên</v>
      </c>
      <c r="O192" s="708"/>
      <c r="P192" s="708"/>
      <c r="Q192" s="708"/>
      <c r="R192" s="708"/>
      <c r="S192" s="708"/>
      <c r="T192" s="708"/>
      <c r="U192" s="708"/>
      <c r="V192" s="708"/>
      <c r="W192" s="708"/>
      <c r="X192" s="708"/>
      <c r="Y192" s="708"/>
      <c r="Z192" s="708"/>
      <c r="AA192" s="708"/>
      <c r="AB192" s="708"/>
      <c r="AC192" s="708"/>
      <c r="AD192" s="708"/>
      <c r="AE192" s="708"/>
    </row>
    <row r="193">
      <c r="A193" s="727">
        <f>IFERROR(__xludf.DUMMYFUNCTION("""COMPUTED_VALUE"""),176.0)</f>
        <v>176</v>
      </c>
      <c r="B193" s="731" t="str">
        <f>IFERROR(__xludf.DUMMYFUNCTION("""COMPUTED_VALUE"""),"BOM_VCCD")</f>
        <v>BOM_VCCD</v>
      </c>
      <c r="C193" s="731" t="str">
        <f>IFERROR(__xludf.DUMMYFUNCTION("""COMPUTED_VALUE"""),"BOM_VCCD")</f>
        <v>BOM_VCCD</v>
      </c>
      <c r="D193" s="731" t="str">
        <f>IFERROR(__xludf.DUMMYFUNCTION("""COMPUTED_VALUE"""),"Phó GĐTT Tư vấn&amp;HTKH")</f>
        <v>Phó GĐTT Tư vấn&amp;HTKH</v>
      </c>
      <c r="E193" s="731" t="str">
        <f>IFERROR(__xludf.DUMMYFUNCTION("""COMPUTED_VALUE"""),"BOM")</f>
        <v>BOM</v>
      </c>
      <c r="F193" s="731">
        <f>IFERROR(__xludf.DUMMYFUNCTION("""COMPUTED_VALUE"""),4.0)</f>
        <v>4</v>
      </c>
      <c r="G193" s="731" t="str">
        <f>IFERROR(__xludf.DUMMYFUNCTION("""COMPUTED_VALUE"""),"BO")</f>
        <v>BO</v>
      </c>
      <c r="H193" s="731" t="str">
        <f>IFERROR(__xludf.DUMMYFUNCTION("""COMPUTED_VALUE"""),"Ban GĐVP")</f>
        <v>Ban GĐVP</v>
      </c>
      <c r="I193" s="729"/>
      <c r="J193" s="731" t="str">
        <f>IFERROR(__xludf.DUMMYFUNCTION("""COMPUTED_VALUE"""),"Công ty cổ phần MISA")</f>
        <v>Công ty cổ phần MISA</v>
      </c>
      <c r="K193" s="729"/>
      <c r="L193" s="731" t="str">
        <f>IFERROR(__xludf.DUMMYFUNCTION("""COMPUTED_VALUE"""),"Ngừng")</f>
        <v>Ngừng</v>
      </c>
      <c r="M193" s="729"/>
      <c r="N193" s="728" t="str">
        <f>IFERROR(__xludf.DUMMYFUNCTION("""COMPUTED_VALUE"""),"ngừng")</f>
        <v>ngừng</v>
      </c>
      <c r="O193" s="708"/>
      <c r="P193" s="708"/>
      <c r="Q193" s="708"/>
      <c r="R193" s="708"/>
      <c r="S193" s="708"/>
      <c r="T193" s="708"/>
      <c r="U193" s="708"/>
      <c r="V193" s="708"/>
      <c r="W193" s="708"/>
      <c r="X193" s="708"/>
      <c r="Y193" s="708"/>
      <c r="Z193" s="708"/>
      <c r="AA193" s="708"/>
      <c r="AB193" s="708"/>
      <c r="AC193" s="708"/>
      <c r="AD193" s="708"/>
      <c r="AE193" s="708"/>
    </row>
    <row r="194">
      <c r="A194" s="727">
        <f>IFERROR(__xludf.DUMMYFUNCTION("""COMPUTED_VALUE"""),177.0)</f>
        <v>177</v>
      </c>
      <c r="B194" s="731" t="str">
        <f>IFERROR(__xludf.DUMMYFUNCTION("""COMPUTED_VALUE"""),"BOM_VD_BO")</f>
        <v>BOM_VD_BO</v>
      </c>
      <c r="C194" s="731" t="str">
        <f>IFERROR(__xludf.DUMMYFUNCTION("""COMPUTED_VALUE"""),"BOM_VD_BO")</f>
        <v>BOM_VD_BO</v>
      </c>
      <c r="D194" s="731" t="str">
        <f>IFERROR(__xludf.DUMMYFUNCTION("""COMPUTED_VALUE"""),"PGĐVP phụ trách BO")</f>
        <v>PGĐVP phụ trách BO</v>
      </c>
      <c r="E194" s="731" t="str">
        <f>IFERROR(__xludf.DUMMYFUNCTION("""COMPUTED_VALUE"""),"BOM")</f>
        <v>BOM</v>
      </c>
      <c r="F194" s="731">
        <f>IFERROR(__xludf.DUMMYFUNCTION("""COMPUTED_VALUE"""),4.0)</f>
        <v>4</v>
      </c>
      <c r="G194" s="731" t="str">
        <f>IFERROR(__xludf.DUMMYFUNCTION("""COMPUTED_VALUE"""),"BO")</f>
        <v>BO</v>
      </c>
      <c r="H194" s="731" t="str">
        <f>IFERROR(__xludf.DUMMYFUNCTION("""COMPUTED_VALUE"""),"Ban GĐVP")</f>
        <v>Ban GĐVP</v>
      </c>
      <c r="I194" s="729"/>
      <c r="J194" s="731" t="str">
        <f>IFERROR(__xludf.DUMMYFUNCTION("""COMPUTED_VALUE"""),"Công ty cổ phần MISA")</f>
        <v>Công ty cổ phần MISA</v>
      </c>
      <c r="K194" s="729"/>
      <c r="L194" s="731" t="str">
        <f>IFERROR(__xludf.DUMMYFUNCTION("""COMPUTED_VALUE"""),"Ngừng")</f>
        <v>Ngừng</v>
      </c>
      <c r="M194" s="729"/>
      <c r="N194" s="728" t="str">
        <f>IFERROR(__xludf.DUMMYFUNCTION("""COMPUTED_VALUE"""),"ngừng")</f>
        <v>ngừng</v>
      </c>
      <c r="O194" s="708"/>
      <c r="P194" s="708"/>
      <c r="Q194" s="708"/>
      <c r="R194" s="708"/>
      <c r="S194" s="708"/>
      <c r="T194" s="708"/>
      <c r="U194" s="708"/>
      <c r="V194" s="708"/>
      <c r="W194" s="708"/>
      <c r="X194" s="708"/>
      <c r="Y194" s="708"/>
      <c r="Z194" s="708"/>
      <c r="AA194" s="708"/>
      <c r="AB194" s="726"/>
      <c r="AC194" s="726"/>
      <c r="AD194" s="726"/>
      <c r="AE194" s="726"/>
    </row>
    <row r="195">
      <c r="A195" s="727">
        <f>IFERROR(__xludf.DUMMYFUNCTION("""COMPUTED_VALUE"""),178.0)</f>
        <v>178</v>
      </c>
      <c r="B195" s="731" t="str">
        <f>IFERROR(__xludf.DUMMYFUNCTION("""COMPUTED_VALUE"""),"BOM_VRSD")</f>
        <v>BOM_VRSD</v>
      </c>
      <c r="C195" s="731" t="str">
        <f>IFERROR(__xludf.DUMMYFUNCTION("""COMPUTED_VALUE"""),"BOM_VRSD")</f>
        <v>BOM_VRSD</v>
      </c>
      <c r="D195" s="731" t="str">
        <f>IFERROR(__xludf.DUMMYFUNCTION("""COMPUTED_VALUE"""),"PGĐVP phụ trách KD")</f>
        <v>PGĐVP phụ trách KD</v>
      </c>
      <c r="E195" s="731" t="str">
        <f>IFERROR(__xludf.DUMMYFUNCTION("""COMPUTED_VALUE"""),"BOM")</f>
        <v>BOM</v>
      </c>
      <c r="F195" s="731">
        <f>IFERROR(__xludf.DUMMYFUNCTION("""COMPUTED_VALUE"""),4.0)</f>
        <v>4</v>
      </c>
      <c r="G195" s="731" t="str">
        <f>IFERROR(__xludf.DUMMYFUNCTION("""COMPUTED_VALUE"""),"BO")</f>
        <v>BO</v>
      </c>
      <c r="H195" s="731" t="str">
        <f>IFERROR(__xludf.DUMMYFUNCTION("""COMPUTED_VALUE"""),"Ban GĐVP")</f>
        <v>Ban GĐVP</v>
      </c>
      <c r="I195" s="729"/>
      <c r="J195" s="731" t="str">
        <f>IFERROR(__xludf.DUMMYFUNCTION("""COMPUTED_VALUE"""),"Công ty cổ phần MISA")</f>
        <v>Công ty cổ phần MISA</v>
      </c>
      <c r="K195" s="729"/>
      <c r="L195" s="731" t="str">
        <f>IFERROR(__xludf.DUMMYFUNCTION("""COMPUTED_VALUE"""),"Ngừng")</f>
        <v>Ngừng</v>
      </c>
      <c r="M195" s="729"/>
      <c r="N195" s="728" t="str">
        <f>IFERROR(__xludf.DUMMYFUNCTION("""COMPUTED_VALUE"""),"ngừng")</f>
        <v>ngừng</v>
      </c>
      <c r="O195" s="708"/>
      <c r="P195" s="708"/>
      <c r="Q195" s="708"/>
      <c r="R195" s="708"/>
      <c r="S195" s="708"/>
      <c r="T195" s="708"/>
      <c r="U195" s="708"/>
      <c r="V195" s="708"/>
      <c r="W195" s="708"/>
      <c r="X195" s="708"/>
      <c r="Y195" s="708"/>
      <c r="Z195" s="708"/>
      <c r="AA195" s="708"/>
      <c r="AB195" s="708"/>
      <c r="AC195" s="708"/>
      <c r="AD195" s="708"/>
      <c r="AE195" s="708"/>
    </row>
    <row r="196">
      <c r="A196" s="724" t="str">
        <f>IFERROR(__xludf.DUMMYFUNCTION("""COMPUTED_VALUE"""),"Khối tư vấn")</f>
        <v>Khối tư vấn</v>
      </c>
      <c r="B196" s="725"/>
      <c r="C196" s="725"/>
      <c r="D196" s="725"/>
      <c r="E196" s="725"/>
      <c r="F196" s="725"/>
      <c r="G196" s="725"/>
      <c r="H196" s="725"/>
      <c r="I196" s="725"/>
      <c r="J196" s="725"/>
      <c r="K196" s="725"/>
      <c r="L196" s="725"/>
      <c r="M196" s="725"/>
      <c r="N196" s="729"/>
      <c r="O196" s="726"/>
      <c r="P196" s="726"/>
      <c r="Q196" s="726"/>
      <c r="R196" s="726"/>
      <c r="S196" s="726"/>
      <c r="T196" s="726"/>
      <c r="U196" s="726"/>
      <c r="V196" s="726"/>
      <c r="W196" s="726"/>
      <c r="X196" s="726"/>
      <c r="Y196" s="726"/>
      <c r="Z196" s="726"/>
      <c r="AA196" s="726"/>
      <c r="AB196" s="708"/>
      <c r="AC196" s="708"/>
      <c r="AD196" s="708"/>
      <c r="AE196" s="708"/>
    </row>
    <row r="197">
      <c r="A197" s="727">
        <f>IFERROR(__xludf.DUMMYFUNCTION("""COMPUTED_VALUE"""),179.0)</f>
        <v>179</v>
      </c>
      <c r="B197" s="733"/>
      <c r="C197" s="734" t="str">
        <f>IFERROR(__xludf.DUMMYFUNCTION("""COMPUTED_VALUE"""),"CCS_CCSM")</f>
        <v>CCS_CCSM</v>
      </c>
      <c r="D197" s="734" t="str">
        <f>IFERROR(__xludf.DUMMYFUNCTION("""COMPUTED_VALUE"""),"NV CSKH")</f>
        <v>NV CSKH</v>
      </c>
      <c r="E197" s="734" t="str">
        <f>IFERROR(__xludf.DUMMYFUNCTION("""COMPUTED_VALUE"""),"CCS")</f>
        <v>CCS</v>
      </c>
      <c r="F197" s="733"/>
      <c r="G197" s="734" t="str">
        <f>IFERROR(__xludf.DUMMYFUNCTION("""COMPUTED_VALUE"""),"CCS")</f>
        <v>CCS</v>
      </c>
      <c r="H197" s="728" t="str">
        <f>IFERROR(__xludf.DUMMYFUNCTION("""COMPUTED_VALUE"""),"Nhân viên/ Chuyên viên/ Chuyên gia")</f>
        <v>Nhân viên/ Chuyên viên/ Chuyên gia</v>
      </c>
      <c r="I197" s="734" t="str">
        <f>IFERROR(__xludf.DUMMYFUNCTION("""COMPUTED_VALUE"""),"L3.00.00.00.00.00.00")</f>
        <v>L3.00.00.00.00.00.00</v>
      </c>
      <c r="J197" s="734" t="str">
        <f>IFERROR(__xludf.DUMMYFUNCTION("""COMPUTED_VALUE"""),"Khối Hỗ trợ và Chăm sóc khách hàng")</f>
        <v>Khối Hỗ trợ và Chăm sóc khách hàng</v>
      </c>
      <c r="K197" s="733"/>
      <c r="L197" s="734" t="str">
        <f>IFERROR(__xludf.DUMMYFUNCTION("""COMPUTED_VALUE"""),"mới")</f>
        <v>mới</v>
      </c>
      <c r="M197" s="733"/>
      <c r="N197" s="728" t="str">
        <f>IFERROR(__xludf.DUMMYFUNCTION("""COMPUTED_VALUE"""),"thêm mới")</f>
        <v>thêm mới</v>
      </c>
      <c r="O197" s="708"/>
      <c r="P197" s="708"/>
      <c r="Q197" s="708"/>
      <c r="R197" s="708"/>
      <c r="S197" s="708"/>
      <c r="T197" s="708"/>
      <c r="U197" s="708"/>
      <c r="V197" s="708"/>
      <c r="W197" s="708"/>
      <c r="X197" s="708"/>
      <c r="Y197" s="708"/>
      <c r="Z197" s="708"/>
      <c r="AA197" s="708"/>
      <c r="AB197" s="708"/>
      <c r="AC197" s="708"/>
      <c r="AD197" s="708"/>
      <c r="AE197" s="708"/>
    </row>
    <row r="198">
      <c r="A198" s="727">
        <f>IFERROR(__xludf.DUMMYFUNCTION("""COMPUTED_VALUE"""),180.0)</f>
        <v>180</v>
      </c>
      <c r="B198" s="733"/>
      <c r="C198" s="734" t="str">
        <f>IFERROR(__xludf.DUMMYFUNCTION("""COMPUTED_VALUE"""),"CCS_CD")</f>
        <v>CCS_CD</v>
      </c>
      <c r="D198" s="734" t="str">
        <f>IFERROR(__xludf.DUMMYFUNCTION("""COMPUTED_VALUE"""),"NV phát triển cộng đồng")</f>
        <v>NV phát triển cộng đồng</v>
      </c>
      <c r="E198" s="734" t="str">
        <f>IFERROR(__xludf.DUMMYFUNCTION("""COMPUTED_VALUE"""),"CCS")</f>
        <v>CCS</v>
      </c>
      <c r="F198" s="733"/>
      <c r="G198" s="734" t="str">
        <f>IFERROR(__xludf.DUMMYFUNCTION("""COMPUTED_VALUE"""),"CCS")</f>
        <v>CCS</v>
      </c>
      <c r="H198" s="728" t="str">
        <f>IFERROR(__xludf.DUMMYFUNCTION("""COMPUTED_VALUE"""),"Nhân viên/ Chuyên viên/ Chuyên gia")</f>
        <v>Nhân viên/ Chuyên viên/ Chuyên gia</v>
      </c>
      <c r="I198" s="734" t="str">
        <f>IFERROR(__xludf.DUMMYFUNCTION("""COMPUTED_VALUE"""),"L3.00.00.00.00.00.00")</f>
        <v>L3.00.00.00.00.00.00</v>
      </c>
      <c r="J198" s="734" t="str">
        <f>IFERROR(__xludf.DUMMYFUNCTION("""COMPUTED_VALUE"""),"Khối Hỗ trợ và Chăm sóc khách hàng")</f>
        <v>Khối Hỗ trợ và Chăm sóc khách hàng</v>
      </c>
      <c r="K198" s="733"/>
      <c r="L198" s="734" t="str">
        <f>IFERROR(__xludf.DUMMYFUNCTION("""COMPUTED_VALUE"""),"mới")</f>
        <v>mới</v>
      </c>
      <c r="M198" s="733"/>
      <c r="N198" s="728" t="str">
        <f>IFERROR(__xludf.DUMMYFUNCTION("""COMPUTED_VALUE"""),"thêm mới")</f>
        <v>thêm mới</v>
      </c>
      <c r="O198" s="708"/>
      <c r="P198" s="708"/>
      <c r="Q198" s="708"/>
      <c r="R198" s="708"/>
      <c r="S198" s="708"/>
      <c r="T198" s="708"/>
      <c r="U198" s="708"/>
      <c r="V198" s="708"/>
      <c r="W198" s="708"/>
      <c r="X198" s="708"/>
      <c r="Y198" s="708"/>
      <c r="Z198" s="708"/>
      <c r="AA198" s="708"/>
      <c r="AB198" s="708"/>
      <c r="AC198" s="708"/>
      <c r="AD198" s="708"/>
      <c r="AE198" s="708"/>
    </row>
    <row r="199">
      <c r="A199" s="727">
        <f>IFERROR(__xludf.DUMMYFUNCTION("""COMPUTED_VALUE"""),181.0)</f>
        <v>181</v>
      </c>
      <c r="B199" s="733"/>
      <c r="C199" s="734" t="str">
        <f>IFERROR(__xludf.DUMMYFUNCTION("""COMPUTED_VALUE"""),"CCS_CSML")</f>
        <v>CCS_CSML</v>
      </c>
      <c r="D199" s="734" t="str">
        <f>IFERROR(__xludf.DUMMYFUNCTION("""COMPUTED_VALUE"""),"Trưởng nhóm CSKH")</f>
        <v>Trưởng nhóm CSKH</v>
      </c>
      <c r="E199" s="731" t="str">
        <f>IFERROR(__xludf.DUMMYFUNCTION("""COMPUTED_VALUE"""),"CCS_LEAD")</f>
        <v>CCS_LEAD</v>
      </c>
      <c r="F199" s="734">
        <f>IFERROR(__xludf.DUMMYFUNCTION("""COMPUTED_VALUE"""),1.0)</f>
        <v>1</v>
      </c>
      <c r="G199" s="734" t="str">
        <f>IFERROR(__xludf.DUMMYFUNCTION("""COMPUTED_VALUE"""),"CCS")</f>
        <v>CCS</v>
      </c>
      <c r="H199" s="731" t="str">
        <f>IFERROR(__xludf.DUMMYFUNCTION("""COMPUTED_VALUE"""),"Trưởng nhóm")</f>
        <v>Trưởng nhóm</v>
      </c>
      <c r="I199" s="734" t="str">
        <f>IFERROR(__xludf.DUMMYFUNCTION("""COMPUTED_VALUE"""),"L3.00.00.00.00.00.00")</f>
        <v>L3.00.00.00.00.00.00</v>
      </c>
      <c r="J199" s="734" t="str">
        <f>IFERROR(__xludf.DUMMYFUNCTION("""COMPUTED_VALUE"""),"Khối Hỗ trợ và Chăm sóc khách hàng")</f>
        <v>Khối Hỗ trợ và Chăm sóc khách hàng</v>
      </c>
      <c r="K199" s="733"/>
      <c r="L199" s="734" t="str">
        <f>IFERROR(__xludf.DUMMYFUNCTION("""COMPUTED_VALUE"""),"mới")</f>
        <v>mới</v>
      </c>
      <c r="M199" s="733"/>
      <c r="N199" s="728" t="str">
        <f>IFERROR(__xludf.DUMMYFUNCTION("""COMPUTED_VALUE"""),"thêm mới")</f>
        <v>thêm mới</v>
      </c>
      <c r="O199" s="708"/>
      <c r="P199" s="708"/>
      <c r="Q199" s="708"/>
      <c r="R199" s="708"/>
      <c r="S199" s="708"/>
      <c r="T199" s="708"/>
      <c r="U199" s="708"/>
      <c r="V199" s="708"/>
      <c r="W199" s="708"/>
      <c r="X199" s="708"/>
      <c r="Y199" s="708"/>
      <c r="Z199" s="708"/>
      <c r="AA199" s="708"/>
      <c r="AB199" s="708"/>
      <c r="AC199" s="708"/>
      <c r="AD199" s="708"/>
      <c r="AE199" s="708"/>
    </row>
    <row r="200">
      <c r="A200" s="727">
        <f>IFERROR(__xludf.DUMMYFUNCTION("""COMPUTED_VALUE"""),182.0)</f>
        <v>182</v>
      </c>
      <c r="B200" s="733"/>
      <c r="C200" s="734" t="str">
        <f>IFERROR(__xludf.DUMMYFUNCTION("""COMPUTED_VALUE"""),"CCS_CSMM")</f>
        <v>CCS_CSMM</v>
      </c>
      <c r="D200" s="734" t="str">
        <f>IFERROR(__xludf.DUMMYFUNCTION("""COMPUTED_VALUE"""),"Trưởng phòng CSKH")</f>
        <v>Trưởng phòng CSKH</v>
      </c>
      <c r="E200" s="731" t="str">
        <f>IFERROR(__xludf.DUMMYFUNCTION("""COMPUTED_VALUE"""),"CCS_COD")</f>
        <v>CCS_COD</v>
      </c>
      <c r="F200" s="734">
        <f>IFERROR(__xludf.DUMMYFUNCTION("""COMPUTED_VALUE"""),1.0)</f>
        <v>1</v>
      </c>
      <c r="G200" s="734" t="str">
        <f>IFERROR(__xludf.DUMMYFUNCTION("""COMPUTED_VALUE"""),"CCS")</f>
        <v>CCS</v>
      </c>
      <c r="H200" s="731" t="str">
        <f>IFERROR(__xludf.DUMMYFUNCTION("""COMPUTED_VALUE"""),"TPP/ Trưởng ban")</f>
        <v>TPP/ Trưởng ban</v>
      </c>
      <c r="I200" s="734" t="str">
        <f>IFERROR(__xludf.DUMMYFUNCTION("""COMPUTED_VALUE"""),"L3.00.00.00.00.00.00")</f>
        <v>L3.00.00.00.00.00.00</v>
      </c>
      <c r="J200" s="734" t="str">
        <f>IFERROR(__xludf.DUMMYFUNCTION("""COMPUTED_VALUE"""),"Khối Hỗ trợ và Chăm sóc khách hàng")</f>
        <v>Khối Hỗ trợ và Chăm sóc khách hàng</v>
      </c>
      <c r="K200" s="733"/>
      <c r="L200" s="734" t="str">
        <f>IFERROR(__xludf.DUMMYFUNCTION("""COMPUTED_VALUE"""),"mới")</f>
        <v>mới</v>
      </c>
      <c r="M200" s="733"/>
      <c r="N200" s="728" t="str">
        <f>IFERROR(__xludf.DUMMYFUNCTION("""COMPUTED_VALUE"""),"thêm mới")</f>
        <v>thêm mới</v>
      </c>
      <c r="O200" s="708"/>
      <c r="P200" s="708"/>
      <c r="Q200" s="708"/>
      <c r="R200" s="708"/>
      <c r="S200" s="708"/>
      <c r="T200" s="708"/>
      <c r="U200" s="708"/>
      <c r="V200" s="708"/>
      <c r="W200" s="708"/>
      <c r="X200" s="708"/>
      <c r="Y200" s="708"/>
      <c r="Z200" s="708"/>
      <c r="AA200" s="708"/>
      <c r="AB200" s="708"/>
      <c r="AC200" s="708"/>
      <c r="AD200" s="708"/>
      <c r="AE200" s="708"/>
    </row>
    <row r="201">
      <c r="A201" s="727">
        <f>IFERROR(__xludf.DUMMYFUNCTION("""COMPUTED_VALUE"""),183.0)</f>
        <v>183</v>
      </c>
      <c r="B201" s="733"/>
      <c r="C201" s="734" t="str">
        <f>IFERROR(__xludf.DUMMYFUNCTION("""COMPUTED_VALUE"""),"CCS_EXT")</f>
        <v>CCS_EXT</v>
      </c>
      <c r="D201" s="734" t="str">
        <f>IFERROR(__xludf.DUMMYFUNCTION("""COMPUTED_VALUE"""),"NV hỗ trợ gia hạn")</f>
        <v>NV hỗ trợ gia hạn</v>
      </c>
      <c r="E201" s="734" t="str">
        <f>IFERROR(__xludf.DUMMYFUNCTION("""COMPUTED_VALUE"""),"CCS")</f>
        <v>CCS</v>
      </c>
      <c r="F201" s="733"/>
      <c r="G201" s="734" t="str">
        <f>IFERROR(__xludf.DUMMYFUNCTION("""COMPUTED_VALUE"""),"CCS")</f>
        <v>CCS</v>
      </c>
      <c r="H201" s="728" t="str">
        <f>IFERROR(__xludf.DUMMYFUNCTION("""COMPUTED_VALUE"""),"Nhân viên/ Chuyên viên/ Chuyên gia")</f>
        <v>Nhân viên/ Chuyên viên/ Chuyên gia</v>
      </c>
      <c r="I201" s="734" t="str">
        <f>IFERROR(__xludf.DUMMYFUNCTION("""COMPUTED_VALUE"""),"L3.00.00.00.00.00.00")</f>
        <v>L3.00.00.00.00.00.00</v>
      </c>
      <c r="J201" s="734" t="str">
        <f>IFERROR(__xludf.DUMMYFUNCTION("""COMPUTED_VALUE"""),"Khối Hỗ trợ và Chăm sóc khách hàng")</f>
        <v>Khối Hỗ trợ và Chăm sóc khách hàng</v>
      </c>
      <c r="K201" s="733"/>
      <c r="L201" s="734" t="str">
        <f>IFERROR(__xludf.DUMMYFUNCTION("""COMPUTED_VALUE"""),"mới")</f>
        <v>mới</v>
      </c>
      <c r="M201" s="734" t="str">
        <f>IFERROR(__xludf.DUMMYFUNCTION("""COMPUTED_VALUE"""),"Extension")</f>
        <v>Extension</v>
      </c>
      <c r="N201" s="728" t="str">
        <f>IFERROR(__xludf.DUMMYFUNCTION("""COMPUTED_VALUE"""),"thêm mới")</f>
        <v>thêm mới</v>
      </c>
      <c r="O201" s="708"/>
      <c r="P201" s="708"/>
      <c r="Q201" s="708"/>
      <c r="R201" s="708"/>
      <c r="S201" s="708"/>
      <c r="T201" s="708"/>
      <c r="U201" s="708"/>
      <c r="V201" s="708"/>
      <c r="W201" s="708"/>
      <c r="X201" s="708"/>
      <c r="Y201" s="708"/>
      <c r="Z201" s="708"/>
      <c r="AA201" s="708"/>
      <c r="AB201" s="708"/>
      <c r="AC201" s="708"/>
      <c r="AD201" s="708"/>
      <c r="AE201" s="708"/>
    </row>
    <row r="202">
      <c r="A202" s="727">
        <f>IFERROR(__xludf.DUMMYFUNCTION("""COMPUTED_VALUE"""),184.0)</f>
        <v>184</v>
      </c>
      <c r="B202" s="733"/>
      <c r="C202" s="734" t="str">
        <f>IFERROR(__xludf.DUMMYFUNCTION("""COMPUTED_VALUE"""),"CCS_EXTL")</f>
        <v>CCS_EXTL</v>
      </c>
      <c r="D202" s="734" t="str">
        <f>IFERROR(__xludf.DUMMYFUNCTION("""COMPUTED_VALUE"""),"Trưởng nhóm hỗ trợ gia hạn")</f>
        <v>Trưởng nhóm hỗ trợ gia hạn</v>
      </c>
      <c r="E202" s="731" t="str">
        <f>IFERROR(__xludf.DUMMYFUNCTION("""COMPUTED_VALUE"""),"CCS_LEAD")</f>
        <v>CCS_LEAD</v>
      </c>
      <c r="F202" s="734">
        <f>IFERROR(__xludf.DUMMYFUNCTION("""COMPUTED_VALUE"""),1.0)</f>
        <v>1</v>
      </c>
      <c r="G202" s="734" t="str">
        <f>IFERROR(__xludf.DUMMYFUNCTION("""COMPUTED_VALUE"""),"CCS")</f>
        <v>CCS</v>
      </c>
      <c r="H202" s="731" t="str">
        <f>IFERROR(__xludf.DUMMYFUNCTION("""COMPUTED_VALUE"""),"Trưởng nhóm")</f>
        <v>Trưởng nhóm</v>
      </c>
      <c r="I202" s="734" t="str">
        <f>IFERROR(__xludf.DUMMYFUNCTION("""COMPUTED_VALUE"""),"L3.00.00.00.00.00.00")</f>
        <v>L3.00.00.00.00.00.00</v>
      </c>
      <c r="J202" s="734" t="str">
        <f>IFERROR(__xludf.DUMMYFUNCTION("""COMPUTED_VALUE"""),"Khối Hỗ trợ và Chăm sóc khách hàng")</f>
        <v>Khối Hỗ trợ và Chăm sóc khách hàng</v>
      </c>
      <c r="K202" s="733"/>
      <c r="L202" s="734" t="str">
        <f>IFERROR(__xludf.DUMMYFUNCTION("""COMPUTED_VALUE"""),"mới")</f>
        <v>mới</v>
      </c>
      <c r="M202" s="734" t="str">
        <f>IFERROR(__xludf.DUMMYFUNCTION("""COMPUTED_VALUE"""),"Extension Leader")</f>
        <v>Extension Leader</v>
      </c>
      <c r="N202" s="728" t="str">
        <f>IFERROR(__xludf.DUMMYFUNCTION("""COMPUTED_VALUE"""),"thêm mới")</f>
        <v>thêm mới</v>
      </c>
      <c r="O202" s="708"/>
      <c r="P202" s="708"/>
      <c r="Q202" s="708"/>
      <c r="R202" s="708"/>
      <c r="S202" s="708"/>
      <c r="T202" s="708"/>
      <c r="U202" s="708"/>
      <c r="V202" s="708"/>
      <c r="W202" s="708"/>
      <c r="X202" s="708"/>
      <c r="Y202" s="708"/>
      <c r="Z202" s="708"/>
      <c r="AA202" s="708"/>
      <c r="AB202" s="708"/>
      <c r="AC202" s="708"/>
      <c r="AD202" s="708"/>
      <c r="AE202" s="708"/>
    </row>
    <row r="203">
      <c r="A203" s="727">
        <f>IFERROR(__xludf.DUMMYFUNCTION("""COMPUTED_VALUE"""),185.0)</f>
        <v>185</v>
      </c>
      <c r="B203" s="733"/>
      <c r="C203" s="734" t="str">
        <f>IFERROR(__xludf.DUMMYFUNCTION("""COMPUTED_VALUE"""),"CCS_SUL")</f>
        <v>CCS_SUL</v>
      </c>
      <c r="D203" s="734" t="str">
        <f>IFERROR(__xludf.DUMMYFUNCTION("""COMPUTED_VALUE"""),"Trưởng nhóm hỗ trợ")</f>
        <v>Trưởng nhóm hỗ trợ</v>
      </c>
      <c r="E203" s="731" t="str">
        <f>IFERROR(__xludf.DUMMYFUNCTION("""COMPUTED_VALUE"""),"CCS_LEAD")</f>
        <v>CCS_LEAD</v>
      </c>
      <c r="F203" s="734">
        <f>IFERROR(__xludf.DUMMYFUNCTION("""COMPUTED_VALUE"""),1.0)</f>
        <v>1</v>
      </c>
      <c r="G203" s="734" t="str">
        <f>IFERROR(__xludf.DUMMYFUNCTION("""COMPUTED_VALUE"""),"CCS")</f>
        <v>CCS</v>
      </c>
      <c r="H203" s="731" t="str">
        <f>IFERROR(__xludf.DUMMYFUNCTION("""COMPUTED_VALUE"""),"Trưởng nhóm")</f>
        <v>Trưởng nhóm</v>
      </c>
      <c r="I203" s="734" t="str">
        <f>IFERROR(__xludf.DUMMYFUNCTION("""COMPUTED_VALUE"""),"L3.00.00.00.00.00.00")</f>
        <v>L3.00.00.00.00.00.00</v>
      </c>
      <c r="J203" s="734" t="str">
        <f>IFERROR(__xludf.DUMMYFUNCTION("""COMPUTED_VALUE"""),"Khối Hỗ trợ và Chăm sóc khách hàng")</f>
        <v>Khối Hỗ trợ và Chăm sóc khách hàng</v>
      </c>
      <c r="K203" s="733"/>
      <c r="L203" s="734" t="str">
        <f>IFERROR(__xludf.DUMMYFUNCTION("""COMPUTED_VALUE"""),"mới")</f>
        <v>mới</v>
      </c>
      <c r="M203" s="733"/>
      <c r="N203" s="728" t="str">
        <f>IFERROR(__xludf.DUMMYFUNCTION("""COMPUTED_VALUE"""),"thêm mới")</f>
        <v>thêm mới</v>
      </c>
      <c r="O203" s="708"/>
      <c r="P203" s="708"/>
      <c r="Q203" s="708"/>
      <c r="R203" s="708"/>
      <c r="S203" s="708"/>
      <c r="T203" s="708"/>
      <c r="U203" s="708"/>
      <c r="V203" s="708"/>
      <c r="W203" s="708"/>
      <c r="X203" s="708"/>
      <c r="Y203" s="708"/>
      <c r="Z203" s="708"/>
      <c r="AA203" s="708"/>
      <c r="AB203" s="708"/>
      <c r="AC203" s="708"/>
      <c r="AD203" s="708"/>
      <c r="AE203" s="708"/>
    </row>
    <row r="204">
      <c r="A204" s="727">
        <f>IFERROR(__xludf.DUMMYFUNCTION("""COMPUTED_VALUE"""),190.0)</f>
        <v>190</v>
      </c>
      <c r="B204" s="733"/>
      <c r="C204" s="734" t="str">
        <f>IFERROR(__xludf.DUMMYFUNCTION("""COMPUTED_VALUE"""),"CCS_SUT_COM")</f>
        <v>CCS_SUT_COM</v>
      </c>
      <c r="D204" s="734" t="str">
        <f>IFERROR(__xludf.DUMMYFUNCTION("""COMPUTED_VALUE"""),"NV hỗ trợ cộng đồng")</f>
        <v>NV hỗ trợ cộng đồng</v>
      </c>
      <c r="E204" s="734" t="str">
        <f>IFERROR(__xludf.DUMMYFUNCTION("""COMPUTED_VALUE"""),"CCS")</f>
        <v>CCS</v>
      </c>
      <c r="F204" s="733"/>
      <c r="G204" s="734" t="str">
        <f>IFERROR(__xludf.DUMMYFUNCTION("""COMPUTED_VALUE"""),"CCS")</f>
        <v>CCS</v>
      </c>
      <c r="H204" s="728" t="str">
        <f>IFERROR(__xludf.DUMMYFUNCTION("""COMPUTED_VALUE"""),"Nhân viên/ Chuyên viên/ Chuyên gia")</f>
        <v>Nhân viên/ Chuyên viên/ Chuyên gia</v>
      </c>
      <c r="I204" s="734" t="str">
        <f>IFERROR(__xludf.DUMMYFUNCTION("""COMPUTED_VALUE"""),"L3.00.00.00.00.00.00")</f>
        <v>L3.00.00.00.00.00.00</v>
      </c>
      <c r="J204" s="734" t="str">
        <f>IFERROR(__xludf.DUMMYFUNCTION("""COMPUTED_VALUE"""),"Khối Hỗ trợ và Chăm sóc khách hàng")</f>
        <v>Khối Hỗ trợ và Chăm sóc khách hàng</v>
      </c>
      <c r="K204" s="733"/>
      <c r="L204" s="734" t="str">
        <f>IFERROR(__xludf.DUMMYFUNCTION("""COMPUTED_VALUE"""),"mới")</f>
        <v>mới</v>
      </c>
      <c r="M204" s="733"/>
      <c r="N204" s="728" t="str">
        <f>IFERROR(__xludf.DUMMYFUNCTION("""COMPUTED_VALUE"""),"thêm mới")</f>
        <v>thêm mới</v>
      </c>
      <c r="O204" s="708"/>
      <c r="P204" s="708"/>
      <c r="Q204" s="708"/>
      <c r="R204" s="708"/>
      <c r="S204" s="708"/>
      <c r="T204" s="708"/>
      <c r="U204" s="708"/>
      <c r="V204" s="708"/>
      <c r="W204" s="708"/>
      <c r="X204" s="708"/>
      <c r="Y204" s="708"/>
      <c r="Z204" s="708"/>
      <c r="AA204" s="708"/>
      <c r="AB204" s="708"/>
      <c r="AC204" s="708"/>
      <c r="AD204" s="708"/>
      <c r="AE204" s="708"/>
    </row>
    <row r="205">
      <c r="A205" s="727">
        <f>IFERROR(__xludf.DUMMYFUNCTION("""COMPUTED_VALUE"""),191.0)</f>
        <v>191</v>
      </c>
      <c r="B205" s="733"/>
      <c r="C205" s="734" t="str">
        <f>IFERROR(__xludf.DUMMYFUNCTION("""COMPUTED_VALUE"""),"CCS_SUT_ONL")</f>
        <v>CCS_SUT_ONL</v>
      </c>
      <c r="D205" s="734" t="str">
        <f>IFERROR(__xludf.DUMMYFUNCTION("""COMPUTED_VALUE"""),"NV hỗ trợ KD trực tuyến")</f>
        <v>NV hỗ trợ KD trực tuyến</v>
      </c>
      <c r="E205" s="734" t="str">
        <f>IFERROR(__xludf.DUMMYFUNCTION("""COMPUTED_VALUE"""),"CCS")</f>
        <v>CCS</v>
      </c>
      <c r="F205" s="733"/>
      <c r="G205" s="734" t="str">
        <f>IFERROR(__xludf.DUMMYFUNCTION("""COMPUTED_VALUE"""),"CCS")</f>
        <v>CCS</v>
      </c>
      <c r="H205" s="728" t="str">
        <f>IFERROR(__xludf.DUMMYFUNCTION("""COMPUTED_VALUE"""),"Nhân viên/ Chuyên viên/ Chuyên gia")</f>
        <v>Nhân viên/ Chuyên viên/ Chuyên gia</v>
      </c>
      <c r="I205" s="734" t="str">
        <f>IFERROR(__xludf.DUMMYFUNCTION("""COMPUTED_VALUE"""),"L3.00.00.00.00.00.00")</f>
        <v>L3.00.00.00.00.00.00</v>
      </c>
      <c r="J205" s="734" t="str">
        <f>IFERROR(__xludf.DUMMYFUNCTION("""COMPUTED_VALUE"""),"Khối Hỗ trợ và Chăm sóc khách hàng")</f>
        <v>Khối Hỗ trợ và Chăm sóc khách hàng</v>
      </c>
      <c r="K205" s="733"/>
      <c r="L205" s="734" t="str">
        <f>IFERROR(__xludf.DUMMYFUNCTION("""COMPUTED_VALUE"""),"mới")</f>
        <v>mới</v>
      </c>
      <c r="M205" s="733"/>
      <c r="N205" s="728" t="str">
        <f>IFERROR(__xludf.DUMMYFUNCTION("""COMPUTED_VALUE"""),"thêm mới")</f>
        <v>thêm mới</v>
      </c>
      <c r="O205" s="708"/>
      <c r="P205" s="708"/>
      <c r="Q205" s="708"/>
      <c r="R205" s="708"/>
      <c r="S205" s="708"/>
      <c r="T205" s="708"/>
      <c r="U205" s="708"/>
      <c r="V205" s="708"/>
      <c r="W205" s="708"/>
      <c r="X205" s="708"/>
      <c r="Y205" s="708"/>
      <c r="Z205" s="708"/>
      <c r="AA205" s="708"/>
      <c r="AB205" s="708"/>
      <c r="AC205" s="708"/>
      <c r="AD205" s="708"/>
      <c r="AE205" s="708"/>
    </row>
    <row r="206">
      <c r="A206" s="727">
        <f>IFERROR(__xludf.DUMMYFUNCTION("""COMPUTED_VALUE"""),192.0)</f>
        <v>192</v>
      </c>
      <c r="B206" s="733"/>
      <c r="C206" s="734" t="str">
        <f>IFERROR(__xludf.DUMMYFUNCTION("""COMPUTED_VALUE"""),"CCS_SUM_ACTIV")</f>
        <v>CCS_SUM_ACTIV</v>
      </c>
      <c r="D206" s="734" t="str">
        <f>IFERROR(__xludf.DUMMYFUNCTION("""COMPUTED_VALUE"""),"Trưởng phòng hỗ trợ chủ động")</f>
        <v>Trưởng phòng hỗ trợ chủ động</v>
      </c>
      <c r="E206" s="731" t="str">
        <f>IFERROR(__xludf.DUMMYFUNCTION("""COMPUTED_VALUE"""),"CCS_COD")</f>
        <v>CCS_COD</v>
      </c>
      <c r="F206" s="734">
        <f>IFERROR(__xludf.DUMMYFUNCTION("""COMPUTED_VALUE"""),2.0)</f>
        <v>2</v>
      </c>
      <c r="G206" s="734" t="str">
        <f>IFERROR(__xludf.DUMMYFUNCTION("""COMPUTED_VALUE"""),"CCS")</f>
        <v>CCS</v>
      </c>
      <c r="H206" s="731" t="str">
        <f>IFERROR(__xludf.DUMMYFUNCTION("""COMPUTED_VALUE"""),"TPP/ Trưởng ban")</f>
        <v>TPP/ Trưởng ban</v>
      </c>
      <c r="I206" s="734" t="str">
        <f>IFERROR(__xludf.DUMMYFUNCTION("""COMPUTED_VALUE"""),"L3.00.00.00.00.00.00")</f>
        <v>L3.00.00.00.00.00.00</v>
      </c>
      <c r="J206" s="734" t="str">
        <f>IFERROR(__xludf.DUMMYFUNCTION("""COMPUTED_VALUE"""),"Khối Hỗ trợ và Chăm sóc khách hàng")</f>
        <v>Khối Hỗ trợ và Chăm sóc khách hàng</v>
      </c>
      <c r="K206" s="733"/>
      <c r="L206" s="734" t="str">
        <f>IFERROR(__xludf.DUMMYFUNCTION("""COMPUTED_VALUE"""),"mới")</f>
        <v>mới</v>
      </c>
      <c r="M206" s="733"/>
      <c r="N206" s="728" t="str">
        <f>IFERROR(__xludf.DUMMYFUNCTION("""COMPUTED_VALUE"""),"thêm mới")</f>
        <v>thêm mới</v>
      </c>
      <c r="O206" s="708"/>
      <c r="P206" s="708"/>
      <c r="Q206" s="708"/>
      <c r="R206" s="708"/>
      <c r="S206" s="708"/>
      <c r="T206" s="708"/>
      <c r="U206" s="708"/>
      <c r="V206" s="708"/>
      <c r="W206" s="708"/>
      <c r="X206" s="708"/>
      <c r="Y206" s="708"/>
      <c r="Z206" s="708"/>
      <c r="AA206" s="708"/>
      <c r="AB206" s="708"/>
      <c r="AC206" s="708"/>
      <c r="AD206" s="708"/>
      <c r="AE206" s="708"/>
    </row>
    <row r="207">
      <c r="A207" s="727">
        <f>IFERROR(__xludf.DUMMYFUNCTION("""COMPUTED_VALUE"""),193.0)</f>
        <v>193</v>
      </c>
      <c r="B207" s="733"/>
      <c r="C207" s="734" t="str">
        <f>IFERROR(__xludf.DUMMYFUNCTION("""COMPUTED_VALUE"""),"CCS_SUM")</f>
        <v>CCS_SUM</v>
      </c>
      <c r="D207" s="734" t="str">
        <f>IFERROR(__xludf.DUMMYFUNCTION("""COMPUTED_VALUE"""),"Trưởng phòng hỗ trợ")</f>
        <v>Trưởng phòng hỗ trợ</v>
      </c>
      <c r="E207" s="731" t="str">
        <f>IFERROR(__xludf.DUMMYFUNCTION("""COMPUTED_VALUE"""),"CCS_COD")</f>
        <v>CCS_COD</v>
      </c>
      <c r="F207" s="734">
        <f>IFERROR(__xludf.DUMMYFUNCTION("""COMPUTED_VALUE"""),2.0)</f>
        <v>2</v>
      </c>
      <c r="G207" s="734" t="str">
        <f>IFERROR(__xludf.DUMMYFUNCTION("""COMPUTED_VALUE"""),"CCS")</f>
        <v>CCS</v>
      </c>
      <c r="H207" s="731" t="str">
        <f>IFERROR(__xludf.DUMMYFUNCTION("""COMPUTED_VALUE"""),"TPP/ Trưởng ban")</f>
        <v>TPP/ Trưởng ban</v>
      </c>
      <c r="I207" s="734" t="str">
        <f>IFERROR(__xludf.DUMMYFUNCTION("""COMPUTED_VALUE"""),"L3.00.00.00.00.00.00")</f>
        <v>L3.00.00.00.00.00.00</v>
      </c>
      <c r="J207" s="734" t="str">
        <f>IFERROR(__xludf.DUMMYFUNCTION("""COMPUTED_VALUE"""),"Khối Hỗ trợ và Chăm sóc khách hàng")</f>
        <v>Khối Hỗ trợ và Chăm sóc khách hàng</v>
      </c>
      <c r="K207" s="733"/>
      <c r="L207" s="734" t="str">
        <f>IFERROR(__xludf.DUMMYFUNCTION("""COMPUTED_VALUE"""),"mới")</f>
        <v>mới</v>
      </c>
      <c r="M207" s="733"/>
      <c r="N207" s="728" t="str">
        <f>IFERROR(__xludf.DUMMYFUNCTION("""COMPUTED_VALUE"""),"thêm mới")</f>
        <v>thêm mới</v>
      </c>
      <c r="O207" s="708"/>
      <c r="P207" s="708"/>
      <c r="Q207" s="708"/>
      <c r="R207" s="708"/>
      <c r="S207" s="708"/>
      <c r="T207" s="708"/>
      <c r="U207" s="708"/>
      <c r="V207" s="708"/>
      <c r="W207" s="708"/>
      <c r="X207" s="708"/>
      <c r="Y207" s="708"/>
      <c r="Z207" s="708"/>
      <c r="AA207" s="708"/>
      <c r="AB207" s="708"/>
      <c r="AC207" s="708"/>
      <c r="AD207" s="708"/>
      <c r="AE207" s="708"/>
    </row>
    <row r="208">
      <c r="A208" s="727">
        <f>IFERROR(__xludf.DUMMYFUNCTION("""COMPUTED_VALUE"""),198.0)</f>
        <v>198</v>
      </c>
      <c r="B208" s="733"/>
      <c r="C208" s="734" t="str">
        <f>IFERROR(__xludf.DUMMYFUNCTION("""COMPUTED_VALUE"""),"CCS_SUPPORT")</f>
        <v>CCS_SUPPORT</v>
      </c>
      <c r="D208" s="734" t="str">
        <f>IFERROR(__xludf.DUMMYFUNCTION("""COMPUTED_VALUE"""),"NV hỗ trợ")</f>
        <v>NV hỗ trợ</v>
      </c>
      <c r="E208" s="734" t="str">
        <f>IFERROR(__xludf.DUMMYFUNCTION("""COMPUTED_VALUE"""),"CCS")</f>
        <v>CCS</v>
      </c>
      <c r="F208" s="733"/>
      <c r="G208" s="734" t="str">
        <f>IFERROR(__xludf.DUMMYFUNCTION("""COMPUTED_VALUE"""),"CCS")</f>
        <v>CCS</v>
      </c>
      <c r="H208" s="728" t="str">
        <f>IFERROR(__xludf.DUMMYFUNCTION("""COMPUTED_VALUE"""),"Nhân viên/ Chuyên viên/ Chuyên gia")</f>
        <v>Nhân viên/ Chuyên viên/ Chuyên gia</v>
      </c>
      <c r="I208" s="734" t="str">
        <f>IFERROR(__xludf.DUMMYFUNCTION("""COMPUTED_VALUE"""),"L3.00.00.00.00.00.00")</f>
        <v>L3.00.00.00.00.00.00</v>
      </c>
      <c r="J208" s="734" t="str">
        <f>IFERROR(__xludf.DUMMYFUNCTION("""COMPUTED_VALUE"""),"Khối Hỗ trợ và Chăm sóc khách hàng")</f>
        <v>Khối Hỗ trợ và Chăm sóc khách hàng</v>
      </c>
      <c r="K208" s="733"/>
      <c r="L208" s="734" t="str">
        <f>IFERROR(__xludf.DUMMYFUNCTION("""COMPUTED_VALUE"""),"mới")</f>
        <v>mới</v>
      </c>
      <c r="M208" s="733"/>
      <c r="N208" s="728" t="str">
        <f>IFERROR(__xludf.DUMMYFUNCTION("""COMPUTED_VALUE"""),"thêm mới")</f>
        <v>thêm mới</v>
      </c>
      <c r="O208" s="708"/>
      <c r="P208" s="708"/>
      <c r="Q208" s="708"/>
      <c r="R208" s="708"/>
      <c r="S208" s="708"/>
      <c r="T208" s="708"/>
      <c r="U208" s="708"/>
      <c r="V208" s="708"/>
      <c r="W208" s="708"/>
      <c r="X208" s="708"/>
      <c r="Y208" s="708"/>
      <c r="Z208" s="708"/>
      <c r="AA208" s="708"/>
      <c r="AB208" s="708"/>
      <c r="AC208" s="708"/>
      <c r="AD208" s="708"/>
      <c r="AE208" s="708"/>
    </row>
    <row r="209">
      <c r="A209" s="724" t="str">
        <f>IFERROR(__xludf.DUMMYFUNCTION("""COMPUTED_VALUE"""),"Khối Nền tảng giáo dục")</f>
        <v>Khối Nền tảng giáo dục</v>
      </c>
      <c r="B209" s="725"/>
      <c r="C209" s="725"/>
      <c r="D209" s="725"/>
      <c r="E209" s="725"/>
      <c r="F209" s="725"/>
      <c r="G209" s="725"/>
      <c r="H209" s="725"/>
      <c r="I209" s="725"/>
      <c r="J209" s="725"/>
      <c r="K209" s="725"/>
      <c r="L209" s="725"/>
      <c r="M209" s="725"/>
      <c r="N209" s="729"/>
      <c r="O209" s="726"/>
      <c r="P209" s="726"/>
      <c r="Q209" s="726"/>
      <c r="R209" s="726"/>
      <c r="S209" s="726"/>
      <c r="T209" s="726"/>
      <c r="U209" s="726"/>
      <c r="V209" s="726"/>
      <c r="W209" s="726"/>
      <c r="X209" s="726"/>
      <c r="Y209" s="726"/>
      <c r="Z209" s="726"/>
      <c r="AA209" s="726"/>
      <c r="AB209" s="708"/>
      <c r="AC209" s="708"/>
      <c r="AD209" s="708"/>
      <c r="AE209" s="708"/>
    </row>
    <row r="210">
      <c r="A210" s="727">
        <f>IFERROR(__xludf.DUMMYFUNCTION("""COMPUTED_VALUE"""),199.0)</f>
        <v>199</v>
      </c>
      <c r="B210" s="728" t="str">
        <f>IFERROR(__xludf.DUMMYFUNCTION("""COMPUTED_VALUE"""),"PF_PDR_EMIS")</f>
        <v>PF_PDR_EMIS</v>
      </c>
      <c r="C210" s="728" t="str">
        <f>IFERROR(__xludf.DUMMYFUNCTION("""COMPUTED_VALUE"""),"EMIS_PDR")</f>
        <v>EMIS_PDR</v>
      </c>
      <c r="D210" s="728" t="str">
        <f>IFERROR(__xludf.DUMMYFUNCTION("""COMPUTED_VALUE"""),"NV phát triển đối tác")</f>
        <v>NV phát triển đối tác</v>
      </c>
      <c r="E210" s="728" t="str">
        <f>IFERROR(__xludf.DUMMYFUNCTION("""COMPUTED_VALUE"""),"PDR")</f>
        <v>PDR</v>
      </c>
      <c r="F210" s="729"/>
      <c r="G210" s="728" t="str">
        <f>IFERROR(__xludf.DUMMYFUNCTION("""COMPUTED_VALUE"""),"EMIS")</f>
        <v>EMIS</v>
      </c>
      <c r="H210" s="728" t="str">
        <f>IFERROR(__xludf.DUMMYFUNCTION("""COMPUTED_VALUE"""),"Nhân viên/ Chuyên viên/ Chuyên gia")</f>
        <v>Nhân viên/ Chuyên viên/ Chuyên gia</v>
      </c>
      <c r="I210" s="728" t="str">
        <f>IFERROR(__xludf.DUMMYFUNCTION("""COMPUTED_VALUE"""),"L00")</f>
        <v>L00</v>
      </c>
      <c r="J210" s="728" t="str">
        <f>IFERROR(__xludf.DUMMYFUNCTION("""COMPUTED_VALUE"""),"Công ty cổ phần MISA")</f>
        <v>Công ty cổ phần MISA</v>
      </c>
      <c r="K210" s="728" t="str">
        <f>IFERROR(__xludf.DUMMYFUNCTION("""COMPUTED_VALUE"""),"01 - NV_KD")</f>
        <v>01 - NV_KD</v>
      </c>
      <c r="L210" s="728" t="str">
        <f>IFERROR(__xludf.DUMMYFUNCTION("""COMPUTED_VALUE"""),"Đang theo dõi")</f>
        <v>Đang theo dõi</v>
      </c>
      <c r="M210" s="729"/>
      <c r="N210" s="728" t="str">
        <f>IFERROR(__xludf.DUMMYFUNCTION("""COMPUTED_VALUE"""),"đổi mã")</f>
        <v>đổi mã</v>
      </c>
      <c r="O210" s="708"/>
      <c r="P210" s="708"/>
      <c r="Q210" s="708"/>
      <c r="R210" s="708"/>
      <c r="S210" s="708"/>
      <c r="T210" s="708"/>
      <c r="U210" s="708"/>
      <c r="V210" s="708"/>
      <c r="W210" s="708"/>
      <c r="X210" s="708"/>
      <c r="Y210" s="708"/>
      <c r="Z210" s="708"/>
      <c r="AA210" s="708"/>
      <c r="AB210" s="708"/>
      <c r="AC210" s="708"/>
      <c r="AD210" s="708"/>
      <c r="AE210" s="708"/>
    </row>
    <row r="211">
      <c r="A211" s="727">
        <f>IFERROR(__xludf.DUMMYFUNCTION("""COMPUTED_VALUE"""),200.0)</f>
        <v>200</v>
      </c>
      <c r="B211" s="728" t="str">
        <f>IFERROR(__xludf.DUMMYFUNCTION("""COMPUTED_VALUE"""),"SB_A.SD_EMIS")</f>
        <v>SB_A.SD_EMIS</v>
      </c>
      <c r="C211" s="728" t="str">
        <f>IFERROR(__xludf.DUMMYFUNCTION("""COMPUTED_VALUE"""),"EMIS_PUD")</f>
        <v>EMIS_PUD</v>
      </c>
      <c r="D211" s="728" t="str">
        <f>IFERROR(__xludf.DUMMYFUNCTION("""COMPUTED_VALUE"""),"Q. Giám đốc nền tảng QL giáo dục MISA EMIS")</f>
        <v>Q. Giám đốc nền tảng QL giáo dục MISA EMIS</v>
      </c>
      <c r="E211" s="728" t="str">
        <f>IFERROR(__xludf.DUMMYFUNCTION("""COMPUTED_VALUE"""),"BOM")</f>
        <v>BOM</v>
      </c>
      <c r="F211" s="728">
        <f>IFERROR(__xludf.DUMMYFUNCTION("""COMPUTED_VALUE"""),3.0)</f>
        <v>3</v>
      </c>
      <c r="G211" s="728" t="str">
        <f>IFERROR(__xludf.DUMMYFUNCTION("""COMPUTED_VALUE"""),"EMIS")</f>
        <v>EMIS</v>
      </c>
      <c r="H211" s="728" t="str">
        <f>IFERROR(__xludf.DUMMYFUNCTION("""COMPUTED_VALUE"""),"Quyền Giám đốc")</f>
        <v>Quyền Giám đốc</v>
      </c>
      <c r="I211" s="728" t="str">
        <f>IFERROR(__xludf.DUMMYFUNCTION("""COMPUTED_VALUE"""),"L00")</f>
        <v>L00</v>
      </c>
      <c r="J211" s="728" t="str">
        <f>IFERROR(__xludf.DUMMYFUNCTION("""COMPUTED_VALUE"""),"Công ty cổ phần MISA")</f>
        <v>Công ty cổ phần MISA</v>
      </c>
      <c r="K211" s="728" t="str">
        <f>IFERROR(__xludf.DUMMYFUNCTION("""COMPUTED_VALUE"""),"03 - BGĐ_KD")</f>
        <v>03 - BGĐ_KD</v>
      </c>
      <c r="L211" s="728" t="str">
        <f>IFERROR(__xludf.DUMMYFUNCTION("""COMPUTED_VALUE"""),"Đang theo dõi")</f>
        <v>Đang theo dõi</v>
      </c>
      <c r="M211" s="729"/>
      <c r="N211" s="728" t="str">
        <f>IFERROR(__xludf.DUMMYFUNCTION("""COMPUTED_VALUE"""),"đổi mã")</f>
        <v>đổi mã</v>
      </c>
      <c r="O211" s="708"/>
      <c r="P211" s="708"/>
      <c r="Q211" s="708"/>
      <c r="R211" s="708"/>
      <c r="S211" s="708"/>
      <c r="T211" s="708"/>
      <c r="U211" s="708"/>
      <c r="V211" s="708"/>
      <c r="W211" s="708"/>
      <c r="X211" s="708"/>
      <c r="Y211" s="708"/>
      <c r="Z211" s="708"/>
      <c r="AA211" s="708"/>
      <c r="AB211" s="708"/>
      <c r="AC211" s="708"/>
      <c r="AD211" s="708"/>
      <c r="AE211" s="708"/>
    </row>
    <row r="212">
      <c r="A212" s="727">
        <f>IFERROR(__xludf.DUMMYFUNCTION("""COMPUTED_VALUE"""),304.0)</f>
        <v>304</v>
      </c>
      <c r="B212" s="728" t="str">
        <f>IFERROR(__xludf.DUMMYFUNCTION("""COMPUTED_VALUE"""),"PF_ONB_EMIS")</f>
        <v>PF_ONB_EMIS</v>
      </c>
      <c r="C212" s="728" t="str">
        <f>IFERROR(__xludf.DUMMYFUNCTION("""COMPUTED_VALUE"""),"EMIS_ONB")</f>
        <v>EMIS_ONB</v>
      </c>
      <c r="D212" s="728" t="str">
        <f>IFERROR(__xludf.DUMMYFUNCTION("""COMPUTED_VALUE"""),"NV Chuyển giao")</f>
        <v>NV Chuyển giao</v>
      </c>
      <c r="E212" s="728" t="str">
        <f>IFERROR(__xludf.DUMMYFUNCTION("""COMPUTED_VALUE"""),"ONB")</f>
        <v>ONB</v>
      </c>
      <c r="F212" s="729"/>
      <c r="G212" s="728" t="str">
        <f>IFERROR(__xludf.DUMMYFUNCTION("""COMPUTED_VALUE"""),"EMIS")</f>
        <v>EMIS</v>
      </c>
      <c r="H212" s="728" t="str">
        <f>IFERROR(__xludf.DUMMYFUNCTION("""COMPUTED_VALUE"""),"Nhân viên/ Chuyên viên/ Chuyên gia")</f>
        <v>Nhân viên/ Chuyên viên/ Chuyên gia</v>
      </c>
      <c r="I212" s="728" t="str">
        <f>IFERROR(__xludf.DUMMYFUNCTION("""COMPUTED_VALUE"""),"L00")</f>
        <v>L00</v>
      </c>
      <c r="J212" s="728" t="str">
        <f>IFERROR(__xludf.DUMMYFUNCTION("""COMPUTED_VALUE"""),"Công ty cổ phần MISA")</f>
        <v>Công ty cổ phần MISA</v>
      </c>
      <c r="K212" s="729"/>
      <c r="L212" s="728" t="str">
        <f>IFERROR(__xludf.DUMMYFUNCTION("""COMPUTED_VALUE"""),"Đang theo dõi")</f>
        <v>Đang theo dõi</v>
      </c>
      <c r="M212" s="729"/>
      <c r="N212" s="728" t="str">
        <f>IFERROR(__xludf.DUMMYFUNCTION("""COMPUTED_VALUE"""),"đổi mã")</f>
        <v>đổi mã</v>
      </c>
      <c r="O212" s="708"/>
      <c r="P212" s="708"/>
      <c r="Q212" s="708"/>
      <c r="R212" s="708"/>
      <c r="S212" s="708"/>
      <c r="T212" s="708"/>
      <c r="U212" s="708"/>
      <c r="V212" s="708"/>
      <c r="W212" s="708"/>
      <c r="X212" s="708"/>
      <c r="Y212" s="708"/>
      <c r="Z212" s="708"/>
      <c r="AA212" s="708"/>
      <c r="AB212" s="708"/>
      <c r="AC212" s="708"/>
      <c r="AD212" s="708"/>
      <c r="AE212" s="708"/>
    </row>
    <row r="213">
      <c r="A213" s="724" t="str">
        <f>IFERROR(__xludf.DUMMYFUNCTION("""COMPUTED_VALUE"""),"Khối KD DNL")</f>
        <v>Khối KD DNL</v>
      </c>
      <c r="B213" s="725"/>
      <c r="C213" s="725"/>
      <c r="D213" s="725"/>
      <c r="E213" s="725"/>
      <c r="F213" s="725"/>
      <c r="G213" s="725"/>
      <c r="H213" s="725"/>
      <c r="I213" s="725"/>
      <c r="J213" s="725"/>
      <c r="K213" s="725"/>
      <c r="L213" s="725"/>
      <c r="M213" s="725"/>
      <c r="N213" s="729"/>
      <c r="O213" s="726"/>
      <c r="P213" s="726"/>
      <c r="Q213" s="726"/>
      <c r="R213" s="726"/>
      <c r="S213" s="726"/>
      <c r="T213" s="726"/>
      <c r="U213" s="726"/>
      <c r="V213" s="726"/>
      <c r="W213" s="726"/>
      <c r="X213" s="726"/>
      <c r="Y213" s="726"/>
      <c r="Z213" s="726"/>
      <c r="AA213" s="726"/>
      <c r="AB213" s="708"/>
      <c r="AC213" s="708"/>
      <c r="AD213" s="708"/>
      <c r="AE213" s="708"/>
    </row>
    <row r="214">
      <c r="A214" s="727">
        <f>IFERROR(__xludf.DUMMYFUNCTION("""COMPUTED_VALUE"""),201.0)</f>
        <v>201</v>
      </c>
      <c r="B214" s="738" t="str">
        <f>IFERROR(__xludf.DUMMYFUNCTION("""COMPUTED_VALUE"""),"ENT_NS_A.SD")</f>
        <v>ENT_NS_A.SD</v>
      </c>
      <c r="C214" s="738" t="str">
        <f>IFERROR(__xludf.DUMMYFUNCTION("""COMPUTED_VALUE"""),"ENT_A.SD")</f>
        <v>ENT_A.SD</v>
      </c>
      <c r="D214" s="728" t="str">
        <f>IFERROR(__xludf.DUMMYFUNCTION("""COMPUTED_VALUE"""),"Q. Giám đốc TTKD")</f>
        <v>Q. Giám đốc TTKD</v>
      </c>
      <c r="E214" s="728" t="str">
        <f>IFERROR(__xludf.DUMMYFUNCTION("""COMPUTED_VALUE"""),"BOM")</f>
        <v>BOM</v>
      </c>
      <c r="F214" s="728">
        <f>IFERROR(__xludf.DUMMYFUNCTION("""COMPUTED_VALUE"""),3.0)</f>
        <v>3</v>
      </c>
      <c r="G214" s="728" t="str">
        <f>IFERROR(__xludf.DUMMYFUNCTION("""COMPUTED_VALUE"""),"ENTERPRISE")</f>
        <v>ENTERPRISE</v>
      </c>
      <c r="H214" s="728" t="str">
        <f>IFERROR(__xludf.DUMMYFUNCTION("""COMPUTED_VALUE"""),"Ban GĐTTKD/ BGĐ khối DA")</f>
        <v>Ban GĐTTKD/ BGĐ khối DA</v>
      </c>
      <c r="I214" s="728" t="str">
        <f>IFERROR(__xludf.DUMMYFUNCTION("""COMPUTED_VALUE"""),"L00")</f>
        <v>L00</v>
      </c>
      <c r="J214" s="728" t="str">
        <f>IFERROR(__xludf.DUMMYFUNCTION("""COMPUTED_VALUE"""),"Công ty cổ phần MISA")</f>
        <v>Công ty cổ phần MISA</v>
      </c>
      <c r="K214" s="728" t="str">
        <f>IFERROR(__xludf.DUMMYFUNCTION("""COMPUTED_VALUE"""),"03 - BGĐ_KD")</f>
        <v>03 - BGĐ_KD</v>
      </c>
      <c r="L214" s="728" t="str">
        <f>IFERROR(__xludf.DUMMYFUNCTION("""COMPUTED_VALUE"""),"Đang theo dõi")</f>
        <v>Đang theo dõi</v>
      </c>
      <c r="M214" s="729"/>
      <c r="N214" s="728" t="str">
        <f>IFERROR(__xludf.DUMMYFUNCTION("""COMPUTED_VALUE"""),"đổi mã")</f>
        <v>đổi mã</v>
      </c>
      <c r="O214" s="708"/>
      <c r="P214" s="708"/>
      <c r="Q214" s="708"/>
      <c r="R214" s="708"/>
      <c r="S214" s="708"/>
      <c r="T214" s="708"/>
      <c r="U214" s="708"/>
      <c r="V214" s="708"/>
      <c r="W214" s="708"/>
      <c r="X214" s="708"/>
      <c r="Y214" s="708"/>
      <c r="Z214" s="708"/>
      <c r="AA214" s="708"/>
      <c r="AB214" s="708"/>
      <c r="AC214" s="708"/>
      <c r="AD214" s="708"/>
      <c r="AE214" s="708"/>
    </row>
    <row r="215">
      <c r="A215" s="727">
        <f>IFERROR(__xludf.DUMMYFUNCTION("""COMPUTED_VALUE"""),202.0)</f>
        <v>202</v>
      </c>
      <c r="B215" s="733"/>
      <c r="C215" s="734" t="str">
        <f>IFERROR(__xludf.DUMMYFUNCTION("""COMPUTED_VALUE"""),"ENT_AE")</f>
        <v>ENT_AE</v>
      </c>
      <c r="D215" s="734" t="str">
        <f>IFERROR(__xludf.DUMMYFUNCTION("""COMPUTED_VALUE"""),"NV kinh doanh")</f>
        <v>NV kinh doanh</v>
      </c>
      <c r="E215" s="739" t="str">
        <f>IFERROR(__xludf.DUMMYFUNCTION("""COMPUTED_VALUE"""),"AE")</f>
        <v>AE</v>
      </c>
      <c r="F215" s="733"/>
      <c r="G215" s="739" t="str">
        <f>IFERROR(__xludf.DUMMYFUNCTION("""COMPUTED_VALUE"""),"ENTERPRISE")</f>
        <v>ENTERPRISE</v>
      </c>
      <c r="H215" s="739" t="str">
        <f>IFERROR(__xludf.DUMMYFUNCTION("""COMPUTED_VALUE"""),"Nhân viên/ Chuyên viên/ Chuyên gia")</f>
        <v>Nhân viên/ Chuyên viên/ Chuyên gia</v>
      </c>
      <c r="I215" s="739" t="str">
        <f>IFERROR(__xludf.DUMMYFUNCTION("""COMPUTED_VALUE"""),"L2.02.04.00.00.00.00")</f>
        <v>L2.02.04.00.00.00.00</v>
      </c>
      <c r="J215" s="739" t="str">
        <f>IFERROR(__xludf.DUMMYFUNCTION("""COMPUTED_VALUE"""),"Khối doanh nghiệp lớn")</f>
        <v>Khối doanh nghiệp lớn</v>
      </c>
      <c r="K215" s="739" t="str">
        <f>IFERROR(__xludf.DUMMYFUNCTION("""COMPUTED_VALUE"""),"01 - NV_KD")</f>
        <v>01 - NV_KD</v>
      </c>
      <c r="L215" s="734" t="str">
        <f>IFERROR(__xludf.DUMMYFUNCTION("""COMPUTED_VALUE"""),"mới")</f>
        <v>mới</v>
      </c>
      <c r="M215" s="733"/>
      <c r="N215" s="728" t="str">
        <f>IFERROR(__xludf.DUMMYFUNCTION("""COMPUTED_VALUE"""),"thêm mới")</f>
        <v>thêm mới</v>
      </c>
      <c r="O215" s="708"/>
      <c r="P215" s="708"/>
      <c r="Q215" s="708"/>
      <c r="R215" s="708"/>
      <c r="S215" s="708"/>
      <c r="T215" s="708"/>
      <c r="U215" s="708"/>
      <c r="V215" s="708"/>
      <c r="W215" s="708"/>
      <c r="X215" s="708"/>
      <c r="Y215" s="708"/>
      <c r="Z215" s="708"/>
      <c r="AA215" s="708"/>
      <c r="AB215" s="726"/>
      <c r="AC215" s="726"/>
      <c r="AD215" s="726"/>
      <c r="AE215" s="726"/>
    </row>
    <row r="216">
      <c r="A216" s="727">
        <f>IFERROR(__xludf.DUMMYFUNCTION("""COMPUTED_VALUE"""),203.0)</f>
        <v>203</v>
      </c>
      <c r="B216" s="740" t="str">
        <f>IFERROR(__xludf.DUMMYFUNCTION("""COMPUTED_VALUE"""),"ENT_NS_A.SM")</f>
        <v>ENT_NS_A.SM</v>
      </c>
      <c r="C216" s="728" t="str">
        <f>IFERROR(__xludf.DUMMYFUNCTION("""COMPUTED_VALUE"""),"ENT_AMM")</f>
        <v>ENT_AMM</v>
      </c>
      <c r="D216" s="731" t="str">
        <f>IFERROR(__xludf.DUMMYFUNCTION("""COMPUTED_VALUE"""),"Q. Quản lý kinh doanh")</f>
        <v>Q. Quản lý kinh doanh</v>
      </c>
      <c r="E216" s="731" t="str">
        <f>IFERROR(__xludf.DUMMYFUNCTION("""COMPUTED_VALUE"""),"SM")</f>
        <v>SM</v>
      </c>
      <c r="F216" s="731">
        <f>IFERROR(__xludf.DUMMYFUNCTION("""COMPUTED_VALUE"""),2.0)</f>
        <v>2</v>
      </c>
      <c r="G216" s="731" t="str">
        <f>IFERROR(__xludf.DUMMYFUNCTION("""COMPUTED_VALUE"""),"ENTERPRISE")</f>
        <v>ENTERPRISE</v>
      </c>
      <c r="H216" s="731" t="str">
        <f>IFERROR(__xludf.DUMMYFUNCTION("""COMPUTED_VALUE"""),"TPP/ Trưởng ban")</f>
        <v>TPP/ Trưởng ban</v>
      </c>
      <c r="I216" s="729"/>
      <c r="J216" s="731" t="str">
        <f>IFERROR(__xludf.DUMMYFUNCTION("""COMPUTED_VALUE"""),"Công ty cổ phần MISA")</f>
        <v>Công ty cổ phần MISA</v>
      </c>
      <c r="K216" s="731" t="str">
        <f>IFERROR(__xludf.DUMMYFUNCTION("""COMPUTED_VALUE"""),"02 - QL_KD")</f>
        <v>02 - QL_KD</v>
      </c>
      <c r="L216" s="731" t="str">
        <f>IFERROR(__xludf.DUMMYFUNCTION("""COMPUTED_VALUE"""),"Ngừng")</f>
        <v>Ngừng</v>
      </c>
      <c r="M216" s="729"/>
      <c r="N216" s="728" t="str">
        <f>IFERROR(__xludf.DUMMYFUNCTION("""COMPUTED_VALUE"""),"Ngừng")</f>
        <v>Ngừng</v>
      </c>
      <c r="O216" s="708"/>
      <c r="P216" s="708"/>
      <c r="Q216" s="708"/>
      <c r="R216" s="708"/>
      <c r="S216" s="708"/>
      <c r="T216" s="708"/>
      <c r="U216" s="708"/>
      <c r="V216" s="708"/>
      <c r="W216" s="708"/>
      <c r="X216" s="708"/>
      <c r="Y216" s="708"/>
      <c r="Z216" s="708"/>
      <c r="AA216" s="708"/>
      <c r="AB216" s="708"/>
      <c r="AC216" s="708"/>
      <c r="AD216" s="708"/>
      <c r="AE216" s="708"/>
    </row>
    <row r="217">
      <c r="A217" s="727">
        <f>IFERROR(__xludf.DUMMYFUNCTION("""COMPUTED_VALUE"""),204.0)</f>
        <v>204</v>
      </c>
      <c r="B217" s="728" t="str">
        <f>IFERROR(__xludf.DUMMYFUNCTION("""COMPUTED_VALUE"""),"ENT_NS_SM")</f>
        <v>ENT_NS_SM</v>
      </c>
      <c r="C217" s="728" t="str">
        <f>IFERROR(__xludf.DUMMYFUNCTION("""COMPUTED_VALUE"""),"ENT_AMM")</f>
        <v>ENT_AMM</v>
      </c>
      <c r="D217" s="728" t="str">
        <f>IFERROR(__xludf.DUMMYFUNCTION("""COMPUTED_VALUE"""),"Trưởng phòng kinh doanh")</f>
        <v>Trưởng phòng kinh doanh</v>
      </c>
      <c r="E217" s="728" t="str">
        <f>IFERROR(__xludf.DUMMYFUNCTION("""COMPUTED_VALUE"""),"SM")</f>
        <v>SM</v>
      </c>
      <c r="F217" s="728">
        <f>IFERROR(__xludf.DUMMYFUNCTION("""COMPUTED_VALUE"""),2.0)</f>
        <v>2</v>
      </c>
      <c r="G217" s="728" t="str">
        <f>IFERROR(__xludf.DUMMYFUNCTION("""COMPUTED_VALUE"""),"ENTERPRISE")</f>
        <v>ENTERPRISE</v>
      </c>
      <c r="H217" s="728" t="str">
        <f>IFERROR(__xludf.DUMMYFUNCTION("""COMPUTED_VALUE"""),"TPP/ Trưởng ban")</f>
        <v>TPP/ Trưởng ban</v>
      </c>
      <c r="I217" s="728" t="str">
        <f>IFERROR(__xludf.DUMMYFUNCTION("""COMPUTED_VALUE"""),"L00")</f>
        <v>L00</v>
      </c>
      <c r="J217" s="728" t="str">
        <f>IFERROR(__xludf.DUMMYFUNCTION("""COMPUTED_VALUE"""),"Công ty cổ phần MISA")</f>
        <v>Công ty cổ phần MISA</v>
      </c>
      <c r="K217" s="728" t="str">
        <f>IFERROR(__xludf.DUMMYFUNCTION("""COMPUTED_VALUE"""),"02 - QL_KD")</f>
        <v>02 - QL_KD</v>
      </c>
      <c r="L217" s="728" t="str">
        <f>IFERROR(__xludf.DUMMYFUNCTION("""COMPUTED_VALUE"""),"Đang theo dõi")</f>
        <v>Đang theo dõi</v>
      </c>
      <c r="M217" s="729"/>
      <c r="N217" s="728" t="str">
        <f>IFERROR(__xludf.DUMMYFUNCTION("""COMPUTED_VALUE"""),"đổi mã")</f>
        <v>đổi mã</v>
      </c>
      <c r="O217" s="708"/>
      <c r="P217" s="708"/>
      <c r="Q217" s="708"/>
      <c r="R217" s="708"/>
      <c r="S217" s="708"/>
      <c r="T217" s="708"/>
      <c r="U217" s="708"/>
      <c r="V217" s="708"/>
      <c r="W217" s="708"/>
      <c r="X217" s="708"/>
      <c r="Y217" s="708"/>
      <c r="Z217" s="708"/>
      <c r="AA217" s="708"/>
      <c r="AB217" s="708"/>
      <c r="AC217" s="708"/>
      <c r="AD217" s="708"/>
      <c r="AE217" s="708"/>
    </row>
    <row r="218">
      <c r="A218" s="727">
        <f>IFERROR(__xludf.DUMMYFUNCTION("""COMPUTED_VALUE"""),205.0)</f>
        <v>205</v>
      </c>
      <c r="B218" s="731" t="str">
        <f>IFERROR(__xludf.DUMMYFUNCTION("""COMPUTED_VALUE"""),"ENT_NS_ADR")</f>
        <v>ENT_NS_ADR</v>
      </c>
      <c r="C218" s="731" t="str">
        <f>IFERROR(__xludf.DUMMYFUNCTION("""COMPUTED_VALUE"""),"ENT_NS_ADR")</f>
        <v>ENT_NS_ADR</v>
      </c>
      <c r="D218" s="731" t="str">
        <f>IFERROR(__xludf.DUMMYFUNCTION("""COMPUTED_VALUE"""),"NV Phát triển khách hàng")</f>
        <v>NV Phát triển khách hàng</v>
      </c>
      <c r="E218" s="731" t="str">
        <f>IFERROR(__xludf.DUMMYFUNCTION("""COMPUTED_VALUE"""),"ADR")</f>
        <v>ADR</v>
      </c>
      <c r="F218" s="729"/>
      <c r="G218" s="731" t="str">
        <f>IFERROR(__xludf.DUMMYFUNCTION("""COMPUTED_VALUE"""),"ENTERPRISE")</f>
        <v>ENTERPRISE</v>
      </c>
      <c r="H218" s="731" t="str">
        <f>IFERROR(__xludf.DUMMYFUNCTION("""COMPUTED_VALUE"""),"Nhân viên/ Chuyên viên/ Chuyên gia")</f>
        <v>Nhân viên/ Chuyên viên/ Chuyên gia</v>
      </c>
      <c r="I218" s="729"/>
      <c r="J218" s="731" t="str">
        <f>IFERROR(__xludf.DUMMYFUNCTION("""COMPUTED_VALUE"""),"Công ty cổ phần MISA")</f>
        <v>Công ty cổ phần MISA</v>
      </c>
      <c r="K218" s="731" t="str">
        <f>IFERROR(__xludf.DUMMYFUNCTION("""COMPUTED_VALUE"""),"01 - NV_KD")</f>
        <v>01 - NV_KD</v>
      </c>
      <c r="L218" s="731" t="str">
        <f>IFERROR(__xludf.DUMMYFUNCTION("""COMPUTED_VALUE"""),"Ngừng")</f>
        <v>Ngừng</v>
      </c>
      <c r="M218" s="729"/>
      <c r="N218" s="728" t="str">
        <f>IFERROR(__xludf.DUMMYFUNCTION("""COMPUTED_VALUE"""),"ngừng")</f>
        <v>ngừng</v>
      </c>
      <c r="O218" s="732"/>
      <c r="P218" s="732"/>
      <c r="Q218" s="732"/>
      <c r="R218" s="732"/>
      <c r="S218" s="732"/>
      <c r="T218" s="732"/>
      <c r="U218" s="732"/>
      <c r="V218" s="732"/>
      <c r="W218" s="732"/>
      <c r="X218" s="732"/>
      <c r="Y218" s="732"/>
      <c r="Z218" s="732"/>
      <c r="AA218" s="732"/>
      <c r="AB218" s="708"/>
      <c r="AC218" s="708"/>
      <c r="AD218" s="708"/>
      <c r="AE218" s="708"/>
    </row>
    <row r="219">
      <c r="A219" s="727">
        <f>IFERROR(__xludf.DUMMYFUNCTION("""COMPUTED_VALUE"""),206.0)</f>
        <v>206</v>
      </c>
      <c r="B219" s="731" t="str">
        <f>IFERROR(__xludf.DUMMYFUNCTION("""COMPUTED_VALUE"""),"ENT_NS_AE")</f>
        <v>ENT_NS_AE</v>
      </c>
      <c r="C219" s="731" t="str">
        <f>IFERROR(__xludf.DUMMYFUNCTION("""COMPUTED_VALUE"""),"ENT_NS_AE")</f>
        <v>ENT_NS_AE</v>
      </c>
      <c r="D219" s="731" t="str">
        <f>IFERROR(__xludf.DUMMYFUNCTION("""COMPUTED_VALUE"""),"NV Tư vấn bán hàng")</f>
        <v>NV Tư vấn bán hàng</v>
      </c>
      <c r="E219" s="731" t="str">
        <f>IFERROR(__xludf.DUMMYFUNCTION("""COMPUTED_VALUE"""),"AE")</f>
        <v>AE</v>
      </c>
      <c r="F219" s="729"/>
      <c r="G219" s="731" t="str">
        <f>IFERROR(__xludf.DUMMYFUNCTION("""COMPUTED_VALUE"""),"ENTERPRISE")</f>
        <v>ENTERPRISE</v>
      </c>
      <c r="H219" s="731" t="str">
        <f>IFERROR(__xludf.DUMMYFUNCTION("""COMPUTED_VALUE"""),"Nhân viên/ Chuyên viên/ Chuyên gia")</f>
        <v>Nhân viên/ Chuyên viên/ Chuyên gia</v>
      </c>
      <c r="I219" s="729"/>
      <c r="J219" s="731" t="str">
        <f>IFERROR(__xludf.DUMMYFUNCTION("""COMPUTED_VALUE"""),"Công ty cổ phần MISA")</f>
        <v>Công ty cổ phần MISA</v>
      </c>
      <c r="K219" s="731" t="str">
        <f>IFERROR(__xludf.DUMMYFUNCTION("""COMPUTED_VALUE"""),"01 - NV_KD")</f>
        <v>01 - NV_KD</v>
      </c>
      <c r="L219" s="731" t="str">
        <f>IFERROR(__xludf.DUMMYFUNCTION("""COMPUTED_VALUE"""),"Ngừng")</f>
        <v>Ngừng</v>
      </c>
      <c r="M219" s="729"/>
      <c r="N219" s="728" t="str">
        <f>IFERROR(__xludf.DUMMYFUNCTION("""COMPUTED_VALUE"""),"ngừng")</f>
        <v>ngừng</v>
      </c>
      <c r="O219" s="708"/>
      <c r="P219" s="708"/>
      <c r="Q219" s="708"/>
      <c r="R219" s="708"/>
      <c r="S219" s="708"/>
      <c r="T219" s="708"/>
      <c r="U219" s="708"/>
      <c r="V219" s="708"/>
      <c r="W219" s="708"/>
      <c r="X219" s="708"/>
      <c r="Y219" s="708"/>
      <c r="Z219" s="708"/>
      <c r="AA219" s="708"/>
      <c r="AB219" s="726"/>
      <c r="AC219" s="726"/>
      <c r="AD219" s="726"/>
      <c r="AE219" s="726"/>
    </row>
    <row r="220">
      <c r="A220" s="727">
        <f>IFERROR(__xludf.DUMMYFUNCTION("""COMPUTED_VALUE"""),207.0)</f>
        <v>207</v>
      </c>
      <c r="B220" s="731" t="str">
        <f>IFERROR(__xludf.DUMMYFUNCTION("""COMPUTED_VALUE"""),"ENT_NS_CSM")</f>
        <v>ENT_NS_CSM</v>
      </c>
      <c r="C220" s="731" t="str">
        <f>IFERROR(__xludf.DUMMYFUNCTION("""COMPUTED_VALUE"""),"ENT_NS_CSM")</f>
        <v>ENT_NS_CSM</v>
      </c>
      <c r="D220" s="731" t="str">
        <f>IFERROR(__xludf.DUMMYFUNCTION("""COMPUTED_VALUE"""),"NV QL thành công khách hàng")</f>
        <v>NV QL thành công khách hàng</v>
      </c>
      <c r="E220" s="731" t="str">
        <f>IFERROR(__xludf.DUMMYFUNCTION("""COMPUTED_VALUE"""),"CSM")</f>
        <v>CSM</v>
      </c>
      <c r="F220" s="729"/>
      <c r="G220" s="731" t="str">
        <f>IFERROR(__xludf.DUMMYFUNCTION("""COMPUTED_VALUE"""),"ENTERPRISE")</f>
        <v>ENTERPRISE</v>
      </c>
      <c r="H220" s="731" t="str">
        <f>IFERROR(__xludf.DUMMYFUNCTION("""COMPUTED_VALUE"""),"Nhân viên/ Chuyên viên/ Chuyên gia")</f>
        <v>Nhân viên/ Chuyên viên/ Chuyên gia</v>
      </c>
      <c r="I220" s="729"/>
      <c r="J220" s="731" t="str">
        <f>IFERROR(__xludf.DUMMYFUNCTION("""COMPUTED_VALUE"""),"Công ty cổ phần MISA")</f>
        <v>Công ty cổ phần MISA</v>
      </c>
      <c r="K220" s="729"/>
      <c r="L220" s="731" t="str">
        <f>IFERROR(__xludf.DUMMYFUNCTION("""COMPUTED_VALUE"""),"Ngừng")</f>
        <v>Ngừng</v>
      </c>
      <c r="M220" s="729"/>
      <c r="N220" s="728" t="str">
        <f>IFERROR(__xludf.DUMMYFUNCTION("""COMPUTED_VALUE"""),"ngừng")</f>
        <v>ngừng</v>
      </c>
      <c r="O220" s="708"/>
      <c r="P220" s="708"/>
      <c r="Q220" s="708"/>
      <c r="R220" s="708"/>
      <c r="S220" s="708"/>
      <c r="T220" s="708"/>
      <c r="U220" s="708"/>
      <c r="V220" s="708"/>
      <c r="W220" s="708"/>
      <c r="X220" s="708"/>
      <c r="Y220" s="708"/>
      <c r="Z220" s="708"/>
      <c r="AA220" s="708"/>
      <c r="AB220" s="708"/>
      <c r="AC220" s="708"/>
      <c r="AD220" s="708"/>
      <c r="AE220" s="708"/>
    </row>
    <row r="221">
      <c r="A221" s="727">
        <f>IFERROR(__xludf.DUMMYFUNCTION("""COMPUTED_VALUE"""),208.0)</f>
        <v>208</v>
      </c>
      <c r="B221" s="731" t="str">
        <f>IFERROR(__xludf.DUMMYFUNCTION("""COMPUTED_VALUE"""),"ENT_NS_VSD")</f>
        <v>ENT_NS_VSD</v>
      </c>
      <c r="C221" s="731" t="str">
        <f>IFERROR(__xludf.DUMMYFUNCTION("""COMPUTED_VALUE"""),"ENT_NS_VSD")</f>
        <v>ENT_NS_VSD</v>
      </c>
      <c r="D221" s="731" t="str">
        <f>IFERROR(__xludf.DUMMYFUNCTION("""COMPUTED_VALUE"""),"Phó giám đốc TTKD")</f>
        <v>Phó giám đốc TTKD</v>
      </c>
      <c r="E221" s="731" t="str">
        <f>IFERROR(__xludf.DUMMYFUNCTION("""COMPUTED_VALUE"""),"BOM")</f>
        <v>BOM</v>
      </c>
      <c r="F221" s="731">
        <f>IFERROR(__xludf.DUMMYFUNCTION("""COMPUTED_VALUE"""),3.0)</f>
        <v>3</v>
      </c>
      <c r="G221" s="731" t="str">
        <f>IFERROR(__xludf.DUMMYFUNCTION("""COMPUTED_VALUE"""),"ENTERPRISE")</f>
        <v>ENTERPRISE</v>
      </c>
      <c r="H221" s="731" t="str">
        <f>IFERROR(__xludf.DUMMYFUNCTION("""COMPUTED_VALUE"""),"Ban GĐTTKD/ BGĐ khối DA")</f>
        <v>Ban GĐTTKD/ BGĐ khối DA</v>
      </c>
      <c r="I221" s="729"/>
      <c r="J221" s="731" t="str">
        <f>IFERROR(__xludf.DUMMYFUNCTION("""COMPUTED_VALUE"""),"Công ty cổ phần MISA")</f>
        <v>Công ty cổ phần MISA</v>
      </c>
      <c r="K221" s="731" t="str">
        <f>IFERROR(__xludf.DUMMYFUNCTION("""COMPUTED_VALUE"""),"03 - BGĐ_KD")</f>
        <v>03 - BGĐ_KD</v>
      </c>
      <c r="L221" s="731" t="str">
        <f>IFERROR(__xludf.DUMMYFUNCTION("""COMPUTED_VALUE"""),"Ngừng")</f>
        <v>Ngừng</v>
      </c>
      <c r="M221" s="729"/>
      <c r="N221" s="728" t="str">
        <f>IFERROR(__xludf.DUMMYFUNCTION("""COMPUTED_VALUE"""),"ngừng")</f>
        <v>ngừng</v>
      </c>
      <c r="O221" s="708"/>
      <c r="P221" s="708"/>
      <c r="Q221" s="708"/>
      <c r="R221" s="708"/>
      <c r="S221" s="708"/>
      <c r="T221" s="708"/>
      <c r="U221" s="708"/>
      <c r="V221" s="708"/>
      <c r="W221" s="708"/>
      <c r="X221" s="708"/>
      <c r="Y221" s="708"/>
      <c r="Z221" s="708"/>
      <c r="AA221" s="708"/>
      <c r="AB221" s="708"/>
      <c r="AC221" s="708"/>
      <c r="AD221" s="708"/>
      <c r="AE221" s="708"/>
    </row>
    <row r="222">
      <c r="A222" s="727">
        <f>IFERROR(__xludf.DUMMYFUNCTION("""COMPUTED_VALUE"""),209.0)</f>
        <v>209</v>
      </c>
      <c r="B222" s="728" t="str">
        <f>IFERROR(__xludf.DUMMYFUNCTION("""COMPUTED_VALUE"""),"ENT_NS_ONB")</f>
        <v>ENT_NS_ONB</v>
      </c>
      <c r="C222" s="728" t="str">
        <f>IFERROR(__xludf.DUMMYFUNCTION("""COMPUTED_VALUE"""),"ENT_ONB")</f>
        <v>ENT_ONB</v>
      </c>
      <c r="D222" s="728" t="str">
        <f>IFERROR(__xludf.DUMMYFUNCTION("""COMPUTED_VALUE"""),"NV Triển khai")</f>
        <v>NV Triển khai</v>
      </c>
      <c r="E222" s="728" t="str">
        <f>IFERROR(__xludf.DUMMYFUNCTION("""COMPUTED_VALUE"""),"ONB")</f>
        <v>ONB</v>
      </c>
      <c r="F222" s="729"/>
      <c r="G222" s="728" t="str">
        <f>IFERROR(__xludf.DUMMYFUNCTION("""COMPUTED_VALUE"""),"ENTERPRISE")</f>
        <v>ENTERPRISE</v>
      </c>
      <c r="H222" s="728" t="str">
        <f>IFERROR(__xludf.DUMMYFUNCTION("""COMPUTED_VALUE"""),"Nhân viên/ Chuyên viên/ Chuyên gia")</f>
        <v>Nhân viên/ Chuyên viên/ Chuyên gia</v>
      </c>
      <c r="I222" s="728" t="str">
        <f>IFERROR(__xludf.DUMMYFUNCTION("""COMPUTED_VALUE"""),"L00")</f>
        <v>L00</v>
      </c>
      <c r="J222" s="728" t="str">
        <f>IFERROR(__xludf.DUMMYFUNCTION("""COMPUTED_VALUE"""),"Công ty cổ phần MISA")</f>
        <v>Công ty cổ phần MISA</v>
      </c>
      <c r="K222" s="729"/>
      <c r="L222" s="728" t="str">
        <f>IFERROR(__xludf.DUMMYFUNCTION("""COMPUTED_VALUE"""),"Đang theo dõi")</f>
        <v>Đang theo dõi</v>
      </c>
      <c r="M222" s="729"/>
      <c r="N222" s="728" t="str">
        <f>IFERROR(__xludf.DUMMYFUNCTION("""COMPUTED_VALUE"""),"đổi mã")</f>
        <v>đổi mã</v>
      </c>
      <c r="O222" s="708"/>
      <c r="P222" s="708"/>
      <c r="Q222" s="708"/>
      <c r="R222" s="708"/>
      <c r="S222" s="708"/>
      <c r="T222" s="708"/>
      <c r="U222" s="708"/>
      <c r="V222" s="708"/>
      <c r="W222" s="708"/>
      <c r="X222" s="708"/>
      <c r="Y222" s="708"/>
      <c r="Z222" s="708"/>
      <c r="AA222" s="708"/>
      <c r="AB222" s="708"/>
      <c r="AC222" s="708"/>
      <c r="AD222" s="708"/>
      <c r="AE222" s="708"/>
    </row>
    <row r="223">
      <c r="A223" s="727">
        <f>IFERROR(__xludf.DUMMYFUNCTION("""COMPUTED_VALUE"""),210.0)</f>
        <v>210</v>
      </c>
      <c r="B223" s="728" t="str">
        <f>IFERROR(__xludf.DUMMYFUNCTION("""COMPUTED_VALUE"""),"ENT_NS_SD")</f>
        <v>ENT_NS_SD</v>
      </c>
      <c r="C223" s="728" t="str">
        <f>IFERROR(__xludf.DUMMYFUNCTION("""COMPUTED_VALUE"""),"ENT_SD")</f>
        <v>ENT_SD</v>
      </c>
      <c r="D223" s="728" t="str">
        <f>IFERROR(__xludf.DUMMYFUNCTION("""COMPUTED_VALUE"""),"Giám đốc TTKD")</f>
        <v>Giám đốc TTKD</v>
      </c>
      <c r="E223" s="728" t="str">
        <f>IFERROR(__xludf.DUMMYFUNCTION("""COMPUTED_VALUE"""),"BOM")</f>
        <v>BOM</v>
      </c>
      <c r="F223" s="728">
        <f>IFERROR(__xludf.DUMMYFUNCTION("""COMPUTED_VALUE"""),3.0)</f>
        <v>3</v>
      </c>
      <c r="G223" s="728" t="str">
        <f>IFERROR(__xludf.DUMMYFUNCTION("""COMPUTED_VALUE"""),"ENTERPRISE")</f>
        <v>ENTERPRISE</v>
      </c>
      <c r="H223" s="728" t="str">
        <f>IFERROR(__xludf.DUMMYFUNCTION("""COMPUTED_VALUE"""),"Ban GĐTTKD/ BGĐ khối DA")</f>
        <v>Ban GĐTTKD/ BGĐ khối DA</v>
      </c>
      <c r="I223" s="728" t="str">
        <f>IFERROR(__xludf.DUMMYFUNCTION("""COMPUTED_VALUE"""),"L00")</f>
        <v>L00</v>
      </c>
      <c r="J223" s="728" t="str">
        <f>IFERROR(__xludf.DUMMYFUNCTION("""COMPUTED_VALUE"""),"Công ty cổ phần MISA")</f>
        <v>Công ty cổ phần MISA</v>
      </c>
      <c r="K223" s="728" t="str">
        <f>IFERROR(__xludf.DUMMYFUNCTION("""COMPUTED_VALUE"""),"03 - BGĐ_KD")</f>
        <v>03 - BGĐ_KD</v>
      </c>
      <c r="L223" s="728" t="str">
        <f>IFERROR(__xludf.DUMMYFUNCTION("""COMPUTED_VALUE"""),"Đang theo dõi")</f>
        <v>Đang theo dõi</v>
      </c>
      <c r="M223" s="729"/>
      <c r="N223" s="728" t="str">
        <f>IFERROR(__xludf.DUMMYFUNCTION("""COMPUTED_VALUE"""),"đổi mã")</f>
        <v>đổi mã</v>
      </c>
      <c r="O223" s="708"/>
      <c r="P223" s="708"/>
      <c r="Q223" s="708"/>
      <c r="R223" s="708"/>
      <c r="S223" s="708"/>
      <c r="T223" s="708"/>
      <c r="U223" s="708"/>
      <c r="V223" s="708"/>
      <c r="W223" s="708"/>
      <c r="X223" s="708"/>
      <c r="Y223" s="708"/>
      <c r="Z223" s="708"/>
      <c r="AA223" s="708"/>
      <c r="AB223" s="741"/>
      <c r="AC223" s="741"/>
      <c r="AD223" s="741"/>
      <c r="AE223" s="741"/>
    </row>
    <row r="224">
      <c r="A224" s="724" t="str">
        <f>IFERROR(__xludf.DUMMYFUNCTION("""COMPUTED_VALUE"""),"Khối KD thị trường HCSN")</f>
        <v>Khối KD thị trường HCSN</v>
      </c>
      <c r="B224" s="725"/>
      <c r="C224" s="725"/>
      <c r="D224" s="725"/>
      <c r="E224" s="725"/>
      <c r="F224" s="725"/>
      <c r="G224" s="725"/>
      <c r="H224" s="725"/>
      <c r="I224" s="725"/>
      <c r="J224" s="725"/>
      <c r="K224" s="725"/>
      <c r="L224" s="725"/>
      <c r="M224" s="725"/>
      <c r="N224" s="729"/>
      <c r="O224" s="726"/>
      <c r="P224" s="726"/>
      <c r="Q224" s="726"/>
      <c r="R224" s="726"/>
      <c r="S224" s="726"/>
      <c r="T224" s="726"/>
      <c r="U224" s="726"/>
      <c r="V224" s="726"/>
      <c r="W224" s="726"/>
      <c r="X224" s="726"/>
      <c r="Y224" s="726"/>
      <c r="Z224" s="726"/>
      <c r="AA224" s="726"/>
      <c r="AB224" s="732"/>
      <c r="AC224" s="732"/>
      <c r="AD224" s="732"/>
      <c r="AE224" s="732"/>
    </row>
    <row r="225">
      <c r="A225" s="727">
        <f>IFERROR(__xludf.DUMMYFUNCTION("""COMPUTED_VALUE"""),211.0)</f>
        <v>211</v>
      </c>
      <c r="B225" s="728" t="str">
        <f>IFERROR(__xludf.DUMMYFUNCTION("""COMPUTED_VALUE"""),"GOVT_A.AML")</f>
        <v>GOVT_A.AML</v>
      </c>
      <c r="C225" s="728" t="str">
        <f>IFERROR(__xludf.DUMMYFUNCTION("""COMPUTED_VALUE"""),"GOVT_A.AML")</f>
        <v>GOVT_A.AML</v>
      </c>
      <c r="D225" s="728" t="str">
        <f>IFERROR(__xludf.DUMMYFUNCTION("""COMPUTED_VALUE"""),"Q. Trưởng nhóm Kinh doanh")</f>
        <v>Q. Trưởng nhóm Kinh doanh</v>
      </c>
      <c r="E225" s="728" t="str">
        <f>IFERROR(__xludf.DUMMYFUNCTION("""COMPUTED_VALUE"""),"AML")</f>
        <v>AML</v>
      </c>
      <c r="F225" s="728">
        <f>IFERROR(__xludf.DUMMYFUNCTION("""COMPUTED_VALUE"""),1.0)</f>
        <v>1</v>
      </c>
      <c r="G225" s="728" t="str">
        <f>IFERROR(__xludf.DUMMYFUNCTION("""COMPUTED_VALUE"""),"HCSN")</f>
        <v>HCSN</v>
      </c>
      <c r="H225" s="728" t="str">
        <f>IFERROR(__xludf.DUMMYFUNCTION("""COMPUTED_VALUE"""),"Trưởng nhóm")</f>
        <v>Trưởng nhóm</v>
      </c>
      <c r="I225" s="728" t="str">
        <f>IFERROR(__xludf.DUMMYFUNCTION("""COMPUTED_VALUE"""),"L2.01.00.00.00.00.00")</f>
        <v>L2.01.00.00.00.00.00</v>
      </c>
      <c r="J225" s="728" t="str">
        <f>IFERROR(__xludf.DUMMYFUNCTION("""COMPUTED_VALUE"""),"Khối KD Thị trường HCSN")</f>
        <v>Khối KD Thị trường HCSN</v>
      </c>
      <c r="K225" s="728" t="str">
        <f>IFERROR(__xludf.DUMMYFUNCTION("""COMPUTED_VALUE"""),"02 - QL_KD")</f>
        <v>02 - QL_KD</v>
      </c>
      <c r="L225" s="728" t="str">
        <f>IFERROR(__xludf.DUMMYFUNCTION("""COMPUTED_VALUE"""),"Đang theo dõi")</f>
        <v>Đang theo dõi</v>
      </c>
      <c r="M225" s="729"/>
      <c r="N225" s="728" t="str">
        <f>IFERROR(__xludf.DUMMYFUNCTION("""COMPUTED_VALUE"""),"giữ nguyên")</f>
        <v>giữ nguyên</v>
      </c>
      <c r="O225" s="708"/>
      <c r="P225" s="708"/>
      <c r="Q225" s="708"/>
      <c r="R225" s="708"/>
      <c r="S225" s="708"/>
      <c r="T225" s="708"/>
      <c r="U225" s="708"/>
      <c r="V225" s="708"/>
      <c r="W225" s="708"/>
      <c r="X225" s="708"/>
      <c r="Y225" s="708"/>
      <c r="Z225" s="708"/>
      <c r="AA225" s="708"/>
      <c r="AB225" s="708"/>
      <c r="AC225" s="708"/>
      <c r="AD225" s="708"/>
      <c r="AE225" s="708"/>
    </row>
    <row r="226">
      <c r="A226" s="727">
        <f>IFERROR(__xludf.DUMMYFUNCTION("""COMPUTED_VALUE"""),212.0)</f>
        <v>212</v>
      </c>
      <c r="B226" s="728" t="str">
        <f>IFERROR(__xludf.DUMMYFUNCTION("""COMPUTED_VALUE"""),"GOVT_A.AML_CEN")</f>
        <v>GOVT_A.AML_CEN</v>
      </c>
      <c r="C226" s="728" t="str">
        <f>IFERROR(__xludf.DUMMYFUNCTION("""COMPUTED_VALUE"""),"GOVT_A.AML_CEN")</f>
        <v>GOVT_A.AML_CEN</v>
      </c>
      <c r="D226" s="728" t="str">
        <f>IFERROR(__xludf.DUMMYFUNCTION("""COMPUTED_VALUE"""),"Q. Trưởng nhóm KD Dự án TW")</f>
        <v>Q. Trưởng nhóm KD Dự án TW</v>
      </c>
      <c r="E226" s="728" t="str">
        <f>IFERROR(__xludf.DUMMYFUNCTION("""COMPUTED_VALUE"""),"AML")</f>
        <v>AML</v>
      </c>
      <c r="F226" s="728">
        <f>IFERROR(__xludf.DUMMYFUNCTION("""COMPUTED_VALUE"""),1.0)</f>
        <v>1</v>
      </c>
      <c r="G226" s="728" t="str">
        <f>IFERROR(__xludf.DUMMYFUNCTION("""COMPUTED_VALUE"""),"HCSN")</f>
        <v>HCSN</v>
      </c>
      <c r="H226" s="728" t="str">
        <f>IFERROR(__xludf.DUMMYFUNCTION("""COMPUTED_VALUE"""),"Q. Trưởng nhóm")</f>
        <v>Q. Trưởng nhóm</v>
      </c>
      <c r="I226" s="728" t="str">
        <f>IFERROR(__xludf.DUMMYFUNCTION("""COMPUTED_VALUE"""),"L2.01.00.00.00.00.01")</f>
        <v>L2.01.00.00.00.00.01</v>
      </c>
      <c r="J226" s="728" t="str">
        <f>IFERROR(__xludf.DUMMYFUNCTION("""COMPUTED_VALUE"""),"Khối KD Thị trường HCSN")</f>
        <v>Khối KD Thị trường HCSN</v>
      </c>
      <c r="K226" s="729"/>
      <c r="L226" s="728" t="str">
        <f>IFERROR(__xludf.DUMMYFUNCTION("""COMPUTED_VALUE"""),"Đang theo dõi")</f>
        <v>Đang theo dõi</v>
      </c>
      <c r="M226" s="729"/>
      <c r="N226" s="728" t="str">
        <f>IFERROR(__xludf.DUMMYFUNCTION("""COMPUTED_VALUE"""),"giữ nguyên")</f>
        <v>giữ nguyên</v>
      </c>
      <c r="O226" s="708"/>
      <c r="P226" s="708"/>
      <c r="Q226" s="708"/>
      <c r="R226" s="708"/>
      <c r="S226" s="708"/>
      <c r="T226" s="708"/>
      <c r="U226" s="708"/>
      <c r="V226" s="708"/>
      <c r="W226" s="708"/>
      <c r="X226" s="708"/>
      <c r="Y226" s="708"/>
      <c r="Z226" s="708"/>
      <c r="AA226" s="708"/>
      <c r="AB226" s="708"/>
      <c r="AC226" s="708"/>
      <c r="AD226" s="708"/>
      <c r="AE226" s="708"/>
    </row>
    <row r="227">
      <c r="A227" s="727">
        <f>IFERROR(__xludf.DUMMYFUNCTION("""COMPUTED_VALUE"""),213.0)</f>
        <v>213</v>
      </c>
      <c r="B227" s="728" t="str">
        <f>IFERROR(__xludf.DUMMYFUNCTION("""COMPUTED_VALUE"""),"GOVT_A.AMM")</f>
        <v>GOVT_A.AMM</v>
      </c>
      <c r="C227" s="728" t="str">
        <f>IFERROR(__xludf.DUMMYFUNCTION("""COMPUTED_VALUE"""),"GOVT_A.AMM")</f>
        <v>GOVT_A.AMM</v>
      </c>
      <c r="D227" s="728" t="str">
        <f>IFERROR(__xludf.DUMMYFUNCTION("""COMPUTED_VALUE"""),"Q. Trưởng phòng Kinh doanh")</f>
        <v>Q. Trưởng phòng Kinh doanh</v>
      </c>
      <c r="E227" s="728" t="str">
        <f>IFERROR(__xludf.DUMMYFUNCTION("""COMPUTED_VALUE"""),"SM")</f>
        <v>SM</v>
      </c>
      <c r="F227" s="728">
        <f>IFERROR(__xludf.DUMMYFUNCTION("""COMPUTED_VALUE"""),2.0)</f>
        <v>2</v>
      </c>
      <c r="G227" s="728" t="str">
        <f>IFERROR(__xludf.DUMMYFUNCTION("""COMPUTED_VALUE"""),"HCSN")</f>
        <v>HCSN</v>
      </c>
      <c r="H227" s="728" t="str">
        <f>IFERROR(__xludf.DUMMYFUNCTION("""COMPUTED_VALUE"""),"TPP/ Trưởng ban")</f>
        <v>TPP/ Trưởng ban</v>
      </c>
      <c r="I227" s="728" t="str">
        <f>IFERROR(__xludf.DUMMYFUNCTION("""COMPUTED_VALUE"""),"L2.01.00.00.00.00.02")</f>
        <v>L2.01.00.00.00.00.02</v>
      </c>
      <c r="J227" s="728" t="str">
        <f>IFERROR(__xludf.DUMMYFUNCTION("""COMPUTED_VALUE"""),"Khối KD Thị trường HCSN")</f>
        <v>Khối KD Thị trường HCSN</v>
      </c>
      <c r="K227" s="728" t="str">
        <f>IFERROR(__xludf.DUMMYFUNCTION("""COMPUTED_VALUE"""),"02 - QL_KD")</f>
        <v>02 - QL_KD</v>
      </c>
      <c r="L227" s="728" t="str">
        <f>IFERROR(__xludf.DUMMYFUNCTION("""COMPUTED_VALUE"""),"Đang theo dõi")</f>
        <v>Đang theo dõi</v>
      </c>
      <c r="M227" s="729"/>
      <c r="N227" s="728" t="str">
        <f>IFERROR(__xludf.DUMMYFUNCTION("""COMPUTED_VALUE"""),"giữ nguyên")</f>
        <v>giữ nguyên</v>
      </c>
      <c r="O227" s="708"/>
      <c r="P227" s="708"/>
      <c r="Q227" s="708"/>
      <c r="R227" s="708"/>
      <c r="S227" s="708"/>
      <c r="T227" s="708"/>
      <c r="U227" s="708"/>
      <c r="V227" s="708"/>
      <c r="W227" s="708"/>
      <c r="X227" s="708"/>
      <c r="Y227" s="708"/>
      <c r="Z227" s="708"/>
      <c r="AA227" s="708"/>
      <c r="AB227" s="708"/>
      <c r="AC227" s="708"/>
      <c r="AD227" s="708"/>
      <c r="AE227" s="708"/>
    </row>
    <row r="228">
      <c r="A228" s="727">
        <f>IFERROR(__xludf.DUMMYFUNCTION("""COMPUTED_VALUE"""),214.0)</f>
        <v>214</v>
      </c>
      <c r="B228" s="728" t="str">
        <f>IFERROR(__xludf.DUMMYFUNCTION("""COMPUTED_VALUE"""),"GOVT_A.AMM_CEN")</f>
        <v>GOVT_A.AMM_CEN</v>
      </c>
      <c r="C228" s="728" t="str">
        <f>IFERROR(__xludf.DUMMYFUNCTION("""COMPUTED_VALUE"""),"GOVT_A.AMM_CEN")</f>
        <v>GOVT_A.AMM_CEN</v>
      </c>
      <c r="D228" s="728" t="str">
        <f>IFERROR(__xludf.DUMMYFUNCTION("""COMPUTED_VALUE"""),"Q. Trưởng phòng KD Dự án TW")</f>
        <v>Q. Trưởng phòng KD Dự án TW</v>
      </c>
      <c r="E228" s="728" t="str">
        <f>IFERROR(__xludf.DUMMYFUNCTION("""COMPUTED_VALUE"""),"SM")</f>
        <v>SM</v>
      </c>
      <c r="F228" s="728">
        <f>IFERROR(__xludf.DUMMYFUNCTION("""COMPUTED_VALUE"""),2.0)</f>
        <v>2</v>
      </c>
      <c r="G228" s="728" t="str">
        <f>IFERROR(__xludf.DUMMYFUNCTION("""COMPUTED_VALUE"""),"HCSN")</f>
        <v>HCSN</v>
      </c>
      <c r="H228" s="728" t="str">
        <f>IFERROR(__xludf.DUMMYFUNCTION("""COMPUTED_VALUE"""),"TPP/ Trưởng ban")</f>
        <v>TPP/ Trưởng ban</v>
      </c>
      <c r="I228" s="728" t="str">
        <f>IFERROR(__xludf.DUMMYFUNCTION("""COMPUTED_VALUE"""),"L2.01.00.00.00.00.03")</f>
        <v>L2.01.00.00.00.00.03</v>
      </c>
      <c r="J228" s="728" t="str">
        <f>IFERROR(__xludf.DUMMYFUNCTION("""COMPUTED_VALUE"""),"Khối KD Thị trường HCSN")</f>
        <v>Khối KD Thị trường HCSN</v>
      </c>
      <c r="K228" s="728" t="str">
        <f>IFERROR(__xludf.DUMMYFUNCTION("""COMPUTED_VALUE"""),"02 - QL_KD")</f>
        <v>02 - QL_KD</v>
      </c>
      <c r="L228" s="728" t="str">
        <f>IFERROR(__xludf.DUMMYFUNCTION("""COMPUTED_VALUE"""),"Đang theo dõi")</f>
        <v>Đang theo dõi</v>
      </c>
      <c r="M228" s="729"/>
      <c r="N228" s="728" t="str">
        <f>IFERROR(__xludf.DUMMYFUNCTION("""COMPUTED_VALUE"""),"giữ nguyên")</f>
        <v>giữ nguyên</v>
      </c>
      <c r="O228" s="708"/>
      <c r="P228" s="708"/>
      <c r="Q228" s="708"/>
      <c r="R228" s="708"/>
      <c r="S228" s="708"/>
      <c r="T228" s="708"/>
      <c r="U228" s="708"/>
      <c r="V228" s="708"/>
      <c r="W228" s="708"/>
      <c r="X228" s="708"/>
      <c r="Y228" s="708"/>
      <c r="Z228" s="708"/>
      <c r="AA228" s="708"/>
      <c r="AB228" s="708"/>
      <c r="AC228" s="708"/>
      <c r="AD228" s="708"/>
      <c r="AE228" s="708"/>
    </row>
    <row r="229">
      <c r="A229" s="742">
        <f>IFERROR(__xludf.DUMMYFUNCTION("""COMPUTED_VALUE"""),215.0)</f>
        <v>215</v>
      </c>
      <c r="B229" s="731" t="str">
        <f>IFERROR(__xludf.DUMMYFUNCTION("""COMPUTED_VALUE"""),"GOVT_A.CSML")</f>
        <v>GOVT_A.CSML</v>
      </c>
      <c r="C229" s="731" t="str">
        <f>IFERROR(__xludf.DUMMYFUNCTION("""COMPUTED_VALUE"""),"GOVT_A.CSML")</f>
        <v>GOVT_A.CSML</v>
      </c>
      <c r="D229" s="731" t="str">
        <f>IFERROR(__xludf.DUMMYFUNCTION("""COMPUTED_VALUE"""),"Q. Trưởng nhóm CSKH")</f>
        <v>Q. Trưởng nhóm CSKH</v>
      </c>
      <c r="E229" s="731" t="str">
        <f>IFERROR(__xludf.DUMMYFUNCTION("""COMPUTED_VALUE"""),"CSML")</f>
        <v>CSML</v>
      </c>
      <c r="F229" s="731">
        <f>IFERROR(__xludf.DUMMYFUNCTION("""COMPUTED_VALUE"""),1.0)</f>
        <v>1</v>
      </c>
      <c r="G229" s="731" t="str">
        <f>IFERROR(__xludf.DUMMYFUNCTION("""COMPUTED_VALUE"""),"HCSN")</f>
        <v>HCSN</v>
      </c>
      <c r="H229" s="731" t="str">
        <f>IFERROR(__xludf.DUMMYFUNCTION("""COMPUTED_VALUE"""),"Trưởng nhóm")</f>
        <v>Trưởng nhóm</v>
      </c>
      <c r="I229" s="731" t="str">
        <f>IFERROR(__xludf.DUMMYFUNCTION("""COMPUTED_VALUE"""),"L2.01.00.00.00.00.04")</f>
        <v>L2.01.00.00.00.00.04</v>
      </c>
      <c r="J229" s="731" t="str">
        <f>IFERROR(__xludf.DUMMYFUNCTION("""COMPUTED_VALUE"""),"Khối KD Thị trường HCSN")</f>
        <v>Khối KD Thị trường HCSN</v>
      </c>
      <c r="K229" s="729"/>
      <c r="L229" s="731" t="str">
        <f>IFERROR(__xludf.DUMMYFUNCTION("""COMPUTED_VALUE"""),"ngừng")</f>
        <v>ngừng</v>
      </c>
      <c r="M229" s="729"/>
      <c r="N229" s="728" t="str">
        <f>IFERROR(__xludf.DUMMYFUNCTION("""COMPUTED_VALUE"""),"ngừng")</f>
        <v>ngừng</v>
      </c>
      <c r="O229" s="708"/>
      <c r="P229" s="708"/>
      <c r="Q229" s="708"/>
      <c r="R229" s="708"/>
      <c r="S229" s="708"/>
      <c r="T229" s="708"/>
      <c r="U229" s="708"/>
      <c r="V229" s="708"/>
      <c r="W229" s="708"/>
      <c r="X229" s="708"/>
      <c r="Y229" s="708"/>
      <c r="Z229" s="708"/>
      <c r="AA229" s="708"/>
      <c r="AB229" s="708"/>
      <c r="AC229" s="708"/>
      <c r="AD229" s="708"/>
      <c r="AE229" s="708"/>
    </row>
    <row r="230">
      <c r="A230" s="742">
        <f>IFERROR(__xludf.DUMMYFUNCTION("""COMPUTED_VALUE"""),216.0)</f>
        <v>216</v>
      </c>
      <c r="B230" s="731" t="str">
        <f>IFERROR(__xludf.DUMMYFUNCTION("""COMPUTED_VALUE"""),"GOVT_A.CSMM")</f>
        <v>GOVT_A.CSMM</v>
      </c>
      <c r="C230" s="731" t="str">
        <f>IFERROR(__xludf.DUMMYFUNCTION("""COMPUTED_VALUE"""),"GOVT_A.CSMM")</f>
        <v>GOVT_A.CSMM</v>
      </c>
      <c r="D230" s="731" t="str">
        <f>IFERROR(__xludf.DUMMYFUNCTION("""COMPUTED_VALUE"""),"Q. Trưởng phòng CSKH")</f>
        <v>Q. Trưởng phòng CSKH</v>
      </c>
      <c r="E230" s="731" t="str">
        <f>IFERROR(__xludf.DUMMYFUNCTION("""COMPUTED_VALUE"""),"CSMM")</f>
        <v>CSMM</v>
      </c>
      <c r="F230" s="731">
        <f>IFERROR(__xludf.DUMMYFUNCTION("""COMPUTED_VALUE"""),2.0)</f>
        <v>2</v>
      </c>
      <c r="G230" s="731" t="str">
        <f>IFERROR(__xludf.DUMMYFUNCTION("""COMPUTED_VALUE"""),"HCSN")</f>
        <v>HCSN</v>
      </c>
      <c r="H230" s="731" t="str">
        <f>IFERROR(__xludf.DUMMYFUNCTION("""COMPUTED_VALUE"""),"TPP/ Trưởng ban")</f>
        <v>TPP/ Trưởng ban</v>
      </c>
      <c r="I230" s="731" t="str">
        <f>IFERROR(__xludf.DUMMYFUNCTION("""COMPUTED_VALUE"""),"L2.01.00.00.00.00.05")</f>
        <v>L2.01.00.00.00.00.05</v>
      </c>
      <c r="J230" s="731" t="str">
        <f>IFERROR(__xludf.DUMMYFUNCTION("""COMPUTED_VALUE"""),"Khối KD Thị trường HCSN")</f>
        <v>Khối KD Thị trường HCSN</v>
      </c>
      <c r="K230" s="729"/>
      <c r="L230" s="731" t="str">
        <f>IFERROR(__xludf.DUMMYFUNCTION("""COMPUTED_VALUE"""),"ngừng")</f>
        <v>ngừng</v>
      </c>
      <c r="M230" s="729"/>
      <c r="N230" s="728" t="str">
        <f>IFERROR(__xludf.DUMMYFUNCTION("""COMPUTED_VALUE"""),"ngừng")</f>
        <v>ngừng</v>
      </c>
      <c r="O230" s="708"/>
      <c r="P230" s="708"/>
      <c r="Q230" s="708"/>
      <c r="R230" s="708"/>
      <c r="S230" s="708"/>
      <c r="T230" s="708"/>
      <c r="U230" s="708"/>
      <c r="V230" s="708"/>
      <c r="W230" s="708"/>
      <c r="X230" s="708"/>
      <c r="Y230" s="708"/>
      <c r="Z230" s="708"/>
      <c r="AA230" s="708"/>
      <c r="AB230" s="726"/>
      <c r="AC230" s="726"/>
      <c r="AD230" s="726"/>
      <c r="AE230" s="726"/>
    </row>
    <row r="231">
      <c r="A231" s="727">
        <f>IFERROR(__xludf.DUMMYFUNCTION("""COMPUTED_VALUE"""),217.0)</f>
        <v>217</v>
      </c>
      <c r="B231" s="728" t="str">
        <f>IFERROR(__xludf.DUMMYFUNCTION("""COMPUTED_VALUE"""),"GOVT_A.DAMM")</f>
        <v>GOVT_A.DAMM</v>
      </c>
      <c r="C231" s="728" t="str">
        <f>IFERROR(__xludf.DUMMYFUNCTION("""COMPUTED_VALUE"""),"GOVT_A.DAMM")</f>
        <v>GOVT_A.DAMM</v>
      </c>
      <c r="D231" s="728" t="str">
        <f>IFERROR(__xludf.DUMMYFUNCTION("""COMPUTED_VALUE"""),"Q. Phó phòng Kinh doanh")</f>
        <v>Q. Phó phòng Kinh doanh</v>
      </c>
      <c r="E231" s="728" t="str">
        <f>IFERROR(__xludf.DUMMYFUNCTION("""COMPUTED_VALUE"""),"SM")</f>
        <v>SM</v>
      </c>
      <c r="F231" s="728">
        <f>IFERROR(__xludf.DUMMYFUNCTION("""COMPUTED_VALUE"""),2.0)</f>
        <v>2</v>
      </c>
      <c r="G231" s="728" t="str">
        <f>IFERROR(__xludf.DUMMYFUNCTION("""COMPUTED_VALUE"""),"HCSN")</f>
        <v>HCSN</v>
      </c>
      <c r="H231" s="728" t="str">
        <f>IFERROR(__xludf.DUMMYFUNCTION("""COMPUTED_VALUE"""),"TPP/ Trưởng ban")</f>
        <v>TPP/ Trưởng ban</v>
      </c>
      <c r="I231" s="728" t="str">
        <f>IFERROR(__xludf.DUMMYFUNCTION("""COMPUTED_VALUE"""),"L2.01.00.00.00.00.06")</f>
        <v>L2.01.00.00.00.00.06</v>
      </c>
      <c r="J231" s="728" t="str">
        <f>IFERROR(__xludf.DUMMYFUNCTION("""COMPUTED_VALUE"""),"Khối KD Thị trường HCSN")</f>
        <v>Khối KD Thị trường HCSN</v>
      </c>
      <c r="K231" s="728" t="str">
        <f>IFERROR(__xludf.DUMMYFUNCTION("""COMPUTED_VALUE"""),"02 - QL_KD")</f>
        <v>02 - QL_KD</v>
      </c>
      <c r="L231" s="728" t="str">
        <f>IFERROR(__xludf.DUMMYFUNCTION("""COMPUTED_VALUE"""),"Đang theo dõi")</f>
        <v>Đang theo dõi</v>
      </c>
      <c r="M231" s="729"/>
      <c r="N231" s="728" t="str">
        <f>IFERROR(__xludf.DUMMYFUNCTION("""COMPUTED_VALUE"""),"giữ nguyên")</f>
        <v>giữ nguyên</v>
      </c>
      <c r="O231" s="708"/>
      <c r="P231" s="708"/>
      <c r="Q231" s="708"/>
      <c r="R231" s="708"/>
      <c r="S231" s="708"/>
      <c r="T231" s="708"/>
      <c r="U231" s="708"/>
      <c r="V231" s="708"/>
      <c r="W231" s="708"/>
      <c r="X231" s="708"/>
      <c r="Y231" s="708"/>
      <c r="Z231" s="708"/>
      <c r="AA231" s="708"/>
      <c r="AB231" s="708"/>
      <c r="AC231" s="708"/>
      <c r="AD231" s="708"/>
      <c r="AE231" s="708"/>
    </row>
    <row r="232">
      <c r="A232" s="742">
        <f>IFERROR(__xludf.DUMMYFUNCTION("""COMPUTED_VALUE"""),218.0)</f>
        <v>218</v>
      </c>
      <c r="B232" s="731" t="str">
        <f>IFERROR(__xludf.DUMMYFUNCTION("""COMPUTED_VALUE"""),"GOVT_A.ONBL_CEN")</f>
        <v>GOVT_A.ONBL_CEN</v>
      </c>
      <c r="C232" s="731" t="str">
        <f>IFERROR(__xludf.DUMMYFUNCTION("""COMPUTED_VALUE"""),"GOVT_A.ONBL_CEN")</f>
        <v>GOVT_A.ONBL_CEN</v>
      </c>
      <c r="D232" s="731" t="str">
        <f>IFERROR(__xludf.DUMMYFUNCTION("""COMPUTED_VALUE"""),"Q. Trưởng nhóm triển khai")</f>
        <v>Q. Trưởng nhóm triển khai</v>
      </c>
      <c r="E232" s="731" t="str">
        <f>IFERROR(__xludf.DUMMYFUNCTION("""COMPUTED_VALUE"""),"ONBL")</f>
        <v>ONBL</v>
      </c>
      <c r="F232" s="731">
        <f>IFERROR(__xludf.DUMMYFUNCTION("""COMPUTED_VALUE"""),1.0)</f>
        <v>1</v>
      </c>
      <c r="G232" s="731" t="str">
        <f>IFERROR(__xludf.DUMMYFUNCTION("""COMPUTED_VALUE"""),"HCSN")</f>
        <v>HCSN</v>
      </c>
      <c r="H232" s="731" t="str">
        <f>IFERROR(__xludf.DUMMYFUNCTION("""COMPUTED_VALUE"""),"Trưởng nhóm")</f>
        <v>Trưởng nhóm</v>
      </c>
      <c r="I232" s="731" t="str">
        <f>IFERROR(__xludf.DUMMYFUNCTION("""COMPUTED_VALUE"""),"L2.01.00.00.00.00.07")</f>
        <v>L2.01.00.00.00.00.07</v>
      </c>
      <c r="J232" s="731" t="str">
        <f>IFERROR(__xludf.DUMMYFUNCTION("""COMPUTED_VALUE"""),"Khối KD Thị trường HCSN")</f>
        <v>Khối KD Thị trường HCSN</v>
      </c>
      <c r="K232" s="729"/>
      <c r="L232" s="731" t="str">
        <f>IFERROR(__xludf.DUMMYFUNCTION("""COMPUTED_VALUE"""),"ngừng")</f>
        <v>ngừng</v>
      </c>
      <c r="M232" s="729"/>
      <c r="N232" s="728" t="str">
        <f>IFERROR(__xludf.DUMMYFUNCTION("""COMPUTED_VALUE"""),"ngừng")</f>
        <v>ngừng</v>
      </c>
      <c r="O232" s="708"/>
      <c r="P232" s="708"/>
      <c r="Q232" s="708"/>
      <c r="R232" s="708"/>
      <c r="S232" s="708"/>
      <c r="T232" s="708"/>
      <c r="U232" s="708"/>
      <c r="V232" s="708"/>
      <c r="W232" s="708"/>
      <c r="X232" s="708"/>
      <c r="Y232" s="708"/>
      <c r="Z232" s="708"/>
      <c r="AA232" s="708"/>
      <c r="AB232" s="708"/>
      <c r="AC232" s="708"/>
      <c r="AD232" s="708"/>
      <c r="AE232" s="708"/>
    </row>
    <row r="233">
      <c r="A233" s="742">
        <f>IFERROR(__xludf.DUMMYFUNCTION("""COMPUTED_VALUE"""),219.0)</f>
        <v>219</v>
      </c>
      <c r="B233" s="731" t="str">
        <f>IFERROR(__xludf.DUMMYFUNCTION("""COMPUTED_VALUE"""),"GOVT_A.ONBM")</f>
        <v>GOVT_A.ONBM</v>
      </c>
      <c r="C233" s="731" t="str">
        <f>IFERROR(__xludf.DUMMYFUNCTION("""COMPUTED_VALUE"""),"GOVT_A.ONBM")</f>
        <v>GOVT_A.ONBM</v>
      </c>
      <c r="D233" s="731" t="str">
        <f>IFERROR(__xludf.DUMMYFUNCTION("""COMPUTED_VALUE"""),"Q. Trưởng phòng Triển khai")</f>
        <v>Q. Trưởng phòng Triển khai</v>
      </c>
      <c r="E233" s="731" t="str">
        <f>IFERROR(__xludf.DUMMYFUNCTION("""COMPUTED_VALUE"""),"ONBM")</f>
        <v>ONBM</v>
      </c>
      <c r="F233" s="731">
        <f>IFERROR(__xludf.DUMMYFUNCTION("""COMPUTED_VALUE"""),2.0)</f>
        <v>2</v>
      </c>
      <c r="G233" s="731" t="str">
        <f>IFERROR(__xludf.DUMMYFUNCTION("""COMPUTED_VALUE"""),"HCSN")</f>
        <v>HCSN</v>
      </c>
      <c r="H233" s="731" t="str">
        <f>IFERROR(__xludf.DUMMYFUNCTION("""COMPUTED_VALUE"""),"TPP/ Trưởng ban")</f>
        <v>TPP/ Trưởng ban</v>
      </c>
      <c r="I233" s="731" t="str">
        <f>IFERROR(__xludf.DUMMYFUNCTION("""COMPUTED_VALUE"""),"L2.01.00.00.00.00.08")</f>
        <v>L2.01.00.00.00.00.08</v>
      </c>
      <c r="J233" s="731" t="str">
        <f>IFERROR(__xludf.DUMMYFUNCTION("""COMPUTED_VALUE"""),"Khối KD Thị trường HCSN")</f>
        <v>Khối KD Thị trường HCSN</v>
      </c>
      <c r="K233" s="729"/>
      <c r="L233" s="731" t="str">
        <f>IFERROR(__xludf.DUMMYFUNCTION("""COMPUTED_VALUE"""),"ngừng")</f>
        <v>ngừng</v>
      </c>
      <c r="M233" s="729"/>
      <c r="N233" s="728" t="str">
        <f>IFERROR(__xludf.DUMMYFUNCTION("""COMPUTED_VALUE"""),"ngừng")</f>
        <v>ngừng</v>
      </c>
      <c r="O233" s="708"/>
      <c r="P233" s="708"/>
      <c r="Q233" s="708"/>
      <c r="R233" s="708"/>
      <c r="S233" s="708"/>
      <c r="T233" s="708"/>
      <c r="U233" s="708"/>
      <c r="V233" s="708"/>
      <c r="W233" s="708"/>
      <c r="X233" s="708"/>
      <c r="Y233" s="708"/>
      <c r="Z233" s="708"/>
      <c r="AA233" s="708"/>
      <c r="AB233" s="708"/>
      <c r="AC233" s="708"/>
      <c r="AD233" s="708"/>
      <c r="AE233" s="708"/>
    </row>
    <row r="234">
      <c r="A234" s="727">
        <f>IFERROR(__xludf.DUMMYFUNCTION("""COMPUTED_VALUE"""),220.0)</f>
        <v>220</v>
      </c>
      <c r="B234" s="738" t="str">
        <f>IFERROR(__xludf.DUMMYFUNCTION("""COMPUTED_VALUE"""),"GOVT_A.SD")</f>
        <v>GOVT_A.SD</v>
      </c>
      <c r="C234" s="738" t="str">
        <f>IFERROR(__xludf.DUMMYFUNCTION("""COMPUTED_VALUE"""),"GOVT_A.SD")</f>
        <v>GOVT_A.SD</v>
      </c>
      <c r="D234" s="728" t="str">
        <f>IFERROR(__xludf.DUMMYFUNCTION("""COMPUTED_VALUE"""),"Q. Giám đốc TTKD")</f>
        <v>Q. Giám đốc TTKD</v>
      </c>
      <c r="E234" s="728" t="str">
        <f>IFERROR(__xludf.DUMMYFUNCTION("""COMPUTED_VALUE"""),"BOM")</f>
        <v>BOM</v>
      </c>
      <c r="F234" s="728">
        <f>IFERROR(__xludf.DUMMYFUNCTION("""COMPUTED_VALUE"""),3.0)</f>
        <v>3</v>
      </c>
      <c r="G234" s="728" t="str">
        <f>IFERROR(__xludf.DUMMYFUNCTION("""COMPUTED_VALUE"""),"HCSN")</f>
        <v>HCSN</v>
      </c>
      <c r="H234" s="728" t="str">
        <f>IFERROR(__xludf.DUMMYFUNCTION("""COMPUTED_VALUE"""),"Ban GĐTTKD/ BGĐ khối DA")</f>
        <v>Ban GĐTTKD/ BGĐ khối DA</v>
      </c>
      <c r="I234" s="728" t="str">
        <f>IFERROR(__xludf.DUMMYFUNCTION("""COMPUTED_VALUE"""),"L2.01.00.00.00.00.09")</f>
        <v>L2.01.00.00.00.00.09</v>
      </c>
      <c r="J234" s="728" t="str">
        <f>IFERROR(__xludf.DUMMYFUNCTION("""COMPUTED_VALUE"""),"Khối KD Thị trường HCSN")</f>
        <v>Khối KD Thị trường HCSN</v>
      </c>
      <c r="K234" s="728" t="str">
        <f>IFERROR(__xludf.DUMMYFUNCTION("""COMPUTED_VALUE"""),"03 - BGĐ_KD")</f>
        <v>03 - BGĐ_KD</v>
      </c>
      <c r="L234" s="728" t="str">
        <f>IFERROR(__xludf.DUMMYFUNCTION("""COMPUTED_VALUE"""),"Đang theo dõi")</f>
        <v>Đang theo dõi</v>
      </c>
      <c r="M234" s="729"/>
      <c r="N234" s="728" t="str">
        <f>IFERROR(__xludf.DUMMYFUNCTION("""COMPUTED_VALUE"""),"giữ nguyên")</f>
        <v>giữ nguyên</v>
      </c>
      <c r="O234" s="708"/>
      <c r="P234" s="708"/>
      <c r="Q234" s="708"/>
      <c r="R234" s="708"/>
      <c r="S234" s="708"/>
      <c r="T234" s="708"/>
      <c r="U234" s="708"/>
      <c r="V234" s="708"/>
      <c r="W234" s="708"/>
      <c r="X234" s="708"/>
      <c r="Y234" s="708"/>
      <c r="Z234" s="708"/>
      <c r="AA234" s="708"/>
      <c r="AB234" s="708"/>
      <c r="AC234" s="708"/>
      <c r="AD234" s="708"/>
      <c r="AE234" s="708"/>
    </row>
    <row r="235">
      <c r="A235" s="727">
        <f>IFERROR(__xludf.DUMMYFUNCTION("""COMPUTED_VALUE"""),221.0)</f>
        <v>221</v>
      </c>
      <c r="B235" s="728" t="str">
        <f>IFERROR(__xludf.DUMMYFUNCTION("""COMPUTED_VALUE"""),"GOVT_A.VSD")</f>
        <v>GOVT_A.VSD</v>
      </c>
      <c r="C235" s="728" t="str">
        <f>IFERROR(__xludf.DUMMYFUNCTION("""COMPUTED_VALUE"""),"GOVT_A.VSD")</f>
        <v>GOVT_A.VSD</v>
      </c>
      <c r="D235" s="728" t="str">
        <f>IFERROR(__xludf.DUMMYFUNCTION("""COMPUTED_VALUE"""),"Q. Phó Giám đốc TTKD")</f>
        <v>Q. Phó Giám đốc TTKD</v>
      </c>
      <c r="E235" s="728" t="str">
        <f>IFERROR(__xludf.DUMMYFUNCTION("""COMPUTED_VALUE"""),"BOM")</f>
        <v>BOM</v>
      </c>
      <c r="F235" s="728">
        <f>IFERROR(__xludf.DUMMYFUNCTION("""COMPUTED_VALUE"""),3.0)</f>
        <v>3</v>
      </c>
      <c r="G235" s="728" t="str">
        <f>IFERROR(__xludf.DUMMYFUNCTION("""COMPUTED_VALUE"""),"HCSN")</f>
        <v>HCSN</v>
      </c>
      <c r="H235" s="728" t="str">
        <f>IFERROR(__xludf.DUMMYFUNCTION("""COMPUTED_VALUE"""),"Ban GĐTTKD/ BGĐ khối DA")</f>
        <v>Ban GĐTTKD/ BGĐ khối DA</v>
      </c>
      <c r="I235" s="728" t="str">
        <f>IFERROR(__xludf.DUMMYFUNCTION("""COMPUTED_VALUE"""),"L2.01.00.00.00.00.10")</f>
        <v>L2.01.00.00.00.00.10</v>
      </c>
      <c r="J235" s="728" t="str">
        <f>IFERROR(__xludf.DUMMYFUNCTION("""COMPUTED_VALUE"""),"Khối KD Thị trường HCSN")</f>
        <v>Khối KD Thị trường HCSN</v>
      </c>
      <c r="K235" s="728" t="str">
        <f>IFERROR(__xludf.DUMMYFUNCTION("""COMPUTED_VALUE"""),"03 - BGĐ_KD")</f>
        <v>03 - BGĐ_KD</v>
      </c>
      <c r="L235" s="728" t="str">
        <f>IFERROR(__xludf.DUMMYFUNCTION("""COMPUTED_VALUE"""),"Đang theo dõi")</f>
        <v>Đang theo dõi</v>
      </c>
      <c r="M235" s="729"/>
      <c r="N235" s="728" t="str">
        <f>IFERROR(__xludf.DUMMYFUNCTION("""COMPUTED_VALUE"""),"giữ nguyên")</f>
        <v>giữ nguyên</v>
      </c>
      <c r="O235" s="708"/>
      <c r="P235" s="708"/>
      <c r="Q235" s="708"/>
      <c r="R235" s="708"/>
      <c r="S235" s="708"/>
      <c r="T235" s="708"/>
      <c r="U235" s="708"/>
      <c r="V235" s="708"/>
      <c r="W235" s="708"/>
      <c r="X235" s="708"/>
      <c r="Y235" s="708"/>
      <c r="Z235" s="708"/>
      <c r="AA235" s="708"/>
      <c r="AB235" s="708"/>
      <c r="AC235" s="708"/>
      <c r="AD235" s="708"/>
      <c r="AE235" s="708"/>
    </row>
    <row r="236">
      <c r="A236" s="727">
        <f>IFERROR(__xludf.DUMMYFUNCTION("""COMPUTED_VALUE"""),222.0)</f>
        <v>222</v>
      </c>
      <c r="B236" s="728" t="str">
        <f>IFERROR(__xludf.DUMMYFUNCTION("""COMPUTED_VALUE"""),"GOVT_AM")</f>
        <v>GOVT_AM</v>
      </c>
      <c r="C236" s="728" t="str">
        <f>IFERROR(__xludf.DUMMYFUNCTION("""COMPUTED_VALUE"""),"GOVT_AM")</f>
        <v>GOVT_AM</v>
      </c>
      <c r="D236" s="728" t="str">
        <f>IFERROR(__xludf.DUMMYFUNCTION("""COMPUTED_VALUE"""),"NV Xúc tiến")</f>
        <v>NV Xúc tiến</v>
      </c>
      <c r="E236" s="728" t="str">
        <f>IFERROR(__xludf.DUMMYFUNCTION("""COMPUTED_VALUE"""),"AE")</f>
        <v>AE</v>
      </c>
      <c r="F236" s="729"/>
      <c r="G236" s="728" t="str">
        <f>IFERROR(__xludf.DUMMYFUNCTION("""COMPUTED_VALUE"""),"HCSN")</f>
        <v>HCSN</v>
      </c>
      <c r="H236" s="728" t="str">
        <f>IFERROR(__xludf.DUMMYFUNCTION("""COMPUTED_VALUE"""),"Nhân viên/ Chuyên viên/ Chuyên gia")</f>
        <v>Nhân viên/ Chuyên viên/ Chuyên gia</v>
      </c>
      <c r="I236" s="728" t="str">
        <f>IFERROR(__xludf.DUMMYFUNCTION("""COMPUTED_VALUE"""),"L2.01.00.00.00.00.11")</f>
        <v>L2.01.00.00.00.00.11</v>
      </c>
      <c r="J236" s="728" t="str">
        <f>IFERROR(__xludf.DUMMYFUNCTION("""COMPUTED_VALUE"""),"Khối KD Thị trường HCSN")</f>
        <v>Khối KD Thị trường HCSN</v>
      </c>
      <c r="K236" s="728" t="str">
        <f>IFERROR(__xludf.DUMMYFUNCTION("""COMPUTED_VALUE"""),"01 - NV_KD")</f>
        <v>01 - NV_KD</v>
      </c>
      <c r="L236" s="728" t="str">
        <f>IFERROR(__xludf.DUMMYFUNCTION("""COMPUTED_VALUE"""),"Đang theo dõi")</f>
        <v>Đang theo dõi</v>
      </c>
      <c r="M236" s="729"/>
      <c r="N236" s="728" t="str">
        <f>IFERROR(__xludf.DUMMYFUNCTION("""COMPUTED_VALUE"""),"giữ nguyên")</f>
        <v>giữ nguyên</v>
      </c>
      <c r="O236" s="708"/>
      <c r="P236" s="708"/>
      <c r="Q236" s="708"/>
      <c r="R236" s="708"/>
      <c r="S236" s="708"/>
      <c r="T236" s="708"/>
      <c r="U236" s="708"/>
      <c r="V236" s="708"/>
      <c r="W236" s="708"/>
      <c r="X236" s="708"/>
      <c r="Y236" s="708"/>
      <c r="Z236" s="708"/>
      <c r="AA236" s="708"/>
      <c r="AB236" s="708"/>
      <c r="AC236" s="708"/>
      <c r="AD236" s="708"/>
      <c r="AE236" s="708"/>
    </row>
    <row r="237">
      <c r="A237" s="727">
        <f>IFERROR(__xludf.DUMMYFUNCTION("""COMPUTED_VALUE"""),223.0)</f>
        <v>223</v>
      </c>
      <c r="B237" s="728" t="str">
        <f>IFERROR(__xludf.DUMMYFUNCTION("""COMPUTED_VALUE"""),"GOVT_AM_CEN")</f>
        <v>GOVT_AM_CEN</v>
      </c>
      <c r="C237" s="728" t="str">
        <f>IFERROR(__xludf.DUMMYFUNCTION("""COMPUTED_VALUE"""),"GOVT_AM_CEN")</f>
        <v>GOVT_AM_CEN</v>
      </c>
      <c r="D237" s="728" t="str">
        <f>IFERROR(__xludf.DUMMYFUNCTION("""COMPUTED_VALUE"""),"NV Xúc tiến")</f>
        <v>NV Xúc tiến</v>
      </c>
      <c r="E237" s="728" t="str">
        <f>IFERROR(__xludf.DUMMYFUNCTION("""COMPUTED_VALUE"""),"AE")</f>
        <v>AE</v>
      </c>
      <c r="F237" s="729"/>
      <c r="G237" s="728" t="str">
        <f>IFERROR(__xludf.DUMMYFUNCTION("""COMPUTED_VALUE"""),"HCSN")</f>
        <v>HCSN</v>
      </c>
      <c r="H237" s="728" t="str">
        <f>IFERROR(__xludf.DUMMYFUNCTION("""COMPUTED_VALUE"""),"Nhân viên/ Chuyên viên/ Chuyên gia")</f>
        <v>Nhân viên/ Chuyên viên/ Chuyên gia</v>
      </c>
      <c r="I237" s="728" t="str">
        <f>IFERROR(__xludf.DUMMYFUNCTION("""COMPUTED_VALUE"""),"L2.01.00.00.00.00.12")</f>
        <v>L2.01.00.00.00.00.12</v>
      </c>
      <c r="J237" s="728" t="str">
        <f>IFERROR(__xludf.DUMMYFUNCTION("""COMPUTED_VALUE"""),"Khối KD Thị trường HCSN")</f>
        <v>Khối KD Thị trường HCSN</v>
      </c>
      <c r="K237" s="728" t="str">
        <f>IFERROR(__xludf.DUMMYFUNCTION("""COMPUTED_VALUE"""),"01 - NV_KD")</f>
        <v>01 - NV_KD</v>
      </c>
      <c r="L237" s="728" t="str">
        <f>IFERROR(__xludf.DUMMYFUNCTION("""COMPUTED_VALUE"""),"Đang theo dõi")</f>
        <v>Đang theo dõi</v>
      </c>
      <c r="M237" s="729"/>
      <c r="N237" s="728" t="str">
        <f>IFERROR(__xludf.DUMMYFUNCTION("""COMPUTED_VALUE"""),"giữ nguyên")</f>
        <v>giữ nguyên</v>
      </c>
      <c r="O237" s="708"/>
      <c r="P237" s="708"/>
      <c r="Q237" s="708"/>
      <c r="R237" s="708"/>
      <c r="S237" s="708"/>
      <c r="T237" s="708"/>
      <c r="U237" s="708"/>
      <c r="V237" s="708"/>
      <c r="W237" s="708"/>
      <c r="X237" s="708"/>
      <c r="Y237" s="708"/>
      <c r="Z237" s="708"/>
      <c r="AA237" s="708"/>
      <c r="AB237" s="708"/>
      <c r="AC237" s="708"/>
      <c r="AD237" s="708"/>
      <c r="AE237" s="708"/>
    </row>
    <row r="238">
      <c r="A238" s="727">
        <f>IFERROR(__xludf.DUMMYFUNCTION("""COMPUTED_VALUE"""),224.0)</f>
        <v>224</v>
      </c>
      <c r="B238" s="728" t="str">
        <f>IFERROR(__xludf.DUMMYFUNCTION("""COMPUTED_VALUE"""),"GOVT_AML")</f>
        <v>GOVT_AML</v>
      </c>
      <c r="C238" s="728" t="str">
        <f>IFERROR(__xludf.DUMMYFUNCTION("""COMPUTED_VALUE"""),"GOVT_AML")</f>
        <v>GOVT_AML</v>
      </c>
      <c r="D238" s="728" t="str">
        <f>IFERROR(__xludf.DUMMYFUNCTION("""COMPUTED_VALUE"""),"Trưởng nhóm Kinh doanh")</f>
        <v>Trưởng nhóm Kinh doanh</v>
      </c>
      <c r="E238" s="728" t="str">
        <f>IFERROR(__xludf.DUMMYFUNCTION("""COMPUTED_VALUE"""),"AML")</f>
        <v>AML</v>
      </c>
      <c r="F238" s="728">
        <f>IFERROR(__xludf.DUMMYFUNCTION("""COMPUTED_VALUE"""),1.0)</f>
        <v>1</v>
      </c>
      <c r="G238" s="728" t="str">
        <f>IFERROR(__xludf.DUMMYFUNCTION("""COMPUTED_VALUE"""),"HCSN")</f>
        <v>HCSN</v>
      </c>
      <c r="H238" s="728" t="str">
        <f>IFERROR(__xludf.DUMMYFUNCTION("""COMPUTED_VALUE"""),"Trưởng nhóm")</f>
        <v>Trưởng nhóm</v>
      </c>
      <c r="I238" s="728" t="str">
        <f>IFERROR(__xludf.DUMMYFUNCTION("""COMPUTED_VALUE"""),"L2.01.00.00.00.00.13")</f>
        <v>L2.01.00.00.00.00.13</v>
      </c>
      <c r="J238" s="728" t="str">
        <f>IFERROR(__xludf.DUMMYFUNCTION("""COMPUTED_VALUE"""),"Khối KD Thị trường HCSN")</f>
        <v>Khối KD Thị trường HCSN</v>
      </c>
      <c r="K238" s="728" t="str">
        <f>IFERROR(__xludf.DUMMYFUNCTION("""COMPUTED_VALUE"""),"02 - QL_KD")</f>
        <v>02 - QL_KD</v>
      </c>
      <c r="L238" s="728" t="str">
        <f>IFERROR(__xludf.DUMMYFUNCTION("""COMPUTED_VALUE"""),"Đang theo dõi")</f>
        <v>Đang theo dõi</v>
      </c>
      <c r="M238" s="729"/>
      <c r="N238" s="728" t="str">
        <f>IFERROR(__xludf.DUMMYFUNCTION("""COMPUTED_VALUE"""),"giữ nguyên")</f>
        <v>giữ nguyên</v>
      </c>
      <c r="O238" s="708"/>
      <c r="P238" s="708"/>
      <c r="Q238" s="708"/>
      <c r="R238" s="708"/>
      <c r="S238" s="708"/>
      <c r="T238" s="708"/>
      <c r="U238" s="708"/>
      <c r="V238" s="708"/>
      <c r="W238" s="708"/>
      <c r="X238" s="708"/>
      <c r="Y238" s="708"/>
      <c r="Z238" s="708"/>
      <c r="AA238" s="708"/>
      <c r="AB238" s="708"/>
      <c r="AC238" s="708"/>
      <c r="AD238" s="708"/>
      <c r="AE238" s="708"/>
    </row>
    <row r="239">
      <c r="A239" s="727">
        <f>IFERROR(__xludf.DUMMYFUNCTION("""COMPUTED_VALUE"""),225.0)</f>
        <v>225</v>
      </c>
      <c r="B239" s="728" t="str">
        <f>IFERROR(__xludf.DUMMYFUNCTION("""COMPUTED_VALUE"""),"GOVT_AML_CEN")</f>
        <v>GOVT_AML_CEN</v>
      </c>
      <c r="C239" s="728" t="str">
        <f>IFERROR(__xludf.DUMMYFUNCTION("""COMPUTED_VALUE"""),"GOVT_AML_CEN")</f>
        <v>GOVT_AML_CEN</v>
      </c>
      <c r="D239" s="728" t="str">
        <f>IFERROR(__xludf.DUMMYFUNCTION("""COMPUTED_VALUE"""),"Trưởng nhóm KD Dự án TW")</f>
        <v>Trưởng nhóm KD Dự án TW</v>
      </c>
      <c r="E239" s="728" t="str">
        <f>IFERROR(__xludf.DUMMYFUNCTION("""COMPUTED_VALUE"""),"AML")</f>
        <v>AML</v>
      </c>
      <c r="F239" s="728">
        <f>IFERROR(__xludf.DUMMYFUNCTION("""COMPUTED_VALUE"""),1.0)</f>
        <v>1</v>
      </c>
      <c r="G239" s="728" t="str">
        <f>IFERROR(__xludf.DUMMYFUNCTION("""COMPUTED_VALUE"""),"HCSN")</f>
        <v>HCSN</v>
      </c>
      <c r="H239" s="728" t="str">
        <f>IFERROR(__xludf.DUMMYFUNCTION("""COMPUTED_VALUE"""),"Trưởng nhóm")</f>
        <v>Trưởng nhóm</v>
      </c>
      <c r="I239" s="728" t="str">
        <f>IFERROR(__xludf.DUMMYFUNCTION("""COMPUTED_VALUE"""),"L2.01.00.00.00.00.14")</f>
        <v>L2.01.00.00.00.00.14</v>
      </c>
      <c r="J239" s="728" t="str">
        <f>IFERROR(__xludf.DUMMYFUNCTION("""COMPUTED_VALUE"""),"Khối KD Thị trường HCSN")</f>
        <v>Khối KD Thị trường HCSN</v>
      </c>
      <c r="K239" s="729"/>
      <c r="L239" s="728" t="str">
        <f>IFERROR(__xludf.DUMMYFUNCTION("""COMPUTED_VALUE"""),"Đang theo dõi")</f>
        <v>Đang theo dõi</v>
      </c>
      <c r="M239" s="729"/>
      <c r="N239" s="728" t="str">
        <f>IFERROR(__xludf.DUMMYFUNCTION("""COMPUTED_VALUE"""),"giữ nguyên")</f>
        <v>giữ nguyên</v>
      </c>
      <c r="O239" s="708"/>
      <c r="P239" s="708"/>
      <c r="Q239" s="708"/>
      <c r="R239" s="708"/>
      <c r="S239" s="708"/>
      <c r="T239" s="708"/>
      <c r="U239" s="708"/>
      <c r="V239" s="708"/>
      <c r="W239" s="708"/>
      <c r="X239" s="708"/>
      <c r="Y239" s="708"/>
      <c r="Z239" s="708"/>
      <c r="AA239" s="708"/>
      <c r="AB239" s="708"/>
      <c r="AC239" s="708"/>
      <c r="AD239" s="708"/>
      <c r="AE239" s="708"/>
    </row>
    <row r="240">
      <c r="A240" s="727">
        <f>IFERROR(__xludf.DUMMYFUNCTION("""COMPUTED_VALUE"""),226.0)</f>
        <v>226</v>
      </c>
      <c r="B240" s="728" t="str">
        <f>IFERROR(__xludf.DUMMYFUNCTION("""COMPUTED_VALUE"""),"GOVT_AMM")</f>
        <v>GOVT_AMM</v>
      </c>
      <c r="C240" s="728" t="str">
        <f>IFERROR(__xludf.DUMMYFUNCTION("""COMPUTED_VALUE"""),"GOVT_AMM")</f>
        <v>GOVT_AMM</v>
      </c>
      <c r="D240" s="728" t="str">
        <f>IFERROR(__xludf.DUMMYFUNCTION("""COMPUTED_VALUE"""),"Trưởng phòng Kinh doanh")</f>
        <v>Trưởng phòng Kinh doanh</v>
      </c>
      <c r="E240" s="728" t="str">
        <f>IFERROR(__xludf.DUMMYFUNCTION("""COMPUTED_VALUE"""),"SM")</f>
        <v>SM</v>
      </c>
      <c r="F240" s="728">
        <f>IFERROR(__xludf.DUMMYFUNCTION("""COMPUTED_VALUE"""),2.0)</f>
        <v>2</v>
      </c>
      <c r="G240" s="728" t="str">
        <f>IFERROR(__xludf.DUMMYFUNCTION("""COMPUTED_VALUE"""),"HCSN")</f>
        <v>HCSN</v>
      </c>
      <c r="H240" s="728" t="str">
        <f>IFERROR(__xludf.DUMMYFUNCTION("""COMPUTED_VALUE"""),"TPP/ Trưởng ban")</f>
        <v>TPP/ Trưởng ban</v>
      </c>
      <c r="I240" s="728" t="str">
        <f>IFERROR(__xludf.DUMMYFUNCTION("""COMPUTED_VALUE"""),"L2.01.00.00.00.00.15")</f>
        <v>L2.01.00.00.00.00.15</v>
      </c>
      <c r="J240" s="728" t="str">
        <f>IFERROR(__xludf.DUMMYFUNCTION("""COMPUTED_VALUE"""),"Khối KD Thị trường HCSN")</f>
        <v>Khối KD Thị trường HCSN</v>
      </c>
      <c r="K240" s="728" t="str">
        <f>IFERROR(__xludf.DUMMYFUNCTION("""COMPUTED_VALUE"""),"02 - QL_KD")</f>
        <v>02 - QL_KD</v>
      </c>
      <c r="L240" s="728" t="str">
        <f>IFERROR(__xludf.DUMMYFUNCTION("""COMPUTED_VALUE"""),"Đang theo dõi")</f>
        <v>Đang theo dõi</v>
      </c>
      <c r="M240" s="729"/>
      <c r="N240" s="728" t="str">
        <f>IFERROR(__xludf.DUMMYFUNCTION("""COMPUTED_VALUE"""),"giữ nguyên")</f>
        <v>giữ nguyên</v>
      </c>
      <c r="O240" s="708"/>
      <c r="P240" s="708"/>
      <c r="Q240" s="708"/>
      <c r="R240" s="708"/>
      <c r="S240" s="708"/>
      <c r="T240" s="708"/>
      <c r="U240" s="708"/>
      <c r="V240" s="708"/>
      <c r="W240" s="708"/>
      <c r="X240" s="708"/>
      <c r="Y240" s="708"/>
      <c r="Z240" s="708"/>
      <c r="AA240" s="708"/>
      <c r="AB240" s="708"/>
      <c r="AC240" s="708"/>
      <c r="AD240" s="708"/>
      <c r="AE240" s="708"/>
    </row>
    <row r="241">
      <c r="A241" s="727">
        <f>IFERROR(__xludf.DUMMYFUNCTION("""COMPUTED_VALUE"""),227.0)</f>
        <v>227</v>
      </c>
      <c r="B241" s="728" t="str">
        <f>IFERROR(__xludf.DUMMYFUNCTION("""COMPUTED_VALUE"""),"GOVT_AMM_CEN")</f>
        <v>GOVT_AMM_CEN</v>
      </c>
      <c r="C241" s="728" t="str">
        <f>IFERROR(__xludf.DUMMYFUNCTION("""COMPUTED_VALUE"""),"GOVT_AMM_CEN")</f>
        <v>GOVT_AMM_CEN</v>
      </c>
      <c r="D241" s="728" t="str">
        <f>IFERROR(__xludf.DUMMYFUNCTION("""COMPUTED_VALUE"""),"Trưởng phòng KD Dự án TW")</f>
        <v>Trưởng phòng KD Dự án TW</v>
      </c>
      <c r="E241" s="728" t="str">
        <f>IFERROR(__xludf.DUMMYFUNCTION("""COMPUTED_VALUE"""),"SM")</f>
        <v>SM</v>
      </c>
      <c r="F241" s="728">
        <f>IFERROR(__xludf.DUMMYFUNCTION("""COMPUTED_VALUE"""),2.0)</f>
        <v>2</v>
      </c>
      <c r="G241" s="728" t="str">
        <f>IFERROR(__xludf.DUMMYFUNCTION("""COMPUTED_VALUE"""),"HCSN")</f>
        <v>HCSN</v>
      </c>
      <c r="H241" s="728" t="str">
        <f>IFERROR(__xludf.DUMMYFUNCTION("""COMPUTED_VALUE"""),"TPP/ Trưởng ban")</f>
        <v>TPP/ Trưởng ban</v>
      </c>
      <c r="I241" s="728" t="str">
        <f>IFERROR(__xludf.DUMMYFUNCTION("""COMPUTED_VALUE"""),"L2.01.00.00.00.00.16")</f>
        <v>L2.01.00.00.00.00.16</v>
      </c>
      <c r="J241" s="728" t="str">
        <f>IFERROR(__xludf.DUMMYFUNCTION("""COMPUTED_VALUE"""),"Khối KD Thị trường HCSN")</f>
        <v>Khối KD Thị trường HCSN</v>
      </c>
      <c r="K241" s="728" t="str">
        <f>IFERROR(__xludf.DUMMYFUNCTION("""COMPUTED_VALUE"""),"02 - QL_KD")</f>
        <v>02 - QL_KD</v>
      </c>
      <c r="L241" s="728" t="str">
        <f>IFERROR(__xludf.DUMMYFUNCTION("""COMPUTED_VALUE"""),"Đang theo dõi")</f>
        <v>Đang theo dõi</v>
      </c>
      <c r="M241" s="729"/>
      <c r="N241" s="728" t="str">
        <f>IFERROR(__xludf.DUMMYFUNCTION("""COMPUTED_VALUE"""),"giữ nguyên")</f>
        <v>giữ nguyên</v>
      </c>
      <c r="O241" s="708"/>
      <c r="P241" s="708"/>
      <c r="Q241" s="708"/>
      <c r="R241" s="708"/>
      <c r="S241" s="708"/>
      <c r="T241" s="708"/>
      <c r="U241" s="708"/>
      <c r="V241" s="708"/>
      <c r="W241" s="708"/>
      <c r="X241" s="708"/>
      <c r="Y241" s="708"/>
      <c r="Z241" s="708"/>
      <c r="AA241" s="708"/>
      <c r="AB241" s="708"/>
      <c r="AC241" s="708"/>
      <c r="AD241" s="708"/>
      <c r="AE241" s="708"/>
    </row>
    <row r="242">
      <c r="A242" s="742">
        <f>IFERROR(__xludf.DUMMYFUNCTION("""COMPUTED_VALUE"""),228.0)</f>
        <v>228</v>
      </c>
      <c r="B242" s="731" t="str">
        <f>IFERROR(__xludf.DUMMYFUNCTION("""COMPUTED_VALUE"""),"GOVT_CSM")</f>
        <v>GOVT_CSM</v>
      </c>
      <c r="C242" s="731" t="str">
        <f>IFERROR(__xludf.DUMMYFUNCTION("""COMPUTED_VALUE"""),"GOVT_CSM")</f>
        <v>GOVT_CSM</v>
      </c>
      <c r="D242" s="731" t="str">
        <f>IFERROR(__xludf.DUMMYFUNCTION("""COMPUTED_VALUE"""),"NV CSKH")</f>
        <v>NV CSKH</v>
      </c>
      <c r="E242" s="731" t="str">
        <f>IFERROR(__xludf.DUMMYFUNCTION("""COMPUTED_VALUE"""),"CSM")</f>
        <v>CSM</v>
      </c>
      <c r="F242" s="729"/>
      <c r="G242" s="731" t="str">
        <f>IFERROR(__xludf.DUMMYFUNCTION("""COMPUTED_VALUE"""),"HCSN")</f>
        <v>HCSN</v>
      </c>
      <c r="H242" s="731" t="str">
        <f>IFERROR(__xludf.DUMMYFUNCTION("""COMPUTED_VALUE"""),"Nhân viên/ Chuyên viên/ Chuyên gia")</f>
        <v>Nhân viên/ Chuyên viên/ Chuyên gia</v>
      </c>
      <c r="I242" s="731" t="str">
        <f>IFERROR(__xludf.DUMMYFUNCTION("""COMPUTED_VALUE"""),"L2.01.00.00.00.00.17")</f>
        <v>L2.01.00.00.00.00.17</v>
      </c>
      <c r="J242" s="731" t="str">
        <f>IFERROR(__xludf.DUMMYFUNCTION("""COMPUTED_VALUE"""),"Khối KD Thị trường HCSN")</f>
        <v>Khối KD Thị trường HCSN</v>
      </c>
      <c r="K242" s="729"/>
      <c r="L242" s="731" t="str">
        <f>IFERROR(__xludf.DUMMYFUNCTION("""COMPUTED_VALUE"""),"ngừng")</f>
        <v>ngừng</v>
      </c>
      <c r="M242" s="729"/>
      <c r="N242" s="728" t="str">
        <f>IFERROR(__xludf.DUMMYFUNCTION("""COMPUTED_VALUE"""),"ngừng")</f>
        <v>ngừng</v>
      </c>
      <c r="O242" s="708"/>
      <c r="P242" s="708"/>
      <c r="Q242" s="708"/>
      <c r="R242" s="708"/>
      <c r="S242" s="708"/>
      <c r="T242" s="708"/>
      <c r="U242" s="708"/>
      <c r="V242" s="708"/>
      <c r="W242" s="708"/>
      <c r="X242" s="708"/>
      <c r="Y242" s="708"/>
      <c r="Z242" s="708"/>
      <c r="AA242" s="708"/>
      <c r="AB242" s="708"/>
      <c r="AC242" s="708"/>
      <c r="AD242" s="708"/>
      <c r="AE242" s="708"/>
    </row>
    <row r="243">
      <c r="A243" s="742">
        <f>IFERROR(__xludf.DUMMYFUNCTION("""COMPUTED_VALUE"""),229.0)</f>
        <v>229</v>
      </c>
      <c r="B243" s="731" t="str">
        <f>IFERROR(__xludf.DUMMYFUNCTION("""COMPUTED_VALUE"""),"GOVT_CSM_CEN")</f>
        <v>GOVT_CSM_CEN</v>
      </c>
      <c r="C243" s="731" t="str">
        <f>IFERROR(__xludf.DUMMYFUNCTION("""COMPUTED_VALUE"""),"GOVT_CSM_CEN")</f>
        <v>GOVT_CSM_CEN</v>
      </c>
      <c r="D243" s="731" t="str">
        <f>IFERROR(__xludf.DUMMYFUNCTION("""COMPUTED_VALUE"""),"NV CSKH")</f>
        <v>NV CSKH</v>
      </c>
      <c r="E243" s="731" t="str">
        <f>IFERROR(__xludf.DUMMYFUNCTION("""COMPUTED_VALUE"""),"CSM")</f>
        <v>CSM</v>
      </c>
      <c r="F243" s="729"/>
      <c r="G243" s="731" t="str">
        <f>IFERROR(__xludf.DUMMYFUNCTION("""COMPUTED_VALUE"""),"HCSN")</f>
        <v>HCSN</v>
      </c>
      <c r="H243" s="731" t="str">
        <f>IFERROR(__xludf.DUMMYFUNCTION("""COMPUTED_VALUE"""),"Nhân viên/ Chuyên viên/ Chuyên gia")</f>
        <v>Nhân viên/ Chuyên viên/ Chuyên gia</v>
      </c>
      <c r="I243" s="731" t="str">
        <f>IFERROR(__xludf.DUMMYFUNCTION("""COMPUTED_VALUE"""),"L2.01.00.00.00.00.18")</f>
        <v>L2.01.00.00.00.00.18</v>
      </c>
      <c r="J243" s="731" t="str">
        <f>IFERROR(__xludf.DUMMYFUNCTION("""COMPUTED_VALUE"""),"Khối KD Thị trường HCSN")</f>
        <v>Khối KD Thị trường HCSN</v>
      </c>
      <c r="K243" s="729"/>
      <c r="L243" s="731" t="str">
        <f>IFERROR(__xludf.DUMMYFUNCTION("""COMPUTED_VALUE"""),"ngừng")</f>
        <v>ngừng</v>
      </c>
      <c r="M243" s="729"/>
      <c r="N243" s="728" t="str">
        <f>IFERROR(__xludf.DUMMYFUNCTION("""COMPUTED_VALUE"""),"ngừng")</f>
        <v>ngừng</v>
      </c>
      <c r="O243" s="708"/>
      <c r="P243" s="708"/>
      <c r="Q243" s="708"/>
      <c r="R243" s="708"/>
      <c r="S243" s="708"/>
      <c r="T243" s="708"/>
      <c r="U243" s="708"/>
      <c r="V243" s="708"/>
      <c r="W243" s="708"/>
      <c r="X243" s="708"/>
      <c r="Y243" s="708"/>
      <c r="Z243" s="708"/>
      <c r="AA243" s="708"/>
      <c r="AB243" s="708"/>
      <c r="AC243" s="708"/>
      <c r="AD243" s="708"/>
      <c r="AE243" s="708"/>
    </row>
    <row r="244">
      <c r="A244" s="742">
        <f>IFERROR(__xludf.DUMMYFUNCTION("""COMPUTED_VALUE"""),230.0)</f>
        <v>230</v>
      </c>
      <c r="B244" s="731" t="str">
        <f>IFERROR(__xludf.DUMMYFUNCTION("""COMPUTED_VALUE"""),"GOVT_CSML")</f>
        <v>GOVT_CSML</v>
      </c>
      <c r="C244" s="731" t="str">
        <f>IFERROR(__xludf.DUMMYFUNCTION("""COMPUTED_VALUE"""),"GOVT_CSML")</f>
        <v>GOVT_CSML</v>
      </c>
      <c r="D244" s="731" t="str">
        <f>IFERROR(__xludf.DUMMYFUNCTION("""COMPUTED_VALUE"""),"Trưởng nhóm CSKH")</f>
        <v>Trưởng nhóm CSKH</v>
      </c>
      <c r="E244" s="731" t="str">
        <f>IFERROR(__xludf.DUMMYFUNCTION("""COMPUTED_VALUE"""),"CSML")</f>
        <v>CSML</v>
      </c>
      <c r="F244" s="731">
        <f>IFERROR(__xludf.DUMMYFUNCTION("""COMPUTED_VALUE"""),1.0)</f>
        <v>1</v>
      </c>
      <c r="G244" s="731" t="str">
        <f>IFERROR(__xludf.DUMMYFUNCTION("""COMPUTED_VALUE"""),"HCSN")</f>
        <v>HCSN</v>
      </c>
      <c r="H244" s="731" t="str">
        <f>IFERROR(__xludf.DUMMYFUNCTION("""COMPUTED_VALUE"""),"Trưởng nhóm")</f>
        <v>Trưởng nhóm</v>
      </c>
      <c r="I244" s="731" t="str">
        <f>IFERROR(__xludf.DUMMYFUNCTION("""COMPUTED_VALUE"""),"L2.01.00.00.00.00.19")</f>
        <v>L2.01.00.00.00.00.19</v>
      </c>
      <c r="J244" s="731" t="str">
        <f>IFERROR(__xludf.DUMMYFUNCTION("""COMPUTED_VALUE"""),"Khối KD Thị trường HCSN")</f>
        <v>Khối KD Thị trường HCSN</v>
      </c>
      <c r="K244" s="729"/>
      <c r="L244" s="731" t="str">
        <f>IFERROR(__xludf.DUMMYFUNCTION("""COMPUTED_VALUE"""),"ngừng")</f>
        <v>ngừng</v>
      </c>
      <c r="M244" s="729"/>
      <c r="N244" s="728" t="str">
        <f>IFERROR(__xludf.DUMMYFUNCTION("""COMPUTED_VALUE"""),"ngừng")</f>
        <v>ngừng</v>
      </c>
      <c r="O244" s="708"/>
      <c r="P244" s="708"/>
      <c r="Q244" s="708"/>
      <c r="R244" s="708"/>
      <c r="S244" s="708"/>
      <c r="T244" s="708"/>
      <c r="U244" s="708"/>
      <c r="V244" s="708"/>
      <c r="W244" s="708"/>
      <c r="X244" s="708"/>
      <c r="Y244" s="708"/>
      <c r="Z244" s="708"/>
      <c r="AA244" s="708"/>
      <c r="AB244" s="708"/>
      <c r="AC244" s="708"/>
      <c r="AD244" s="708"/>
      <c r="AE244" s="708"/>
    </row>
    <row r="245">
      <c r="A245" s="742">
        <f>IFERROR(__xludf.DUMMYFUNCTION("""COMPUTED_VALUE"""),231.0)</f>
        <v>231</v>
      </c>
      <c r="B245" s="731" t="str">
        <f>IFERROR(__xludf.DUMMYFUNCTION("""COMPUTED_VALUE"""),"GOVT_CSMM")</f>
        <v>GOVT_CSMM</v>
      </c>
      <c r="C245" s="731" t="str">
        <f>IFERROR(__xludf.DUMMYFUNCTION("""COMPUTED_VALUE"""),"GOVT_CSMM")</f>
        <v>GOVT_CSMM</v>
      </c>
      <c r="D245" s="731" t="str">
        <f>IFERROR(__xludf.DUMMYFUNCTION("""COMPUTED_VALUE"""),"Trưởng phòng CSKH")</f>
        <v>Trưởng phòng CSKH</v>
      </c>
      <c r="E245" s="731" t="str">
        <f>IFERROR(__xludf.DUMMYFUNCTION("""COMPUTED_VALUE"""),"CSMM")</f>
        <v>CSMM</v>
      </c>
      <c r="F245" s="731">
        <f>IFERROR(__xludf.DUMMYFUNCTION("""COMPUTED_VALUE"""),2.0)</f>
        <v>2</v>
      </c>
      <c r="G245" s="731" t="str">
        <f>IFERROR(__xludf.DUMMYFUNCTION("""COMPUTED_VALUE"""),"HCSN")</f>
        <v>HCSN</v>
      </c>
      <c r="H245" s="731" t="str">
        <f>IFERROR(__xludf.DUMMYFUNCTION("""COMPUTED_VALUE"""),"TPP/ Trưởng ban")</f>
        <v>TPP/ Trưởng ban</v>
      </c>
      <c r="I245" s="731" t="str">
        <f>IFERROR(__xludf.DUMMYFUNCTION("""COMPUTED_VALUE"""),"L2.01.00.00.00.00.20")</f>
        <v>L2.01.00.00.00.00.20</v>
      </c>
      <c r="J245" s="731" t="str">
        <f>IFERROR(__xludf.DUMMYFUNCTION("""COMPUTED_VALUE"""),"Khối KD Thị trường HCSN")</f>
        <v>Khối KD Thị trường HCSN</v>
      </c>
      <c r="K245" s="729"/>
      <c r="L245" s="731" t="str">
        <f>IFERROR(__xludf.DUMMYFUNCTION("""COMPUTED_VALUE"""),"ngừng")</f>
        <v>ngừng</v>
      </c>
      <c r="M245" s="729"/>
      <c r="N245" s="728" t="str">
        <f>IFERROR(__xludf.DUMMYFUNCTION("""COMPUTED_VALUE"""),"ngừng")</f>
        <v>ngừng</v>
      </c>
      <c r="O245" s="708"/>
      <c r="P245" s="708"/>
      <c r="Q245" s="708"/>
      <c r="R245" s="708"/>
      <c r="S245" s="708"/>
      <c r="T245" s="708"/>
      <c r="U245" s="708"/>
      <c r="V245" s="708"/>
      <c r="W245" s="708"/>
      <c r="X245" s="708"/>
      <c r="Y245" s="708"/>
      <c r="Z245" s="708"/>
      <c r="AA245" s="708"/>
      <c r="AB245" s="708"/>
      <c r="AC245" s="708"/>
      <c r="AD245" s="708"/>
      <c r="AE245" s="708"/>
    </row>
    <row r="246">
      <c r="A246" s="727">
        <f>IFERROR(__xludf.DUMMYFUNCTION("""COMPUTED_VALUE"""),232.0)</f>
        <v>232</v>
      </c>
      <c r="B246" s="728" t="str">
        <f>IFERROR(__xludf.DUMMYFUNCTION("""COMPUTED_VALUE"""),"GOVT_DAMM")</f>
        <v>GOVT_DAMM</v>
      </c>
      <c r="C246" s="728" t="str">
        <f>IFERROR(__xludf.DUMMYFUNCTION("""COMPUTED_VALUE"""),"GOVT_DAMM")</f>
        <v>GOVT_DAMM</v>
      </c>
      <c r="D246" s="728" t="str">
        <f>IFERROR(__xludf.DUMMYFUNCTION("""COMPUTED_VALUE"""),"Phó phòng Kinh doanh")</f>
        <v>Phó phòng Kinh doanh</v>
      </c>
      <c r="E246" s="728" t="str">
        <f>IFERROR(__xludf.DUMMYFUNCTION("""COMPUTED_VALUE"""),"SM")</f>
        <v>SM</v>
      </c>
      <c r="F246" s="728">
        <f>IFERROR(__xludf.DUMMYFUNCTION("""COMPUTED_VALUE"""),2.0)</f>
        <v>2</v>
      </c>
      <c r="G246" s="728" t="str">
        <f>IFERROR(__xludf.DUMMYFUNCTION("""COMPUTED_VALUE"""),"HCSN")</f>
        <v>HCSN</v>
      </c>
      <c r="H246" s="728" t="str">
        <f>IFERROR(__xludf.DUMMYFUNCTION("""COMPUTED_VALUE"""),"TPP/ Trưởng ban")</f>
        <v>TPP/ Trưởng ban</v>
      </c>
      <c r="I246" s="728" t="str">
        <f>IFERROR(__xludf.DUMMYFUNCTION("""COMPUTED_VALUE"""),"L2.01.00.00.00.00.21")</f>
        <v>L2.01.00.00.00.00.21</v>
      </c>
      <c r="J246" s="728" t="str">
        <f>IFERROR(__xludf.DUMMYFUNCTION("""COMPUTED_VALUE"""),"Khối KD Thị trường HCSN")</f>
        <v>Khối KD Thị trường HCSN</v>
      </c>
      <c r="K246" s="728" t="str">
        <f>IFERROR(__xludf.DUMMYFUNCTION("""COMPUTED_VALUE"""),"02 - QL_KD")</f>
        <v>02 - QL_KD</v>
      </c>
      <c r="L246" s="728" t="str">
        <f>IFERROR(__xludf.DUMMYFUNCTION("""COMPUTED_VALUE"""),"Đang theo dõi")</f>
        <v>Đang theo dõi</v>
      </c>
      <c r="M246" s="729"/>
      <c r="N246" s="728" t="str">
        <f>IFERROR(__xludf.DUMMYFUNCTION("""COMPUTED_VALUE"""),"giữ nguyên")</f>
        <v>giữ nguyên</v>
      </c>
      <c r="O246" s="708"/>
      <c r="P246" s="708"/>
      <c r="Q246" s="708"/>
      <c r="R246" s="708"/>
      <c r="S246" s="708"/>
      <c r="T246" s="708"/>
      <c r="U246" s="708"/>
      <c r="V246" s="708"/>
      <c r="W246" s="708"/>
      <c r="X246" s="708"/>
      <c r="Y246" s="708"/>
      <c r="Z246" s="708"/>
      <c r="AA246" s="708"/>
      <c r="AB246" s="708"/>
      <c r="AC246" s="708"/>
      <c r="AD246" s="708"/>
      <c r="AE246" s="708"/>
    </row>
    <row r="247">
      <c r="A247" s="727">
        <f>IFERROR(__xludf.DUMMYFUNCTION("""COMPUTED_VALUE"""),233.0)</f>
        <v>233</v>
      </c>
      <c r="B247" s="728" t="str">
        <f>IFERROR(__xludf.DUMMYFUNCTION("""COMPUTED_VALUE"""),"GOVT_DONB&amp;CSMM")</f>
        <v>GOVT_DONB&amp;CSMM</v>
      </c>
      <c r="C247" s="728" t="str">
        <f>IFERROR(__xludf.DUMMYFUNCTION("""COMPUTED_VALUE"""),"GOVT_DONB&amp;CSMM")</f>
        <v>GOVT_DONB&amp;CSMM</v>
      </c>
      <c r="D247" s="728" t="str">
        <f>IFERROR(__xludf.DUMMYFUNCTION("""COMPUTED_VALUE"""),"Phó phòng Triển khai và CSKH")</f>
        <v>Phó phòng Triển khai và CSKH</v>
      </c>
      <c r="E247" s="728" t="str">
        <f>IFERROR(__xludf.DUMMYFUNCTION("""COMPUTED_VALUE"""),"ONBM&amp;CSMM")</f>
        <v>ONBM&amp;CSMM</v>
      </c>
      <c r="F247" s="728">
        <f>IFERROR(__xludf.DUMMYFUNCTION("""COMPUTED_VALUE"""),2.0)</f>
        <v>2</v>
      </c>
      <c r="G247" s="728" t="str">
        <f>IFERROR(__xludf.DUMMYFUNCTION("""COMPUTED_VALUE"""),"HCSN")</f>
        <v>HCSN</v>
      </c>
      <c r="H247" s="728" t="str">
        <f>IFERROR(__xludf.DUMMYFUNCTION("""COMPUTED_VALUE"""),"TPP/ Trưởng ban")</f>
        <v>TPP/ Trưởng ban</v>
      </c>
      <c r="I247" s="728" t="str">
        <f>IFERROR(__xludf.DUMMYFUNCTION("""COMPUTED_VALUE"""),"L2.01.00.00.00.00.22")</f>
        <v>L2.01.00.00.00.00.22</v>
      </c>
      <c r="J247" s="728" t="str">
        <f>IFERROR(__xludf.DUMMYFUNCTION("""COMPUTED_VALUE"""),"Khối KD Thị trường HCSN")</f>
        <v>Khối KD Thị trường HCSN</v>
      </c>
      <c r="K247" s="729"/>
      <c r="L247" s="728" t="str">
        <f>IFERROR(__xludf.DUMMYFUNCTION("""COMPUTED_VALUE"""),"Đang theo dõi")</f>
        <v>Đang theo dõi</v>
      </c>
      <c r="M247" s="729"/>
      <c r="N247" s="728" t="str">
        <f>IFERROR(__xludf.DUMMYFUNCTION("""COMPUTED_VALUE"""),"giữ nguyên")</f>
        <v>giữ nguyên</v>
      </c>
      <c r="O247" s="708"/>
      <c r="P247" s="708"/>
      <c r="Q247" s="708"/>
      <c r="R247" s="708"/>
      <c r="S247" s="708"/>
      <c r="T247" s="708"/>
      <c r="U247" s="708"/>
      <c r="V247" s="708"/>
      <c r="W247" s="708"/>
      <c r="X247" s="708"/>
      <c r="Y247" s="708"/>
      <c r="Z247" s="708"/>
      <c r="AA247" s="708"/>
      <c r="AB247" s="708"/>
      <c r="AC247" s="708"/>
      <c r="AD247" s="708"/>
      <c r="AE247" s="708"/>
    </row>
    <row r="248">
      <c r="A248" s="742">
        <f>IFERROR(__xludf.DUMMYFUNCTION("""COMPUTED_VALUE"""),234.0)</f>
        <v>234</v>
      </c>
      <c r="B248" s="731" t="str">
        <f>IFERROR(__xludf.DUMMYFUNCTION("""COMPUTED_VALUE"""),"GOVT_DONBM")</f>
        <v>GOVT_DONBM</v>
      </c>
      <c r="C248" s="731" t="str">
        <f>IFERROR(__xludf.DUMMYFUNCTION("""COMPUTED_VALUE"""),"GOVT_DONBM")</f>
        <v>GOVT_DONBM</v>
      </c>
      <c r="D248" s="731" t="str">
        <f>IFERROR(__xludf.DUMMYFUNCTION("""COMPUTED_VALUE"""),"Phó phòng Triển khai")</f>
        <v>Phó phòng Triển khai</v>
      </c>
      <c r="E248" s="731" t="str">
        <f>IFERROR(__xludf.DUMMYFUNCTION("""COMPUTED_VALUE"""),"ONBM")</f>
        <v>ONBM</v>
      </c>
      <c r="F248" s="731">
        <f>IFERROR(__xludf.DUMMYFUNCTION("""COMPUTED_VALUE"""),2.0)</f>
        <v>2</v>
      </c>
      <c r="G248" s="731" t="str">
        <f>IFERROR(__xludf.DUMMYFUNCTION("""COMPUTED_VALUE"""),"HCSN")</f>
        <v>HCSN</v>
      </c>
      <c r="H248" s="731" t="str">
        <f>IFERROR(__xludf.DUMMYFUNCTION("""COMPUTED_VALUE"""),"TPP/ Trưởng ban")</f>
        <v>TPP/ Trưởng ban</v>
      </c>
      <c r="I248" s="731" t="str">
        <f>IFERROR(__xludf.DUMMYFUNCTION("""COMPUTED_VALUE"""),"L2.01.00.00.00.00.23")</f>
        <v>L2.01.00.00.00.00.23</v>
      </c>
      <c r="J248" s="731" t="str">
        <f>IFERROR(__xludf.DUMMYFUNCTION("""COMPUTED_VALUE"""),"Khối KD Thị trường HCSN")</f>
        <v>Khối KD Thị trường HCSN</v>
      </c>
      <c r="K248" s="729"/>
      <c r="L248" s="731" t="str">
        <f>IFERROR(__xludf.DUMMYFUNCTION("""COMPUTED_VALUE"""),"ngừng")</f>
        <v>ngừng</v>
      </c>
      <c r="M248" s="729"/>
      <c r="N248" s="728" t="str">
        <f>IFERROR(__xludf.DUMMYFUNCTION("""COMPUTED_VALUE"""),"ngừng")</f>
        <v>ngừng</v>
      </c>
      <c r="O248" s="708"/>
      <c r="P248" s="708"/>
      <c r="Q248" s="708"/>
      <c r="R248" s="708"/>
      <c r="S248" s="708"/>
      <c r="T248" s="708"/>
      <c r="U248" s="708"/>
      <c r="V248" s="708"/>
      <c r="W248" s="708"/>
      <c r="X248" s="708"/>
      <c r="Y248" s="708"/>
      <c r="Z248" s="708"/>
      <c r="AA248" s="708"/>
      <c r="AB248" s="708"/>
      <c r="AC248" s="708"/>
      <c r="AD248" s="708"/>
      <c r="AE248" s="708"/>
    </row>
    <row r="249">
      <c r="A249" s="742">
        <f>IFERROR(__xludf.DUMMYFUNCTION("""COMPUTED_VALUE"""),235.0)</f>
        <v>235</v>
      </c>
      <c r="B249" s="731" t="str">
        <f>IFERROR(__xludf.DUMMYFUNCTION("""COMPUTED_VALUE"""),"GOVT_ONB")</f>
        <v>GOVT_ONB</v>
      </c>
      <c r="C249" s="731" t="str">
        <f>IFERROR(__xludf.DUMMYFUNCTION("""COMPUTED_VALUE"""),"GOVT_ONB")</f>
        <v>GOVT_ONB</v>
      </c>
      <c r="D249" s="731" t="str">
        <f>IFERROR(__xludf.DUMMYFUNCTION("""COMPUTED_VALUE"""),"NV triển khai")</f>
        <v>NV triển khai</v>
      </c>
      <c r="E249" s="731" t="str">
        <f>IFERROR(__xludf.DUMMYFUNCTION("""COMPUTED_VALUE"""),"ONB")</f>
        <v>ONB</v>
      </c>
      <c r="F249" s="729"/>
      <c r="G249" s="731" t="str">
        <f>IFERROR(__xludf.DUMMYFUNCTION("""COMPUTED_VALUE"""),"HCSN")</f>
        <v>HCSN</v>
      </c>
      <c r="H249" s="731" t="str">
        <f>IFERROR(__xludf.DUMMYFUNCTION("""COMPUTED_VALUE"""),"Nhân viên/ Chuyên viên/ Chuyên gia")</f>
        <v>Nhân viên/ Chuyên viên/ Chuyên gia</v>
      </c>
      <c r="I249" s="731" t="str">
        <f>IFERROR(__xludf.DUMMYFUNCTION("""COMPUTED_VALUE"""),"L2.01.00.00.00.00.24")</f>
        <v>L2.01.00.00.00.00.24</v>
      </c>
      <c r="J249" s="731" t="str">
        <f>IFERROR(__xludf.DUMMYFUNCTION("""COMPUTED_VALUE"""),"Khối KD Thị trường HCSN")</f>
        <v>Khối KD Thị trường HCSN</v>
      </c>
      <c r="K249" s="729"/>
      <c r="L249" s="731" t="str">
        <f>IFERROR(__xludf.DUMMYFUNCTION("""COMPUTED_VALUE"""),"ngừng")</f>
        <v>ngừng</v>
      </c>
      <c r="M249" s="729"/>
      <c r="N249" s="728" t="str">
        <f>IFERROR(__xludf.DUMMYFUNCTION("""COMPUTED_VALUE"""),"ngừng")</f>
        <v>ngừng</v>
      </c>
      <c r="O249" s="708"/>
      <c r="P249" s="708"/>
      <c r="Q249" s="708"/>
      <c r="R249" s="708"/>
      <c r="S249" s="708"/>
      <c r="T249" s="708"/>
      <c r="U249" s="708"/>
      <c r="V249" s="708"/>
      <c r="W249" s="708"/>
      <c r="X249" s="708"/>
      <c r="Y249" s="708"/>
      <c r="Z249" s="708"/>
      <c r="AA249" s="708"/>
      <c r="AB249" s="708"/>
      <c r="AC249" s="708"/>
      <c r="AD249" s="708"/>
      <c r="AE249" s="708"/>
    </row>
    <row r="250">
      <c r="A250" s="727">
        <f>IFERROR(__xludf.DUMMYFUNCTION("""COMPUTED_VALUE"""),236.0)</f>
        <v>236</v>
      </c>
      <c r="B250" s="728" t="str">
        <f>IFERROR(__xludf.DUMMYFUNCTION("""COMPUTED_VALUE"""),"GOVT_ONB&amp;CSM")</f>
        <v>GOVT_ONB&amp;CSM</v>
      </c>
      <c r="C250" s="728" t="str">
        <f>IFERROR(__xludf.DUMMYFUNCTION("""COMPUTED_VALUE"""),"GOVT_ONB&amp;CSM")</f>
        <v>GOVT_ONB&amp;CSM</v>
      </c>
      <c r="D250" s="728" t="str">
        <f>IFERROR(__xludf.DUMMYFUNCTION("""COMPUTED_VALUE"""),"NV triển khai và CSKH")</f>
        <v>NV triển khai và CSKH</v>
      </c>
      <c r="E250" s="728" t="str">
        <f>IFERROR(__xludf.DUMMYFUNCTION("""COMPUTED_VALUE"""),"ONB&amp;CSM")</f>
        <v>ONB&amp;CSM</v>
      </c>
      <c r="F250" s="729"/>
      <c r="G250" s="728" t="str">
        <f>IFERROR(__xludf.DUMMYFUNCTION("""COMPUTED_VALUE"""),"HCSN")</f>
        <v>HCSN</v>
      </c>
      <c r="H250" s="728" t="str">
        <f>IFERROR(__xludf.DUMMYFUNCTION("""COMPUTED_VALUE"""),"Nhân viên/ Chuyên viên/ Chuyên gia")</f>
        <v>Nhân viên/ Chuyên viên/ Chuyên gia</v>
      </c>
      <c r="I250" s="728" t="str">
        <f>IFERROR(__xludf.DUMMYFUNCTION("""COMPUTED_VALUE"""),"L2.01.00.00.00.00.25")</f>
        <v>L2.01.00.00.00.00.25</v>
      </c>
      <c r="J250" s="728" t="str">
        <f>IFERROR(__xludf.DUMMYFUNCTION("""COMPUTED_VALUE"""),"Khối KD Thị trường HCSN")</f>
        <v>Khối KD Thị trường HCSN</v>
      </c>
      <c r="K250" s="729"/>
      <c r="L250" s="728" t="str">
        <f>IFERROR(__xludf.DUMMYFUNCTION("""COMPUTED_VALUE"""),"Đang theo dõi")</f>
        <v>Đang theo dõi</v>
      </c>
      <c r="M250" s="729"/>
      <c r="N250" s="728" t="str">
        <f>IFERROR(__xludf.DUMMYFUNCTION("""COMPUTED_VALUE"""),"giữ nguyên")</f>
        <v>giữ nguyên</v>
      </c>
      <c r="O250" s="708"/>
      <c r="P250" s="708"/>
      <c r="Q250" s="708"/>
      <c r="R250" s="708"/>
      <c r="S250" s="708"/>
      <c r="T250" s="708"/>
      <c r="U250" s="708"/>
      <c r="V250" s="708"/>
      <c r="W250" s="708"/>
      <c r="X250" s="708"/>
      <c r="Y250" s="708"/>
      <c r="Z250" s="708"/>
      <c r="AA250" s="708"/>
      <c r="AB250" s="708"/>
      <c r="AC250" s="708"/>
      <c r="AD250" s="708"/>
      <c r="AE250" s="708"/>
    </row>
    <row r="251">
      <c r="A251" s="727">
        <f>IFERROR(__xludf.DUMMYFUNCTION("""COMPUTED_VALUE"""),237.0)</f>
        <v>237</v>
      </c>
      <c r="B251" s="728" t="str">
        <f>IFERROR(__xludf.DUMMYFUNCTION("""COMPUTED_VALUE"""),"GOVT_ONB&amp;CSML")</f>
        <v>GOVT_ONB&amp;CSML</v>
      </c>
      <c r="C251" s="728" t="str">
        <f>IFERROR(__xludf.DUMMYFUNCTION("""COMPUTED_VALUE"""),"GOVT_ONB&amp;CSML")</f>
        <v>GOVT_ONB&amp;CSML</v>
      </c>
      <c r="D251" s="728" t="str">
        <f>IFERROR(__xludf.DUMMYFUNCTION("""COMPUTED_VALUE"""),"Trưởng nhóm Triển khai và CSKH")</f>
        <v>Trưởng nhóm Triển khai và CSKH</v>
      </c>
      <c r="E251" s="728" t="str">
        <f>IFERROR(__xludf.DUMMYFUNCTION("""COMPUTED_VALUE"""),"ONBL&amp;CSML")</f>
        <v>ONBL&amp;CSML</v>
      </c>
      <c r="F251" s="728">
        <f>IFERROR(__xludf.DUMMYFUNCTION("""COMPUTED_VALUE"""),1.0)</f>
        <v>1</v>
      </c>
      <c r="G251" s="728" t="str">
        <f>IFERROR(__xludf.DUMMYFUNCTION("""COMPUTED_VALUE"""),"HCSN")</f>
        <v>HCSN</v>
      </c>
      <c r="H251" s="728" t="str">
        <f>IFERROR(__xludf.DUMMYFUNCTION("""COMPUTED_VALUE"""),"Trưởng nhóm")</f>
        <v>Trưởng nhóm</v>
      </c>
      <c r="I251" s="728" t="str">
        <f>IFERROR(__xludf.DUMMYFUNCTION("""COMPUTED_VALUE"""),"L2.01.00.00.00.00.26")</f>
        <v>L2.01.00.00.00.00.26</v>
      </c>
      <c r="J251" s="728" t="str">
        <f>IFERROR(__xludf.DUMMYFUNCTION("""COMPUTED_VALUE"""),"Khối KD Thị trường HCSN")</f>
        <v>Khối KD Thị trường HCSN</v>
      </c>
      <c r="K251" s="729"/>
      <c r="L251" s="728" t="str">
        <f>IFERROR(__xludf.DUMMYFUNCTION("""COMPUTED_VALUE"""),"Đang theo dõi")</f>
        <v>Đang theo dõi</v>
      </c>
      <c r="M251" s="729"/>
      <c r="N251" s="728" t="str">
        <f>IFERROR(__xludf.DUMMYFUNCTION("""COMPUTED_VALUE"""),"giữ nguyên")</f>
        <v>giữ nguyên</v>
      </c>
      <c r="O251" s="708"/>
      <c r="P251" s="708"/>
      <c r="Q251" s="708"/>
      <c r="R251" s="708"/>
      <c r="S251" s="708"/>
      <c r="T251" s="708"/>
      <c r="U251" s="708"/>
      <c r="V251" s="708"/>
      <c r="W251" s="708"/>
      <c r="X251" s="708"/>
      <c r="Y251" s="708"/>
      <c r="Z251" s="708"/>
      <c r="AA251" s="708"/>
      <c r="AB251" s="708"/>
      <c r="AC251" s="708"/>
      <c r="AD251" s="708"/>
      <c r="AE251" s="708"/>
    </row>
    <row r="252">
      <c r="A252" s="727">
        <f>IFERROR(__xludf.DUMMYFUNCTION("""COMPUTED_VALUE"""),238.0)</f>
        <v>238</v>
      </c>
      <c r="B252" s="728" t="str">
        <f>IFERROR(__xludf.DUMMYFUNCTION("""COMPUTED_VALUE"""),"GOVT_ONB&amp;CSMM")</f>
        <v>GOVT_ONB&amp;CSMM</v>
      </c>
      <c r="C252" s="728" t="str">
        <f>IFERROR(__xludf.DUMMYFUNCTION("""COMPUTED_VALUE"""),"GOVT_ONB&amp;CSMM")</f>
        <v>GOVT_ONB&amp;CSMM</v>
      </c>
      <c r="D252" s="728" t="str">
        <f>IFERROR(__xludf.DUMMYFUNCTION("""COMPUTED_VALUE"""),"Trưởng phòng Triển khai và CSKH")</f>
        <v>Trưởng phòng Triển khai và CSKH</v>
      </c>
      <c r="E252" s="728" t="str">
        <f>IFERROR(__xludf.DUMMYFUNCTION("""COMPUTED_VALUE"""),"ONBM&amp;CSMM")</f>
        <v>ONBM&amp;CSMM</v>
      </c>
      <c r="F252" s="728">
        <f>IFERROR(__xludf.DUMMYFUNCTION("""COMPUTED_VALUE"""),2.0)</f>
        <v>2</v>
      </c>
      <c r="G252" s="728" t="str">
        <f>IFERROR(__xludf.DUMMYFUNCTION("""COMPUTED_VALUE"""),"HCSN")</f>
        <v>HCSN</v>
      </c>
      <c r="H252" s="728" t="str">
        <f>IFERROR(__xludf.DUMMYFUNCTION("""COMPUTED_VALUE"""),"TPP/ Trưởng ban")</f>
        <v>TPP/ Trưởng ban</v>
      </c>
      <c r="I252" s="728" t="str">
        <f>IFERROR(__xludf.DUMMYFUNCTION("""COMPUTED_VALUE"""),"L2.01.00.00.00.00.27")</f>
        <v>L2.01.00.00.00.00.27</v>
      </c>
      <c r="J252" s="728" t="str">
        <f>IFERROR(__xludf.DUMMYFUNCTION("""COMPUTED_VALUE"""),"Khối KD Thị trường HCSN")</f>
        <v>Khối KD Thị trường HCSN</v>
      </c>
      <c r="K252" s="729"/>
      <c r="L252" s="728" t="str">
        <f>IFERROR(__xludf.DUMMYFUNCTION("""COMPUTED_VALUE"""),"Đang theo dõi")</f>
        <v>Đang theo dõi</v>
      </c>
      <c r="M252" s="729"/>
      <c r="N252" s="728" t="str">
        <f>IFERROR(__xludf.DUMMYFUNCTION("""COMPUTED_VALUE"""),"giữ nguyên")</f>
        <v>giữ nguyên</v>
      </c>
      <c r="O252" s="708"/>
      <c r="P252" s="708"/>
      <c r="Q252" s="708"/>
      <c r="R252" s="708"/>
      <c r="S252" s="708"/>
      <c r="T252" s="708"/>
      <c r="U252" s="708"/>
      <c r="V252" s="708"/>
      <c r="W252" s="708"/>
      <c r="X252" s="708"/>
      <c r="Y252" s="708"/>
      <c r="Z252" s="708"/>
      <c r="AA252" s="708"/>
      <c r="AB252" s="708"/>
      <c r="AC252" s="708"/>
      <c r="AD252" s="708"/>
      <c r="AE252" s="708"/>
    </row>
    <row r="253">
      <c r="A253" s="742">
        <f>IFERROR(__xludf.DUMMYFUNCTION("""COMPUTED_VALUE"""),239.0)</f>
        <v>239</v>
      </c>
      <c r="B253" s="731" t="str">
        <f>IFERROR(__xludf.DUMMYFUNCTION("""COMPUTED_VALUE"""),"GOVT_ONB_CEN")</f>
        <v>GOVT_ONB_CEN</v>
      </c>
      <c r="C253" s="731" t="str">
        <f>IFERROR(__xludf.DUMMYFUNCTION("""COMPUTED_VALUE"""),"GOVT_ONB_CEN")</f>
        <v>GOVT_ONB_CEN</v>
      </c>
      <c r="D253" s="731" t="str">
        <f>IFERROR(__xludf.DUMMYFUNCTION("""COMPUTED_VALUE"""),"NV Triển khai")</f>
        <v>NV Triển khai</v>
      </c>
      <c r="E253" s="731" t="str">
        <f>IFERROR(__xludf.DUMMYFUNCTION("""COMPUTED_VALUE"""),"ONB")</f>
        <v>ONB</v>
      </c>
      <c r="F253" s="729"/>
      <c r="G253" s="731" t="str">
        <f>IFERROR(__xludf.DUMMYFUNCTION("""COMPUTED_VALUE"""),"HCSN")</f>
        <v>HCSN</v>
      </c>
      <c r="H253" s="731" t="str">
        <f>IFERROR(__xludf.DUMMYFUNCTION("""COMPUTED_VALUE"""),"Nhân viên/ Chuyên viên/ Chuyên gia")</f>
        <v>Nhân viên/ Chuyên viên/ Chuyên gia</v>
      </c>
      <c r="I253" s="731" t="str">
        <f>IFERROR(__xludf.DUMMYFUNCTION("""COMPUTED_VALUE"""),"L2.01.00.00.00.00.28")</f>
        <v>L2.01.00.00.00.00.28</v>
      </c>
      <c r="J253" s="731" t="str">
        <f>IFERROR(__xludf.DUMMYFUNCTION("""COMPUTED_VALUE"""),"Khối KD Thị trường HCSN")</f>
        <v>Khối KD Thị trường HCSN</v>
      </c>
      <c r="K253" s="729"/>
      <c r="L253" s="731" t="str">
        <f>IFERROR(__xludf.DUMMYFUNCTION("""COMPUTED_VALUE"""),"ngừng")</f>
        <v>ngừng</v>
      </c>
      <c r="M253" s="729"/>
      <c r="N253" s="728" t="str">
        <f>IFERROR(__xludf.DUMMYFUNCTION("""COMPUTED_VALUE"""),"ngừng")</f>
        <v>ngừng</v>
      </c>
      <c r="O253" s="708"/>
      <c r="P253" s="708"/>
      <c r="Q253" s="708"/>
      <c r="R253" s="708"/>
      <c r="S253" s="708"/>
      <c r="T253" s="708"/>
      <c r="U253" s="708"/>
      <c r="V253" s="708"/>
      <c r="W253" s="708"/>
      <c r="X253" s="708"/>
      <c r="Y253" s="708"/>
      <c r="Z253" s="708"/>
      <c r="AA253" s="708"/>
      <c r="AB253" s="708"/>
      <c r="AC253" s="708"/>
      <c r="AD253" s="708"/>
      <c r="AE253" s="708"/>
    </row>
    <row r="254">
      <c r="A254" s="742">
        <f>IFERROR(__xludf.DUMMYFUNCTION("""COMPUTED_VALUE"""),240.0)</f>
        <v>240</v>
      </c>
      <c r="B254" s="731" t="str">
        <f>IFERROR(__xludf.DUMMYFUNCTION("""COMPUTED_VALUE"""),"GOVT_ONBL_CEN")</f>
        <v>GOVT_ONBL_CEN</v>
      </c>
      <c r="C254" s="731" t="str">
        <f>IFERROR(__xludf.DUMMYFUNCTION("""COMPUTED_VALUE"""),"GOVT_ONBL_CEN")</f>
        <v>GOVT_ONBL_CEN</v>
      </c>
      <c r="D254" s="731" t="str">
        <f>IFERROR(__xludf.DUMMYFUNCTION("""COMPUTED_VALUE"""),"Trưởng nhóm triển khai")</f>
        <v>Trưởng nhóm triển khai</v>
      </c>
      <c r="E254" s="731" t="str">
        <f>IFERROR(__xludf.DUMMYFUNCTION("""COMPUTED_VALUE"""),"ONBL")</f>
        <v>ONBL</v>
      </c>
      <c r="F254" s="731">
        <f>IFERROR(__xludf.DUMMYFUNCTION("""COMPUTED_VALUE"""),1.0)</f>
        <v>1</v>
      </c>
      <c r="G254" s="731" t="str">
        <f>IFERROR(__xludf.DUMMYFUNCTION("""COMPUTED_VALUE"""),"HCSN")</f>
        <v>HCSN</v>
      </c>
      <c r="H254" s="731" t="str">
        <f>IFERROR(__xludf.DUMMYFUNCTION("""COMPUTED_VALUE"""),"Trưởng nhóm")</f>
        <v>Trưởng nhóm</v>
      </c>
      <c r="I254" s="731" t="str">
        <f>IFERROR(__xludf.DUMMYFUNCTION("""COMPUTED_VALUE"""),"L2.01.00.00.00.00.29")</f>
        <v>L2.01.00.00.00.00.29</v>
      </c>
      <c r="J254" s="731" t="str">
        <f>IFERROR(__xludf.DUMMYFUNCTION("""COMPUTED_VALUE"""),"Khối KD Thị trường HCSN")</f>
        <v>Khối KD Thị trường HCSN</v>
      </c>
      <c r="K254" s="729"/>
      <c r="L254" s="731" t="str">
        <f>IFERROR(__xludf.DUMMYFUNCTION("""COMPUTED_VALUE"""),"ngừng")</f>
        <v>ngừng</v>
      </c>
      <c r="M254" s="729"/>
      <c r="N254" s="728" t="str">
        <f>IFERROR(__xludf.DUMMYFUNCTION("""COMPUTED_VALUE"""),"ngừng")</f>
        <v>ngừng</v>
      </c>
      <c r="O254" s="708"/>
      <c r="P254" s="708"/>
      <c r="Q254" s="708"/>
      <c r="R254" s="708"/>
      <c r="S254" s="708"/>
      <c r="T254" s="708"/>
      <c r="U254" s="708"/>
      <c r="V254" s="708"/>
      <c r="W254" s="708"/>
      <c r="X254" s="708"/>
      <c r="Y254" s="708"/>
      <c r="Z254" s="708"/>
      <c r="AA254" s="708"/>
      <c r="AB254" s="708"/>
      <c r="AC254" s="708"/>
      <c r="AD254" s="708"/>
      <c r="AE254" s="708"/>
    </row>
    <row r="255">
      <c r="A255" s="742">
        <f>IFERROR(__xludf.DUMMYFUNCTION("""COMPUTED_VALUE"""),241.0)</f>
        <v>241</v>
      </c>
      <c r="B255" s="731" t="str">
        <f>IFERROR(__xludf.DUMMYFUNCTION("""COMPUTED_VALUE"""),"GOVT_ONBM")</f>
        <v>GOVT_ONBM</v>
      </c>
      <c r="C255" s="731" t="str">
        <f>IFERROR(__xludf.DUMMYFUNCTION("""COMPUTED_VALUE"""),"GOVT_ONBM")</f>
        <v>GOVT_ONBM</v>
      </c>
      <c r="D255" s="731" t="str">
        <f>IFERROR(__xludf.DUMMYFUNCTION("""COMPUTED_VALUE"""),"Trưởng phòng Triển khai")</f>
        <v>Trưởng phòng Triển khai</v>
      </c>
      <c r="E255" s="731" t="str">
        <f>IFERROR(__xludf.DUMMYFUNCTION("""COMPUTED_VALUE"""),"ONBM")</f>
        <v>ONBM</v>
      </c>
      <c r="F255" s="731">
        <f>IFERROR(__xludf.DUMMYFUNCTION("""COMPUTED_VALUE"""),2.0)</f>
        <v>2</v>
      </c>
      <c r="G255" s="731" t="str">
        <f>IFERROR(__xludf.DUMMYFUNCTION("""COMPUTED_VALUE"""),"HCSN")</f>
        <v>HCSN</v>
      </c>
      <c r="H255" s="731" t="str">
        <f>IFERROR(__xludf.DUMMYFUNCTION("""COMPUTED_VALUE"""),"TPP/ Trưởng ban")</f>
        <v>TPP/ Trưởng ban</v>
      </c>
      <c r="I255" s="731" t="str">
        <f>IFERROR(__xludf.DUMMYFUNCTION("""COMPUTED_VALUE"""),"L2.01.00.00.00.00.30")</f>
        <v>L2.01.00.00.00.00.30</v>
      </c>
      <c r="J255" s="731" t="str">
        <f>IFERROR(__xludf.DUMMYFUNCTION("""COMPUTED_VALUE"""),"Khối KD Thị trường HCSN")</f>
        <v>Khối KD Thị trường HCSN</v>
      </c>
      <c r="K255" s="729"/>
      <c r="L255" s="731" t="str">
        <f>IFERROR(__xludf.DUMMYFUNCTION("""COMPUTED_VALUE"""),"ngừng")</f>
        <v>ngừng</v>
      </c>
      <c r="M255" s="729"/>
      <c r="N255" s="728" t="str">
        <f>IFERROR(__xludf.DUMMYFUNCTION("""COMPUTED_VALUE"""),"ngừng")</f>
        <v>ngừng</v>
      </c>
      <c r="O255" s="708"/>
      <c r="P255" s="708"/>
      <c r="Q255" s="708"/>
      <c r="R255" s="708"/>
      <c r="S255" s="708"/>
      <c r="T255" s="708"/>
      <c r="U255" s="708"/>
      <c r="V255" s="708"/>
      <c r="W255" s="708"/>
      <c r="X255" s="708"/>
      <c r="Y255" s="708"/>
      <c r="Z255" s="708"/>
      <c r="AA255" s="708"/>
      <c r="AB255" s="708"/>
      <c r="AC255" s="708"/>
      <c r="AD255" s="708"/>
      <c r="AE255" s="708"/>
    </row>
    <row r="256">
      <c r="A256" s="727">
        <f>IFERROR(__xludf.DUMMYFUNCTION("""COMPUTED_VALUE"""),242.0)</f>
        <v>242</v>
      </c>
      <c r="B256" s="728" t="str">
        <f>IFERROR(__xludf.DUMMYFUNCTION("""COMPUTED_VALUE"""),"GOVT_PRD")</f>
        <v>GOVT_PRD</v>
      </c>
      <c r="C256" s="728" t="str">
        <f>IFERROR(__xludf.DUMMYFUNCTION("""COMPUTED_VALUE"""),"GOVT_PRD")</f>
        <v>GOVT_PRD</v>
      </c>
      <c r="D256" s="728" t="str">
        <f>IFERROR(__xludf.DUMMYFUNCTION("""COMPUTED_VALUE"""),"Giám đốc Dự án")</f>
        <v>Giám đốc Dự án</v>
      </c>
      <c r="E256" s="728" t="str">
        <f>IFERROR(__xludf.DUMMYFUNCTION("""COMPUTED_VALUE"""),"BOM")</f>
        <v>BOM</v>
      </c>
      <c r="F256" s="728">
        <f>IFERROR(__xludf.DUMMYFUNCTION("""COMPUTED_VALUE"""),3.0)</f>
        <v>3</v>
      </c>
      <c r="G256" s="728" t="str">
        <f>IFERROR(__xludf.DUMMYFUNCTION("""COMPUTED_VALUE"""),"HCSN")</f>
        <v>HCSN</v>
      </c>
      <c r="H256" s="728" t="str">
        <f>IFERROR(__xludf.DUMMYFUNCTION("""COMPUTED_VALUE"""),"Ban GĐTTKD/ BGĐ khối DA")</f>
        <v>Ban GĐTTKD/ BGĐ khối DA</v>
      </c>
      <c r="I256" s="728" t="str">
        <f>IFERROR(__xludf.DUMMYFUNCTION("""COMPUTED_VALUE"""),"L2.01.00.00.00.00.31")</f>
        <v>L2.01.00.00.00.00.31</v>
      </c>
      <c r="J256" s="728" t="str">
        <f>IFERROR(__xludf.DUMMYFUNCTION("""COMPUTED_VALUE"""),"Khối KD Thị trường HCSN")</f>
        <v>Khối KD Thị trường HCSN</v>
      </c>
      <c r="K256" s="729"/>
      <c r="L256" s="728" t="str">
        <f>IFERROR(__xludf.DUMMYFUNCTION("""COMPUTED_VALUE"""),"Đang theo dõi")</f>
        <v>Đang theo dõi</v>
      </c>
      <c r="M256" s="729"/>
      <c r="N256" s="728" t="str">
        <f>IFERROR(__xludf.DUMMYFUNCTION("""COMPUTED_VALUE"""),"giữ nguyên")</f>
        <v>giữ nguyên</v>
      </c>
      <c r="O256" s="708"/>
      <c r="P256" s="708"/>
      <c r="Q256" s="708"/>
      <c r="R256" s="708"/>
      <c r="S256" s="708"/>
      <c r="T256" s="708"/>
      <c r="U256" s="708"/>
      <c r="V256" s="708"/>
      <c r="W256" s="708"/>
      <c r="X256" s="708"/>
      <c r="Y256" s="708"/>
      <c r="Z256" s="708"/>
      <c r="AA256" s="708"/>
      <c r="AB256" s="708"/>
      <c r="AC256" s="708"/>
      <c r="AD256" s="708"/>
      <c r="AE256" s="708"/>
    </row>
    <row r="257">
      <c r="A257" s="727">
        <f>IFERROR(__xludf.DUMMYFUNCTION("""COMPUTED_VALUE"""),243.0)</f>
        <v>243</v>
      </c>
      <c r="B257" s="728" t="str">
        <f>IFERROR(__xludf.DUMMYFUNCTION("""COMPUTED_VALUE"""),"GOVT_SD")</f>
        <v>GOVT_SD</v>
      </c>
      <c r="C257" s="728" t="str">
        <f>IFERROR(__xludf.DUMMYFUNCTION("""COMPUTED_VALUE"""),"GOVT_SD")</f>
        <v>GOVT_SD</v>
      </c>
      <c r="D257" s="728" t="str">
        <f>IFERROR(__xludf.DUMMYFUNCTION("""COMPUTED_VALUE"""),"Giám đốc TTKD")</f>
        <v>Giám đốc TTKD</v>
      </c>
      <c r="E257" s="728" t="str">
        <f>IFERROR(__xludf.DUMMYFUNCTION("""COMPUTED_VALUE"""),"BOM")</f>
        <v>BOM</v>
      </c>
      <c r="F257" s="728">
        <f>IFERROR(__xludf.DUMMYFUNCTION("""COMPUTED_VALUE"""),3.0)</f>
        <v>3</v>
      </c>
      <c r="G257" s="728" t="str">
        <f>IFERROR(__xludf.DUMMYFUNCTION("""COMPUTED_VALUE"""),"HCSN")</f>
        <v>HCSN</v>
      </c>
      <c r="H257" s="728" t="str">
        <f>IFERROR(__xludf.DUMMYFUNCTION("""COMPUTED_VALUE"""),"Ban GĐTTKD/ BGĐ khối DA")</f>
        <v>Ban GĐTTKD/ BGĐ khối DA</v>
      </c>
      <c r="I257" s="728" t="str">
        <f>IFERROR(__xludf.DUMMYFUNCTION("""COMPUTED_VALUE"""),"L2.01.00.00.00.00.32")</f>
        <v>L2.01.00.00.00.00.32</v>
      </c>
      <c r="J257" s="728" t="str">
        <f>IFERROR(__xludf.DUMMYFUNCTION("""COMPUTED_VALUE"""),"Khối KD Thị trường HCSN")</f>
        <v>Khối KD Thị trường HCSN</v>
      </c>
      <c r="K257" s="728" t="str">
        <f>IFERROR(__xludf.DUMMYFUNCTION("""COMPUTED_VALUE"""),"03 - BGĐ_KD")</f>
        <v>03 - BGĐ_KD</v>
      </c>
      <c r="L257" s="728" t="str">
        <f>IFERROR(__xludf.DUMMYFUNCTION("""COMPUTED_VALUE"""),"Đang theo dõi")</f>
        <v>Đang theo dõi</v>
      </c>
      <c r="M257" s="729"/>
      <c r="N257" s="728" t="str">
        <f>IFERROR(__xludf.DUMMYFUNCTION("""COMPUTED_VALUE"""),"giữ nguyên")</f>
        <v>giữ nguyên</v>
      </c>
      <c r="O257" s="708"/>
      <c r="P257" s="708"/>
      <c r="Q257" s="708"/>
      <c r="R257" s="708"/>
      <c r="S257" s="708"/>
      <c r="T257" s="708"/>
      <c r="U257" s="708"/>
      <c r="V257" s="708"/>
      <c r="W257" s="708"/>
      <c r="X257" s="708"/>
      <c r="Y257" s="708"/>
      <c r="Z257" s="708"/>
      <c r="AA257" s="708"/>
      <c r="AB257" s="708"/>
      <c r="AC257" s="708"/>
      <c r="AD257" s="708"/>
      <c r="AE257" s="708"/>
    </row>
    <row r="258">
      <c r="A258" s="727">
        <f>IFERROR(__xludf.DUMMYFUNCTION("""COMPUTED_VALUE"""),244.0)</f>
        <v>244</v>
      </c>
      <c r="B258" s="728" t="str">
        <f>IFERROR(__xludf.DUMMYFUNCTION("""COMPUTED_VALUE"""),"GOVT_VSD")</f>
        <v>GOVT_VSD</v>
      </c>
      <c r="C258" s="728" t="str">
        <f>IFERROR(__xludf.DUMMYFUNCTION("""COMPUTED_VALUE"""),"GOVT_VSD")</f>
        <v>GOVT_VSD</v>
      </c>
      <c r="D258" s="728" t="str">
        <f>IFERROR(__xludf.DUMMYFUNCTION("""COMPUTED_VALUE"""),"Phó giám đốc TTKD")</f>
        <v>Phó giám đốc TTKD</v>
      </c>
      <c r="E258" s="728" t="str">
        <f>IFERROR(__xludf.DUMMYFUNCTION("""COMPUTED_VALUE"""),"BOM")</f>
        <v>BOM</v>
      </c>
      <c r="F258" s="728">
        <f>IFERROR(__xludf.DUMMYFUNCTION("""COMPUTED_VALUE"""),3.0)</f>
        <v>3</v>
      </c>
      <c r="G258" s="728" t="str">
        <f>IFERROR(__xludf.DUMMYFUNCTION("""COMPUTED_VALUE"""),"HCSN")</f>
        <v>HCSN</v>
      </c>
      <c r="H258" s="728" t="str">
        <f>IFERROR(__xludf.DUMMYFUNCTION("""COMPUTED_VALUE"""),"Ban GĐTTKD/ BGĐ khối DA")</f>
        <v>Ban GĐTTKD/ BGĐ khối DA</v>
      </c>
      <c r="I258" s="728" t="str">
        <f>IFERROR(__xludf.DUMMYFUNCTION("""COMPUTED_VALUE"""),"L2.01.00.00.00.00.33")</f>
        <v>L2.01.00.00.00.00.33</v>
      </c>
      <c r="J258" s="728" t="str">
        <f>IFERROR(__xludf.DUMMYFUNCTION("""COMPUTED_VALUE"""),"Khối KD Thị trường HCSN")</f>
        <v>Khối KD Thị trường HCSN</v>
      </c>
      <c r="K258" s="728" t="str">
        <f>IFERROR(__xludf.DUMMYFUNCTION("""COMPUTED_VALUE"""),"03 - BGĐ_KD")</f>
        <v>03 - BGĐ_KD</v>
      </c>
      <c r="L258" s="728" t="str">
        <f>IFERROR(__xludf.DUMMYFUNCTION("""COMPUTED_VALUE"""),"Đang theo dõi")</f>
        <v>Đang theo dõi</v>
      </c>
      <c r="M258" s="729"/>
      <c r="N258" s="728" t="str">
        <f>IFERROR(__xludf.DUMMYFUNCTION("""COMPUTED_VALUE"""),"giữ nguyên")</f>
        <v>giữ nguyên</v>
      </c>
      <c r="O258" s="708"/>
      <c r="P258" s="708"/>
      <c r="Q258" s="708"/>
      <c r="R258" s="708"/>
      <c r="S258" s="708"/>
      <c r="T258" s="708"/>
      <c r="U258" s="708"/>
      <c r="V258" s="708"/>
      <c r="W258" s="708"/>
      <c r="X258" s="708"/>
      <c r="Y258" s="708"/>
      <c r="Z258" s="708"/>
      <c r="AA258" s="708"/>
      <c r="AB258" s="708"/>
      <c r="AC258" s="708"/>
      <c r="AD258" s="708"/>
      <c r="AE258" s="708"/>
    </row>
    <row r="259">
      <c r="A259" s="724" t="str">
        <f>IFERROR(__xludf.DUMMYFUNCTION("""COMPUTED_VALUE"""),"Khối KD GPBL")</f>
        <v>Khối KD GPBL</v>
      </c>
      <c r="B259" s="725"/>
      <c r="C259" s="725"/>
      <c r="D259" s="725"/>
      <c r="E259" s="725"/>
      <c r="F259" s="725"/>
      <c r="G259" s="725"/>
      <c r="H259" s="725"/>
      <c r="I259" s="725"/>
      <c r="J259" s="725"/>
      <c r="K259" s="725"/>
      <c r="L259" s="725"/>
      <c r="M259" s="725"/>
      <c r="N259" s="729"/>
      <c r="O259" s="726"/>
      <c r="P259" s="726"/>
      <c r="Q259" s="726"/>
      <c r="R259" s="726"/>
      <c r="S259" s="726"/>
      <c r="T259" s="726"/>
      <c r="U259" s="726"/>
      <c r="V259" s="726"/>
      <c r="W259" s="726"/>
      <c r="X259" s="726"/>
      <c r="Y259" s="726"/>
      <c r="Z259" s="726"/>
      <c r="AA259" s="726"/>
      <c r="AB259" s="708"/>
      <c r="AC259" s="708"/>
      <c r="AD259" s="708"/>
      <c r="AE259" s="708"/>
    </row>
    <row r="260">
      <c r="A260" s="742">
        <f>IFERROR(__xludf.DUMMYFUNCTION("""COMPUTED_VALUE"""),245.0)</f>
        <v>245</v>
      </c>
      <c r="B260" s="731" t="str">
        <f>IFERROR(__xludf.DUMMYFUNCTION("""COMPUTED_VALUE"""),"SB_NS_A.SD_POS")</f>
        <v>SB_NS_A.SD_POS</v>
      </c>
      <c r="C260" s="729"/>
      <c r="D260" s="731" t="str">
        <f>IFERROR(__xludf.DUMMYFUNCTION("""COMPUTED_VALUE"""),"Q. Giám đốc TTKD")</f>
        <v>Q. Giám đốc TTKD</v>
      </c>
      <c r="E260" s="731" t="str">
        <f>IFERROR(__xludf.DUMMYFUNCTION("""COMPUTED_VALUE"""),"BOM")</f>
        <v>BOM</v>
      </c>
      <c r="F260" s="731">
        <f>IFERROR(__xludf.DUMMYFUNCTION("""COMPUTED_VALUE"""),3.0)</f>
        <v>3</v>
      </c>
      <c r="G260" s="731" t="str">
        <f>IFERROR(__xludf.DUMMYFUNCTION("""COMPUTED_VALUE"""),"GPBL")</f>
        <v>GPBL</v>
      </c>
      <c r="H260" s="731" t="str">
        <f>IFERROR(__xludf.DUMMYFUNCTION("""COMPUTED_VALUE"""),"Ban GĐTTKD/ BGĐ khối DA")</f>
        <v>Ban GĐTTKD/ BGĐ khối DA</v>
      </c>
      <c r="I260" s="731" t="str">
        <f>IFERROR(__xludf.DUMMYFUNCTION("""COMPUTED_VALUE"""),"L2.02.01.00.00.00.00")</f>
        <v>L2.02.01.00.00.00.00</v>
      </c>
      <c r="J260" s="731" t="str">
        <f>IFERROR(__xludf.DUMMYFUNCTION("""COMPUTED_VALUE"""),"Khối Giải pháp bán lẻ")</f>
        <v>Khối Giải pháp bán lẻ</v>
      </c>
      <c r="K260" s="731" t="str">
        <f>IFERROR(__xludf.DUMMYFUNCTION("""COMPUTED_VALUE"""),"03 - BGĐ_KD")</f>
        <v>03 - BGĐ_KD</v>
      </c>
      <c r="L260" s="731" t="str">
        <f>IFERROR(__xludf.DUMMYFUNCTION("""COMPUTED_VALUE"""),"Ngừng")</f>
        <v>Ngừng</v>
      </c>
      <c r="M260" s="729"/>
      <c r="N260" s="731" t="str">
        <f>IFERROR(__xludf.DUMMYFUNCTION("""COMPUTED_VALUE"""),"ngừng")</f>
        <v>ngừng</v>
      </c>
      <c r="O260" s="708"/>
      <c r="P260" s="708"/>
      <c r="Q260" s="708"/>
      <c r="R260" s="708"/>
      <c r="S260" s="708"/>
      <c r="T260" s="708"/>
      <c r="U260" s="708"/>
      <c r="V260" s="708"/>
      <c r="W260" s="708"/>
      <c r="X260" s="708"/>
      <c r="Y260" s="708"/>
      <c r="Z260" s="708"/>
      <c r="AA260" s="708"/>
      <c r="AB260" s="708"/>
      <c r="AC260" s="708"/>
      <c r="AD260" s="708"/>
      <c r="AE260" s="708"/>
    </row>
    <row r="261">
      <c r="A261" s="742">
        <f>IFERROR(__xludf.DUMMYFUNCTION("""COMPUTED_VALUE"""),246.0)</f>
        <v>246</v>
      </c>
      <c r="B261" s="731" t="str">
        <f>IFERROR(__xludf.DUMMYFUNCTION("""COMPUTED_VALUE"""),"SB_NS_A.SM_POS")</f>
        <v>SB_NS_A.SM_POS</v>
      </c>
      <c r="C261" s="729"/>
      <c r="D261" s="731" t="str">
        <f>IFERROR(__xludf.DUMMYFUNCTION("""COMPUTED_VALUE"""),"Q. Quản lý kinh doanh")</f>
        <v>Q. Quản lý kinh doanh</v>
      </c>
      <c r="E261" s="731" t="str">
        <f>IFERROR(__xludf.DUMMYFUNCTION("""COMPUTED_VALUE"""),"SM")</f>
        <v>SM</v>
      </c>
      <c r="F261" s="731">
        <f>IFERROR(__xludf.DUMMYFUNCTION("""COMPUTED_VALUE"""),2.0)</f>
        <v>2</v>
      </c>
      <c r="G261" s="731" t="str">
        <f>IFERROR(__xludf.DUMMYFUNCTION("""COMPUTED_VALUE"""),"GPBL")</f>
        <v>GPBL</v>
      </c>
      <c r="H261" s="731" t="str">
        <f>IFERROR(__xludf.DUMMYFUNCTION("""COMPUTED_VALUE"""),"TPP/ Trưởng ban")</f>
        <v>TPP/ Trưởng ban</v>
      </c>
      <c r="I261" s="731" t="str">
        <f>IFERROR(__xludf.DUMMYFUNCTION("""COMPUTED_VALUE"""),"L2.02.01.00.00.00.00")</f>
        <v>L2.02.01.00.00.00.00</v>
      </c>
      <c r="J261" s="731" t="str">
        <f>IFERROR(__xludf.DUMMYFUNCTION("""COMPUTED_VALUE"""),"Khối Giải pháp bán lẻ")</f>
        <v>Khối Giải pháp bán lẻ</v>
      </c>
      <c r="K261" s="731" t="str">
        <f>IFERROR(__xludf.DUMMYFUNCTION("""COMPUTED_VALUE"""),"02 - QL_KD")</f>
        <v>02 - QL_KD</v>
      </c>
      <c r="L261" s="731" t="str">
        <f>IFERROR(__xludf.DUMMYFUNCTION("""COMPUTED_VALUE"""),"Ngừng")</f>
        <v>Ngừng</v>
      </c>
      <c r="M261" s="729"/>
      <c r="N261" s="731" t="str">
        <f>IFERROR(__xludf.DUMMYFUNCTION("""COMPUTED_VALUE"""),"ngừng")</f>
        <v>ngừng</v>
      </c>
      <c r="O261" s="708"/>
      <c r="P261" s="708"/>
      <c r="Q261" s="708"/>
      <c r="R261" s="708"/>
      <c r="S261" s="708"/>
      <c r="T261" s="708"/>
      <c r="U261" s="708"/>
      <c r="V261" s="708"/>
      <c r="W261" s="708"/>
      <c r="X261" s="708"/>
      <c r="Y261" s="708"/>
      <c r="Z261" s="708"/>
      <c r="AA261" s="708"/>
      <c r="AB261" s="708"/>
      <c r="AC261" s="708"/>
      <c r="AD261" s="708"/>
      <c r="AE261" s="708"/>
    </row>
    <row r="262">
      <c r="A262" s="742">
        <f>IFERROR(__xludf.DUMMYFUNCTION("""COMPUTED_VALUE"""),247.0)</f>
        <v>247</v>
      </c>
      <c r="B262" s="731" t="str">
        <f>IFERROR(__xludf.DUMMYFUNCTION("""COMPUTED_VALUE"""),"SB_NS_A.VSD_POS")</f>
        <v>SB_NS_A.VSD_POS</v>
      </c>
      <c r="C262" s="729"/>
      <c r="D262" s="731" t="str">
        <f>IFERROR(__xludf.DUMMYFUNCTION("""COMPUTED_VALUE"""),"Q. Phó giám đốc TTKD")</f>
        <v>Q. Phó giám đốc TTKD</v>
      </c>
      <c r="E262" s="731" t="str">
        <f>IFERROR(__xludf.DUMMYFUNCTION("""COMPUTED_VALUE"""),"BOM")</f>
        <v>BOM</v>
      </c>
      <c r="F262" s="731">
        <f>IFERROR(__xludf.DUMMYFUNCTION("""COMPUTED_VALUE"""),3.0)</f>
        <v>3</v>
      </c>
      <c r="G262" s="731" t="str">
        <f>IFERROR(__xludf.DUMMYFUNCTION("""COMPUTED_VALUE"""),"GPBL")</f>
        <v>GPBL</v>
      </c>
      <c r="H262" s="731" t="str">
        <f>IFERROR(__xludf.DUMMYFUNCTION("""COMPUTED_VALUE"""),"Ban GĐTTKD/ BGĐ khối DA")</f>
        <v>Ban GĐTTKD/ BGĐ khối DA</v>
      </c>
      <c r="I262" s="731" t="str">
        <f>IFERROR(__xludf.DUMMYFUNCTION("""COMPUTED_VALUE"""),"L2.02.01.00.00.00.00")</f>
        <v>L2.02.01.00.00.00.00</v>
      </c>
      <c r="J262" s="731" t="str">
        <f>IFERROR(__xludf.DUMMYFUNCTION("""COMPUTED_VALUE"""),"Khối Giải pháp bán lẻ")</f>
        <v>Khối Giải pháp bán lẻ</v>
      </c>
      <c r="K262" s="731" t="str">
        <f>IFERROR(__xludf.DUMMYFUNCTION("""COMPUTED_VALUE"""),"03 - BGĐ_KD")</f>
        <v>03 - BGĐ_KD</v>
      </c>
      <c r="L262" s="731" t="str">
        <f>IFERROR(__xludf.DUMMYFUNCTION("""COMPUTED_VALUE"""),"Ngừng")</f>
        <v>Ngừng</v>
      </c>
      <c r="M262" s="729"/>
      <c r="N262" s="731" t="str">
        <f>IFERROR(__xludf.DUMMYFUNCTION("""COMPUTED_VALUE"""),"ngừng")</f>
        <v>ngừng</v>
      </c>
      <c r="O262" s="708"/>
      <c r="P262" s="708"/>
      <c r="Q262" s="708"/>
      <c r="R262" s="708"/>
      <c r="S262" s="708"/>
      <c r="T262" s="708"/>
      <c r="U262" s="708"/>
      <c r="V262" s="708"/>
      <c r="W262" s="708"/>
      <c r="X262" s="708"/>
      <c r="Y262" s="708"/>
      <c r="Z262" s="708"/>
      <c r="AA262" s="708"/>
      <c r="AB262" s="708"/>
      <c r="AC262" s="708"/>
      <c r="AD262" s="708"/>
      <c r="AE262" s="708"/>
    </row>
    <row r="263">
      <c r="A263" s="742">
        <f>IFERROR(__xludf.DUMMYFUNCTION("""COMPUTED_VALUE"""),248.0)</f>
        <v>248</v>
      </c>
      <c r="B263" s="731" t="str">
        <f>IFERROR(__xludf.DUMMYFUNCTION("""COMPUTED_VALUE"""),"SB_NS_AE_POS")</f>
        <v>SB_NS_AE_POS</v>
      </c>
      <c r="C263" s="729"/>
      <c r="D263" s="731" t="str">
        <f>IFERROR(__xludf.DUMMYFUNCTION("""COMPUTED_VALUE"""),"NV Tư vấn bán hàng")</f>
        <v>NV Tư vấn bán hàng</v>
      </c>
      <c r="E263" s="731" t="str">
        <f>IFERROR(__xludf.DUMMYFUNCTION("""COMPUTED_VALUE"""),"AE")</f>
        <v>AE</v>
      </c>
      <c r="F263" s="729"/>
      <c r="G263" s="731" t="str">
        <f>IFERROR(__xludf.DUMMYFUNCTION("""COMPUTED_VALUE"""),"GPBL")</f>
        <v>GPBL</v>
      </c>
      <c r="H263" s="731" t="str">
        <f>IFERROR(__xludf.DUMMYFUNCTION("""COMPUTED_VALUE"""),"Nhân viên/ Chuyên viên/ Chuyên gia")</f>
        <v>Nhân viên/ Chuyên viên/ Chuyên gia</v>
      </c>
      <c r="I263" s="731" t="str">
        <f>IFERROR(__xludf.DUMMYFUNCTION("""COMPUTED_VALUE"""),"L2.02.01.00.00.00.00")</f>
        <v>L2.02.01.00.00.00.00</v>
      </c>
      <c r="J263" s="731" t="str">
        <f>IFERROR(__xludf.DUMMYFUNCTION("""COMPUTED_VALUE"""),"Khối Giải pháp bán lẻ")</f>
        <v>Khối Giải pháp bán lẻ</v>
      </c>
      <c r="K263" s="731" t="str">
        <f>IFERROR(__xludf.DUMMYFUNCTION("""COMPUTED_VALUE"""),"01 - NV_KD")</f>
        <v>01 - NV_KD</v>
      </c>
      <c r="L263" s="731" t="str">
        <f>IFERROR(__xludf.DUMMYFUNCTION("""COMPUTED_VALUE"""),"Ngừng")</f>
        <v>Ngừng</v>
      </c>
      <c r="M263" s="729"/>
      <c r="N263" s="731" t="str">
        <f>IFERROR(__xludf.DUMMYFUNCTION("""COMPUTED_VALUE"""),"ngừng")</f>
        <v>ngừng</v>
      </c>
      <c r="O263" s="708"/>
      <c r="P263" s="708"/>
      <c r="Q263" s="708"/>
      <c r="R263" s="708"/>
      <c r="S263" s="708"/>
      <c r="T263" s="708"/>
      <c r="U263" s="708"/>
      <c r="V263" s="708"/>
      <c r="W263" s="708"/>
      <c r="X263" s="708"/>
      <c r="Y263" s="708"/>
      <c r="Z263" s="708"/>
      <c r="AA263" s="708"/>
      <c r="AB263" s="708"/>
      <c r="AC263" s="708"/>
      <c r="AD263" s="708"/>
      <c r="AE263" s="708"/>
    </row>
    <row r="264">
      <c r="A264" s="743"/>
      <c r="B264" s="731" t="str">
        <f>IFERROR(__xludf.DUMMYFUNCTION("""COMPUTED_VALUE"""),"SB_CS_AE_POS")</f>
        <v>SB_CS_AE_POS</v>
      </c>
      <c r="C264" s="729"/>
      <c r="D264" s="731" t="str">
        <f>IFERROR(__xludf.DUMMYFUNCTION("""COMPUTED_VALUE"""),"NV Tư vấn bán hàng")</f>
        <v>NV Tư vấn bán hàng</v>
      </c>
      <c r="E264" s="731" t="str">
        <f>IFERROR(__xludf.DUMMYFUNCTION("""COMPUTED_VALUE"""),"AE")</f>
        <v>AE</v>
      </c>
      <c r="F264" s="729"/>
      <c r="G264" s="731" t="str">
        <f>IFERROR(__xludf.DUMMYFUNCTION("""COMPUTED_VALUE"""),"GPBL")</f>
        <v>GPBL</v>
      </c>
      <c r="H264" s="731" t="str">
        <f>IFERROR(__xludf.DUMMYFUNCTION("""COMPUTED_VALUE"""),"Nhân viên/ Chuyên viên/ Chuyên gia")</f>
        <v>Nhân viên/ Chuyên viên/ Chuyên gia</v>
      </c>
      <c r="I264" s="731" t="str">
        <f>IFERROR(__xludf.DUMMYFUNCTION("""COMPUTED_VALUE"""),"L2.02.01.00.00.00.00")</f>
        <v>L2.02.01.00.00.00.00</v>
      </c>
      <c r="J264" s="731" t="str">
        <f>IFERROR(__xludf.DUMMYFUNCTION("""COMPUTED_VALUE"""),"Khối Giải pháp bán lẻ")</f>
        <v>Khối Giải pháp bán lẻ</v>
      </c>
      <c r="K264" s="731" t="str">
        <f>IFERROR(__xludf.DUMMYFUNCTION("""COMPUTED_VALUE"""),"01 - NV_KD")</f>
        <v>01 - NV_KD</v>
      </c>
      <c r="L264" s="731" t="str">
        <f>IFERROR(__xludf.DUMMYFUNCTION("""COMPUTED_VALUE"""),"Ngừng")</f>
        <v>Ngừng</v>
      </c>
      <c r="M264" s="729"/>
      <c r="N264" s="731" t="str">
        <f>IFERROR(__xludf.DUMMYFUNCTION("""COMPUTED_VALUE"""),"ngừng")</f>
        <v>ngừng</v>
      </c>
      <c r="O264" s="708"/>
      <c r="P264" s="708"/>
      <c r="Q264" s="708"/>
      <c r="R264" s="708"/>
      <c r="S264" s="708"/>
      <c r="T264" s="708"/>
      <c r="U264" s="708"/>
      <c r="V264" s="708"/>
      <c r="W264" s="708"/>
      <c r="X264" s="708"/>
      <c r="Y264" s="708"/>
      <c r="Z264" s="708"/>
      <c r="AA264" s="708"/>
      <c r="AB264" s="708"/>
      <c r="AC264" s="708"/>
      <c r="AD264" s="708"/>
      <c r="AE264" s="708"/>
    </row>
    <row r="265">
      <c r="A265" s="742">
        <f>IFERROR(__xludf.DUMMYFUNCTION("""COMPUTED_VALUE"""),249.0)</f>
        <v>249</v>
      </c>
      <c r="B265" s="731" t="str">
        <f>IFERROR(__xludf.DUMMYFUNCTION("""COMPUTED_VALUE"""),"SB_NS_SD_POS")</f>
        <v>SB_NS_SD_POS</v>
      </c>
      <c r="C265" s="729"/>
      <c r="D265" s="731" t="str">
        <f>IFERROR(__xludf.DUMMYFUNCTION("""COMPUTED_VALUE"""),"Giám đốc TTKD")</f>
        <v>Giám đốc TTKD</v>
      </c>
      <c r="E265" s="731" t="str">
        <f>IFERROR(__xludf.DUMMYFUNCTION("""COMPUTED_VALUE"""),"BOM")</f>
        <v>BOM</v>
      </c>
      <c r="F265" s="731">
        <f>IFERROR(__xludf.DUMMYFUNCTION("""COMPUTED_VALUE"""),3.0)</f>
        <v>3</v>
      </c>
      <c r="G265" s="731" t="str">
        <f>IFERROR(__xludf.DUMMYFUNCTION("""COMPUTED_VALUE"""),"GPBL")</f>
        <v>GPBL</v>
      </c>
      <c r="H265" s="731" t="str">
        <f>IFERROR(__xludf.DUMMYFUNCTION("""COMPUTED_VALUE"""),"Ban GĐTTKD/ BGĐ khối DA")</f>
        <v>Ban GĐTTKD/ BGĐ khối DA</v>
      </c>
      <c r="I265" s="731" t="str">
        <f>IFERROR(__xludf.DUMMYFUNCTION("""COMPUTED_VALUE"""),"L2.02.01.00.00.00.00")</f>
        <v>L2.02.01.00.00.00.00</v>
      </c>
      <c r="J265" s="731" t="str">
        <f>IFERROR(__xludf.DUMMYFUNCTION("""COMPUTED_VALUE"""),"Khối Giải pháp bán lẻ")</f>
        <v>Khối Giải pháp bán lẻ</v>
      </c>
      <c r="K265" s="731" t="str">
        <f>IFERROR(__xludf.DUMMYFUNCTION("""COMPUTED_VALUE"""),"03 - BGĐ_KD")</f>
        <v>03 - BGĐ_KD</v>
      </c>
      <c r="L265" s="731" t="str">
        <f>IFERROR(__xludf.DUMMYFUNCTION("""COMPUTED_VALUE"""),"Ngừng")</f>
        <v>Ngừng</v>
      </c>
      <c r="M265" s="729"/>
      <c r="N265" s="731" t="str">
        <f>IFERROR(__xludf.DUMMYFUNCTION("""COMPUTED_VALUE"""),"ngừng")</f>
        <v>ngừng</v>
      </c>
      <c r="O265" s="708"/>
      <c r="P265" s="708"/>
      <c r="Q265" s="708"/>
      <c r="R265" s="708"/>
      <c r="S265" s="708"/>
      <c r="T265" s="708"/>
      <c r="U265" s="708"/>
      <c r="V265" s="708"/>
      <c r="W265" s="708"/>
      <c r="X265" s="708"/>
      <c r="Y265" s="708"/>
      <c r="Z265" s="708"/>
      <c r="AA265" s="708"/>
      <c r="AB265" s="726"/>
      <c r="AC265" s="726"/>
      <c r="AD265" s="726"/>
      <c r="AE265" s="726"/>
    </row>
    <row r="266">
      <c r="A266" s="742">
        <f>IFERROR(__xludf.DUMMYFUNCTION("""COMPUTED_VALUE"""),250.0)</f>
        <v>250</v>
      </c>
      <c r="B266" s="731" t="str">
        <f>IFERROR(__xludf.DUMMYFUNCTION("""COMPUTED_VALUE"""),"SB_NS_SM_POS")</f>
        <v>SB_NS_SM_POS</v>
      </c>
      <c r="C266" s="729"/>
      <c r="D266" s="731" t="str">
        <f>IFERROR(__xludf.DUMMYFUNCTION("""COMPUTED_VALUE"""),"Quản lý kinh doanh")</f>
        <v>Quản lý kinh doanh</v>
      </c>
      <c r="E266" s="731" t="str">
        <f>IFERROR(__xludf.DUMMYFUNCTION("""COMPUTED_VALUE"""),"SM")</f>
        <v>SM</v>
      </c>
      <c r="F266" s="731">
        <f>IFERROR(__xludf.DUMMYFUNCTION("""COMPUTED_VALUE"""),2.0)</f>
        <v>2</v>
      </c>
      <c r="G266" s="731" t="str">
        <f>IFERROR(__xludf.DUMMYFUNCTION("""COMPUTED_VALUE"""),"GPBL")</f>
        <v>GPBL</v>
      </c>
      <c r="H266" s="731" t="str">
        <f>IFERROR(__xludf.DUMMYFUNCTION("""COMPUTED_VALUE"""),"TPP/ Trưởng ban")</f>
        <v>TPP/ Trưởng ban</v>
      </c>
      <c r="I266" s="731" t="str">
        <f>IFERROR(__xludf.DUMMYFUNCTION("""COMPUTED_VALUE"""),"L2.02.01.00.00.00.00")</f>
        <v>L2.02.01.00.00.00.00</v>
      </c>
      <c r="J266" s="731" t="str">
        <f>IFERROR(__xludf.DUMMYFUNCTION("""COMPUTED_VALUE"""),"Khối Giải pháp bán lẻ")</f>
        <v>Khối Giải pháp bán lẻ</v>
      </c>
      <c r="K266" s="731" t="str">
        <f>IFERROR(__xludf.DUMMYFUNCTION("""COMPUTED_VALUE"""),"02 - QL_KD")</f>
        <v>02 - QL_KD</v>
      </c>
      <c r="L266" s="731" t="str">
        <f>IFERROR(__xludf.DUMMYFUNCTION("""COMPUTED_VALUE"""),"Ngừng")</f>
        <v>Ngừng</v>
      </c>
      <c r="M266" s="729"/>
      <c r="N266" s="731" t="str">
        <f>IFERROR(__xludf.DUMMYFUNCTION("""COMPUTED_VALUE"""),"ngừng")</f>
        <v>ngừng</v>
      </c>
      <c r="O266" s="708"/>
      <c r="P266" s="708"/>
      <c r="Q266" s="708"/>
      <c r="R266" s="708"/>
      <c r="S266" s="708"/>
      <c r="T266" s="708"/>
      <c r="U266" s="708"/>
      <c r="V266" s="708"/>
      <c r="W266" s="708"/>
      <c r="X266" s="708"/>
      <c r="Y266" s="708"/>
      <c r="Z266" s="708"/>
      <c r="AA266" s="708"/>
      <c r="AB266" s="708"/>
      <c r="AC266" s="708"/>
      <c r="AD266" s="708"/>
      <c r="AE266" s="708"/>
    </row>
    <row r="267">
      <c r="A267" s="742">
        <f>IFERROR(__xludf.DUMMYFUNCTION("""COMPUTED_VALUE"""),374.0)</f>
        <v>374</v>
      </c>
      <c r="B267" s="731" t="str">
        <f>IFERROR(__xludf.DUMMYFUNCTION("""COMPUTED_VALUE"""),"SB_CS_A.SM_POS")</f>
        <v>SB_CS_A.SM_POS</v>
      </c>
      <c r="C267" s="729"/>
      <c r="D267" s="731" t="str">
        <f>IFERROR(__xludf.DUMMYFUNCTION("""COMPUTED_VALUE"""),"Q. Quản lý kinh doanh")</f>
        <v>Q. Quản lý kinh doanh</v>
      </c>
      <c r="E267" s="731" t="str">
        <f>IFERROR(__xludf.DUMMYFUNCTION("""COMPUTED_VALUE"""),"SM")</f>
        <v>SM</v>
      </c>
      <c r="F267" s="744">
        <f>IFERROR(__xludf.DUMMYFUNCTION("""COMPUTED_VALUE"""),2.0)</f>
        <v>2</v>
      </c>
      <c r="G267" s="731" t="str">
        <f>IFERROR(__xludf.DUMMYFUNCTION("""COMPUTED_VALUE"""),"GPBL")</f>
        <v>GPBL</v>
      </c>
      <c r="H267" s="731" t="str">
        <f>IFERROR(__xludf.DUMMYFUNCTION("""COMPUTED_VALUE"""),"TPP/ Trưởng ban")</f>
        <v>TPP/ Trưởng ban</v>
      </c>
      <c r="I267" s="731" t="str">
        <f>IFERROR(__xludf.DUMMYFUNCTION("""COMPUTED_VALUE"""),"L2.02.01.00.00.00.00")</f>
        <v>L2.02.01.00.00.00.00</v>
      </c>
      <c r="J267" s="731" t="str">
        <f>IFERROR(__xludf.DUMMYFUNCTION("""COMPUTED_VALUE"""),"Khối Giải pháp bán lẻ")</f>
        <v>Khối Giải pháp bán lẻ</v>
      </c>
      <c r="K267" s="731" t="str">
        <f>IFERROR(__xludf.DUMMYFUNCTION("""COMPUTED_VALUE"""),"02 - QL_KD")</f>
        <v>02 - QL_KD</v>
      </c>
      <c r="L267" s="731" t="str">
        <f>IFERROR(__xludf.DUMMYFUNCTION("""COMPUTED_VALUE"""),"Ngừng")</f>
        <v>Ngừng</v>
      </c>
      <c r="M267" s="729"/>
      <c r="N267" s="731" t="str">
        <f>IFERROR(__xludf.DUMMYFUNCTION("""COMPUTED_VALUE"""),"ngừng")</f>
        <v>ngừng</v>
      </c>
      <c r="O267" s="708"/>
      <c r="P267" s="708"/>
      <c r="Q267" s="708"/>
      <c r="R267" s="708"/>
      <c r="S267" s="708"/>
      <c r="T267" s="708"/>
      <c r="U267" s="708"/>
      <c r="V267" s="708"/>
      <c r="W267" s="708"/>
      <c r="X267" s="708"/>
      <c r="Y267" s="708"/>
      <c r="Z267" s="708"/>
      <c r="AA267" s="708"/>
      <c r="AB267" s="708"/>
      <c r="AC267" s="708"/>
      <c r="AD267" s="708"/>
      <c r="AE267" s="708"/>
    </row>
    <row r="268">
      <c r="A268" s="742">
        <f>IFERROR(__xludf.DUMMYFUNCTION("""COMPUTED_VALUE"""),389.0)</f>
        <v>389</v>
      </c>
      <c r="B268" s="731" t="str">
        <f>IFERROR(__xludf.DUMMYFUNCTION("""COMPUTED_VALUE"""),"SB_CS_SM_POS")</f>
        <v>SB_CS_SM_POS</v>
      </c>
      <c r="C268" s="729"/>
      <c r="D268" s="731" t="str">
        <f>IFERROR(__xludf.DUMMYFUNCTION("""COMPUTED_VALUE"""),"Quản lý kinh doanh")</f>
        <v>Quản lý kinh doanh</v>
      </c>
      <c r="E268" s="731" t="str">
        <f>IFERROR(__xludf.DUMMYFUNCTION("""COMPUTED_VALUE"""),"SM")</f>
        <v>SM</v>
      </c>
      <c r="F268" s="744">
        <f>IFERROR(__xludf.DUMMYFUNCTION("""COMPUTED_VALUE"""),2.0)</f>
        <v>2</v>
      </c>
      <c r="G268" s="731" t="str">
        <f>IFERROR(__xludf.DUMMYFUNCTION("""COMPUTED_VALUE"""),"GPBL")</f>
        <v>GPBL</v>
      </c>
      <c r="H268" s="731" t="str">
        <f>IFERROR(__xludf.DUMMYFUNCTION("""COMPUTED_VALUE"""),"TPP/ Trưởng ban")</f>
        <v>TPP/ Trưởng ban</v>
      </c>
      <c r="I268" s="731" t="str">
        <f>IFERROR(__xludf.DUMMYFUNCTION("""COMPUTED_VALUE"""),"L2.02.01.00.00.00.00")</f>
        <v>L2.02.01.00.00.00.00</v>
      </c>
      <c r="J268" s="731" t="str">
        <f>IFERROR(__xludf.DUMMYFUNCTION("""COMPUTED_VALUE"""),"Khối Giải pháp bán lẻ")</f>
        <v>Khối Giải pháp bán lẻ</v>
      </c>
      <c r="K268" s="731" t="str">
        <f>IFERROR(__xludf.DUMMYFUNCTION("""COMPUTED_VALUE"""),"02 - QL_KD")</f>
        <v>02 - QL_KD</v>
      </c>
      <c r="L268" s="731" t="str">
        <f>IFERROR(__xludf.DUMMYFUNCTION("""COMPUTED_VALUE"""),"Ngừng")</f>
        <v>Ngừng</v>
      </c>
      <c r="M268" s="729"/>
      <c r="N268" s="731" t="str">
        <f>IFERROR(__xludf.DUMMYFUNCTION("""COMPUTED_VALUE"""),"ngừng")</f>
        <v>ngừng</v>
      </c>
      <c r="O268" s="708"/>
      <c r="P268" s="708"/>
      <c r="Q268" s="708"/>
      <c r="R268" s="708"/>
      <c r="S268" s="708"/>
      <c r="T268" s="708"/>
      <c r="U268" s="708"/>
      <c r="V268" s="708"/>
      <c r="W268" s="708"/>
      <c r="X268" s="708"/>
      <c r="Y268" s="708"/>
      <c r="Z268" s="708"/>
      <c r="AA268" s="708"/>
      <c r="AB268" s="708"/>
      <c r="AC268" s="708"/>
      <c r="AD268" s="708"/>
      <c r="AE268" s="708"/>
    </row>
    <row r="269">
      <c r="A269" s="742">
        <f>IFERROR(__xludf.DUMMYFUNCTION("""COMPUTED_VALUE"""),251.0)</f>
        <v>251</v>
      </c>
      <c r="B269" s="731" t="str">
        <f>IFERROR(__xludf.DUMMYFUNCTION("""COMPUTED_VALUE"""),"SB_NS_VSD_POS")</f>
        <v>SB_NS_VSD_POS</v>
      </c>
      <c r="C269" s="729"/>
      <c r="D269" s="731" t="str">
        <f>IFERROR(__xludf.DUMMYFUNCTION("""COMPUTED_VALUE"""),"Phó giám đốc TTKD")</f>
        <v>Phó giám đốc TTKD</v>
      </c>
      <c r="E269" s="731" t="str">
        <f>IFERROR(__xludf.DUMMYFUNCTION("""COMPUTED_VALUE"""),"BOM")</f>
        <v>BOM</v>
      </c>
      <c r="F269" s="731">
        <f>IFERROR(__xludf.DUMMYFUNCTION("""COMPUTED_VALUE"""),3.0)</f>
        <v>3</v>
      </c>
      <c r="G269" s="731" t="str">
        <f>IFERROR(__xludf.DUMMYFUNCTION("""COMPUTED_VALUE"""),"GPBL")</f>
        <v>GPBL</v>
      </c>
      <c r="H269" s="731" t="str">
        <f>IFERROR(__xludf.DUMMYFUNCTION("""COMPUTED_VALUE"""),"Ban GĐTTKD/ BGĐ khối DA")</f>
        <v>Ban GĐTTKD/ BGĐ khối DA</v>
      </c>
      <c r="I269" s="731" t="str">
        <f>IFERROR(__xludf.DUMMYFUNCTION("""COMPUTED_VALUE"""),"L2.02.01.00.00.00.00")</f>
        <v>L2.02.01.00.00.00.00</v>
      </c>
      <c r="J269" s="731" t="str">
        <f>IFERROR(__xludf.DUMMYFUNCTION("""COMPUTED_VALUE"""),"Khối Giải pháp bán lẻ")</f>
        <v>Khối Giải pháp bán lẻ</v>
      </c>
      <c r="K269" s="731" t="str">
        <f>IFERROR(__xludf.DUMMYFUNCTION("""COMPUTED_VALUE"""),"03 - BGĐ_KD")</f>
        <v>03 - BGĐ_KD</v>
      </c>
      <c r="L269" s="731" t="str">
        <f>IFERROR(__xludf.DUMMYFUNCTION("""COMPUTED_VALUE"""),"Ngừng")</f>
        <v>Ngừng</v>
      </c>
      <c r="M269" s="729"/>
      <c r="N269" s="731" t="str">
        <f>IFERROR(__xludf.DUMMYFUNCTION("""COMPUTED_VALUE"""),"ngừng")</f>
        <v>ngừng</v>
      </c>
      <c r="O269" s="708"/>
      <c r="P269" s="708"/>
      <c r="Q269" s="708"/>
      <c r="R269" s="708"/>
      <c r="S269" s="708"/>
      <c r="T269" s="708"/>
      <c r="U269" s="708"/>
      <c r="V269" s="708"/>
      <c r="W269" s="708"/>
      <c r="X269" s="708"/>
      <c r="Y269" s="708"/>
      <c r="Z269" s="708"/>
      <c r="AA269" s="708"/>
      <c r="AB269" s="708"/>
      <c r="AC269" s="708"/>
      <c r="AD269" s="708"/>
      <c r="AE269" s="708"/>
    </row>
    <row r="270">
      <c r="A270" s="742">
        <f>IFERROR(__xludf.DUMMYFUNCTION("""COMPUTED_VALUE"""),252.0)</f>
        <v>252</v>
      </c>
      <c r="B270" s="731" t="str">
        <f>IFERROR(__xludf.DUMMYFUNCTION("""COMPUTED_VALUE"""),"SB_ONB_POS")</f>
        <v>SB_ONB_POS</v>
      </c>
      <c r="C270" s="729"/>
      <c r="D270" s="731" t="str">
        <f>IFERROR(__xludf.DUMMYFUNCTION("""COMPUTED_VALUE"""),"NV Chuyển giao")</f>
        <v>NV Chuyển giao</v>
      </c>
      <c r="E270" s="731" t="str">
        <f>IFERROR(__xludf.DUMMYFUNCTION("""COMPUTED_VALUE"""),"ONB")</f>
        <v>ONB</v>
      </c>
      <c r="F270" s="729"/>
      <c r="G270" s="731" t="str">
        <f>IFERROR(__xludf.DUMMYFUNCTION("""COMPUTED_VALUE"""),"ONB")</f>
        <v>ONB</v>
      </c>
      <c r="H270" s="731" t="str">
        <f>IFERROR(__xludf.DUMMYFUNCTION("""COMPUTED_VALUE"""),"Nhân viên/ Chuyên viên/ Chuyên gia")</f>
        <v>Nhân viên/ Chuyên viên/ Chuyên gia</v>
      </c>
      <c r="I270" s="731" t="str">
        <f>IFERROR(__xludf.DUMMYFUNCTION("""COMPUTED_VALUE"""),"L2.02.01.00.00.00.00")</f>
        <v>L2.02.01.00.00.00.00</v>
      </c>
      <c r="J270" s="731" t="str">
        <f>IFERROR(__xludf.DUMMYFUNCTION("""COMPUTED_VALUE"""),"Khối Giải pháp bán lẻ")</f>
        <v>Khối Giải pháp bán lẻ</v>
      </c>
      <c r="K270" s="729"/>
      <c r="L270" s="731" t="str">
        <f>IFERROR(__xludf.DUMMYFUNCTION("""COMPUTED_VALUE"""),"Ngừng")</f>
        <v>Ngừng</v>
      </c>
      <c r="M270" s="729"/>
      <c r="N270" s="731" t="str">
        <f>IFERROR(__xludf.DUMMYFUNCTION("""COMPUTED_VALUE"""),"ngừng")</f>
        <v>ngừng</v>
      </c>
      <c r="O270" s="708"/>
      <c r="P270" s="708"/>
      <c r="Q270" s="708"/>
      <c r="R270" s="708"/>
      <c r="S270" s="708"/>
      <c r="T270" s="708"/>
      <c r="U270" s="708"/>
      <c r="V270" s="708"/>
      <c r="W270" s="708"/>
      <c r="X270" s="708"/>
      <c r="Y270" s="708"/>
      <c r="Z270" s="708"/>
      <c r="AA270" s="708"/>
      <c r="AB270" s="708"/>
      <c r="AC270" s="708"/>
      <c r="AD270" s="708"/>
      <c r="AE270" s="708"/>
    </row>
    <row r="271">
      <c r="A271" s="743"/>
      <c r="B271" s="729"/>
      <c r="C271" s="738" t="str">
        <f>IFERROR(__xludf.DUMMYFUNCTION("""COMPUTED_VALUE"""),"GPBL_A.SD")</f>
        <v>GPBL_A.SD</v>
      </c>
      <c r="D271" s="728" t="str">
        <f>IFERROR(__xludf.DUMMYFUNCTION("""COMPUTED_VALUE"""),"Q. Giám đốc TTKD")</f>
        <v>Q. Giám đốc TTKD</v>
      </c>
      <c r="E271" s="728" t="str">
        <f>IFERROR(__xludf.DUMMYFUNCTION("""COMPUTED_VALUE"""),"BOM")</f>
        <v>BOM</v>
      </c>
      <c r="F271" s="728">
        <f>IFERROR(__xludf.DUMMYFUNCTION("""COMPUTED_VALUE"""),3.0)</f>
        <v>3</v>
      </c>
      <c r="G271" s="728" t="str">
        <f>IFERROR(__xludf.DUMMYFUNCTION("""COMPUTED_VALUE"""),"GPBL")</f>
        <v>GPBL</v>
      </c>
      <c r="H271" s="728" t="str">
        <f>IFERROR(__xludf.DUMMYFUNCTION("""COMPUTED_VALUE"""),"Ban GĐTTKD/ BGĐ khối DA")</f>
        <v>Ban GĐTTKD/ BGĐ khối DA</v>
      </c>
      <c r="I271" s="728" t="str">
        <f>IFERROR(__xludf.DUMMYFUNCTION("""COMPUTED_VALUE"""),"L00")</f>
        <v>L00</v>
      </c>
      <c r="J271" s="728" t="str">
        <f>IFERROR(__xludf.DUMMYFUNCTION("""COMPUTED_VALUE"""),"Công ty cổ phần MISA")</f>
        <v>Công ty cổ phần MISA</v>
      </c>
      <c r="K271" s="728" t="str">
        <f>IFERROR(__xludf.DUMMYFUNCTION("""COMPUTED_VALUE"""),"03 - BGĐ_KD")</f>
        <v>03 - BGĐ_KD</v>
      </c>
      <c r="L271" s="728" t="str">
        <f>IFERROR(__xludf.DUMMYFUNCTION("""COMPUTED_VALUE"""),"Đang theo dõi")</f>
        <v>Đang theo dõi</v>
      </c>
      <c r="M271" s="729"/>
      <c r="N271" s="728" t="str">
        <f>IFERROR(__xludf.DUMMYFUNCTION("""COMPUTED_VALUE"""),"thêm mới")</f>
        <v>thêm mới</v>
      </c>
      <c r="O271" s="708"/>
      <c r="P271" s="708"/>
      <c r="Q271" s="708"/>
      <c r="R271" s="708"/>
      <c r="S271" s="708"/>
      <c r="T271" s="708"/>
      <c r="U271" s="708"/>
      <c r="V271" s="708"/>
      <c r="W271" s="708"/>
      <c r="X271" s="708"/>
      <c r="Y271" s="708"/>
      <c r="Z271" s="708"/>
      <c r="AA271" s="708"/>
      <c r="AB271" s="708"/>
      <c r="AC271" s="708"/>
      <c r="AD271" s="708"/>
      <c r="AE271" s="708"/>
    </row>
    <row r="272">
      <c r="A272" s="743"/>
      <c r="B272" s="729"/>
      <c r="C272" s="738" t="str">
        <f>IFERROR(__xludf.DUMMYFUNCTION("""COMPUTED_VALUE"""),"GPBL_NS_A.SM")</f>
        <v>GPBL_NS_A.SM</v>
      </c>
      <c r="D272" s="728" t="str">
        <f>IFERROR(__xludf.DUMMYFUNCTION("""COMPUTED_VALUE"""),"Q. Quản lý kinh doanh")</f>
        <v>Q. Quản lý kinh doanh</v>
      </c>
      <c r="E272" s="728" t="str">
        <f>IFERROR(__xludf.DUMMYFUNCTION("""COMPUTED_VALUE"""),"SM")</f>
        <v>SM</v>
      </c>
      <c r="F272" s="728">
        <f>IFERROR(__xludf.DUMMYFUNCTION("""COMPUTED_VALUE"""),2.0)</f>
        <v>2</v>
      </c>
      <c r="G272" s="728" t="str">
        <f>IFERROR(__xludf.DUMMYFUNCTION("""COMPUTED_VALUE"""),"GPBL")</f>
        <v>GPBL</v>
      </c>
      <c r="H272" s="728" t="str">
        <f>IFERROR(__xludf.DUMMYFUNCTION("""COMPUTED_VALUE"""),"TPP/ Trưởng ban")</f>
        <v>TPP/ Trưởng ban</v>
      </c>
      <c r="I272" s="728" t="str">
        <f>IFERROR(__xludf.DUMMYFUNCTION("""COMPUTED_VALUE"""),"L00")</f>
        <v>L00</v>
      </c>
      <c r="J272" s="728" t="str">
        <f>IFERROR(__xludf.DUMMYFUNCTION("""COMPUTED_VALUE"""),"Công ty cổ phần MISA")</f>
        <v>Công ty cổ phần MISA</v>
      </c>
      <c r="K272" s="728" t="str">
        <f>IFERROR(__xludf.DUMMYFUNCTION("""COMPUTED_VALUE"""),"02 - QL_KD")</f>
        <v>02 - QL_KD</v>
      </c>
      <c r="L272" s="728" t="str">
        <f>IFERROR(__xludf.DUMMYFUNCTION("""COMPUTED_VALUE"""),"Đang theo dõi")</f>
        <v>Đang theo dõi</v>
      </c>
      <c r="M272" s="729"/>
      <c r="N272" s="728" t="str">
        <f>IFERROR(__xludf.DUMMYFUNCTION("""COMPUTED_VALUE"""),"thêm mới")</f>
        <v>thêm mới</v>
      </c>
      <c r="O272" s="708"/>
      <c r="P272" s="708"/>
      <c r="Q272" s="708"/>
      <c r="R272" s="708"/>
      <c r="S272" s="708"/>
      <c r="T272" s="708"/>
      <c r="U272" s="708"/>
      <c r="V272" s="708"/>
      <c r="W272" s="708"/>
      <c r="X272" s="708"/>
      <c r="Y272" s="708"/>
      <c r="Z272" s="708"/>
      <c r="AA272" s="708"/>
      <c r="AB272" s="708"/>
      <c r="AC272" s="708"/>
      <c r="AD272" s="708"/>
      <c r="AE272" s="708"/>
    </row>
    <row r="273">
      <c r="A273" s="743"/>
      <c r="B273" s="729"/>
      <c r="C273" s="728" t="str">
        <f>IFERROR(__xludf.DUMMYFUNCTION("""COMPUTED_VALUE"""),"GPBL_NS_A.VSD")</f>
        <v>GPBL_NS_A.VSD</v>
      </c>
      <c r="D273" s="728" t="str">
        <f>IFERROR(__xludf.DUMMYFUNCTION("""COMPUTED_VALUE"""),"Q. Phó giám đốc TTKD")</f>
        <v>Q. Phó giám đốc TTKD</v>
      </c>
      <c r="E273" s="728" t="str">
        <f>IFERROR(__xludf.DUMMYFUNCTION("""COMPUTED_VALUE"""),"BOM")</f>
        <v>BOM</v>
      </c>
      <c r="F273" s="728">
        <f>IFERROR(__xludf.DUMMYFUNCTION("""COMPUTED_VALUE"""),3.0)</f>
        <v>3</v>
      </c>
      <c r="G273" s="728" t="str">
        <f>IFERROR(__xludf.DUMMYFUNCTION("""COMPUTED_VALUE"""),"GPBL")</f>
        <v>GPBL</v>
      </c>
      <c r="H273" s="728" t="str">
        <f>IFERROR(__xludf.DUMMYFUNCTION("""COMPUTED_VALUE"""),"Ban GĐTTKD/ BGĐ khối DA")</f>
        <v>Ban GĐTTKD/ BGĐ khối DA</v>
      </c>
      <c r="I273" s="728" t="str">
        <f>IFERROR(__xludf.DUMMYFUNCTION("""COMPUTED_VALUE"""),"L00")</f>
        <v>L00</v>
      </c>
      <c r="J273" s="728" t="str">
        <f>IFERROR(__xludf.DUMMYFUNCTION("""COMPUTED_VALUE"""),"Công ty cổ phần MISA")</f>
        <v>Công ty cổ phần MISA</v>
      </c>
      <c r="K273" s="728" t="str">
        <f>IFERROR(__xludf.DUMMYFUNCTION("""COMPUTED_VALUE"""),"03 - BGĐ_KD")</f>
        <v>03 - BGĐ_KD</v>
      </c>
      <c r="L273" s="728" t="str">
        <f>IFERROR(__xludf.DUMMYFUNCTION("""COMPUTED_VALUE"""),"Đang theo dõi")</f>
        <v>Đang theo dõi</v>
      </c>
      <c r="M273" s="729"/>
      <c r="N273" s="728" t="str">
        <f>IFERROR(__xludf.DUMMYFUNCTION("""COMPUTED_VALUE"""),"thêm mới")</f>
        <v>thêm mới</v>
      </c>
      <c r="O273" s="708"/>
      <c r="P273" s="708"/>
      <c r="Q273" s="708"/>
      <c r="R273" s="708"/>
      <c r="S273" s="708"/>
      <c r="T273" s="708"/>
      <c r="U273" s="708"/>
      <c r="V273" s="708"/>
      <c r="W273" s="708"/>
      <c r="X273" s="708"/>
      <c r="Y273" s="708"/>
      <c r="Z273" s="708"/>
      <c r="AA273" s="708"/>
      <c r="AB273" s="708"/>
      <c r="AC273" s="708"/>
      <c r="AD273" s="708"/>
      <c r="AE273" s="708"/>
    </row>
    <row r="274">
      <c r="A274" s="743"/>
      <c r="B274" s="729"/>
      <c r="C274" s="728" t="str">
        <f>IFERROR(__xludf.DUMMYFUNCTION("""COMPUTED_VALUE"""),"GPBL_NS_AE_CUK")</f>
        <v>GPBL_NS_AE_CUK</v>
      </c>
      <c r="D274" s="728" t="str">
        <f>IFERROR(__xludf.DUMMYFUNCTION("""COMPUTED_VALUE"""),"NV Tư vấn bán hàng")</f>
        <v>NV Tư vấn bán hàng</v>
      </c>
      <c r="E274" s="728" t="str">
        <f>IFERROR(__xludf.DUMMYFUNCTION("""COMPUTED_VALUE"""),"AE")</f>
        <v>AE</v>
      </c>
      <c r="F274" s="729"/>
      <c r="G274" s="728" t="str">
        <f>IFERROR(__xludf.DUMMYFUNCTION("""COMPUTED_VALUE"""),"GPBL")</f>
        <v>GPBL</v>
      </c>
      <c r="H274" s="728" t="str">
        <f>IFERROR(__xludf.DUMMYFUNCTION("""COMPUTED_VALUE"""),"Nhân viên/ Chuyên viên/ Chuyên gia")</f>
        <v>Nhân viên/ Chuyên viên/ Chuyên gia</v>
      </c>
      <c r="I274" s="728" t="str">
        <f>IFERROR(__xludf.DUMMYFUNCTION("""COMPUTED_VALUE"""),"L00")</f>
        <v>L00</v>
      </c>
      <c r="J274" s="728" t="str">
        <f>IFERROR(__xludf.DUMMYFUNCTION("""COMPUTED_VALUE"""),"Công ty cổ phần MISA")</f>
        <v>Công ty cổ phần MISA</v>
      </c>
      <c r="K274" s="728" t="str">
        <f>IFERROR(__xludf.DUMMYFUNCTION("""COMPUTED_VALUE"""),"01 - NV_KD")</f>
        <v>01 - NV_KD</v>
      </c>
      <c r="L274" s="728" t="str">
        <f>IFERROR(__xludf.DUMMYFUNCTION("""COMPUTED_VALUE"""),"Đang theo dõi")</f>
        <v>Đang theo dõi</v>
      </c>
      <c r="M274" s="729"/>
      <c r="N274" s="728" t="str">
        <f>IFERROR(__xludf.DUMMYFUNCTION("""COMPUTED_VALUE"""),"thêm mới")</f>
        <v>thêm mới</v>
      </c>
      <c r="O274" s="708"/>
      <c r="P274" s="708"/>
      <c r="Q274" s="708"/>
      <c r="R274" s="708"/>
      <c r="S274" s="708"/>
      <c r="T274" s="708"/>
      <c r="U274" s="708"/>
      <c r="V274" s="708"/>
      <c r="W274" s="708"/>
      <c r="X274" s="708"/>
      <c r="Y274" s="708"/>
      <c r="Z274" s="708"/>
      <c r="AA274" s="708"/>
      <c r="AB274" s="708"/>
      <c r="AC274" s="708"/>
      <c r="AD274" s="708"/>
      <c r="AE274" s="708"/>
    </row>
    <row r="275">
      <c r="A275" s="743"/>
      <c r="B275" s="729"/>
      <c r="C275" s="728" t="str">
        <f>IFERROR(__xludf.DUMMYFUNCTION("""COMPUTED_VALUE"""),"GPBL_CS_AE")</f>
        <v>GPBL_CS_AE</v>
      </c>
      <c r="D275" s="728" t="str">
        <f>IFERROR(__xludf.DUMMYFUNCTION("""COMPUTED_VALUE"""),"NV Tư vấn bán hàng")</f>
        <v>NV Tư vấn bán hàng</v>
      </c>
      <c r="E275" s="728" t="str">
        <f>IFERROR(__xludf.DUMMYFUNCTION("""COMPUTED_VALUE"""),"AE")</f>
        <v>AE</v>
      </c>
      <c r="F275" s="729"/>
      <c r="G275" s="728" t="str">
        <f>IFERROR(__xludf.DUMMYFUNCTION("""COMPUTED_VALUE"""),"GPBL")</f>
        <v>GPBL</v>
      </c>
      <c r="H275" s="728" t="str">
        <f>IFERROR(__xludf.DUMMYFUNCTION("""COMPUTED_VALUE"""),"Nhân viên/ Chuyên viên/ Chuyên gia")</f>
        <v>Nhân viên/ Chuyên viên/ Chuyên gia</v>
      </c>
      <c r="I275" s="728" t="str">
        <f>IFERROR(__xludf.DUMMYFUNCTION("""COMPUTED_VALUE"""),"L00")</f>
        <v>L00</v>
      </c>
      <c r="J275" s="728" t="str">
        <f>IFERROR(__xludf.DUMMYFUNCTION("""COMPUTED_VALUE"""),"Công ty cổ phần MISA")</f>
        <v>Công ty cổ phần MISA</v>
      </c>
      <c r="K275" s="728" t="str">
        <f>IFERROR(__xludf.DUMMYFUNCTION("""COMPUTED_VALUE"""),"01 - NV_KD")</f>
        <v>01 - NV_KD</v>
      </c>
      <c r="L275" s="728" t="str">
        <f>IFERROR(__xludf.DUMMYFUNCTION("""COMPUTED_VALUE"""),"Đang theo dõi")</f>
        <v>Đang theo dõi</v>
      </c>
      <c r="M275" s="729"/>
      <c r="N275" s="728" t="str">
        <f>IFERROR(__xludf.DUMMYFUNCTION("""COMPUTED_VALUE"""),"thêm mới")</f>
        <v>thêm mới</v>
      </c>
      <c r="O275" s="708"/>
      <c r="P275" s="708"/>
      <c r="Q275" s="708"/>
      <c r="R275" s="708"/>
      <c r="S275" s="708"/>
      <c r="T275" s="708"/>
      <c r="U275" s="708"/>
      <c r="V275" s="708"/>
      <c r="W275" s="708"/>
      <c r="X275" s="708"/>
      <c r="Y275" s="708"/>
      <c r="Z275" s="708"/>
      <c r="AA275" s="708"/>
      <c r="AB275" s="708"/>
      <c r="AC275" s="708"/>
      <c r="AD275" s="708"/>
      <c r="AE275" s="708"/>
    </row>
    <row r="276">
      <c r="A276" s="743"/>
      <c r="B276" s="729"/>
      <c r="C276" s="728" t="str">
        <f>IFERROR(__xludf.DUMMYFUNCTION("""COMPUTED_VALUE"""),"GPBL_NS_SD")</f>
        <v>GPBL_NS_SD</v>
      </c>
      <c r="D276" s="728" t="str">
        <f>IFERROR(__xludf.DUMMYFUNCTION("""COMPUTED_VALUE"""),"Giám đốc TTKD")</f>
        <v>Giám đốc TTKD</v>
      </c>
      <c r="E276" s="728" t="str">
        <f>IFERROR(__xludf.DUMMYFUNCTION("""COMPUTED_VALUE"""),"BOM")</f>
        <v>BOM</v>
      </c>
      <c r="F276" s="728">
        <f>IFERROR(__xludf.DUMMYFUNCTION("""COMPUTED_VALUE"""),3.0)</f>
        <v>3</v>
      </c>
      <c r="G276" s="728" t="str">
        <f>IFERROR(__xludf.DUMMYFUNCTION("""COMPUTED_VALUE"""),"GPBL")</f>
        <v>GPBL</v>
      </c>
      <c r="H276" s="728" t="str">
        <f>IFERROR(__xludf.DUMMYFUNCTION("""COMPUTED_VALUE"""),"Ban GĐTTKD/ BGĐ khối DA")</f>
        <v>Ban GĐTTKD/ BGĐ khối DA</v>
      </c>
      <c r="I276" s="728" t="str">
        <f>IFERROR(__xludf.DUMMYFUNCTION("""COMPUTED_VALUE"""),"L00")</f>
        <v>L00</v>
      </c>
      <c r="J276" s="728" t="str">
        <f>IFERROR(__xludf.DUMMYFUNCTION("""COMPUTED_VALUE"""),"Công ty cổ phần MISA")</f>
        <v>Công ty cổ phần MISA</v>
      </c>
      <c r="K276" s="728" t="str">
        <f>IFERROR(__xludf.DUMMYFUNCTION("""COMPUTED_VALUE"""),"03 - BGĐ_KD")</f>
        <v>03 - BGĐ_KD</v>
      </c>
      <c r="L276" s="728" t="str">
        <f>IFERROR(__xludf.DUMMYFUNCTION("""COMPUTED_VALUE"""),"Đang theo dõi")</f>
        <v>Đang theo dõi</v>
      </c>
      <c r="M276" s="729"/>
      <c r="N276" s="728" t="str">
        <f>IFERROR(__xludf.DUMMYFUNCTION("""COMPUTED_VALUE"""),"thêm mới")</f>
        <v>thêm mới</v>
      </c>
      <c r="O276" s="708"/>
      <c r="P276" s="708"/>
      <c r="Q276" s="708"/>
      <c r="R276" s="708"/>
      <c r="S276" s="708"/>
      <c r="T276" s="708"/>
      <c r="U276" s="708"/>
      <c r="V276" s="708"/>
      <c r="W276" s="708"/>
      <c r="X276" s="708"/>
      <c r="Y276" s="708"/>
      <c r="Z276" s="708"/>
      <c r="AA276" s="708"/>
      <c r="AB276" s="708"/>
      <c r="AC276" s="708"/>
      <c r="AD276" s="708"/>
      <c r="AE276" s="708"/>
    </row>
    <row r="277">
      <c r="A277" s="743"/>
      <c r="B277" s="729"/>
      <c r="C277" s="728" t="str">
        <f>IFERROR(__xludf.DUMMYFUNCTION("""COMPUTED_VALUE"""),"GPBL_NS_SM")</f>
        <v>GPBL_NS_SM</v>
      </c>
      <c r="D277" s="728" t="str">
        <f>IFERROR(__xludf.DUMMYFUNCTION("""COMPUTED_VALUE"""),"Quản lý kinh doanh")</f>
        <v>Quản lý kinh doanh</v>
      </c>
      <c r="E277" s="728" t="str">
        <f>IFERROR(__xludf.DUMMYFUNCTION("""COMPUTED_VALUE"""),"SM")</f>
        <v>SM</v>
      </c>
      <c r="F277" s="728">
        <f>IFERROR(__xludf.DUMMYFUNCTION("""COMPUTED_VALUE"""),2.0)</f>
        <v>2</v>
      </c>
      <c r="G277" s="728" t="str">
        <f>IFERROR(__xludf.DUMMYFUNCTION("""COMPUTED_VALUE"""),"GPBL")</f>
        <v>GPBL</v>
      </c>
      <c r="H277" s="728" t="str">
        <f>IFERROR(__xludf.DUMMYFUNCTION("""COMPUTED_VALUE"""),"TPP/ Trưởng ban")</f>
        <v>TPP/ Trưởng ban</v>
      </c>
      <c r="I277" s="728" t="str">
        <f>IFERROR(__xludf.DUMMYFUNCTION("""COMPUTED_VALUE"""),"L00")</f>
        <v>L00</v>
      </c>
      <c r="J277" s="728" t="str">
        <f>IFERROR(__xludf.DUMMYFUNCTION("""COMPUTED_VALUE"""),"Công ty cổ phần MISA")</f>
        <v>Công ty cổ phần MISA</v>
      </c>
      <c r="K277" s="728" t="str">
        <f>IFERROR(__xludf.DUMMYFUNCTION("""COMPUTED_VALUE"""),"02 - QL_KD")</f>
        <v>02 - QL_KD</v>
      </c>
      <c r="L277" s="728" t="str">
        <f>IFERROR(__xludf.DUMMYFUNCTION("""COMPUTED_VALUE"""),"Đang theo dõi")</f>
        <v>Đang theo dõi</v>
      </c>
      <c r="M277" s="729"/>
      <c r="N277" s="728" t="str">
        <f>IFERROR(__xludf.DUMMYFUNCTION("""COMPUTED_VALUE"""),"thêm mới")</f>
        <v>thêm mới</v>
      </c>
      <c r="O277" s="708"/>
      <c r="P277" s="708"/>
      <c r="Q277" s="708"/>
      <c r="R277" s="708"/>
      <c r="S277" s="708"/>
      <c r="T277" s="708"/>
      <c r="U277" s="708"/>
      <c r="V277" s="708"/>
      <c r="W277" s="708"/>
      <c r="X277" s="708"/>
      <c r="Y277" s="708"/>
      <c r="Z277" s="708"/>
      <c r="AA277" s="708"/>
      <c r="AB277" s="726"/>
      <c r="AC277" s="726"/>
      <c r="AD277" s="726"/>
      <c r="AE277" s="726"/>
    </row>
    <row r="278">
      <c r="A278" s="743"/>
      <c r="B278" s="729"/>
      <c r="C278" s="728" t="str">
        <f>IFERROR(__xludf.DUMMYFUNCTION("""COMPUTED_VALUE"""),"GPBL_NS_SM_CUK")</f>
        <v>GPBL_NS_SM_CUK</v>
      </c>
      <c r="D278" s="728" t="str">
        <f>IFERROR(__xludf.DUMMYFUNCTION("""COMPUTED_VALUE"""),"Quản lý kinh doanh")</f>
        <v>Quản lý kinh doanh</v>
      </c>
      <c r="E278" s="728" t="str">
        <f>IFERROR(__xludf.DUMMYFUNCTION("""COMPUTED_VALUE"""),"SM")</f>
        <v>SM</v>
      </c>
      <c r="F278" s="745">
        <f>IFERROR(__xludf.DUMMYFUNCTION("""COMPUTED_VALUE"""),2.0)</f>
        <v>2</v>
      </c>
      <c r="G278" s="728" t="str">
        <f>IFERROR(__xludf.DUMMYFUNCTION("""COMPUTED_VALUE"""),"GPBL")</f>
        <v>GPBL</v>
      </c>
      <c r="H278" s="728" t="str">
        <f>IFERROR(__xludf.DUMMYFUNCTION("""COMPUTED_VALUE"""),"TPP/ Trưởng ban")</f>
        <v>TPP/ Trưởng ban</v>
      </c>
      <c r="I278" s="728" t="str">
        <f>IFERROR(__xludf.DUMMYFUNCTION("""COMPUTED_VALUE"""),"L00")</f>
        <v>L00</v>
      </c>
      <c r="J278" s="728" t="str">
        <f>IFERROR(__xludf.DUMMYFUNCTION("""COMPUTED_VALUE"""),"Công ty cổ phần MISA")</f>
        <v>Công ty cổ phần MISA</v>
      </c>
      <c r="K278" s="728" t="str">
        <f>IFERROR(__xludf.DUMMYFUNCTION("""COMPUTED_VALUE"""),"02 - QL_KD")</f>
        <v>02 - QL_KD</v>
      </c>
      <c r="L278" s="728" t="str">
        <f>IFERROR(__xludf.DUMMYFUNCTION("""COMPUTED_VALUE"""),"Đang theo dõi")</f>
        <v>Đang theo dõi</v>
      </c>
      <c r="M278" s="729"/>
      <c r="N278" s="728" t="str">
        <f>IFERROR(__xludf.DUMMYFUNCTION("""COMPUTED_VALUE"""),"thêm mới")</f>
        <v>thêm mới</v>
      </c>
      <c r="O278" s="708"/>
      <c r="P278" s="708"/>
      <c r="Q278" s="708"/>
      <c r="R278" s="708"/>
      <c r="S278" s="708"/>
      <c r="T278" s="708"/>
      <c r="U278" s="708"/>
      <c r="V278" s="708"/>
      <c r="W278" s="708"/>
      <c r="X278" s="708"/>
      <c r="Y278" s="708"/>
      <c r="Z278" s="708"/>
      <c r="AA278" s="708"/>
      <c r="AB278" s="708"/>
      <c r="AC278" s="708"/>
      <c r="AD278" s="708"/>
      <c r="AE278" s="708"/>
    </row>
    <row r="279">
      <c r="A279" s="743"/>
      <c r="B279" s="729"/>
      <c r="C279" s="728" t="str">
        <f>IFERROR(__xludf.DUMMYFUNCTION("""COMPUTED_VALUE"""),"GPBL_NS_A.SM_CUK")</f>
        <v>GPBL_NS_A.SM_CUK</v>
      </c>
      <c r="D279" s="728" t="str">
        <f>IFERROR(__xludf.DUMMYFUNCTION("""COMPUTED_VALUE"""),"Q. Quản lý kinh doanh")</f>
        <v>Q. Quản lý kinh doanh</v>
      </c>
      <c r="E279" s="728" t="str">
        <f>IFERROR(__xludf.DUMMYFUNCTION("""COMPUTED_VALUE"""),"SM")</f>
        <v>SM</v>
      </c>
      <c r="F279" s="745">
        <f>IFERROR(__xludf.DUMMYFUNCTION("""COMPUTED_VALUE"""),2.0)</f>
        <v>2</v>
      </c>
      <c r="G279" s="728" t="str">
        <f>IFERROR(__xludf.DUMMYFUNCTION("""COMPUTED_VALUE"""),"GPBL")</f>
        <v>GPBL</v>
      </c>
      <c r="H279" s="728" t="str">
        <f>IFERROR(__xludf.DUMMYFUNCTION("""COMPUTED_VALUE"""),"TPP/ Trưởng ban")</f>
        <v>TPP/ Trưởng ban</v>
      </c>
      <c r="I279" s="728" t="str">
        <f>IFERROR(__xludf.DUMMYFUNCTION("""COMPUTED_VALUE"""),"L00")</f>
        <v>L00</v>
      </c>
      <c r="J279" s="728" t="str">
        <f>IFERROR(__xludf.DUMMYFUNCTION("""COMPUTED_VALUE"""),"Công ty cổ phần MISA")</f>
        <v>Công ty cổ phần MISA</v>
      </c>
      <c r="K279" s="728" t="str">
        <f>IFERROR(__xludf.DUMMYFUNCTION("""COMPUTED_VALUE"""),"02 - QL_KD")</f>
        <v>02 - QL_KD</v>
      </c>
      <c r="L279" s="728" t="str">
        <f>IFERROR(__xludf.DUMMYFUNCTION("""COMPUTED_VALUE"""),"Đang theo dõi")</f>
        <v>Đang theo dõi</v>
      </c>
      <c r="M279" s="729"/>
      <c r="N279" s="728" t="str">
        <f>IFERROR(__xludf.DUMMYFUNCTION("""COMPUTED_VALUE"""),"thêm mới")</f>
        <v>thêm mới</v>
      </c>
      <c r="O279" s="708"/>
      <c r="P279" s="708"/>
      <c r="Q279" s="708"/>
      <c r="R279" s="708"/>
      <c r="S279" s="708"/>
      <c r="T279" s="708"/>
      <c r="U279" s="708"/>
      <c r="V279" s="708"/>
      <c r="W279" s="708"/>
      <c r="X279" s="708"/>
      <c r="Y279" s="708"/>
      <c r="Z279" s="708"/>
      <c r="AA279" s="708"/>
      <c r="AB279" s="708"/>
      <c r="AC279" s="708"/>
      <c r="AD279" s="708"/>
      <c r="AE279" s="708"/>
    </row>
    <row r="280">
      <c r="A280" s="743"/>
      <c r="B280" s="729"/>
      <c r="C280" s="738" t="str">
        <f>IFERROR(__xludf.DUMMYFUNCTION("""COMPUTED_VALUE"""),"GPBL_CS_A.SM")</f>
        <v>GPBL_CS_A.SM</v>
      </c>
      <c r="D280" s="728" t="str">
        <f>IFERROR(__xludf.DUMMYFUNCTION("""COMPUTED_VALUE"""),"Q. Quản lý kinh doanh")</f>
        <v>Q. Quản lý kinh doanh</v>
      </c>
      <c r="E280" s="728" t="str">
        <f>IFERROR(__xludf.DUMMYFUNCTION("""COMPUTED_VALUE"""),"SM")</f>
        <v>SM</v>
      </c>
      <c r="F280" s="728">
        <f>IFERROR(__xludf.DUMMYFUNCTION("""COMPUTED_VALUE"""),2.0)</f>
        <v>2</v>
      </c>
      <c r="G280" s="728" t="str">
        <f>IFERROR(__xludf.DUMMYFUNCTION("""COMPUTED_VALUE"""),"GPBL")</f>
        <v>GPBL</v>
      </c>
      <c r="H280" s="728" t="str">
        <f>IFERROR(__xludf.DUMMYFUNCTION("""COMPUTED_VALUE"""),"TPP/ Trưởng ban")</f>
        <v>TPP/ Trưởng ban</v>
      </c>
      <c r="I280" s="728" t="str">
        <f>IFERROR(__xludf.DUMMYFUNCTION("""COMPUTED_VALUE"""),"L00")</f>
        <v>L00</v>
      </c>
      <c r="J280" s="728" t="str">
        <f>IFERROR(__xludf.DUMMYFUNCTION("""COMPUTED_VALUE"""),"Công ty cổ phần MISA")</f>
        <v>Công ty cổ phần MISA</v>
      </c>
      <c r="K280" s="728" t="str">
        <f>IFERROR(__xludf.DUMMYFUNCTION("""COMPUTED_VALUE"""),"02 - QL_KD")</f>
        <v>02 - QL_KD</v>
      </c>
      <c r="L280" s="728" t="str">
        <f>IFERROR(__xludf.DUMMYFUNCTION("""COMPUTED_VALUE"""),"Đang theo dõi")</f>
        <v>Đang theo dõi</v>
      </c>
      <c r="M280" s="729"/>
      <c r="N280" s="728" t="str">
        <f>IFERROR(__xludf.DUMMYFUNCTION("""COMPUTED_VALUE"""),"thêm mới")</f>
        <v>thêm mới</v>
      </c>
      <c r="O280" s="708"/>
      <c r="P280" s="708"/>
      <c r="Q280" s="708"/>
      <c r="R280" s="708"/>
      <c r="S280" s="708"/>
      <c r="T280" s="708"/>
      <c r="U280" s="708"/>
      <c r="V280" s="708"/>
      <c r="W280" s="708"/>
      <c r="X280" s="708"/>
      <c r="Y280" s="708"/>
      <c r="Z280" s="708"/>
      <c r="AA280" s="708"/>
      <c r="AB280" s="708"/>
      <c r="AC280" s="708"/>
      <c r="AD280" s="708"/>
      <c r="AE280" s="708"/>
    </row>
    <row r="281">
      <c r="A281" s="743"/>
      <c r="B281" s="729"/>
      <c r="C281" s="728" t="str">
        <f>IFERROR(__xludf.DUMMYFUNCTION("""COMPUTED_VALUE"""),"GPBL_CS_SM")</f>
        <v>GPBL_CS_SM</v>
      </c>
      <c r="D281" s="728" t="str">
        <f>IFERROR(__xludf.DUMMYFUNCTION("""COMPUTED_VALUE"""),"Quản lý kinh doanh")</f>
        <v>Quản lý kinh doanh</v>
      </c>
      <c r="E281" s="728" t="str">
        <f>IFERROR(__xludf.DUMMYFUNCTION("""COMPUTED_VALUE"""),"SM")</f>
        <v>SM</v>
      </c>
      <c r="F281" s="729">
        <f>IFERROR(__xludf.DUMMYFUNCTION("""COMPUTED_VALUE"""),2.0)</f>
        <v>2</v>
      </c>
      <c r="G281" s="728" t="str">
        <f>IFERROR(__xludf.DUMMYFUNCTION("""COMPUTED_VALUE"""),"GPBL")</f>
        <v>GPBL</v>
      </c>
      <c r="H281" s="728" t="str">
        <f>IFERROR(__xludf.DUMMYFUNCTION("""COMPUTED_VALUE"""),"TPP/ Trưởng ban")</f>
        <v>TPP/ Trưởng ban</v>
      </c>
      <c r="I281" s="728" t="str">
        <f>IFERROR(__xludf.DUMMYFUNCTION("""COMPUTED_VALUE"""),"L00")</f>
        <v>L00</v>
      </c>
      <c r="J281" s="728" t="str">
        <f>IFERROR(__xludf.DUMMYFUNCTION("""COMPUTED_VALUE"""),"Công ty cổ phần MISA")</f>
        <v>Công ty cổ phần MISA</v>
      </c>
      <c r="K281" s="729" t="str">
        <f>IFERROR(__xludf.DUMMYFUNCTION("""COMPUTED_VALUE"""),"02 - QL_KD")</f>
        <v>02 - QL_KD</v>
      </c>
      <c r="L281" s="728" t="str">
        <f>IFERROR(__xludf.DUMMYFUNCTION("""COMPUTED_VALUE"""),"Đang theo dõi")</f>
        <v>Đang theo dõi</v>
      </c>
      <c r="M281" s="729"/>
      <c r="N281" s="728" t="str">
        <f>IFERROR(__xludf.DUMMYFUNCTION("""COMPUTED_VALUE"""),"thêm mới")</f>
        <v>thêm mới</v>
      </c>
      <c r="O281" s="708"/>
      <c r="P281" s="708"/>
      <c r="Q281" s="708"/>
      <c r="R281" s="708"/>
      <c r="S281" s="708"/>
      <c r="T281" s="708"/>
      <c r="U281" s="708"/>
      <c r="V281" s="708"/>
      <c r="W281" s="708"/>
      <c r="X281" s="708"/>
      <c r="Y281" s="708"/>
      <c r="Z281" s="708"/>
      <c r="AA281" s="708"/>
      <c r="AB281" s="708"/>
      <c r="AC281" s="708"/>
      <c r="AD281" s="708"/>
      <c r="AE281" s="708"/>
    </row>
    <row r="282">
      <c r="A282" s="724"/>
      <c r="B282" s="725"/>
      <c r="C282" s="725" t="str">
        <f>IFERROR(__xludf.DUMMYFUNCTION("""COMPUTED_VALUE"""),"GPBL_NS_VSD")</f>
        <v>GPBL_NS_VSD</v>
      </c>
      <c r="D282" s="725" t="str">
        <f>IFERROR(__xludf.DUMMYFUNCTION("""COMPUTED_VALUE"""),"Phó giám đốc TTKD")</f>
        <v>Phó giám đốc TTKD</v>
      </c>
      <c r="E282" s="725" t="str">
        <f>IFERROR(__xludf.DUMMYFUNCTION("""COMPUTED_VALUE"""),"BOM")</f>
        <v>BOM</v>
      </c>
      <c r="F282" s="725">
        <f>IFERROR(__xludf.DUMMYFUNCTION("""COMPUTED_VALUE"""),3.0)</f>
        <v>3</v>
      </c>
      <c r="G282" s="725" t="str">
        <f>IFERROR(__xludf.DUMMYFUNCTION("""COMPUTED_VALUE"""),"GPBL")</f>
        <v>GPBL</v>
      </c>
      <c r="H282" s="725" t="str">
        <f>IFERROR(__xludf.DUMMYFUNCTION("""COMPUTED_VALUE"""),"Ban GĐTTKD/ BGĐ khối DA")</f>
        <v>Ban GĐTTKD/ BGĐ khối DA</v>
      </c>
      <c r="I282" s="725" t="str">
        <f>IFERROR(__xludf.DUMMYFUNCTION("""COMPUTED_VALUE"""),"L00")</f>
        <v>L00</v>
      </c>
      <c r="J282" s="725" t="str">
        <f>IFERROR(__xludf.DUMMYFUNCTION("""COMPUTED_VALUE"""),"Công ty cổ phần MISA")</f>
        <v>Công ty cổ phần MISA</v>
      </c>
      <c r="K282" s="725" t="str">
        <f>IFERROR(__xludf.DUMMYFUNCTION("""COMPUTED_VALUE"""),"03 - BGĐ_KD")</f>
        <v>03 - BGĐ_KD</v>
      </c>
      <c r="L282" s="725" t="str">
        <f>IFERROR(__xludf.DUMMYFUNCTION("""COMPUTED_VALUE"""),"Đang theo dõi")</f>
        <v>Đang theo dõi</v>
      </c>
      <c r="M282" s="725"/>
      <c r="N282" s="729" t="str">
        <f>IFERROR(__xludf.DUMMYFUNCTION("""COMPUTED_VALUE"""),"thêm mới")</f>
        <v>thêm mới</v>
      </c>
      <c r="O282" s="726"/>
      <c r="P282" s="726"/>
      <c r="Q282" s="726"/>
      <c r="R282" s="726"/>
      <c r="S282" s="726"/>
      <c r="T282" s="726"/>
      <c r="U282" s="726"/>
      <c r="V282" s="726"/>
      <c r="W282" s="726"/>
      <c r="X282" s="726"/>
      <c r="Y282" s="726"/>
      <c r="Z282" s="726"/>
      <c r="AA282" s="726"/>
      <c r="AB282" s="708"/>
      <c r="AC282" s="708"/>
      <c r="AD282" s="708"/>
      <c r="AE282" s="708"/>
    </row>
    <row r="283">
      <c r="A283" s="727"/>
      <c r="B283" s="728"/>
      <c r="C283" s="728" t="str">
        <f>IFERROR(__xludf.DUMMYFUNCTION("""COMPUTED_VALUE"""),"GPBL_ONB")</f>
        <v>GPBL_ONB</v>
      </c>
      <c r="D283" s="728" t="str">
        <f>IFERROR(__xludf.DUMMYFUNCTION("""COMPUTED_VALUE"""),"NV Chuyển giao")</f>
        <v>NV Chuyển giao</v>
      </c>
      <c r="E283" s="728" t="str">
        <f>IFERROR(__xludf.DUMMYFUNCTION("""COMPUTED_VALUE"""),"ONB")</f>
        <v>ONB</v>
      </c>
      <c r="F283" s="729"/>
      <c r="G283" s="728" t="str">
        <f>IFERROR(__xludf.DUMMYFUNCTION("""COMPUTED_VALUE"""),"ONB")</f>
        <v>ONB</v>
      </c>
      <c r="H283" s="729" t="str">
        <f>IFERROR(__xludf.DUMMYFUNCTION("""COMPUTED_VALUE"""),"Nhân viên/ Chuyên viên/ Chuyên gia")</f>
        <v>Nhân viên/ Chuyên viên/ Chuyên gia</v>
      </c>
      <c r="I283" s="728" t="str">
        <f>IFERROR(__xludf.DUMMYFUNCTION("""COMPUTED_VALUE"""),"L00")</f>
        <v>L00</v>
      </c>
      <c r="J283" s="728" t="str">
        <f>IFERROR(__xludf.DUMMYFUNCTION("""COMPUTED_VALUE"""),"Công ty cổ phần MISA")</f>
        <v>Công ty cổ phần MISA</v>
      </c>
      <c r="K283" s="729"/>
      <c r="L283" s="728" t="str">
        <f>IFERROR(__xludf.DUMMYFUNCTION("""COMPUTED_VALUE"""),"Đang theo dõi")</f>
        <v>Đang theo dõi</v>
      </c>
      <c r="M283" s="729"/>
      <c r="N283" s="728" t="str">
        <f>IFERROR(__xludf.DUMMYFUNCTION("""COMPUTED_VALUE"""),"thêm mới")</f>
        <v>thêm mới</v>
      </c>
      <c r="O283" s="708"/>
      <c r="P283" s="708"/>
      <c r="Q283" s="708"/>
      <c r="R283" s="708"/>
      <c r="S283" s="708"/>
      <c r="T283" s="708"/>
      <c r="U283" s="708"/>
      <c r="V283" s="708"/>
      <c r="W283" s="708"/>
      <c r="X283" s="708"/>
      <c r="Y283" s="708"/>
      <c r="Z283" s="708"/>
      <c r="AA283" s="708"/>
      <c r="AB283" s="708"/>
      <c r="AC283" s="708"/>
      <c r="AD283" s="708"/>
      <c r="AE283" s="708"/>
    </row>
    <row r="284">
      <c r="A284" s="727"/>
      <c r="B284" s="728"/>
      <c r="C284" s="728" t="str">
        <f>IFERROR(__xludf.DUMMYFUNCTION("""COMPUTED_VALUE"""),"GPBL_NWS_PDR")</f>
        <v>GPBL_NWS_PDR</v>
      </c>
      <c r="D284" s="728" t="str">
        <f>IFERROR(__xludf.DUMMYFUNCTION("""COMPUTED_VALUE"""),"NV phát triển đại lý")</f>
        <v>NV phát triển đại lý</v>
      </c>
      <c r="E284" s="728" t="str">
        <f>IFERROR(__xludf.DUMMYFUNCTION("""COMPUTED_VALUE"""),"AE")</f>
        <v>AE</v>
      </c>
      <c r="F284" s="729"/>
      <c r="G284" s="728" t="str">
        <f>IFERROR(__xludf.DUMMYFUNCTION("""COMPUTED_VALUE"""),"GPBL")</f>
        <v>GPBL</v>
      </c>
      <c r="H284" s="728" t="str">
        <f>IFERROR(__xludf.DUMMYFUNCTION("""COMPUTED_VALUE"""),"Nhân viên/ Chuyên viên/ Chuyên gia")</f>
        <v>Nhân viên/ Chuyên viên/ Chuyên gia</v>
      </c>
      <c r="I284" s="728" t="str">
        <f>IFERROR(__xludf.DUMMYFUNCTION("""COMPUTED_VALUE"""),"L00")</f>
        <v>L00</v>
      </c>
      <c r="J284" s="728" t="str">
        <f>IFERROR(__xludf.DUMMYFUNCTION("""COMPUTED_VALUE"""),"Công ty cổ phần MISA")</f>
        <v>Công ty cổ phần MISA</v>
      </c>
      <c r="K284" s="729" t="str">
        <f>IFERROR(__xludf.DUMMYFUNCTION("""COMPUTED_VALUE"""),"01 - NV_KD")</f>
        <v>01 - NV_KD</v>
      </c>
      <c r="L284" s="728" t="str">
        <f>IFERROR(__xludf.DUMMYFUNCTION("""COMPUTED_VALUE"""),"Đang theo dõi")</f>
        <v>Đang theo dõi</v>
      </c>
      <c r="M284" s="729"/>
      <c r="N284" s="728" t="str">
        <f>IFERROR(__xludf.DUMMYFUNCTION("""COMPUTED_VALUE"""),"thêm mới")</f>
        <v>thêm mới</v>
      </c>
      <c r="O284" s="708"/>
      <c r="P284" s="708"/>
      <c r="Q284" s="708"/>
      <c r="R284" s="708"/>
      <c r="S284" s="708"/>
      <c r="T284" s="708"/>
      <c r="U284" s="708"/>
      <c r="V284" s="708"/>
      <c r="W284" s="708"/>
      <c r="X284" s="708"/>
      <c r="Y284" s="708"/>
      <c r="Z284" s="708"/>
      <c r="AA284" s="708"/>
      <c r="AB284" s="708"/>
      <c r="AC284" s="708"/>
      <c r="AD284" s="708"/>
      <c r="AE284" s="708"/>
    </row>
    <row r="285">
      <c r="A285" s="727"/>
      <c r="B285" s="728"/>
      <c r="C285" s="728" t="str">
        <f>IFERROR(__xludf.DUMMYFUNCTION("""COMPUTED_VALUE"""),"GPBL_NWS_PSM")</f>
        <v>GPBL_NWS_PSM</v>
      </c>
      <c r="D285" s="728" t="str">
        <f>IFERROR(__xludf.DUMMYFUNCTION("""COMPUTED_VALUE"""),"NV quản lý thành công đại lý")</f>
        <v>NV quản lý thành công đại lý</v>
      </c>
      <c r="E285" s="728" t="str">
        <f>IFERROR(__xludf.DUMMYFUNCTION("""COMPUTED_VALUE"""),"AE")</f>
        <v>AE</v>
      </c>
      <c r="F285" s="729"/>
      <c r="G285" s="728" t="str">
        <f>IFERROR(__xludf.DUMMYFUNCTION("""COMPUTED_VALUE"""),"GPBL")</f>
        <v>GPBL</v>
      </c>
      <c r="H285" s="728" t="str">
        <f>IFERROR(__xludf.DUMMYFUNCTION("""COMPUTED_VALUE"""),"Nhân viên/ Chuyên viên/ Chuyên gia")</f>
        <v>Nhân viên/ Chuyên viên/ Chuyên gia</v>
      </c>
      <c r="I285" s="728" t="str">
        <f>IFERROR(__xludf.DUMMYFUNCTION("""COMPUTED_VALUE"""),"L00")</f>
        <v>L00</v>
      </c>
      <c r="J285" s="728" t="str">
        <f>IFERROR(__xludf.DUMMYFUNCTION("""COMPUTED_VALUE"""),"Công ty cổ phần MISA")</f>
        <v>Công ty cổ phần MISA</v>
      </c>
      <c r="K285" s="729" t="str">
        <f>IFERROR(__xludf.DUMMYFUNCTION("""COMPUTED_VALUE"""),"01 - NV_KD")</f>
        <v>01 - NV_KD</v>
      </c>
      <c r="L285" s="728" t="str">
        <f>IFERROR(__xludf.DUMMYFUNCTION("""COMPUTED_VALUE"""),"Đang theo dõi")</f>
        <v>Đang theo dõi</v>
      </c>
      <c r="M285" s="729"/>
      <c r="N285" s="728" t="str">
        <f>IFERROR(__xludf.DUMMYFUNCTION("""COMPUTED_VALUE"""),"thêm mới")</f>
        <v>thêm mới</v>
      </c>
      <c r="O285" s="708"/>
      <c r="P285" s="708"/>
      <c r="Q285" s="708"/>
      <c r="R285" s="708"/>
      <c r="S285" s="708"/>
      <c r="T285" s="708"/>
      <c r="U285" s="708"/>
      <c r="V285" s="708"/>
      <c r="W285" s="708"/>
      <c r="X285" s="708"/>
      <c r="Y285" s="708"/>
      <c r="Z285" s="708"/>
      <c r="AA285" s="708"/>
      <c r="AB285" s="708"/>
      <c r="AC285" s="708"/>
      <c r="AD285" s="708"/>
      <c r="AE285" s="708"/>
    </row>
    <row r="286">
      <c r="A286" s="727">
        <f>IFERROR(__xludf.DUMMYFUNCTION("""COMPUTED_VALUE"""),404.0)</f>
        <v>404</v>
      </c>
      <c r="B286" s="728" t="str">
        <f>IFERROR(__xludf.DUMMYFUNCTION("""COMPUTED_VALUE"""),"SB_NS_A.SM_ESHOP")</f>
        <v>SB_NS_A.SM_ESHOP</v>
      </c>
      <c r="C286" s="728" t="str">
        <f>IFERROR(__xludf.DUMMYFUNCTION("""COMPUTED_VALUE"""),"SB_NS_A.SM_ESHOP")</f>
        <v>SB_NS_A.SM_ESHOP</v>
      </c>
      <c r="D286" s="728" t="str">
        <f>IFERROR(__xludf.DUMMYFUNCTION("""COMPUTED_VALUE"""),"Q. Quản lý kinh doanh")</f>
        <v>Q. Quản lý kinh doanh</v>
      </c>
      <c r="E286" s="728" t="str">
        <f>IFERROR(__xludf.DUMMYFUNCTION("""COMPUTED_VALUE"""),"SM")</f>
        <v>SM</v>
      </c>
      <c r="F286" s="729">
        <f>IFERROR(__xludf.DUMMYFUNCTION("""COMPUTED_VALUE"""),2.0)</f>
        <v>2</v>
      </c>
      <c r="G286" s="728" t="str">
        <f>IFERROR(__xludf.DUMMYFUNCTION("""COMPUTED_VALUE"""),"GPBL")</f>
        <v>GPBL</v>
      </c>
      <c r="H286" s="728" t="str">
        <f>IFERROR(__xludf.DUMMYFUNCTION("""COMPUTED_VALUE"""),"TPP/ Trưởng ban")</f>
        <v>TPP/ Trưởng ban</v>
      </c>
      <c r="I286" s="728" t="str">
        <f>IFERROR(__xludf.DUMMYFUNCTION("""COMPUTED_VALUE"""),"L00")</f>
        <v>L00</v>
      </c>
      <c r="J286" s="728" t="str">
        <f>IFERROR(__xludf.DUMMYFUNCTION("""COMPUTED_VALUE"""),"Công ty cổ phần MISA")</f>
        <v>Công ty cổ phần MISA</v>
      </c>
      <c r="K286" s="729" t="str">
        <f>IFERROR(__xludf.DUMMYFUNCTION("""COMPUTED_VALUE"""),"02 - QL_KD")</f>
        <v>02 - QL_KD</v>
      </c>
      <c r="L286" s="728" t="str">
        <f>IFERROR(__xludf.DUMMYFUNCTION("""COMPUTED_VALUE"""),"Ngừng")</f>
        <v>Ngừng</v>
      </c>
      <c r="M286" s="729"/>
      <c r="N286" s="728" t="str">
        <f>IFERROR(__xludf.DUMMYFUNCTION("""COMPUTED_VALUE"""),"Ngừng")</f>
        <v>Ngừng</v>
      </c>
      <c r="O286" s="708"/>
      <c r="P286" s="708"/>
      <c r="Q286" s="708"/>
      <c r="R286" s="708"/>
      <c r="S286" s="708"/>
      <c r="T286" s="708"/>
      <c r="U286" s="708"/>
      <c r="V286" s="708"/>
      <c r="W286" s="708"/>
      <c r="X286" s="708"/>
      <c r="Y286" s="708"/>
      <c r="Z286" s="708"/>
      <c r="AA286" s="708"/>
      <c r="AB286" s="708"/>
      <c r="AC286" s="708"/>
      <c r="AD286" s="708"/>
      <c r="AE286" s="708"/>
    </row>
    <row r="287">
      <c r="A287" s="727">
        <f>IFERROR(__xludf.DUMMYFUNCTION("""COMPUTED_VALUE"""),410.0)</f>
        <v>410</v>
      </c>
      <c r="B287" s="728" t="str">
        <f>IFERROR(__xludf.DUMMYFUNCTION("""COMPUTED_VALUE"""),"SB_NS_AE_ESHOP")</f>
        <v>SB_NS_AE_ESHOP</v>
      </c>
      <c r="C287" s="728" t="str">
        <f>IFERROR(__xludf.DUMMYFUNCTION("""COMPUTED_VALUE"""),"SB_NS_AE_ESHOP")</f>
        <v>SB_NS_AE_ESHOP</v>
      </c>
      <c r="D287" s="728" t="str">
        <f>IFERROR(__xludf.DUMMYFUNCTION("""COMPUTED_VALUE"""),"NV tư vấn bán hàng")</f>
        <v>NV tư vấn bán hàng</v>
      </c>
      <c r="E287" s="728" t="str">
        <f>IFERROR(__xludf.DUMMYFUNCTION("""COMPUTED_VALUE"""),"AE")</f>
        <v>AE</v>
      </c>
      <c r="F287" s="729"/>
      <c r="G287" s="728" t="str">
        <f>IFERROR(__xludf.DUMMYFUNCTION("""COMPUTED_VALUE"""),"GPBL")</f>
        <v>GPBL</v>
      </c>
      <c r="H287" s="728" t="str">
        <f>IFERROR(__xludf.DUMMYFUNCTION("""COMPUTED_VALUE"""),"Nhân viên/ Chuyên viên/ Chuyên gia")</f>
        <v>Nhân viên/ Chuyên viên/ Chuyên gia</v>
      </c>
      <c r="I287" s="728" t="str">
        <f>IFERROR(__xludf.DUMMYFUNCTION("""COMPUTED_VALUE"""),"L00")</f>
        <v>L00</v>
      </c>
      <c r="J287" s="728" t="str">
        <f>IFERROR(__xludf.DUMMYFUNCTION("""COMPUTED_VALUE"""),"Công ty cổ phần MISA")</f>
        <v>Công ty cổ phần MISA</v>
      </c>
      <c r="K287" s="729" t="str">
        <f>IFERROR(__xludf.DUMMYFUNCTION("""COMPUTED_VALUE"""),"01 - NV_KD")</f>
        <v>01 - NV_KD</v>
      </c>
      <c r="L287" s="728" t="str">
        <f>IFERROR(__xludf.DUMMYFUNCTION("""COMPUTED_VALUE"""),"Ngừng")</f>
        <v>Ngừng</v>
      </c>
      <c r="M287" s="729"/>
      <c r="N287" s="728" t="str">
        <f>IFERROR(__xludf.DUMMYFUNCTION("""COMPUTED_VALUE"""),"Ngừng")</f>
        <v>Ngừng</v>
      </c>
      <c r="O287" s="708"/>
      <c r="P287" s="708"/>
      <c r="Q287" s="708"/>
      <c r="R287" s="708"/>
      <c r="S287" s="708"/>
      <c r="T287" s="708"/>
      <c r="U287" s="708"/>
      <c r="V287" s="708"/>
      <c r="W287" s="708"/>
      <c r="X287" s="708"/>
      <c r="Y287" s="708"/>
      <c r="Z287" s="708"/>
      <c r="AA287" s="708"/>
      <c r="AB287" s="708"/>
      <c r="AC287" s="708"/>
      <c r="AD287" s="708"/>
      <c r="AE287" s="708"/>
    </row>
    <row r="288">
      <c r="A288" s="727">
        <f>IFERROR(__xludf.DUMMYFUNCTION("""COMPUTED_VALUE"""),416.0)</f>
        <v>416</v>
      </c>
      <c r="B288" s="728" t="str">
        <f>IFERROR(__xludf.DUMMYFUNCTION("""COMPUTED_VALUE"""),"SB_NS_SM_ESHOP")</f>
        <v>SB_NS_SM_ESHOP</v>
      </c>
      <c r="C288" s="728" t="str">
        <f>IFERROR(__xludf.DUMMYFUNCTION("""COMPUTED_VALUE"""),"SB_NS_SM_ESHOP")</f>
        <v>SB_NS_SM_ESHOP</v>
      </c>
      <c r="D288" s="728" t="str">
        <f>IFERROR(__xludf.DUMMYFUNCTION("""COMPUTED_VALUE"""),"Quản lý kinh doanh")</f>
        <v>Quản lý kinh doanh</v>
      </c>
      <c r="E288" s="728" t="str">
        <f>IFERROR(__xludf.DUMMYFUNCTION("""COMPUTED_VALUE"""),"SM")</f>
        <v>SM</v>
      </c>
      <c r="F288" s="729">
        <f>IFERROR(__xludf.DUMMYFUNCTION("""COMPUTED_VALUE"""),2.0)</f>
        <v>2</v>
      </c>
      <c r="G288" s="728" t="str">
        <f>IFERROR(__xludf.DUMMYFUNCTION("""COMPUTED_VALUE"""),"GPBL")</f>
        <v>GPBL</v>
      </c>
      <c r="H288" s="728" t="str">
        <f>IFERROR(__xludf.DUMMYFUNCTION("""COMPUTED_VALUE"""),"TPP/ Trưởng ban")</f>
        <v>TPP/ Trưởng ban</v>
      </c>
      <c r="I288" s="728" t="str">
        <f>IFERROR(__xludf.DUMMYFUNCTION("""COMPUTED_VALUE"""),"L00")</f>
        <v>L00</v>
      </c>
      <c r="J288" s="728" t="str">
        <f>IFERROR(__xludf.DUMMYFUNCTION("""COMPUTED_VALUE"""),"Công ty cổ phần MISA")</f>
        <v>Công ty cổ phần MISA</v>
      </c>
      <c r="K288" s="729" t="str">
        <f>IFERROR(__xludf.DUMMYFUNCTION("""COMPUTED_VALUE"""),"02 - QL_KD")</f>
        <v>02 - QL_KD</v>
      </c>
      <c r="L288" s="728" t="str">
        <f>IFERROR(__xludf.DUMMYFUNCTION("""COMPUTED_VALUE"""),"Ngừng")</f>
        <v>Ngừng</v>
      </c>
      <c r="M288" s="729"/>
      <c r="N288" s="728" t="str">
        <f>IFERROR(__xludf.DUMMYFUNCTION("""COMPUTED_VALUE"""),"Ngừng")</f>
        <v>Ngừng</v>
      </c>
      <c r="O288" s="708"/>
      <c r="P288" s="708"/>
      <c r="Q288" s="708"/>
      <c r="R288" s="708"/>
      <c r="S288" s="708"/>
      <c r="T288" s="708"/>
      <c r="U288" s="708"/>
      <c r="V288" s="708"/>
      <c r="W288" s="708"/>
      <c r="X288" s="708"/>
      <c r="Y288" s="708"/>
      <c r="Z288" s="708"/>
      <c r="AA288" s="708"/>
      <c r="AB288" s="708"/>
      <c r="AC288" s="708"/>
      <c r="AD288" s="708"/>
      <c r="AE288" s="708"/>
    </row>
    <row r="289">
      <c r="A289" s="727"/>
      <c r="B289" s="728"/>
      <c r="C289" s="728" t="str">
        <f>IFERROR(__xludf.DUMMYFUNCTION("""COMPUTED_VALUE"""),"GPBL_NS_AE_ESHOP")</f>
        <v>GPBL_NS_AE_ESHOP</v>
      </c>
      <c r="D289" s="728" t="str">
        <f>IFERROR(__xludf.DUMMYFUNCTION("""COMPUTED_VALUE"""),"NV Tư vấn bán hàng")</f>
        <v>NV Tư vấn bán hàng</v>
      </c>
      <c r="E289" s="728" t="str">
        <f>IFERROR(__xludf.DUMMYFUNCTION("""COMPUTED_VALUE"""),"AE")</f>
        <v>AE</v>
      </c>
      <c r="F289" s="729"/>
      <c r="G289" s="728" t="str">
        <f>IFERROR(__xludf.DUMMYFUNCTION("""COMPUTED_VALUE"""),"GPBL")</f>
        <v>GPBL</v>
      </c>
      <c r="H289" s="728" t="str">
        <f>IFERROR(__xludf.DUMMYFUNCTION("""COMPUTED_VALUE"""),"Nhân viên/ Chuyên viên/ Chuyên gia")</f>
        <v>Nhân viên/ Chuyên viên/ Chuyên gia</v>
      </c>
      <c r="I289" s="728" t="str">
        <f>IFERROR(__xludf.DUMMYFUNCTION("""COMPUTED_VALUE"""),"L00")</f>
        <v>L00</v>
      </c>
      <c r="J289" s="728" t="str">
        <f>IFERROR(__xludf.DUMMYFUNCTION("""COMPUTED_VALUE"""),"Công ty cổ phần MISA")</f>
        <v>Công ty cổ phần MISA</v>
      </c>
      <c r="K289" s="729" t="str">
        <f>IFERROR(__xludf.DUMMYFUNCTION("""COMPUTED_VALUE"""),"01 - NV_KD")</f>
        <v>01 - NV_KD</v>
      </c>
      <c r="L289" s="728" t="str">
        <f>IFERROR(__xludf.DUMMYFUNCTION("""COMPUTED_VALUE"""),"Đang theo dõi")</f>
        <v>Đang theo dõi</v>
      </c>
      <c r="M289" s="729"/>
      <c r="N289" s="728" t="str">
        <f>IFERROR(__xludf.DUMMYFUNCTION("""COMPUTED_VALUE"""),"thêm mới")</f>
        <v>thêm mới</v>
      </c>
      <c r="O289" s="708"/>
      <c r="P289" s="708"/>
      <c r="Q289" s="708"/>
      <c r="R289" s="708"/>
      <c r="S289" s="708"/>
      <c r="T289" s="708"/>
      <c r="U289" s="708"/>
      <c r="V289" s="708"/>
      <c r="W289" s="708"/>
      <c r="X289" s="708"/>
      <c r="Y289" s="708"/>
      <c r="Z289" s="708"/>
      <c r="AA289" s="708"/>
      <c r="AB289" s="708"/>
      <c r="AC289" s="708"/>
      <c r="AD289" s="708"/>
      <c r="AE289" s="708"/>
    </row>
    <row r="290">
      <c r="A290" s="727"/>
      <c r="B290" s="728"/>
      <c r="C290" s="728" t="str">
        <f>IFERROR(__xludf.DUMMYFUNCTION("""COMPUTED_VALUE"""),"GPBL_NS_AE_CUK&amp;ESHOP")</f>
        <v>GPBL_NS_AE_CUK&amp;ESHOP</v>
      </c>
      <c r="D290" s="728" t="str">
        <f>IFERROR(__xludf.DUMMYFUNCTION("""COMPUTED_VALUE"""),"NV Tư vấn bán hàng")</f>
        <v>NV Tư vấn bán hàng</v>
      </c>
      <c r="E290" s="728" t="str">
        <f>IFERROR(__xludf.DUMMYFUNCTION("""COMPUTED_VALUE"""),"AE")</f>
        <v>AE</v>
      </c>
      <c r="F290" s="729"/>
      <c r="G290" s="728" t="str">
        <f>IFERROR(__xludf.DUMMYFUNCTION("""COMPUTED_VALUE"""),"GPBL")</f>
        <v>GPBL</v>
      </c>
      <c r="H290" s="728" t="str">
        <f>IFERROR(__xludf.DUMMYFUNCTION("""COMPUTED_VALUE"""),"Nhân viên/ Chuyên viên/ Chuyên gia")</f>
        <v>Nhân viên/ Chuyên viên/ Chuyên gia</v>
      </c>
      <c r="I290" s="728" t="str">
        <f>IFERROR(__xludf.DUMMYFUNCTION("""COMPUTED_VALUE"""),"L00")</f>
        <v>L00</v>
      </c>
      <c r="J290" s="728" t="str">
        <f>IFERROR(__xludf.DUMMYFUNCTION("""COMPUTED_VALUE"""),"Công ty cổ phần MISA")</f>
        <v>Công ty cổ phần MISA</v>
      </c>
      <c r="K290" s="729" t="str">
        <f>IFERROR(__xludf.DUMMYFUNCTION("""COMPUTED_VALUE"""),"01 - NV_KD")</f>
        <v>01 - NV_KD</v>
      </c>
      <c r="L290" s="728" t="str">
        <f>IFERROR(__xludf.DUMMYFUNCTION("""COMPUTED_VALUE"""),"Đang theo dõi")</f>
        <v>Đang theo dõi</v>
      </c>
      <c r="M290" s="729"/>
      <c r="N290" s="728" t="str">
        <f>IFERROR(__xludf.DUMMYFUNCTION("""COMPUTED_VALUE"""),"thêm mới")</f>
        <v>thêm mới</v>
      </c>
      <c r="O290" s="708"/>
      <c r="P290" s="708"/>
      <c r="Q290" s="708"/>
      <c r="R290" s="708"/>
      <c r="S290" s="708"/>
      <c r="T290" s="708"/>
      <c r="U290" s="708"/>
      <c r="V290" s="708"/>
      <c r="W290" s="708"/>
      <c r="X290" s="708"/>
      <c r="Y290" s="708"/>
      <c r="Z290" s="708"/>
      <c r="AA290" s="708"/>
      <c r="AB290" s="708"/>
      <c r="AC290" s="708"/>
      <c r="AD290" s="708"/>
      <c r="AE290" s="708"/>
    </row>
    <row r="291">
      <c r="A291" s="727"/>
      <c r="B291" s="728"/>
      <c r="C291" s="728" t="str">
        <f>IFERROR(__xludf.DUMMYFUNCTION("""COMPUTED_VALUE"""),"GPBL_NS_SM_ESHOP")</f>
        <v>GPBL_NS_SM_ESHOP</v>
      </c>
      <c r="D291" s="728" t="str">
        <f>IFERROR(__xludf.DUMMYFUNCTION("""COMPUTED_VALUE"""),"Quản lý kinh doanh")</f>
        <v>Quản lý kinh doanh</v>
      </c>
      <c r="E291" s="728" t="str">
        <f>IFERROR(__xludf.DUMMYFUNCTION("""COMPUTED_VALUE"""),"SM")</f>
        <v>SM</v>
      </c>
      <c r="F291" s="728">
        <f>IFERROR(__xludf.DUMMYFUNCTION("""COMPUTED_VALUE"""),2.0)</f>
        <v>2</v>
      </c>
      <c r="G291" s="728" t="str">
        <f>IFERROR(__xludf.DUMMYFUNCTION("""COMPUTED_VALUE"""),"GPBL")</f>
        <v>GPBL</v>
      </c>
      <c r="H291" s="729" t="str">
        <f>IFERROR(__xludf.DUMMYFUNCTION("""COMPUTED_VALUE"""),"TPP/ Trưởng ban")</f>
        <v>TPP/ Trưởng ban</v>
      </c>
      <c r="I291" s="728" t="str">
        <f>IFERROR(__xludf.DUMMYFUNCTION("""COMPUTED_VALUE"""),"L00")</f>
        <v>L00</v>
      </c>
      <c r="J291" s="728" t="str">
        <f>IFERROR(__xludf.DUMMYFUNCTION("""COMPUTED_VALUE"""),"Công ty cổ phần MISA")</f>
        <v>Công ty cổ phần MISA</v>
      </c>
      <c r="K291" s="729" t="str">
        <f>IFERROR(__xludf.DUMMYFUNCTION("""COMPUTED_VALUE"""),"02 - QL_KD")</f>
        <v>02 - QL_KD</v>
      </c>
      <c r="L291" s="728" t="str">
        <f>IFERROR(__xludf.DUMMYFUNCTION("""COMPUTED_VALUE"""),"Đang theo dõi")</f>
        <v>Đang theo dõi</v>
      </c>
      <c r="M291" s="729"/>
      <c r="N291" s="728" t="str">
        <f>IFERROR(__xludf.DUMMYFUNCTION("""COMPUTED_VALUE"""),"thêm mới")</f>
        <v>thêm mới</v>
      </c>
      <c r="O291" s="708"/>
      <c r="P291" s="708"/>
      <c r="Q291" s="708"/>
      <c r="R291" s="708"/>
      <c r="S291" s="708"/>
      <c r="T291" s="708"/>
      <c r="U291" s="708"/>
      <c r="V291" s="708"/>
      <c r="W291" s="708"/>
      <c r="X291" s="708"/>
      <c r="Y291" s="708"/>
      <c r="Z291" s="708"/>
      <c r="AA291" s="708"/>
      <c r="AB291" s="708"/>
      <c r="AC291" s="708"/>
      <c r="AD291" s="708"/>
      <c r="AE291" s="708"/>
    </row>
    <row r="292">
      <c r="A292" s="727" t="str">
        <f>IFERROR(__xludf.DUMMYFUNCTION("""COMPUTED_VALUE"""),"Công ty cổ phần JETPAY")</f>
        <v>Công ty cổ phần JETPAY</v>
      </c>
      <c r="B292" s="728"/>
      <c r="C292" s="728"/>
      <c r="D292" s="728"/>
      <c r="E292" s="728"/>
      <c r="F292" s="729"/>
      <c r="G292" s="728"/>
      <c r="H292" s="728"/>
      <c r="I292" s="728"/>
      <c r="J292" s="728"/>
      <c r="K292" s="729"/>
      <c r="L292" s="728"/>
      <c r="M292" s="729"/>
      <c r="N292" s="728"/>
      <c r="O292" s="708"/>
      <c r="P292" s="708"/>
      <c r="Q292" s="708"/>
      <c r="R292" s="708"/>
      <c r="S292" s="708"/>
      <c r="T292" s="708"/>
      <c r="U292" s="708"/>
      <c r="V292" s="708"/>
      <c r="W292" s="708"/>
      <c r="X292" s="708"/>
      <c r="Y292" s="708"/>
      <c r="Z292" s="708"/>
      <c r="AA292" s="708"/>
      <c r="AB292" s="708"/>
      <c r="AC292" s="708"/>
      <c r="AD292" s="708"/>
      <c r="AE292" s="708"/>
    </row>
    <row r="293">
      <c r="A293" s="727">
        <f>IFERROR(__xludf.DUMMYFUNCTION("""COMPUTED_VALUE"""),255.0)</f>
        <v>255</v>
      </c>
      <c r="B293" s="728" t="str">
        <f>IFERROR(__xludf.DUMMYFUNCTION("""COMPUTED_VALUE"""),"JETPAY_AE")</f>
        <v>JETPAY_AE</v>
      </c>
      <c r="C293" s="728" t="str">
        <f>IFERROR(__xludf.DUMMYFUNCTION("""COMPUTED_VALUE"""),"JETPAY_AE")</f>
        <v>JETPAY_AE</v>
      </c>
      <c r="D293" s="728" t="str">
        <f>IFERROR(__xludf.DUMMYFUNCTION("""COMPUTED_VALUE"""),"NV Tư vấn bán hàng (AE)")</f>
        <v>NV Tư vấn bán hàng (AE)</v>
      </c>
      <c r="E293" s="729" t="str">
        <f>IFERROR(__xludf.DUMMYFUNCTION("""COMPUTED_VALUE"""),"AE")</f>
        <v>AE</v>
      </c>
      <c r="F293" s="729"/>
      <c r="G293" s="728" t="str">
        <f>IFERROR(__xludf.DUMMYFUNCTION("""COMPUTED_VALUE"""),"JETPAY")</f>
        <v>JETPAY</v>
      </c>
      <c r="H293" s="729"/>
      <c r="I293" s="728" t="str">
        <f>IFERROR(__xludf.DUMMYFUNCTION("""COMPUTED_VALUE"""),"L00")</f>
        <v>L00</v>
      </c>
      <c r="J293" s="728" t="str">
        <f>IFERROR(__xludf.DUMMYFUNCTION("""COMPUTED_VALUE"""),"Công ty cổ phần MISA")</f>
        <v>Công ty cổ phần MISA</v>
      </c>
      <c r="K293" s="729"/>
      <c r="L293" s="728" t="str">
        <f>IFERROR(__xludf.DUMMYFUNCTION("""COMPUTED_VALUE"""),"Đang theo dõi")</f>
        <v>Đang theo dõi</v>
      </c>
      <c r="M293" s="729"/>
      <c r="N293" s="728" t="str">
        <f>IFERROR(__xludf.DUMMYFUNCTION("""COMPUTED_VALUE"""),"giữ nguyên")</f>
        <v>giữ nguyên</v>
      </c>
      <c r="O293" s="708"/>
      <c r="P293" s="708"/>
      <c r="Q293" s="708"/>
      <c r="R293" s="708"/>
      <c r="S293" s="708"/>
      <c r="T293" s="708"/>
      <c r="U293" s="708"/>
      <c r="V293" s="708"/>
      <c r="W293" s="708"/>
      <c r="X293" s="708"/>
      <c r="Y293" s="708"/>
      <c r="Z293" s="708"/>
      <c r="AA293" s="708"/>
      <c r="AB293" s="708"/>
      <c r="AC293" s="708"/>
      <c r="AD293" s="708"/>
      <c r="AE293" s="708"/>
    </row>
    <row r="294">
      <c r="A294" s="727">
        <f>IFERROR(__xludf.DUMMYFUNCTION("""COMPUTED_VALUE"""),256.0)</f>
        <v>256</v>
      </c>
      <c r="B294" s="728" t="str">
        <f>IFERROR(__xludf.DUMMYFUNCTION("""COMPUTED_VALUE"""),"JETPAY_AE_BAH")</f>
        <v>JETPAY_AE_BAH</v>
      </c>
      <c r="C294" s="728" t="str">
        <f>IFERROR(__xludf.DUMMYFUNCTION("""COMPUTED_VALUE"""),"JETPAY_AE_BAH")</f>
        <v>JETPAY_AE_BAH</v>
      </c>
      <c r="D294" s="728" t="str">
        <f>IFERROR(__xludf.DUMMYFUNCTION("""COMPUTED_VALUE"""),"NV Tư vấn bán hàng")</f>
        <v>NV Tư vấn bán hàng</v>
      </c>
      <c r="E294" s="728" t="str">
        <f>IFERROR(__xludf.DUMMYFUNCTION("""COMPUTED_VALUE"""),"AE")</f>
        <v>AE</v>
      </c>
      <c r="F294" s="728"/>
      <c r="G294" s="728" t="str">
        <f>IFERROR(__xludf.DUMMYFUNCTION("""COMPUTED_VALUE"""),"JETPAY")</f>
        <v>JETPAY</v>
      </c>
      <c r="H294" s="729" t="str">
        <f>IFERROR(__xludf.DUMMYFUNCTION("""COMPUTED_VALUE"""),"Nhân viên/ Chuyên viên/ Chuyên gia")</f>
        <v>Nhân viên/ Chuyên viên/ Chuyên gia</v>
      </c>
      <c r="I294" s="728" t="str">
        <f>IFERROR(__xludf.DUMMYFUNCTION("""COMPUTED_VALUE"""),"L00")</f>
        <v>L00</v>
      </c>
      <c r="J294" s="728" t="str">
        <f>IFERROR(__xludf.DUMMYFUNCTION("""COMPUTED_VALUE"""),"Công ty cổ phần MISA")</f>
        <v>Công ty cổ phần MISA</v>
      </c>
      <c r="K294" s="729"/>
      <c r="L294" s="728" t="str">
        <f>IFERROR(__xludf.DUMMYFUNCTION("""COMPUTED_VALUE"""),"Đang theo dõi")</f>
        <v>Đang theo dõi</v>
      </c>
      <c r="M294" s="729"/>
      <c r="N294" s="728" t="str">
        <f>IFERROR(__xludf.DUMMYFUNCTION("""COMPUTED_VALUE"""),"giữ nguyên")</f>
        <v>giữ nguyên</v>
      </c>
      <c r="O294" s="708"/>
      <c r="P294" s="708"/>
      <c r="Q294" s="708"/>
      <c r="R294" s="708"/>
      <c r="S294" s="708"/>
      <c r="T294" s="708"/>
      <c r="U294" s="708"/>
      <c r="V294" s="708"/>
      <c r="W294" s="708"/>
      <c r="X294" s="708"/>
      <c r="Y294" s="708"/>
      <c r="Z294" s="708"/>
      <c r="AA294" s="708"/>
      <c r="AB294" s="708"/>
      <c r="AC294" s="708"/>
      <c r="AD294" s="708"/>
      <c r="AE294" s="708"/>
    </row>
    <row r="295">
      <c r="A295" s="727">
        <f>IFERROR(__xludf.DUMMYFUNCTION("""COMPUTED_VALUE"""),257.0)</f>
        <v>257</v>
      </c>
      <c r="B295" s="728" t="str">
        <f>IFERROR(__xludf.DUMMYFUNCTION("""COMPUTED_VALUE"""),"JETPAY_AE_LENDING")</f>
        <v>JETPAY_AE_LENDING</v>
      </c>
      <c r="C295" s="728" t="str">
        <f>IFERROR(__xludf.DUMMYFUNCTION("""COMPUTED_VALUE"""),"JETPAY_AE_LENDING")</f>
        <v>JETPAY_AE_LENDING</v>
      </c>
      <c r="D295" s="728" t="str">
        <f>IFERROR(__xludf.DUMMYFUNCTION("""COMPUTED_VALUE"""),"NV Tư vấn tài chính")</f>
        <v>NV Tư vấn tài chính</v>
      </c>
      <c r="E295" s="729" t="str">
        <f>IFERROR(__xludf.DUMMYFUNCTION("""COMPUTED_VALUE"""),"AE")</f>
        <v>AE</v>
      </c>
      <c r="F295" s="729"/>
      <c r="G295" s="728" t="str">
        <f>IFERROR(__xludf.DUMMYFUNCTION("""COMPUTED_VALUE"""),"JETPAY")</f>
        <v>JETPAY</v>
      </c>
      <c r="H295" s="729" t="str">
        <f>IFERROR(__xludf.DUMMYFUNCTION("""COMPUTED_VALUE"""),"Nhân viên/ Chuyên viên/ Chuyên gia")</f>
        <v>Nhân viên/ Chuyên viên/ Chuyên gia</v>
      </c>
      <c r="I295" s="728" t="str">
        <f>IFERROR(__xludf.DUMMYFUNCTION("""COMPUTED_VALUE"""),"L00")</f>
        <v>L00</v>
      </c>
      <c r="J295" s="728" t="str">
        <f>IFERROR(__xludf.DUMMYFUNCTION("""COMPUTED_VALUE"""),"Công ty cổ phần MISA")</f>
        <v>Công ty cổ phần MISA</v>
      </c>
      <c r="K295" s="729"/>
      <c r="L295" s="728" t="str">
        <f>IFERROR(__xludf.DUMMYFUNCTION("""COMPUTED_VALUE"""),"Đang theo dõi")</f>
        <v>Đang theo dõi</v>
      </c>
      <c r="M295" s="729"/>
      <c r="N295" s="728" t="str">
        <f>IFERROR(__xludf.DUMMYFUNCTION("""COMPUTED_VALUE"""),"giữ nguyên")</f>
        <v>giữ nguyên</v>
      </c>
      <c r="O295" s="708"/>
      <c r="P295" s="708"/>
      <c r="Q295" s="708"/>
      <c r="R295" s="708"/>
      <c r="S295" s="708"/>
      <c r="T295" s="708"/>
      <c r="U295" s="708"/>
      <c r="V295" s="708"/>
      <c r="W295" s="708"/>
      <c r="X295" s="708"/>
      <c r="Y295" s="708"/>
      <c r="Z295" s="708"/>
      <c r="AA295" s="708"/>
      <c r="AB295" s="708"/>
      <c r="AC295" s="708"/>
      <c r="AD295" s="708"/>
      <c r="AE295" s="708"/>
    </row>
    <row r="296">
      <c r="A296" s="727">
        <f>IFERROR(__xludf.DUMMYFUNCTION("""COMPUTED_VALUE"""),258.0)</f>
        <v>258</v>
      </c>
      <c r="B296" s="728" t="str">
        <f>IFERROR(__xludf.DUMMYFUNCTION("""COMPUTED_VALUE"""),"JETPAY_AE_THP")</f>
        <v>JETPAY_AE_THP</v>
      </c>
      <c r="C296" s="728" t="str">
        <f>IFERROR(__xludf.DUMMYFUNCTION("""COMPUTED_VALUE"""),"JETPAY_AE_THP")</f>
        <v>JETPAY_AE_THP</v>
      </c>
      <c r="D296" s="728" t="str">
        <f>IFERROR(__xludf.DUMMYFUNCTION("""COMPUTED_VALUE"""),"NV Tư vấn bán hàng")</f>
        <v>NV Tư vấn bán hàng</v>
      </c>
      <c r="E296" s="729" t="str">
        <f>IFERROR(__xludf.DUMMYFUNCTION("""COMPUTED_VALUE"""),"AE")</f>
        <v>AE</v>
      </c>
      <c r="F296" s="729"/>
      <c r="G296" s="728" t="str">
        <f>IFERROR(__xludf.DUMMYFUNCTION("""COMPUTED_VALUE"""),"JETPAY")</f>
        <v>JETPAY</v>
      </c>
      <c r="H296" s="729" t="str">
        <f>IFERROR(__xludf.DUMMYFUNCTION("""COMPUTED_VALUE"""),"Nhân viên/ Chuyên viên/ Chuyên gia")</f>
        <v>Nhân viên/ Chuyên viên/ Chuyên gia</v>
      </c>
      <c r="I296" s="728" t="str">
        <f>IFERROR(__xludf.DUMMYFUNCTION("""COMPUTED_VALUE"""),"L00")</f>
        <v>L00</v>
      </c>
      <c r="J296" s="728" t="str">
        <f>IFERROR(__xludf.DUMMYFUNCTION("""COMPUTED_VALUE"""),"Công ty cổ phần MISA")</f>
        <v>Công ty cổ phần MISA</v>
      </c>
      <c r="K296" s="729"/>
      <c r="L296" s="728" t="str">
        <f>IFERROR(__xludf.DUMMYFUNCTION("""COMPUTED_VALUE"""),"Đang theo dõi")</f>
        <v>Đang theo dõi</v>
      </c>
      <c r="M296" s="729"/>
      <c r="N296" s="728" t="str">
        <f>IFERROR(__xludf.DUMMYFUNCTION("""COMPUTED_VALUE"""),"giữ nguyên")</f>
        <v>giữ nguyên</v>
      </c>
      <c r="O296" s="708"/>
      <c r="P296" s="708"/>
      <c r="Q296" s="708"/>
      <c r="R296" s="708"/>
      <c r="S296" s="708"/>
      <c r="T296" s="708"/>
      <c r="U296" s="708"/>
      <c r="V296" s="708"/>
      <c r="W296" s="708"/>
      <c r="X296" s="708"/>
      <c r="Y296" s="708"/>
      <c r="Z296" s="708"/>
      <c r="AA296" s="708"/>
      <c r="AB296" s="708"/>
      <c r="AC296" s="708"/>
      <c r="AD296" s="708"/>
      <c r="AE296" s="708"/>
    </row>
    <row r="297">
      <c r="A297" s="727">
        <f>IFERROR(__xludf.DUMMYFUNCTION("""COMPUTED_VALUE"""),259.0)</f>
        <v>259</v>
      </c>
      <c r="B297" s="728" t="str">
        <f>IFERROR(__xludf.DUMMYFUNCTION("""COMPUTED_VALUE"""),"JETPAY_BA")</f>
        <v>JETPAY_BA</v>
      </c>
      <c r="C297" s="728" t="str">
        <f>IFERROR(__xludf.DUMMYFUNCTION("""COMPUTED_VALUE"""),"JETPAY_BA")</f>
        <v>JETPAY_BA</v>
      </c>
      <c r="D297" s="728" t="str">
        <f>IFERROR(__xludf.DUMMYFUNCTION("""COMPUTED_VALUE"""),"NV phân tích nghiệp vụ")</f>
        <v>NV phân tích nghiệp vụ</v>
      </c>
      <c r="E297" s="728" t="str">
        <f>IFERROR(__xludf.DUMMYFUNCTION("""COMPUTED_VALUE"""),"BA")</f>
        <v>BA</v>
      </c>
      <c r="F297" s="729"/>
      <c r="G297" s="728" t="str">
        <f>IFERROR(__xludf.DUMMYFUNCTION("""COMPUTED_VALUE"""),"JETPAY")</f>
        <v>JETPAY</v>
      </c>
      <c r="H297" s="728" t="str">
        <f>IFERROR(__xludf.DUMMYFUNCTION("""COMPUTED_VALUE"""),"Nhân viên/ Chuyên viên/ Chuyên gia")</f>
        <v>Nhân viên/ Chuyên viên/ Chuyên gia</v>
      </c>
      <c r="I297" s="728" t="str">
        <f>IFERROR(__xludf.DUMMYFUNCTION("""COMPUTED_VALUE"""),"L00")</f>
        <v>L00</v>
      </c>
      <c r="J297" s="728" t="str">
        <f>IFERROR(__xludf.DUMMYFUNCTION("""COMPUTED_VALUE"""),"Công ty cổ phần MISA")</f>
        <v>Công ty cổ phần MISA</v>
      </c>
      <c r="K297" s="729"/>
      <c r="L297" s="728" t="str">
        <f>IFERROR(__xludf.DUMMYFUNCTION("""COMPUTED_VALUE"""),"Đang theo dõi")</f>
        <v>Đang theo dõi</v>
      </c>
      <c r="M297" s="729"/>
      <c r="N297" s="728" t="str">
        <f>IFERROR(__xludf.DUMMYFUNCTION("""COMPUTED_VALUE"""),"giữ nguyên")</f>
        <v>giữ nguyên</v>
      </c>
      <c r="O297" s="708"/>
      <c r="P297" s="708"/>
      <c r="Q297" s="708"/>
      <c r="R297" s="708"/>
      <c r="S297" s="708"/>
      <c r="T297" s="708"/>
      <c r="U297" s="708"/>
      <c r="V297" s="708"/>
      <c r="W297" s="708"/>
      <c r="X297" s="708"/>
      <c r="Y297" s="708"/>
      <c r="Z297" s="708"/>
      <c r="AA297" s="708"/>
      <c r="AB297" s="708"/>
      <c r="AC297" s="708"/>
      <c r="AD297" s="708"/>
      <c r="AE297" s="708"/>
    </row>
    <row r="298">
      <c r="A298" s="727">
        <f>IFERROR(__xludf.DUMMYFUNCTION("""COMPUTED_VALUE"""),260.0)</f>
        <v>260</v>
      </c>
      <c r="B298" s="728" t="str">
        <f>IFERROR(__xludf.DUMMYFUNCTION("""COMPUTED_VALUE"""),"JETPAY_BO_HR")</f>
        <v>JETPAY_BO_HR</v>
      </c>
      <c r="C298" s="728" t="str">
        <f>IFERROR(__xludf.DUMMYFUNCTION("""COMPUTED_VALUE"""),"JETPAY_BO_HR")</f>
        <v>JETPAY_BO_HR</v>
      </c>
      <c r="D298" s="728" t="str">
        <f>IFERROR(__xludf.DUMMYFUNCTION("""COMPUTED_VALUE"""),"Nhân viên HR tổng hợp")</f>
        <v>Nhân viên HR tổng hợp</v>
      </c>
      <c r="E298" s="729" t="str">
        <f>IFERROR(__xludf.DUMMYFUNCTION("""COMPUTED_VALUE"""),"BO")</f>
        <v>BO</v>
      </c>
      <c r="F298" s="729"/>
      <c r="G298" s="728" t="str">
        <f>IFERROR(__xludf.DUMMYFUNCTION("""COMPUTED_VALUE"""),"JETPAY")</f>
        <v>JETPAY</v>
      </c>
      <c r="H298" s="729" t="str">
        <f>IFERROR(__xludf.DUMMYFUNCTION("""COMPUTED_VALUE"""),"Nhân viên/ Chuyên viên/ Chuyên gia")</f>
        <v>Nhân viên/ Chuyên viên/ Chuyên gia</v>
      </c>
      <c r="I298" s="728" t="str">
        <f>IFERROR(__xludf.DUMMYFUNCTION("""COMPUTED_VALUE"""),"L00")</f>
        <v>L00</v>
      </c>
      <c r="J298" s="728" t="str">
        <f>IFERROR(__xludf.DUMMYFUNCTION("""COMPUTED_VALUE"""),"Công ty cổ phần MISA")</f>
        <v>Công ty cổ phần MISA</v>
      </c>
      <c r="K298" s="729"/>
      <c r="L298" s="728" t="str">
        <f>IFERROR(__xludf.DUMMYFUNCTION("""COMPUTED_VALUE"""),"Đang theo dõi")</f>
        <v>Đang theo dõi</v>
      </c>
      <c r="M298" s="729"/>
      <c r="N298" s="728" t="str">
        <f>IFERROR(__xludf.DUMMYFUNCTION("""COMPUTED_VALUE"""),"giữ nguyên")</f>
        <v>giữ nguyên</v>
      </c>
      <c r="O298" s="708"/>
      <c r="P298" s="708"/>
      <c r="Q298" s="708"/>
      <c r="R298" s="708"/>
      <c r="S298" s="708"/>
      <c r="T298" s="708"/>
      <c r="U298" s="708"/>
      <c r="V298" s="708"/>
      <c r="W298" s="708"/>
      <c r="X298" s="708"/>
      <c r="Y298" s="708"/>
      <c r="Z298" s="708"/>
      <c r="AA298" s="708"/>
      <c r="AB298" s="708"/>
      <c r="AC298" s="708"/>
      <c r="AD298" s="708"/>
      <c r="AE298" s="708"/>
    </row>
    <row r="299">
      <c r="A299" s="727">
        <f>IFERROR(__xludf.DUMMYFUNCTION("""COMPUTED_VALUE"""),261.0)</f>
        <v>261</v>
      </c>
      <c r="B299" s="728" t="str">
        <f>IFERROR(__xludf.DUMMYFUNCTION("""COMPUTED_VALUE"""),"JETPAY_BO_RD")</f>
        <v>JETPAY_BO_RD</v>
      </c>
      <c r="C299" s="728" t="str">
        <f>IFERROR(__xludf.DUMMYFUNCTION("""COMPUTED_VALUE"""),"JETPAY_BO_RD")</f>
        <v>JETPAY_BO_RD</v>
      </c>
      <c r="D299" s="728" t="str">
        <f>IFERROR(__xludf.DUMMYFUNCTION("""COMPUTED_VALUE"""),"NV Nghiên cứu thị trường và SP")</f>
        <v>NV Nghiên cứu thị trường và SP</v>
      </c>
      <c r="E299" s="728" t="str">
        <f>IFERROR(__xludf.DUMMYFUNCTION("""COMPUTED_VALUE"""),"BO")</f>
        <v>BO</v>
      </c>
      <c r="F299" s="729"/>
      <c r="G299" s="728" t="str">
        <f>IFERROR(__xludf.DUMMYFUNCTION("""COMPUTED_VALUE"""),"JETPAY")</f>
        <v>JETPAY</v>
      </c>
      <c r="H299" s="729" t="str">
        <f>IFERROR(__xludf.DUMMYFUNCTION("""COMPUTED_VALUE"""),"Nhân viên/ Chuyên viên/ Chuyên gia")</f>
        <v>Nhân viên/ Chuyên viên/ Chuyên gia</v>
      </c>
      <c r="I299" s="728" t="str">
        <f>IFERROR(__xludf.DUMMYFUNCTION("""COMPUTED_VALUE"""),"L00")</f>
        <v>L00</v>
      </c>
      <c r="J299" s="728" t="str">
        <f>IFERROR(__xludf.DUMMYFUNCTION("""COMPUTED_VALUE"""),"Công ty cổ phần MISA")</f>
        <v>Công ty cổ phần MISA</v>
      </c>
      <c r="K299" s="729"/>
      <c r="L299" s="728" t="str">
        <f>IFERROR(__xludf.DUMMYFUNCTION("""COMPUTED_VALUE"""),"Đang theo dõi")</f>
        <v>Đang theo dõi</v>
      </c>
      <c r="M299" s="729"/>
      <c r="N299" s="728" t="str">
        <f>IFERROR(__xludf.DUMMYFUNCTION("""COMPUTED_VALUE"""),"giữ nguyên")</f>
        <v>giữ nguyên</v>
      </c>
      <c r="O299" s="708"/>
      <c r="P299" s="708"/>
      <c r="Q299" s="708"/>
      <c r="R299" s="708"/>
      <c r="S299" s="708"/>
      <c r="T299" s="708"/>
      <c r="U299" s="708"/>
      <c r="V299" s="708"/>
      <c r="W299" s="708"/>
      <c r="X299" s="708"/>
      <c r="Y299" s="708"/>
      <c r="Z299" s="708"/>
      <c r="AA299" s="708"/>
      <c r="AB299" s="708"/>
      <c r="AC299" s="708"/>
      <c r="AD299" s="708"/>
      <c r="AE299" s="708"/>
    </row>
    <row r="300">
      <c r="A300" s="727">
        <f>IFERROR(__xludf.DUMMYFUNCTION("""COMPUTED_VALUE"""),262.0)</f>
        <v>262</v>
      </c>
      <c r="B300" s="728" t="str">
        <f>IFERROR(__xludf.DUMMYFUNCTION("""COMPUTED_VALUE"""),"JETPAY_CSM")</f>
        <v>JETPAY_CSM</v>
      </c>
      <c r="C300" s="728" t="str">
        <f>IFERROR(__xludf.DUMMYFUNCTION("""COMPUTED_VALUE"""),"JETPAY_CSM")</f>
        <v>JETPAY_CSM</v>
      </c>
      <c r="D300" s="728" t="str">
        <f>IFERROR(__xludf.DUMMYFUNCTION("""COMPUTED_VALUE"""),"NV quản lý thành công khách hàng")</f>
        <v>NV quản lý thành công khách hàng</v>
      </c>
      <c r="E300" s="728" t="str">
        <f>IFERROR(__xludf.DUMMYFUNCTION("""COMPUTED_VALUE"""),"JETPAY")</f>
        <v>JETPAY</v>
      </c>
      <c r="F300" s="729"/>
      <c r="G300" s="728" t="str">
        <f>IFERROR(__xludf.DUMMYFUNCTION("""COMPUTED_VALUE"""),"JETPAY")</f>
        <v>JETPAY</v>
      </c>
      <c r="H300" s="728" t="str">
        <f>IFERROR(__xludf.DUMMYFUNCTION("""COMPUTED_VALUE"""),"Nhân viên/ Chuyên viên/ Chuyên gia")</f>
        <v>Nhân viên/ Chuyên viên/ Chuyên gia</v>
      </c>
      <c r="I300" s="728" t="str">
        <f>IFERROR(__xludf.DUMMYFUNCTION("""COMPUTED_VALUE"""),"L00")</f>
        <v>L00</v>
      </c>
      <c r="J300" s="728" t="str">
        <f>IFERROR(__xludf.DUMMYFUNCTION("""COMPUTED_VALUE"""),"Công ty cổ phần MISA")</f>
        <v>Công ty cổ phần MISA</v>
      </c>
      <c r="K300" s="729"/>
      <c r="L300" s="728" t="str">
        <f>IFERROR(__xludf.DUMMYFUNCTION("""COMPUTED_VALUE"""),"Đang theo dõi")</f>
        <v>Đang theo dõi</v>
      </c>
      <c r="M300" s="729"/>
      <c r="N300" s="728" t="str">
        <f>IFERROR(__xludf.DUMMYFUNCTION("""COMPUTED_VALUE"""),"giữ nguyên")</f>
        <v>giữ nguyên</v>
      </c>
      <c r="O300" s="708"/>
      <c r="P300" s="708"/>
      <c r="Q300" s="708"/>
      <c r="R300" s="708"/>
      <c r="S300" s="708"/>
      <c r="T300" s="708"/>
      <c r="U300" s="708"/>
      <c r="V300" s="708"/>
      <c r="W300" s="708"/>
      <c r="X300" s="708"/>
      <c r="Y300" s="708"/>
      <c r="Z300" s="708"/>
      <c r="AA300" s="708"/>
      <c r="AB300" s="708"/>
      <c r="AC300" s="708"/>
      <c r="AD300" s="708"/>
      <c r="AE300" s="708"/>
    </row>
    <row r="301">
      <c r="A301" s="727">
        <f>IFERROR(__xludf.DUMMYFUNCTION("""COMPUTED_VALUE"""),263.0)</f>
        <v>263</v>
      </c>
      <c r="B301" s="728" t="str">
        <f>IFERROR(__xludf.DUMMYFUNCTION("""COMPUTED_VALUE"""),"JETPAY_CTO")</f>
        <v>JETPAY_CTO</v>
      </c>
      <c r="C301" s="728" t="str">
        <f>IFERROR(__xludf.DUMMYFUNCTION("""COMPUTED_VALUE"""),"JETPAY_CTO")</f>
        <v>JETPAY_CTO</v>
      </c>
      <c r="D301" s="728" t="str">
        <f>IFERROR(__xludf.DUMMYFUNCTION("""COMPUTED_VALUE"""),"Giám đốc công nghệ")</f>
        <v>Giám đốc công nghệ</v>
      </c>
      <c r="E301" s="729" t="str">
        <f>IFERROR(__xludf.DUMMYFUNCTION("""COMPUTED_VALUE"""),"JETPAY")</f>
        <v>JETPAY</v>
      </c>
      <c r="F301" s="729">
        <f>IFERROR(__xludf.DUMMYFUNCTION("""COMPUTED_VALUE"""),3.0)</f>
        <v>3</v>
      </c>
      <c r="G301" s="728" t="str">
        <f>IFERROR(__xludf.DUMMYFUNCTION("""COMPUTED_VALUE"""),"JETPAY")</f>
        <v>JETPAY</v>
      </c>
      <c r="H301" s="729"/>
      <c r="I301" s="728" t="str">
        <f>IFERROR(__xludf.DUMMYFUNCTION("""COMPUTED_VALUE"""),"L00")</f>
        <v>L00</v>
      </c>
      <c r="J301" s="728" t="str">
        <f>IFERROR(__xludf.DUMMYFUNCTION("""COMPUTED_VALUE"""),"Công ty cổ phần MISA")</f>
        <v>Công ty cổ phần MISA</v>
      </c>
      <c r="K301" s="729"/>
      <c r="L301" s="728" t="str">
        <f>IFERROR(__xludf.DUMMYFUNCTION("""COMPUTED_VALUE"""),"Đang theo dõi")</f>
        <v>Đang theo dõi</v>
      </c>
      <c r="M301" s="729"/>
      <c r="N301" s="728" t="str">
        <f>IFERROR(__xludf.DUMMYFUNCTION("""COMPUTED_VALUE"""),"giữ nguyên")</f>
        <v>giữ nguyên</v>
      </c>
      <c r="O301" s="708"/>
      <c r="P301" s="708"/>
      <c r="Q301" s="708"/>
      <c r="R301" s="708"/>
      <c r="S301" s="708"/>
      <c r="T301" s="708"/>
      <c r="U301" s="708"/>
      <c r="V301" s="708"/>
      <c r="W301" s="708"/>
      <c r="X301" s="708"/>
      <c r="Y301" s="708"/>
      <c r="Z301" s="708"/>
      <c r="AA301" s="708"/>
      <c r="AB301" s="708"/>
      <c r="AC301" s="708"/>
      <c r="AD301" s="708"/>
      <c r="AE301" s="708"/>
    </row>
    <row r="302">
      <c r="A302" s="727">
        <f>IFERROR(__xludf.DUMMYFUNCTION("""COMPUTED_VALUE"""),264.0)</f>
        <v>264</v>
      </c>
      <c r="B302" s="728" t="str">
        <f>IFERROR(__xludf.DUMMYFUNCTION("""COMPUTED_VALUE"""),"JETPAY_DA")</f>
        <v>JETPAY_DA</v>
      </c>
      <c r="C302" s="728" t="str">
        <f>IFERROR(__xludf.DUMMYFUNCTION("""COMPUTED_VALUE"""),"JETPAY_DA")</f>
        <v>JETPAY_DA</v>
      </c>
      <c r="D302" s="728" t="str">
        <f>IFERROR(__xludf.DUMMYFUNCTION("""COMPUTED_VALUE"""),"NV Phân tích dữ liệu")</f>
        <v>NV Phân tích dữ liệu</v>
      </c>
      <c r="E302" s="728" t="str">
        <f>IFERROR(__xludf.DUMMYFUNCTION("""COMPUTED_VALUE"""),"JETPAY")</f>
        <v>JETPAY</v>
      </c>
      <c r="F302" s="729"/>
      <c r="G302" s="728" t="str">
        <f>IFERROR(__xludf.DUMMYFUNCTION("""COMPUTED_VALUE"""),"JETPAY")</f>
        <v>JETPAY</v>
      </c>
      <c r="H302" s="728" t="str">
        <f>IFERROR(__xludf.DUMMYFUNCTION("""COMPUTED_VALUE"""),"Nhân viên/ Chuyên viên/ Chuyên gia")</f>
        <v>Nhân viên/ Chuyên viên/ Chuyên gia</v>
      </c>
      <c r="I302" s="728" t="str">
        <f>IFERROR(__xludf.DUMMYFUNCTION("""COMPUTED_VALUE"""),"L00")</f>
        <v>L00</v>
      </c>
      <c r="J302" s="728" t="str">
        <f>IFERROR(__xludf.DUMMYFUNCTION("""COMPUTED_VALUE"""),"Công ty cổ phần MISA")</f>
        <v>Công ty cổ phần MISA</v>
      </c>
      <c r="K302" s="729"/>
      <c r="L302" s="728" t="str">
        <f>IFERROR(__xludf.DUMMYFUNCTION("""COMPUTED_VALUE"""),"Đang theo dõi")</f>
        <v>Đang theo dõi</v>
      </c>
      <c r="M302" s="729"/>
      <c r="N302" s="728" t="str">
        <f>IFERROR(__xludf.DUMMYFUNCTION("""COMPUTED_VALUE"""),"giữ nguyên")</f>
        <v>giữ nguyên</v>
      </c>
      <c r="O302" s="708"/>
      <c r="P302" s="708"/>
      <c r="Q302" s="708"/>
      <c r="R302" s="708"/>
      <c r="S302" s="708"/>
      <c r="T302" s="708"/>
      <c r="U302" s="708"/>
      <c r="V302" s="708"/>
      <c r="W302" s="708"/>
      <c r="X302" s="708"/>
      <c r="Y302" s="708"/>
      <c r="Z302" s="708"/>
      <c r="AA302" s="708"/>
      <c r="AB302" s="708"/>
      <c r="AC302" s="708"/>
      <c r="AD302" s="708"/>
      <c r="AE302" s="708"/>
    </row>
    <row r="303">
      <c r="A303" s="727">
        <f>IFERROR(__xludf.DUMMYFUNCTION("""COMPUTED_VALUE"""),265.0)</f>
        <v>265</v>
      </c>
      <c r="B303" s="728" t="str">
        <f>IFERROR(__xludf.DUMMYFUNCTION("""COMPUTED_VALUE"""),"JETPAY_DOL")</f>
        <v>JETPAY_DOL</v>
      </c>
      <c r="C303" s="728" t="str">
        <f>IFERROR(__xludf.DUMMYFUNCTION("""COMPUTED_VALUE"""),"JETPAY_DOL")</f>
        <v>JETPAY_DOL</v>
      </c>
      <c r="D303" s="728" t="str">
        <f>IFERROR(__xludf.DUMMYFUNCTION("""COMPUTED_VALUE"""),"Trưởng nhóm DevOps")</f>
        <v>Trưởng nhóm DevOps</v>
      </c>
      <c r="E303" s="729"/>
      <c r="F303" s="729"/>
      <c r="G303" s="728" t="str">
        <f>IFERROR(__xludf.DUMMYFUNCTION("""COMPUTED_VALUE"""),"JETPAY")</f>
        <v>JETPAY</v>
      </c>
      <c r="H303" s="729"/>
      <c r="I303" s="728" t="str">
        <f>IFERROR(__xludf.DUMMYFUNCTION("""COMPUTED_VALUE"""),"L00")</f>
        <v>L00</v>
      </c>
      <c r="J303" s="728" t="str">
        <f>IFERROR(__xludf.DUMMYFUNCTION("""COMPUTED_VALUE"""),"Công ty cổ phần MISA")</f>
        <v>Công ty cổ phần MISA</v>
      </c>
      <c r="K303" s="729"/>
      <c r="L303" s="728" t="str">
        <f>IFERROR(__xludf.DUMMYFUNCTION("""COMPUTED_VALUE"""),"Đang theo dõi")</f>
        <v>Đang theo dõi</v>
      </c>
      <c r="M303" s="729"/>
      <c r="N303" s="728" t="str">
        <f>IFERROR(__xludf.DUMMYFUNCTION("""COMPUTED_VALUE"""),"giữ nguyên")</f>
        <v>giữ nguyên</v>
      </c>
      <c r="O303" s="708"/>
      <c r="P303" s="708"/>
      <c r="Q303" s="708"/>
      <c r="R303" s="708"/>
      <c r="S303" s="708"/>
      <c r="T303" s="708"/>
      <c r="U303" s="708"/>
      <c r="V303" s="708"/>
      <c r="W303" s="708"/>
      <c r="X303" s="708"/>
      <c r="Y303" s="708"/>
      <c r="Z303" s="708"/>
      <c r="AA303" s="708"/>
      <c r="AB303" s="708"/>
      <c r="AC303" s="708"/>
      <c r="AD303" s="708"/>
      <c r="AE303" s="708"/>
    </row>
    <row r="304">
      <c r="A304" s="727">
        <f>IFERROR(__xludf.DUMMYFUNCTION("""COMPUTED_VALUE"""),266.0)</f>
        <v>266</v>
      </c>
      <c r="B304" s="728" t="str">
        <f>IFERROR(__xludf.DUMMYFUNCTION("""COMPUTED_VALUE"""),"JETPAY_EM")</f>
        <v>JETPAY_EM</v>
      </c>
      <c r="C304" s="728" t="str">
        <f>IFERROR(__xludf.DUMMYFUNCTION("""COMPUTED_VALUE"""),"JETPAY_EM")</f>
        <v>JETPAY_EM</v>
      </c>
      <c r="D304" s="728" t="str">
        <f>IFERROR(__xludf.DUMMYFUNCTION("""COMPUTED_VALUE"""),"QL thi công")</f>
        <v>QL thi công</v>
      </c>
      <c r="E304" s="728" t="str">
        <f>IFERROR(__xludf.DUMMYFUNCTION("""COMPUTED_VALUE"""),"EM")</f>
        <v>EM</v>
      </c>
      <c r="F304" s="728">
        <f>IFERROR(__xludf.DUMMYFUNCTION("""COMPUTED_VALUE"""),2.0)</f>
        <v>2</v>
      </c>
      <c r="G304" s="728" t="str">
        <f>IFERROR(__xludf.DUMMYFUNCTION("""COMPUTED_VALUE"""),"JETPAY")</f>
        <v>JETPAY</v>
      </c>
      <c r="H304" s="728"/>
      <c r="I304" s="728" t="str">
        <f>IFERROR(__xludf.DUMMYFUNCTION("""COMPUTED_VALUE"""),"L00")</f>
        <v>L00</v>
      </c>
      <c r="J304" s="728" t="str">
        <f>IFERROR(__xludf.DUMMYFUNCTION("""COMPUTED_VALUE"""),"Công ty cổ phần MISA")</f>
        <v>Công ty cổ phần MISA</v>
      </c>
      <c r="K304" s="729"/>
      <c r="L304" s="728" t="str">
        <f>IFERROR(__xludf.DUMMYFUNCTION("""COMPUTED_VALUE"""),"Đang theo dõi")</f>
        <v>Đang theo dõi</v>
      </c>
      <c r="M304" s="729"/>
      <c r="N304" s="728" t="str">
        <f>IFERROR(__xludf.DUMMYFUNCTION("""COMPUTED_VALUE"""),"giữ nguyên")</f>
        <v>giữ nguyên</v>
      </c>
      <c r="O304" s="708"/>
      <c r="P304" s="708"/>
      <c r="Q304" s="708"/>
      <c r="R304" s="708"/>
      <c r="S304" s="708"/>
      <c r="T304" s="708"/>
      <c r="U304" s="708"/>
      <c r="V304" s="708"/>
      <c r="W304" s="708"/>
      <c r="X304" s="708"/>
      <c r="Y304" s="708"/>
      <c r="Z304" s="708"/>
      <c r="AA304" s="708"/>
      <c r="AB304" s="708"/>
      <c r="AC304" s="708"/>
      <c r="AD304" s="708"/>
      <c r="AE304" s="708"/>
    </row>
    <row r="305">
      <c r="A305" s="727">
        <f>IFERROR(__xludf.DUMMYFUNCTION("""COMPUTED_VALUE"""),267.0)</f>
        <v>267</v>
      </c>
      <c r="B305" s="728" t="str">
        <f>IFERROR(__xludf.DUMMYFUNCTION("""COMPUTED_VALUE"""),"JETPAY_GSVH")</f>
        <v>JETPAY_GSVH</v>
      </c>
      <c r="C305" s="728" t="str">
        <f>IFERROR(__xludf.DUMMYFUNCTION("""COMPUTED_VALUE"""),"JETPAY_GSVH")</f>
        <v>JETPAY_GSVH</v>
      </c>
      <c r="D305" s="728" t="str">
        <f>IFERROR(__xludf.DUMMYFUNCTION("""COMPUTED_VALUE"""),"Nhân viên Giám sát vận hành")</f>
        <v>Nhân viên Giám sát vận hành</v>
      </c>
      <c r="E305" s="728"/>
      <c r="F305" s="728"/>
      <c r="G305" s="728" t="str">
        <f>IFERROR(__xludf.DUMMYFUNCTION("""COMPUTED_VALUE"""),"JETPAY")</f>
        <v>JETPAY</v>
      </c>
      <c r="H305" s="728"/>
      <c r="I305" s="728" t="str">
        <f>IFERROR(__xludf.DUMMYFUNCTION("""COMPUTED_VALUE"""),"L00")</f>
        <v>L00</v>
      </c>
      <c r="J305" s="728" t="str">
        <f>IFERROR(__xludf.DUMMYFUNCTION("""COMPUTED_VALUE"""),"Công ty cổ phần MISA")</f>
        <v>Công ty cổ phần MISA</v>
      </c>
      <c r="K305" s="729"/>
      <c r="L305" s="728" t="str">
        <f>IFERROR(__xludf.DUMMYFUNCTION("""COMPUTED_VALUE"""),"Đang theo dõi")</f>
        <v>Đang theo dõi</v>
      </c>
      <c r="M305" s="729"/>
      <c r="N305" s="728" t="str">
        <f>IFERROR(__xludf.DUMMYFUNCTION("""COMPUTED_VALUE"""),"giữ nguyên")</f>
        <v>giữ nguyên</v>
      </c>
      <c r="O305" s="708"/>
      <c r="P305" s="708"/>
      <c r="Q305" s="708"/>
      <c r="R305" s="708"/>
      <c r="S305" s="708"/>
      <c r="T305" s="708"/>
      <c r="U305" s="708"/>
      <c r="V305" s="708"/>
      <c r="W305" s="708"/>
      <c r="X305" s="708"/>
      <c r="Y305" s="708"/>
      <c r="Z305" s="708"/>
      <c r="AA305" s="708"/>
      <c r="AB305" s="708"/>
      <c r="AC305" s="708"/>
      <c r="AD305" s="708"/>
      <c r="AE305" s="708"/>
    </row>
    <row r="306">
      <c r="A306" s="727">
        <f>IFERROR(__xludf.DUMMYFUNCTION("""COMPUTED_VALUE"""),268.0)</f>
        <v>268</v>
      </c>
      <c r="B306" s="728" t="str">
        <f>IFERROR(__xludf.DUMMYFUNCTION("""COMPUTED_VALUE"""),"JETPAY_HR")</f>
        <v>JETPAY_HR</v>
      </c>
      <c r="C306" s="728" t="str">
        <f>IFERROR(__xludf.DUMMYFUNCTION("""COMPUTED_VALUE"""),"JETPAY_HR")</f>
        <v>JETPAY_HR</v>
      </c>
      <c r="D306" s="728" t="str">
        <f>IFERROR(__xludf.DUMMYFUNCTION("""COMPUTED_VALUE"""),"Nhân viên HR tổng hợp")</f>
        <v>Nhân viên HR tổng hợp</v>
      </c>
      <c r="E306" s="729"/>
      <c r="F306" s="729"/>
      <c r="G306" s="728" t="str">
        <f>IFERROR(__xludf.DUMMYFUNCTION("""COMPUTED_VALUE"""),"JETPAY")</f>
        <v>JETPAY</v>
      </c>
      <c r="H306" s="729"/>
      <c r="I306" s="728" t="str">
        <f>IFERROR(__xludf.DUMMYFUNCTION("""COMPUTED_VALUE"""),"L00")</f>
        <v>L00</v>
      </c>
      <c r="J306" s="728" t="str">
        <f>IFERROR(__xludf.DUMMYFUNCTION("""COMPUTED_VALUE"""),"Công ty cổ phần MISA")</f>
        <v>Công ty cổ phần MISA</v>
      </c>
      <c r="K306" s="729"/>
      <c r="L306" s="728" t="str">
        <f>IFERROR(__xludf.DUMMYFUNCTION("""COMPUTED_VALUE"""),"Đang theo dõi")</f>
        <v>Đang theo dõi</v>
      </c>
      <c r="M306" s="729"/>
      <c r="N306" s="728" t="str">
        <f>IFERROR(__xludf.DUMMYFUNCTION("""COMPUTED_VALUE"""),"giữ nguyên")</f>
        <v>giữ nguyên</v>
      </c>
      <c r="O306" s="708"/>
      <c r="P306" s="708"/>
      <c r="Q306" s="708"/>
      <c r="R306" s="708"/>
      <c r="S306" s="708"/>
      <c r="T306" s="708"/>
      <c r="U306" s="708"/>
      <c r="V306" s="708"/>
      <c r="W306" s="708"/>
      <c r="X306" s="708"/>
      <c r="Y306" s="708"/>
      <c r="Z306" s="708"/>
      <c r="AA306" s="708"/>
      <c r="AB306" s="708"/>
      <c r="AC306" s="708"/>
      <c r="AD306" s="708"/>
      <c r="AE306" s="708"/>
    </row>
    <row r="307">
      <c r="A307" s="727">
        <f>IFERROR(__xludf.DUMMYFUNCTION("""COMPUTED_VALUE"""),269.0)</f>
        <v>269</v>
      </c>
      <c r="B307" s="728" t="str">
        <f>IFERROR(__xludf.DUMMYFUNCTION("""COMPUTED_VALUE"""),"JETPAY_HTKH")</f>
        <v>JETPAY_HTKH</v>
      </c>
      <c r="C307" s="728" t="str">
        <f>IFERROR(__xludf.DUMMYFUNCTION("""COMPUTED_VALUE"""),"JETPAY_HTKH")</f>
        <v>JETPAY_HTKH</v>
      </c>
      <c r="D307" s="728" t="str">
        <f>IFERROR(__xludf.DUMMYFUNCTION("""COMPUTED_VALUE"""),"NV Hỗ trợ khách hàng")</f>
        <v>NV Hỗ trợ khách hàng</v>
      </c>
      <c r="E307" s="729" t="str">
        <f>IFERROR(__xludf.DUMMYFUNCTION("""COMPUTED_VALUE"""),"JETPAY")</f>
        <v>JETPAY</v>
      </c>
      <c r="F307" s="729"/>
      <c r="G307" s="728" t="str">
        <f>IFERROR(__xludf.DUMMYFUNCTION("""COMPUTED_VALUE"""),"JETPAY")</f>
        <v>JETPAY</v>
      </c>
      <c r="H307" s="729" t="str">
        <f>IFERROR(__xludf.DUMMYFUNCTION("""COMPUTED_VALUE"""),"Nhân viên/ Chuyên viên/ Chuyên gia")</f>
        <v>Nhân viên/ Chuyên viên/ Chuyên gia</v>
      </c>
      <c r="I307" s="728" t="str">
        <f>IFERROR(__xludf.DUMMYFUNCTION("""COMPUTED_VALUE"""),"L00")</f>
        <v>L00</v>
      </c>
      <c r="J307" s="728" t="str">
        <f>IFERROR(__xludf.DUMMYFUNCTION("""COMPUTED_VALUE"""),"Công ty cổ phần MISA")</f>
        <v>Công ty cổ phần MISA</v>
      </c>
      <c r="K307" s="729"/>
      <c r="L307" s="728" t="str">
        <f>IFERROR(__xludf.DUMMYFUNCTION("""COMPUTED_VALUE"""),"Đang theo dõi")</f>
        <v>Đang theo dõi</v>
      </c>
      <c r="M307" s="729"/>
      <c r="N307" s="728" t="str">
        <f>IFERROR(__xludf.DUMMYFUNCTION("""COMPUTED_VALUE"""),"giữ nguyên")</f>
        <v>giữ nguyên</v>
      </c>
      <c r="O307" s="708"/>
      <c r="P307" s="708"/>
      <c r="Q307" s="708"/>
      <c r="R307" s="708"/>
      <c r="S307" s="708"/>
      <c r="T307" s="708"/>
      <c r="U307" s="708"/>
      <c r="V307" s="708"/>
      <c r="W307" s="708"/>
      <c r="X307" s="708"/>
      <c r="Y307" s="708"/>
      <c r="Z307" s="708"/>
      <c r="AA307" s="708"/>
      <c r="AB307" s="708"/>
      <c r="AC307" s="708"/>
      <c r="AD307" s="708"/>
      <c r="AE307" s="708"/>
    </row>
    <row r="308">
      <c r="A308" s="727">
        <f>IFERROR(__xludf.DUMMYFUNCTION("""COMPUTED_VALUE"""),270.0)</f>
        <v>270</v>
      </c>
      <c r="B308" s="728" t="str">
        <f>IFERROR(__xludf.DUMMYFUNCTION("""COMPUTED_VALUE"""),"JETPAY_MKT")</f>
        <v>JETPAY_MKT</v>
      </c>
      <c r="C308" s="728" t="str">
        <f>IFERROR(__xludf.DUMMYFUNCTION("""COMPUTED_VALUE"""),"JETPAY_MKT")</f>
        <v>JETPAY_MKT</v>
      </c>
      <c r="D308" s="728" t="str">
        <f>IFERROR(__xludf.DUMMYFUNCTION("""COMPUTED_VALUE"""),"Nhân viên Marketing")</f>
        <v>Nhân viên Marketing</v>
      </c>
      <c r="E308" s="729"/>
      <c r="F308" s="728"/>
      <c r="G308" s="728" t="str">
        <f>IFERROR(__xludf.DUMMYFUNCTION("""COMPUTED_VALUE"""),"JETPAY")</f>
        <v>JETPAY</v>
      </c>
      <c r="H308" s="729"/>
      <c r="I308" s="728" t="str">
        <f>IFERROR(__xludf.DUMMYFUNCTION("""COMPUTED_VALUE"""),"L00")</f>
        <v>L00</v>
      </c>
      <c r="J308" s="728" t="str">
        <f>IFERROR(__xludf.DUMMYFUNCTION("""COMPUTED_VALUE"""),"Công ty cổ phần MISA")</f>
        <v>Công ty cổ phần MISA</v>
      </c>
      <c r="K308" s="729"/>
      <c r="L308" s="728" t="str">
        <f>IFERROR(__xludf.DUMMYFUNCTION("""COMPUTED_VALUE"""),"Đang theo dõi")</f>
        <v>Đang theo dõi</v>
      </c>
      <c r="M308" s="729"/>
      <c r="N308" s="728" t="str">
        <f>IFERROR(__xludf.DUMMYFUNCTION("""COMPUTED_VALUE"""),"giữ nguyên")</f>
        <v>giữ nguyên</v>
      </c>
      <c r="O308" s="708"/>
      <c r="P308" s="708"/>
      <c r="Q308" s="708"/>
      <c r="R308" s="708"/>
      <c r="S308" s="708"/>
      <c r="T308" s="708"/>
      <c r="U308" s="708"/>
      <c r="V308" s="708"/>
      <c r="W308" s="708"/>
      <c r="X308" s="708"/>
      <c r="Y308" s="708"/>
      <c r="Z308" s="708"/>
      <c r="AA308" s="708"/>
      <c r="AB308" s="708"/>
      <c r="AC308" s="708"/>
      <c r="AD308" s="708"/>
      <c r="AE308" s="708"/>
    </row>
    <row r="309">
      <c r="A309" s="727">
        <f>IFERROR(__xludf.DUMMYFUNCTION("""COMPUTED_VALUE"""),271.0)</f>
        <v>271</v>
      </c>
      <c r="B309" s="728" t="str">
        <f>IFERROR(__xludf.DUMMYFUNCTION("""COMPUTED_VALUE"""),"JETPAY_PA")</f>
        <v>JETPAY_PA</v>
      </c>
      <c r="C309" s="728" t="str">
        <f>IFERROR(__xludf.DUMMYFUNCTION("""COMPUTED_VALUE"""),"JETPAY_PA")</f>
        <v>JETPAY_PA</v>
      </c>
      <c r="D309" s="728" t="str">
        <f>IFERROR(__xludf.DUMMYFUNCTION("""COMPUTED_VALUE"""),"Kiến trúc sư trưởng")</f>
        <v>Kiến trúc sư trưởng</v>
      </c>
      <c r="E309" s="728" t="str">
        <f>IFERROR(__xludf.DUMMYFUNCTION("""COMPUTED_VALUE"""),"PA")</f>
        <v>PA</v>
      </c>
      <c r="F309" s="729"/>
      <c r="G309" s="728" t="str">
        <f>IFERROR(__xludf.DUMMYFUNCTION("""COMPUTED_VALUE"""),"JETPAY")</f>
        <v>JETPAY</v>
      </c>
      <c r="H309" s="728"/>
      <c r="I309" s="728" t="str">
        <f>IFERROR(__xludf.DUMMYFUNCTION("""COMPUTED_VALUE"""),"L00")</f>
        <v>L00</v>
      </c>
      <c r="J309" s="728" t="str">
        <f>IFERROR(__xludf.DUMMYFUNCTION("""COMPUTED_VALUE"""),"Công ty cổ phần MISA")</f>
        <v>Công ty cổ phần MISA</v>
      </c>
      <c r="K309" s="729"/>
      <c r="L309" s="728" t="str">
        <f>IFERROR(__xludf.DUMMYFUNCTION("""COMPUTED_VALUE"""),"Đang theo dõi")</f>
        <v>Đang theo dõi</v>
      </c>
      <c r="M309" s="729"/>
      <c r="N309" s="728" t="str">
        <f>IFERROR(__xludf.DUMMYFUNCTION("""COMPUTED_VALUE"""),"giữ nguyên")</f>
        <v>giữ nguyên</v>
      </c>
      <c r="O309" s="708"/>
      <c r="P309" s="708"/>
      <c r="Q309" s="708"/>
      <c r="R309" s="708"/>
      <c r="S309" s="708"/>
      <c r="T309" s="708"/>
      <c r="U309" s="708"/>
      <c r="V309" s="708"/>
      <c r="W309" s="708"/>
      <c r="X309" s="708"/>
      <c r="Y309" s="708"/>
      <c r="Z309" s="708"/>
      <c r="AA309" s="708"/>
      <c r="AB309" s="708"/>
      <c r="AC309" s="708"/>
      <c r="AD309" s="708"/>
      <c r="AE309" s="708"/>
    </row>
    <row r="310">
      <c r="A310" s="727">
        <f>IFERROR(__xludf.DUMMYFUNCTION("""COMPUTED_VALUE"""),272.0)</f>
        <v>272</v>
      </c>
      <c r="B310" s="728" t="str">
        <f>IFERROR(__xludf.DUMMYFUNCTION("""COMPUTED_VALUE"""),"JETPAY_PD")</f>
        <v>JETPAY_PD</v>
      </c>
      <c r="C310" s="728" t="str">
        <f>IFERROR(__xludf.DUMMYFUNCTION("""COMPUTED_VALUE"""),"JETPAY_PD")</f>
        <v>JETPAY_PD</v>
      </c>
      <c r="D310" s="728" t="str">
        <f>IFERROR(__xludf.DUMMYFUNCTION("""COMPUTED_VALUE"""),"NV thiết kế")</f>
        <v>NV thiết kế</v>
      </c>
      <c r="E310" s="729" t="str">
        <f>IFERROR(__xludf.DUMMYFUNCTION("""COMPUTED_VALUE"""),"PD")</f>
        <v>PD</v>
      </c>
      <c r="F310" s="728"/>
      <c r="G310" s="728" t="str">
        <f>IFERROR(__xludf.DUMMYFUNCTION("""COMPUTED_VALUE"""),"JETPAY")</f>
        <v>JETPAY</v>
      </c>
      <c r="H310" s="729" t="str">
        <f>IFERROR(__xludf.DUMMYFUNCTION("""COMPUTED_VALUE"""),"Nhân viên/ Chuyên viên/ Chuyên gia")</f>
        <v>Nhân viên/ Chuyên viên/ Chuyên gia</v>
      </c>
      <c r="I310" s="728" t="str">
        <f>IFERROR(__xludf.DUMMYFUNCTION("""COMPUTED_VALUE"""),"L00")</f>
        <v>L00</v>
      </c>
      <c r="J310" s="728" t="str">
        <f>IFERROR(__xludf.DUMMYFUNCTION("""COMPUTED_VALUE"""),"Công ty cổ phần MISA")</f>
        <v>Công ty cổ phần MISA</v>
      </c>
      <c r="K310" s="729"/>
      <c r="L310" s="728" t="str">
        <f>IFERROR(__xludf.DUMMYFUNCTION("""COMPUTED_VALUE"""),"Đang theo dõi")</f>
        <v>Đang theo dõi</v>
      </c>
      <c r="M310" s="729"/>
      <c r="N310" s="728" t="str">
        <f>IFERROR(__xludf.DUMMYFUNCTION("""COMPUTED_VALUE"""),"giữ nguyên")</f>
        <v>giữ nguyên</v>
      </c>
      <c r="O310" s="708"/>
      <c r="P310" s="708"/>
      <c r="Q310" s="708"/>
      <c r="R310" s="708"/>
      <c r="S310" s="708"/>
      <c r="T310" s="708"/>
      <c r="U310" s="708"/>
      <c r="V310" s="708"/>
      <c r="W310" s="708"/>
      <c r="X310" s="708"/>
      <c r="Y310" s="708"/>
      <c r="Z310" s="708"/>
      <c r="AA310" s="708"/>
      <c r="AB310" s="708"/>
      <c r="AC310" s="708"/>
      <c r="AD310" s="708"/>
      <c r="AE310" s="708"/>
    </row>
    <row r="311">
      <c r="A311" s="727">
        <f>IFERROR(__xludf.DUMMYFUNCTION("""COMPUTED_VALUE"""),273.0)</f>
        <v>273</v>
      </c>
      <c r="B311" s="728" t="str">
        <f>IFERROR(__xludf.DUMMYFUNCTION("""COMPUTED_VALUE"""),"JETPAY_PDBO")</f>
        <v>JETPAY_PDBO</v>
      </c>
      <c r="C311" s="728" t="str">
        <f>IFERROR(__xludf.DUMMYFUNCTION("""COMPUTED_VALUE"""),"JETPAY_PDBO")</f>
        <v>JETPAY_PDBO</v>
      </c>
      <c r="D311" s="728" t="str">
        <f>IFERROR(__xludf.DUMMYFUNCTION("""COMPUTED_VALUE"""),"DBO trưởng")</f>
        <v>DBO trưởng</v>
      </c>
      <c r="E311" s="729"/>
      <c r="F311" s="729"/>
      <c r="G311" s="728" t="str">
        <f>IFERROR(__xludf.DUMMYFUNCTION("""COMPUTED_VALUE"""),"JETPAY")</f>
        <v>JETPAY</v>
      </c>
      <c r="H311" s="729"/>
      <c r="I311" s="728" t="str">
        <f>IFERROR(__xludf.DUMMYFUNCTION("""COMPUTED_VALUE"""),"L00")</f>
        <v>L00</v>
      </c>
      <c r="J311" s="728" t="str">
        <f>IFERROR(__xludf.DUMMYFUNCTION("""COMPUTED_VALUE"""),"Công ty cổ phần MISA")</f>
        <v>Công ty cổ phần MISA</v>
      </c>
      <c r="K311" s="729"/>
      <c r="L311" s="728" t="str">
        <f>IFERROR(__xludf.DUMMYFUNCTION("""COMPUTED_VALUE"""),"Đang theo dõi")</f>
        <v>Đang theo dõi</v>
      </c>
      <c r="M311" s="729"/>
      <c r="N311" s="728" t="str">
        <f>IFERROR(__xludf.DUMMYFUNCTION("""COMPUTED_VALUE"""),"giữ nguyên")</f>
        <v>giữ nguyên</v>
      </c>
      <c r="O311" s="708"/>
      <c r="P311" s="708"/>
      <c r="Q311" s="708"/>
      <c r="R311" s="708"/>
      <c r="S311" s="708"/>
      <c r="T311" s="708"/>
      <c r="U311" s="708"/>
      <c r="V311" s="708"/>
      <c r="W311" s="708"/>
      <c r="X311" s="708"/>
      <c r="Y311" s="708"/>
      <c r="Z311" s="708"/>
      <c r="AA311" s="708"/>
      <c r="AB311" s="708"/>
      <c r="AC311" s="708"/>
      <c r="AD311" s="708"/>
      <c r="AE311" s="708"/>
    </row>
    <row r="312">
      <c r="A312" s="727">
        <f>IFERROR(__xludf.DUMMYFUNCTION("""COMPUTED_VALUE"""),274.0)</f>
        <v>274</v>
      </c>
      <c r="B312" s="728" t="str">
        <f>IFERROR(__xludf.DUMMYFUNCTION("""COMPUTED_VALUE"""),"JETPAY_PDR_BAH")</f>
        <v>JETPAY_PDR_BAH</v>
      </c>
      <c r="C312" s="728" t="str">
        <f>IFERROR(__xludf.DUMMYFUNCTION("""COMPUTED_VALUE"""),"JETPAY_PDR_BAH")</f>
        <v>JETPAY_PDR_BAH</v>
      </c>
      <c r="D312" s="728" t="str">
        <f>IFERROR(__xludf.DUMMYFUNCTION("""COMPUTED_VALUE"""),"NV bán đại lý")</f>
        <v>NV bán đại lý</v>
      </c>
      <c r="E312" s="729" t="str">
        <f>IFERROR(__xludf.DUMMYFUNCTION("""COMPUTED_VALUE"""),"PDR")</f>
        <v>PDR</v>
      </c>
      <c r="F312" s="729"/>
      <c r="G312" s="728" t="str">
        <f>IFERROR(__xludf.DUMMYFUNCTION("""COMPUTED_VALUE"""),"JETPAY")</f>
        <v>JETPAY</v>
      </c>
      <c r="H312" s="729" t="str">
        <f>IFERROR(__xludf.DUMMYFUNCTION("""COMPUTED_VALUE"""),"Nhân viên/ Chuyên viên/ Chuyên gia")</f>
        <v>Nhân viên/ Chuyên viên/ Chuyên gia</v>
      </c>
      <c r="I312" s="728" t="str">
        <f>IFERROR(__xludf.DUMMYFUNCTION("""COMPUTED_VALUE"""),"L00")</f>
        <v>L00</v>
      </c>
      <c r="J312" s="728" t="str">
        <f>IFERROR(__xludf.DUMMYFUNCTION("""COMPUTED_VALUE"""),"Công ty cổ phần MISA")</f>
        <v>Công ty cổ phần MISA</v>
      </c>
      <c r="K312" s="729"/>
      <c r="L312" s="728" t="str">
        <f>IFERROR(__xludf.DUMMYFUNCTION("""COMPUTED_VALUE"""),"Đang theo dõi")</f>
        <v>Đang theo dõi</v>
      </c>
      <c r="M312" s="729"/>
      <c r="N312" s="728" t="str">
        <f>IFERROR(__xludf.DUMMYFUNCTION("""COMPUTED_VALUE"""),"giữ nguyên")</f>
        <v>giữ nguyên</v>
      </c>
      <c r="O312" s="708"/>
      <c r="P312" s="708"/>
      <c r="Q312" s="708"/>
      <c r="R312" s="708"/>
      <c r="S312" s="708"/>
      <c r="T312" s="708"/>
      <c r="U312" s="708"/>
      <c r="V312" s="708"/>
      <c r="W312" s="708"/>
      <c r="X312" s="708"/>
      <c r="Y312" s="708"/>
      <c r="Z312" s="708"/>
      <c r="AA312" s="708"/>
      <c r="AB312" s="708"/>
      <c r="AC312" s="708"/>
      <c r="AD312" s="708"/>
      <c r="AE312" s="708"/>
    </row>
    <row r="313">
      <c r="A313" s="727">
        <f>IFERROR(__xludf.DUMMYFUNCTION("""COMPUTED_VALUE"""),275.0)</f>
        <v>275</v>
      </c>
      <c r="B313" s="728" t="str">
        <f>IFERROR(__xludf.DUMMYFUNCTION("""COMPUTED_VALUE"""),"JETPAY_PM")</f>
        <v>JETPAY_PM</v>
      </c>
      <c r="C313" s="728" t="str">
        <f>IFERROR(__xludf.DUMMYFUNCTION("""COMPUTED_VALUE"""),"JETPAY_PM")</f>
        <v>JETPAY_PM</v>
      </c>
      <c r="D313" s="728" t="str">
        <f>IFERROR(__xludf.DUMMYFUNCTION("""COMPUTED_VALUE"""),"Giám đốc sản phẩm")</f>
        <v>Giám đốc sản phẩm</v>
      </c>
      <c r="E313" s="728"/>
      <c r="F313" s="728"/>
      <c r="G313" s="728" t="str">
        <f>IFERROR(__xludf.DUMMYFUNCTION("""COMPUTED_VALUE"""),"JETPAY")</f>
        <v>JETPAY</v>
      </c>
      <c r="H313" s="728"/>
      <c r="I313" s="728" t="str">
        <f>IFERROR(__xludf.DUMMYFUNCTION("""COMPUTED_VALUE"""),"L00")</f>
        <v>L00</v>
      </c>
      <c r="J313" s="728" t="str">
        <f>IFERROR(__xludf.DUMMYFUNCTION("""COMPUTED_VALUE"""),"Công ty cổ phần MISA")</f>
        <v>Công ty cổ phần MISA</v>
      </c>
      <c r="K313" s="729"/>
      <c r="L313" s="728" t="str">
        <f>IFERROR(__xludf.DUMMYFUNCTION("""COMPUTED_VALUE"""),"Đang theo dõi")</f>
        <v>Đang theo dõi</v>
      </c>
      <c r="M313" s="729"/>
      <c r="N313" s="728" t="str">
        <f>IFERROR(__xludf.DUMMYFUNCTION("""COMPUTED_VALUE"""),"giữ nguyên")</f>
        <v>giữ nguyên</v>
      </c>
      <c r="O313" s="708"/>
      <c r="P313" s="708"/>
      <c r="Q313" s="708"/>
      <c r="R313" s="708"/>
      <c r="S313" s="708"/>
      <c r="T313" s="708"/>
      <c r="U313" s="708"/>
      <c r="V313" s="708"/>
      <c r="W313" s="708"/>
      <c r="X313" s="708"/>
      <c r="Y313" s="708"/>
      <c r="Z313" s="708"/>
      <c r="AA313" s="708"/>
      <c r="AB313" s="708"/>
      <c r="AC313" s="708"/>
      <c r="AD313" s="708"/>
      <c r="AE313" s="708"/>
    </row>
    <row r="314">
      <c r="A314" s="727">
        <f>IFERROR(__xludf.DUMMYFUNCTION("""COMPUTED_VALUE"""),276.0)</f>
        <v>276</v>
      </c>
      <c r="B314" s="728" t="str">
        <f>IFERROR(__xludf.DUMMYFUNCTION("""COMPUTED_VALUE"""),"JETPAY_PO")</f>
        <v>JETPAY_PO</v>
      </c>
      <c r="C314" s="728" t="str">
        <f>IFERROR(__xludf.DUMMYFUNCTION("""COMPUTED_VALUE"""),"JETPAY_PO")</f>
        <v>JETPAY_PO</v>
      </c>
      <c r="D314" s="728" t="str">
        <f>IFERROR(__xludf.DUMMYFUNCTION("""COMPUTED_VALUE"""),"QL phân tích thiết kế")</f>
        <v>QL phân tích thiết kế</v>
      </c>
      <c r="E314" s="729" t="str">
        <f>IFERROR(__xludf.DUMMYFUNCTION("""COMPUTED_VALUE"""),"PO")</f>
        <v>PO</v>
      </c>
      <c r="F314" s="728">
        <f>IFERROR(__xludf.DUMMYFUNCTION("""COMPUTED_VALUE"""),2.0)</f>
        <v>2</v>
      </c>
      <c r="G314" s="728" t="str">
        <f>IFERROR(__xludf.DUMMYFUNCTION("""COMPUTED_VALUE"""),"JETPAY")</f>
        <v>JETPAY</v>
      </c>
      <c r="H314" s="728" t="str">
        <f>IFERROR(__xludf.DUMMYFUNCTION("""COMPUTED_VALUE"""),"TPP/ Trưởng ban")</f>
        <v>TPP/ Trưởng ban</v>
      </c>
      <c r="I314" s="728" t="str">
        <f>IFERROR(__xludf.DUMMYFUNCTION("""COMPUTED_VALUE"""),"L00")</f>
        <v>L00</v>
      </c>
      <c r="J314" s="728" t="str">
        <f>IFERROR(__xludf.DUMMYFUNCTION("""COMPUTED_VALUE"""),"Công ty cổ phần MISA")</f>
        <v>Công ty cổ phần MISA</v>
      </c>
      <c r="K314" s="729"/>
      <c r="L314" s="728" t="str">
        <f>IFERROR(__xludf.DUMMYFUNCTION("""COMPUTED_VALUE"""),"Đang theo dõi")</f>
        <v>Đang theo dõi</v>
      </c>
      <c r="M314" s="729"/>
      <c r="N314" s="728" t="str">
        <f>IFERROR(__xludf.DUMMYFUNCTION("""COMPUTED_VALUE"""),"giữ nguyên")</f>
        <v>giữ nguyên</v>
      </c>
      <c r="O314" s="708"/>
      <c r="P314" s="708"/>
      <c r="Q314" s="708"/>
      <c r="R314" s="708"/>
      <c r="S314" s="708"/>
      <c r="T314" s="708"/>
      <c r="U314" s="708"/>
      <c r="V314" s="708"/>
      <c r="W314" s="708"/>
      <c r="X314" s="708"/>
      <c r="Y314" s="708"/>
      <c r="Z314" s="708"/>
      <c r="AA314" s="708"/>
      <c r="AB314" s="708"/>
      <c r="AC314" s="708"/>
      <c r="AD314" s="708"/>
      <c r="AE314" s="708"/>
    </row>
    <row r="315">
      <c r="A315" s="727">
        <f>IFERROR(__xludf.DUMMYFUNCTION("""COMPUTED_VALUE"""),277.0)</f>
        <v>277</v>
      </c>
      <c r="B315" s="728" t="str">
        <f>IFERROR(__xludf.DUMMYFUNCTION("""COMPUTED_VALUE"""),"JETPAY_PP")</f>
        <v>JETPAY_PP</v>
      </c>
      <c r="C315" s="728" t="str">
        <f>IFERROR(__xludf.DUMMYFUNCTION("""COMPUTED_VALUE"""),"JETPAY_PP")</f>
        <v>JETPAY_PP</v>
      </c>
      <c r="D315" s="728" t="str">
        <f>IFERROR(__xludf.DUMMYFUNCTION("""COMPUTED_VALUE"""),"Phó phòng PTSP")</f>
        <v>Phó phòng PTSP</v>
      </c>
      <c r="E315" s="728" t="str">
        <f>IFERROR(__xludf.DUMMYFUNCTION("""COMPUTED_VALUE"""),"JETPAY")</f>
        <v>JETPAY</v>
      </c>
      <c r="F315" s="728">
        <f>IFERROR(__xludf.DUMMYFUNCTION("""COMPUTED_VALUE"""),2.0)</f>
        <v>2</v>
      </c>
      <c r="G315" s="728" t="str">
        <f>IFERROR(__xludf.DUMMYFUNCTION("""COMPUTED_VALUE"""),"JETPAY")</f>
        <v>JETPAY</v>
      </c>
      <c r="H315" s="728" t="str">
        <f>IFERROR(__xludf.DUMMYFUNCTION("""COMPUTED_VALUE"""),"Đang theo dõi")</f>
        <v>Đang theo dõi</v>
      </c>
      <c r="I315" s="728" t="str">
        <f>IFERROR(__xludf.DUMMYFUNCTION("""COMPUTED_VALUE"""),"L00")</f>
        <v>L00</v>
      </c>
      <c r="J315" s="728" t="str">
        <f>IFERROR(__xludf.DUMMYFUNCTION("""COMPUTED_VALUE"""),"Công ty cổ phần MISA")</f>
        <v>Công ty cổ phần MISA</v>
      </c>
      <c r="K315" s="729"/>
      <c r="L315" s="728" t="str">
        <f>IFERROR(__xludf.DUMMYFUNCTION("""COMPUTED_VALUE"""),"Đang theo dõi")</f>
        <v>Đang theo dõi</v>
      </c>
      <c r="M315" s="729"/>
      <c r="N315" s="728" t="str">
        <f>IFERROR(__xludf.DUMMYFUNCTION("""COMPUTED_VALUE"""),"giữ nguyên")</f>
        <v>giữ nguyên</v>
      </c>
      <c r="O315" s="708"/>
      <c r="P315" s="708"/>
      <c r="Q315" s="708"/>
      <c r="R315" s="708"/>
      <c r="S315" s="708"/>
      <c r="T315" s="708"/>
      <c r="U315" s="708"/>
      <c r="V315" s="708"/>
      <c r="W315" s="708"/>
      <c r="X315" s="708"/>
      <c r="Y315" s="708"/>
      <c r="Z315" s="708"/>
      <c r="AA315" s="708"/>
      <c r="AB315" s="708"/>
      <c r="AC315" s="708"/>
      <c r="AD315" s="708"/>
      <c r="AE315" s="708"/>
    </row>
    <row r="316">
      <c r="A316" s="727">
        <f>IFERROR(__xludf.DUMMYFUNCTION("""COMPUTED_VALUE"""),278.0)</f>
        <v>278</v>
      </c>
      <c r="B316" s="740" t="str">
        <f>IFERROR(__xludf.DUMMYFUNCTION("""COMPUTED_VALUE"""),"JETPAY_PQC")</f>
        <v>JETPAY_PQC</v>
      </c>
      <c r="C316" s="740" t="str">
        <f>IFERROR(__xludf.DUMMYFUNCTION("""COMPUTED_VALUE"""),"JETPAY_PQC")</f>
        <v>JETPAY_PQC</v>
      </c>
      <c r="D316" s="731" t="str">
        <f>IFERROR(__xludf.DUMMYFUNCTION("""COMPUTED_VALUE"""),"QC trưởng")</f>
        <v>QC trưởng</v>
      </c>
      <c r="E316" s="731"/>
      <c r="F316" s="731"/>
      <c r="G316" s="731" t="str">
        <f>IFERROR(__xludf.DUMMYFUNCTION("""COMPUTED_VALUE"""),"JETPAY")</f>
        <v>JETPAY</v>
      </c>
      <c r="H316" s="731"/>
      <c r="I316" s="729" t="str">
        <f>IFERROR(__xludf.DUMMYFUNCTION("""COMPUTED_VALUE"""),"L00")</f>
        <v>L00</v>
      </c>
      <c r="J316" s="731" t="str">
        <f>IFERROR(__xludf.DUMMYFUNCTION("""COMPUTED_VALUE"""),"Công ty cổ phần MISA")</f>
        <v>Công ty cổ phần MISA</v>
      </c>
      <c r="K316" s="731"/>
      <c r="L316" s="731" t="str">
        <f>IFERROR(__xludf.DUMMYFUNCTION("""COMPUTED_VALUE"""),"Đang theo dõi")</f>
        <v>Đang theo dõi</v>
      </c>
      <c r="M316" s="729"/>
      <c r="N316" s="728" t="str">
        <f>IFERROR(__xludf.DUMMYFUNCTION("""COMPUTED_VALUE"""),"giữ nguyên")</f>
        <v>giữ nguyên</v>
      </c>
      <c r="O316" s="708"/>
      <c r="P316" s="708"/>
      <c r="Q316" s="708"/>
      <c r="R316" s="708"/>
      <c r="S316" s="708"/>
      <c r="T316" s="708"/>
      <c r="U316" s="708"/>
      <c r="V316" s="708"/>
      <c r="W316" s="708"/>
      <c r="X316" s="708"/>
      <c r="Y316" s="708"/>
      <c r="Z316" s="708"/>
      <c r="AA316" s="708"/>
      <c r="AB316" s="708"/>
      <c r="AC316" s="708"/>
      <c r="AD316" s="708"/>
      <c r="AE316" s="708"/>
    </row>
    <row r="317">
      <c r="A317" s="727">
        <f>IFERROR(__xludf.DUMMYFUNCTION("""COMPUTED_VALUE"""),279.0)</f>
        <v>279</v>
      </c>
      <c r="B317" s="731" t="str">
        <f>IFERROR(__xludf.DUMMYFUNCTION("""COMPUTED_VALUE"""),"JETPAY_PUDs")</f>
        <v>JETPAY_PUDs</v>
      </c>
      <c r="C317" s="731" t="str">
        <f>IFERROR(__xludf.DUMMYFUNCTION("""COMPUTED_VALUE"""),"JETPAY_PUDs")</f>
        <v>JETPAY_PUDs</v>
      </c>
      <c r="D317" s="731" t="str">
        <f>IFERROR(__xludf.DUMMYFUNCTION("""COMPUTED_VALUE"""),"Thiết kế trưởng")</f>
        <v>Thiết kế trưởng</v>
      </c>
      <c r="E317" s="731"/>
      <c r="F317" s="729"/>
      <c r="G317" s="731" t="str">
        <f>IFERROR(__xludf.DUMMYFUNCTION("""COMPUTED_VALUE"""),"JETPAY")</f>
        <v>JETPAY</v>
      </c>
      <c r="H317" s="731"/>
      <c r="I317" s="729" t="str">
        <f>IFERROR(__xludf.DUMMYFUNCTION("""COMPUTED_VALUE"""),"L00")</f>
        <v>L00</v>
      </c>
      <c r="J317" s="731" t="str">
        <f>IFERROR(__xludf.DUMMYFUNCTION("""COMPUTED_VALUE"""),"Công ty cổ phần MISA")</f>
        <v>Công ty cổ phần MISA</v>
      </c>
      <c r="K317" s="731"/>
      <c r="L317" s="731" t="str">
        <f>IFERROR(__xludf.DUMMYFUNCTION("""COMPUTED_VALUE"""),"Đang theo dõi")</f>
        <v>Đang theo dõi</v>
      </c>
      <c r="M317" s="729"/>
      <c r="N317" s="728" t="str">
        <f>IFERROR(__xludf.DUMMYFUNCTION("""COMPUTED_VALUE"""),"giữ nguyên")</f>
        <v>giữ nguyên</v>
      </c>
      <c r="O317" s="708"/>
      <c r="P317" s="708"/>
      <c r="Q317" s="708"/>
      <c r="R317" s="708"/>
      <c r="S317" s="708"/>
      <c r="T317" s="708"/>
      <c r="U317" s="708"/>
      <c r="V317" s="708"/>
      <c r="W317" s="708"/>
      <c r="X317" s="708"/>
      <c r="Y317" s="708"/>
      <c r="Z317" s="708"/>
      <c r="AA317" s="708"/>
      <c r="AB317" s="708"/>
      <c r="AC317" s="708"/>
      <c r="AD317" s="708"/>
      <c r="AE317" s="708"/>
    </row>
    <row r="318">
      <c r="A318" s="727">
        <f>IFERROR(__xludf.DUMMYFUNCTION("""COMPUTED_VALUE"""),280.0)</f>
        <v>280</v>
      </c>
      <c r="B318" s="731" t="str">
        <f>IFERROR(__xludf.DUMMYFUNCTION("""COMPUTED_VALUE"""),"JETPAY_Q. PP")</f>
        <v>JETPAY_Q. PP</v>
      </c>
      <c r="C318" s="731" t="str">
        <f>IFERROR(__xludf.DUMMYFUNCTION("""COMPUTED_VALUE"""),"JETPAY_Q. PP")</f>
        <v>JETPAY_Q. PP</v>
      </c>
      <c r="D318" s="731" t="str">
        <f>IFERROR(__xludf.DUMMYFUNCTION("""COMPUTED_VALUE"""),"Q. Phó phòng PTSP")</f>
        <v>Q. Phó phòng PTSP</v>
      </c>
      <c r="E318" s="731"/>
      <c r="F318" s="731">
        <f>IFERROR(__xludf.DUMMYFUNCTION("""COMPUTED_VALUE"""),2.0)</f>
        <v>2</v>
      </c>
      <c r="G318" s="731" t="str">
        <f>IFERROR(__xludf.DUMMYFUNCTION("""COMPUTED_VALUE"""),"JETPAY")</f>
        <v>JETPAY</v>
      </c>
      <c r="H318" s="731"/>
      <c r="I318" s="729" t="str">
        <f>IFERROR(__xludf.DUMMYFUNCTION("""COMPUTED_VALUE"""),"L00")</f>
        <v>L00</v>
      </c>
      <c r="J318" s="731" t="str">
        <f>IFERROR(__xludf.DUMMYFUNCTION("""COMPUTED_VALUE"""),"Công ty cổ phần MISA")</f>
        <v>Công ty cổ phần MISA</v>
      </c>
      <c r="K318" s="731"/>
      <c r="L318" s="731" t="str">
        <f>IFERROR(__xludf.DUMMYFUNCTION("""COMPUTED_VALUE"""),"Đang theo dõi")</f>
        <v>Đang theo dõi</v>
      </c>
      <c r="M318" s="729"/>
      <c r="N318" s="728" t="str">
        <f>IFERROR(__xludf.DUMMYFUNCTION("""COMPUTED_VALUE"""),"giữ nguyên")</f>
        <v>giữ nguyên</v>
      </c>
      <c r="O318" s="708"/>
      <c r="P318" s="708"/>
      <c r="Q318" s="708"/>
      <c r="R318" s="708"/>
      <c r="S318" s="708"/>
      <c r="T318" s="708"/>
      <c r="U318" s="708"/>
      <c r="V318" s="708"/>
      <c r="W318" s="708"/>
      <c r="X318" s="708"/>
      <c r="Y318" s="708"/>
      <c r="Z318" s="708"/>
      <c r="AA318" s="708"/>
      <c r="AB318" s="708"/>
      <c r="AC318" s="708"/>
      <c r="AD318" s="708"/>
      <c r="AE318" s="708"/>
    </row>
    <row r="319">
      <c r="A319" s="727">
        <f>IFERROR(__xludf.DUMMYFUNCTION("""COMPUTED_VALUE"""),281.0)</f>
        <v>281</v>
      </c>
      <c r="B319" s="731" t="str">
        <f>IFERROR(__xludf.DUMMYFUNCTION("""COMPUTED_VALUE"""),"JETPAY_QC")</f>
        <v>JETPAY_QC</v>
      </c>
      <c r="C319" s="731" t="str">
        <f>IFERROR(__xludf.DUMMYFUNCTION("""COMPUTED_VALUE"""),"JETPAY_QC")</f>
        <v>JETPAY_QC</v>
      </c>
      <c r="D319" s="731" t="str">
        <f>IFERROR(__xludf.DUMMYFUNCTION("""COMPUTED_VALUE"""),"NV kiểm soát chất lượng")</f>
        <v>NV kiểm soát chất lượng</v>
      </c>
      <c r="E319" s="731" t="str">
        <f>IFERROR(__xludf.DUMMYFUNCTION("""COMPUTED_VALUE"""),"QC")</f>
        <v>QC</v>
      </c>
      <c r="F319" s="729"/>
      <c r="G319" s="731" t="str">
        <f>IFERROR(__xludf.DUMMYFUNCTION("""COMPUTED_VALUE"""),"JETPAY")</f>
        <v>JETPAY</v>
      </c>
      <c r="H319" s="731" t="str">
        <f>IFERROR(__xludf.DUMMYFUNCTION("""COMPUTED_VALUE"""),"Nhân viên/ Chuyên viên/ Chuyên gia")</f>
        <v>Nhân viên/ Chuyên viên/ Chuyên gia</v>
      </c>
      <c r="I319" s="729" t="str">
        <f>IFERROR(__xludf.DUMMYFUNCTION("""COMPUTED_VALUE"""),"L00")</f>
        <v>L00</v>
      </c>
      <c r="J319" s="731" t="str">
        <f>IFERROR(__xludf.DUMMYFUNCTION("""COMPUTED_VALUE"""),"Công ty cổ phần MISA")</f>
        <v>Công ty cổ phần MISA</v>
      </c>
      <c r="K319" s="729"/>
      <c r="L319" s="731" t="str">
        <f>IFERROR(__xludf.DUMMYFUNCTION("""COMPUTED_VALUE"""),"Đang theo dõi")</f>
        <v>Đang theo dõi</v>
      </c>
      <c r="M319" s="729"/>
      <c r="N319" s="728" t="str">
        <f>IFERROR(__xludf.DUMMYFUNCTION("""COMPUTED_VALUE"""),"giữ nguyên")</f>
        <v>giữ nguyên</v>
      </c>
      <c r="O319" s="708"/>
      <c r="P319" s="708"/>
      <c r="Q319" s="708"/>
      <c r="R319" s="708"/>
      <c r="S319" s="708"/>
      <c r="T319" s="708"/>
      <c r="U319" s="708"/>
      <c r="V319" s="708"/>
      <c r="W319" s="708"/>
      <c r="X319" s="708"/>
      <c r="Y319" s="708"/>
      <c r="Z319" s="708"/>
      <c r="AA319" s="708"/>
      <c r="AB319" s="726"/>
      <c r="AC319" s="726"/>
      <c r="AD319" s="726"/>
      <c r="AE319" s="726"/>
    </row>
    <row r="320">
      <c r="A320" s="727">
        <f>IFERROR(__xludf.DUMMYFUNCTION("""COMPUTED_VALUE"""),282.0)</f>
        <v>282</v>
      </c>
      <c r="B320" s="731" t="str">
        <f>IFERROR(__xludf.DUMMYFUNCTION("""COMPUTED_VALUE"""),"JETPAY_SM")</f>
        <v>JETPAY_SM</v>
      </c>
      <c r="C320" s="731" t="str">
        <f>IFERROR(__xludf.DUMMYFUNCTION("""COMPUTED_VALUE"""),"JETPAY_SM")</f>
        <v>JETPAY_SM</v>
      </c>
      <c r="D320" s="731" t="str">
        <f>IFERROR(__xludf.DUMMYFUNCTION("""COMPUTED_VALUE"""),"Quản lý kinh doanh")</f>
        <v>Quản lý kinh doanh</v>
      </c>
      <c r="E320" s="731"/>
      <c r="F320" s="729">
        <f>IFERROR(__xludf.DUMMYFUNCTION("""COMPUTED_VALUE"""),2.0)</f>
        <v>2</v>
      </c>
      <c r="G320" s="731" t="str">
        <f>IFERROR(__xludf.DUMMYFUNCTION("""COMPUTED_VALUE"""),"JETPAY")</f>
        <v>JETPAY</v>
      </c>
      <c r="H320" s="731"/>
      <c r="I320" s="729" t="str">
        <f>IFERROR(__xludf.DUMMYFUNCTION("""COMPUTED_VALUE"""),"L00")</f>
        <v>L00</v>
      </c>
      <c r="J320" s="731" t="str">
        <f>IFERROR(__xludf.DUMMYFUNCTION("""COMPUTED_VALUE"""),"Công ty cổ phần MISA")</f>
        <v>Công ty cổ phần MISA</v>
      </c>
      <c r="K320" s="729"/>
      <c r="L320" s="731" t="str">
        <f>IFERROR(__xludf.DUMMYFUNCTION("""COMPUTED_VALUE"""),"Đang theo dõi")</f>
        <v>Đang theo dõi</v>
      </c>
      <c r="M320" s="729"/>
      <c r="N320" s="728" t="str">
        <f>IFERROR(__xludf.DUMMYFUNCTION("""COMPUTED_VALUE"""),"giữ nguyên")</f>
        <v>giữ nguyên</v>
      </c>
      <c r="O320" s="708"/>
      <c r="P320" s="708"/>
      <c r="Q320" s="708"/>
      <c r="R320" s="708"/>
      <c r="S320" s="708"/>
      <c r="T320" s="708"/>
      <c r="U320" s="708"/>
      <c r="V320" s="708"/>
      <c r="W320" s="708"/>
      <c r="X320" s="708"/>
      <c r="Y320" s="708"/>
      <c r="Z320" s="708"/>
      <c r="AA320" s="708"/>
      <c r="AB320" s="708"/>
      <c r="AC320" s="708"/>
      <c r="AD320" s="708"/>
      <c r="AE320" s="708"/>
    </row>
    <row r="321">
      <c r="A321" s="727">
        <f>IFERROR(__xludf.DUMMYFUNCTION("""COMPUTED_VALUE"""),283.0)</f>
        <v>283</v>
      </c>
      <c r="B321" s="740" t="str">
        <f>IFERROR(__xludf.DUMMYFUNCTION("""COMPUTED_VALUE"""),"JETPAY_SS")</f>
        <v>JETPAY_SS</v>
      </c>
      <c r="C321" s="740" t="str">
        <f>IFERROR(__xludf.DUMMYFUNCTION("""COMPUTED_VALUE"""),"JETPAY_SS")</f>
        <v>JETPAY_SS</v>
      </c>
      <c r="D321" s="731" t="str">
        <f>IFERROR(__xludf.DUMMYFUNCTION("""COMPUTED_VALUE"""),"Nhân viên Sale Support")</f>
        <v>Nhân viên Sale Support</v>
      </c>
      <c r="E321" s="731"/>
      <c r="F321" s="731"/>
      <c r="G321" s="731" t="str">
        <f>IFERROR(__xludf.DUMMYFUNCTION("""COMPUTED_VALUE"""),"JETPAY")</f>
        <v>JETPAY</v>
      </c>
      <c r="H321" s="731"/>
      <c r="I321" s="729" t="str">
        <f>IFERROR(__xludf.DUMMYFUNCTION("""COMPUTED_VALUE"""),"L00")</f>
        <v>L00</v>
      </c>
      <c r="J321" s="731" t="str">
        <f>IFERROR(__xludf.DUMMYFUNCTION("""COMPUTED_VALUE"""),"Công ty cổ phần MISA")</f>
        <v>Công ty cổ phần MISA</v>
      </c>
      <c r="K321" s="729"/>
      <c r="L321" s="731" t="str">
        <f>IFERROR(__xludf.DUMMYFUNCTION("""COMPUTED_VALUE"""),"Đang theo dõi")</f>
        <v>Đang theo dõi</v>
      </c>
      <c r="M321" s="729"/>
      <c r="N321" s="728" t="str">
        <f>IFERROR(__xludf.DUMMYFUNCTION("""COMPUTED_VALUE"""),"giữ nguyên")</f>
        <v>giữ nguyên</v>
      </c>
      <c r="O321" s="708"/>
      <c r="P321" s="708"/>
      <c r="Q321" s="708"/>
      <c r="R321" s="708"/>
      <c r="S321" s="708"/>
      <c r="T321" s="708"/>
      <c r="U321" s="708"/>
      <c r="V321" s="708"/>
      <c r="W321" s="708"/>
      <c r="X321" s="708"/>
      <c r="Y321" s="708"/>
      <c r="Z321" s="708"/>
      <c r="AA321" s="708"/>
      <c r="AB321" s="708"/>
      <c r="AC321" s="708"/>
      <c r="AD321" s="708"/>
      <c r="AE321" s="708"/>
    </row>
    <row r="322">
      <c r="A322" s="727">
        <f>IFERROR(__xludf.DUMMYFUNCTION("""COMPUTED_VALUE"""),284.0)</f>
        <v>284</v>
      </c>
      <c r="B322" s="731" t="str">
        <f>IFERROR(__xludf.DUMMYFUNCTION("""COMPUTED_VALUE"""),"JETPAY_SWE")</f>
        <v>JETPAY_SWE</v>
      </c>
      <c r="C322" s="731" t="str">
        <f>IFERROR(__xludf.DUMMYFUNCTION("""COMPUTED_VALUE"""),"JETPAY_SWE")</f>
        <v>JETPAY_SWE</v>
      </c>
      <c r="D322" s="731" t="str">
        <f>IFERROR(__xludf.DUMMYFUNCTION("""COMPUTED_VALUE"""),"Lập trình viên")</f>
        <v>Lập trình viên</v>
      </c>
      <c r="E322" s="731"/>
      <c r="F322" s="731"/>
      <c r="G322" s="731" t="str">
        <f>IFERROR(__xludf.DUMMYFUNCTION("""COMPUTED_VALUE"""),"JETPAY")</f>
        <v>JETPAY</v>
      </c>
      <c r="H322" s="731"/>
      <c r="I322" s="729" t="str">
        <f>IFERROR(__xludf.DUMMYFUNCTION("""COMPUTED_VALUE"""),"L00")</f>
        <v>L00</v>
      </c>
      <c r="J322" s="731" t="str">
        <f>IFERROR(__xludf.DUMMYFUNCTION("""COMPUTED_VALUE"""),"Công ty cổ phần MISA")</f>
        <v>Công ty cổ phần MISA</v>
      </c>
      <c r="K322" s="729"/>
      <c r="L322" s="731" t="str">
        <f>IFERROR(__xludf.DUMMYFUNCTION("""COMPUTED_VALUE"""),"Đang theo dõi")</f>
        <v>Đang theo dõi</v>
      </c>
      <c r="M322" s="729"/>
      <c r="N322" s="728" t="str">
        <f>IFERROR(__xludf.DUMMYFUNCTION("""COMPUTED_VALUE"""),"giữ nguyên")</f>
        <v>giữ nguyên</v>
      </c>
      <c r="O322" s="708"/>
      <c r="P322" s="708"/>
      <c r="Q322" s="708"/>
      <c r="R322" s="708"/>
      <c r="S322" s="708"/>
      <c r="T322" s="708"/>
      <c r="U322" s="708"/>
      <c r="V322" s="708"/>
      <c r="W322" s="708"/>
      <c r="X322" s="708"/>
      <c r="Y322" s="708"/>
      <c r="Z322" s="708"/>
      <c r="AA322" s="708"/>
      <c r="AB322" s="708"/>
      <c r="AC322" s="708"/>
      <c r="AD322" s="708"/>
      <c r="AE322" s="708"/>
    </row>
    <row r="323">
      <c r="A323" s="727">
        <f>IFERROR(__xludf.DUMMYFUNCTION("""COMPUTED_VALUE"""),285.0)</f>
        <v>285</v>
      </c>
      <c r="B323" s="731" t="str">
        <f>IFERROR(__xludf.DUMMYFUNCTION("""COMPUTED_VALUE"""),"JETPAY_SWEL")</f>
        <v>JETPAY_SWEL</v>
      </c>
      <c r="C323" s="731" t="str">
        <f>IFERROR(__xludf.DUMMYFUNCTION("""COMPUTED_VALUE"""),"JETPAY_SWEL")</f>
        <v>JETPAY_SWEL</v>
      </c>
      <c r="D323" s="731" t="str">
        <f>IFERROR(__xludf.DUMMYFUNCTION("""COMPUTED_VALUE"""),"Trưởng nhóm lập trình")</f>
        <v>Trưởng nhóm lập trình</v>
      </c>
      <c r="E323" s="731" t="str">
        <f>IFERROR(__xludf.DUMMYFUNCTION("""COMPUTED_VALUE"""),"SWEL")</f>
        <v>SWEL</v>
      </c>
      <c r="F323" s="729">
        <f>IFERROR(__xludf.DUMMYFUNCTION("""COMPUTED_VALUE"""),1.0)</f>
        <v>1</v>
      </c>
      <c r="G323" s="731" t="str">
        <f>IFERROR(__xludf.DUMMYFUNCTION("""COMPUTED_VALUE"""),"JETPAY")</f>
        <v>JETPAY</v>
      </c>
      <c r="H323" s="731" t="str">
        <f>IFERROR(__xludf.DUMMYFUNCTION("""COMPUTED_VALUE"""),"Trưởng nhóm")</f>
        <v>Trưởng nhóm</v>
      </c>
      <c r="I323" s="729" t="str">
        <f>IFERROR(__xludf.DUMMYFUNCTION("""COMPUTED_VALUE"""),"L00")</f>
        <v>L00</v>
      </c>
      <c r="J323" s="731" t="str">
        <f>IFERROR(__xludf.DUMMYFUNCTION("""COMPUTED_VALUE"""),"Công ty cổ phần MISA")</f>
        <v>Công ty cổ phần MISA</v>
      </c>
      <c r="K323" s="731"/>
      <c r="L323" s="731" t="str">
        <f>IFERROR(__xludf.DUMMYFUNCTION("""COMPUTED_VALUE"""),"Đang theo dõi")</f>
        <v>Đang theo dõi</v>
      </c>
      <c r="M323" s="729"/>
      <c r="N323" s="728" t="str">
        <f>IFERROR(__xludf.DUMMYFUNCTION("""COMPUTED_VALUE"""),"giữ nguyên")</f>
        <v>giữ nguyên</v>
      </c>
      <c r="O323" s="708"/>
      <c r="P323" s="708"/>
      <c r="Q323" s="708"/>
      <c r="R323" s="708"/>
      <c r="S323" s="708"/>
      <c r="T323" s="708"/>
      <c r="U323" s="708"/>
      <c r="V323" s="708"/>
      <c r="W323" s="708"/>
      <c r="X323" s="708"/>
      <c r="Y323" s="708"/>
      <c r="Z323" s="708"/>
      <c r="AA323" s="708"/>
      <c r="AB323" s="726"/>
      <c r="AC323" s="726"/>
      <c r="AD323" s="726"/>
      <c r="AE323" s="726"/>
    </row>
    <row r="324">
      <c r="A324" s="724">
        <f>IFERROR(__xludf.DUMMYFUNCTION("""COMPUTED_VALUE"""),286.0)</f>
        <v>286</v>
      </c>
      <c r="B324" s="725" t="str">
        <f>IFERROR(__xludf.DUMMYFUNCTION("""COMPUTED_VALUE"""),"JETPAY_TP")</f>
        <v>JETPAY_TP</v>
      </c>
      <c r="C324" s="725" t="str">
        <f>IFERROR(__xludf.DUMMYFUNCTION("""COMPUTED_VALUE"""),"JETPAY_TP")</f>
        <v>JETPAY_TP</v>
      </c>
      <c r="D324" s="725" t="str">
        <f>IFERROR(__xludf.DUMMYFUNCTION("""COMPUTED_VALUE"""),"Trưởng phòng PTSP")</f>
        <v>Trưởng phòng PTSP</v>
      </c>
      <c r="E324" s="725"/>
      <c r="F324" s="725">
        <f>IFERROR(__xludf.DUMMYFUNCTION("""COMPUTED_VALUE"""),2.0)</f>
        <v>2</v>
      </c>
      <c r="G324" s="725" t="str">
        <f>IFERROR(__xludf.DUMMYFUNCTION("""COMPUTED_VALUE"""),"JETPAY")</f>
        <v>JETPAY</v>
      </c>
      <c r="H324" s="725" t="str">
        <f>IFERROR(__xludf.DUMMYFUNCTION("""COMPUTED_VALUE"""),"TPP/ Trưởng ban")</f>
        <v>TPP/ Trưởng ban</v>
      </c>
      <c r="I324" s="725" t="str">
        <f>IFERROR(__xludf.DUMMYFUNCTION("""COMPUTED_VALUE"""),"L00")</f>
        <v>L00</v>
      </c>
      <c r="J324" s="725" t="str">
        <f>IFERROR(__xludf.DUMMYFUNCTION("""COMPUTED_VALUE"""),"Công ty cổ phần MISA")</f>
        <v>Công ty cổ phần MISA</v>
      </c>
      <c r="K324" s="725"/>
      <c r="L324" s="725" t="str">
        <f>IFERROR(__xludf.DUMMYFUNCTION("""COMPUTED_VALUE"""),"Đang theo dõi")</f>
        <v>Đang theo dõi</v>
      </c>
      <c r="M324" s="725"/>
      <c r="N324" s="728" t="str">
        <f>IFERROR(__xludf.DUMMYFUNCTION("""COMPUTED_VALUE"""),"giữ nguyên")</f>
        <v>giữ nguyên</v>
      </c>
      <c r="O324" s="726"/>
      <c r="P324" s="726"/>
      <c r="Q324" s="726"/>
      <c r="R324" s="726"/>
      <c r="S324" s="726"/>
      <c r="T324" s="726"/>
      <c r="U324" s="726"/>
      <c r="V324" s="726"/>
      <c r="W324" s="726"/>
      <c r="X324" s="726"/>
      <c r="Y324" s="726"/>
      <c r="Z324" s="726"/>
      <c r="AA324" s="726"/>
      <c r="AB324" s="708"/>
      <c r="AC324" s="708"/>
      <c r="AD324" s="708"/>
      <c r="AE324" s="708"/>
    </row>
    <row r="325">
      <c r="A325" s="727">
        <f>IFERROR(__xludf.DUMMYFUNCTION("""COMPUTED_VALUE"""),287.0)</f>
        <v>287</v>
      </c>
      <c r="B325" s="728" t="str">
        <f>IFERROR(__xludf.DUMMYFUNCTION("""COMPUTED_VALUE"""),"JETPAY_VD")</f>
        <v>JETPAY_VD</v>
      </c>
      <c r="C325" s="728" t="str">
        <f>IFERROR(__xludf.DUMMYFUNCTION("""COMPUTED_VALUE"""),"JETPAY_VD")</f>
        <v>JETPAY_VD</v>
      </c>
      <c r="D325" s="728" t="str">
        <f>IFERROR(__xludf.DUMMYFUNCTION("""COMPUTED_VALUE"""),"Phó giám đốc JETPAY")</f>
        <v>Phó giám đốc JETPAY</v>
      </c>
      <c r="E325" s="729" t="str">
        <f>IFERROR(__xludf.DUMMYFUNCTION("""COMPUTED_VALUE"""),"BOM")</f>
        <v>BOM</v>
      </c>
      <c r="F325" s="729">
        <f>IFERROR(__xludf.DUMMYFUNCTION("""COMPUTED_VALUE"""),4.0)</f>
        <v>4</v>
      </c>
      <c r="G325" s="728" t="str">
        <f>IFERROR(__xludf.DUMMYFUNCTION("""COMPUTED_VALUE"""),"JETPAY")</f>
        <v>JETPAY</v>
      </c>
      <c r="H325" s="729" t="str">
        <f>IFERROR(__xludf.DUMMYFUNCTION("""COMPUTED_VALUE"""),"Ban GĐVP")</f>
        <v>Ban GĐVP</v>
      </c>
      <c r="I325" s="728" t="str">
        <f>IFERROR(__xludf.DUMMYFUNCTION("""COMPUTED_VALUE"""),"L00")</f>
        <v>L00</v>
      </c>
      <c r="J325" s="728" t="str">
        <f>IFERROR(__xludf.DUMMYFUNCTION("""COMPUTED_VALUE"""),"Công ty cổ phần MISA")</f>
        <v>Công ty cổ phần MISA</v>
      </c>
      <c r="K325" s="729"/>
      <c r="L325" s="728" t="str">
        <f>IFERROR(__xludf.DUMMYFUNCTION("""COMPUTED_VALUE"""),"Đang theo dõi")</f>
        <v>Đang theo dõi</v>
      </c>
      <c r="M325" s="728"/>
      <c r="N325" s="728" t="str">
        <f>IFERROR(__xludf.DUMMYFUNCTION("""COMPUTED_VALUE"""),"giữ nguyên")</f>
        <v>giữ nguyên</v>
      </c>
      <c r="O325" s="708"/>
      <c r="P325" s="708"/>
      <c r="Q325" s="708"/>
      <c r="R325" s="708"/>
      <c r="S325" s="708"/>
      <c r="T325" s="708"/>
      <c r="U325" s="708"/>
      <c r="V325" s="708"/>
      <c r="W325" s="708"/>
      <c r="X325" s="708"/>
      <c r="Y325" s="708"/>
      <c r="Z325" s="708"/>
      <c r="AA325" s="708"/>
      <c r="AB325" s="708"/>
      <c r="AC325" s="708"/>
      <c r="AD325" s="708"/>
      <c r="AE325" s="708"/>
    </row>
    <row r="326">
      <c r="A326" s="727">
        <f>IFERROR(__xludf.DUMMYFUNCTION("""COMPUTED_VALUE"""),288.0)</f>
        <v>288</v>
      </c>
      <c r="B326" s="738" t="str">
        <f>IFERROR(__xludf.DUMMYFUNCTION("""COMPUTED_VALUE"""),"KD_HKD_BM_A.SM")</f>
        <v>KD_HKD_BM_A.SM</v>
      </c>
      <c r="C326" s="738" t="str">
        <f>IFERROR(__xludf.DUMMYFUNCTION("""COMPUTED_VALUE"""),"KD_HKD_BM_A.SM")</f>
        <v>KD_HKD_BM_A.SM</v>
      </c>
      <c r="D326" s="728" t="str">
        <f>IFERROR(__xludf.DUMMYFUNCTION("""COMPUTED_VALUE"""),"Q. Quản lý kinh doanh")</f>
        <v>Q. Quản lý kinh doanh</v>
      </c>
      <c r="E326" s="729" t="str">
        <f>IFERROR(__xludf.DUMMYFUNCTION("""COMPUTED_VALUE"""),"SM")</f>
        <v>SM</v>
      </c>
      <c r="F326" s="729">
        <f>IFERROR(__xludf.DUMMYFUNCTION("""COMPUTED_VALUE"""),2.0)</f>
        <v>2</v>
      </c>
      <c r="G326" s="728" t="str">
        <f>IFERROR(__xludf.DUMMYFUNCTION("""COMPUTED_VALUE"""),"HKD")</f>
        <v>HKD</v>
      </c>
      <c r="H326" s="728" t="str">
        <f>IFERROR(__xludf.DUMMYFUNCTION("""COMPUTED_VALUE"""),"TPP/ Trưởng ban")</f>
        <v>TPP/ Trưởng ban</v>
      </c>
      <c r="I326" s="728"/>
      <c r="J326" s="728" t="str">
        <f>IFERROR(__xludf.DUMMYFUNCTION("""COMPUTED_VALUE"""),"Công ty cổ phần MISA")</f>
        <v>Công ty cổ phần MISA</v>
      </c>
      <c r="K326" s="729" t="str">
        <f>IFERROR(__xludf.DUMMYFUNCTION("""COMPUTED_VALUE"""),"02 - QL_KD")</f>
        <v>02 - QL_KD</v>
      </c>
      <c r="L326" s="728" t="str">
        <f>IFERROR(__xludf.DUMMYFUNCTION("""COMPUTED_VALUE"""),"Ngừng")</f>
        <v>Ngừng</v>
      </c>
      <c r="M326" s="729"/>
      <c r="N326" s="728" t="str">
        <f>IFERROR(__xludf.DUMMYFUNCTION("""COMPUTED_VALUE"""),"ngừng")</f>
        <v>ngừng</v>
      </c>
      <c r="O326" s="708"/>
      <c r="P326" s="708"/>
      <c r="Q326" s="708"/>
      <c r="R326" s="708"/>
      <c r="S326" s="708"/>
      <c r="T326" s="708"/>
      <c r="U326" s="708"/>
      <c r="V326" s="708"/>
      <c r="W326" s="708"/>
      <c r="X326" s="708"/>
      <c r="Y326" s="708"/>
      <c r="Z326" s="708"/>
      <c r="AA326" s="708"/>
      <c r="AB326" s="708"/>
      <c r="AC326" s="708"/>
      <c r="AD326" s="708"/>
      <c r="AE326" s="708"/>
    </row>
    <row r="327">
      <c r="A327" s="727">
        <f>IFERROR(__xludf.DUMMYFUNCTION("""COMPUTED_VALUE"""),289.0)</f>
        <v>289</v>
      </c>
      <c r="B327" s="728" t="str">
        <f>IFERROR(__xludf.DUMMYFUNCTION("""COMPUTED_VALUE"""),"KD_HKD_BM_AE")</f>
        <v>KD_HKD_BM_AE</v>
      </c>
      <c r="C327" s="728" t="str">
        <f>IFERROR(__xludf.DUMMYFUNCTION("""COMPUTED_VALUE"""),"KD_HKD_BM_AE")</f>
        <v>KD_HKD_BM_AE</v>
      </c>
      <c r="D327" s="728" t="str">
        <f>IFERROR(__xludf.DUMMYFUNCTION("""COMPUTED_VALUE"""),"NV Tư vấn bán hàng")</f>
        <v>NV Tư vấn bán hàng</v>
      </c>
      <c r="E327" s="729" t="str">
        <f>IFERROR(__xludf.DUMMYFUNCTION("""COMPUTED_VALUE"""),"AE")</f>
        <v>AE</v>
      </c>
      <c r="F327" s="729"/>
      <c r="G327" s="728" t="str">
        <f>IFERROR(__xludf.DUMMYFUNCTION("""COMPUTED_VALUE"""),"HKD")</f>
        <v>HKD</v>
      </c>
      <c r="H327" s="728" t="str">
        <f>IFERROR(__xludf.DUMMYFUNCTION("""COMPUTED_VALUE"""),"Nhân viên/ Chuyên viên/ Chuyên gia")</f>
        <v>Nhân viên/ Chuyên viên/ Chuyên gia</v>
      </c>
      <c r="I327" s="728"/>
      <c r="J327" s="728" t="str">
        <f>IFERROR(__xludf.DUMMYFUNCTION("""COMPUTED_VALUE"""),"Công ty cổ phần MISA")</f>
        <v>Công ty cổ phần MISA</v>
      </c>
      <c r="K327" s="729" t="str">
        <f>IFERROR(__xludf.DUMMYFUNCTION("""COMPUTED_VALUE"""),"01 - NV_KD")</f>
        <v>01 - NV_KD</v>
      </c>
      <c r="L327" s="728" t="str">
        <f>IFERROR(__xludf.DUMMYFUNCTION("""COMPUTED_VALUE"""),"Ngừng")</f>
        <v>Ngừng</v>
      </c>
      <c r="M327" s="728"/>
      <c r="N327" s="728" t="str">
        <f>IFERROR(__xludf.DUMMYFUNCTION("""COMPUTED_VALUE"""),"ngừng")</f>
        <v>ngừng</v>
      </c>
      <c r="O327" s="708"/>
      <c r="P327" s="708"/>
      <c r="Q327" s="708"/>
      <c r="R327" s="708"/>
      <c r="S327" s="708"/>
      <c r="T327" s="708"/>
      <c r="U327" s="708"/>
      <c r="V327" s="708"/>
      <c r="W327" s="708"/>
      <c r="X327" s="708"/>
      <c r="Y327" s="708"/>
      <c r="Z327" s="708"/>
      <c r="AA327" s="708"/>
      <c r="AB327" s="708"/>
      <c r="AC327" s="708"/>
      <c r="AD327" s="708"/>
      <c r="AE327" s="708"/>
    </row>
    <row r="328">
      <c r="A328" s="724">
        <f>IFERROR(__xludf.DUMMYFUNCTION("""COMPUTED_VALUE"""),290.0)</f>
        <v>290</v>
      </c>
      <c r="B328" s="725" t="str">
        <f>IFERROR(__xludf.DUMMYFUNCTION("""COMPUTED_VALUE"""),"KD_HKD_BM_SM")</f>
        <v>KD_HKD_BM_SM</v>
      </c>
      <c r="C328" s="725" t="str">
        <f>IFERROR(__xludf.DUMMYFUNCTION("""COMPUTED_VALUE"""),"KD_HKD_BM_SM")</f>
        <v>KD_HKD_BM_SM</v>
      </c>
      <c r="D328" s="725" t="str">
        <f>IFERROR(__xludf.DUMMYFUNCTION("""COMPUTED_VALUE"""),"Quản lý kinh doanh")</f>
        <v>Quản lý kinh doanh</v>
      </c>
      <c r="E328" s="725" t="str">
        <f>IFERROR(__xludf.DUMMYFUNCTION("""COMPUTED_VALUE"""),"SM")</f>
        <v>SM</v>
      </c>
      <c r="F328" s="725">
        <f>IFERROR(__xludf.DUMMYFUNCTION("""COMPUTED_VALUE"""),2.0)</f>
        <v>2</v>
      </c>
      <c r="G328" s="725" t="str">
        <f>IFERROR(__xludf.DUMMYFUNCTION("""COMPUTED_VALUE"""),"HKD")</f>
        <v>HKD</v>
      </c>
      <c r="H328" s="725" t="str">
        <f>IFERROR(__xludf.DUMMYFUNCTION("""COMPUTED_VALUE"""),"TPP/ Trưởng ban")</f>
        <v>TPP/ Trưởng ban</v>
      </c>
      <c r="I328" s="725"/>
      <c r="J328" s="725" t="str">
        <f>IFERROR(__xludf.DUMMYFUNCTION("""COMPUTED_VALUE"""),"Công ty cổ phần MISA")</f>
        <v>Công ty cổ phần MISA</v>
      </c>
      <c r="K328" s="725" t="str">
        <f>IFERROR(__xludf.DUMMYFUNCTION("""COMPUTED_VALUE"""),"02 - QL_KD")</f>
        <v>02 - QL_KD</v>
      </c>
      <c r="L328" s="725" t="str">
        <f>IFERROR(__xludf.DUMMYFUNCTION("""COMPUTED_VALUE"""),"Ngừng")</f>
        <v>Ngừng</v>
      </c>
      <c r="M328" s="725"/>
      <c r="N328" s="728" t="str">
        <f>IFERROR(__xludf.DUMMYFUNCTION("""COMPUTED_VALUE"""),"ngừng")</f>
        <v>ngừng</v>
      </c>
      <c r="O328" s="726"/>
      <c r="P328" s="726"/>
      <c r="Q328" s="726"/>
      <c r="R328" s="726"/>
      <c r="S328" s="726"/>
      <c r="T328" s="726"/>
      <c r="U328" s="726"/>
      <c r="V328" s="726"/>
      <c r="W328" s="726"/>
      <c r="X328" s="726"/>
      <c r="Y328" s="726"/>
      <c r="Z328" s="726"/>
      <c r="AA328" s="726"/>
      <c r="AB328" s="708"/>
      <c r="AC328" s="708"/>
      <c r="AD328" s="708"/>
      <c r="AE328" s="708"/>
    </row>
    <row r="329">
      <c r="A329" s="727">
        <f>IFERROR(__xludf.DUMMYFUNCTION("""COMPUTED_VALUE"""),291.0)</f>
        <v>291</v>
      </c>
      <c r="B329" s="728" t="str">
        <f>IFERROR(__xludf.DUMMYFUNCTION("""COMPUTED_VALUE"""),"KD_ONL_TK_GPKT_ONB")</f>
        <v>KD_ONL_TK_GPKT_ONB</v>
      </c>
      <c r="C329" s="728" t="str">
        <f>IFERROR(__xludf.DUMMYFUNCTION("""COMPUTED_VALUE"""),"KD_ONL_TK_GPKT_ONB")</f>
        <v>KD_ONL_TK_GPKT_ONB</v>
      </c>
      <c r="D329" s="728" t="str">
        <f>IFERROR(__xludf.DUMMYFUNCTION("""COMPUTED_VALUE"""),"NV chuyển giao")</f>
        <v>NV chuyển giao</v>
      </c>
      <c r="E329" s="728" t="str">
        <f>IFERROR(__xludf.DUMMYFUNCTION("""COMPUTED_VALUE"""),"ONB")</f>
        <v>ONB</v>
      </c>
      <c r="F329" s="728"/>
      <c r="G329" s="728" t="str">
        <f>IFERROR(__xludf.DUMMYFUNCTION("""COMPUTED_VALUE"""),"ONL")</f>
        <v>ONL</v>
      </c>
      <c r="H329" s="728" t="str">
        <f>IFERROR(__xludf.DUMMYFUNCTION("""COMPUTED_VALUE"""),"Nhân viên/ Chuyên viên/ Chuyên gia")</f>
        <v>Nhân viên/ Chuyên viên/ Chuyên gia</v>
      </c>
      <c r="I329" s="728"/>
      <c r="J329" s="728" t="str">
        <f>IFERROR(__xludf.DUMMYFUNCTION("""COMPUTED_VALUE"""),"Văn phòng Tổng công ty")</f>
        <v>Văn phòng Tổng công ty</v>
      </c>
      <c r="K329" s="729"/>
      <c r="L329" s="728" t="str">
        <f>IFERROR(__xludf.DUMMYFUNCTION("""COMPUTED_VALUE"""),"Ngừng")</f>
        <v>Ngừng</v>
      </c>
      <c r="M329" s="729"/>
      <c r="N329" s="728" t="str">
        <f>IFERROR(__xludf.DUMMYFUNCTION("""COMPUTED_VALUE"""),"ngừng")</f>
        <v>ngừng</v>
      </c>
      <c r="O329" s="708"/>
      <c r="P329" s="708"/>
      <c r="Q329" s="708"/>
      <c r="R329" s="708"/>
      <c r="S329" s="708"/>
      <c r="T329" s="708"/>
      <c r="U329" s="708"/>
      <c r="V329" s="708"/>
      <c r="W329" s="708"/>
      <c r="X329" s="708"/>
      <c r="Y329" s="708"/>
      <c r="Z329" s="708"/>
      <c r="AA329" s="708"/>
      <c r="AB329" s="708"/>
      <c r="AC329" s="708"/>
      <c r="AD329" s="708"/>
      <c r="AE329" s="708"/>
    </row>
    <row r="330">
      <c r="A330" s="727">
        <f>IFERROR(__xludf.DUMMYFUNCTION("""COMPUTED_VALUE"""),292.0)</f>
        <v>292</v>
      </c>
      <c r="B330" s="728" t="str">
        <f>IFERROR(__xludf.DUMMYFUNCTION("""COMPUTED_VALUE"""),"KD_ONL_TK_HDDT_ONB")</f>
        <v>KD_ONL_TK_HDDT_ONB</v>
      </c>
      <c r="C330" s="728" t="str">
        <f>IFERROR(__xludf.DUMMYFUNCTION("""COMPUTED_VALUE"""),"KD_ONL_TK_HDDT_ONB")</f>
        <v>KD_ONL_TK_HDDT_ONB</v>
      </c>
      <c r="D330" s="728" t="str">
        <f>IFERROR(__xludf.DUMMYFUNCTION("""COMPUTED_VALUE"""),"NV chuyển giao")</f>
        <v>NV chuyển giao</v>
      </c>
      <c r="E330" s="728" t="str">
        <f>IFERROR(__xludf.DUMMYFUNCTION("""COMPUTED_VALUE"""),"ONB")</f>
        <v>ONB</v>
      </c>
      <c r="F330" s="729"/>
      <c r="G330" s="728" t="str">
        <f>IFERROR(__xludf.DUMMYFUNCTION("""COMPUTED_VALUE"""),"ONL")</f>
        <v>ONL</v>
      </c>
      <c r="H330" s="728" t="str">
        <f>IFERROR(__xludf.DUMMYFUNCTION("""COMPUTED_VALUE"""),"Nhân viên/ Chuyên viên/ Chuyên gia")</f>
        <v>Nhân viên/ Chuyên viên/ Chuyên gia</v>
      </c>
      <c r="I330" s="728"/>
      <c r="J330" s="728" t="str">
        <f>IFERROR(__xludf.DUMMYFUNCTION("""COMPUTED_VALUE"""),"Văn phòng Tổng công ty")</f>
        <v>Văn phòng Tổng công ty</v>
      </c>
      <c r="K330" s="728"/>
      <c r="L330" s="728" t="str">
        <f>IFERROR(__xludf.DUMMYFUNCTION("""COMPUTED_VALUE"""),"Ngừng")</f>
        <v>Ngừng</v>
      </c>
      <c r="M330" s="729"/>
      <c r="N330" s="728" t="str">
        <f>IFERROR(__xludf.DUMMYFUNCTION("""COMPUTED_VALUE"""),"ngừng")</f>
        <v>ngừng</v>
      </c>
      <c r="O330" s="708"/>
      <c r="P330" s="708"/>
      <c r="Q330" s="708"/>
      <c r="R330" s="708"/>
      <c r="S330" s="708"/>
      <c r="T330" s="708"/>
      <c r="U330" s="708"/>
      <c r="V330" s="708"/>
      <c r="W330" s="708"/>
      <c r="X330" s="708"/>
      <c r="Y330" s="708"/>
      <c r="Z330" s="708"/>
      <c r="AA330" s="708"/>
      <c r="AB330" s="708"/>
      <c r="AC330" s="708"/>
      <c r="AD330" s="708"/>
      <c r="AE330" s="708"/>
    </row>
    <row r="331">
      <c r="A331" s="727">
        <f>IFERROR(__xludf.DUMMYFUNCTION("""COMPUTED_VALUE"""),293.0)</f>
        <v>293</v>
      </c>
      <c r="B331" s="738" t="str">
        <f>IFERROR(__xludf.DUMMYFUNCTION("""COMPUTED_VALUE"""),"KD_ONL_TK_ONB_Q.TN")</f>
        <v>KD_ONL_TK_ONB_Q.TN</v>
      </c>
      <c r="C331" s="738" t="str">
        <f>IFERROR(__xludf.DUMMYFUNCTION("""COMPUTED_VALUE"""),"KD_ONL_TK_ONB_Q.TN")</f>
        <v>KD_ONL_TK_ONB_Q.TN</v>
      </c>
      <c r="D331" s="728" t="str">
        <f>IFERROR(__xludf.DUMMYFUNCTION("""COMPUTED_VALUE"""),"Q. Trưởng nhóm chuyển giao")</f>
        <v>Q. Trưởng nhóm chuyển giao</v>
      </c>
      <c r="E331" s="728" t="str">
        <f>IFERROR(__xludf.DUMMYFUNCTION("""COMPUTED_VALUE"""),"ONBL")</f>
        <v>ONBL</v>
      </c>
      <c r="F331" s="728">
        <f>IFERROR(__xludf.DUMMYFUNCTION("""COMPUTED_VALUE"""),1.0)</f>
        <v>1</v>
      </c>
      <c r="G331" s="728" t="str">
        <f>IFERROR(__xludf.DUMMYFUNCTION("""COMPUTED_VALUE"""),"ONL")</f>
        <v>ONL</v>
      </c>
      <c r="H331" s="728" t="str">
        <f>IFERROR(__xludf.DUMMYFUNCTION("""COMPUTED_VALUE"""),"Trưởng nhóm")</f>
        <v>Trưởng nhóm</v>
      </c>
      <c r="I331" s="728"/>
      <c r="J331" s="728" t="str">
        <f>IFERROR(__xludf.DUMMYFUNCTION("""COMPUTED_VALUE"""),"Công ty cổ phần MISA")</f>
        <v>Công ty cổ phần MISA</v>
      </c>
      <c r="K331" s="729"/>
      <c r="L331" s="728" t="str">
        <f>IFERROR(__xludf.DUMMYFUNCTION("""COMPUTED_VALUE"""),"Ngừng")</f>
        <v>Ngừng</v>
      </c>
      <c r="M331" s="729"/>
      <c r="N331" s="728" t="str">
        <f>IFERROR(__xludf.DUMMYFUNCTION("""COMPUTED_VALUE"""),"ngừng")</f>
        <v>ngừng</v>
      </c>
      <c r="O331" s="708"/>
      <c r="P331" s="708"/>
      <c r="Q331" s="708"/>
      <c r="R331" s="708"/>
      <c r="S331" s="708"/>
      <c r="T331" s="708"/>
      <c r="U331" s="708"/>
      <c r="V331" s="708"/>
      <c r="W331" s="708"/>
      <c r="X331" s="708"/>
      <c r="Y331" s="708"/>
      <c r="Z331" s="708"/>
      <c r="AA331" s="708"/>
      <c r="AB331" s="708"/>
      <c r="AC331" s="708"/>
      <c r="AD331" s="708"/>
      <c r="AE331" s="708"/>
    </row>
    <row r="332">
      <c r="A332" s="727">
        <f>IFERROR(__xludf.DUMMYFUNCTION("""COMPUTED_VALUE"""),294.0)</f>
        <v>294</v>
      </c>
      <c r="B332" s="728" t="str">
        <f>IFERROR(__xludf.DUMMYFUNCTION("""COMPUTED_VALUE"""),"KD_ONL_TK_ONB_TN")</f>
        <v>KD_ONL_TK_ONB_TN</v>
      </c>
      <c r="C332" s="728" t="str">
        <f>IFERROR(__xludf.DUMMYFUNCTION("""COMPUTED_VALUE"""),"KD_ONL_TK_ONB_TN")</f>
        <v>KD_ONL_TK_ONB_TN</v>
      </c>
      <c r="D332" s="728" t="str">
        <f>IFERROR(__xludf.DUMMYFUNCTION("""COMPUTED_VALUE"""),"Trưởng nhóm chuyển giao")</f>
        <v>Trưởng nhóm chuyển giao</v>
      </c>
      <c r="E332" s="728" t="str">
        <f>IFERROR(__xludf.DUMMYFUNCTION("""COMPUTED_VALUE"""),"ONBL")</f>
        <v>ONBL</v>
      </c>
      <c r="F332" s="729">
        <f>IFERROR(__xludf.DUMMYFUNCTION("""COMPUTED_VALUE"""),1.0)</f>
        <v>1</v>
      </c>
      <c r="G332" s="728" t="str">
        <f>IFERROR(__xludf.DUMMYFUNCTION("""COMPUTED_VALUE"""),"ONL")</f>
        <v>ONL</v>
      </c>
      <c r="H332" s="728" t="str">
        <f>IFERROR(__xludf.DUMMYFUNCTION("""COMPUTED_VALUE"""),"Trưởng nhóm")</f>
        <v>Trưởng nhóm</v>
      </c>
      <c r="I332" s="728"/>
      <c r="J332" s="728" t="str">
        <f>IFERROR(__xludf.DUMMYFUNCTION("""COMPUTED_VALUE"""),"Công ty cổ phần MISA")</f>
        <v>Công ty cổ phần MISA</v>
      </c>
      <c r="K332" s="729"/>
      <c r="L332" s="728" t="str">
        <f>IFERROR(__xludf.DUMMYFUNCTION("""COMPUTED_VALUE"""),"Ngừng")</f>
        <v>Ngừng</v>
      </c>
      <c r="M332" s="729"/>
      <c r="N332" s="728" t="str">
        <f>IFERROR(__xludf.DUMMYFUNCTION("""COMPUTED_VALUE"""),"ngừng")</f>
        <v>ngừng</v>
      </c>
      <c r="O332" s="708"/>
      <c r="P332" s="708"/>
      <c r="Q332" s="708"/>
      <c r="R332" s="708"/>
      <c r="S332" s="708"/>
      <c r="T332" s="708"/>
      <c r="U332" s="708"/>
      <c r="V332" s="708"/>
      <c r="W332" s="708"/>
      <c r="X332" s="708"/>
      <c r="Y332" s="708"/>
      <c r="Z332" s="708"/>
      <c r="AA332" s="708"/>
      <c r="AB332" s="708"/>
      <c r="AC332" s="708"/>
      <c r="AD332" s="708"/>
      <c r="AE332" s="708"/>
    </row>
    <row r="333">
      <c r="A333" s="727">
        <f>IFERROR(__xludf.DUMMYFUNCTION("""COMPUTED_VALUE"""),295.0)</f>
        <v>295</v>
      </c>
      <c r="B333" s="728" t="str">
        <f>IFERROR(__xludf.DUMMYFUNCTION("""COMPUTED_VALUE"""),"KDDN_NS_AE_EDU")</f>
        <v>KDDN_NS_AE_EDU</v>
      </c>
      <c r="C333" s="728" t="str">
        <f>IFERROR(__xludf.DUMMYFUNCTION("""COMPUTED_VALUE"""),"KDDN_NS_AE_EDU")</f>
        <v>KDDN_NS_AE_EDU</v>
      </c>
      <c r="D333" s="728" t="str">
        <f>IFERROR(__xludf.DUMMYFUNCTION("""COMPUTED_VALUE"""),"NV Tư vấn bán hàng")</f>
        <v>NV Tư vấn bán hàng</v>
      </c>
      <c r="E333" s="728" t="str">
        <f>IFERROR(__xludf.DUMMYFUNCTION("""COMPUTED_VALUE"""),"AE")</f>
        <v>AE</v>
      </c>
      <c r="F333" s="729"/>
      <c r="G333" s="728" t="str">
        <f>IFERROR(__xludf.DUMMYFUNCTION("""COMPUTED_VALUE"""),"EDU")</f>
        <v>EDU</v>
      </c>
      <c r="H333" s="728" t="str">
        <f>IFERROR(__xludf.DUMMYFUNCTION("""COMPUTED_VALUE"""),"Nhân viên/ Chuyên viên/ Chuyên gia")</f>
        <v>Nhân viên/ Chuyên viên/ Chuyên gia</v>
      </c>
      <c r="I333" s="728"/>
      <c r="J333" s="728" t="str">
        <f>IFERROR(__xludf.DUMMYFUNCTION("""COMPUTED_VALUE"""),"Công ty cổ phần MISA")</f>
        <v>Công ty cổ phần MISA</v>
      </c>
      <c r="K333" s="729" t="str">
        <f>IFERROR(__xludf.DUMMYFUNCTION("""COMPUTED_VALUE"""),"01 - NV_KD")</f>
        <v>01 - NV_KD</v>
      </c>
      <c r="L333" s="728" t="str">
        <f>IFERROR(__xludf.DUMMYFUNCTION("""COMPUTED_VALUE"""),"Ngừng")</f>
        <v>Ngừng</v>
      </c>
      <c r="M333" s="729"/>
      <c r="N333" s="728" t="str">
        <f>IFERROR(__xludf.DUMMYFUNCTION("""COMPUTED_VALUE"""),"ngừng")</f>
        <v>ngừng</v>
      </c>
      <c r="O333" s="708"/>
      <c r="P333" s="708"/>
      <c r="Q333" s="708"/>
      <c r="R333" s="708"/>
      <c r="S333" s="708"/>
      <c r="T333" s="708"/>
      <c r="U333" s="708"/>
      <c r="V333" s="708"/>
      <c r="W333" s="708"/>
      <c r="X333" s="708"/>
      <c r="Y333" s="708"/>
      <c r="Z333" s="708"/>
      <c r="AA333" s="708"/>
      <c r="AB333" s="708"/>
      <c r="AC333" s="708"/>
      <c r="AD333" s="708"/>
      <c r="AE333" s="708"/>
    </row>
    <row r="334">
      <c r="A334" s="727" t="str">
        <f>IFERROR(__xludf.DUMMYFUNCTION("""COMPUTED_VALUE"""),"Khối KHCN")</f>
        <v>Khối KHCN</v>
      </c>
      <c r="B334" s="728"/>
      <c r="C334" s="728"/>
      <c r="D334" s="728"/>
      <c r="E334" s="729"/>
      <c r="F334" s="729"/>
      <c r="G334" s="728"/>
      <c r="H334" s="729"/>
      <c r="I334" s="728"/>
      <c r="J334" s="728"/>
      <c r="K334" s="729"/>
      <c r="L334" s="728"/>
      <c r="M334" s="729"/>
      <c r="N334" s="728" t="str">
        <f>IFERROR(__xludf.DUMMYFUNCTION("""COMPUTED_VALUE"""),"giữ nguyên")</f>
        <v>giữ nguyên</v>
      </c>
      <c r="O334" s="708"/>
      <c r="P334" s="708"/>
      <c r="Q334" s="708"/>
      <c r="R334" s="708"/>
      <c r="S334" s="708"/>
      <c r="T334" s="708"/>
      <c r="U334" s="708"/>
      <c r="V334" s="708"/>
      <c r="W334" s="708"/>
      <c r="X334" s="708"/>
      <c r="Y334" s="708"/>
      <c r="Z334" s="708"/>
      <c r="AA334" s="708"/>
      <c r="AB334" s="708"/>
      <c r="AC334" s="708"/>
      <c r="AD334" s="708"/>
      <c r="AE334" s="708"/>
    </row>
    <row r="335">
      <c r="A335" s="727">
        <f>IFERROR(__xludf.DUMMYFUNCTION("""COMPUTED_VALUE"""),296.0)</f>
        <v>296</v>
      </c>
      <c r="B335" s="728" t="str">
        <f>IFERROR(__xludf.DUMMYFUNCTION("""COMPUTED_VALUE"""),"PCB_A.VPUD")</f>
        <v>PCB_A.VPUD</v>
      </c>
      <c r="C335" s="728" t="str">
        <f>IFERROR(__xludf.DUMMYFUNCTION("""COMPUTED_VALUE"""),"KHCN_A.VPUD")</f>
        <v>KHCN_A.VPUD</v>
      </c>
      <c r="D335" s="728" t="str">
        <f>IFERROR(__xludf.DUMMYFUNCTION("""COMPUTED_VALUE"""),"Q. Phó Giám đốc khối")</f>
        <v>Q. Phó Giám đốc khối</v>
      </c>
      <c r="E335" s="728"/>
      <c r="F335" s="728"/>
      <c r="G335" s="728" t="str">
        <f>IFERROR(__xludf.DUMMYFUNCTION("""COMPUTED_VALUE"""),"KHCN")</f>
        <v>KHCN</v>
      </c>
      <c r="H335" s="728"/>
      <c r="I335" s="728" t="str">
        <f>IFERROR(__xludf.DUMMYFUNCTION("""COMPUTED_VALUE"""),"L00")</f>
        <v>L00</v>
      </c>
      <c r="J335" s="728" t="str">
        <f>IFERROR(__xludf.DUMMYFUNCTION("""COMPUTED_VALUE"""),"Công ty cổ phần MISA")</f>
        <v>Công ty cổ phần MISA</v>
      </c>
      <c r="K335" s="729"/>
      <c r="L335" s="728" t="str">
        <f>IFERROR(__xludf.DUMMYFUNCTION("""COMPUTED_VALUE"""),"Đang theo dõi")</f>
        <v>Đang theo dõi</v>
      </c>
      <c r="M335" s="729" t="str">
        <f>IFERROR(__xludf.DUMMYFUNCTION("""COMPUTED_VALUE"""),"Personal Customer business")</f>
        <v>Personal Customer business</v>
      </c>
      <c r="N335" s="728" t="str">
        <f>IFERROR(__xludf.DUMMYFUNCTION("""COMPUTED_VALUE"""),"đổi mã")</f>
        <v>đổi mã</v>
      </c>
      <c r="O335" s="708"/>
      <c r="P335" s="708"/>
      <c r="Q335" s="708"/>
      <c r="R335" s="708"/>
      <c r="S335" s="708"/>
      <c r="T335" s="708"/>
      <c r="U335" s="708"/>
      <c r="V335" s="708"/>
      <c r="W335" s="708"/>
      <c r="X335" s="708"/>
      <c r="Y335" s="708"/>
      <c r="Z335" s="708"/>
      <c r="AA335" s="708"/>
      <c r="AB335" s="708"/>
      <c r="AC335" s="708"/>
      <c r="AD335" s="708"/>
      <c r="AE335" s="708"/>
    </row>
    <row r="336">
      <c r="A336" s="727">
        <f>IFERROR(__xludf.DUMMYFUNCTION("""COMPUTED_VALUE"""),297.0)</f>
        <v>297</v>
      </c>
      <c r="B336" s="728" t="str">
        <f>IFERROR(__xludf.DUMMYFUNCTION("""COMPUTED_VALUE"""),"KHCN_UD")</f>
        <v>KHCN_UD</v>
      </c>
      <c r="C336" s="728" t="str">
        <f>IFERROR(__xludf.DUMMYFUNCTION("""COMPUTED_VALUE"""),"KHCN_UD")</f>
        <v>KHCN_UD</v>
      </c>
      <c r="D336" s="728" t="str">
        <f>IFERROR(__xludf.DUMMYFUNCTION("""COMPUTED_VALUE"""),"NV Phát triển người dùng")</f>
        <v>NV Phát triển người dùng</v>
      </c>
      <c r="E336" s="729"/>
      <c r="F336" s="728"/>
      <c r="G336" s="728" t="str">
        <f>IFERROR(__xludf.DUMMYFUNCTION("""COMPUTED_VALUE"""),"KHCN")</f>
        <v>KHCN</v>
      </c>
      <c r="H336" s="729" t="str">
        <f>IFERROR(__xludf.DUMMYFUNCTION("""COMPUTED_VALUE"""),"Nhân viên/ Chuyên viên/ Chuyên gia")</f>
        <v>Nhân viên/ Chuyên viên/ Chuyên gia</v>
      </c>
      <c r="I336" s="728" t="str">
        <f>IFERROR(__xludf.DUMMYFUNCTION("""COMPUTED_VALUE"""),"L00")</f>
        <v>L00</v>
      </c>
      <c r="J336" s="728" t="str">
        <f>IFERROR(__xludf.DUMMYFUNCTION("""COMPUTED_VALUE"""),"Công ty cổ phần MISA")</f>
        <v>Công ty cổ phần MISA</v>
      </c>
      <c r="K336" s="729"/>
      <c r="L336" s="728" t="str">
        <f>IFERROR(__xludf.DUMMYFUNCTION("""COMPUTED_VALUE"""),"Đang theo dõi")</f>
        <v>Đang theo dõi</v>
      </c>
      <c r="M336" s="728"/>
      <c r="N336" s="728" t="str">
        <f>IFERROR(__xludf.DUMMYFUNCTION("""COMPUTED_VALUE"""),"giữ nguyên")</f>
        <v>giữ nguyên</v>
      </c>
      <c r="O336" s="708"/>
      <c r="P336" s="708"/>
      <c r="Q336" s="708"/>
      <c r="R336" s="708"/>
      <c r="S336" s="708"/>
      <c r="T336" s="708"/>
      <c r="U336" s="708"/>
      <c r="V336" s="708"/>
      <c r="W336" s="708"/>
      <c r="X336" s="708"/>
      <c r="Y336" s="708"/>
      <c r="Z336" s="708"/>
      <c r="AA336" s="708"/>
      <c r="AB336" s="726"/>
      <c r="AC336" s="726"/>
      <c r="AD336" s="726"/>
      <c r="AE336" s="726"/>
    </row>
    <row r="337">
      <c r="A337" s="727">
        <f>IFERROR(__xludf.DUMMYFUNCTION("""COMPUTED_VALUE"""),298.0)</f>
        <v>298</v>
      </c>
      <c r="B337" s="728" t="str">
        <f>IFERROR(__xludf.DUMMYFUNCTION("""COMPUTED_VALUE"""),"PCB_VPUD")</f>
        <v>PCB_VPUD</v>
      </c>
      <c r="C337" s="728" t="str">
        <f>IFERROR(__xludf.DUMMYFUNCTION("""COMPUTED_VALUE"""),"KHCN_VPUD")</f>
        <v>KHCN_VPUD</v>
      </c>
      <c r="D337" s="728" t="str">
        <f>IFERROR(__xludf.DUMMYFUNCTION("""COMPUTED_VALUE"""),"Phó Giám đốc khối")</f>
        <v>Phó Giám đốc khối</v>
      </c>
      <c r="E337" s="728"/>
      <c r="F337" s="729"/>
      <c r="G337" s="728" t="str">
        <f>IFERROR(__xludf.DUMMYFUNCTION("""COMPUTED_VALUE"""),"KHCN")</f>
        <v>KHCN</v>
      </c>
      <c r="H337" s="728" t="str">
        <f>IFERROR(__xludf.DUMMYFUNCTION("""COMPUTED_VALUE"""),"BGĐ khối")</f>
        <v>BGĐ khối</v>
      </c>
      <c r="I337" s="728" t="str">
        <f>IFERROR(__xludf.DUMMYFUNCTION("""COMPUTED_VALUE"""),"L00")</f>
        <v>L00</v>
      </c>
      <c r="J337" s="728" t="str">
        <f>IFERROR(__xludf.DUMMYFUNCTION("""COMPUTED_VALUE"""),"Công ty cổ phần MISA")</f>
        <v>Công ty cổ phần MISA</v>
      </c>
      <c r="K337" s="728"/>
      <c r="L337" s="728" t="str">
        <f>IFERROR(__xludf.DUMMYFUNCTION("""COMPUTED_VALUE"""),"Đang theo dõi")</f>
        <v>Đang theo dõi</v>
      </c>
      <c r="M337" s="729" t="str">
        <f>IFERROR(__xludf.DUMMYFUNCTION("""COMPUTED_VALUE"""),"Personal Customer business")</f>
        <v>Personal Customer business</v>
      </c>
      <c r="N337" s="728" t="str">
        <f>IFERROR(__xludf.DUMMYFUNCTION("""COMPUTED_VALUE"""),"đổi mã")</f>
        <v>đổi mã</v>
      </c>
      <c r="O337" s="708"/>
      <c r="P337" s="708"/>
      <c r="Q337" s="708"/>
      <c r="R337" s="708"/>
      <c r="S337" s="708"/>
      <c r="T337" s="708"/>
      <c r="U337" s="708"/>
      <c r="V337" s="708"/>
      <c r="W337" s="708"/>
      <c r="X337" s="708"/>
      <c r="Y337" s="708"/>
      <c r="Z337" s="708"/>
      <c r="AA337" s="708"/>
      <c r="AB337" s="708"/>
      <c r="AC337" s="708"/>
      <c r="AD337" s="708"/>
      <c r="AE337" s="708"/>
    </row>
    <row r="338">
      <c r="A338" s="727" t="str">
        <f>IFERROR(__xludf.DUMMYFUNCTION("""COMPUTED_VALUE"""),"Khối nền tảng kế toán dịch vụ")</f>
        <v>Khối nền tảng kế toán dịch vụ</v>
      </c>
      <c r="B338" s="728"/>
      <c r="C338" s="728"/>
      <c r="D338" s="728"/>
      <c r="E338" s="729"/>
      <c r="F338" s="729"/>
      <c r="G338" s="728"/>
      <c r="H338" s="729"/>
      <c r="I338" s="728"/>
      <c r="J338" s="728"/>
      <c r="K338" s="728"/>
      <c r="L338" s="728"/>
      <c r="M338" s="729"/>
      <c r="N338" s="728" t="str">
        <f>IFERROR(__xludf.DUMMYFUNCTION("""COMPUTED_VALUE"""),"giữ nguyên")</f>
        <v>giữ nguyên</v>
      </c>
      <c r="O338" s="708"/>
      <c r="P338" s="708"/>
      <c r="Q338" s="708"/>
      <c r="R338" s="708"/>
      <c r="S338" s="708"/>
      <c r="T338" s="708"/>
      <c r="U338" s="708"/>
      <c r="V338" s="708"/>
      <c r="W338" s="708"/>
      <c r="X338" s="708"/>
      <c r="Y338" s="708"/>
      <c r="Z338" s="708"/>
      <c r="AA338" s="708"/>
      <c r="AB338" s="708"/>
      <c r="AC338" s="708"/>
      <c r="AD338" s="708"/>
      <c r="AE338" s="708"/>
    </row>
    <row r="339">
      <c r="A339" s="727">
        <f>IFERROR(__xludf.DUMMYFUNCTION("""COMPUTED_VALUE"""),299.0)</f>
        <v>299</v>
      </c>
      <c r="B339" s="728" t="str">
        <f>IFERROR(__xludf.DUMMYFUNCTION("""COMPUTED_VALUE"""),"PF_A.PSMM_ASP")</f>
        <v>PF_A.PSMM_ASP</v>
      </c>
      <c r="C339" s="728" t="str">
        <f>IFERROR(__xludf.DUMMYFUNCTION("""COMPUTED_VALUE"""),"KTDV_A.PSMM_ASP")</f>
        <v>KTDV_A.PSMM_ASP</v>
      </c>
      <c r="D339" s="728" t="str">
        <f>IFERROR(__xludf.DUMMYFUNCTION("""COMPUTED_VALUE"""),"Q. Trưởng phòng chăm sóc đối tác")</f>
        <v>Q. Trưởng phòng chăm sóc đối tác</v>
      </c>
      <c r="E339" s="728" t="str">
        <f>IFERROR(__xludf.DUMMYFUNCTION("""COMPUTED_VALUE"""),"PSMM")</f>
        <v>PSMM</v>
      </c>
      <c r="F339" s="728">
        <f>IFERROR(__xludf.DUMMYFUNCTION("""COMPUTED_VALUE"""),2.0)</f>
        <v>2</v>
      </c>
      <c r="G339" s="728" t="str">
        <f>IFERROR(__xludf.DUMMYFUNCTION("""COMPUTED_VALUE"""),"KTDV")</f>
        <v>KTDV</v>
      </c>
      <c r="H339" s="728" t="str">
        <f>IFERROR(__xludf.DUMMYFUNCTION("""COMPUTED_VALUE"""),"TPP/ Trưởng ban")</f>
        <v>TPP/ Trưởng ban</v>
      </c>
      <c r="I339" s="728" t="str">
        <f>IFERROR(__xludf.DUMMYFUNCTION("""COMPUTED_VALUE"""),"L00")</f>
        <v>L00</v>
      </c>
      <c r="J339" s="728" t="str">
        <f>IFERROR(__xludf.DUMMYFUNCTION("""COMPUTED_VALUE"""),"Công ty cổ phần MISA")</f>
        <v>Công ty cổ phần MISA</v>
      </c>
      <c r="K339" s="729"/>
      <c r="L339" s="728" t="str">
        <f>IFERROR(__xludf.DUMMYFUNCTION("""COMPUTED_VALUE"""),"Đang theo dõi")</f>
        <v>Đang theo dõi</v>
      </c>
      <c r="M339" s="729"/>
      <c r="N339" s="728" t="str">
        <f>IFERROR(__xludf.DUMMYFUNCTION("""COMPUTED_VALUE"""),"đổi mã")</f>
        <v>đổi mã</v>
      </c>
      <c r="O339" s="708"/>
      <c r="P339" s="708"/>
      <c r="Q339" s="708"/>
      <c r="R339" s="708"/>
      <c r="S339" s="708"/>
      <c r="T339" s="708"/>
      <c r="U339" s="708"/>
      <c r="V339" s="708"/>
      <c r="W339" s="708"/>
      <c r="X339" s="708"/>
      <c r="Y339" s="708"/>
      <c r="Z339" s="708"/>
      <c r="AA339" s="708"/>
      <c r="AB339" s="708"/>
      <c r="AC339" s="708"/>
      <c r="AD339" s="708"/>
      <c r="AE339" s="708"/>
    </row>
    <row r="340">
      <c r="A340" s="727">
        <f>IFERROR(__xludf.DUMMYFUNCTION("""COMPUTED_VALUE"""),300.0)</f>
        <v>300</v>
      </c>
      <c r="B340" s="733" t="str">
        <f>IFERROR(__xludf.DUMMYFUNCTION("""COMPUTED_VALUE"""),"SB_CSM_ASP")</f>
        <v>SB_CSM_ASP</v>
      </c>
      <c r="C340" s="734" t="str">
        <f>IFERROR(__xludf.DUMMYFUNCTION("""COMPUTED_VALUE"""),"KTDV_PSM_ASP")</f>
        <v>KTDV_PSM_ASP</v>
      </c>
      <c r="D340" s="734" t="str">
        <f>IFERROR(__xludf.DUMMYFUNCTION("""COMPUTED_VALUE"""),"NV QL thành công đối tác")</f>
        <v>NV QL thành công đối tác</v>
      </c>
      <c r="E340" s="734" t="str">
        <f>IFERROR(__xludf.DUMMYFUNCTION("""COMPUTED_VALUE"""),"CSM")</f>
        <v>CSM</v>
      </c>
      <c r="F340" s="733"/>
      <c r="G340" s="733" t="str">
        <f>IFERROR(__xludf.DUMMYFUNCTION("""COMPUTED_VALUE"""),"KTDV")</f>
        <v>KTDV</v>
      </c>
      <c r="H340" s="734" t="str">
        <f>IFERROR(__xludf.DUMMYFUNCTION("""COMPUTED_VALUE"""),"Nhân viên/ Chuyên viên/ Chuyên gia")</f>
        <v>Nhân viên/ Chuyên viên/ Chuyên gia</v>
      </c>
      <c r="I340" s="733" t="str">
        <f>IFERROR(__xludf.DUMMYFUNCTION("""COMPUTED_VALUE"""),"L00")</f>
        <v>L00</v>
      </c>
      <c r="J340" s="733" t="str">
        <f>IFERROR(__xludf.DUMMYFUNCTION("""COMPUTED_VALUE"""),"Công ty cổ phần MISA")</f>
        <v>Công ty cổ phần MISA</v>
      </c>
      <c r="K340" s="733" t="str">
        <f>IFERROR(__xludf.DUMMYFUNCTION("""COMPUTED_VALUE"""),"01 - NV_KD")</f>
        <v>01 - NV_KD</v>
      </c>
      <c r="L340" s="734" t="str">
        <f>IFERROR(__xludf.DUMMYFUNCTION("""COMPUTED_VALUE"""),"Đang theo dõi")</f>
        <v>Đang theo dõi</v>
      </c>
      <c r="M340" s="733"/>
      <c r="N340" s="728" t="str">
        <f>IFERROR(__xludf.DUMMYFUNCTION("""COMPUTED_VALUE"""),"đổi mã")</f>
        <v>đổi mã</v>
      </c>
      <c r="O340" s="708"/>
      <c r="P340" s="708"/>
      <c r="Q340" s="708"/>
      <c r="R340" s="708"/>
      <c r="S340" s="708"/>
      <c r="T340" s="708"/>
      <c r="U340" s="708"/>
      <c r="V340" s="708"/>
      <c r="W340" s="708"/>
      <c r="X340" s="708"/>
      <c r="Y340" s="708"/>
      <c r="Z340" s="708"/>
      <c r="AA340" s="708"/>
      <c r="AB340" s="708"/>
      <c r="AC340" s="708"/>
      <c r="AD340" s="708"/>
      <c r="AE340" s="708"/>
    </row>
    <row r="341">
      <c r="A341" s="724">
        <f>IFERROR(__xludf.DUMMYFUNCTION("""COMPUTED_VALUE"""),301.0)</f>
        <v>301</v>
      </c>
      <c r="B341" s="725" t="str">
        <f>IFERROR(__xludf.DUMMYFUNCTION("""COMPUTED_VALUE"""),"PF_DGTL_ASP")</f>
        <v>PF_DGTL_ASP</v>
      </c>
      <c r="C341" s="725" t="str">
        <f>IFERROR(__xludf.DUMMYFUNCTION("""COMPUTED_VALUE"""),"KTDV_DGTL_ASP")</f>
        <v>KTDV_DGTL_ASP</v>
      </c>
      <c r="D341" s="725" t="str">
        <f>IFERROR(__xludf.DUMMYFUNCTION("""COMPUTED_VALUE"""),"Trưởng nhóm Digital Marketing")</f>
        <v>Trưởng nhóm Digital Marketing</v>
      </c>
      <c r="E341" s="725" t="str">
        <f>IFERROR(__xludf.DUMMYFUNCTION("""COMPUTED_VALUE"""),"MKT")</f>
        <v>MKT</v>
      </c>
      <c r="F341" s="725">
        <f>IFERROR(__xludf.DUMMYFUNCTION("""COMPUTED_VALUE"""),1.0)</f>
        <v>1</v>
      </c>
      <c r="G341" s="725" t="str">
        <f>IFERROR(__xludf.DUMMYFUNCTION("""COMPUTED_VALUE"""),"KTDV")</f>
        <v>KTDV</v>
      </c>
      <c r="H341" s="725" t="str">
        <f>IFERROR(__xludf.DUMMYFUNCTION("""COMPUTED_VALUE"""),"Trưởng nhóm")</f>
        <v>Trưởng nhóm</v>
      </c>
      <c r="I341" s="725" t="str">
        <f>IFERROR(__xludf.DUMMYFUNCTION("""COMPUTED_VALUE"""),"L00")</f>
        <v>L00</v>
      </c>
      <c r="J341" s="725" t="str">
        <f>IFERROR(__xludf.DUMMYFUNCTION("""COMPUTED_VALUE"""),"Công ty cổ phần MISA")</f>
        <v>Công ty cổ phần MISA</v>
      </c>
      <c r="K341" s="725"/>
      <c r="L341" s="725" t="str">
        <f>IFERROR(__xludf.DUMMYFUNCTION("""COMPUTED_VALUE"""),"Đang theo dõi")</f>
        <v>Đang theo dõi</v>
      </c>
      <c r="M341" s="725"/>
      <c r="N341" s="728" t="str">
        <f>IFERROR(__xludf.DUMMYFUNCTION("""COMPUTED_VALUE"""),"đổi mã")</f>
        <v>đổi mã</v>
      </c>
      <c r="O341" s="726"/>
      <c r="P341" s="726"/>
      <c r="Q341" s="726"/>
      <c r="R341" s="726"/>
      <c r="S341" s="726"/>
      <c r="T341" s="726"/>
      <c r="U341" s="726"/>
      <c r="V341" s="726"/>
      <c r="W341" s="726"/>
      <c r="X341" s="726"/>
      <c r="Y341" s="726"/>
      <c r="Z341" s="726"/>
      <c r="AA341" s="726"/>
      <c r="AB341" s="708"/>
      <c r="AC341" s="708"/>
      <c r="AD341" s="708"/>
      <c r="AE341" s="708"/>
    </row>
    <row r="342">
      <c r="A342" s="727">
        <f>IFERROR(__xludf.DUMMYFUNCTION("""COMPUTED_VALUE"""),302.0)</f>
        <v>302</v>
      </c>
      <c r="B342" s="731" t="str">
        <f>IFERROR(__xludf.DUMMYFUNCTION("""COMPUTED_VALUE"""),"SB_MKT_ASP")</f>
        <v>SB_MKT_ASP</v>
      </c>
      <c r="C342" s="731" t="str">
        <f>IFERROR(__xludf.DUMMYFUNCTION("""COMPUTED_VALUE"""),"KTDV_MKT_ASP")</f>
        <v>KTDV_MKT_ASP</v>
      </c>
      <c r="D342" s="731" t="str">
        <f>IFERROR(__xludf.DUMMYFUNCTION("""COMPUTED_VALUE"""),"NV Marketing")</f>
        <v>NV Marketing</v>
      </c>
      <c r="E342" s="731" t="str">
        <f>IFERROR(__xludf.DUMMYFUNCTION("""COMPUTED_VALUE"""),"BO")</f>
        <v>BO</v>
      </c>
      <c r="F342" s="731"/>
      <c r="G342" s="731" t="str">
        <f>IFERROR(__xludf.DUMMYFUNCTION("""COMPUTED_VALUE"""),"KTDV")</f>
        <v>KTDV</v>
      </c>
      <c r="H342" s="731" t="str">
        <f>IFERROR(__xludf.DUMMYFUNCTION("""COMPUTED_VALUE"""),"Nhân viên/ Chuyên viên/ Chuyên gia")</f>
        <v>Nhân viên/ Chuyên viên/ Chuyên gia</v>
      </c>
      <c r="I342" s="731" t="str">
        <f>IFERROR(__xludf.DUMMYFUNCTION("""COMPUTED_VALUE"""),"L00")</f>
        <v>L00</v>
      </c>
      <c r="J342" s="731" t="str">
        <f>IFERROR(__xludf.DUMMYFUNCTION("""COMPUTED_VALUE"""),"Công ty cổ phần MISA")</f>
        <v>Công ty cổ phần MISA</v>
      </c>
      <c r="K342" s="729"/>
      <c r="L342" s="731" t="str">
        <f>IFERROR(__xludf.DUMMYFUNCTION("""COMPUTED_VALUE"""),"Đang theo dõi")</f>
        <v>Đang theo dõi</v>
      </c>
      <c r="M342" s="729"/>
      <c r="N342" s="728" t="str">
        <f>IFERROR(__xludf.DUMMYFUNCTION("""COMPUTED_VALUE"""),"đổi mã")</f>
        <v>đổi mã</v>
      </c>
      <c r="O342" s="708"/>
      <c r="P342" s="708"/>
      <c r="Q342" s="708"/>
      <c r="R342" s="708"/>
      <c r="S342" s="708"/>
      <c r="T342" s="708"/>
      <c r="U342" s="708"/>
      <c r="V342" s="708"/>
      <c r="W342" s="708"/>
      <c r="X342" s="708"/>
      <c r="Y342" s="708"/>
      <c r="Z342" s="708"/>
      <c r="AA342" s="708"/>
      <c r="AB342" s="708"/>
      <c r="AC342" s="708"/>
      <c r="AD342" s="708"/>
      <c r="AE342" s="708"/>
    </row>
    <row r="343">
      <c r="A343" s="727">
        <f>IFERROR(__xludf.DUMMYFUNCTION("""COMPUTED_VALUE"""),303.0)</f>
        <v>303</v>
      </c>
      <c r="B343" s="728" t="str">
        <f>IFERROR(__xludf.DUMMYFUNCTION("""COMPUTED_VALUE"""),"SB_ONB_ASP")</f>
        <v>SB_ONB_ASP</v>
      </c>
      <c r="C343" s="728" t="str">
        <f>IFERROR(__xludf.DUMMYFUNCTION("""COMPUTED_VALUE"""),"KTDV_ONB_ASP")</f>
        <v>KTDV_ONB_ASP</v>
      </c>
      <c r="D343" s="728" t="str">
        <f>IFERROR(__xludf.DUMMYFUNCTION("""COMPUTED_VALUE"""),"NV Triển khai")</f>
        <v>NV Triển khai</v>
      </c>
      <c r="E343" s="728" t="str">
        <f>IFERROR(__xludf.DUMMYFUNCTION("""COMPUTED_VALUE"""),"ONB")</f>
        <v>ONB</v>
      </c>
      <c r="F343" s="728"/>
      <c r="G343" s="728" t="str">
        <f>IFERROR(__xludf.DUMMYFUNCTION("""COMPUTED_VALUE"""),"KTDV")</f>
        <v>KTDV</v>
      </c>
      <c r="H343" s="728" t="str">
        <f>IFERROR(__xludf.DUMMYFUNCTION("""COMPUTED_VALUE"""),"Nhân viên/ Chuyên viên/ Chuyên gia")</f>
        <v>Nhân viên/ Chuyên viên/ Chuyên gia</v>
      </c>
      <c r="I343" s="731" t="str">
        <f>IFERROR(__xludf.DUMMYFUNCTION("""COMPUTED_VALUE"""),"L00")</f>
        <v>L00</v>
      </c>
      <c r="J343" s="731" t="str">
        <f>IFERROR(__xludf.DUMMYFUNCTION("""COMPUTED_VALUE"""),"Công ty cổ phần MISA")</f>
        <v>Công ty cổ phần MISA</v>
      </c>
      <c r="K343" s="729"/>
      <c r="L343" s="728" t="str">
        <f>IFERROR(__xludf.DUMMYFUNCTION("""COMPUTED_VALUE"""),"Đang theo dõi")</f>
        <v>Đang theo dõi</v>
      </c>
      <c r="M343" s="729"/>
      <c r="N343" s="728" t="str">
        <f>IFERROR(__xludf.DUMMYFUNCTION("""COMPUTED_VALUE"""),"đổi mã")</f>
        <v>đổi mã</v>
      </c>
      <c r="O343" s="708"/>
      <c r="P343" s="708"/>
      <c r="Q343" s="708"/>
      <c r="R343" s="708"/>
      <c r="S343" s="708"/>
      <c r="T343" s="708"/>
      <c r="U343" s="708"/>
      <c r="V343" s="708"/>
      <c r="W343" s="708"/>
      <c r="X343" s="708"/>
      <c r="Y343" s="708"/>
      <c r="Z343" s="708"/>
      <c r="AA343" s="708"/>
      <c r="AB343" s="708"/>
      <c r="AC343" s="708"/>
      <c r="AD343" s="708"/>
      <c r="AE343" s="708"/>
    </row>
    <row r="344">
      <c r="A344" s="727">
        <f>IFERROR(__xludf.DUMMYFUNCTION("""COMPUTED_VALUE"""),305.0)</f>
        <v>305</v>
      </c>
      <c r="B344" s="738" t="str">
        <f>IFERROR(__xludf.DUMMYFUNCTION("""COMPUTED_VALUE"""),"SB_ONB_ASP_HKD")</f>
        <v>SB_ONB_ASP_HKD</v>
      </c>
      <c r="C344" s="746" t="str">
        <f>IFERROR(__xludf.DUMMYFUNCTION("""COMPUTED_VALUE"""),"KTDV_ONB_HKD")</f>
        <v>KTDV_ONB_HKD</v>
      </c>
      <c r="D344" s="728" t="str">
        <f>IFERROR(__xludf.DUMMYFUNCTION("""COMPUTED_VALUE"""),"NV chuyển giao")</f>
        <v>NV chuyển giao</v>
      </c>
      <c r="E344" s="728"/>
      <c r="F344" s="728"/>
      <c r="G344" s="728" t="str">
        <f>IFERROR(__xludf.DUMMYFUNCTION("""COMPUTED_VALUE"""),"KTDV")</f>
        <v>KTDV</v>
      </c>
      <c r="H344" s="728"/>
      <c r="I344" s="731" t="str">
        <f>IFERROR(__xludf.DUMMYFUNCTION("""COMPUTED_VALUE"""),"L00")</f>
        <v>L00</v>
      </c>
      <c r="J344" s="731" t="str">
        <f>IFERROR(__xludf.DUMMYFUNCTION("""COMPUTED_VALUE"""),"Công ty cổ phần MISA")</f>
        <v>Công ty cổ phần MISA</v>
      </c>
      <c r="K344" s="728"/>
      <c r="L344" s="728" t="str">
        <f>IFERROR(__xludf.DUMMYFUNCTION("""COMPUTED_VALUE"""),"Đang theo dõi")</f>
        <v>Đang theo dõi</v>
      </c>
      <c r="M344" s="729"/>
      <c r="N344" s="728" t="str">
        <f>IFERROR(__xludf.DUMMYFUNCTION("""COMPUTED_VALUE"""),"đổi mã")</f>
        <v>đổi mã</v>
      </c>
      <c r="O344" s="708"/>
      <c r="P344" s="708"/>
      <c r="Q344" s="708"/>
      <c r="R344" s="708"/>
      <c r="S344" s="708"/>
      <c r="T344" s="708"/>
      <c r="U344" s="708"/>
      <c r="V344" s="708"/>
      <c r="W344" s="708"/>
      <c r="X344" s="708"/>
      <c r="Y344" s="708"/>
      <c r="Z344" s="708"/>
      <c r="AA344" s="708"/>
      <c r="AB344" s="708"/>
      <c r="AC344" s="708"/>
      <c r="AD344" s="708"/>
      <c r="AE344" s="708"/>
    </row>
    <row r="345">
      <c r="A345" s="727">
        <f>IFERROR(__xludf.DUMMYFUNCTION("""COMPUTED_VALUE"""),306.0)</f>
        <v>306</v>
      </c>
      <c r="B345" s="728" t="str">
        <f>IFERROR(__xludf.DUMMYFUNCTION("""COMPUTED_VALUE"""),"PF_A.PDRM_ASP")</f>
        <v>PF_A.PDRM_ASP</v>
      </c>
      <c r="C345" s="728" t="str">
        <f>IFERROR(__xludf.DUMMYFUNCTION("""COMPUTED_VALUE"""),"KTDV_A.PDRM_ASP")</f>
        <v>KTDV_A.PDRM_ASP</v>
      </c>
      <c r="D345" s="728" t="str">
        <f>IFERROR(__xludf.DUMMYFUNCTION("""COMPUTED_VALUE"""),"Q. Trưởng phòng phát triển đối tác")</f>
        <v>Q. Trưởng phòng phát triển đối tác</v>
      </c>
      <c r="E345" s="728" t="str">
        <f>IFERROR(__xludf.DUMMYFUNCTION("""COMPUTED_VALUE"""),"PDRM")</f>
        <v>PDRM</v>
      </c>
      <c r="F345" s="728">
        <f>IFERROR(__xludf.DUMMYFUNCTION("""COMPUTED_VALUE"""),2.0)</f>
        <v>2</v>
      </c>
      <c r="G345" s="728" t="str">
        <f>IFERROR(__xludf.DUMMYFUNCTION("""COMPUTED_VALUE"""),"KTDV")</f>
        <v>KTDV</v>
      </c>
      <c r="H345" s="728" t="str">
        <f>IFERROR(__xludf.DUMMYFUNCTION("""COMPUTED_VALUE"""),"TPP/ Trưởng ban")</f>
        <v>TPP/ Trưởng ban</v>
      </c>
      <c r="I345" s="731" t="str">
        <f>IFERROR(__xludf.DUMMYFUNCTION("""COMPUTED_VALUE"""),"L00")</f>
        <v>L00</v>
      </c>
      <c r="J345" s="731" t="str">
        <f>IFERROR(__xludf.DUMMYFUNCTION("""COMPUTED_VALUE"""),"Công ty cổ phần MISA")</f>
        <v>Công ty cổ phần MISA</v>
      </c>
      <c r="K345" s="728"/>
      <c r="L345" s="728" t="str">
        <f>IFERROR(__xludf.DUMMYFUNCTION("""COMPUTED_VALUE"""),"Đang theo dõi")</f>
        <v>Đang theo dõi</v>
      </c>
      <c r="M345" s="729"/>
      <c r="N345" s="728" t="str">
        <f>IFERROR(__xludf.DUMMYFUNCTION("""COMPUTED_VALUE"""),"đổi mã")</f>
        <v>đổi mã</v>
      </c>
      <c r="O345" s="708"/>
      <c r="P345" s="708"/>
      <c r="Q345" s="708"/>
      <c r="R345" s="708"/>
      <c r="S345" s="708"/>
      <c r="T345" s="708"/>
      <c r="U345" s="708"/>
      <c r="V345" s="708"/>
      <c r="W345" s="708"/>
      <c r="X345" s="708"/>
      <c r="Y345" s="708"/>
      <c r="Z345" s="708"/>
      <c r="AA345" s="708"/>
      <c r="AB345" s="708"/>
      <c r="AC345" s="708"/>
      <c r="AD345" s="708"/>
      <c r="AE345" s="708"/>
    </row>
    <row r="346">
      <c r="A346" s="727">
        <f>IFERROR(__xludf.DUMMYFUNCTION("""COMPUTED_VALUE"""),307.0)</f>
        <v>307</v>
      </c>
      <c r="B346" s="728" t="str">
        <f>IFERROR(__xludf.DUMMYFUNCTION("""COMPUTED_VALUE"""),"SB_AMM_ASP_HKD")</f>
        <v>SB_AMM_ASP_HKD</v>
      </c>
      <c r="C346" s="728" t="str">
        <f>IFERROR(__xludf.DUMMYFUNCTION("""COMPUTED_VALUE"""),"KTDV_A.PDRM_HKD")</f>
        <v>KTDV_A.PDRM_HKD</v>
      </c>
      <c r="D346" s="728" t="str">
        <f>IFERROR(__xludf.DUMMYFUNCTION("""COMPUTED_VALUE"""),"Q. Trưởng phòng phát triển đối tác")</f>
        <v>Q. Trưởng phòng phát triển đối tác</v>
      </c>
      <c r="E346" s="728"/>
      <c r="F346" s="729">
        <f>IFERROR(__xludf.DUMMYFUNCTION("""COMPUTED_VALUE"""),2.0)</f>
        <v>2</v>
      </c>
      <c r="G346" s="728" t="str">
        <f>IFERROR(__xludf.DUMMYFUNCTION("""COMPUTED_VALUE"""),"KTDV")</f>
        <v>KTDV</v>
      </c>
      <c r="H346" s="728"/>
      <c r="I346" s="731" t="str">
        <f>IFERROR(__xludf.DUMMYFUNCTION("""COMPUTED_VALUE"""),"L00")</f>
        <v>L00</v>
      </c>
      <c r="J346" s="731" t="str">
        <f>IFERROR(__xludf.DUMMYFUNCTION("""COMPUTED_VALUE"""),"Công ty cổ phần MISA")</f>
        <v>Công ty cổ phần MISA</v>
      </c>
      <c r="K346" s="729"/>
      <c r="L346" s="728" t="str">
        <f>IFERROR(__xludf.DUMMYFUNCTION("""COMPUTED_VALUE"""),"Đang theo dõi")</f>
        <v>Đang theo dõi</v>
      </c>
      <c r="M346" s="729" t="str">
        <f>IFERROR(__xludf.DUMMYFUNCTION("""COMPUTED_VALUE"""),"CHECK")</f>
        <v>CHECK</v>
      </c>
      <c r="N346" s="728" t="str">
        <f>IFERROR(__xludf.DUMMYFUNCTION("""COMPUTED_VALUE"""),"đổi mã")</f>
        <v>đổi mã</v>
      </c>
      <c r="O346" s="708"/>
      <c r="P346" s="708"/>
      <c r="Q346" s="708"/>
      <c r="R346" s="708"/>
      <c r="S346" s="708"/>
      <c r="T346" s="708"/>
      <c r="U346" s="708"/>
      <c r="V346" s="708"/>
      <c r="W346" s="708"/>
      <c r="X346" s="708"/>
      <c r="Y346" s="708"/>
      <c r="Z346" s="708"/>
      <c r="AA346" s="708"/>
      <c r="AB346" s="708"/>
      <c r="AC346" s="708"/>
      <c r="AD346" s="708"/>
      <c r="AE346" s="708"/>
    </row>
    <row r="347">
      <c r="A347" s="727">
        <f>IFERROR(__xludf.DUMMYFUNCTION("""COMPUTED_VALUE"""),307.0)</f>
        <v>307</v>
      </c>
      <c r="B347" s="728" t="str">
        <f>IFERROR(__xludf.DUMMYFUNCTION("""COMPUTED_VALUE"""),"SB_AMM_ASP_HKD")</f>
        <v>SB_AMM_ASP_HKD</v>
      </c>
      <c r="C347" s="728" t="str">
        <f>IFERROR(__xludf.DUMMYFUNCTION("""COMPUTED_VALUE"""),"KTDV_PDRM_HKD")</f>
        <v>KTDV_PDRM_HKD</v>
      </c>
      <c r="D347" s="728" t="str">
        <f>IFERROR(__xludf.DUMMYFUNCTION("""COMPUTED_VALUE"""),"Trưởng phòng phát triển đối tác")</f>
        <v>Trưởng phòng phát triển đối tác</v>
      </c>
      <c r="E347" s="728"/>
      <c r="F347" s="728">
        <f>IFERROR(__xludf.DUMMYFUNCTION("""COMPUTED_VALUE"""),2.0)</f>
        <v>2</v>
      </c>
      <c r="G347" s="728" t="str">
        <f>IFERROR(__xludf.DUMMYFUNCTION("""COMPUTED_VALUE"""),"KTDV")</f>
        <v>KTDV</v>
      </c>
      <c r="H347" s="728"/>
      <c r="I347" s="731" t="str">
        <f>IFERROR(__xludf.DUMMYFUNCTION("""COMPUTED_VALUE"""),"L00")</f>
        <v>L00</v>
      </c>
      <c r="J347" s="731" t="str">
        <f>IFERROR(__xludf.DUMMYFUNCTION("""COMPUTED_VALUE"""),"Công ty cổ phần MISA")</f>
        <v>Công ty cổ phần MISA</v>
      </c>
      <c r="K347" s="728"/>
      <c r="L347" s="728" t="str">
        <f>IFERROR(__xludf.DUMMYFUNCTION("""COMPUTED_VALUE"""),"Đang theo dõi")</f>
        <v>Đang theo dõi</v>
      </c>
      <c r="M347" s="729" t="str">
        <f>IFERROR(__xludf.DUMMYFUNCTION("""COMPUTED_VALUE"""),"CHECK")</f>
        <v>CHECK</v>
      </c>
      <c r="N347" s="728" t="str">
        <f>IFERROR(__xludf.DUMMYFUNCTION("""COMPUTED_VALUE"""),"đổi mã")</f>
        <v>đổi mã</v>
      </c>
      <c r="O347" s="708"/>
      <c r="P347" s="708"/>
      <c r="Q347" s="708"/>
      <c r="R347" s="708"/>
      <c r="S347" s="708"/>
      <c r="T347" s="708"/>
      <c r="U347" s="708"/>
      <c r="V347" s="708"/>
      <c r="W347" s="708"/>
      <c r="X347" s="708"/>
      <c r="Y347" s="708"/>
      <c r="Z347" s="708"/>
      <c r="AA347" s="708"/>
      <c r="AB347" s="708"/>
      <c r="AC347" s="708"/>
      <c r="AD347" s="708"/>
      <c r="AE347" s="708"/>
    </row>
    <row r="348">
      <c r="A348" s="727">
        <f>IFERROR(__xludf.DUMMYFUNCTION("""COMPUTED_VALUE"""),308.0)</f>
        <v>308</v>
      </c>
      <c r="B348" s="728" t="str">
        <f>IFERROR(__xludf.DUMMYFUNCTION("""COMPUTED_VALUE"""),"SB_PDR_ASP")</f>
        <v>SB_PDR_ASP</v>
      </c>
      <c r="C348" s="728" t="str">
        <f>IFERROR(__xludf.DUMMYFUNCTION("""COMPUTED_VALUE"""),"KTDV_PDR_ASP")</f>
        <v>KTDV_PDR_ASP</v>
      </c>
      <c r="D348" s="728" t="str">
        <f>IFERROR(__xludf.DUMMYFUNCTION("""COMPUTED_VALUE"""),"NV Phát triển đối tác")</f>
        <v>NV Phát triển đối tác</v>
      </c>
      <c r="E348" s="728" t="str">
        <f>IFERROR(__xludf.DUMMYFUNCTION("""COMPUTED_VALUE"""),"PDR")</f>
        <v>PDR</v>
      </c>
      <c r="F348" s="729"/>
      <c r="G348" s="728" t="str">
        <f>IFERROR(__xludf.DUMMYFUNCTION("""COMPUTED_VALUE"""),"KTDV")</f>
        <v>KTDV</v>
      </c>
      <c r="H348" s="728" t="str">
        <f>IFERROR(__xludf.DUMMYFUNCTION("""COMPUTED_VALUE"""),"Nhân viên/ Chuyên viên/ Chuyên gia")</f>
        <v>Nhân viên/ Chuyên viên/ Chuyên gia</v>
      </c>
      <c r="I348" s="731" t="str">
        <f>IFERROR(__xludf.DUMMYFUNCTION("""COMPUTED_VALUE"""),"L00")</f>
        <v>L00</v>
      </c>
      <c r="J348" s="731" t="str">
        <f>IFERROR(__xludf.DUMMYFUNCTION("""COMPUTED_VALUE"""),"Công ty cổ phần MISA")</f>
        <v>Công ty cổ phần MISA</v>
      </c>
      <c r="K348" s="728" t="str">
        <f>IFERROR(__xludf.DUMMYFUNCTION("""COMPUTED_VALUE"""),"01 - NV_KD")</f>
        <v>01 - NV_KD</v>
      </c>
      <c r="L348" s="728" t="str">
        <f>IFERROR(__xludf.DUMMYFUNCTION("""COMPUTED_VALUE"""),"Đang theo dõi")</f>
        <v>Đang theo dõi</v>
      </c>
      <c r="M348" s="729"/>
      <c r="N348" s="728" t="str">
        <f>IFERROR(__xludf.DUMMYFUNCTION("""COMPUTED_VALUE"""),"đổi mã")</f>
        <v>đổi mã</v>
      </c>
      <c r="O348" s="708"/>
      <c r="P348" s="708"/>
      <c r="Q348" s="708"/>
      <c r="R348" s="708"/>
      <c r="S348" s="708"/>
      <c r="T348" s="708"/>
      <c r="U348" s="708"/>
      <c r="V348" s="708"/>
      <c r="W348" s="708"/>
      <c r="X348" s="708"/>
      <c r="Y348" s="708"/>
      <c r="Z348" s="708"/>
      <c r="AA348" s="708"/>
      <c r="AB348" s="708"/>
      <c r="AC348" s="708"/>
      <c r="AD348" s="708"/>
      <c r="AE348" s="708"/>
    </row>
    <row r="349">
      <c r="A349" s="727">
        <f>IFERROR(__xludf.DUMMYFUNCTION("""COMPUTED_VALUE"""),309.0)</f>
        <v>309</v>
      </c>
      <c r="B349" s="728" t="str">
        <f>IFERROR(__xludf.DUMMYFUNCTION("""COMPUTED_VALUE"""),"SB_PDR_ASP_HKD")</f>
        <v>SB_PDR_ASP_HKD</v>
      </c>
      <c r="C349" s="728" t="str">
        <f>IFERROR(__xludf.DUMMYFUNCTION("""COMPUTED_VALUE"""),"KTDV_PDR_HKD")</f>
        <v>KTDV_PDR_HKD</v>
      </c>
      <c r="D349" s="728" t="str">
        <f>IFERROR(__xludf.DUMMYFUNCTION("""COMPUTED_VALUE"""),"NV phát triển đối tác")</f>
        <v>NV phát triển đối tác</v>
      </c>
      <c r="E349" s="728"/>
      <c r="F349" s="729"/>
      <c r="G349" s="728" t="str">
        <f>IFERROR(__xludf.DUMMYFUNCTION("""COMPUTED_VALUE"""),"KTDV")</f>
        <v>KTDV</v>
      </c>
      <c r="H349" s="728"/>
      <c r="I349" s="731" t="str">
        <f>IFERROR(__xludf.DUMMYFUNCTION("""COMPUTED_VALUE"""),"L00")</f>
        <v>L00</v>
      </c>
      <c r="J349" s="731" t="str">
        <f>IFERROR(__xludf.DUMMYFUNCTION("""COMPUTED_VALUE"""),"Công ty cổ phần MISA")</f>
        <v>Công ty cổ phần MISA</v>
      </c>
      <c r="K349" s="729" t="str">
        <f>IFERROR(__xludf.DUMMYFUNCTION("""COMPUTED_VALUE"""),"01 - NV_KD")</f>
        <v>01 - NV_KD</v>
      </c>
      <c r="L349" s="728" t="str">
        <f>IFERROR(__xludf.DUMMYFUNCTION("""COMPUTED_VALUE"""),"Đang theo dõi")</f>
        <v>Đang theo dõi</v>
      </c>
      <c r="M349" s="729"/>
      <c r="N349" s="728" t="str">
        <f>IFERROR(__xludf.DUMMYFUNCTION("""COMPUTED_VALUE"""),"đổi mã")</f>
        <v>đổi mã</v>
      </c>
      <c r="O349" s="708"/>
      <c r="P349" s="708"/>
      <c r="Q349" s="708"/>
      <c r="R349" s="708"/>
      <c r="S349" s="708"/>
      <c r="T349" s="708"/>
      <c r="U349" s="708"/>
      <c r="V349" s="708"/>
      <c r="W349" s="708"/>
      <c r="X349" s="708"/>
      <c r="Y349" s="708"/>
      <c r="Z349" s="708"/>
      <c r="AA349" s="708"/>
      <c r="AB349" s="708"/>
      <c r="AC349" s="708"/>
      <c r="AD349" s="708"/>
      <c r="AE349" s="708"/>
    </row>
    <row r="350">
      <c r="A350" s="727">
        <f>IFERROR(__xludf.DUMMYFUNCTION("""COMPUTED_VALUE"""),310.0)</f>
        <v>310</v>
      </c>
      <c r="B350" s="728"/>
      <c r="C350" s="728" t="str">
        <f>IFERROR(__xludf.DUMMYFUNCTION("""COMPUTED_VALUE"""),"KTDV_A.PSMM_ASP")</f>
        <v>KTDV_A.PSMM_ASP</v>
      </c>
      <c r="D350" s="728" t="str">
        <f>IFERROR(__xludf.DUMMYFUNCTION("""COMPUTED_VALUE"""),"Q. Trưởng phòng chăm sóc đối tác")</f>
        <v>Q. Trưởng phòng chăm sóc đối tác</v>
      </c>
      <c r="E350" s="728" t="str">
        <f>IFERROR(__xludf.DUMMYFUNCTION("""COMPUTED_VALUE"""),"PSMM")</f>
        <v>PSMM</v>
      </c>
      <c r="F350" s="729">
        <f>IFERROR(__xludf.DUMMYFUNCTION("""COMPUTED_VALUE"""),2.0)</f>
        <v>2</v>
      </c>
      <c r="G350" s="728" t="str">
        <f>IFERROR(__xludf.DUMMYFUNCTION("""COMPUTED_VALUE"""),"KTDV")</f>
        <v>KTDV</v>
      </c>
      <c r="H350" s="728" t="str">
        <f>IFERROR(__xludf.DUMMYFUNCTION("""COMPUTED_VALUE"""),"TPP/ Trưởng ban")</f>
        <v>TPP/ Trưởng ban</v>
      </c>
      <c r="I350" s="731" t="str">
        <f>IFERROR(__xludf.DUMMYFUNCTION("""COMPUTED_VALUE"""),"L00")</f>
        <v>L00</v>
      </c>
      <c r="J350" s="731" t="str">
        <f>IFERROR(__xludf.DUMMYFUNCTION("""COMPUTED_VALUE"""),"Công ty cổ phần MISA")</f>
        <v>Công ty cổ phần MISA</v>
      </c>
      <c r="K350" s="729"/>
      <c r="L350" s="728" t="str">
        <f>IFERROR(__xludf.DUMMYFUNCTION("""COMPUTED_VALUE"""),"Đang theo dõi")</f>
        <v>Đang theo dõi</v>
      </c>
      <c r="M350" s="729"/>
      <c r="N350" s="728" t="str">
        <f>IFERROR(__xludf.DUMMYFUNCTION("""COMPUTED_VALUE"""),"thêm mới")</f>
        <v>thêm mới</v>
      </c>
      <c r="O350" s="708"/>
      <c r="P350" s="708"/>
      <c r="Q350" s="708"/>
      <c r="R350" s="708"/>
      <c r="S350" s="708"/>
      <c r="T350" s="708"/>
      <c r="U350" s="708"/>
      <c r="V350" s="708"/>
      <c r="W350" s="708"/>
      <c r="X350" s="708"/>
      <c r="Y350" s="708"/>
      <c r="Z350" s="708"/>
      <c r="AA350" s="708"/>
      <c r="AB350" s="708"/>
      <c r="AC350" s="708"/>
      <c r="AD350" s="708"/>
      <c r="AE350" s="708"/>
    </row>
    <row r="351">
      <c r="A351" s="727">
        <f>IFERROR(__xludf.DUMMYFUNCTION("""COMPUTED_VALUE"""),310.0)</f>
        <v>310</v>
      </c>
      <c r="B351" s="728" t="str">
        <f>IFERROR(__xludf.DUMMYFUNCTION("""COMPUTED_VALUE"""),"PF_PSMM_ASP")</f>
        <v>PF_PSMM_ASP</v>
      </c>
      <c r="C351" s="728" t="str">
        <f>IFERROR(__xludf.DUMMYFUNCTION("""COMPUTED_VALUE"""),"KTDV_PSMM_ASP")</f>
        <v>KTDV_PSMM_ASP</v>
      </c>
      <c r="D351" s="728" t="str">
        <f>IFERROR(__xludf.DUMMYFUNCTION("""COMPUTED_VALUE"""),"Trưởng phòng chăm sóc đối tác")</f>
        <v>Trưởng phòng chăm sóc đối tác</v>
      </c>
      <c r="E351" s="728" t="str">
        <f>IFERROR(__xludf.DUMMYFUNCTION("""COMPUTED_VALUE"""),"PSMM")</f>
        <v>PSMM</v>
      </c>
      <c r="F351" s="729">
        <f>IFERROR(__xludf.DUMMYFUNCTION("""COMPUTED_VALUE"""),2.0)</f>
        <v>2</v>
      </c>
      <c r="G351" s="728" t="str">
        <f>IFERROR(__xludf.DUMMYFUNCTION("""COMPUTED_VALUE"""),"KTDV")</f>
        <v>KTDV</v>
      </c>
      <c r="H351" s="728" t="str">
        <f>IFERROR(__xludf.DUMMYFUNCTION("""COMPUTED_VALUE"""),"TPP/ Trưởng ban")</f>
        <v>TPP/ Trưởng ban</v>
      </c>
      <c r="I351" s="731" t="str">
        <f>IFERROR(__xludf.DUMMYFUNCTION("""COMPUTED_VALUE"""),"L00")</f>
        <v>L00</v>
      </c>
      <c r="J351" s="731" t="str">
        <f>IFERROR(__xludf.DUMMYFUNCTION("""COMPUTED_VALUE"""),"Công ty cổ phần MISA")</f>
        <v>Công ty cổ phần MISA</v>
      </c>
      <c r="K351" s="728"/>
      <c r="L351" s="728" t="str">
        <f>IFERROR(__xludf.DUMMYFUNCTION("""COMPUTED_VALUE"""),"Đang theo dõi")</f>
        <v>Đang theo dõi</v>
      </c>
      <c r="M351" s="729"/>
      <c r="N351" s="728" t="str">
        <f>IFERROR(__xludf.DUMMYFUNCTION("""COMPUTED_VALUE"""),"đổi mã")</f>
        <v>đổi mã</v>
      </c>
      <c r="O351" s="708"/>
      <c r="P351" s="708"/>
      <c r="Q351" s="708"/>
      <c r="R351" s="708"/>
      <c r="S351" s="708"/>
      <c r="T351" s="708"/>
      <c r="U351" s="708"/>
      <c r="V351" s="708"/>
      <c r="W351" s="708"/>
      <c r="X351" s="708"/>
      <c r="Y351" s="708"/>
      <c r="Z351" s="708"/>
      <c r="AA351" s="708"/>
      <c r="AB351" s="708"/>
      <c r="AC351" s="708"/>
      <c r="AD351" s="708"/>
      <c r="AE351" s="708"/>
    </row>
    <row r="352">
      <c r="A352" s="727">
        <f>IFERROR(__xludf.DUMMYFUNCTION("""COMPUTED_VALUE"""),311.0)</f>
        <v>311</v>
      </c>
      <c r="B352" s="728"/>
      <c r="C352" s="728" t="str">
        <f>IFERROR(__xludf.DUMMYFUNCTION("""COMPUTED_VALUE"""),"KTDV_PUD")</f>
        <v>KTDV_PUD</v>
      </c>
      <c r="D352" s="728" t="str">
        <f>IFERROR(__xludf.DUMMYFUNCTION("""COMPUTED_VALUE"""),"Giám đốc Khối Kế toán dịch vụ")</f>
        <v>Giám đốc Khối Kế toán dịch vụ</v>
      </c>
      <c r="E352" s="728" t="str">
        <f>IFERROR(__xludf.DUMMYFUNCTION("""COMPUTED_VALUE"""),"BOM")</f>
        <v>BOM</v>
      </c>
      <c r="F352" s="729"/>
      <c r="G352" s="728"/>
      <c r="H352" s="728" t="str">
        <f>IFERROR(__xludf.DUMMYFUNCTION("""COMPUTED_VALUE"""),"BGĐ khối")</f>
        <v>BGĐ khối</v>
      </c>
      <c r="I352" s="731"/>
      <c r="J352" s="731"/>
      <c r="K352" s="728"/>
      <c r="L352" s="728" t="str">
        <f>IFERROR(__xludf.DUMMYFUNCTION("""COMPUTED_VALUE"""),"mới")</f>
        <v>mới</v>
      </c>
      <c r="M352" s="729"/>
      <c r="N352" s="728" t="str">
        <f>IFERROR(__xludf.DUMMYFUNCTION("""COMPUTED_VALUE"""),"thêm mới")</f>
        <v>thêm mới</v>
      </c>
      <c r="O352" s="708"/>
      <c r="P352" s="708"/>
      <c r="Q352" s="708"/>
      <c r="R352" s="708"/>
      <c r="S352" s="708"/>
      <c r="T352" s="708"/>
      <c r="U352" s="708"/>
      <c r="V352" s="708"/>
      <c r="W352" s="708"/>
      <c r="X352" s="708"/>
      <c r="Y352" s="708"/>
      <c r="Z352" s="708"/>
      <c r="AA352" s="708"/>
      <c r="AB352" s="708"/>
      <c r="AC352" s="708"/>
      <c r="AD352" s="708"/>
      <c r="AE352" s="708"/>
    </row>
    <row r="353">
      <c r="A353" s="727" t="str">
        <f>IFERROR(__xludf.DUMMYFUNCTION("""COMPUTED_VALUE"""),"Khối KD DN vừa")</f>
        <v>Khối KD DN vừa</v>
      </c>
      <c r="B353" s="728"/>
      <c r="C353" s="728"/>
      <c r="D353" s="728"/>
      <c r="E353" s="728"/>
      <c r="F353" s="729"/>
      <c r="G353" s="728"/>
      <c r="H353" s="728"/>
      <c r="I353" s="731"/>
      <c r="J353" s="731"/>
      <c r="K353" s="728"/>
      <c r="L353" s="728"/>
      <c r="M353" s="729"/>
      <c r="N353" s="728" t="str">
        <f>IFERROR(__xludf.DUMMYFUNCTION("""COMPUTED_VALUE"""),"giữ nguyên")</f>
        <v>giữ nguyên</v>
      </c>
      <c r="O353" s="708"/>
      <c r="P353" s="708"/>
      <c r="Q353" s="708"/>
      <c r="R353" s="708"/>
      <c r="S353" s="708"/>
      <c r="T353" s="708"/>
      <c r="U353" s="708"/>
      <c r="V353" s="708"/>
      <c r="W353" s="708"/>
      <c r="X353" s="708"/>
      <c r="Y353" s="708"/>
      <c r="Z353" s="708"/>
      <c r="AA353" s="708"/>
      <c r="AB353" s="708"/>
      <c r="AC353" s="708"/>
      <c r="AD353" s="708"/>
      <c r="AE353" s="708"/>
    </row>
    <row r="354">
      <c r="A354" s="727">
        <f>IFERROR(__xludf.DUMMYFUNCTION("""COMPUTED_VALUE"""),312.0)</f>
        <v>312</v>
      </c>
      <c r="B354" s="728" t="str">
        <f>IFERROR(__xludf.DUMMYFUNCTION("""COMPUTED_VALUE"""),"MB_A.CSMM")</f>
        <v>MB_A.CSMM</v>
      </c>
      <c r="C354" s="728" t="str">
        <f>IFERROR(__xludf.DUMMYFUNCTION("""COMPUTED_VALUE"""),"MB_A.CSMM")</f>
        <v>MB_A.CSMM</v>
      </c>
      <c r="D354" s="728" t="str">
        <f>IFERROR(__xludf.DUMMYFUNCTION("""COMPUTED_VALUE"""),"Q. Trưởng phòng CSKH")</f>
        <v>Q. Trưởng phòng CSKH</v>
      </c>
      <c r="E354" s="728" t="str">
        <f>IFERROR(__xludf.DUMMYFUNCTION("""COMPUTED_VALUE"""),"CSMM")</f>
        <v>CSMM</v>
      </c>
      <c r="F354" s="729">
        <f>IFERROR(__xludf.DUMMYFUNCTION("""COMPUTED_VALUE"""),2.0)</f>
        <v>2</v>
      </c>
      <c r="G354" s="728" t="str">
        <f>IFERROR(__xludf.DUMMYFUNCTION("""COMPUTED_VALUE"""),"DNVUA")</f>
        <v>DNVUA</v>
      </c>
      <c r="H354" s="728" t="str">
        <f>IFERROR(__xludf.DUMMYFUNCTION("""COMPUTED_VALUE"""),"TPP/ Trưởng ban")</f>
        <v>TPP/ Trưởng ban</v>
      </c>
      <c r="I354" s="731" t="str">
        <f>IFERROR(__xludf.DUMMYFUNCTION("""COMPUTED_VALUE"""),"L2.02.03.00.00.00.00")</f>
        <v>L2.02.03.00.00.00.00</v>
      </c>
      <c r="J354" s="731" t="str">
        <f>IFERROR(__xludf.DUMMYFUNCTION("""COMPUTED_VALUE"""),"Khối Doanh nghiệp vừa")</f>
        <v>Khối Doanh nghiệp vừa</v>
      </c>
      <c r="K354" s="728"/>
      <c r="L354" s="728" t="str">
        <f>IFERROR(__xludf.DUMMYFUNCTION("""COMPUTED_VALUE"""),"Ngừng")</f>
        <v>Ngừng</v>
      </c>
      <c r="M354" s="729"/>
      <c r="N354" s="728" t="str">
        <f>IFERROR(__xludf.DUMMYFUNCTION("""COMPUTED_VALUE"""),"ngừng")</f>
        <v>ngừng</v>
      </c>
      <c r="O354" s="708"/>
      <c r="P354" s="708"/>
      <c r="Q354" s="708"/>
      <c r="R354" s="708"/>
      <c r="S354" s="708"/>
      <c r="T354" s="708"/>
      <c r="U354" s="708"/>
      <c r="V354" s="708"/>
      <c r="W354" s="708"/>
      <c r="X354" s="708"/>
      <c r="Y354" s="708"/>
      <c r="Z354" s="708"/>
      <c r="AA354" s="708"/>
      <c r="AB354" s="708"/>
      <c r="AC354" s="708"/>
      <c r="AD354" s="708"/>
      <c r="AE354" s="708"/>
    </row>
    <row r="355">
      <c r="A355" s="727">
        <f>IFERROR(__xludf.DUMMYFUNCTION("""COMPUTED_VALUE"""),313.0)</f>
        <v>313</v>
      </c>
      <c r="B355" s="728" t="str">
        <f>IFERROR(__xludf.DUMMYFUNCTION("""COMPUTED_VALUE"""),"MB_A.ONBM")</f>
        <v>MB_A.ONBM</v>
      </c>
      <c r="C355" s="728" t="str">
        <f>IFERROR(__xludf.DUMMYFUNCTION("""COMPUTED_VALUE"""),"MB_A.ONBM")</f>
        <v>MB_A.ONBM</v>
      </c>
      <c r="D355" s="728" t="str">
        <f>IFERROR(__xludf.DUMMYFUNCTION("""COMPUTED_VALUE"""),"Q. Trưởng phòng chuyển giao")</f>
        <v>Q. Trưởng phòng chuyển giao</v>
      </c>
      <c r="E355" s="728" t="str">
        <f>IFERROR(__xludf.DUMMYFUNCTION("""COMPUTED_VALUE"""),"ONBM")</f>
        <v>ONBM</v>
      </c>
      <c r="F355" s="728">
        <f>IFERROR(__xludf.DUMMYFUNCTION("""COMPUTED_VALUE"""),2.0)</f>
        <v>2</v>
      </c>
      <c r="G355" s="728" t="str">
        <f>IFERROR(__xludf.DUMMYFUNCTION("""COMPUTED_VALUE"""),"DNVUA")</f>
        <v>DNVUA</v>
      </c>
      <c r="H355" s="728" t="str">
        <f>IFERROR(__xludf.DUMMYFUNCTION("""COMPUTED_VALUE"""),"TPP/ Trưởng ban")</f>
        <v>TPP/ Trưởng ban</v>
      </c>
      <c r="I355" s="731" t="str">
        <f>IFERROR(__xludf.DUMMYFUNCTION("""COMPUTED_VALUE"""),"L2.02.03.00.00.00.00")</f>
        <v>L2.02.03.00.00.00.00</v>
      </c>
      <c r="J355" s="731" t="str">
        <f>IFERROR(__xludf.DUMMYFUNCTION("""COMPUTED_VALUE"""),"Khối Doanh nghiệp vừa")</f>
        <v>Khối Doanh nghiệp vừa</v>
      </c>
      <c r="K355" s="728"/>
      <c r="L355" s="728" t="str">
        <f>IFERROR(__xludf.DUMMYFUNCTION("""COMPUTED_VALUE"""),"Đang theo dõi")</f>
        <v>Đang theo dõi</v>
      </c>
      <c r="M355" s="729"/>
      <c r="N355" s="728" t="str">
        <f>IFERROR(__xludf.DUMMYFUNCTION("""COMPUTED_VALUE"""),"giữ nguyên")</f>
        <v>giữ nguyên</v>
      </c>
      <c r="O355" s="708"/>
      <c r="P355" s="708"/>
      <c r="Q355" s="708"/>
      <c r="R355" s="708"/>
      <c r="S355" s="708"/>
      <c r="T355" s="708"/>
      <c r="U355" s="708"/>
      <c r="V355" s="708"/>
      <c r="W355" s="708"/>
      <c r="X355" s="708"/>
      <c r="Y355" s="708"/>
      <c r="Z355" s="708"/>
      <c r="AA355" s="708"/>
      <c r="AB355" s="708"/>
      <c r="AC355" s="708"/>
      <c r="AD355" s="708"/>
      <c r="AE355" s="708"/>
    </row>
    <row r="356">
      <c r="A356" s="727">
        <f>IFERROR(__xludf.DUMMYFUNCTION("""COMPUTED_VALUE"""),314.0)</f>
        <v>314</v>
      </c>
      <c r="B356" s="740" t="str">
        <f>IFERROR(__xludf.DUMMYFUNCTION("""COMPUTED_VALUE"""),"MB_A.SD")</f>
        <v>MB_A.SD</v>
      </c>
      <c r="C356" s="740" t="str">
        <f>IFERROR(__xludf.DUMMYFUNCTION("""COMPUTED_VALUE"""),"MB_A.SD")</f>
        <v>MB_A.SD</v>
      </c>
      <c r="D356" s="731" t="str">
        <f>IFERROR(__xludf.DUMMYFUNCTION("""COMPUTED_VALUE"""),"Q. Giám đốc TTKD")</f>
        <v>Q. Giám đốc TTKD</v>
      </c>
      <c r="E356" s="731" t="str">
        <f>IFERROR(__xludf.DUMMYFUNCTION("""COMPUTED_VALUE"""),"BOM")</f>
        <v>BOM</v>
      </c>
      <c r="F356" s="729">
        <f>IFERROR(__xludf.DUMMYFUNCTION("""COMPUTED_VALUE"""),3.0)</f>
        <v>3</v>
      </c>
      <c r="G356" s="731" t="str">
        <f>IFERROR(__xludf.DUMMYFUNCTION("""COMPUTED_VALUE"""),"DNVUA")</f>
        <v>DNVUA</v>
      </c>
      <c r="H356" s="731" t="str">
        <f>IFERROR(__xludf.DUMMYFUNCTION("""COMPUTED_VALUE"""),"Ban GĐTTKD/ BGĐ khối DA")</f>
        <v>Ban GĐTTKD/ BGĐ khối DA</v>
      </c>
      <c r="I356" s="731" t="str">
        <f>IFERROR(__xludf.DUMMYFUNCTION("""COMPUTED_VALUE"""),"L2.02.03.00.00.00.00")</f>
        <v>L2.02.03.00.00.00.00</v>
      </c>
      <c r="J356" s="731" t="str">
        <f>IFERROR(__xludf.DUMMYFUNCTION("""COMPUTED_VALUE"""),"Khối Doanh nghiệp vừa")</f>
        <v>Khối Doanh nghiệp vừa</v>
      </c>
      <c r="K356" s="729" t="str">
        <f>IFERROR(__xludf.DUMMYFUNCTION("""COMPUTED_VALUE"""),"03 - BGĐ_KD")</f>
        <v>03 - BGĐ_KD</v>
      </c>
      <c r="L356" s="731" t="str">
        <f>IFERROR(__xludf.DUMMYFUNCTION("""COMPUTED_VALUE"""),"Đang theo dõi")</f>
        <v>Đang theo dõi</v>
      </c>
      <c r="M356" s="729"/>
      <c r="N356" s="728" t="str">
        <f>IFERROR(__xludf.DUMMYFUNCTION("""COMPUTED_VALUE"""),"giữ nguyên")</f>
        <v>giữ nguyên</v>
      </c>
      <c r="O356" s="708"/>
      <c r="P356" s="708"/>
      <c r="Q356" s="708"/>
      <c r="R356" s="708"/>
      <c r="S356" s="708"/>
      <c r="T356" s="708"/>
      <c r="U356" s="708"/>
      <c r="V356" s="708"/>
      <c r="W356" s="708"/>
      <c r="X356" s="708"/>
      <c r="Y356" s="708"/>
      <c r="Z356" s="708"/>
      <c r="AA356" s="708"/>
      <c r="AB356" s="708"/>
      <c r="AC356" s="708"/>
      <c r="AD356" s="708"/>
      <c r="AE356" s="708"/>
    </row>
    <row r="357">
      <c r="A357" s="727">
        <f>IFERROR(__xludf.DUMMYFUNCTION("""COMPUTED_VALUE"""),315.0)</f>
        <v>315</v>
      </c>
      <c r="B357" s="731" t="str">
        <f>IFERROR(__xludf.DUMMYFUNCTION("""COMPUTED_VALUE"""),"MB_A.VSD")</f>
        <v>MB_A.VSD</v>
      </c>
      <c r="C357" s="731" t="str">
        <f>IFERROR(__xludf.DUMMYFUNCTION("""COMPUTED_VALUE"""),"MB_A.VSD")</f>
        <v>MB_A.VSD</v>
      </c>
      <c r="D357" s="731" t="str">
        <f>IFERROR(__xludf.DUMMYFUNCTION("""COMPUTED_VALUE"""),"Q. Phó Giám đốc TTKD")</f>
        <v>Q. Phó Giám đốc TTKD</v>
      </c>
      <c r="E357" s="731" t="str">
        <f>IFERROR(__xludf.DUMMYFUNCTION("""COMPUTED_VALUE"""),"BOM")</f>
        <v>BOM</v>
      </c>
      <c r="F357" s="729">
        <f>IFERROR(__xludf.DUMMYFUNCTION("""COMPUTED_VALUE"""),3.0)</f>
        <v>3</v>
      </c>
      <c r="G357" s="731" t="str">
        <f>IFERROR(__xludf.DUMMYFUNCTION("""COMPUTED_VALUE"""),"DNVUA")</f>
        <v>DNVUA</v>
      </c>
      <c r="H357" s="731" t="str">
        <f>IFERROR(__xludf.DUMMYFUNCTION("""COMPUTED_VALUE"""),"Ban GĐTTKD/ BGĐ khối DA")</f>
        <v>Ban GĐTTKD/ BGĐ khối DA</v>
      </c>
      <c r="I357" s="731" t="str">
        <f>IFERROR(__xludf.DUMMYFUNCTION("""COMPUTED_VALUE"""),"L2.02.03.00.00.00.00")</f>
        <v>L2.02.03.00.00.00.00</v>
      </c>
      <c r="J357" s="731" t="str">
        <f>IFERROR(__xludf.DUMMYFUNCTION("""COMPUTED_VALUE"""),"Khối Doanh nghiệp vừa")</f>
        <v>Khối Doanh nghiệp vừa</v>
      </c>
      <c r="K357" s="729" t="str">
        <f>IFERROR(__xludf.DUMMYFUNCTION("""COMPUTED_VALUE"""),"03 - BGĐ_KD")</f>
        <v>03 - BGĐ_KD</v>
      </c>
      <c r="L357" s="731" t="str">
        <f>IFERROR(__xludf.DUMMYFUNCTION("""COMPUTED_VALUE"""),"Đang theo dõi")</f>
        <v>Đang theo dõi</v>
      </c>
      <c r="M357" s="729"/>
      <c r="N357" s="728" t="str">
        <f>IFERROR(__xludf.DUMMYFUNCTION("""COMPUTED_VALUE"""),"giữ nguyên")</f>
        <v>giữ nguyên</v>
      </c>
      <c r="O357" s="708"/>
      <c r="P357" s="708"/>
      <c r="Q357" s="708"/>
      <c r="R357" s="708"/>
      <c r="S357" s="708"/>
      <c r="T357" s="708"/>
      <c r="U357" s="708"/>
      <c r="V357" s="708"/>
      <c r="W357" s="708"/>
      <c r="X357" s="708"/>
      <c r="Y357" s="708"/>
      <c r="Z357" s="708"/>
      <c r="AA357" s="708"/>
      <c r="AB357" s="708"/>
      <c r="AC357" s="708"/>
      <c r="AD357" s="708"/>
      <c r="AE357" s="708"/>
    </row>
    <row r="358">
      <c r="A358" s="727">
        <f>IFERROR(__xludf.DUMMYFUNCTION("""COMPUTED_VALUE"""),316.0)</f>
        <v>316</v>
      </c>
      <c r="B358" s="731" t="str">
        <f>IFERROR(__xludf.DUMMYFUNCTION("""COMPUTED_VALUE"""),"MB_AE")</f>
        <v>MB_AE</v>
      </c>
      <c r="C358" s="731" t="str">
        <f>IFERROR(__xludf.DUMMYFUNCTION("""COMPUTED_VALUE"""),"MB_AE")</f>
        <v>MB_AE</v>
      </c>
      <c r="D358" s="731" t="str">
        <f>IFERROR(__xludf.DUMMYFUNCTION("""COMPUTED_VALUE"""),"NV Tư vấn bán hàng")</f>
        <v>NV Tư vấn bán hàng</v>
      </c>
      <c r="E358" s="731" t="str">
        <f>IFERROR(__xludf.DUMMYFUNCTION("""COMPUTED_VALUE"""),"AE")</f>
        <v>AE</v>
      </c>
      <c r="F358" s="729"/>
      <c r="G358" s="731" t="str">
        <f>IFERROR(__xludf.DUMMYFUNCTION("""COMPUTED_VALUE"""),"DNVUA")</f>
        <v>DNVUA</v>
      </c>
      <c r="H358" s="731" t="str">
        <f>IFERROR(__xludf.DUMMYFUNCTION("""COMPUTED_VALUE"""),"Nhân viên/ Chuyên viên/ Chuyên gia")</f>
        <v>Nhân viên/ Chuyên viên/ Chuyên gia</v>
      </c>
      <c r="I358" s="731" t="str">
        <f>IFERROR(__xludf.DUMMYFUNCTION("""COMPUTED_VALUE"""),"L2.02.03.00.00.00.00")</f>
        <v>L2.02.03.00.00.00.00</v>
      </c>
      <c r="J358" s="731" t="str">
        <f>IFERROR(__xludf.DUMMYFUNCTION("""COMPUTED_VALUE"""),"Khối Doanh nghiệp vừa")</f>
        <v>Khối Doanh nghiệp vừa</v>
      </c>
      <c r="K358" s="729"/>
      <c r="L358" s="731" t="str">
        <f>IFERROR(__xludf.DUMMYFUNCTION("""COMPUTED_VALUE"""),"Đang theo dõi")</f>
        <v>Đang theo dõi</v>
      </c>
      <c r="M358" s="729"/>
      <c r="N358" s="728" t="str">
        <f>IFERROR(__xludf.DUMMYFUNCTION("""COMPUTED_VALUE"""),"giữ nguyên")</f>
        <v>giữ nguyên</v>
      </c>
      <c r="O358" s="708"/>
      <c r="P358" s="708"/>
      <c r="Q358" s="708"/>
      <c r="R358" s="708"/>
      <c r="S358" s="708"/>
      <c r="T358" s="708"/>
      <c r="U358" s="708"/>
      <c r="V358" s="708"/>
      <c r="W358" s="708"/>
      <c r="X358" s="708"/>
      <c r="Y358" s="708"/>
      <c r="Z358" s="708"/>
      <c r="AA358" s="708"/>
      <c r="AB358" s="708"/>
      <c r="AC358" s="708"/>
      <c r="AD358" s="708"/>
      <c r="AE358" s="708"/>
    </row>
    <row r="359">
      <c r="A359" s="727">
        <f>IFERROR(__xludf.DUMMYFUNCTION("""COMPUTED_VALUE"""),317.0)</f>
        <v>317</v>
      </c>
      <c r="B359" s="731" t="str">
        <f>IFERROR(__xludf.DUMMYFUNCTION("""COMPUTED_VALUE"""),"MB_CS_A.AMM")</f>
        <v>MB_CS_A.AMM</v>
      </c>
      <c r="C359" s="731" t="str">
        <f>IFERROR(__xludf.DUMMYFUNCTION("""COMPUTED_VALUE"""),"MB_CS_A.AMM")</f>
        <v>MB_CS_A.AMM</v>
      </c>
      <c r="D359" s="731" t="str">
        <f>IFERROR(__xludf.DUMMYFUNCTION("""COMPUTED_VALUE"""),"Q. Trưởng phòng bán thêm")</f>
        <v>Q. Trưởng phòng bán thêm</v>
      </c>
      <c r="E359" s="731" t="str">
        <f>IFERROR(__xludf.DUMMYFUNCTION("""COMPUTED_VALUE"""),"SM")</f>
        <v>SM</v>
      </c>
      <c r="F359" s="729">
        <f>IFERROR(__xludf.DUMMYFUNCTION("""COMPUTED_VALUE"""),2.0)</f>
        <v>2</v>
      </c>
      <c r="G359" s="731" t="str">
        <f>IFERROR(__xludf.DUMMYFUNCTION("""COMPUTED_VALUE"""),"DNVUA")</f>
        <v>DNVUA</v>
      </c>
      <c r="H359" s="731" t="str">
        <f>IFERROR(__xludf.DUMMYFUNCTION("""COMPUTED_VALUE"""),"TPP/ Trưởng ban")</f>
        <v>TPP/ Trưởng ban</v>
      </c>
      <c r="I359" s="731" t="str">
        <f>IFERROR(__xludf.DUMMYFUNCTION("""COMPUTED_VALUE"""),"L2.02.03.00.00.00.00")</f>
        <v>L2.02.03.00.00.00.00</v>
      </c>
      <c r="J359" s="731" t="str">
        <f>IFERROR(__xludf.DUMMYFUNCTION("""COMPUTED_VALUE"""),"Khối Doanh nghiệp vừa")</f>
        <v>Khối Doanh nghiệp vừa</v>
      </c>
      <c r="K359" s="729" t="str">
        <f>IFERROR(__xludf.DUMMYFUNCTION("""COMPUTED_VALUE"""),"02 - QL_KD")</f>
        <v>02 - QL_KD</v>
      </c>
      <c r="L359" s="731" t="str">
        <f>IFERROR(__xludf.DUMMYFUNCTION("""COMPUTED_VALUE"""),"Đang theo dõi")</f>
        <v>Đang theo dõi</v>
      </c>
      <c r="M359" s="729"/>
      <c r="N359" s="728" t="str">
        <f>IFERROR(__xludf.DUMMYFUNCTION("""COMPUTED_VALUE"""),"giữ nguyên")</f>
        <v>giữ nguyên</v>
      </c>
      <c r="O359" s="708"/>
      <c r="P359" s="708"/>
      <c r="Q359" s="708"/>
      <c r="R359" s="708"/>
      <c r="S359" s="708"/>
      <c r="T359" s="708"/>
      <c r="U359" s="708"/>
      <c r="V359" s="708"/>
      <c r="W359" s="708"/>
      <c r="X359" s="708"/>
      <c r="Y359" s="708"/>
      <c r="Z359" s="708"/>
      <c r="AA359" s="708"/>
      <c r="AB359" s="708"/>
      <c r="AC359" s="708"/>
      <c r="AD359" s="708"/>
      <c r="AE359" s="708"/>
    </row>
    <row r="360">
      <c r="A360" s="727">
        <f>IFERROR(__xludf.DUMMYFUNCTION("""COMPUTED_VALUE"""),318.0)</f>
        <v>318</v>
      </c>
      <c r="B360" s="731" t="str">
        <f>IFERROR(__xludf.DUMMYFUNCTION("""COMPUTED_VALUE"""),"MB_CS_AE_ACT")</f>
        <v>MB_CS_AE_ACT</v>
      </c>
      <c r="C360" s="731" t="str">
        <f>IFERROR(__xludf.DUMMYFUNCTION("""COMPUTED_VALUE"""),"MB_CS_AE_ACT")</f>
        <v>MB_CS_AE_ACT</v>
      </c>
      <c r="D360" s="731" t="str">
        <f>IFERROR(__xludf.DUMMYFUNCTION("""COMPUTED_VALUE"""),"NV Tư vấn bán hàng")</f>
        <v>NV Tư vấn bán hàng</v>
      </c>
      <c r="E360" s="731" t="str">
        <f>IFERROR(__xludf.DUMMYFUNCTION("""COMPUTED_VALUE"""),"AE")</f>
        <v>AE</v>
      </c>
      <c r="F360" s="731"/>
      <c r="G360" s="731" t="str">
        <f>IFERROR(__xludf.DUMMYFUNCTION("""COMPUTED_VALUE"""),"DNVUA")</f>
        <v>DNVUA</v>
      </c>
      <c r="H360" s="731" t="str">
        <f>IFERROR(__xludf.DUMMYFUNCTION("""COMPUTED_VALUE"""),"Nhân viên/ Chuyên viên/ Chuyên gia")</f>
        <v>Nhân viên/ Chuyên viên/ Chuyên gia</v>
      </c>
      <c r="I360" s="731" t="str">
        <f>IFERROR(__xludf.DUMMYFUNCTION("""COMPUTED_VALUE"""),"L2.02.03.00.00.00.00")</f>
        <v>L2.02.03.00.00.00.00</v>
      </c>
      <c r="J360" s="731" t="str">
        <f>IFERROR(__xludf.DUMMYFUNCTION("""COMPUTED_VALUE"""),"Khối Doanh nghiệp vừa")</f>
        <v>Khối Doanh nghiệp vừa</v>
      </c>
      <c r="K360" s="729" t="str">
        <f>IFERROR(__xludf.DUMMYFUNCTION("""COMPUTED_VALUE"""),"01 - NV_KD")</f>
        <v>01 - NV_KD</v>
      </c>
      <c r="L360" s="731" t="str">
        <f>IFERROR(__xludf.DUMMYFUNCTION("""COMPUTED_VALUE"""),"Đang theo dõi")</f>
        <v>Đang theo dõi</v>
      </c>
      <c r="M360" s="729"/>
      <c r="N360" s="728" t="str">
        <f>IFERROR(__xludf.DUMMYFUNCTION("""COMPUTED_VALUE"""),"giữ nguyên")</f>
        <v>giữ nguyên</v>
      </c>
      <c r="O360" s="708"/>
      <c r="P360" s="708"/>
      <c r="Q360" s="708"/>
      <c r="R360" s="708"/>
      <c r="S360" s="708"/>
      <c r="T360" s="708"/>
      <c r="U360" s="708"/>
      <c r="V360" s="708"/>
      <c r="W360" s="708"/>
      <c r="X360" s="708"/>
      <c r="Y360" s="708"/>
      <c r="Z360" s="708"/>
      <c r="AA360" s="708"/>
      <c r="AB360" s="708"/>
      <c r="AC360" s="708"/>
      <c r="AD360" s="708"/>
      <c r="AE360" s="708"/>
    </row>
    <row r="361">
      <c r="A361" s="727">
        <f>IFERROR(__xludf.DUMMYFUNCTION("""COMPUTED_VALUE"""),319.0)</f>
        <v>319</v>
      </c>
      <c r="B361" s="728" t="str">
        <f>IFERROR(__xludf.DUMMYFUNCTION("""COMPUTED_VALUE"""),"MB_CS_AE_AIM")</f>
        <v>MB_CS_AE_AIM</v>
      </c>
      <c r="C361" s="728" t="str">
        <f>IFERROR(__xludf.DUMMYFUNCTION("""COMPUTED_VALUE"""),"MB_CS_AE_AIM")</f>
        <v>MB_CS_AE_AIM</v>
      </c>
      <c r="D361" s="728" t="str">
        <f>IFERROR(__xludf.DUMMYFUNCTION("""COMPUTED_VALUE"""),"NV Tư vấn bán hàng")</f>
        <v>NV Tư vấn bán hàng</v>
      </c>
      <c r="E361" s="728" t="str">
        <f>IFERROR(__xludf.DUMMYFUNCTION("""COMPUTED_VALUE"""),"AE")</f>
        <v>AE</v>
      </c>
      <c r="F361" s="728"/>
      <c r="G361" s="728" t="str">
        <f>IFERROR(__xludf.DUMMYFUNCTION("""COMPUTED_VALUE"""),"DNVUA")</f>
        <v>DNVUA</v>
      </c>
      <c r="H361" s="728" t="str">
        <f>IFERROR(__xludf.DUMMYFUNCTION("""COMPUTED_VALUE"""),"Nhân viên/ Chuyên viên/ Chuyên gia")</f>
        <v>Nhân viên/ Chuyên viên/ Chuyên gia</v>
      </c>
      <c r="I361" s="731" t="str">
        <f>IFERROR(__xludf.DUMMYFUNCTION("""COMPUTED_VALUE"""),"L2.02.03.00.00.00.00")</f>
        <v>L2.02.03.00.00.00.00</v>
      </c>
      <c r="J361" s="731" t="str">
        <f>IFERROR(__xludf.DUMMYFUNCTION("""COMPUTED_VALUE"""),"Khối Doanh nghiệp vừa")</f>
        <v>Khối Doanh nghiệp vừa</v>
      </c>
      <c r="K361" s="728"/>
      <c r="L361" s="728" t="str">
        <f>IFERROR(__xludf.DUMMYFUNCTION("""COMPUTED_VALUE"""),"Đang theo dõi")</f>
        <v>Đang theo dõi</v>
      </c>
      <c r="M361" s="729"/>
      <c r="N361" s="728" t="str">
        <f>IFERROR(__xludf.DUMMYFUNCTION("""COMPUTED_VALUE"""),"giữ nguyên")</f>
        <v>giữ nguyên</v>
      </c>
      <c r="O361" s="708"/>
      <c r="P361" s="708"/>
      <c r="Q361" s="708"/>
      <c r="R361" s="708"/>
      <c r="S361" s="708"/>
      <c r="T361" s="708"/>
      <c r="U361" s="708"/>
      <c r="V361" s="708"/>
      <c r="W361" s="708"/>
      <c r="X361" s="708"/>
      <c r="Y361" s="708"/>
      <c r="Z361" s="708"/>
      <c r="AA361" s="708"/>
      <c r="AB361" s="708"/>
      <c r="AC361" s="708"/>
      <c r="AD361" s="708"/>
      <c r="AE361" s="708"/>
    </row>
    <row r="362">
      <c r="A362" s="727">
        <f>IFERROR(__xludf.DUMMYFUNCTION("""COMPUTED_VALUE"""),320.0)</f>
        <v>320</v>
      </c>
      <c r="B362" s="728" t="str">
        <f>IFERROR(__xludf.DUMMYFUNCTION("""COMPUTED_VALUE"""),"MB_CS_AE_Bankhub")</f>
        <v>MB_CS_AE_Bankhub</v>
      </c>
      <c r="C362" s="728" t="str">
        <f>IFERROR(__xludf.DUMMYFUNCTION("""COMPUTED_VALUE"""),"MB_CS_AE_Bankhub")</f>
        <v>MB_CS_AE_Bankhub</v>
      </c>
      <c r="D362" s="728" t="str">
        <f>IFERROR(__xludf.DUMMYFUNCTION("""COMPUTED_VALUE"""),"NV Tư vấn bán hàng")</f>
        <v>NV Tư vấn bán hàng</v>
      </c>
      <c r="E362" s="728" t="str">
        <f>IFERROR(__xludf.DUMMYFUNCTION("""COMPUTED_VALUE"""),"AM")</f>
        <v>AM</v>
      </c>
      <c r="F362" s="728"/>
      <c r="G362" s="728" t="str">
        <f>IFERROR(__xludf.DUMMYFUNCTION("""COMPUTED_VALUE"""),"DNVUA")</f>
        <v>DNVUA</v>
      </c>
      <c r="H362" s="728" t="str">
        <f>IFERROR(__xludf.DUMMYFUNCTION("""COMPUTED_VALUE"""),"Nhân viên/ Chuyên viên/ Chuyên gia")</f>
        <v>Nhân viên/ Chuyên viên/ Chuyên gia</v>
      </c>
      <c r="I362" s="731" t="str">
        <f>IFERROR(__xludf.DUMMYFUNCTION("""COMPUTED_VALUE"""),"L2.02.03.00.00.00.00")</f>
        <v>L2.02.03.00.00.00.00</v>
      </c>
      <c r="J362" s="731" t="str">
        <f>IFERROR(__xludf.DUMMYFUNCTION("""COMPUTED_VALUE"""),"Khối Doanh nghiệp vừa")</f>
        <v>Khối Doanh nghiệp vừa</v>
      </c>
      <c r="K362" s="728"/>
      <c r="L362" s="728" t="str">
        <f>IFERROR(__xludf.DUMMYFUNCTION("""COMPUTED_VALUE"""),"Đang theo dõi")</f>
        <v>Đang theo dõi</v>
      </c>
      <c r="M362" s="729"/>
      <c r="N362" s="728" t="str">
        <f>IFERROR(__xludf.DUMMYFUNCTION("""COMPUTED_VALUE"""),"giữ nguyên")</f>
        <v>giữ nguyên</v>
      </c>
      <c r="O362" s="708"/>
      <c r="P362" s="708"/>
      <c r="Q362" s="708"/>
      <c r="R362" s="708"/>
      <c r="S362" s="708"/>
      <c r="T362" s="708"/>
      <c r="U362" s="708"/>
      <c r="V362" s="708"/>
      <c r="W362" s="708"/>
      <c r="X362" s="708"/>
      <c r="Y362" s="708"/>
      <c r="Z362" s="708"/>
      <c r="AA362" s="708"/>
      <c r="AB362" s="708"/>
      <c r="AC362" s="708"/>
      <c r="AD362" s="708"/>
      <c r="AE362" s="708"/>
    </row>
    <row r="363">
      <c r="A363" s="727">
        <f>IFERROR(__xludf.DUMMYFUNCTION("""COMPUTED_VALUE"""),321.0)</f>
        <v>321</v>
      </c>
      <c r="B363" s="728" t="str">
        <f>IFERROR(__xludf.DUMMYFUNCTION("""COMPUTED_VALUE"""),"MB_CS_AE_CRM")</f>
        <v>MB_CS_AE_CRM</v>
      </c>
      <c r="C363" s="728" t="str">
        <f>IFERROR(__xludf.DUMMYFUNCTION("""COMPUTED_VALUE"""),"MB_CS_AE_CRM")</f>
        <v>MB_CS_AE_CRM</v>
      </c>
      <c r="D363" s="728" t="str">
        <f>IFERROR(__xludf.DUMMYFUNCTION("""COMPUTED_VALUE"""),"NV Tư vấn bán hàng")</f>
        <v>NV Tư vấn bán hàng</v>
      </c>
      <c r="E363" s="728" t="str">
        <f>IFERROR(__xludf.DUMMYFUNCTION("""COMPUTED_VALUE"""),"AE")</f>
        <v>AE</v>
      </c>
      <c r="F363" s="728"/>
      <c r="G363" s="728" t="str">
        <f>IFERROR(__xludf.DUMMYFUNCTION("""COMPUTED_VALUE"""),"DNVUA")</f>
        <v>DNVUA</v>
      </c>
      <c r="H363" s="728" t="str">
        <f>IFERROR(__xludf.DUMMYFUNCTION("""COMPUTED_VALUE"""),"Nhân viên/ Chuyên viên/ Chuyên gia")</f>
        <v>Nhân viên/ Chuyên viên/ Chuyên gia</v>
      </c>
      <c r="I363" s="731" t="str">
        <f>IFERROR(__xludf.DUMMYFUNCTION("""COMPUTED_VALUE"""),"L2.02.03.00.00.00.00")</f>
        <v>L2.02.03.00.00.00.00</v>
      </c>
      <c r="J363" s="731" t="str">
        <f>IFERROR(__xludf.DUMMYFUNCTION("""COMPUTED_VALUE"""),"Khối Doanh nghiệp vừa")</f>
        <v>Khối Doanh nghiệp vừa</v>
      </c>
      <c r="K363" s="728" t="str">
        <f>IFERROR(__xludf.DUMMYFUNCTION("""COMPUTED_VALUE"""),"01 - NV_KD")</f>
        <v>01 - NV_KD</v>
      </c>
      <c r="L363" s="728" t="str">
        <f>IFERROR(__xludf.DUMMYFUNCTION("""COMPUTED_VALUE"""),"Đang theo dõi")</f>
        <v>Đang theo dõi</v>
      </c>
      <c r="M363" s="729"/>
      <c r="N363" s="728" t="str">
        <f>IFERROR(__xludf.DUMMYFUNCTION("""COMPUTED_VALUE"""),"giữ nguyên")</f>
        <v>giữ nguyên</v>
      </c>
      <c r="O363" s="708"/>
      <c r="P363" s="708"/>
      <c r="Q363" s="708"/>
      <c r="R363" s="708"/>
      <c r="S363" s="708"/>
      <c r="T363" s="708"/>
      <c r="U363" s="708"/>
      <c r="V363" s="708"/>
      <c r="W363" s="708"/>
      <c r="X363" s="708"/>
      <c r="Y363" s="708"/>
      <c r="Z363" s="708"/>
      <c r="AA363" s="708"/>
      <c r="AB363" s="708"/>
      <c r="AC363" s="708"/>
      <c r="AD363" s="708"/>
      <c r="AE363" s="708"/>
    </row>
    <row r="364">
      <c r="A364" s="727">
        <f>IFERROR(__xludf.DUMMYFUNCTION("""COMPUTED_VALUE"""),322.0)</f>
        <v>322</v>
      </c>
      <c r="B364" s="728" t="str">
        <f>IFERROR(__xludf.DUMMYFUNCTION("""COMPUTED_VALUE"""),"MB_CS_AE_HRM")</f>
        <v>MB_CS_AE_HRM</v>
      </c>
      <c r="C364" s="728" t="str">
        <f>IFERROR(__xludf.DUMMYFUNCTION("""COMPUTED_VALUE"""),"MB_CS_AE_HRM")</f>
        <v>MB_CS_AE_HRM</v>
      </c>
      <c r="D364" s="728" t="str">
        <f>IFERROR(__xludf.DUMMYFUNCTION("""COMPUTED_VALUE"""),"NV Tư vấn bán hàng")</f>
        <v>NV Tư vấn bán hàng</v>
      </c>
      <c r="E364" s="728" t="str">
        <f>IFERROR(__xludf.DUMMYFUNCTION("""COMPUTED_VALUE"""),"AE")</f>
        <v>AE</v>
      </c>
      <c r="F364" s="728"/>
      <c r="G364" s="728" t="str">
        <f>IFERROR(__xludf.DUMMYFUNCTION("""COMPUTED_VALUE"""),"DNVUA")</f>
        <v>DNVUA</v>
      </c>
      <c r="H364" s="728" t="str">
        <f>IFERROR(__xludf.DUMMYFUNCTION("""COMPUTED_VALUE"""),"Nhân viên/ Chuyên viên/ Chuyên gia")</f>
        <v>Nhân viên/ Chuyên viên/ Chuyên gia</v>
      </c>
      <c r="I364" s="731" t="str">
        <f>IFERROR(__xludf.DUMMYFUNCTION("""COMPUTED_VALUE"""),"L2.02.03.00.00.00.00")</f>
        <v>L2.02.03.00.00.00.00</v>
      </c>
      <c r="J364" s="731" t="str">
        <f>IFERROR(__xludf.DUMMYFUNCTION("""COMPUTED_VALUE"""),"Khối Doanh nghiệp vừa")</f>
        <v>Khối Doanh nghiệp vừa</v>
      </c>
      <c r="K364" s="728" t="str">
        <f>IFERROR(__xludf.DUMMYFUNCTION("""COMPUTED_VALUE"""),"01 - NV_KD")</f>
        <v>01 - NV_KD</v>
      </c>
      <c r="L364" s="728" t="str">
        <f>IFERROR(__xludf.DUMMYFUNCTION("""COMPUTED_VALUE"""),"Đang theo dõi")</f>
        <v>Đang theo dõi</v>
      </c>
      <c r="M364" s="729"/>
      <c r="N364" s="728" t="str">
        <f>IFERROR(__xludf.DUMMYFUNCTION("""COMPUTED_VALUE"""),"giữ nguyên")</f>
        <v>giữ nguyên</v>
      </c>
      <c r="O364" s="708"/>
      <c r="P364" s="708"/>
      <c r="Q364" s="708"/>
      <c r="R364" s="708"/>
      <c r="S364" s="708"/>
      <c r="T364" s="708"/>
      <c r="U364" s="708"/>
      <c r="V364" s="708"/>
      <c r="W364" s="708"/>
      <c r="X364" s="708"/>
      <c r="Y364" s="708"/>
      <c r="Z364" s="708"/>
      <c r="AA364" s="708"/>
      <c r="AB364" s="708"/>
      <c r="AC364" s="708"/>
      <c r="AD364" s="708"/>
      <c r="AE364" s="708"/>
    </row>
    <row r="365">
      <c r="A365" s="727">
        <f>IFERROR(__xludf.DUMMYFUNCTION("""COMPUTED_VALUE"""),323.0)</f>
        <v>323</v>
      </c>
      <c r="B365" s="728" t="str">
        <f>IFERROR(__xludf.DUMMYFUNCTION("""COMPUTED_VALUE"""),"MB_CS_AE_OPS")</f>
        <v>MB_CS_AE_OPS</v>
      </c>
      <c r="C365" s="728" t="str">
        <f>IFERROR(__xludf.DUMMYFUNCTION("""COMPUTED_VALUE"""),"MB_CS_AE_OPS")</f>
        <v>MB_CS_AE_OPS</v>
      </c>
      <c r="D365" s="728" t="str">
        <f>IFERROR(__xludf.DUMMYFUNCTION("""COMPUTED_VALUE"""),"NV Tư vấn bán hàng")</f>
        <v>NV Tư vấn bán hàng</v>
      </c>
      <c r="E365" s="728" t="str">
        <f>IFERROR(__xludf.DUMMYFUNCTION("""COMPUTED_VALUE"""),"AE")</f>
        <v>AE</v>
      </c>
      <c r="F365" s="729"/>
      <c r="G365" s="728" t="str">
        <f>IFERROR(__xludf.DUMMYFUNCTION("""COMPUTED_VALUE"""),"DNVUA")</f>
        <v>DNVUA</v>
      </c>
      <c r="H365" s="728" t="str">
        <f>IFERROR(__xludf.DUMMYFUNCTION("""COMPUTED_VALUE"""),"Nhân viên/ Chuyên viên/ Chuyên gia")</f>
        <v>Nhân viên/ Chuyên viên/ Chuyên gia</v>
      </c>
      <c r="I365" s="731" t="str">
        <f>IFERROR(__xludf.DUMMYFUNCTION("""COMPUTED_VALUE"""),"L2.02.03.00.00.00.00")</f>
        <v>L2.02.03.00.00.00.00</v>
      </c>
      <c r="J365" s="731" t="str">
        <f>IFERROR(__xludf.DUMMYFUNCTION("""COMPUTED_VALUE"""),"Khối Doanh nghiệp vừa")</f>
        <v>Khối Doanh nghiệp vừa</v>
      </c>
      <c r="K365" s="728" t="str">
        <f>IFERROR(__xludf.DUMMYFUNCTION("""COMPUTED_VALUE"""),"01 - NV_KD")</f>
        <v>01 - NV_KD</v>
      </c>
      <c r="L365" s="728" t="str">
        <f>IFERROR(__xludf.DUMMYFUNCTION("""COMPUTED_VALUE"""),"Đang theo dõi")</f>
        <v>Đang theo dõi</v>
      </c>
      <c r="M365" s="729"/>
      <c r="N365" s="728" t="str">
        <f>IFERROR(__xludf.DUMMYFUNCTION("""COMPUTED_VALUE"""),"giữ nguyên")</f>
        <v>giữ nguyên</v>
      </c>
      <c r="O365" s="708"/>
      <c r="P365" s="708"/>
      <c r="Q365" s="708"/>
      <c r="R365" s="708"/>
      <c r="S365" s="708"/>
      <c r="T365" s="708"/>
      <c r="U365" s="708"/>
      <c r="V365" s="708"/>
      <c r="W365" s="708"/>
      <c r="X365" s="708"/>
      <c r="Y365" s="708"/>
      <c r="Z365" s="708"/>
      <c r="AA365" s="708"/>
      <c r="AB365" s="708"/>
      <c r="AC365" s="708"/>
      <c r="AD365" s="708"/>
      <c r="AE365" s="708"/>
    </row>
    <row r="366">
      <c r="A366" s="727">
        <f>IFERROR(__xludf.DUMMYFUNCTION("""COMPUTED_VALUE"""),324.0)</f>
        <v>324</v>
      </c>
      <c r="B366" s="728" t="str">
        <f>IFERROR(__xludf.DUMMYFUNCTION("""COMPUTED_VALUE"""),"MB_CS_AM")</f>
        <v>MB_CS_AM</v>
      </c>
      <c r="C366" s="728" t="str">
        <f>IFERROR(__xludf.DUMMYFUNCTION("""COMPUTED_VALUE"""),"MB_CS_AM")</f>
        <v>MB_CS_AM</v>
      </c>
      <c r="D366" s="728" t="str">
        <f>IFERROR(__xludf.DUMMYFUNCTION("""COMPUTED_VALUE"""),"NV Quản lý khách hàng")</f>
        <v>NV Quản lý khách hàng</v>
      </c>
      <c r="E366" s="728" t="str">
        <f>IFERROR(__xludf.DUMMYFUNCTION("""COMPUTED_VALUE"""),"AE")</f>
        <v>AE</v>
      </c>
      <c r="F366" s="729"/>
      <c r="G366" s="728" t="str">
        <f>IFERROR(__xludf.DUMMYFUNCTION("""COMPUTED_VALUE"""),"DNVUA")</f>
        <v>DNVUA</v>
      </c>
      <c r="H366" s="728" t="str">
        <f>IFERROR(__xludf.DUMMYFUNCTION("""COMPUTED_VALUE"""),"Nhân viên/ Chuyên viên/ Chuyên gia")</f>
        <v>Nhân viên/ Chuyên viên/ Chuyên gia</v>
      </c>
      <c r="I366" s="731" t="str">
        <f>IFERROR(__xludf.DUMMYFUNCTION("""COMPUTED_VALUE"""),"L2.02.03.00.00.00.00")</f>
        <v>L2.02.03.00.00.00.00</v>
      </c>
      <c r="J366" s="731" t="str">
        <f>IFERROR(__xludf.DUMMYFUNCTION("""COMPUTED_VALUE"""),"Khối Doanh nghiệp vừa")</f>
        <v>Khối Doanh nghiệp vừa</v>
      </c>
      <c r="K366" s="728" t="str">
        <f>IFERROR(__xludf.DUMMYFUNCTION("""COMPUTED_VALUE"""),"01 - NV_KD")</f>
        <v>01 - NV_KD</v>
      </c>
      <c r="L366" s="728" t="str">
        <f>IFERROR(__xludf.DUMMYFUNCTION("""COMPUTED_VALUE"""),"Đang theo dõi")</f>
        <v>Đang theo dõi</v>
      </c>
      <c r="M366" s="729"/>
      <c r="N366" s="728" t="str">
        <f>IFERROR(__xludf.DUMMYFUNCTION("""COMPUTED_VALUE"""),"giữ nguyên")</f>
        <v>giữ nguyên</v>
      </c>
      <c r="O366" s="708"/>
      <c r="P366" s="708"/>
      <c r="Q366" s="708"/>
      <c r="R366" s="708"/>
      <c r="S366" s="708"/>
      <c r="T366" s="708"/>
      <c r="U366" s="708"/>
      <c r="V366" s="708"/>
      <c r="W366" s="708"/>
      <c r="X366" s="708"/>
      <c r="Y366" s="708"/>
      <c r="Z366" s="708"/>
      <c r="AA366" s="708"/>
      <c r="AB366" s="708"/>
      <c r="AC366" s="708"/>
      <c r="AD366" s="708"/>
      <c r="AE366" s="708"/>
    </row>
    <row r="367">
      <c r="A367" s="727">
        <f>IFERROR(__xludf.DUMMYFUNCTION("""COMPUTED_VALUE"""),325.0)</f>
        <v>325</v>
      </c>
      <c r="B367" s="728" t="str">
        <f>IFERROR(__xludf.DUMMYFUNCTION("""COMPUTED_VALUE"""),"MB_CS_AMM")</f>
        <v>MB_CS_AMM</v>
      </c>
      <c r="C367" s="728" t="str">
        <f>IFERROR(__xludf.DUMMYFUNCTION("""COMPUTED_VALUE"""),"MB_CS_AMM")</f>
        <v>MB_CS_AMM</v>
      </c>
      <c r="D367" s="728" t="str">
        <f>IFERROR(__xludf.DUMMYFUNCTION("""COMPUTED_VALUE"""),"Trưởng phòng bán thêm")</f>
        <v>Trưởng phòng bán thêm</v>
      </c>
      <c r="E367" s="728" t="str">
        <f>IFERROR(__xludf.DUMMYFUNCTION("""COMPUTED_VALUE"""),"SM")</f>
        <v>SM</v>
      </c>
      <c r="F367" s="729">
        <f>IFERROR(__xludf.DUMMYFUNCTION("""COMPUTED_VALUE"""),2.0)</f>
        <v>2</v>
      </c>
      <c r="G367" s="728" t="str">
        <f>IFERROR(__xludf.DUMMYFUNCTION("""COMPUTED_VALUE"""),"DNVUA")</f>
        <v>DNVUA</v>
      </c>
      <c r="H367" s="728" t="str">
        <f>IFERROR(__xludf.DUMMYFUNCTION("""COMPUTED_VALUE"""),"TPP/ Trưởng ban")</f>
        <v>TPP/ Trưởng ban</v>
      </c>
      <c r="I367" s="731" t="str">
        <f>IFERROR(__xludf.DUMMYFUNCTION("""COMPUTED_VALUE"""),"L2.02.03.00.00.00.00")</f>
        <v>L2.02.03.00.00.00.00</v>
      </c>
      <c r="J367" s="731" t="str">
        <f>IFERROR(__xludf.DUMMYFUNCTION("""COMPUTED_VALUE"""),"Khối Doanh nghiệp vừa")</f>
        <v>Khối Doanh nghiệp vừa</v>
      </c>
      <c r="K367" s="728" t="str">
        <f>IFERROR(__xludf.DUMMYFUNCTION("""COMPUTED_VALUE"""),"02 - QL_KD")</f>
        <v>02 - QL_KD</v>
      </c>
      <c r="L367" s="728" t="str">
        <f>IFERROR(__xludf.DUMMYFUNCTION("""COMPUTED_VALUE"""),"Đang theo dõi")</f>
        <v>Đang theo dõi</v>
      </c>
      <c r="M367" s="729"/>
      <c r="N367" s="728" t="str">
        <f>IFERROR(__xludf.DUMMYFUNCTION("""COMPUTED_VALUE"""),"giữ nguyên")</f>
        <v>giữ nguyên</v>
      </c>
      <c r="O367" s="708"/>
      <c r="P367" s="708"/>
      <c r="Q367" s="708"/>
      <c r="R367" s="708"/>
      <c r="S367" s="708"/>
      <c r="T367" s="708"/>
      <c r="U367" s="708"/>
      <c r="V367" s="708"/>
      <c r="W367" s="708"/>
      <c r="X367" s="708"/>
      <c r="Y367" s="708"/>
      <c r="Z367" s="708"/>
      <c r="AA367" s="708"/>
      <c r="AB367" s="708"/>
      <c r="AC367" s="708"/>
      <c r="AD367" s="708"/>
      <c r="AE367" s="708"/>
    </row>
    <row r="368">
      <c r="A368" s="727">
        <f>IFERROR(__xludf.DUMMYFUNCTION("""COMPUTED_VALUE"""),326.0)</f>
        <v>326</v>
      </c>
      <c r="B368" s="728" t="str">
        <f>IFERROR(__xludf.DUMMYFUNCTION("""COMPUTED_VALUE"""),"MB_CSM_ACT")</f>
        <v>MB_CSM_ACT</v>
      </c>
      <c r="C368" s="728" t="str">
        <f>IFERROR(__xludf.DUMMYFUNCTION("""COMPUTED_VALUE"""),"MB_CSM_ACT")</f>
        <v>MB_CSM_ACT</v>
      </c>
      <c r="D368" s="728" t="str">
        <f>IFERROR(__xludf.DUMMYFUNCTION("""COMPUTED_VALUE"""),"NV CSKH")</f>
        <v>NV CSKH</v>
      </c>
      <c r="E368" s="728" t="str">
        <f>IFERROR(__xludf.DUMMYFUNCTION("""COMPUTED_VALUE"""),"CSM")</f>
        <v>CSM</v>
      </c>
      <c r="F368" s="729"/>
      <c r="G368" s="728" t="str">
        <f>IFERROR(__xludf.DUMMYFUNCTION("""COMPUTED_VALUE"""),"DNVUA")</f>
        <v>DNVUA</v>
      </c>
      <c r="H368" s="728" t="str">
        <f>IFERROR(__xludf.DUMMYFUNCTION("""COMPUTED_VALUE"""),"Nhân viên/ Chuyên viên/ Chuyên gia")</f>
        <v>Nhân viên/ Chuyên viên/ Chuyên gia</v>
      </c>
      <c r="I368" s="731" t="str">
        <f>IFERROR(__xludf.DUMMYFUNCTION("""COMPUTED_VALUE"""),"L2.02.03.00.00.00.00")</f>
        <v>L2.02.03.00.00.00.00</v>
      </c>
      <c r="J368" s="731" t="str">
        <f>IFERROR(__xludf.DUMMYFUNCTION("""COMPUTED_VALUE"""),"Khối Doanh nghiệp vừa")</f>
        <v>Khối Doanh nghiệp vừa</v>
      </c>
      <c r="K368" s="728"/>
      <c r="L368" s="728" t="str">
        <f>IFERROR(__xludf.DUMMYFUNCTION("""COMPUTED_VALUE"""),"Ngừng")</f>
        <v>Ngừng</v>
      </c>
      <c r="M368" s="729"/>
      <c r="N368" s="728" t="str">
        <f>IFERROR(__xludf.DUMMYFUNCTION("""COMPUTED_VALUE"""),"ngừng")</f>
        <v>ngừng</v>
      </c>
      <c r="O368" s="708"/>
      <c r="P368" s="708"/>
      <c r="Q368" s="708"/>
      <c r="R368" s="708"/>
      <c r="S368" s="708"/>
      <c r="T368" s="708"/>
      <c r="U368" s="708"/>
      <c r="V368" s="708"/>
      <c r="W368" s="708"/>
      <c r="X368" s="708"/>
      <c r="Y368" s="708"/>
      <c r="Z368" s="708"/>
      <c r="AA368" s="708"/>
      <c r="AB368" s="708"/>
      <c r="AC368" s="708"/>
      <c r="AD368" s="708"/>
      <c r="AE368" s="708"/>
    </row>
    <row r="369">
      <c r="A369" s="727">
        <f>IFERROR(__xludf.DUMMYFUNCTION("""COMPUTED_VALUE"""),327.0)</f>
        <v>327</v>
      </c>
      <c r="B369" s="728" t="str">
        <f>IFERROR(__xludf.DUMMYFUNCTION("""COMPUTED_VALUE"""),"MB_CSM_CRM")</f>
        <v>MB_CSM_CRM</v>
      </c>
      <c r="C369" s="728" t="str">
        <f>IFERROR(__xludf.DUMMYFUNCTION("""COMPUTED_VALUE"""),"MB_CSM_CRM")</f>
        <v>MB_CSM_CRM</v>
      </c>
      <c r="D369" s="728" t="str">
        <f>IFERROR(__xludf.DUMMYFUNCTION("""COMPUTED_VALUE"""),"NV CSKH")</f>
        <v>NV CSKH</v>
      </c>
      <c r="E369" s="728" t="str">
        <f>IFERROR(__xludf.DUMMYFUNCTION("""COMPUTED_VALUE"""),"CSM")</f>
        <v>CSM</v>
      </c>
      <c r="F369" s="728"/>
      <c r="G369" s="728" t="str">
        <f>IFERROR(__xludf.DUMMYFUNCTION("""COMPUTED_VALUE"""),"DNVUA")</f>
        <v>DNVUA</v>
      </c>
      <c r="H369" s="728" t="str">
        <f>IFERROR(__xludf.DUMMYFUNCTION("""COMPUTED_VALUE"""),"Nhân viên/ Chuyên viên/ Chuyên gia")</f>
        <v>Nhân viên/ Chuyên viên/ Chuyên gia</v>
      </c>
      <c r="I369" s="731" t="str">
        <f>IFERROR(__xludf.DUMMYFUNCTION("""COMPUTED_VALUE"""),"L2.02.03.00.00.00.00")</f>
        <v>L2.02.03.00.00.00.00</v>
      </c>
      <c r="J369" s="731" t="str">
        <f>IFERROR(__xludf.DUMMYFUNCTION("""COMPUTED_VALUE"""),"Khối Doanh nghiệp vừa")</f>
        <v>Khối Doanh nghiệp vừa</v>
      </c>
      <c r="K369" s="728"/>
      <c r="L369" s="728" t="str">
        <f>IFERROR(__xludf.DUMMYFUNCTION("""COMPUTED_VALUE"""),"Ngừng")</f>
        <v>Ngừng</v>
      </c>
      <c r="M369" s="729"/>
      <c r="N369" s="728" t="str">
        <f>IFERROR(__xludf.DUMMYFUNCTION("""COMPUTED_VALUE"""),"ngừng")</f>
        <v>ngừng</v>
      </c>
      <c r="O369" s="708"/>
      <c r="P369" s="708"/>
      <c r="Q369" s="708"/>
      <c r="R369" s="708"/>
      <c r="S369" s="708"/>
      <c r="T369" s="708"/>
      <c r="U369" s="708"/>
      <c r="V369" s="708"/>
      <c r="W369" s="708"/>
      <c r="X369" s="708"/>
      <c r="Y369" s="708"/>
      <c r="Z369" s="708"/>
      <c r="AA369" s="708"/>
      <c r="AB369" s="708"/>
      <c r="AC369" s="708"/>
      <c r="AD369" s="708"/>
      <c r="AE369" s="708"/>
    </row>
    <row r="370">
      <c r="A370" s="727">
        <f>IFERROR(__xludf.DUMMYFUNCTION("""COMPUTED_VALUE"""),328.0)</f>
        <v>328</v>
      </c>
      <c r="B370" s="728" t="str">
        <f>IFERROR(__xludf.DUMMYFUNCTION("""COMPUTED_VALUE"""),"MB_CSM_HRM")</f>
        <v>MB_CSM_HRM</v>
      </c>
      <c r="C370" s="728" t="str">
        <f>IFERROR(__xludf.DUMMYFUNCTION("""COMPUTED_VALUE"""),"MB_CSM_HRM")</f>
        <v>MB_CSM_HRM</v>
      </c>
      <c r="D370" s="728" t="str">
        <f>IFERROR(__xludf.DUMMYFUNCTION("""COMPUTED_VALUE"""),"NV CSKH")</f>
        <v>NV CSKH</v>
      </c>
      <c r="E370" s="728" t="str">
        <f>IFERROR(__xludf.DUMMYFUNCTION("""COMPUTED_VALUE"""),"CSM")</f>
        <v>CSM</v>
      </c>
      <c r="F370" s="728"/>
      <c r="G370" s="728" t="str">
        <f>IFERROR(__xludf.DUMMYFUNCTION("""COMPUTED_VALUE"""),"DNVUA")</f>
        <v>DNVUA</v>
      </c>
      <c r="H370" s="728" t="str">
        <f>IFERROR(__xludf.DUMMYFUNCTION("""COMPUTED_VALUE"""),"Nhân viên/ Chuyên viên/ Chuyên gia")</f>
        <v>Nhân viên/ Chuyên viên/ Chuyên gia</v>
      </c>
      <c r="I370" s="731" t="str">
        <f>IFERROR(__xludf.DUMMYFUNCTION("""COMPUTED_VALUE"""),"L2.02.03.00.00.00.00")</f>
        <v>L2.02.03.00.00.00.00</v>
      </c>
      <c r="J370" s="731" t="str">
        <f>IFERROR(__xludf.DUMMYFUNCTION("""COMPUTED_VALUE"""),"Khối Doanh nghiệp vừa")</f>
        <v>Khối Doanh nghiệp vừa</v>
      </c>
      <c r="K370" s="728"/>
      <c r="L370" s="728" t="str">
        <f>IFERROR(__xludf.DUMMYFUNCTION("""COMPUTED_VALUE"""),"Ngừng")</f>
        <v>Ngừng</v>
      </c>
      <c r="M370" s="729"/>
      <c r="N370" s="728" t="str">
        <f>IFERROR(__xludf.DUMMYFUNCTION("""COMPUTED_VALUE"""),"ngừng")</f>
        <v>ngừng</v>
      </c>
      <c r="O370" s="708"/>
      <c r="P370" s="708"/>
      <c r="Q370" s="708"/>
      <c r="R370" s="708"/>
      <c r="S370" s="708"/>
      <c r="T370" s="708"/>
      <c r="U370" s="708"/>
      <c r="V370" s="708"/>
      <c r="W370" s="708"/>
      <c r="X370" s="708"/>
      <c r="Y370" s="708"/>
      <c r="Z370" s="708"/>
      <c r="AA370" s="708"/>
      <c r="AB370" s="708"/>
      <c r="AC370" s="708"/>
      <c r="AD370" s="708"/>
      <c r="AE370" s="708"/>
    </row>
    <row r="371">
      <c r="A371" s="727">
        <f>IFERROR(__xludf.DUMMYFUNCTION("""COMPUTED_VALUE"""),329.0)</f>
        <v>329</v>
      </c>
      <c r="B371" s="728" t="str">
        <f>IFERROR(__xludf.DUMMYFUNCTION("""COMPUTED_VALUE"""),"MB_CSM_OPS")</f>
        <v>MB_CSM_OPS</v>
      </c>
      <c r="C371" s="728" t="str">
        <f>IFERROR(__xludf.DUMMYFUNCTION("""COMPUTED_VALUE"""),"MB_CSM_OPS")</f>
        <v>MB_CSM_OPS</v>
      </c>
      <c r="D371" s="728" t="str">
        <f>IFERROR(__xludf.DUMMYFUNCTION("""COMPUTED_VALUE"""),"NV CSKH")</f>
        <v>NV CSKH</v>
      </c>
      <c r="E371" s="728" t="str">
        <f>IFERROR(__xludf.DUMMYFUNCTION("""COMPUTED_VALUE"""),"CSM")</f>
        <v>CSM</v>
      </c>
      <c r="F371" s="728"/>
      <c r="G371" s="728" t="str">
        <f>IFERROR(__xludf.DUMMYFUNCTION("""COMPUTED_VALUE"""),"DNVUA")</f>
        <v>DNVUA</v>
      </c>
      <c r="H371" s="728" t="str">
        <f>IFERROR(__xludf.DUMMYFUNCTION("""COMPUTED_VALUE"""),"Nhân viên/ Chuyên viên/ Chuyên gia")</f>
        <v>Nhân viên/ Chuyên viên/ Chuyên gia</v>
      </c>
      <c r="I371" s="731" t="str">
        <f>IFERROR(__xludf.DUMMYFUNCTION("""COMPUTED_VALUE"""),"L2.02.03.00.00.00.00")</f>
        <v>L2.02.03.00.00.00.00</v>
      </c>
      <c r="J371" s="731" t="str">
        <f>IFERROR(__xludf.DUMMYFUNCTION("""COMPUTED_VALUE"""),"Khối Doanh nghiệp vừa")</f>
        <v>Khối Doanh nghiệp vừa</v>
      </c>
      <c r="K371" s="728"/>
      <c r="L371" s="728" t="str">
        <f>IFERROR(__xludf.DUMMYFUNCTION("""COMPUTED_VALUE"""),"Ngừng")</f>
        <v>Ngừng</v>
      </c>
      <c r="M371" s="729"/>
      <c r="N371" s="728" t="str">
        <f>IFERROR(__xludf.DUMMYFUNCTION("""COMPUTED_VALUE"""),"ngừng")</f>
        <v>ngừng</v>
      </c>
      <c r="O371" s="708"/>
      <c r="P371" s="708"/>
      <c r="Q371" s="708"/>
      <c r="R371" s="708"/>
      <c r="S371" s="708"/>
      <c r="T371" s="708"/>
      <c r="U371" s="708"/>
      <c r="V371" s="708"/>
      <c r="W371" s="708"/>
      <c r="X371" s="708"/>
      <c r="Y371" s="708"/>
      <c r="Z371" s="708"/>
      <c r="AA371" s="708"/>
      <c r="AB371" s="708"/>
      <c r="AC371" s="708"/>
      <c r="AD371" s="708"/>
      <c r="AE371" s="708"/>
    </row>
    <row r="372">
      <c r="A372" s="727">
        <f>IFERROR(__xludf.DUMMYFUNCTION("""COMPUTED_VALUE"""),330.0)</f>
        <v>330</v>
      </c>
      <c r="B372" s="728" t="str">
        <f>IFERROR(__xludf.DUMMYFUNCTION("""COMPUTED_VALUE"""),"MB_CSMM")</f>
        <v>MB_CSMM</v>
      </c>
      <c r="C372" s="728" t="str">
        <f>IFERROR(__xludf.DUMMYFUNCTION("""COMPUTED_VALUE"""),"MB_CSMM")</f>
        <v>MB_CSMM</v>
      </c>
      <c r="D372" s="728" t="str">
        <f>IFERROR(__xludf.DUMMYFUNCTION("""COMPUTED_VALUE"""),"Trưởng phòng CSKH")</f>
        <v>Trưởng phòng CSKH</v>
      </c>
      <c r="E372" s="728" t="str">
        <f>IFERROR(__xludf.DUMMYFUNCTION("""COMPUTED_VALUE"""),"CSMM")</f>
        <v>CSMM</v>
      </c>
      <c r="F372" s="728">
        <f>IFERROR(__xludf.DUMMYFUNCTION("""COMPUTED_VALUE"""),2.0)</f>
        <v>2</v>
      </c>
      <c r="G372" s="728" t="str">
        <f>IFERROR(__xludf.DUMMYFUNCTION("""COMPUTED_VALUE"""),"DNVUA")</f>
        <v>DNVUA</v>
      </c>
      <c r="H372" s="728" t="str">
        <f>IFERROR(__xludf.DUMMYFUNCTION("""COMPUTED_VALUE"""),"TPP/ Trưởng ban")</f>
        <v>TPP/ Trưởng ban</v>
      </c>
      <c r="I372" s="731" t="str">
        <f>IFERROR(__xludf.DUMMYFUNCTION("""COMPUTED_VALUE"""),"L2.02.03.00.00.00.00")</f>
        <v>L2.02.03.00.00.00.00</v>
      </c>
      <c r="J372" s="731" t="str">
        <f>IFERROR(__xludf.DUMMYFUNCTION("""COMPUTED_VALUE"""),"Khối Doanh nghiệp vừa")</f>
        <v>Khối Doanh nghiệp vừa</v>
      </c>
      <c r="K372" s="728"/>
      <c r="L372" s="728" t="str">
        <f>IFERROR(__xludf.DUMMYFUNCTION("""COMPUTED_VALUE"""),"Ngừng")</f>
        <v>Ngừng</v>
      </c>
      <c r="M372" s="729"/>
      <c r="N372" s="728" t="str">
        <f>IFERROR(__xludf.DUMMYFUNCTION("""COMPUTED_VALUE"""),"ngừng")</f>
        <v>ngừng</v>
      </c>
      <c r="O372" s="708"/>
      <c r="P372" s="708"/>
      <c r="Q372" s="708"/>
      <c r="R372" s="708"/>
      <c r="S372" s="708"/>
      <c r="T372" s="708"/>
      <c r="U372" s="708"/>
      <c r="V372" s="708"/>
      <c r="W372" s="708"/>
      <c r="X372" s="708"/>
      <c r="Y372" s="708"/>
      <c r="Z372" s="708"/>
      <c r="AA372" s="708"/>
      <c r="AB372" s="708"/>
      <c r="AC372" s="708"/>
      <c r="AD372" s="708"/>
      <c r="AE372" s="708"/>
    </row>
    <row r="373">
      <c r="A373" s="727">
        <f>IFERROR(__xludf.DUMMYFUNCTION("""COMPUTED_VALUE"""),331.0)</f>
        <v>331</v>
      </c>
      <c r="B373" s="728" t="str">
        <f>IFERROR(__xludf.DUMMYFUNCTION("""COMPUTED_VALUE"""),"MB_NS_A.SM_ACT")</f>
        <v>MB_NS_A.SM_ACT</v>
      </c>
      <c r="C373" s="728" t="str">
        <f>IFERROR(__xludf.DUMMYFUNCTION("""COMPUTED_VALUE"""),"MB_NS_A.SM_ACT")</f>
        <v>MB_NS_A.SM_ACT</v>
      </c>
      <c r="D373" s="728" t="str">
        <f>IFERROR(__xludf.DUMMYFUNCTION("""COMPUTED_VALUE"""),"Q. Quản lý kinh doanh")</f>
        <v>Q. Quản lý kinh doanh</v>
      </c>
      <c r="E373" s="728" t="str">
        <f>IFERROR(__xludf.DUMMYFUNCTION("""COMPUTED_VALUE"""),"SM")</f>
        <v>SM</v>
      </c>
      <c r="F373" s="729">
        <f>IFERROR(__xludf.DUMMYFUNCTION("""COMPUTED_VALUE"""),2.0)</f>
        <v>2</v>
      </c>
      <c r="G373" s="728" t="str">
        <f>IFERROR(__xludf.DUMMYFUNCTION("""COMPUTED_VALUE"""),"DNVUA")</f>
        <v>DNVUA</v>
      </c>
      <c r="H373" s="728" t="str">
        <f>IFERROR(__xludf.DUMMYFUNCTION("""COMPUTED_VALUE"""),"TPP/ Trưởng ban")</f>
        <v>TPP/ Trưởng ban</v>
      </c>
      <c r="I373" s="731" t="str">
        <f>IFERROR(__xludf.DUMMYFUNCTION("""COMPUTED_VALUE"""),"L2.02.03.00.00.00.00")</f>
        <v>L2.02.03.00.00.00.00</v>
      </c>
      <c r="J373" s="731" t="str">
        <f>IFERROR(__xludf.DUMMYFUNCTION("""COMPUTED_VALUE"""),"Khối Doanh nghiệp vừa")</f>
        <v>Khối Doanh nghiệp vừa</v>
      </c>
      <c r="K373" s="729" t="str">
        <f>IFERROR(__xludf.DUMMYFUNCTION("""COMPUTED_VALUE"""),"02 - QL_KD")</f>
        <v>02 - QL_KD</v>
      </c>
      <c r="L373" s="728" t="str">
        <f>IFERROR(__xludf.DUMMYFUNCTION("""COMPUTED_VALUE"""),"Đang theo dõi")</f>
        <v>Đang theo dõi</v>
      </c>
      <c r="M373" s="729"/>
      <c r="N373" s="728" t="str">
        <f>IFERROR(__xludf.DUMMYFUNCTION("""COMPUTED_VALUE"""),"giữ nguyên")</f>
        <v>giữ nguyên</v>
      </c>
      <c r="O373" s="708"/>
      <c r="P373" s="708"/>
      <c r="Q373" s="708"/>
      <c r="R373" s="708"/>
      <c r="S373" s="708"/>
      <c r="T373" s="708"/>
      <c r="U373" s="708"/>
      <c r="V373" s="708"/>
      <c r="W373" s="708"/>
      <c r="X373" s="708"/>
      <c r="Y373" s="708"/>
      <c r="Z373" s="708"/>
      <c r="AA373" s="708"/>
      <c r="AB373" s="708"/>
      <c r="AC373" s="708"/>
      <c r="AD373" s="708"/>
      <c r="AE373" s="708"/>
    </row>
    <row r="374">
      <c r="A374" s="727">
        <f>IFERROR(__xludf.DUMMYFUNCTION("""COMPUTED_VALUE"""),332.0)</f>
        <v>332</v>
      </c>
      <c r="B374" s="728" t="str">
        <f>IFERROR(__xludf.DUMMYFUNCTION("""COMPUTED_VALUE"""),"MB_NS_A.SM_CRM")</f>
        <v>MB_NS_A.SM_CRM</v>
      </c>
      <c r="C374" s="728" t="str">
        <f>IFERROR(__xludf.DUMMYFUNCTION("""COMPUTED_VALUE"""),"MB_NS_A.SM_CRM")</f>
        <v>MB_NS_A.SM_CRM</v>
      </c>
      <c r="D374" s="728" t="str">
        <f>IFERROR(__xludf.DUMMYFUNCTION("""COMPUTED_VALUE"""),"Q. Quản lý kinh doanh")</f>
        <v>Q. Quản lý kinh doanh</v>
      </c>
      <c r="E374" s="728" t="str">
        <f>IFERROR(__xludf.DUMMYFUNCTION("""COMPUTED_VALUE"""),"SM")</f>
        <v>SM</v>
      </c>
      <c r="F374" s="729">
        <f>IFERROR(__xludf.DUMMYFUNCTION("""COMPUTED_VALUE"""),2.0)</f>
        <v>2</v>
      </c>
      <c r="G374" s="728" t="str">
        <f>IFERROR(__xludf.DUMMYFUNCTION("""COMPUTED_VALUE"""),"DNVUA")</f>
        <v>DNVUA</v>
      </c>
      <c r="H374" s="728" t="str">
        <f>IFERROR(__xludf.DUMMYFUNCTION("""COMPUTED_VALUE"""),"TPP/ Trưởng ban")</f>
        <v>TPP/ Trưởng ban</v>
      </c>
      <c r="I374" s="731" t="str">
        <f>IFERROR(__xludf.DUMMYFUNCTION("""COMPUTED_VALUE"""),"L2.02.03.00.00.00.00")</f>
        <v>L2.02.03.00.00.00.00</v>
      </c>
      <c r="J374" s="731" t="str">
        <f>IFERROR(__xludf.DUMMYFUNCTION("""COMPUTED_VALUE"""),"Khối Doanh nghiệp vừa")</f>
        <v>Khối Doanh nghiệp vừa</v>
      </c>
      <c r="K374" s="729" t="str">
        <f>IFERROR(__xludf.DUMMYFUNCTION("""COMPUTED_VALUE"""),"02 - QL_KD")</f>
        <v>02 - QL_KD</v>
      </c>
      <c r="L374" s="728" t="str">
        <f>IFERROR(__xludf.DUMMYFUNCTION("""COMPUTED_VALUE"""),"Đang theo dõi")</f>
        <v>Đang theo dõi</v>
      </c>
      <c r="M374" s="729"/>
      <c r="N374" s="728" t="str">
        <f>IFERROR(__xludf.DUMMYFUNCTION("""COMPUTED_VALUE"""),"giữ nguyên")</f>
        <v>giữ nguyên</v>
      </c>
      <c r="O374" s="708"/>
      <c r="P374" s="708"/>
      <c r="Q374" s="708"/>
      <c r="R374" s="708"/>
      <c r="S374" s="708"/>
      <c r="T374" s="708"/>
      <c r="U374" s="708"/>
      <c r="V374" s="708"/>
      <c r="W374" s="708"/>
      <c r="X374" s="708"/>
      <c r="Y374" s="708"/>
      <c r="Z374" s="708"/>
      <c r="AA374" s="708"/>
      <c r="AB374" s="708"/>
      <c r="AC374" s="708"/>
      <c r="AD374" s="708"/>
      <c r="AE374" s="708"/>
    </row>
    <row r="375">
      <c r="A375" s="727">
        <f>IFERROR(__xludf.DUMMYFUNCTION("""COMPUTED_VALUE"""),333.0)</f>
        <v>333</v>
      </c>
      <c r="B375" s="728" t="str">
        <f>IFERROR(__xludf.DUMMYFUNCTION("""COMPUTED_VALUE"""),"MB_NS_A.SM_HRM")</f>
        <v>MB_NS_A.SM_HRM</v>
      </c>
      <c r="C375" s="728" t="str">
        <f>IFERROR(__xludf.DUMMYFUNCTION("""COMPUTED_VALUE"""),"MB_NS_A.SM_HRM")</f>
        <v>MB_NS_A.SM_HRM</v>
      </c>
      <c r="D375" s="728" t="str">
        <f>IFERROR(__xludf.DUMMYFUNCTION("""COMPUTED_VALUE"""),"Q. Quản lý kinh doanh")</f>
        <v>Q. Quản lý kinh doanh</v>
      </c>
      <c r="E375" s="728" t="str">
        <f>IFERROR(__xludf.DUMMYFUNCTION("""COMPUTED_VALUE"""),"SM")</f>
        <v>SM</v>
      </c>
      <c r="F375" s="729">
        <f>IFERROR(__xludf.DUMMYFUNCTION("""COMPUTED_VALUE"""),2.0)</f>
        <v>2</v>
      </c>
      <c r="G375" s="728" t="str">
        <f>IFERROR(__xludf.DUMMYFUNCTION("""COMPUTED_VALUE"""),"DNVUA")</f>
        <v>DNVUA</v>
      </c>
      <c r="H375" s="728" t="str">
        <f>IFERROR(__xludf.DUMMYFUNCTION("""COMPUTED_VALUE"""),"TPP/ Trưởng ban")</f>
        <v>TPP/ Trưởng ban</v>
      </c>
      <c r="I375" s="731" t="str">
        <f>IFERROR(__xludf.DUMMYFUNCTION("""COMPUTED_VALUE"""),"L2.02.03.00.00.00.00")</f>
        <v>L2.02.03.00.00.00.00</v>
      </c>
      <c r="J375" s="731" t="str">
        <f>IFERROR(__xludf.DUMMYFUNCTION("""COMPUTED_VALUE"""),"Khối Doanh nghiệp vừa")</f>
        <v>Khối Doanh nghiệp vừa</v>
      </c>
      <c r="K375" s="729" t="str">
        <f>IFERROR(__xludf.DUMMYFUNCTION("""COMPUTED_VALUE"""),"02 - QL_KD")</f>
        <v>02 - QL_KD</v>
      </c>
      <c r="L375" s="728" t="str">
        <f>IFERROR(__xludf.DUMMYFUNCTION("""COMPUTED_VALUE"""),"Đang theo dõi")</f>
        <v>Đang theo dõi</v>
      </c>
      <c r="M375" s="729"/>
      <c r="N375" s="728" t="str">
        <f>IFERROR(__xludf.DUMMYFUNCTION("""COMPUTED_VALUE"""),"giữ nguyên")</f>
        <v>giữ nguyên</v>
      </c>
      <c r="O375" s="708"/>
      <c r="P375" s="708"/>
      <c r="Q375" s="708"/>
      <c r="R375" s="708"/>
      <c r="S375" s="708"/>
      <c r="T375" s="708"/>
      <c r="U375" s="708"/>
      <c r="V375" s="708"/>
      <c r="W375" s="708"/>
      <c r="X375" s="708"/>
      <c r="Y375" s="708"/>
      <c r="Z375" s="708"/>
      <c r="AA375" s="708"/>
      <c r="AB375" s="708"/>
      <c r="AC375" s="708"/>
      <c r="AD375" s="708"/>
      <c r="AE375" s="708"/>
    </row>
    <row r="376">
      <c r="A376" s="727">
        <f>IFERROR(__xludf.DUMMYFUNCTION("""COMPUTED_VALUE"""),334.0)</f>
        <v>334</v>
      </c>
      <c r="B376" s="728" t="str">
        <f>IFERROR(__xludf.DUMMYFUNCTION("""COMPUTED_VALUE"""),"MB_NS_A.SM_OPS")</f>
        <v>MB_NS_A.SM_OPS</v>
      </c>
      <c r="C376" s="728" t="str">
        <f>IFERROR(__xludf.DUMMYFUNCTION("""COMPUTED_VALUE"""),"MB_NS_A.SM_OPS")</f>
        <v>MB_NS_A.SM_OPS</v>
      </c>
      <c r="D376" s="728" t="str">
        <f>IFERROR(__xludf.DUMMYFUNCTION("""COMPUTED_VALUE"""),"Q. Quản lý kinh doanh")</f>
        <v>Q. Quản lý kinh doanh</v>
      </c>
      <c r="E376" s="728" t="str">
        <f>IFERROR(__xludf.DUMMYFUNCTION("""COMPUTED_VALUE"""),"SM")</f>
        <v>SM</v>
      </c>
      <c r="F376" s="729">
        <f>IFERROR(__xludf.DUMMYFUNCTION("""COMPUTED_VALUE"""),2.0)</f>
        <v>2</v>
      </c>
      <c r="G376" s="728" t="str">
        <f>IFERROR(__xludf.DUMMYFUNCTION("""COMPUTED_VALUE"""),"DNVUA")</f>
        <v>DNVUA</v>
      </c>
      <c r="H376" s="728" t="str">
        <f>IFERROR(__xludf.DUMMYFUNCTION("""COMPUTED_VALUE"""),"TPP/ Trưởng ban")</f>
        <v>TPP/ Trưởng ban</v>
      </c>
      <c r="I376" s="731" t="str">
        <f>IFERROR(__xludf.DUMMYFUNCTION("""COMPUTED_VALUE"""),"L2.02.03.00.00.00.00")</f>
        <v>L2.02.03.00.00.00.00</v>
      </c>
      <c r="J376" s="731" t="str">
        <f>IFERROR(__xludf.DUMMYFUNCTION("""COMPUTED_VALUE"""),"Khối Doanh nghiệp vừa")</f>
        <v>Khối Doanh nghiệp vừa</v>
      </c>
      <c r="K376" s="729" t="str">
        <f>IFERROR(__xludf.DUMMYFUNCTION("""COMPUTED_VALUE"""),"02 - QL_KD")</f>
        <v>02 - QL_KD</v>
      </c>
      <c r="L376" s="728" t="str">
        <f>IFERROR(__xludf.DUMMYFUNCTION("""COMPUTED_VALUE"""),"Đang theo dõi")</f>
        <v>Đang theo dõi</v>
      </c>
      <c r="M376" s="729"/>
      <c r="N376" s="728" t="str">
        <f>IFERROR(__xludf.DUMMYFUNCTION("""COMPUTED_VALUE"""),"giữ nguyên")</f>
        <v>giữ nguyên</v>
      </c>
      <c r="O376" s="708"/>
      <c r="P376" s="708"/>
      <c r="Q376" s="708"/>
      <c r="R376" s="708"/>
      <c r="S376" s="708"/>
      <c r="T376" s="708"/>
      <c r="U376" s="708"/>
      <c r="V376" s="708"/>
      <c r="W376" s="708"/>
      <c r="X376" s="708"/>
      <c r="Y376" s="708"/>
      <c r="Z376" s="708"/>
      <c r="AA376" s="708"/>
      <c r="AB376" s="708"/>
      <c r="AC376" s="708"/>
      <c r="AD376" s="708"/>
      <c r="AE376" s="708"/>
    </row>
    <row r="377">
      <c r="A377" s="727">
        <f>IFERROR(__xludf.DUMMYFUNCTION("""COMPUTED_VALUE"""),335.0)</f>
        <v>335</v>
      </c>
      <c r="B377" s="728" t="str">
        <f>IFERROR(__xludf.DUMMYFUNCTION("""COMPUTED_VALUE"""),"MB_NS_AE_ACT")</f>
        <v>MB_NS_AE_ACT</v>
      </c>
      <c r="C377" s="728" t="str">
        <f>IFERROR(__xludf.DUMMYFUNCTION("""COMPUTED_VALUE"""),"MB_NS_AE_ACT")</f>
        <v>MB_NS_AE_ACT</v>
      </c>
      <c r="D377" s="728" t="str">
        <f>IFERROR(__xludf.DUMMYFUNCTION("""COMPUTED_VALUE"""),"NV Tư vấn bán hàng")</f>
        <v>NV Tư vấn bán hàng</v>
      </c>
      <c r="E377" s="728" t="str">
        <f>IFERROR(__xludf.DUMMYFUNCTION("""COMPUTED_VALUE"""),"AE")</f>
        <v>AE</v>
      </c>
      <c r="F377" s="729"/>
      <c r="G377" s="728" t="str">
        <f>IFERROR(__xludf.DUMMYFUNCTION("""COMPUTED_VALUE"""),"DNVUA")</f>
        <v>DNVUA</v>
      </c>
      <c r="H377" s="728" t="str">
        <f>IFERROR(__xludf.DUMMYFUNCTION("""COMPUTED_VALUE"""),"Nhân viên/ Chuyên viên/ Chuyên gia")</f>
        <v>Nhân viên/ Chuyên viên/ Chuyên gia</v>
      </c>
      <c r="I377" s="731" t="str">
        <f>IFERROR(__xludf.DUMMYFUNCTION("""COMPUTED_VALUE"""),"L2.02.03.00.00.00.00")</f>
        <v>L2.02.03.00.00.00.00</v>
      </c>
      <c r="J377" s="731" t="str">
        <f>IFERROR(__xludf.DUMMYFUNCTION("""COMPUTED_VALUE"""),"Khối Doanh nghiệp vừa")</f>
        <v>Khối Doanh nghiệp vừa</v>
      </c>
      <c r="K377" s="729" t="str">
        <f>IFERROR(__xludf.DUMMYFUNCTION("""COMPUTED_VALUE"""),"01 - NV_KD")</f>
        <v>01 - NV_KD</v>
      </c>
      <c r="L377" s="728" t="str">
        <f>IFERROR(__xludf.DUMMYFUNCTION("""COMPUTED_VALUE"""),"Đang theo dõi")</f>
        <v>Đang theo dõi</v>
      </c>
      <c r="M377" s="729"/>
      <c r="N377" s="728" t="str">
        <f>IFERROR(__xludf.DUMMYFUNCTION("""COMPUTED_VALUE"""),"giữ nguyên")</f>
        <v>giữ nguyên</v>
      </c>
      <c r="O377" s="708"/>
      <c r="P377" s="708"/>
      <c r="Q377" s="708"/>
      <c r="R377" s="708"/>
      <c r="S377" s="708"/>
      <c r="T377" s="708"/>
      <c r="U377" s="708"/>
      <c r="V377" s="708"/>
      <c r="W377" s="708"/>
      <c r="X377" s="708"/>
      <c r="Y377" s="708"/>
      <c r="Z377" s="708"/>
      <c r="AA377" s="708"/>
      <c r="AB377" s="708"/>
      <c r="AC377" s="708"/>
      <c r="AD377" s="708"/>
      <c r="AE377" s="708"/>
    </row>
    <row r="378">
      <c r="A378" s="727">
        <f>IFERROR(__xludf.DUMMYFUNCTION("""COMPUTED_VALUE"""),336.0)</f>
        <v>336</v>
      </c>
      <c r="B378" s="728" t="str">
        <f>IFERROR(__xludf.DUMMYFUNCTION("""COMPUTED_VALUE"""),"MB_NS_AE_CRM")</f>
        <v>MB_NS_AE_CRM</v>
      </c>
      <c r="C378" s="728" t="str">
        <f>IFERROR(__xludf.DUMMYFUNCTION("""COMPUTED_VALUE"""),"MB_NS_AE_CRM")</f>
        <v>MB_NS_AE_CRM</v>
      </c>
      <c r="D378" s="728" t="str">
        <f>IFERROR(__xludf.DUMMYFUNCTION("""COMPUTED_VALUE"""),"NV Tư vấn bán hàng")</f>
        <v>NV Tư vấn bán hàng</v>
      </c>
      <c r="E378" s="728" t="str">
        <f>IFERROR(__xludf.DUMMYFUNCTION("""COMPUTED_VALUE"""),"AE")</f>
        <v>AE</v>
      </c>
      <c r="F378" s="728"/>
      <c r="G378" s="728" t="str">
        <f>IFERROR(__xludf.DUMMYFUNCTION("""COMPUTED_VALUE"""),"DNVUA")</f>
        <v>DNVUA</v>
      </c>
      <c r="H378" s="728" t="str">
        <f>IFERROR(__xludf.DUMMYFUNCTION("""COMPUTED_VALUE"""),"Nhân viên/ Chuyên viên/ Chuyên gia")</f>
        <v>Nhân viên/ Chuyên viên/ Chuyên gia</v>
      </c>
      <c r="I378" s="731" t="str">
        <f>IFERROR(__xludf.DUMMYFUNCTION("""COMPUTED_VALUE"""),"L2.02.03.00.00.00.00")</f>
        <v>L2.02.03.00.00.00.00</v>
      </c>
      <c r="J378" s="731" t="str">
        <f>IFERROR(__xludf.DUMMYFUNCTION("""COMPUTED_VALUE"""),"Khối Doanh nghiệp vừa")</f>
        <v>Khối Doanh nghiệp vừa</v>
      </c>
      <c r="K378" s="729" t="str">
        <f>IFERROR(__xludf.DUMMYFUNCTION("""COMPUTED_VALUE"""),"01 - NV_KD")</f>
        <v>01 - NV_KD</v>
      </c>
      <c r="L378" s="728" t="str">
        <f>IFERROR(__xludf.DUMMYFUNCTION("""COMPUTED_VALUE"""),"Đang theo dõi")</f>
        <v>Đang theo dõi</v>
      </c>
      <c r="M378" s="729"/>
      <c r="N378" s="728" t="str">
        <f>IFERROR(__xludf.DUMMYFUNCTION("""COMPUTED_VALUE"""),"giữ nguyên")</f>
        <v>giữ nguyên</v>
      </c>
      <c r="O378" s="708"/>
      <c r="P378" s="708"/>
      <c r="Q378" s="708"/>
      <c r="R378" s="708"/>
      <c r="S378" s="708"/>
      <c r="T378" s="708"/>
      <c r="U378" s="708"/>
      <c r="V378" s="708"/>
      <c r="W378" s="708"/>
      <c r="X378" s="708"/>
      <c r="Y378" s="708"/>
      <c r="Z378" s="708"/>
      <c r="AA378" s="708"/>
      <c r="AB378" s="708"/>
      <c r="AC378" s="708"/>
      <c r="AD378" s="708"/>
      <c r="AE378" s="708"/>
    </row>
    <row r="379">
      <c r="A379" s="727">
        <f>IFERROR(__xludf.DUMMYFUNCTION("""COMPUTED_VALUE"""),337.0)</f>
        <v>337</v>
      </c>
      <c r="B379" s="728" t="str">
        <f>IFERROR(__xludf.DUMMYFUNCTION("""COMPUTED_VALUE"""),"MB_NS_AE_HRM")</f>
        <v>MB_NS_AE_HRM</v>
      </c>
      <c r="C379" s="728" t="str">
        <f>IFERROR(__xludf.DUMMYFUNCTION("""COMPUTED_VALUE"""),"MB_NS_AE_HRM")</f>
        <v>MB_NS_AE_HRM</v>
      </c>
      <c r="D379" s="728" t="str">
        <f>IFERROR(__xludf.DUMMYFUNCTION("""COMPUTED_VALUE"""),"NV Tư vấn bán hàng")</f>
        <v>NV Tư vấn bán hàng</v>
      </c>
      <c r="E379" s="728" t="str">
        <f>IFERROR(__xludf.DUMMYFUNCTION("""COMPUTED_VALUE"""),"AE")</f>
        <v>AE</v>
      </c>
      <c r="F379" s="728"/>
      <c r="G379" s="728" t="str">
        <f>IFERROR(__xludf.DUMMYFUNCTION("""COMPUTED_VALUE"""),"DNVUA")</f>
        <v>DNVUA</v>
      </c>
      <c r="H379" s="728" t="str">
        <f>IFERROR(__xludf.DUMMYFUNCTION("""COMPUTED_VALUE"""),"Nhân viên/ Chuyên viên/ Chuyên gia")</f>
        <v>Nhân viên/ Chuyên viên/ Chuyên gia</v>
      </c>
      <c r="I379" s="731" t="str">
        <f>IFERROR(__xludf.DUMMYFUNCTION("""COMPUTED_VALUE"""),"L2.02.03.00.00.00.00")</f>
        <v>L2.02.03.00.00.00.00</v>
      </c>
      <c r="J379" s="731" t="str">
        <f>IFERROR(__xludf.DUMMYFUNCTION("""COMPUTED_VALUE"""),"Khối Doanh nghiệp vừa")</f>
        <v>Khối Doanh nghiệp vừa</v>
      </c>
      <c r="K379" s="728" t="str">
        <f>IFERROR(__xludf.DUMMYFUNCTION("""COMPUTED_VALUE"""),"01 - NV_KD")</f>
        <v>01 - NV_KD</v>
      </c>
      <c r="L379" s="728" t="str">
        <f>IFERROR(__xludf.DUMMYFUNCTION("""COMPUTED_VALUE"""),"Đang theo dõi")</f>
        <v>Đang theo dõi</v>
      </c>
      <c r="M379" s="729"/>
      <c r="N379" s="728" t="str">
        <f>IFERROR(__xludf.DUMMYFUNCTION("""COMPUTED_VALUE"""),"giữ nguyên")</f>
        <v>giữ nguyên</v>
      </c>
      <c r="O379" s="708"/>
      <c r="P379" s="708"/>
      <c r="Q379" s="708"/>
      <c r="R379" s="708"/>
      <c r="S379" s="708"/>
      <c r="T379" s="708"/>
      <c r="U379" s="708"/>
      <c r="V379" s="708"/>
      <c r="W379" s="708"/>
      <c r="X379" s="708"/>
      <c r="Y379" s="708"/>
      <c r="Z379" s="708"/>
      <c r="AA379" s="708"/>
      <c r="AB379" s="708"/>
      <c r="AC379" s="708"/>
      <c r="AD379" s="708"/>
      <c r="AE379" s="708"/>
    </row>
    <row r="380">
      <c r="A380" s="727">
        <f>IFERROR(__xludf.DUMMYFUNCTION("""COMPUTED_VALUE"""),338.0)</f>
        <v>338</v>
      </c>
      <c r="B380" s="728" t="str">
        <f>IFERROR(__xludf.DUMMYFUNCTION("""COMPUTED_VALUE"""),"MB_NS_AE_OPS")</f>
        <v>MB_NS_AE_OPS</v>
      </c>
      <c r="C380" s="728" t="str">
        <f>IFERROR(__xludf.DUMMYFUNCTION("""COMPUTED_VALUE"""),"MB_NS_AE_OPS")</f>
        <v>MB_NS_AE_OPS</v>
      </c>
      <c r="D380" s="728" t="str">
        <f>IFERROR(__xludf.DUMMYFUNCTION("""COMPUTED_VALUE"""),"NV Tư vấn bán hàng")</f>
        <v>NV Tư vấn bán hàng</v>
      </c>
      <c r="E380" s="728" t="str">
        <f>IFERROR(__xludf.DUMMYFUNCTION("""COMPUTED_VALUE"""),"AE")</f>
        <v>AE</v>
      </c>
      <c r="F380" s="728"/>
      <c r="G380" s="728" t="str">
        <f>IFERROR(__xludf.DUMMYFUNCTION("""COMPUTED_VALUE"""),"DNVUA")</f>
        <v>DNVUA</v>
      </c>
      <c r="H380" s="728" t="str">
        <f>IFERROR(__xludf.DUMMYFUNCTION("""COMPUTED_VALUE"""),"Nhân viên/ Chuyên viên/ Chuyên gia")</f>
        <v>Nhân viên/ Chuyên viên/ Chuyên gia</v>
      </c>
      <c r="I380" s="731" t="str">
        <f>IFERROR(__xludf.DUMMYFUNCTION("""COMPUTED_VALUE"""),"L2.02.03.00.00.00.00")</f>
        <v>L2.02.03.00.00.00.00</v>
      </c>
      <c r="J380" s="731" t="str">
        <f>IFERROR(__xludf.DUMMYFUNCTION("""COMPUTED_VALUE"""),"Khối Doanh nghiệp vừa")</f>
        <v>Khối Doanh nghiệp vừa</v>
      </c>
      <c r="K380" s="728" t="str">
        <f>IFERROR(__xludf.DUMMYFUNCTION("""COMPUTED_VALUE"""),"01 - NV_KD")</f>
        <v>01 - NV_KD</v>
      </c>
      <c r="L380" s="728" t="str">
        <f>IFERROR(__xludf.DUMMYFUNCTION("""COMPUTED_VALUE"""),"Đang theo dõi")</f>
        <v>Đang theo dõi</v>
      </c>
      <c r="M380" s="729"/>
      <c r="N380" s="728" t="str">
        <f>IFERROR(__xludf.DUMMYFUNCTION("""COMPUTED_VALUE"""),"giữ nguyên")</f>
        <v>giữ nguyên</v>
      </c>
      <c r="O380" s="708"/>
      <c r="P380" s="708"/>
      <c r="Q380" s="708"/>
      <c r="R380" s="708"/>
      <c r="S380" s="708"/>
      <c r="T380" s="708"/>
      <c r="U380" s="708"/>
      <c r="V380" s="708"/>
      <c r="W380" s="708"/>
      <c r="X380" s="708"/>
      <c r="Y380" s="708"/>
      <c r="Z380" s="708"/>
      <c r="AA380" s="708"/>
      <c r="AB380" s="708"/>
      <c r="AC380" s="708"/>
      <c r="AD380" s="708"/>
      <c r="AE380" s="708"/>
    </row>
    <row r="381">
      <c r="A381" s="727">
        <f>IFERROR(__xludf.DUMMYFUNCTION("""COMPUTED_VALUE"""),339.0)</f>
        <v>339</v>
      </c>
      <c r="B381" s="728" t="str">
        <f>IFERROR(__xludf.DUMMYFUNCTION("""COMPUTED_VALUE"""),"MB_NS_SM_ACT")</f>
        <v>MB_NS_SM_ACT</v>
      </c>
      <c r="C381" s="728" t="str">
        <f>IFERROR(__xludf.DUMMYFUNCTION("""COMPUTED_VALUE"""),"MB_NS_SM_ACT")</f>
        <v>MB_NS_SM_ACT</v>
      </c>
      <c r="D381" s="728" t="str">
        <f>IFERROR(__xludf.DUMMYFUNCTION("""COMPUTED_VALUE"""),"Quản lý kinh doanh")</f>
        <v>Quản lý kinh doanh</v>
      </c>
      <c r="E381" s="728" t="str">
        <f>IFERROR(__xludf.DUMMYFUNCTION("""COMPUTED_VALUE"""),"SM")</f>
        <v>SM</v>
      </c>
      <c r="F381" s="728">
        <f>IFERROR(__xludf.DUMMYFUNCTION("""COMPUTED_VALUE"""),2.0)</f>
        <v>2</v>
      </c>
      <c r="G381" s="728" t="str">
        <f>IFERROR(__xludf.DUMMYFUNCTION("""COMPUTED_VALUE"""),"DNVUA")</f>
        <v>DNVUA</v>
      </c>
      <c r="H381" s="728" t="str">
        <f>IFERROR(__xludf.DUMMYFUNCTION("""COMPUTED_VALUE"""),"TPP/ Trưởng ban")</f>
        <v>TPP/ Trưởng ban</v>
      </c>
      <c r="I381" s="731" t="str">
        <f>IFERROR(__xludf.DUMMYFUNCTION("""COMPUTED_VALUE"""),"L2.02.03.00.00.00.00")</f>
        <v>L2.02.03.00.00.00.00</v>
      </c>
      <c r="J381" s="731" t="str">
        <f>IFERROR(__xludf.DUMMYFUNCTION("""COMPUTED_VALUE"""),"Khối Doanh nghiệp vừa")</f>
        <v>Khối Doanh nghiệp vừa</v>
      </c>
      <c r="K381" s="728" t="str">
        <f>IFERROR(__xludf.DUMMYFUNCTION("""COMPUTED_VALUE"""),"02 - QL_KD")</f>
        <v>02 - QL_KD</v>
      </c>
      <c r="L381" s="728" t="str">
        <f>IFERROR(__xludf.DUMMYFUNCTION("""COMPUTED_VALUE"""),"Đang theo dõi")</f>
        <v>Đang theo dõi</v>
      </c>
      <c r="M381" s="729"/>
      <c r="N381" s="728" t="str">
        <f>IFERROR(__xludf.DUMMYFUNCTION("""COMPUTED_VALUE"""),"giữ nguyên")</f>
        <v>giữ nguyên</v>
      </c>
      <c r="O381" s="708"/>
      <c r="P381" s="708"/>
      <c r="Q381" s="708"/>
      <c r="R381" s="708"/>
      <c r="S381" s="708"/>
      <c r="T381" s="708"/>
      <c r="U381" s="708"/>
      <c r="V381" s="708"/>
      <c r="W381" s="708"/>
      <c r="X381" s="708"/>
      <c r="Y381" s="708"/>
      <c r="Z381" s="708"/>
      <c r="AA381" s="708"/>
      <c r="AB381" s="732"/>
      <c r="AC381" s="732"/>
      <c r="AD381" s="732"/>
      <c r="AE381" s="732"/>
    </row>
    <row r="382">
      <c r="A382" s="727">
        <f>IFERROR(__xludf.DUMMYFUNCTION("""COMPUTED_VALUE"""),340.0)</f>
        <v>340</v>
      </c>
      <c r="B382" s="731" t="str">
        <f>IFERROR(__xludf.DUMMYFUNCTION("""COMPUTED_VALUE"""),"MB_NS_SM_CRM")</f>
        <v>MB_NS_SM_CRM</v>
      </c>
      <c r="C382" s="731" t="str">
        <f>IFERROR(__xludf.DUMMYFUNCTION("""COMPUTED_VALUE"""),"MB_NS_SM_CRM")</f>
        <v>MB_NS_SM_CRM</v>
      </c>
      <c r="D382" s="731" t="str">
        <f>IFERROR(__xludf.DUMMYFUNCTION("""COMPUTED_VALUE"""),"Quản lý kinh doanh")</f>
        <v>Quản lý kinh doanh</v>
      </c>
      <c r="E382" s="731" t="str">
        <f>IFERROR(__xludf.DUMMYFUNCTION("""COMPUTED_VALUE"""),"SM")</f>
        <v>SM</v>
      </c>
      <c r="F382" s="729">
        <f>IFERROR(__xludf.DUMMYFUNCTION("""COMPUTED_VALUE"""),2.0)</f>
        <v>2</v>
      </c>
      <c r="G382" s="731" t="str">
        <f>IFERROR(__xludf.DUMMYFUNCTION("""COMPUTED_VALUE"""),"DNVUA")</f>
        <v>DNVUA</v>
      </c>
      <c r="H382" s="731" t="str">
        <f>IFERROR(__xludf.DUMMYFUNCTION("""COMPUTED_VALUE"""),"TPP/ Trưởng ban")</f>
        <v>TPP/ Trưởng ban</v>
      </c>
      <c r="I382" s="729" t="str">
        <f>IFERROR(__xludf.DUMMYFUNCTION("""COMPUTED_VALUE"""),"L2.02.03.00.00.00.00")</f>
        <v>L2.02.03.00.00.00.00</v>
      </c>
      <c r="J382" s="731" t="str">
        <f>IFERROR(__xludf.DUMMYFUNCTION("""COMPUTED_VALUE"""),"Khối Doanh nghiệp vừa")</f>
        <v>Khối Doanh nghiệp vừa</v>
      </c>
      <c r="K382" s="729" t="str">
        <f>IFERROR(__xludf.DUMMYFUNCTION("""COMPUTED_VALUE"""),"02 - QL_KD")</f>
        <v>02 - QL_KD</v>
      </c>
      <c r="L382" s="731" t="str">
        <f>IFERROR(__xludf.DUMMYFUNCTION("""COMPUTED_VALUE"""),"Đang theo dõi")</f>
        <v>Đang theo dõi</v>
      </c>
      <c r="M382" s="729"/>
      <c r="N382" s="728" t="str">
        <f>IFERROR(__xludf.DUMMYFUNCTION("""COMPUTED_VALUE"""),"giữ nguyên")</f>
        <v>giữ nguyên</v>
      </c>
      <c r="O382" s="708"/>
      <c r="P382" s="708"/>
      <c r="Q382" s="708"/>
      <c r="R382" s="708"/>
      <c r="S382" s="708"/>
      <c r="T382" s="708"/>
      <c r="U382" s="708"/>
      <c r="V382" s="708"/>
      <c r="W382" s="708"/>
      <c r="X382" s="708"/>
      <c r="Y382" s="708"/>
      <c r="Z382" s="708"/>
      <c r="AA382" s="708"/>
      <c r="AB382" s="708"/>
      <c r="AC382" s="708"/>
      <c r="AD382" s="708"/>
      <c r="AE382" s="708"/>
    </row>
    <row r="383">
      <c r="A383" s="727">
        <f>IFERROR(__xludf.DUMMYFUNCTION("""COMPUTED_VALUE"""),341.0)</f>
        <v>341</v>
      </c>
      <c r="B383" s="731" t="str">
        <f>IFERROR(__xludf.DUMMYFUNCTION("""COMPUTED_VALUE"""),"MB_NS_SM_HRM")</f>
        <v>MB_NS_SM_HRM</v>
      </c>
      <c r="C383" s="731" t="str">
        <f>IFERROR(__xludf.DUMMYFUNCTION("""COMPUTED_VALUE"""),"MB_NS_SM_HRM")</f>
        <v>MB_NS_SM_HRM</v>
      </c>
      <c r="D383" s="731" t="str">
        <f>IFERROR(__xludf.DUMMYFUNCTION("""COMPUTED_VALUE"""),"Quản lý kinh doanh")</f>
        <v>Quản lý kinh doanh</v>
      </c>
      <c r="E383" s="729" t="str">
        <f>IFERROR(__xludf.DUMMYFUNCTION("""COMPUTED_VALUE"""),"SM")</f>
        <v>SM</v>
      </c>
      <c r="F383" s="729">
        <f>IFERROR(__xludf.DUMMYFUNCTION("""COMPUTED_VALUE"""),2.0)</f>
        <v>2</v>
      </c>
      <c r="G383" s="731" t="str">
        <f>IFERROR(__xludf.DUMMYFUNCTION("""COMPUTED_VALUE"""),"DNVUA")</f>
        <v>DNVUA</v>
      </c>
      <c r="H383" s="731" t="str">
        <f>IFERROR(__xludf.DUMMYFUNCTION("""COMPUTED_VALUE"""),"TPP/ Trưởng ban")</f>
        <v>TPP/ Trưởng ban</v>
      </c>
      <c r="I383" s="729" t="str">
        <f>IFERROR(__xludf.DUMMYFUNCTION("""COMPUTED_VALUE"""),"L2.02.03.00.00.00.00")</f>
        <v>L2.02.03.00.00.00.00</v>
      </c>
      <c r="J383" s="731" t="str">
        <f>IFERROR(__xludf.DUMMYFUNCTION("""COMPUTED_VALUE"""),"Khối Doanh nghiệp vừa")</f>
        <v>Khối Doanh nghiệp vừa</v>
      </c>
      <c r="K383" s="731" t="str">
        <f>IFERROR(__xludf.DUMMYFUNCTION("""COMPUTED_VALUE"""),"02 - QL_KD")</f>
        <v>02 - QL_KD</v>
      </c>
      <c r="L383" s="731" t="str">
        <f>IFERROR(__xludf.DUMMYFUNCTION("""COMPUTED_VALUE"""),"Đang theo dõi")</f>
        <v>Đang theo dõi</v>
      </c>
      <c r="M383" s="729"/>
      <c r="N383" s="728" t="str">
        <f>IFERROR(__xludf.DUMMYFUNCTION("""COMPUTED_VALUE"""),"giữ nguyên")</f>
        <v>giữ nguyên</v>
      </c>
      <c r="O383" s="708"/>
      <c r="P383" s="708"/>
      <c r="Q383" s="708"/>
      <c r="R383" s="708"/>
      <c r="S383" s="708"/>
      <c r="T383" s="708"/>
      <c r="U383" s="708"/>
      <c r="V383" s="708"/>
      <c r="W383" s="708"/>
      <c r="X383" s="708"/>
      <c r="Y383" s="708"/>
      <c r="Z383" s="708"/>
      <c r="AA383" s="708"/>
      <c r="AB383" s="708"/>
      <c r="AC383" s="708"/>
      <c r="AD383" s="708"/>
      <c r="AE383" s="708"/>
    </row>
    <row r="384">
      <c r="A384" s="727">
        <f>IFERROR(__xludf.DUMMYFUNCTION("""COMPUTED_VALUE"""),342.0)</f>
        <v>342</v>
      </c>
      <c r="B384" s="731" t="str">
        <f>IFERROR(__xludf.DUMMYFUNCTION("""COMPUTED_VALUE"""),"MB_NS_SM_OPS")</f>
        <v>MB_NS_SM_OPS</v>
      </c>
      <c r="C384" s="731" t="str">
        <f>IFERROR(__xludf.DUMMYFUNCTION("""COMPUTED_VALUE"""),"MB_NS_SM_OPS")</f>
        <v>MB_NS_SM_OPS</v>
      </c>
      <c r="D384" s="731" t="str">
        <f>IFERROR(__xludf.DUMMYFUNCTION("""COMPUTED_VALUE"""),"Quản lý kinh doanh")</f>
        <v>Quản lý kinh doanh</v>
      </c>
      <c r="E384" s="731" t="str">
        <f>IFERROR(__xludf.DUMMYFUNCTION("""COMPUTED_VALUE"""),"SM")</f>
        <v>SM</v>
      </c>
      <c r="F384" s="731">
        <f>IFERROR(__xludf.DUMMYFUNCTION("""COMPUTED_VALUE"""),2.0)</f>
        <v>2</v>
      </c>
      <c r="G384" s="731" t="str">
        <f>IFERROR(__xludf.DUMMYFUNCTION("""COMPUTED_VALUE"""),"DNVUA")</f>
        <v>DNVUA</v>
      </c>
      <c r="H384" s="731" t="str">
        <f>IFERROR(__xludf.DUMMYFUNCTION("""COMPUTED_VALUE"""),"TPP/ Trưởng ban")</f>
        <v>TPP/ Trưởng ban</v>
      </c>
      <c r="I384" s="729" t="str">
        <f>IFERROR(__xludf.DUMMYFUNCTION("""COMPUTED_VALUE"""),"L2.02.03.00.00.00.00")</f>
        <v>L2.02.03.00.00.00.00</v>
      </c>
      <c r="J384" s="731" t="str">
        <f>IFERROR(__xludf.DUMMYFUNCTION("""COMPUTED_VALUE"""),"Khối Doanh nghiệp vừa")</f>
        <v>Khối Doanh nghiệp vừa</v>
      </c>
      <c r="K384" s="729" t="str">
        <f>IFERROR(__xludf.DUMMYFUNCTION("""COMPUTED_VALUE"""),"02 - QL_KD")</f>
        <v>02 - QL_KD</v>
      </c>
      <c r="L384" s="731" t="str">
        <f>IFERROR(__xludf.DUMMYFUNCTION("""COMPUTED_VALUE"""),"Đang theo dõi")</f>
        <v>Đang theo dõi</v>
      </c>
      <c r="M384" s="731"/>
      <c r="N384" s="728" t="str">
        <f>IFERROR(__xludf.DUMMYFUNCTION("""COMPUTED_VALUE"""),"giữ nguyên")</f>
        <v>giữ nguyên</v>
      </c>
      <c r="O384" s="708"/>
      <c r="P384" s="708"/>
      <c r="Q384" s="708"/>
      <c r="R384" s="708"/>
      <c r="S384" s="708"/>
      <c r="T384" s="708"/>
      <c r="U384" s="708"/>
      <c r="V384" s="708"/>
      <c r="W384" s="708"/>
      <c r="X384" s="708"/>
      <c r="Y384" s="708"/>
      <c r="Z384" s="708"/>
      <c r="AA384" s="708"/>
      <c r="AB384" s="726"/>
      <c r="AC384" s="726"/>
      <c r="AD384" s="726"/>
      <c r="AE384" s="726"/>
    </row>
    <row r="385">
      <c r="A385" s="727">
        <f>IFERROR(__xludf.DUMMYFUNCTION("""COMPUTED_VALUE"""),343.0)</f>
        <v>343</v>
      </c>
      <c r="B385" s="731" t="str">
        <f>IFERROR(__xludf.DUMMYFUNCTION("""COMPUTED_VALUE"""),"MB_ONB")</f>
        <v>MB_ONB</v>
      </c>
      <c r="C385" s="731" t="str">
        <f>IFERROR(__xludf.DUMMYFUNCTION("""COMPUTED_VALUE"""),"MB_ONB")</f>
        <v>MB_ONB</v>
      </c>
      <c r="D385" s="731" t="str">
        <f>IFERROR(__xludf.DUMMYFUNCTION("""COMPUTED_VALUE"""),"NV chuyển giao")</f>
        <v>NV chuyển giao</v>
      </c>
      <c r="E385" s="731" t="str">
        <f>IFERROR(__xludf.DUMMYFUNCTION("""COMPUTED_VALUE"""),"ONB")</f>
        <v>ONB</v>
      </c>
      <c r="F385" s="731"/>
      <c r="G385" s="731" t="str">
        <f>IFERROR(__xludf.DUMMYFUNCTION("""COMPUTED_VALUE"""),"DNVUA")</f>
        <v>DNVUA</v>
      </c>
      <c r="H385" s="731" t="str">
        <f>IFERROR(__xludf.DUMMYFUNCTION("""COMPUTED_VALUE"""),"Nhân viên/ Chuyên viên/ Chuyên gia")</f>
        <v>Nhân viên/ Chuyên viên/ Chuyên gia</v>
      </c>
      <c r="I385" s="729" t="str">
        <f>IFERROR(__xludf.DUMMYFUNCTION("""COMPUTED_VALUE"""),"L2.02.03.00.00.00.00")</f>
        <v>L2.02.03.00.00.00.00</v>
      </c>
      <c r="J385" s="731" t="str">
        <f>IFERROR(__xludf.DUMMYFUNCTION("""COMPUTED_VALUE"""),"Khối Doanh nghiệp vừa")</f>
        <v>Khối Doanh nghiệp vừa</v>
      </c>
      <c r="K385" s="729"/>
      <c r="L385" s="731" t="str">
        <f>IFERROR(__xludf.DUMMYFUNCTION("""COMPUTED_VALUE"""),"Đang theo dõi")</f>
        <v>Đang theo dõi</v>
      </c>
      <c r="M385" s="731"/>
      <c r="N385" s="728" t="str">
        <f>IFERROR(__xludf.DUMMYFUNCTION("""COMPUTED_VALUE"""),"giữ nguyên")</f>
        <v>giữ nguyên</v>
      </c>
      <c r="O385" s="708"/>
      <c r="P385" s="708"/>
      <c r="Q385" s="708"/>
      <c r="R385" s="708"/>
      <c r="S385" s="708"/>
      <c r="T385" s="708"/>
      <c r="U385" s="708"/>
      <c r="V385" s="708"/>
      <c r="W385" s="708"/>
      <c r="X385" s="708"/>
      <c r="Y385" s="708"/>
      <c r="Z385" s="708"/>
      <c r="AA385" s="708"/>
      <c r="AB385" s="747"/>
      <c r="AC385" s="747"/>
      <c r="AD385" s="747"/>
      <c r="AE385" s="747"/>
    </row>
    <row r="386">
      <c r="A386" s="727">
        <f>IFERROR(__xludf.DUMMYFUNCTION("""COMPUTED_VALUE"""),344.0)</f>
        <v>344</v>
      </c>
      <c r="B386" s="731" t="str">
        <f>IFERROR(__xludf.DUMMYFUNCTION("""COMPUTED_VALUE"""),"MB_ONB_ACT")</f>
        <v>MB_ONB_ACT</v>
      </c>
      <c r="C386" s="731" t="str">
        <f>IFERROR(__xludf.DUMMYFUNCTION("""COMPUTED_VALUE"""),"MB_ONB_ACT")</f>
        <v>MB_ONB_ACT</v>
      </c>
      <c r="D386" s="731" t="str">
        <f>IFERROR(__xludf.DUMMYFUNCTION("""COMPUTED_VALUE"""),"NV chuyển giao")</f>
        <v>NV chuyển giao</v>
      </c>
      <c r="E386" s="731" t="str">
        <f>IFERROR(__xludf.DUMMYFUNCTION("""COMPUTED_VALUE"""),"ONB")</f>
        <v>ONB</v>
      </c>
      <c r="F386" s="731"/>
      <c r="G386" s="731" t="str">
        <f>IFERROR(__xludf.DUMMYFUNCTION("""COMPUTED_VALUE"""),"DNVUA")</f>
        <v>DNVUA</v>
      </c>
      <c r="H386" s="731" t="str">
        <f>IFERROR(__xludf.DUMMYFUNCTION("""COMPUTED_VALUE"""),"Nhân viên/ Chuyên viên/ Chuyên gia")</f>
        <v>Nhân viên/ Chuyên viên/ Chuyên gia</v>
      </c>
      <c r="I386" s="729" t="str">
        <f>IFERROR(__xludf.DUMMYFUNCTION("""COMPUTED_VALUE"""),"L2.02.03.00.00.00.00")</f>
        <v>L2.02.03.00.00.00.00</v>
      </c>
      <c r="J386" s="731" t="str">
        <f>IFERROR(__xludf.DUMMYFUNCTION("""COMPUTED_VALUE"""),"Khối Doanh nghiệp vừa")</f>
        <v>Khối Doanh nghiệp vừa</v>
      </c>
      <c r="K386" s="729"/>
      <c r="L386" s="731" t="str">
        <f>IFERROR(__xludf.DUMMYFUNCTION("""COMPUTED_VALUE"""),"Đang theo dõi")</f>
        <v>Đang theo dõi</v>
      </c>
      <c r="M386" s="731"/>
      <c r="N386" s="728" t="str">
        <f>IFERROR(__xludf.DUMMYFUNCTION("""COMPUTED_VALUE"""),"giữ nguyên")</f>
        <v>giữ nguyên</v>
      </c>
      <c r="O386" s="732"/>
      <c r="P386" s="732"/>
      <c r="Q386" s="732"/>
      <c r="R386" s="732"/>
      <c r="S386" s="732"/>
      <c r="T386" s="732"/>
      <c r="U386" s="732"/>
      <c r="V386" s="732"/>
      <c r="W386" s="732"/>
      <c r="X386" s="732"/>
      <c r="Y386" s="732"/>
      <c r="Z386" s="732"/>
      <c r="AA386" s="732"/>
      <c r="AB386" s="708"/>
      <c r="AC386" s="708"/>
      <c r="AD386" s="708"/>
      <c r="AE386" s="708"/>
    </row>
    <row r="387">
      <c r="A387" s="727">
        <f>IFERROR(__xludf.DUMMYFUNCTION("""COMPUTED_VALUE"""),345.0)</f>
        <v>345</v>
      </c>
      <c r="B387" s="731" t="str">
        <f>IFERROR(__xludf.DUMMYFUNCTION("""COMPUTED_VALUE"""),"MB_ONB_CRM")</f>
        <v>MB_ONB_CRM</v>
      </c>
      <c r="C387" s="731" t="str">
        <f>IFERROR(__xludf.DUMMYFUNCTION("""COMPUTED_VALUE"""),"MB_ONB_CRM")</f>
        <v>MB_ONB_CRM</v>
      </c>
      <c r="D387" s="731" t="str">
        <f>IFERROR(__xludf.DUMMYFUNCTION("""COMPUTED_VALUE"""),"NV chuyển giao")</f>
        <v>NV chuyển giao</v>
      </c>
      <c r="E387" s="731" t="str">
        <f>IFERROR(__xludf.DUMMYFUNCTION("""COMPUTED_VALUE"""),"ONB")</f>
        <v>ONB</v>
      </c>
      <c r="F387" s="731"/>
      <c r="G387" s="731" t="str">
        <f>IFERROR(__xludf.DUMMYFUNCTION("""COMPUTED_VALUE"""),"DNVUA")</f>
        <v>DNVUA</v>
      </c>
      <c r="H387" s="731" t="str">
        <f>IFERROR(__xludf.DUMMYFUNCTION("""COMPUTED_VALUE"""),"Nhân viên/ Chuyên viên/ Chuyên gia")</f>
        <v>Nhân viên/ Chuyên viên/ Chuyên gia</v>
      </c>
      <c r="I387" s="729" t="str">
        <f>IFERROR(__xludf.DUMMYFUNCTION("""COMPUTED_VALUE"""),"L2.02.03.00.00.00.00")</f>
        <v>L2.02.03.00.00.00.00</v>
      </c>
      <c r="J387" s="731" t="str">
        <f>IFERROR(__xludf.DUMMYFUNCTION("""COMPUTED_VALUE"""),"Khối Doanh nghiệp vừa")</f>
        <v>Khối Doanh nghiệp vừa</v>
      </c>
      <c r="K387" s="729"/>
      <c r="L387" s="731" t="str">
        <f>IFERROR(__xludf.DUMMYFUNCTION("""COMPUTED_VALUE"""),"Đang theo dõi")</f>
        <v>Đang theo dõi</v>
      </c>
      <c r="M387" s="731"/>
      <c r="N387" s="728" t="str">
        <f>IFERROR(__xludf.DUMMYFUNCTION("""COMPUTED_VALUE"""),"giữ nguyên")</f>
        <v>giữ nguyên</v>
      </c>
      <c r="O387" s="708"/>
      <c r="P387" s="708"/>
      <c r="Q387" s="708"/>
      <c r="R387" s="708"/>
      <c r="S387" s="708"/>
      <c r="T387" s="708"/>
      <c r="U387" s="708"/>
      <c r="V387" s="708"/>
      <c r="W387" s="708"/>
      <c r="X387" s="708"/>
      <c r="Y387" s="708"/>
      <c r="Z387" s="708"/>
      <c r="AA387" s="708"/>
      <c r="AB387" s="708"/>
      <c r="AC387" s="708"/>
      <c r="AD387" s="708"/>
      <c r="AE387" s="708"/>
    </row>
    <row r="388">
      <c r="A388" s="727">
        <f>IFERROR(__xludf.DUMMYFUNCTION("""COMPUTED_VALUE"""),346.0)</f>
        <v>346</v>
      </c>
      <c r="B388" s="731" t="str">
        <f>IFERROR(__xludf.DUMMYFUNCTION("""COMPUTED_VALUE"""),"MB_ONB_HRM")</f>
        <v>MB_ONB_HRM</v>
      </c>
      <c r="C388" s="731" t="str">
        <f>IFERROR(__xludf.DUMMYFUNCTION("""COMPUTED_VALUE"""),"MB_ONB_HRM")</f>
        <v>MB_ONB_HRM</v>
      </c>
      <c r="D388" s="731" t="str">
        <f>IFERROR(__xludf.DUMMYFUNCTION("""COMPUTED_VALUE"""),"NV chuyển giao")</f>
        <v>NV chuyển giao</v>
      </c>
      <c r="E388" s="731" t="str">
        <f>IFERROR(__xludf.DUMMYFUNCTION("""COMPUTED_VALUE"""),"ONB")</f>
        <v>ONB</v>
      </c>
      <c r="F388" s="731"/>
      <c r="G388" s="731" t="str">
        <f>IFERROR(__xludf.DUMMYFUNCTION("""COMPUTED_VALUE"""),"DNVUA")</f>
        <v>DNVUA</v>
      </c>
      <c r="H388" s="731" t="str">
        <f>IFERROR(__xludf.DUMMYFUNCTION("""COMPUTED_VALUE"""),"Nhân viên/ Chuyên viên/ Chuyên gia")</f>
        <v>Nhân viên/ Chuyên viên/ Chuyên gia</v>
      </c>
      <c r="I388" s="729" t="str">
        <f>IFERROR(__xludf.DUMMYFUNCTION("""COMPUTED_VALUE"""),"L2.02.03.00.00.00.00")</f>
        <v>L2.02.03.00.00.00.00</v>
      </c>
      <c r="J388" s="731" t="str">
        <f>IFERROR(__xludf.DUMMYFUNCTION("""COMPUTED_VALUE"""),"Khối Doanh nghiệp vừa")</f>
        <v>Khối Doanh nghiệp vừa</v>
      </c>
      <c r="K388" s="729"/>
      <c r="L388" s="731" t="str">
        <f>IFERROR(__xludf.DUMMYFUNCTION("""COMPUTED_VALUE"""),"Đang theo dõi")</f>
        <v>Đang theo dõi</v>
      </c>
      <c r="M388" s="731"/>
      <c r="N388" s="728" t="str">
        <f>IFERROR(__xludf.DUMMYFUNCTION("""COMPUTED_VALUE"""),"giữ nguyên")</f>
        <v>giữ nguyên</v>
      </c>
      <c r="O388" s="708"/>
      <c r="P388" s="708"/>
      <c r="Q388" s="708"/>
      <c r="R388" s="708"/>
      <c r="S388" s="708"/>
      <c r="T388" s="708"/>
      <c r="U388" s="708"/>
      <c r="V388" s="708"/>
      <c r="W388" s="708"/>
      <c r="X388" s="708"/>
      <c r="Y388" s="708"/>
      <c r="Z388" s="708"/>
      <c r="AA388" s="708"/>
      <c r="AB388" s="708"/>
      <c r="AC388" s="708"/>
      <c r="AD388" s="708"/>
      <c r="AE388" s="708"/>
    </row>
    <row r="389">
      <c r="A389" s="724">
        <f>IFERROR(__xludf.DUMMYFUNCTION("""COMPUTED_VALUE"""),347.0)</f>
        <v>347</v>
      </c>
      <c r="B389" s="725" t="str">
        <f>IFERROR(__xludf.DUMMYFUNCTION("""COMPUTED_VALUE"""),"MB_ONB_OPS")</f>
        <v>MB_ONB_OPS</v>
      </c>
      <c r="C389" s="725" t="str">
        <f>IFERROR(__xludf.DUMMYFUNCTION("""COMPUTED_VALUE"""),"MB_ONB_OPS")</f>
        <v>MB_ONB_OPS</v>
      </c>
      <c r="D389" s="725" t="str">
        <f>IFERROR(__xludf.DUMMYFUNCTION("""COMPUTED_VALUE"""),"NV chuyển giao")</f>
        <v>NV chuyển giao</v>
      </c>
      <c r="E389" s="725" t="str">
        <f>IFERROR(__xludf.DUMMYFUNCTION("""COMPUTED_VALUE"""),"ONB")</f>
        <v>ONB</v>
      </c>
      <c r="F389" s="725"/>
      <c r="G389" s="725" t="str">
        <f>IFERROR(__xludf.DUMMYFUNCTION("""COMPUTED_VALUE"""),"DNVUA")</f>
        <v>DNVUA</v>
      </c>
      <c r="H389" s="725" t="str">
        <f>IFERROR(__xludf.DUMMYFUNCTION("""COMPUTED_VALUE"""),"Nhân viên/ Chuyên viên/ Chuyên gia")</f>
        <v>Nhân viên/ Chuyên viên/ Chuyên gia</v>
      </c>
      <c r="I389" s="725" t="str">
        <f>IFERROR(__xludf.DUMMYFUNCTION("""COMPUTED_VALUE"""),"L2.02.03.00.00.00.00")</f>
        <v>L2.02.03.00.00.00.00</v>
      </c>
      <c r="J389" s="725" t="str">
        <f>IFERROR(__xludf.DUMMYFUNCTION("""COMPUTED_VALUE"""),"Khối Doanh nghiệp vừa")</f>
        <v>Khối Doanh nghiệp vừa</v>
      </c>
      <c r="K389" s="725"/>
      <c r="L389" s="725" t="str">
        <f>IFERROR(__xludf.DUMMYFUNCTION("""COMPUTED_VALUE"""),"Đang theo dõi")</f>
        <v>Đang theo dõi</v>
      </c>
      <c r="M389" s="725"/>
      <c r="N389" s="729" t="str">
        <f>IFERROR(__xludf.DUMMYFUNCTION("""COMPUTED_VALUE"""),"giữ nguyên")</f>
        <v>giữ nguyên</v>
      </c>
      <c r="O389" s="726"/>
      <c r="P389" s="726"/>
      <c r="Q389" s="726"/>
      <c r="R389" s="726"/>
      <c r="S389" s="726"/>
      <c r="T389" s="726"/>
      <c r="U389" s="726"/>
      <c r="V389" s="726"/>
      <c r="W389" s="726"/>
      <c r="X389" s="726"/>
      <c r="Y389" s="726"/>
      <c r="Z389" s="726"/>
      <c r="AA389" s="726"/>
      <c r="AB389" s="708"/>
      <c r="AC389" s="708"/>
      <c r="AD389" s="708"/>
      <c r="AE389" s="708"/>
    </row>
    <row r="390">
      <c r="A390" s="748">
        <f>IFERROR(__xludf.DUMMYFUNCTION("""COMPUTED_VALUE"""),348.0)</f>
        <v>348</v>
      </c>
      <c r="B390" s="749" t="str">
        <f>IFERROR(__xludf.DUMMYFUNCTION("""COMPUTED_VALUE"""),"MB_ONBM")</f>
        <v>MB_ONBM</v>
      </c>
      <c r="C390" s="749" t="str">
        <f>IFERROR(__xludf.DUMMYFUNCTION("""COMPUTED_VALUE"""),"MB_ONBM")</f>
        <v>MB_ONBM</v>
      </c>
      <c r="D390" s="749" t="str">
        <f>IFERROR(__xludf.DUMMYFUNCTION("""COMPUTED_VALUE"""),"Trưởng phòng chuyển giao")</f>
        <v>Trưởng phòng chuyển giao</v>
      </c>
      <c r="E390" s="749" t="str">
        <f>IFERROR(__xludf.DUMMYFUNCTION("""COMPUTED_VALUE"""),"ONBM")</f>
        <v>ONBM</v>
      </c>
      <c r="F390" s="749">
        <f>IFERROR(__xludf.DUMMYFUNCTION("""COMPUTED_VALUE"""),2.0)</f>
        <v>2</v>
      </c>
      <c r="G390" s="749" t="str">
        <f>IFERROR(__xludf.DUMMYFUNCTION("""COMPUTED_VALUE"""),"DNVUA")</f>
        <v>DNVUA</v>
      </c>
      <c r="H390" s="749" t="str">
        <f>IFERROR(__xludf.DUMMYFUNCTION("""COMPUTED_VALUE"""),"TPP/ Trưởng ban")</f>
        <v>TPP/ Trưởng ban</v>
      </c>
      <c r="I390" s="749" t="str">
        <f>IFERROR(__xludf.DUMMYFUNCTION("""COMPUTED_VALUE"""),"L2.02.03.00.00.00.00")</f>
        <v>L2.02.03.00.00.00.00</v>
      </c>
      <c r="J390" s="749" t="str">
        <f>IFERROR(__xludf.DUMMYFUNCTION("""COMPUTED_VALUE"""),"Khối Doanh nghiệp vừa")</f>
        <v>Khối Doanh nghiệp vừa</v>
      </c>
      <c r="K390" s="749"/>
      <c r="L390" s="749" t="str">
        <f>IFERROR(__xludf.DUMMYFUNCTION("""COMPUTED_VALUE"""),"Đang theo dõi")</f>
        <v>Đang theo dõi</v>
      </c>
      <c r="M390" s="749"/>
      <c r="N390" s="728" t="str">
        <f>IFERROR(__xludf.DUMMYFUNCTION("""COMPUTED_VALUE"""),"giữ nguyên")</f>
        <v>giữ nguyên</v>
      </c>
      <c r="O390" s="747"/>
      <c r="P390" s="747"/>
      <c r="Q390" s="747"/>
      <c r="R390" s="747"/>
      <c r="S390" s="747"/>
      <c r="T390" s="747"/>
      <c r="U390" s="747"/>
      <c r="V390" s="747"/>
      <c r="W390" s="747"/>
      <c r="X390" s="747"/>
      <c r="Y390" s="747"/>
      <c r="Z390" s="747"/>
      <c r="AA390" s="747"/>
      <c r="AB390" s="708"/>
      <c r="AC390" s="708"/>
      <c r="AD390" s="708"/>
      <c r="AE390" s="708"/>
    </row>
    <row r="391">
      <c r="A391" s="727">
        <f>IFERROR(__xludf.DUMMYFUNCTION("""COMPUTED_VALUE"""),349.0)</f>
        <v>349</v>
      </c>
      <c r="B391" s="728" t="str">
        <f>IFERROR(__xludf.DUMMYFUNCTION("""COMPUTED_VALUE"""),"MB_SD")</f>
        <v>MB_SD</v>
      </c>
      <c r="C391" s="728" t="str">
        <f>IFERROR(__xludf.DUMMYFUNCTION("""COMPUTED_VALUE"""),"MB_SD")</f>
        <v>MB_SD</v>
      </c>
      <c r="D391" s="728" t="str">
        <f>IFERROR(__xludf.DUMMYFUNCTION("""COMPUTED_VALUE"""),"Giám đốc TTKD")</f>
        <v>Giám đốc TTKD</v>
      </c>
      <c r="E391" s="729" t="str">
        <f>IFERROR(__xludf.DUMMYFUNCTION("""COMPUTED_VALUE"""),"BOM")</f>
        <v>BOM</v>
      </c>
      <c r="F391" s="728">
        <f>IFERROR(__xludf.DUMMYFUNCTION("""COMPUTED_VALUE"""),3.0)</f>
        <v>3</v>
      </c>
      <c r="G391" s="728" t="str">
        <f>IFERROR(__xludf.DUMMYFUNCTION("""COMPUTED_VALUE"""),"DNVUA")</f>
        <v>DNVUA</v>
      </c>
      <c r="H391" s="728" t="str">
        <f>IFERROR(__xludf.DUMMYFUNCTION("""COMPUTED_VALUE"""),"Ban GĐTTKD/ BGĐ khối DA")</f>
        <v>Ban GĐTTKD/ BGĐ khối DA</v>
      </c>
      <c r="I391" s="728" t="str">
        <f>IFERROR(__xludf.DUMMYFUNCTION("""COMPUTED_VALUE"""),"L2.02.03.00.00.00.00")</f>
        <v>L2.02.03.00.00.00.00</v>
      </c>
      <c r="J391" s="728" t="str">
        <f>IFERROR(__xludf.DUMMYFUNCTION("""COMPUTED_VALUE"""),"Khối Doanh nghiệp vừa")</f>
        <v>Khối Doanh nghiệp vừa</v>
      </c>
      <c r="K391" s="729" t="str">
        <f>IFERROR(__xludf.DUMMYFUNCTION("""COMPUTED_VALUE"""),"03 - BGĐ_KD")</f>
        <v>03 - BGĐ_KD</v>
      </c>
      <c r="L391" s="728" t="str">
        <f>IFERROR(__xludf.DUMMYFUNCTION("""COMPUTED_VALUE"""),"Đang theo dõi")</f>
        <v>Đang theo dõi</v>
      </c>
      <c r="M391" s="729"/>
      <c r="N391" s="728" t="str">
        <f>IFERROR(__xludf.DUMMYFUNCTION("""COMPUTED_VALUE"""),"giữ nguyên")</f>
        <v>giữ nguyên</v>
      </c>
      <c r="O391" s="708"/>
      <c r="P391" s="708"/>
      <c r="Q391" s="708"/>
      <c r="R391" s="708"/>
      <c r="S391" s="708"/>
      <c r="T391" s="708"/>
      <c r="U391" s="708"/>
      <c r="V391" s="708"/>
      <c r="W391" s="708"/>
      <c r="X391" s="708"/>
      <c r="Y391" s="708"/>
      <c r="Z391" s="708"/>
      <c r="AA391" s="708"/>
      <c r="AB391" s="708"/>
      <c r="AC391" s="708"/>
      <c r="AD391" s="708"/>
      <c r="AE391" s="708"/>
    </row>
    <row r="392">
      <c r="A392" s="727">
        <f>IFERROR(__xludf.DUMMYFUNCTION("""COMPUTED_VALUE"""),350.0)</f>
        <v>350</v>
      </c>
      <c r="B392" s="728" t="str">
        <f>IFERROR(__xludf.DUMMYFUNCTION("""COMPUTED_VALUE"""),"MB_SM")</f>
        <v>MB_SM</v>
      </c>
      <c r="C392" s="728" t="str">
        <f>IFERROR(__xludf.DUMMYFUNCTION("""COMPUTED_VALUE"""),"MB_SM")</f>
        <v>MB_SM</v>
      </c>
      <c r="D392" s="728" t="str">
        <f>IFERROR(__xludf.DUMMYFUNCTION("""COMPUTED_VALUE"""),"Quản lý kinh doanh")</f>
        <v>Quản lý kinh doanh</v>
      </c>
      <c r="E392" s="728" t="str">
        <f>IFERROR(__xludf.DUMMYFUNCTION("""COMPUTED_VALUE"""),"SM")</f>
        <v>SM</v>
      </c>
      <c r="F392" s="728">
        <f>IFERROR(__xludf.DUMMYFUNCTION("""COMPUTED_VALUE"""),2.0)</f>
        <v>2</v>
      </c>
      <c r="G392" s="728" t="str">
        <f>IFERROR(__xludf.DUMMYFUNCTION("""COMPUTED_VALUE"""),"DNVUA")</f>
        <v>DNVUA</v>
      </c>
      <c r="H392" s="728" t="str">
        <f>IFERROR(__xludf.DUMMYFUNCTION("""COMPUTED_VALUE"""),"TPP/ Trưởng ban")</f>
        <v>TPP/ Trưởng ban</v>
      </c>
      <c r="I392" s="728" t="str">
        <f>IFERROR(__xludf.DUMMYFUNCTION("""COMPUTED_VALUE"""),"L2.02.03.00.00.00.00")</f>
        <v>L2.02.03.00.00.00.00</v>
      </c>
      <c r="J392" s="728" t="str">
        <f>IFERROR(__xludf.DUMMYFUNCTION("""COMPUTED_VALUE"""),"Khối Doanh nghiệp vừa")</f>
        <v>Khối Doanh nghiệp vừa</v>
      </c>
      <c r="K392" s="729" t="str">
        <f>IFERROR(__xludf.DUMMYFUNCTION("""COMPUTED_VALUE"""),"02 - QL_KD")</f>
        <v>02 - QL_KD</v>
      </c>
      <c r="L392" s="728" t="str">
        <f>IFERROR(__xludf.DUMMYFUNCTION("""COMPUTED_VALUE"""),"Đang theo dõi")</f>
        <v>Đang theo dõi</v>
      </c>
      <c r="M392" s="729"/>
      <c r="N392" s="728" t="str">
        <f>IFERROR(__xludf.DUMMYFUNCTION("""COMPUTED_VALUE"""),"giữ nguyên")</f>
        <v>giữ nguyên</v>
      </c>
      <c r="O392" s="708"/>
      <c r="P392" s="708"/>
      <c r="Q392" s="708"/>
      <c r="R392" s="708"/>
      <c r="S392" s="708"/>
      <c r="T392" s="708"/>
      <c r="U392" s="708"/>
      <c r="V392" s="708"/>
      <c r="W392" s="708"/>
      <c r="X392" s="708"/>
      <c r="Y392" s="708"/>
      <c r="Z392" s="708"/>
      <c r="AA392" s="708"/>
      <c r="AB392" s="708"/>
      <c r="AC392" s="708"/>
      <c r="AD392" s="708"/>
      <c r="AE392" s="708"/>
    </row>
    <row r="393">
      <c r="A393" s="727">
        <f>IFERROR(__xludf.DUMMYFUNCTION("""COMPUTED_VALUE"""),351.0)</f>
        <v>351</v>
      </c>
      <c r="B393" s="728" t="str">
        <f>IFERROR(__xludf.DUMMYFUNCTION("""COMPUTED_VALUE"""),"MB_VSD")</f>
        <v>MB_VSD</v>
      </c>
      <c r="C393" s="728" t="str">
        <f>IFERROR(__xludf.DUMMYFUNCTION("""COMPUTED_VALUE"""),"MB_VSD")</f>
        <v>MB_VSD</v>
      </c>
      <c r="D393" s="728" t="str">
        <f>IFERROR(__xludf.DUMMYFUNCTION("""COMPUTED_VALUE"""),"Phó giám đốc TTKD")</f>
        <v>Phó giám đốc TTKD</v>
      </c>
      <c r="E393" s="728" t="str">
        <f>IFERROR(__xludf.DUMMYFUNCTION("""COMPUTED_VALUE"""),"BOM")</f>
        <v>BOM</v>
      </c>
      <c r="F393" s="728">
        <f>IFERROR(__xludf.DUMMYFUNCTION("""COMPUTED_VALUE"""),3.0)</f>
        <v>3</v>
      </c>
      <c r="G393" s="728" t="str">
        <f>IFERROR(__xludf.DUMMYFUNCTION("""COMPUTED_VALUE"""),"DNVUA")</f>
        <v>DNVUA</v>
      </c>
      <c r="H393" s="728" t="str">
        <f>IFERROR(__xludf.DUMMYFUNCTION("""COMPUTED_VALUE"""),"Ban GĐTTKD/ BGĐ khối DA")</f>
        <v>Ban GĐTTKD/ BGĐ khối DA</v>
      </c>
      <c r="I393" s="728" t="str">
        <f>IFERROR(__xludf.DUMMYFUNCTION("""COMPUTED_VALUE"""),"L2.02.03.00.00.00.00")</f>
        <v>L2.02.03.00.00.00.00</v>
      </c>
      <c r="J393" s="728" t="str">
        <f>IFERROR(__xludf.DUMMYFUNCTION("""COMPUTED_VALUE"""),"Khối Doanh nghiệp vừa")</f>
        <v>Khối Doanh nghiệp vừa</v>
      </c>
      <c r="K393" s="729" t="str">
        <f>IFERROR(__xludf.DUMMYFUNCTION("""COMPUTED_VALUE"""),"03 - BGĐ_KD")</f>
        <v>03 - BGĐ_KD</v>
      </c>
      <c r="L393" s="728" t="str">
        <f>IFERROR(__xludf.DUMMYFUNCTION("""COMPUTED_VALUE"""),"Đang theo dõi")</f>
        <v>Đang theo dõi</v>
      </c>
      <c r="M393" s="729"/>
      <c r="N393" s="728" t="str">
        <f>IFERROR(__xludf.DUMMYFUNCTION("""COMPUTED_VALUE"""),"giữ nguyên")</f>
        <v>giữ nguyên</v>
      </c>
      <c r="O393" s="708"/>
      <c r="P393" s="708"/>
      <c r="Q393" s="708"/>
      <c r="R393" s="708"/>
      <c r="S393" s="708"/>
      <c r="T393" s="708"/>
      <c r="U393" s="708"/>
      <c r="V393" s="708"/>
      <c r="W393" s="708"/>
      <c r="X393" s="708"/>
      <c r="Y393" s="708"/>
      <c r="Z393" s="708"/>
      <c r="AA393" s="708"/>
      <c r="AB393" s="708"/>
      <c r="AC393" s="708"/>
      <c r="AD393" s="708"/>
      <c r="AE393" s="708"/>
    </row>
    <row r="394">
      <c r="A394" s="727">
        <f>IFERROR(__xludf.DUMMYFUNCTION("""COMPUTED_VALUE"""),352.0)</f>
        <v>352</v>
      </c>
      <c r="B394" s="728" t="str">
        <f>IFERROR(__xludf.DUMMYFUNCTION("""COMPUTED_VALUE"""),"MIBI_TROLY")</f>
        <v>MIBI_TROLY</v>
      </c>
      <c r="C394" s="728" t="str">
        <f>IFERROR(__xludf.DUMMYFUNCTION("""COMPUTED_VALUE"""),"MIBI_TROLY")</f>
        <v>MIBI_TROLY</v>
      </c>
      <c r="D394" s="728" t="str">
        <f>IFERROR(__xludf.DUMMYFUNCTION("""COMPUTED_VALUE"""),"Trợ lý")</f>
        <v>Trợ lý</v>
      </c>
      <c r="E394" s="728" t="str">
        <f>IFERROR(__xludf.DUMMYFUNCTION("""COMPUTED_VALUE"""),"BO")</f>
        <v>BO</v>
      </c>
      <c r="F394" s="728"/>
      <c r="G394" s="728" t="str">
        <f>IFERROR(__xludf.DUMMYFUNCTION("""COMPUTED_VALUE"""),"BO")</f>
        <v>BO</v>
      </c>
      <c r="H394" s="728" t="str">
        <f>IFERROR(__xludf.DUMMYFUNCTION("""COMPUTED_VALUE"""),"Nhân viên/ Chuyên viên/ Chuyên gia")</f>
        <v>Nhân viên/ Chuyên viên/ Chuyên gia</v>
      </c>
      <c r="I394" s="728"/>
      <c r="J394" s="728" t="str">
        <f>IFERROR(__xludf.DUMMYFUNCTION("""COMPUTED_VALUE"""),"Viện Đổi mới doanh nghiệp")</f>
        <v>Viện Đổi mới doanh nghiệp</v>
      </c>
      <c r="K394" s="729"/>
      <c r="L394" s="728" t="str">
        <f>IFERROR(__xludf.DUMMYFUNCTION("""COMPUTED_VALUE"""),"Ngừng")</f>
        <v>Ngừng</v>
      </c>
      <c r="M394" s="729"/>
      <c r="N394" s="728" t="str">
        <f>IFERROR(__xludf.DUMMYFUNCTION("""COMPUTED_VALUE"""),"ngừng")</f>
        <v>ngừng</v>
      </c>
      <c r="O394" s="708"/>
      <c r="P394" s="708"/>
      <c r="Q394" s="708"/>
      <c r="R394" s="708"/>
      <c r="S394" s="708"/>
      <c r="T394" s="708"/>
      <c r="U394" s="708"/>
      <c r="V394" s="708"/>
      <c r="W394" s="708"/>
      <c r="X394" s="708"/>
      <c r="Y394" s="708"/>
      <c r="Z394" s="708"/>
      <c r="AA394" s="708"/>
      <c r="AB394" s="708"/>
      <c r="AC394" s="708"/>
      <c r="AD394" s="708"/>
      <c r="AE394" s="708"/>
    </row>
    <row r="395">
      <c r="A395" s="727">
        <f>IFERROR(__xludf.DUMMYFUNCTION("""COMPUTED_VALUE"""),353.0)</f>
        <v>353</v>
      </c>
      <c r="B395" s="728" t="str">
        <f>IFERROR(__xludf.DUMMYFUNCTION("""COMPUTED_VALUE"""),"PF_AMM_ASP")</f>
        <v>PF_AMM_ASP</v>
      </c>
      <c r="C395" s="728" t="str">
        <f>IFERROR(__xludf.DUMMYFUNCTION("""COMPUTED_VALUE"""),"PF_AMM_ASP")</f>
        <v>PF_AMM_ASP</v>
      </c>
      <c r="D395" s="728" t="str">
        <f>IFERROR(__xludf.DUMMYFUNCTION("""COMPUTED_VALUE"""),"Trưởng phòng kinh doanh")</f>
        <v>Trưởng phòng kinh doanh</v>
      </c>
      <c r="E395" s="728"/>
      <c r="F395" s="728"/>
      <c r="G395" s="728" t="str">
        <f>IFERROR(__xludf.DUMMYFUNCTION("""COMPUTED_VALUE"""),"KD_TCT")</f>
        <v>KD_TCT</v>
      </c>
      <c r="H395" s="728" t="str">
        <f>IFERROR(__xludf.DUMMYFUNCTION("""COMPUTED_VALUE"""),"TPP/ Trưởng ban")</f>
        <v>TPP/ Trưởng ban</v>
      </c>
      <c r="I395" s="728"/>
      <c r="J395" s="728" t="str">
        <f>IFERROR(__xludf.DUMMYFUNCTION("""COMPUTED_VALUE"""),"Văn phòng Tổng công ty")</f>
        <v>Văn phòng Tổng công ty</v>
      </c>
      <c r="K395" s="729" t="str">
        <f>IFERROR(__xludf.DUMMYFUNCTION("""COMPUTED_VALUE"""),"02 - QL_KD")</f>
        <v>02 - QL_KD</v>
      </c>
      <c r="L395" s="728" t="str">
        <f>IFERROR(__xludf.DUMMYFUNCTION("""COMPUTED_VALUE"""),"Ngừng")</f>
        <v>Ngừng</v>
      </c>
      <c r="M395" s="729"/>
      <c r="N395" s="728" t="str">
        <f>IFERROR(__xludf.DUMMYFUNCTION("""COMPUTED_VALUE"""),"ngừng")</f>
        <v>ngừng</v>
      </c>
      <c r="O395" s="708"/>
      <c r="P395" s="708"/>
      <c r="Q395" s="708"/>
      <c r="R395" s="708"/>
      <c r="S395" s="708"/>
      <c r="T395" s="708"/>
      <c r="U395" s="708"/>
      <c r="V395" s="708"/>
      <c r="W395" s="708"/>
      <c r="X395" s="708"/>
      <c r="Y395" s="708"/>
      <c r="Z395" s="708"/>
      <c r="AA395" s="708"/>
      <c r="AB395" s="708"/>
      <c r="AC395" s="708"/>
      <c r="AD395" s="708"/>
      <c r="AE395" s="708"/>
    </row>
    <row r="396">
      <c r="A396" s="727">
        <f>IFERROR(__xludf.DUMMYFUNCTION("""COMPUTED_VALUE"""),354.0)</f>
        <v>354</v>
      </c>
      <c r="B396" s="728" t="str">
        <f>IFERROR(__xludf.DUMMYFUNCTION("""COMPUTED_VALUE"""),"SB_A.CSML")</f>
        <v>SB_A.CSML</v>
      </c>
      <c r="C396" s="728" t="str">
        <f>IFERROR(__xludf.DUMMYFUNCTION("""COMPUTED_VALUE"""),"SB_A.CSML")</f>
        <v>SB_A.CSML</v>
      </c>
      <c r="D396" s="728" t="str">
        <f>IFERROR(__xludf.DUMMYFUNCTION("""COMPUTED_VALUE"""),"Q. Trưởng nhóm CSKH")</f>
        <v>Q. Trưởng nhóm CSKH</v>
      </c>
      <c r="E396" s="728" t="str">
        <f>IFERROR(__xludf.DUMMYFUNCTION("""COMPUTED_VALUE"""),"CSML")</f>
        <v>CSML</v>
      </c>
      <c r="F396" s="729">
        <f>IFERROR(__xludf.DUMMYFUNCTION("""COMPUTED_VALUE"""),1.0)</f>
        <v>1</v>
      </c>
      <c r="G396" s="728" t="str">
        <f>IFERROR(__xludf.DUMMYFUNCTION("""COMPUTED_VALUE"""),"CSM")</f>
        <v>CSM</v>
      </c>
      <c r="H396" s="728" t="str">
        <f>IFERROR(__xludf.DUMMYFUNCTION("""COMPUTED_VALUE"""),"Trưởng nhóm/ lead")</f>
        <v>Trưởng nhóm/ lead</v>
      </c>
      <c r="I396" s="728"/>
      <c r="J396" s="728" t="str">
        <f>IFERROR(__xludf.DUMMYFUNCTION("""COMPUTED_VALUE"""),"Công ty cổ phần MISA")</f>
        <v>Công ty cổ phần MISA</v>
      </c>
      <c r="K396" s="729"/>
      <c r="L396" s="728" t="str">
        <f>IFERROR(__xludf.DUMMYFUNCTION("""COMPUTED_VALUE"""),"ngừng")</f>
        <v>ngừng</v>
      </c>
      <c r="M396" s="729" t="str">
        <f>IFERROR(__xludf.DUMMYFUNCTION("""COMPUTED_VALUE"""),"Check")</f>
        <v>Check</v>
      </c>
      <c r="N396" s="728" t="str">
        <f>IFERROR(__xludf.DUMMYFUNCTION("""COMPUTED_VALUE"""),"ngừng")</f>
        <v>ngừng</v>
      </c>
      <c r="O396" s="708"/>
      <c r="P396" s="708"/>
      <c r="Q396" s="708"/>
      <c r="R396" s="708"/>
      <c r="S396" s="708"/>
      <c r="T396" s="708"/>
      <c r="U396" s="708"/>
      <c r="V396" s="708"/>
      <c r="W396" s="708"/>
      <c r="X396" s="708"/>
      <c r="Y396" s="708"/>
      <c r="Z396" s="708"/>
      <c r="AA396" s="708"/>
      <c r="AB396" s="708"/>
      <c r="AC396" s="708"/>
      <c r="AD396" s="708"/>
      <c r="AE396" s="708"/>
    </row>
    <row r="397">
      <c r="A397" s="727">
        <f>IFERROR(__xludf.DUMMYFUNCTION("""COMPUTED_VALUE"""),355.0)</f>
        <v>355</v>
      </c>
      <c r="B397" s="728" t="str">
        <f>IFERROR(__xludf.DUMMYFUNCTION("""COMPUTED_VALUE"""),"SB_A.CSML_ACT")</f>
        <v>SB_A.CSML_ACT</v>
      </c>
      <c r="C397" s="728" t="str">
        <f>IFERROR(__xludf.DUMMYFUNCTION("""COMPUTED_VALUE"""),"SB_A.CSML_ACT")</f>
        <v>SB_A.CSML_ACT</v>
      </c>
      <c r="D397" s="728" t="str">
        <f>IFERROR(__xludf.DUMMYFUNCTION("""COMPUTED_VALUE"""),"Q. Trưởng nhóm CSKH")</f>
        <v>Q. Trưởng nhóm CSKH</v>
      </c>
      <c r="E397" s="728" t="str">
        <f>IFERROR(__xludf.DUMMYFUNCTION("""COMPUTED_VALUE"""),"CSML")</f>
        <v>CSML</v>
      </c>
      <c r="F397" s="729">
        <f>IFERROR(__xludf.DUMMYFUNCTION("""COMPUTED_VALUE"""),1.0)</f>
        <v>1</v>
      </c>
      <c r="G397" s="728" t="str">
        <f>IFERROR(__xludf.DUMMYFUNCTION("""COMPUTED_VALUE"""),"CSM")</f>
        <v>CSM</v>
      </c>
      <c r="H397" s="728" t="str">
        <f>IFERROR(__xludf.DUMMYFUNCTION("""COMPUTED_VALUE"""),"Trưởng nhóm")</f>
        <v>Trưởng nhóm</v>
      </c>
      <c r="I397" s="728"/>
      <c r="J397" s="728" t="str">
        <f>IFERROR(__xludf.DUMMYFUNCTION("""COMPUTED_VALUE"""),"Công ty cổ phần MISA")</f>
        <v>Công ty cổ phần MISA</v>
      </c>
      <c r="K397" s="729"/>
      <c r="L397" s="728" t="str">
        <f>IFERROR(__xludf.DUMMYFUNCTION("""COMPUTED_VALUE"""),"ngừng")</f>
        <v>ngừng</v>
      </c>
      <c r="M397" s="729" t="str">
        <f>IFERROR(__xludf.DUMMYFUNCTION("""COMPUTED_VALUE"""),"Check")</f>
        <v>Check</v>
      </c>
      <c r="N397" s="728" t="str">
        <f>IFERROR(__xludf.DUMMYFUNCTION("""COMPUTED_VALUE"""),"ngừng")</f>
        <v>ngừng</v>
      </c>
      <c r="O397" s="708"/>
      <c r="P397" s="708"/>
      <c r="Q397" s="708"/>
      <c r="R397" s="708"/>
      <c r="S397" s="708"/>
      <c r="T397" s="708"/>
      <c r="U397" s="708"/>
      <c r="V397" s="708"/>
      <c r="W397" s="708"/>
      <c r="X397" s="708"/>
      <c r="Y397" s="708"/>
      <c r="Z397" s="708"/>
      <c r="AA397" s="708"/>
      <c r="AB397" s="708"/>
      <c r="AC397" s="708"/>
      <c r="AD397" s="708"/>
      <c r="AE397" s="708"/>
    </row>
    <row r="398">
      <c r="A398" s="743">
        <f>IFERROR(__xludf.DUMMYFUNCTION("""COMPUTED_VALUE"""),356.0)</f>
        <v>356</v>
      </c>
      <c r="B398" s="729" t="str">
        <f>IFERROR(__xludf.DUMMYFUNCTION("""COMPUTED_VALUE"""),"SB_A.CSML_MEI")</f>
        <v>SB_A.CSML_MEI</v>
      </c>
      <c r="C398" s="729" t="str">
        <f>IFERROR(__xludf.DUMMYFUNCTION("""COMPUTED_VALUE"""),"SB_A.CSML_MEI")</f>
        <v>SB_A.CSML_MEI</v>
      </c>
      <c r="D398" s="729" t="str">
        <f>IFERROR(__xludf.DUMMYFUNCTION("""COMPUTED_VALUE"""),"Q. Trưởng nhóm CSKH")</f>
        <v>Q. Trưởng nhóm CSKH</v>
      </c>
      <c r="E398" s="729" t="str">
        <f>IFERROR(__xludf.DUMMYFUNCTION("""COMPUTED_VALUE"""),"CSML")</f>
        <v>CSML</v>
      </c>
      <c r="F398" s="729">
        <f>IFERROR(__xludf.DUMMYFUNCTION("""COMPUTED_VALUE"""),1.0)</f>
        <v>1</v>
      </c>
      <c r="G398" s="729" t="str">
        <f>IFERROR(__xludf.DUMMYFUNCTION("""COMPUTED_VALUE"""),"CSM")</f>
        <v>CSM</v>
      </c>
      <c r="H398" s="729" t="str">
        <f>IFERROR(__xludf.DUMMYFUNCTION("""COMPUTED_VALUE"""),"Trưởng nhóm")</f>
        <v>Trưởng nhóm</v>
      </c>
      <c r="I398" s="729"/>
      <c r="J398" s="729" t="str">
        <f>IFERROR(__xludf.DUMMYFUNCTION("""COMPUTED_VALUE"""),"Công ty cổ phần MISA")</f>
        <v>Công ty cổ phần MISA</v>
      </c>
      <c r="K398" s="729"/>
      <c r="L398" s="729" t="str">
        <f>IFERROR(__xludf.DUMMYFUNCTION("""COMPUTED_VALUE"""),"ngừng")</f>
        <v>ngừng</v>
      </c>
      <c r="M398" s="729" t="str">
        <f>IFERROR(__xludf.DUMMYFUNCTION("""COMPUTED_VALUE"""),"Check")</f>
        <v>Check</v>
      </c>
      <c r="N398" s="728" t="str">
        <f>IFERROR(__xludf.DUMMYFUNCTION("""COMPUTED_VALUE"""),"ngừng")</f>
        <v>ngừng</v>
      </c>
      <c r="O398" s="708"/>
      <c r="P398" s="708"/>
      <c r="Q398" s="708"/>
      <c r="R398" s="708"/>
      <c r="S398" s="708"/>
      <c r="T398" s="708"/>
      <c r="U398" s="708"/>
      <c r="V398" s="708"/>
      <c r="W398" s="708"/>
      <c r="X398" s="708"/>
      <c r="Y398" s="708"/>
      <c r="Z398" s="708"/>
      <c r="AA398" s="708"/>
      <c r="AB398" s="708"/>
      <c r="AC398" s="708"/>
      <c r="AD398" s="708"/>
      <c r="AE398" s="708"/>
    </row>
    <row r="399">
      <c r="A399" s="727">
        <f>IFERROR(__xludf.DUMMYFUNCTION("""COMPUTED_VALUE"""),357.0)</f>
        <v>357</v>
      </c>
      <c r="B399" s="728" t="str">
        <f>IFERROR(__xludf.DUMMYFUNCTION("""COMPUTED_VALUE"""),"SB_A.CSML_POS")</f>
        <v>SB_A.CSML_POS</v>
      </c>
      <c r="C399" s="728" t="str">
        <f>IFERROR(__xludf.DUMMYFUNCTION("""COMPUTED_VALUE"""),"SB_A.CSML_POS")</f>
        <v>SB_A.CSML_POS</v>
      </c>
      <c r="D399" s="728" t="str">
        <f>IFERROR(__xludf.DUMMYFUNCTION("""COMPUTED_VALUE"""),"Q. Trưởng nhóm CSKH")</f>
        <v>Q. Trưởng nhóm CSKH</v>
      </c>
      <c r="E399" s="728" t="str">
        <f>IFERROR(__xludf.DUMMYFUNCTION("""COMPUTED_VALUE"""),"CSML")</f>
        <v>CSML</v>
      </c>
      <c r="F399" s="728">
        <f>IFERROR(__xludf.DUMMYFUNCTION("""COMPUTED_VALUE"""),1.0)</f>
        <v>1</v>
      </c>
      <c r="G399" s="728" t="str">
        <f>IFERROR(__xludf.DUMMYFUNCTION("""COMPUTED_VALUE"""),"CSM")</f>
        <v>CSM</v>
      </c>
      <c r="H399" s="728" t="str">
        <f>IFERROR(__xludf.DUMMYFUNCTION("""COMPUTED_VALUE"""),"Trưởng nhóm")</f>
        <v>Trưởng nhóm</v>
      </c>
      <c r="I399" s="728"/>
      <c r="J399" s="728" t="str">
        <f>IFERROR(__xludf.DUMMYFUNCTION("""COMPUTED_VALUE"""),"Công ty cổ phần MISA")</f>
        <v>Công ty cổ phần MISA</v>
      </c>
      <c r="K399" s="729"/>
      <c r="L399" s="728" t="str">
        <f>IFERROR(__xludf.DUMMYFUNCTION("""COMPUTED_VALUE"""),"ngừng")</f>
        <v>ngừng</v>
      </c>
      <c r="M399" s="729" t="str">
        <f>IFERROR(__xludf.DUMMYFUNCTION("""COMPUTED_VALUE"""),"Check")</f>
        <v>Check</v>
      </c>
      <c r="N399" s="728" t="str">
        <f>IFERROR(__xludf.DUMMYFUNCTION("""COMPUTED_VALUE"""),"ngừng")</f>
        <v>ngừng</v>
      </c>
      <c r="O399" s="708"/>
      <c r="P399" s="708"/>
      <c r="Q399" s="708"/>
      <c r="R399" s="708"/>
      <c r="S399" s="708"/>
      <c r="T399" s="708"/>
      <c r="U399" s="708"/>
      <c r="V399" s="708"/>
      <c r="W399" s="708"/>
      <c r="X399" s="708"/>
      <c r="Y399" s="708"/>
      <c r="Z399" s="708"/>
      <c r="AA399" s="708"/>
      <c r="AB399" s="708"/>
      <c r="AC399" s="708"/>
      <c r="AD399" s="708"/>
      <c r="AE399" s="708"/>
    </row>
    <row r="400">
      <c r="A400" s="727">
        <f>IFERROR(__xludf.DUMMYFUNCTION("""COMPUTED_VALUE"""),358.0)</f>
        <v>358</v>
      </c>
      <c r="B400" s="728" t="str">
        <f>IFERROR(__xludf.DUMMYFUNCTION("""COMPUTED_VALUE"""),"SB_A.CSMM")</f>
        <v>SB_A.CSMM</v>
      </c>
      <c r="C400" s="728" t="str">
        <f>IFERROR(__xludf.DUMMYFUNCTION("""COMPUTED_VALUE"""),"SB_A.CSMM")</f>
        <v>SB_A.CSMM</v>
      </c>
      <c r="D400" s="728" t="str">
        <f>IFERROR(__xludf.DUMMYFUNCTION("""COMPUTED_VALUE"""),"Q. Trưởng phòng CSKH")</f>
        <v>Q. Trưởng phòng CSKH</v>
      </c>
      <c r="E400" s="728" t="str">
        <f>IFERROR(__xludf.DUMMYFUNCTION("""COMPUTED_VALUE"""),"CSMM")</f>
        <v>CSMM</v>
      </c>
      <c r="F400" s="728">
        <f>IFERROR(__xludf.DUMMYFUNCTION("""COMPUTED_VALUE"""),2.0)</f>
        <v>2</v>
      </c>
      <c r="G400" s="728" t="str">
        <f>IFERROR(__xludf.DUMMYFUNCTION("""COMPUTED_VALUE"""),"CSM")</f>
        <v>CSM</v>
      </c>
      <c r="H400" s="728" t="str">
        <f>IFERROR(__xludf.DUMMYFUNCTION("""COMPUTED_VALUE"""),"TPP/ Trưởng ban")</f>
        <v>TPP/ Trưởng ban</v>
      </c>
      <c r="I400" s="728"/>
      <c r="J400" s="728" t="str">
        <f>IFERROR(__xludf.DUMMYFUNCTION("""COMPUTED_VALUE"""),"Công ty cổ phần MISA")</f>
        <v>Công ty cổ phần MISA</v>
      </c>
      <c r="K400" s="729"/>
      <c r="L400" s="728" t="str">
        <f>IFERROR(__xludf.DUMMYFUNCTION("""COMPUTED_VALUE"""),"ngừng")</f>
        <v>ngừng</v>
      </c>
      <c r="M400" s="729" t="str">
        <f>IFERROR(__xludf.DUMMYFUNCTION("""COMPUTED_VALUE"""),"Check")</f>
        <v>Check</v>
      </c>
      <c r="N400" s="728" t="str">
        <f>IFERROR(__xludf.DUMMYFUNCTION("""COMPUTED_VALUE"""),"ngừng")</f>
        <v>ngừng</v>
      </c>
      <c r="O400" s="708"/>
      <c r="P400" s="708"/>
      <c r="Q400" s="708"/>
      <c r="R400" s="708"/>
      <c r="S400" s="708"/>
      <c r="T400" s="708"/>
      <c r="U400" s="708"/>
      <c r="V400" s="708"/>
      <c r="W400" s="708"/>
      <c r="X400" s="708"/>
      <c r="Y400" s="708"/>
      <c r="Z400" s="708"/>
      <c r="AA400" s="708"/>
      <c r="AB400" s="708"/>
      <c r="AC400" s="708"/>
      <c r="AD400" s="708"/>
      <c r="AE400" s="708"/>
    </row>
    <row r="401">
      <c r="A401" s="727" t="str">
        <f>IFERROR(__xludf.DUMMYFUNCTION("""COMPUTED_VALUE"""),"Khối DN nhỏ")</f>
        <v>Khối DN nhỏ</v>
      </c>
      <c r="B401" s="728"/>
      <c r="C401" s="728"/>
      <c r="D401" s="728"/>
      <c r="E401" s="728"/>
      <c r="F401" s="728"/>
      <c r="G401" s="728"/>
      <c r="H401" s="728"/>
      <c r="I401" s="728"/>
      <c r="J401" s="728"/>
      <c r="K401" s="729"/>
      <c r="L401" s="728"/>
      <c r="M401" s="729"/>
      <c r="N401" s="728"/>
      <c r="O401" s="708"/>
      <c r="P401" s="708"/>
      <c r="Q401" s="708"/>
      <c r="R401" s="708"/>
      <c r="S401" s="708"/>
      <c r="T401" s="708"/>
      <c r="U401" s="708"/>
      <c r="V401" s="708"/>
      <c r="W401" s="708"/>
      <c r="X401" s="708"/>
      <c r="Y401" s="708"/>
      <c r="Z401" s="708"/>
      <c r="AA401" s="708"/>
      <c r="AB401" s="708"/>
      <c r="AC401" s="708"/>
      <c r="AD401" s="708"/>
      <c r="AE401" s="708"/>
    </row>
    <row r="402">
      <c r="A402" s="727" t="str">
        <f>IFERROR(__xludf.DUMMYFUNCTION("""COMPUTED_VALUE"""),"TT chuyển giao")</f>
        <v>TT chuyển giao</v>
      </c>
      <c r="B402" s="728"/>
      <c r="C402" s="728"/>
      <c r="D402" s="728"/>
      <c r="E402" s="728"/>
      <c r="F402" s="728"/>
      <c r="G402" s="728"/>
      <c r="H402" s="728"/>
      <c r="I402" s="728"/>
      <c r="J402" s="728"/>
      <c r="K402" s="729"/>
      <c r="L402" s="728"/>
      <c r="M402" s="729"/>
      <c r="N402" s="728" t="str">
        <f>IFERROR(__xludf.DUMMYFUNCTION("""COMPUTED_VALUE"""),"giữ nguyên")</f>
        <v>giữ nguyên</v>
      </c>
      <c r="O402" s="708"/>
      <c r="P402" s="708"/>
      <c r="Q402" s="708"/>
      <c r="R402" s="708"/>
      <c r="S402" s="708"/>
      <c r="T402" s="708"/>
      <c r="U402" s="708"/>
      <c r="V402" s="708"/>
      <c r="W402" s="708"/>
      <c r="X402" s="708"/>
      <c r="Y402" s="708"/>
      <c r="Z402" s="708"/>
      <c r="AA402" s="708"/>
      <c r="AB402" s="708"/>
      <c r="AC402" s="708"/>
      <c r="AD402" s="708"/>
      <c r="AE402" s="708"/>
    </row>
    <row r="403">
      <c r="A403" s="727">
        <f>IFERROR(__xludf.DUMMYFUNCTION("""COMPUTED_VALUE"""),359.0)</f>
        <v>359</v>
      </c>
      <c r="B403" s="728" t="str">
        <f>IFERROR(__xludf.DUMMYFUNCTION("""COMPUTED_VALUE"""),"SB_A.ONBD")</f>
        <v>SB_A.ONBD</v>
      </c>
      <c r="C403" s="728" t="str">
        <f>IFERROR(__xludf.DUMMYFUNCTION("""COMPUTED_VALUE"""),"SB_A.ONBD")</f>
        <v>SB_A.ONBD</v>
      </c>
      <c r="D403" s="728" t="str">
        <f>IFERROR(__xludf.DUMMYFUNCTION("""COMPUTED_VALUE"""),"Q. Giám đốc trung tâm")</f>
        <v>Q. Giám đốc trung tâm</v>
      </c>
      <c r="E403" s="728"/>
      <c r="F403" s="728">
        <f>IFERROR(__xludf.DUMMYFUNCTION("""COMPUTED_VALUE"""),3.0)</f>
        <v>3</v>
      </c>
      <c r="G403" s="728" t="str">
        <f>IFERROR(__xludf.DUMMYFUNCTION("""COMPUTED_VALUE"""),"ONB")</f>
        <v>ONB</v>
      </c>
      <c r="H403" s="728" t="str">
        <f>IFERROR(__xludf.DUMMYFUNCTION("""COMPUTED_VALUE"""),"Ban GĐTT")</f>
        <v>Ban GĐTT</v>
      </c>
      <c r="I403" s="728" t="str">
        <f>IFERROR(__xludf.DUMMYFUNCTION("""COMPUTED_VALUE"""),"L00")</f>
        <v>L00</v>
      </c>
      <c r="J403" s="728" t="str">
        <f>IFERROR(__xludf.DUMMYFUNCTION("""COMPUTED_VALUE"""),"Công ty cổ phần MISA")</f>
        <v>Công ty cổ phần MISA</v>
      </c>
      <c r="K403" s="729"/>
      <c r="L403" s="728" t="str">
        <f>IFERROR(__xludf.DUMMYFUNCTION("""COMPUTED_VALUE"""),"Đang theo dõi")</f>
        <v>Đang theo dõi</v>
      </c>
      <c r="M403" s="729"/>
      <c r="N403" s="728" t="str">
        <f>IFERROR(__xludf.DUMMYFUNCTION("""COMPUTED_VALUE"""),"giữ nguyên")</f>
        <v>giữ nguyên</v>
      </c>
      <c r="O403" s="708"/>
      <c r="P403" s="708"/>
      <c r="Q403" s="708"/>
      <c r="R403" s="708"/>
      <c r="S403" s="708"/>
      <c r="T403" s="708"/>
      <c r="U403" s="708"/>
      <c r="V403" s="708"/>
      <c r="W403" s="708"/>
      <c r="X403" s="708"/>
      <c r="Y403" s="708"/>
      <c r="Z403" s="708"/>
      <c r="AA403" s="708"/>
      <c r="AB403" s="747"/>
      <c r="AC403" s="747"/>
      <c r="AD403" s="747"/>
      <c r="AE403" s="747"/>
    </row>
    <row r="404">
      <c r="A404" s="742">
        <f>IFERROR(__xludf.DUMMYFUNCTION("""COMPUTED_VALUE"""),360.0)</f>
        <v>360</v>
      </c>
      <c r="B404" s="731" t="str">
        <f>IFERROR(__xludf.DUMMYFUNCTION("""COMPUTED_VALUE"""),"SB_A.ONBL")</f>
        <v>SB_A.ONBL</v>
      </c>
      <c r="C404" s="731" t="str">
        <f>IFERROR(__xludf.DUMMYFUNCTION("""COMPUTED_VALUE"""),"SB_A.ONBL")</f>
        <v>SB_A.ONBL</v>
      </c>
      <c r="D404" s="731" t="str">
        <f>IFERROR(__xludf.DUMMYFUNCTION("""COMPUTED_VALUE"""),"Q. Trưởng nhóm chuyển giao")</f>
        <v>Q. Trưởng nhóm chuyển giao</v>
      </c>
      <c r="E404" s="731" t="str">
        <f>IFERROR(__xludf.DUMMYFUNCTION("""COMPUTED_VALUE"""),"ONBL")</f>
        <v>ONBL</v>
      </c>
      <c r="F404" s="729">
        <f>IFERROR(__xludf.DUMMYFUNCTION("""COMPUTED_VALUE"""),1.0)</f>
        <v>1</v>
      </c>
      <c r="G404" s="731" t="str">
        <f>IFERROR(__xludf.DUMMYFUNCTION("""COMPUTED_VALUE"""),"ONB")</f>
        <v>ONB</v>
      </c>
      <c r="H404" s="731" t="str">
        <f>IFERROR(__xludf.DUMMYFUNCTION("""COMPUTED_VALUE"""),"Trưởng nhóm/ lead")</f>
        <v>Trưởng nhóm/ lead</v>
      </c>
      <c r="I404" s="728" t="str">
        <f>IFERROR(__xludf.DUMMYFUNCTION("""COMPUTED_VALUE"""),"L00")</f>
        <v>L00</v>
      </c>
      <c r="J404" s="731" t="str">
        <f>IFERROR(__xludf.DUMMYFUNCTION("""COMPUTED_VALUE"""),"Công ty cổ phần MISA")</f>
        <v>Công ty cổ phần MISA</v>
      </c>
      <c r="K404" s="731"/>
      <c r="L404" s="731" t="str">
        <f>IFERROR(__xludf.DUMMYFUNCTION("""COMPUTED_VALUE"""),"Đang theo dõi")</f>
        <v>Đang theo dõi</v>
      </c>
      <c r="M404" s="729"/>
      <c r="N404" s="728" t="str">
        <f>IFERROR(__xludf.DUMMYFUNCTION("""COMPUTED_VALUE"""),"giữ nguyên")</f>
        <v>giữ nguyên</v>
      </c>
      <c r="O404" s="708"/>
      <c r="P404" s="708"/>
      <c r="Q404" s="708"/>
      <c r="R404" s="708"/>
      <c r="S404" s="708"/>
      <c r="T404" s="708"/>
      <c r="U404" s="708"/>
      <c r="V404" s="708"/>
      <c r="W404" s="708"/>
      <c r="X404" s="708"/>
      <c r="Y404" s="708"/>
      <c r="Z404" s="708"/>
      <c r="AA404" s="708"/>
      <c r="AB404" s="708"/>
      <c r="AC404" s="708"/>
      <c r="AD404" s="708"/>
      <c r="AE404" s="708"/>
    </row>
    <row r="405">
      <c r="A405" s="742">
        <f>IFERROR(__xludf.DUMMYFUNCTION("""COMPUTED_VALUE"""),361.0)</f>
        <v>361</v>
      </c>
      <c r="B405" s="731" t="str">
        <f>IFERROR(__xludf.DUMMYFUNCTION("""COMPUTED_VALUE"""),"SB_A.ONBL_ACT")</f>
        <v>SB_A.ONBL_ACT</v>
      </c>
      <c r="C405" s="731" t="str">
        <f>IFERROR(__xludf.DUMMYFUNCTION("""COMPUTED_VALUE"""),"SB_A.ONBL_ACT")</f>
        <v>SB_A.ONBL_ACT</v>
      </c>
      <c r="D405" s="731" t="str">
        <f>IFERROR(__xludf.DUMMYFUNCTION("""COMPUTED_VALUE"""),"Q. Trưởng nhóm chuyển giao")</f>
        <v>Q. Trưởng nhóm chuyển giao</v>
      </c>
      <c r="E405" s="731" t="str">
        <f>IFERROR(__xludf.DUMMYFUNCTION("""COMPUTED_VALUE"""),"ONBL")</f>
        <v>ONBL</v>
      </c>
      <c r="F405" s="729">
        <f>IFERROR(__xludf.DUMMYFUNCTION("""COMPUTED_VALUE"""),1.0)</f>
        <v>1</v>
      </c>
      <c r="G405" s="731" t="str">
        <f>IFERROR(__xludf.DUMMYFUNCTION("""COMPUTED_VALUE"""),"ONB")</f>
        <v>ONB</v>
      </c>
      <c r="H405" s="731" t="str">
        <f>IFERROR(__xludf.DUMMYFUNCTION("""COMPUTED_VALUE"""),"Nhân viên/ Chuyên viên/ Chuyên gia")</f>
        <v>Nhân viên/ Chuyên viên/ Chuyên gia</v>
      </c>
      <c r="I405" s="728" t="str">
        <f>IFERROR(__xludf.DUMMYFUNCTION("""COMPUTED_VALUE"""),"L00")</f>
        <v>L00</v>
      </c>
      <c r="J405" s="731" t="str">
        <f>IFERROR(__xludf.DUMMYFUNCTION("""COMPUTED_VALUE"""),"Công ty cổ phần MISA")</f>
        <v>Công ty cổ phần MISA</v>
      </c>
      <c r="K405" s="731"/>
      <c r="L405" s="731" t="str">
        <f>IFERROR(__xludf.DUMMYFUNCTION("""COMPUTED_VALUE"""),"Đang theo dõi")</f>
        <v>Đang theo dõi</v>
      </c>
      <c r="M405" s="729"/>
      <c r="N405" s="728" t="str">
        <f>IFERROR(__xludf.DUMMYFUNCTION("""COMPUTED_VALUE"""),"giữ nguyên")</f>
        <v>giữ nguyên</v>
      </c>
      <c r="O405" s="708"/>
      <c r="P405" s="708"/>
      <c r="Q405" s="708"/>
      <c r="R405" s="708"/>
      <c r="S405" s="708"/>
      <c r="T405" s="708"/>
      <c r="U405" s="708"/>
      <c r="V405" s="708"/>
      <c r="W405" s="708"/>
      <c r="X405" s="708"/>
      <c r="Y405" s="708"/>
      <c r="Z405" s="708"/>
      <c r="AA405" s="708"/>
      <c r="AB405" s="708"/>
      <c r="AC405" s="708"/>
      <c r="AD405" s="708"/>
      <c r="AE405" s="708"/>
    </row>
    <row r="406">
      <c r="A406" s="727">
        <f>IFERROR(__xludf.DUMMYFUNCTION("""COMPUTED_VALUE"""),362.0)</f>
        <v>362</v>
      </c>
      <c r="B406" s="731" t="str">
        <f>IFERROR(__xludf.DUMMYFUNCTION("""COMPUTED_VALUE"""),"SB_A.ONBL_MEI")</f>
        <v>SB_A.ONBL_MEI</v>
      </c>
      <c r="C406" s="731" t="str">
        <f>IFERROR(__xludf.DUMMYFUNCTION("""COMPUTED_VALUE"""),"SB_A.ONBL_MEI")</f>
        <v>SB_A.ONBL_MEI</v>
      </c>
      <c r="D406" s="731" t="str">
        <f>IFERROR(__xludf.DUMMYFUNCTION("""COMPUTED_VALUE"""),"Q. Trưởng nhóm chuyển giao")</f>
        <v>Q. Trưởng nhóm chuyển giao</v>
      </c>
      <c r="E406" s="731" t="str">
        <f>IFERROR(__xludf.DUMMYFUNCTION("""COMPUTED_VALUE"""),"ONBL")</f>
        <v>ONBL</v>
      </c>
      <c r="F406" s="731">
        <f>IFERROR(__xludf.DUMMYFUNCTION("""COMPUTED_VALUE"""),1.0)</f>
        <v>1</v>
      </c>
      <c r="G406" s="731" t="str">
        <f>IFERROR(__xludf.DUMMYFUNCTION("""COMPUTED_VALUE"""),"ONB")</f>
        <v>ONB</v>
      </c>
      <c r="H406" s="731" t="str">
        <f>IFERROR(__xludf.DUMMYFUNCTION("""COMPUTED_VALUE"""),"Trưởng nhóm")</f>
        <v>Trưởng nhóm</v>
      </c>
      <c r="I406" s="728" t="str">
        <f>IFERROR(__xludf.DUMMYFUNCTION("""COMPUTED_VALUE"""),"L00")</f>
        <v>L00</v>
      </c>
      <c r="J406" s="731" t="str">
        <f>IFERROR(__xludf.DUMMYFUNCTION("""COMPUTED_VALUE"""),"Công ty cổ phần MISA")</f>
        <v>Công ty cổ phần MISA</v>
      </c>
      <c r="K406" s="729"/>
      <c r="L406" s="731" t="str">
        <f>IFERROR(__xludf.DUMMYFUNCTION("""COMPUTED_VALUE"""),"Đang theo dõi")</f>
        <v>Đang theo dõi</v>
      </c>
      <c r="M406" s="731"/>
      <c r="N406" s="728" t="str">
        <f>IFERROR(__xludf.DUMMYFUNCTION("""COMPUTED_VALUE"""),"giữ nguyên")</f>
        <v>giữ nguyên</v>
      </c>
      <c r="O406" s="708"/>
      <c r="P406" s="708"/>
      <c r="Q406" s="708"/>
      <c r="R406" s="708"/>
      <c r="S406" s="708"/>
      <c r="T406" s="708"/>
      <c r="U406" s="708"/>
      <c r="V406" s="708"/>
      <c r="W406" s="708"/>
      <c r="X406" s="708"/>
      <c r="Y406" s="708"/>
      <c r="Z406" s="708"/>
      <c r="AA406" s="708"/>
      <c r="AB406" s="708"/>
      <c r="AC406" s="708"/>
      <c r="AD406" s="708"/>
      <c r="AE406" s="708"/>
    </row>
    <row r="407">
      <c r="A407" s="727">
        <f>IFERROR(__xludf.DUMMYFUNCTION("""COMPUTED_VALUE"""),363.0)</f>
        <v>363</v>
      </c>
      <c r="B407" s="731" t="str">
        <f>IFERROR(__xludf.DUMMYFUNCTION("""COMPUTED_VALUE"""),"SB_A.ONBM")</f>
        <v>SB_A.ONBM</v>
      </c>
      <c r="C407" s="731" t="str">
        <f>IFERROR(__xludf.DUMMYFUNCTION("""COMPUTED_VALUE"""),"SB_A.ONBM")</f>
        <v>SB_A.ONBM</v>
      </c>
      <c r="D407" s="731" t="str">
        <f>IFERROR(__xludf.DUMMYFUNCTION("""COMPUTED_VALUE"""),"Q. Trưởng phòng chuyển giao")</f>
        <v>Q. Trưởng phòng chuyển giao</v>
      </c>
      <c r="E407" s="731" t="str">
        <f>IFERROR(__xludf.DUMMYFUNCTION("""COMPUTED_VALUE"""),"ONBM")</f>
        <v>ONBM</v>
      </c>
      <c r="F407" s="731">
        <f>IFERROR(__xludf.DUMMYFUNCTION("""COMPUTED_VALUE"""),2.0)</f>
        <v>2</v>
      </c>
      <c r="G407" s="731" t="str">
        <f>IFERROR(__xludf.DUMMYFUNCTION("""COMPUTED_VALUE"""),"ONB")</f>
        <v>ONB</v>
      </c>
      <c r="H407" s="731" t="str">
        <f>IFERROR(__xludf.DUMMYFUNCTION("""COMPUTED_VALUE"""),"TPP/ Trưởng ban")</f>
        <v>TPP/ Trưởng ban</v>
      </c>
      <c r="I407" s="728" t="str">
        <f>IFERROR(__xludf.DUMMYFUNCTION("""COMPUTED_VALUE"""),"L00")</f>
        <v>L00</v>
      </c>
      <c r="J407" s="731" t="str">
        <f>IFERROR(__xludf.DUMMYFUNCTION("""COMPUTED_VALUE"""),"Công ty cổ phần MISA")</f>
        <v>Công ty cổ phần MISA</v>
      </c>
      <c r="K407" s="729"/>
      <c r="L407" s="731" t="str">
        <f>IFERROR(__xludf.DUMMYFUNCTION("""COMPUTED_VALUE"""),"Đang theo dõi")</f>
        <v>Đang theo dõi</v>
      </c>
      <c r="M407" s="731"/>
      <c r="N407" s="728" t="str">
        <f>IFERROR(__xludf.DUMMYFUNCTION("""COMPUTED_VALUE"""),"giữ nguyên")</f>
        <v>giữ nguyên</v>
      </c>
      <c r="O407" s="708"/>
      <c r="P407" s="708"/>
      <c r="Q407" s="708"/>
      <c r="R407" s="708"/>
      <c r="S407" s="708"/>
      <c r="T407" s="708"/>
      <c r="U407" s="708"/>
      <c r="V407" s="708"/>
      <c r="W407" s="708"/>
      <c r="X407" s="708"/>
      <c r="Y407" s="708"/>
      <c r="Z407" s="708"/>
      <c r="AA407" s="708"/>
      <c r="AB407" s="708"/>
      <c r="AC407" s="708"/>
      <c r="AD407" s="708"/>
      <c r="AE407" s="708"/>
    </row>
    <row r="408">
      <c r="A408" s="748">
        <f>IFERROR(__xludf.DUMMYFUNCTION("""COMPUTED_VALUE"""),424.0)</f>
        <v>424</v>
      </c>
      <c r="B408" s="749" t="str">
        <f>IFERROR(__xludf.DUMMYFUNCTION("""COMPUTED_VALUE"""),"SB_ONB_ACT")</f>
        <v>SB_ONB_ACT</v>
      </c>
      <c r="C408" s="749" t="str">
        <f>IFERROR(__xludf.DUMMYFUNCTION("""COMPUTED_VALUE"""),"SB_ONB_ACT")</f>
        <v>SB_ONB_ACT</v>
      </c>
      <c r="D408" s="749" t="str">
        <f>IFERROR(__xludf.DUMMYFUNCTION("""COMPUTED_VALUE"""),"NV Chuyển giao")</f>
        <v>NV Chuyển giao</v>
      </c>
      <c r="E408" s="749" t="str">
        <f>IFERROR(__xludf.DUMMYFUNCTION("""COMPUTED_VALUE"""),"ONB")</f>
        <v>ONB</v>
      </c>
      <c r="F408" s="749"/>
      <c r="G408" s="749" t="str">
        <f>IFERROR(__xludf.DUMMYFUNCTION("""COMPUTED_VALUE"""),"ONB")</f>
        <v>ONB</v>
      </c>
      <c r="H408" s="749" t="str">
        <f>IFERROR(__xludf.DUMMYFUNCTION("""COMPUTED_VALUE"""),"Nhân viên/ Chuyên viên/ Chuyên gia")</f>
        <v>Nhân viên/ Chuyên viên/ Chuyên gia</v>
      </c>
      <c r="I408" s="749" t="str">
        <f>IFERROR(__xludf.DUMMYFUNCTION("""COMPUTED_VALUE"""),"L00")</f>
        <v>L00</v>
      </c>
      <c r="J408" s="749" t="str">
        <f>IFERROR(__xludf.DUMMYFUNCTION("""COMPUTED_VALUE"""),"Công ty cổ phần MISA")</f>
        <v>Công ty cổ phần MISA</v>
      </c>
      <c r="K408" s="749"/>
      <c r="L408" s="749" t="str">
        <f>IFERROR(__xludf.DUMMYFUNCTION("""COMPUTED_VALUE"""),"Đang theo dõi")</f>
        <v>Đang theo dõi</v>
      </c>
      <c r="M408" s="749"/>
      <c r="N408" s="729" t="str">
        <f>IFERROR(__xludf.DUMMYFUNCTION("""COMPUTED_VALUE"""),"giữ nguyên")</f>
        <v>giữ nguyên</v>
      </c>
      <c r="O408" s="747"/>
      <c r="P408" s="747"/>
      <c r="Q408" s="747"/>
      <c r="R408" s="747"/>
      <c r="S408" s="747"/>
      <c r="T408" s="747"/>
      <c r="U408" s="747"/>
      <c r="V408" s="747"/>
      <c r="W408" s="747"/>
      <c r="X408" s="747"/>
      <c r="Y408" s="747"/>
      <c r="Z408" s="747"/>
      <c r="AA408" s="747"/>
      <c r="AB408" s="708"/>
      <c r="AC408" s="708"/>
      <c r="AD408" s="708"/>
      <c r="AE408" s="708"/>
    </row>
    <row r="409">
      <c r="A409" s="727">
        <f>IFERROR(__xludf.DUMMYFUNCTION("""COMPUTED_VALUE"""),425.0)</f>
        <v>425</v>
      </c>
      <c r="B409" s="738" t="str">
        <f>IFERROR(__xludf.DUMMYFUNCTION("""COMPUTED_VALUE"""),"SB_ONB_MEI")</f>
        <v>SB_ONB_MEI</v>
      </c>
      <c r="C409" s="746" t="str">
        <f>IFERROR(__xludf.DUMMYFUNCTION("""COMPUTED_VALUE"""),"SB_ONB_MEI")</f>
        <v>SB_ONB_MEI</v>
      </c>
      <c r="D409" s="728" t="str">
        <f>IFERROR(__xludf.DUMMYFUNCTION("""COMPUTED_VALUE"""),"NV Chuyển giao")</f>
        <v>NV Chuyển giao</v>
      </c>
      <c r="E409" s="728" t="str">
        <f>IFERROR(__xludf.DUMMYFUNCTION("""COMPUTED_VALUE"""),"ONB")</f>
        <v>ONB</v>
      </c>
      <c r="F409" s="728"/>
      <c r="G409" s="728" t="str">
        <f>IFERROR(__xludf.DUMMYFUNCTION("""COMPUTED_VALUE"""),"ONB")</f>
        <v>ONB</v>
      </c>
      <c r="H409" s="728" t="str">
        <f>IFERROR(__xludf.DUMMYFUNCTION("""COMPUTED_VALUE"""),"Nhân viên/ Chuyên viên/ Chuyên gia")</f>
        <v>Nhân viên/ Chuyên viên/ Chuyên gia</v>
      </c>
      <c r="I409" s="728" t="str">
        <f>IFERROR(__xludf.DUMMYFUNCTION("""COMPUTED_VALUE"""),"L00")</f>
        <v>L00</v>
      </c>
      <c r="J409" s="728" t="str">
        <f>IFERROR(__xludf.DUMMYFUNCTION("""COMPUTED_VALUE"""),"Công ty cổ phần MISA")</f>
        <v>Công ty cổ phần MISA</v>
      </c>
      <c r="K409" s="728"/>
      <c r="L409" s="728" t="str">
        <f>IFERROR(__xludf.DUMMYFUNCTION("""COMPUTED_VALUE"""),"Đang theo dõi")</f>
        <v>Đang theo dõi</v>
      </c>
      <c r="M409" s="729"/>
      <c r="N409" s="728" t="str">
        <f>IFERROR(__xludf.DUMMYFUNCTION("""COMPUTED_VALUE"""),"giữ nguyên")</f>
        <v>giữ nguyên</v>
      </c>
      <c r="O409" s="708"/>
      <c r="P409" s="708"/>
      <c r="Q409" s="708"/>
      <c r="R409" s="708"/>
      <c r="S409" s="708"/>
      <c r="T409" s="708"/>
      <c r="U409" s="708"/>
      <c r="V409" s="708"/>
      <c r="W409" s="708"/>
      <c r="X409" s="708"/>
      <c r="Y409" s="708"/>
      <c r="Z409" s="708"/>
      <c r="AA409" s="708"/>
      <c r="AB409" s="708"/>
      <c r="AC409" s="708"/>
      <c r="AD409" s="708"/>
      <c r="AE409" s="708"/>
    </row>
    <row r="410">
      <c r="A410" s="727"/>
      <c r="B410" s="738"/>
      <c r="C410" s="746"/>
      <c r="D410" s="728"/>
      <c r="E410" s="728"/>
      <c r="F410" s="728"/>
      <c r="G410" s="728"/>
      <c r="H410" s="728"/>
      <c r="I410" s="728"/>
      <c r="J410" s="728"/>
      <c r="K410" s="728"/>
      <c r="L410" s="728"/>
      <c r="M410" s="729"/>
      <c r="N410" s="728" t="str">
        <f>IFERROR(__xludf.DUMMYFUNCTION("""COMPUTED_VALUE"""),"giữ nguyên")</f>
        <v>giữ nguyên</v>
      </c>
      <c r="O410" s="708"/>
      <c r="P410" s="708"/>
      <c r="Q410" s="708"/>
      <c r="R410" s="708"/>
      <c r="S410" s="708"/>
      <c r="T410" s="708"/>
      <c r="U410" s="708"/>
      <c r="V410" s="708"/>
      <c r="W410" s="708"/>
      <c r="X410" s="708"/>
      <c r="Y410" s="708"/>
      <c r="Z410" s="708"/>
      <c r="AA410" s="708"/>
      <c r="AB410" s="708"/>
      <c r="AC410" s="708"/>
      <c r="AD410" s="708"/>
      <c r="AE410" s="708"/>
    </row>
    <row r="411">
      <c r="A411" s="727">
        <f>IFERROR(__xludf.DUMMYFUNCTION("""COMPUTED_VALUE"""),426.0)</f>
        <v>426</v>
      </c>
      <c r="B411" s="728" t="str">
        <f>IFERROR(__xludf.DUMMYFUNCTION("""COMPUTED_VALUE"""),"SB_ONBL")</f>
        <v>SB_ONBL</v>
      </c>
      <c r="C411" s="728" t="str">
        <f>IFERROR(__xludf.DUMMYFUNCTION("""COMPUTED_VALUE"""),"SB_ONBL")</f>
        <v>SB_ONBL</v>
      </c>
      <c r="D411" s="728" t="str">
        <f>IFERROR(__xludf.DUMMYFUNCTION("""COMPUTED_VALUE"""),"Trưởng nhóm chuyển giao")</f>
        <v>Trưởng nhóm chuyển giao</v>
      </c>
      <c r="E411" s="728" t="str">
        <f>IFERROR(__xludf.DUMMYFUNCTION("""COMPUTED_VALUE"""),"ONBL")</f>
        <v>ONBL</v>
      </c>
      <c r="F411" s="728">
        <f>IFERROR(__xludf.DUMMYFUNCTION("""COMPUTED_VALUE"""),1.0)</f>
        <v>1</v>
      </c>
      <c r="G411" s="728" t="str">
        <f>IFERROR(__xludf.DUMMYFUNCTION("""COMPUTED_VALUE"""),"ONB")</f>
        <v>ONB</v>
      </c>
      <c r="H411" s="728" t="str">
        <f>IFERROR(__xludf.DUMMYFUNCTION("""COMPUTED_VALUE"""),"Trưởng nhóm/ lead")</f>
        <v>Trưởng nhóm/ lead</v>
      </c>
      <c r="I411" s="728" t="str">
        <f>IFERROR(__xludf.DUMMYFUNCTION("""COMPUTED_VALUE"""),"L00")</f>
        <v>L00</v>
      </c>
      <c r="J411" s="728" t="str">
        <f>IFERROR(__xludf.DUMMYFUNCTION("""COMPUTED_VALUE"""),"Công ty cổ phần MISA")</f>
        <v>Công ty cổ phần MISA</v>
      </c>
      <c r="K411" s="728"/>
      <c r="L411" s="728" t="str">
        <f>IFERROR(__xludf.DUMMYFUNCTION("""COMPUTED_VALUE"""),"Đang theo dõi")</f>
        <v>Đang theo dõi</v>
      </c>
      <c r="M411" s="729"/>
      <c r="N411" s="728" t="str">
        <f>IFERROR(__xludf.DUMMYFUNCTION("""COMPUTED_VALUE"""),"giữ nguyên")</f>
        <v>giữ nguyên</v>
      </c>
      <c r="O411" s="708"/>
      <c r="P411" s="708"/>
      <c r="Q411" s="708"/>
      <c r="R411" s="708"/>
      <c r="S411" s="708"/>
      <c r="T411" s="708"/>
      <c r="U411" s="708"/>
      <c r="V411" s="708"/>
      <c r="W411" s="708"/>
      <c r="X411" s="708"/>
      <c r="Y411" s="708"/>
      <c r="Z411" s="708"/>
      <c r="AA411" s="708"/>
      <c r="AB411" s="708"/>
      <c r="AC411" s="708"/>
      <c r="AD411" s="708"/>
      <c r="AE411" s="708"/>
    </row>
    <row r="412">
      <c r="A412" s="727">
        <f>IFERROR(__xludf.DUMMYFUNCTION("""COMPUTED_VALUE"""),427.0)</f>
        <v>427</v>
      </c>
      <c r="B412" s="728" t="str">
        <f>IFERROR(__xludf.DUMMYFUNCTION("""COMPUTED_VALUE"""),"SB_ONBL_ACT")</f>
        <v>SB_ONBL_ACT</v>
      </c>
      <c r="C412" s="728" t="str">
        <f>IFERROR(__xludf.DUMMYFUNCTION("""COMPUTED_VALUE"""),"SB_ONBL_ACT")</f>
        <v>SB_ONBL_ACT</v>
      </c>
      <c r="D412" s="728" t="str">
        <f>IFERROR(__xludf.DUMMYFUNCTION("""COMPUTED_VALUE"""),"Trưởng nhóm chuyển giao")</f>
        <v>Trưởng nhóm chuyển giao</v>
      </c>
      <c r="E412" s="728" t="str">
        <f>IFERROR(__xludf.DUMMYFUNCTION("""COMPUTED_VALUE"""),"ONBL")</f>
        <v>ONBL</v>
      </c>
      <c r="F412" s="728">
        <f>IFERROR(__xludf.DUMMYFUNCTION("""COMPUTED_VALUE"""),1.0)</f>
        <v>1</v>
      </c>
      <c r="G412" s="728" t="str">
        <f>IFERROR(__xludf.DUMMYFUNCTION("""COMPUTED_VALUE"""),"ONB")</f>
        <v>ONB</v>
      </c>
      <c r="H412" s="728" t="str">
        <f>IFERROR(__xludf.DUMMYFUNCTION("""COMPUTED_VALUE"""),"Trưởng nhóm")</f>
        <v>Trưởng nhóm</v>
      </c>
      <c r="I412" s="728" t="str">
        <f>IFERROR(__xludf.DUMMYFUNCTION("""COMPUTED_VALUE"""),"L00")</f>
        <v>L00</v>
      </c>
      <c r="J412" s="728" t="str">
        <f>IFERROR(__xludf.DUMMYFUNCTION("""COMPUTED_VALUE"""),"Công ty cổ phần MISA")</f>
        <v>Công ty cổ phần MISA</v>
      </c>
      <c r="K412" s="728"/>
      <c r="L412" s="728" t="str">
        <f>IFERROR(__xludf.DUMMYFUNCTION("""COMPUTED_VALUE"""),"Đang theo dõi")</f>
        <v>Đang theo dõi</v>
      </c>
      <c r="M412" s="729"/>
      <c r="N412" s="728" t="str">
        <f>IFERROR(__xludf.DUMMYFUNCTION("""COMPUTED_VALUE"""),"giữ nguyên")</f>
        <v>giữ nguyên</v>
      </c>
      <c r="O412" s="708"/>
      <c r="P412" s="708"/>
      <c r="Q412" s="708"/>
      <c r="R412" s="708"/>
      <c r="S412" s="708"/>
      <c r="T412" s="708"/>
      <c r="U412" s="708"/>
      <c r="V412" s="708"/>
      <c r="W412" s="708"/>
      <c r="X412" s="708"/>
      <c r="Y412" s="708"/>
      <c r="Z412" s="708"/>
      <c r="AA412" s="708"/>
      <c r="AB412" s="708"/>
      <c r="AC412" s="708"/>
      <c r="AD412" s="708"/>
      <c r="AE412" s="708"/>
    </row>
    <row r="413">
      <c r="A413" s="727">
        <f>IFERROR(__xludf.DUMMYFUNCTION("""COMPUTED_VALUE"""),428.0)</f>
        <v>428</v>
      </c>
      <c r="B413" s="728" t="str">
        <f>IFERROR(__xludf.DUMMYFUNCTION("""COMPUTED_VALUE"""),"SB_ONBL_MEI")</f>
        <v>SB_ONBL_MEI</v>
      </c>
      <c r="C413" s="728" t="str">
        <f>IFERROR(__xludf.DUMMYFUNCTION("""COMPUTED_VALUE"""),"SB_ONBL_MEI")</f>
        <v>SB_ONBL_MEI</v>
      </c>
      <c r="D413" s="728" t="str">
        <f>IFERROR(__xludf.DUMMYFUNCTION("""COMPUTED_VALUE"""),"Trưởng nhóm chuyển giao")</f>
        <v>Trưởng nhóm chuyển giao</v>
      </c>
      <c r="E413" s="728" t="str">
        <f>IFERROR(__xludf.DUMMYFUNCTION("""COMPUTED_VALUE"""),"ONBL")</f>
        <v>ONBL</v>
      </c>
      <c r="F413" s="728">
        <f>IFERROR(__xludf.DUMMYFUNCTION("""COMPUTED_VALUE"""),1.0)</f>
        <v>1</v>
      </c>
      <c r="G413" s="728" t="str">
        <f>IFERROR(__xludf.DUMMYFUNCTION("""COMPUTED_VALUE"""),"ONB")</f>
        <v>ONB</v>
      </c>
      <c r="H413" s="728" t="str">
        <f>IFERROR(__xludf.DUMMYFUNCTION("""COMPUTED_VALUE"""),"Trưởng nhóm")</f>
        <v>Trưởng nhóm</v>
      </c>
      <c r="I413" s="728" t="str">
        <f>IFERROR(__xludf.DUMMYFUNCTION("""COMPUTED_VALUE"""),"L00")</f>
        <v>L00</v>
      </c>
      <c r="J413" s="728" t="str">
        <f>IFERROR(__xludf.DUMMYFUNCTION("""COMPUTED_VALUE"""),"Công ty cổ phần MISA")</f>
        <v>Công ty cổ phần MISA</v>
      </c>
      <c r="K413" s="728"/>
      <c r="L413" s="728" t="str">
        <f>IFERROR(__xludf.DUMMYFUNCTION("""COMPUTED_VALUE"""),"Đang theo dõi")</f>
        <v>Đang theo dõi</v>
      </c>
      <c r="M413" s="729"/>
      <c r="N413" s="728" t="str">
        <f>IFERROR(__xludf.DUMMYFUNCTION("""COMPUTED_VALUE"""),"giữ nguyên")</f>
        <v>giữ nguyên</v>
      </c>
      <c r="O413" s="708"/>
      <c r="P413" s="708"/>
      <c r="Q413" s="708"/>
      <c r="R413" s="708"/>
      <c r="S413" s="708"/>
      <c r="T413" s="708"/>
      <c r="U413" s="708"/>
      <c r="V413" s="708"/>
      <c r="W413" s="708"/>
      <c r="X413" s="708"/>
      <c r="Y413" s="708"/>
      <c r="Z413" s="708"/>
      <c r="AA413" s="708"/>
      <c r="AB413" s="708"/>
      <c r="AC413" s="708"/>
      <c r="AD413" s="708"/>
      <c r="AE413" s="708"/>
    </row>
    <row r="414">
      <c r="A414" s="727">
        <f>IFERROR(__xludf.DUMMYFUNCTION("""COMPUTED_VALUE"""),429.0)</f>
        <v>429</v>
      </c>
      <c r="B414" s="746" t="str">
        <f>IFERROR(__xludf.DUMMYFUNCTION("""COMPUTED_VALUE"""),"SB_ONBL_POS")</f>
        <v>SB_ONBL_POS</v>
      </c>
      <c r="C414" s="728" t="str">
        <f>IFERROR(__xludf.DUMMYFUNCTION("""COMPUTED_VALUE"""),"SB_ONBL_POS")</f>
        <v>SB_ONBL_POS</v>
      </c>
      <c r="D414" s="728" t="str">
        <f>IFERROR(__xludf.DUMMYFUNCTION("""COMPUTED_VALUE"""),"Trưởng nhóm chuyển giao")</f>
        <v>Trưởng nhóm chuyển giao</v>
      </c>
      <c r="E414" s="728" t="str">
        <f>IFERROR(__xludf.DUMMYFUNCTION("""COMPUTED_VALUE"""),"ONBL")</f>
        <v>ONBL</v>
      </c>
      <c r="F414" s="728">
        <f>IFERROR(__xludf.DUMMYFUNCTION("""COMPUTED_VALUE"""),1.0)</f>
        <v>1</v>
      </c>
      <c r="G414" s="728" t="str">
        <f>IFERROR(__xludf.DUMMYFUNCTION("""COMPUTED_VALUE"""),"ONB")</f>
        <v>ONB</v>
      </c>
      <c r="H414" s="728" t="str">
        <f>IFERROR(__xludf.DUMMYFUNCTION("""COMPUTED_VALUE"""),"Trưởng nhóm")</f>
        <v>Trưởng nhóm</v>
      </c>
      <c r="I414" s="728" t="str">
        <f>IFERROR(__xludf.DUMMYFUNCTION("""COMPUTED_VALUE"""),"L00")</f>
        <v>L00</v>
      </c>
      <c r="J414" s="728" t="str">
        <f>IFERROR(__xludf.DUMMYFUNCTION("""COMPUTED_VALUE"""),"Công ty cổ phần MISA")</f>
        <v>Công ty cổ phần MISA</v>
      </c>
      <c r="K414" s="728"/>
      <c r="L414" s="728" t="str">
        <f>IFERROR(__xludf.DUMMYFUNCTION("""COMPUTED_VALUE"""),"ngừng")</f>
        <v>ngừng</v>
      </c>
      <c r="M414" s="729"/>
      <c r="N414" s="728" t="str">
        <f>IFERROR(__xludf.DUMMYFUNCTION("""COMPUTED_VALUE"""),"giữ nguyên")</f>
        <v>giữ nguyên</v>
      </c>
      <c r="O414" s="708"/>
      <c r="P414" s="708"/>
      <c r="Q414" s="708"/>
      <c r="R414" s="708"/>
      <c r="S414" s="708"/>
      <c r="T414" s="708"/>
      <c r="U414" s="708"/>
      <c r="V414" s="708"/>
      <c r="W414" s="708"/>
      <c r="X414" s="708"/>
      <c r="Y414" s="708"/>
      <c r="Z414" s="708"/>
      <c r="AA414" s="708"/>
      <c r="AB414" s="708"/>
      <c r="AC414" s="708"/>
      <c r="AD414" s="708"/>
      <c r="AE414" s="708"/>
    </row>
    <row r="415">
      <c r="A415" s="727">
        <f>IFERROR(__xludf.DUMMYFUNCTION("""COMPUTED_VALUE"""),430.0)</f>
        <v>430</v>
      </c>
      <c r="B415" s="728" t="str">
        <f>IFERROR(__xludf.DUMMYFUNCTION("""COMPUTED_VALUE"""),"SB_ONBM")</f>
        <v>SB_ONBM</v>
      </c>
      <c r="C415" s="728" t="str">
        <f>IFERROR(__xludf.DUMMYFUNCTION("""COMPUTED_VALUE"""),"SB_ONBM")</f>
        <v>SB_ONBM</v>
      </c>
      <c r="D415" s="728" t="str">
        <f>IFERROR(__xludf.DUMMYFUNCTION("""COMPUTED_VALUE"""),"Trưởng phòng chuyển giao")</f>
        <v>Trưởng phòng chuyển giao</v>
      </c>
      <c r="E415" s="728" t="str">
        <f>IFERROR(__xludf.DUMMYFUNCTION("""COMPUTED_VALUE"""),"ONBM")</f>
        <v>ONBM</v>
      </c>
      <c r="F415" s="728">
        <f>IFERROR(__xludf.DUMMYFUNCTION("""COMPUTED_VALUE"""),2.0)</f>
        <v>2</v>
      </c>
      <c r="G415" s="728" t="str">
        <f>IFERROR(__xludf.DUMMYFUNCTION("""COMPUTED_VALUE"""),"ONB")</f>
        <v>ONB</v>
      </c>
      <c r="H415" s="728" t="str">
        <f>IFERROR(__xludf.DUMMYFUNCTION("""COMPUTED_VALUE"""),"TPP/ Trưởng ban")</f>
        <v>TPP/ Trưởng ban</v>
      </c>
      <c r="I415" s="728" t="str">
        <f>IFERROR(__xludf.DUMMYFUNCTION("""COMPUTED_VALUE"""),"L00")</f>
        <v>L00</v>
      </c>
      <c r="J415" s="728" t="str">
        <f>IFERROR(__xludf.DUMMYFUNCTION("""COMPUTED_VALUE"""),"Công ty cổ phần MISA")</f>
        <v>Công ty cổ phần MISA</v>
      </c>
      <c r="K415" s="728"/>
      <c r="L415" s="728" t="str">
        <f>IFERROR(__xludf.DUMMYFUNCTION("""COMPUTED_VALUE"""),"Đang theo dõi")</f>
        <v>Đang theo dõi</v>
      </c>
      <c r="M415" s="729"/>
      <c r="N415" s="728" t="str">
        <f>IFERROR(__xludf.DUMMYFUNCTION("""COMPUTED_VALUE"""),"giữ nguyên")</f>
        <v>giữ nguyên</v>
      </c>
      <c r="O415" s="708"/>
      <c r="P415" s="708"/>
      <c r="Q415" s="708"/>
      <c r="R415" s="708"/>
      <c r="S415" s="708"/>
      <c r="T415" s="708"/>
      <c r="U415" s="708"/>
      <c r="V415" s="708"/>
      <c r="W415" s="708"/>
      <c r="X415" s="708"/>
      <c r="Y415" s="708"/>
      <c r="Z415" s="708"/>
      <c r="AA415" s="708"/>
      <c r="AB415" s="708"/>
      <c r="AC415" s="708"/>
      <c r="AD415" s="708"/>
      <c r="AE415" s="708"/>
    </row>
    <row r="416">
      <c r="A416" s="727">
        <f>IFERROR(__xludf.DUMMYFUNCTION("""COMPUTED_VALUE"""),364.0)</f>
        <v>364</v>
      </c>
      <c r="B416" s="728" t="str">
        <f>IFERROR(__xludf.DUMMYFUNCTION("""COMPUTED_VALUE"""),"SB_AE_AIM")</f>
        <v>SB_AE_AIM</v>
      </c>
      <c r="C416" s="728" t="str">
        <f>IFERROR(__xludf.DUMMYFUNCTION("""COMPUTED_VALUE"""),"SB_AE_AIM")</f>
        <v>SB_AE_AIM</v>
      </c>
      <c r="D416" s="728" t="str">
        <f>IFERROR(__xludf.DUMMYFUNCTION("""COMPUTED_VALUE"""),"NV Tư vấn bán hàng")</f>
        <v>NV Tư vấn bán hàng</v>
      </c>
      <c r="E416" s="728" t="str">
        <f>IFERROR(__xludf.DUMMYFUNCTION("""COMPUTED_VALUE"""),"AE")</f>
        <v>AE</v>
      </c>
      <c r="F416" s="728"/>
      <c r="G416" s="728" t="str">
        <f>IFERROR(__xludf.DUMMYFUNCTION("""COMPUTED_VALUE"""),"KD_TCT")</f>
        <v>KD_TCT</v>
      </c>
      <c r="H416" s="728" t="str">
        <f>IFERROR(__xludf.DUMMYFUNCTION("""COMPUTED_VALUE"""),"Nhân viên/ Chuyên viên/ Chuyên gia")</f>
        <v>Nhân viên/ Chuyên viên/ Chuyên gia</v>
      </c>
      <c r="I416" s="728" t="str">
        <f>IFERROR(__xludf.DUMMYFUNCTION("""COMPUTED_VALUE"""),"L00")</f>
        <v>L00</v>
      </c>
      <c r="J416" s="728" t="str">
        <f>IFERROR(__xludf.DUMMYFUNCTION("""COMPUTED_VALUE"""),"Công ty cổ phần MISA")</f>
        <v>Công ty cổ phần MISA</v>
      </c>
      <c r="K416" s="728" t="str">
        <f>IFERROR(__xludf.DUMMYFUNCTION("""COMPUTED_VALUE"""),"01 - NV_KD")</f>
        <v>01 - NV_KD</v>
      </c>
      <c r="L416" s="728" t="str">
        <f>IFERROR(__xludf.DUMMYFUNCTION("""COMPUTED_VALUE"""),"ngừng")</f>
        <v>ngừng</v>
      </c>
      <c r="M416" s="729"/>
      <c r="N416" s="728" t="str">
        <f>IFERROR(__xludf.DUMMYFUNCTION("""COMPUTED_VALUE"""),"ngừng")</f>
        <v>ngừng</v>
      </c>
      <c r="O416" s="708"/>
      <c r="P416" s="708"/>
      <c r="Q416" s="708"/>
      <c r="R416" s="708"/>
      <c r="S416" s="708"/>
      <c r="T416" s="708"/>
      <c r="U416" s="708"/>
      <c r="V416" s="708"/>
      <c r="W416" s="708"/>
      <c r="X416" s="708"/>
      <c r="Y416" s="708"/>
      <c r="Z416" s="708"/>
      <c r="AA416" s="708"/>
      <c r="AB416" s="708"/>
      <c r="AC416" s="708"/>
      <c r="AD416" s="708"/>
      <c r="AE416" s="708"/>
    </row>
    <row r="417">
      <c r="A417" s="727">
        <f>IFERROR(__xludf.DUMMYFUNCTION("""COMPUTED_VALUE"""),365.0)</f>
        <v>365</v>
      </c>
      <c r="B417" s="728" t="str">
        <f>IFERROR(__xludf.DUMMYFUNCTION("""COMPUTED_VALUE"""),"SB_AE_ASP")</f>
        <v>SB_AE_ASP</v>
      </c>
      <c r="C417" s="728" t="str">
        <f>IFERROR(__xludf.DUMMYFUNCTION("""COMPUTED_VALUE"""),"SB_AE_ASP")</f>
        <v>SB_AE_ASP</v>
      </c>
      <c r="D417" s="728" t="str">
        <f>IFERROR(__xludf.DUMMYFUNCTION("""COMPUTED_VALUE"""),"NV Tư vấn bán hàng")</f>
        <v>NV Tư vấn bán hàng</v>
      </c>
      <c r="E417" s="728" t="str">
        <f>IFERROR(__xludf.DUMMYFUNCTION("""COMPUTED_VALUE"""),"AE")</f>
        <v>AE</v>
      </c>
      <c r="F417" s="728"/>
      <c r="G417" s="728" t="str">
        <f>IFERROR(__xludf.DUMMYFUNCTION("""COMPUTED_VALUE"""),"KD_TCT")</f>
        <v>KD_TCT</v>
      </c>
      <c r="H417" s="728" t="str">
        <f>IFERROR(__xludf.DUMMYFUNCTION("""COMPUTED_VALUE"""),"Nhân viên/ Chuyên viên/ Chuyên gia")</f>
        <v>Nhân viên/ Chuyên viên/ Chuyên gia</v>
      </c>
      <c r="I417" s="728" t="str">
        <f>IFERROR(__xludf.DUMMYFUNCTION("""COMPUTED_VALUE"""),"L00")</f>
        <v>L00</v>
      </c>
      <c r="J417" s="728" t="str">
        <f>IFERROR(__xludf.DUMMYFUNCTION("""COMPUTED_VALUE"""),"Công ty cổ phần MISA")</f>
        <v>Công ty cổ phần MISA</v>
      </c>
      <c r="K417" s="728" t="str">
        <f>IFERROR(__xludf.DUMMYFUNCTION("""COMPUTED_VALUE"""),"01 - NV_KD")</f>
        <v>01 - NV_KD</v>
      </c>
      <c r="L417" s="728" t="str">
        <f>IFERROR(__xludf.DUMMYFUNCTION("""COMPUTED_VALUE"""),"ngừng")</f>
        <v>ngừng</v>
      </c>
      <c r="M417" s="729"/>
      <c r="N417" s="728" t="str">
        <f>IFERROR(__xludf.DUMMYFUNCTION("""COMPUTED_VALUE"""),"ngừng")</f>
        <v>ngừng</v>
      </c>
      <c r="O417" s="708"/>
      <c r="P417" s="708"/>
      <c r="Q417" s="708"/>
      <c r="R417" s="708"/>
      <c r="S417" s="708"/>
      <c r="T417" s="708"/>
      <c r="U417" s="708"/>
      <c r="V417" s="708"/>
      <c r="W417" s="708"/>
      <c r="X417" s="708"/>
      <c r="Y417" s="708"/>
      <c r="Z417" s="708"/>
      <c r="AA417" s="708"/>
      <c r="AB417" s="708"/>
      <c r="AC417" s="708"/>
      <c r="AD417" s="708"/>
      <c r="AE417" s="708"/>
    </row>
    <row r="418">
      <c r="A418" s="727">
        <f>IFERROR(__xludf.DUMMYFUNCTION("""COMPUTED_VALUE"""),366.0)</f>
        <v>366</v>
      </c>
      <c r="B418" s="728" t="str">
        <f>IFERROR(__xludf.DUMMYFUNCTION("""COMPUTED_VALUE"""),"SB_CMSL_ACT")</f>
        <v>SB_CMSL_ACT</v>
      </c>
      <c r="C418" s="728" t="str">
        <f>IFERROR(__xludf.DUMMYFUNCTION("""COMPUTED_VALUE"""),"SB_CMSL_ACT")</f>
        <v>SB_CMSL_ACT</v>
      </c>
      <c r="D418" s="728" t="str">
        <f>IFERROR(__xludf.DUMMYFUNCTION("""COMPUTED_VALUE"""),"Trưởng nhóm CSKH")</f>
        <v>Trưởng nhóm CSKH</v>
      </c>
      <c r="E418" s="728" t="str">
        <f>IFERROR(__xludf.DUMMYFUNCTION("""COMPUTED_VALUE"""),"CSML")</f>
        <v>CSML</v>
      </c>
      <c r="F418" s="729">
        <f>IFERROR(__xludf.DUMMYFUNCTION("""COMPUTED_VALUE"""),1.0)</f>
        <v>1</v>
      </c>
      <c r="G418" s="728" t="str">
        <f>IFERROR(__xludf.DUMMYFUNCTION("""COMPUTED_VALUE"""),"CSM")</f>
        <v>CSM</v>
      </c>
      <c r="H418" s="728" t="str">
        <f>IFERROR(__xludf.DUMMYFUNCTION("""COMPUTED_VALUE"""),"Trưởng nhóm")</f>
        <v>Trưởng nhóm</v>
      </c>
      <c r="I418" s="728" t="str">
        <f>IFERROR(__xludf.DUMMYFUNCTION("""COMPUTED_VALUE"""),"L00")</f>
        <v>L00</v>
      </c>
      <c r="J418" s="728" t="str">
        <f>IFERROR(__xludf.DUMMYFUNCTION("""COMPUTED_VALUE"""),"Công ty cổ phần MISA")</f>
        <v>Công ty cổ phần MISA</v>
      </c>
      <c r="K418" s="728"/>
      <c r="L418" s="728" t="str">
        <f>IFERROR(__xludf.DUMMYFUNCTION("""COMPUTED_VALUE"""),"ngừng")</f>
        <v>ngừng</v>
      </c>
      <c r="M418" s="729" t="str">
        <f>IFERROR(__xludf.DUMMYFUNCTION("""COMPUTED_VALUE"""),"CHECK")</f>
        <v>CHECK</v>
      </c>
      <c r="N418" s="728" t="str">
        <f>IFERROR(__xludf.DUMMYFUNCTION("""COMPUTED_VALUE"""),"ngừng")</f>
        <v>ngừng</v>
      </c>
      <c r="O418" s="708"/>
      <c r="P418" s="708"/>
      <c r="Q418" s="708"/>
      <c r="R418" s="708"/>
      <c r="S418" s="708"/>
      <c r="T418" s="708"/>
      <c r="U418" s="708"/>
      <c r="V418" s="708"/>
      <c r="W418" s="708"/>
      <c r="X418" s="708"/>
      <c r="Y418" s="708"/>
      <c r="Z418" s="708"/>
      <c r="AA418" s="708"/>
      <c r="AB418" s="708"/>
      <c r="AC418" s="708"/>
      <c r="AD418" s="708"/>
      <c r="AE418" s="708"/>
    </row>
    <row r="419">
      <c r="A419" s="727">
        <f>IFERROR(__xludf.DUMMYFUNCTION("""COMPUTED_VALUE"""),367.0)</f>
        <v>367</v>
      </c>
      <c r="B419" s="728" t="str">
        <f>IFERROR(__xludf.DUMMYFUNCTION("""COMPUTED_VALUE"""),"SB_CMSL_MEI")</f>
        <v>SB_CMSL_MEI</v>
      </c>
      <c r="C419" s="728" t="str">
        <f>IFERROR(__xludf.DUMMYFUNCTION("""COMPUTED_VALUE"""),"SB_CMSL_MEI")</f>
        <v>SB_CMSL_MEI</v>
      </c>
      <c r="D419" s="728" t="str">
        <f>IFERROR(__xludf.DUMMYFUNCTION("""COMPUTED_VALUE"""),"Trưởng nhóm CSKH")</f>
        <v>Trưởng nhóm CSKH</v>
      </c>
      <c r="E419" s="728" t="str">
        <f>IFERROR(__xludf.DUMMYFUNCTION("""COMPUTED_VALUE"""),"CSML")</f>
        <v>CSML</v>
      </c>
      <c r="F419" s="729">
        <f>IFERROR(__xludf.DUMMYFUNCTION("""COMPUTED_VALUE"""),1.0)</f>
        <v>1</v>
      </c>
      <c r="G419" s="728" t="str">
        <f>IFERROR(__xludf.DUMMYFUNCTION("""COMPUTED_VALUE"""),"CSM")</f>
        <v>CSM</v>
      </c>
      <c r="H419" s="728" t="str">
        <f>IFERROR(__xludf.DUMMYFUNCTION("""COMPUTED_VALUE"""),"Trưởng nhóm")</f>
        <v>Trưởng nhóm</v>
      </c>
      <c r="I419" s="728" t="str">
        <f>IFERROR(__xludf.DUMMYFUNCTION("""COMPUTED_VALUE"""),"L00")</f>
        <v>L00</v>
      </c>
      <c r="J419" s="728" t="str">
        <f>IFERROR(__xludf.DUMMYFUNCTION("""COMPUTED_VALUE"""),"Công ty cổ phần MISA")</f>
        <v>Công ty cổ phần MISA</v>
      </c>
      <c r="K419" s="728"/>
      <c r="L419" s="728" t="str">
        <f>IFERROR(__xludf.DUMMYFUNCTION("""COMPUTED_VALUE"""),"ngừng")</f>
        <v>ngừng</v>
      </c>
      <c r="M419" s="729" t="str">
        <f>IFERROR(__xludf.DUMMYFUNCTION("""COMPUTED_VALUE"""),"CHECK")</f>
        <v>CHECK</v>
      </c>
      <c r="N419" s="728" t="str">
        <f>IFERROR(__xludf.DUMMYFUNCTION("""COMPUTED_VALUE"""),"ngừng")</f>
        <v>ngừng</v>
      </c>
      <c r="O419" s="708"/>
      <c r="P419" s="708"/>
      <c r="Q419" s="708"/>
      <c r="R419" s="708"/>
      <c r="S419" s="708"/>
      <c r="T419" s="708"/>
      <c r="U419" s="708"/>
      <c r="V419" s="708"/>
      <c r="W419" s="708"/>
      <c r="X419" s="708"/>
      <c r="Y419" s="708"/>
      <c r="Z419" s="708"/>
      <c r="AA419" s="708"/>
      <c r="AB419" s="708"/>
      <c r="AC419" s="708"/>
      <c r="AD419" s="708"/>
      <c r="AE419" s="708"/>
    </row>
    <row r="420">
      <c r="A420" s="727" t="str">
        <f>IFERROR(__xludf.DUMMYFUNCTION("""COMPUTED_VALUE"""),"TTKD bán thêm")</f>
        <v>TTKD bán thêm</v>
      </c>
      <c r="B420" s="728"/>
      <c r="C420" s="728"/>
      <c r="D420" s="728"/>
      <c r="E420" s="728"/>
      <c r="F420" s="729"/>
      <c r="G420" s="728"/>
      <c r="H420" s="728"/>
      <c r="I420" s="728"/>
      <c r="J420" s="728"/>
      <c r="K420" s="728"/>
      <c r="L420" s="728"/>
      <c r="M420" s="729"/>
      <c r="N420" s="728"/>
      <c r="O420" s="708"/>
      <c r="P420" s="708"/>
      <c r="Q420" s="708"/>
      <c r="R420" s="708"/>
      <c r="S420" s="708"/>
      <c r="T420" s="708"/>
      <c r="U420" s="708"/>
      <c r="V420" s="708"/>
      <c r="W420" s="708"/>
      <c r="X420" s="708"/>
      <c r="Y420" s="708"/>
      <c r="Z420" s="708"/>
      <c r="AA420" s="708"/>
      <c r="AB420" s="708"/>
      <c r="AC420" s="708"/>
      <c r="AD420" s="708"/>
      <c r="AE420" s="708"/>
    </row>
    <row r="421">
      <c r="A421" s="727">
        <f>IFERROR(__xludf.DUMMYFUNCTION("""COMPUTED_VALUE"""),368.0)</f>
        <v>368</v>
      </c>
      <c r="B421" s="738" t="str">
        <f>IFERROR(__xludf.DUMMYFUNCTION("""COMPUTED_VALUE"""),"SB_CS_A.SD")</f>
        <v>SB_CS_A.SD</v>
      </c>
      <c r="C421" s="738" t="str">
        <f>IFERROR(__xludf.DUMMYFUNCTION("""COMPUTED_VALUE"""),"SB_CS_A.SD")</f>
        <v>SB_CS_A.SD</v>
      </c>
      <c r="D421" s="728" t="str">
        <f>IFERROR(__xludf.DUMMYFUNCTION("""COMPUTED_VALUE"""),"Q. Giám đốc TTKD")</f>
        <v>Q. Giám đốc TTKD</v>
      </c>
      <c r="E421" s="728" t="str">
        <f>IFERROR(__xludf.DUMMYFUNCTION("""COMPUTED_VALUE"""),"BOM")</f>
        <v>BOM</v>
      </c>
      <c r="F421" s="729">
        <f>IFERROR(__xludf.DUMMYFUNCTION("""COMPUTED_VALUE"""),3.0)</f>
        <v>3</v>
      </c>
      <c r="G421" s="728" t="str">
        <f>IFERROR(__xludf.DUMMYFUNCTION("""COMPUTED_VALUE"""),"BANTHEM")</f>
        <v>BANTHEM</v>
      </c>
      <c r="H421" s="728" t="str">
        <f>IFERROR(__xludf.DUMMYFUNCTION("""COMPUTED_VALUE"""),"Ban GĐTTKD/ BGĐ khối DA")</f>
        <v>Ban GĐTTKD/ BGĐ khối DA</v>
      </c>
      <c r="I421" s="728" t="str">
        <f>IFERROR(__xludf.DUMMYFUNCTION("""COMPUTED_VALUE"""),"L00")</f>
        <v>L00</v>
      </c>
      <c r="J421" s="728" t="str">
        <f>IFERROR(__xludf.DUMMYFUNCTION("""COMPUTED_VALUE"""),"Công ty cổ phần MISA")</f>
        <v>Công ty cổ phần MISA</v>
      </c>
      <c r="K421" s="728" t="str">
        <f>IFERROR(__xludf.DUMMYFUNCTION("""COMPUTED_VALUE"""),"03 - BGĐ_KD")</f>
        <v>03 - BGĐ_KD</v>
      </c>
      <c r="L421" s="728" t="str">
        <f>IFERROR(__xludf.DUMMYFUNCTION("""COMPUTED_VALUE"""),"Đang theo dõi")</f>
        <v>Đang theo dõi</v>
      </c>
      <c r="M421" s="729"/>
      <c r="N421" s="728" t="str">
        <f>IFERROR(__xludf.DUMMYFUNCTION("""COMPUTED_VALUE"""),"giữ nguyên")</f>
        <v>giữ nguyên</v>
      </c>
      <c r="O421" s="708"/>
      <c r="P421" s="708"/>
      <c r="Q421" s="708"/>
      <c r="R421" s="708"/>
      <c r="S421" s="708"/>
      <c r="T421" s="708"/>
      <c r="U421" s="708"/>
      <c r="V421" s="708"/>
      <c r="W421" s="708"/>
      <c r="X421" s="708"/>
      <c r="Y421" s="708"/>
      <c r="Z421" s="708"/>
      <c r="AA421" s="708"/>
      <c r="AB421" s="708"/>
      <c r="AC421" s="708"/>
      <c r="AD421" s="708"/>
      <c r="AE421" s="708"/>
    </row>
    <row r="422">
      <c r="A422" s="727">
        <f>IFERROR(__xludf.DUMMYFUNCTION("""COMPUTED_VALUE"""),369.0)</f>
        <v>369</v>
      </c>
      <c r="B422" s="738" t="str">
        <f>IFERROR(__xludf.DUMMYFUNCTION("""COMPUTED_VALUE"""),"SB_CS_A.SM")</f>
        <v>SB_CS_A.SM</v>
      </c>
      <c r="C422" s="738" t="str">
        <f>IFERROR(__xludf.DUMMYFUNCTION("""COMPUTED_VALUE"""),"SB_CS_A.SM")</f>
        <v>SB_CS_A.SM</v>
      </c>
      <c r="D422" s="728" t="str">
        <f>IFERROR(__xludf.DUMMYFUNCTION("""COMPUTED_VALUE"""),"Q. Quản lý kinh doanh (Bán thêm)")</f>
        <v>Q. Quản lý kinh doanh (Bán thêm)</v>
      </c>
      <c r="E422" s="728" t="str">
        <f>IFERROR(__xludf.DUMMYFUNCTION("""COMPUTED_VALUE"""),"SM")</f>
        <v>SM</v>
      </c>
      <c r="F422" s="729">
        <f>IFERROR(__xludf.DUMMYFUNCTION("""COMPUTED_VALUE"""),2.0)</f>
        <v>2</v>
      </c>
      <c r="G422" s="728" t="str">
        <f>IFERROR(__xludf.DUMMYFUNCTION("""COMPUTED_VALUE"""),"BANTHEM")</f>
        <v>BANTHEM</v>
      </c>
      <c r="H422" s="728" t="str">
        <f>IFERROR(__xludf.DUMMYFUNCTION("""COMPUTED_VALUE"""),"TPP/ Trưởng ban")</f>
        <v>TPP/ Trưởng ban</v>
      </c>
      <c r="I422" s="728" t="str">
        <f>IFERROR(__xludf.DUMMYFUNCTION("""COMPUTED_VALUE"""),"L00")</f>
        <v>L00</v>
      </c>
      <c r="J422" s="728" t="str">
        <f>IFERROR(__xludf.DUMMYFUNCTION("""COMPUTED_VALUE"""),"Công ty cổ phần MISA")</f>
        <v>Công ty cổ phần MISA</v>
      </c>
      <c r="K422" s="728" t="str">
        <f>IFERROR(__xludf.DUMMYFUNCTION("""COMPUTED_VALUE"""),"02 - QL_KD")</f>
        <v>02 - QL_KD</v>
      </c>
      <c r="L422" s="728" t="str">
        <f>IFERROR(__xludf.DUMMYFUNCTION("""COMPUTED_VALUE"""),"Đang theo dõi")</f>
        <v>Đang theo dõi</v>
      </c>
      <c r="M422" s="729"/>
      <c r="N422" s="728" t="str">
        <f>IFERROR(__xludf.DUMMYFUNCTION("""COMPUTED_VALUE"""),"giữ nguyên")</f>
        <v>giữ nguyên</v>
      </c>
      <c r="O422" s="708"/>
      <c r="P422" s="708"/>
      <c r="Q422" s="708"/>
      <c r="R422" s="708"/>
      <c r="S422" s="708"/>
      <c r="T422" s="708"/>
      <c r="U422" s="708"/>
      <c r="V422" s="708"/>
      <c r="W422" s="708"/>
      <c r="X422" s="708"/>
      <c r="Y422" s="708"/>
      <c r="Z422" s="708"/>
      <c r="AA422" s="708"/>
      <c r="AB422" s="708"/>
      <c r="AC422" s="708"/>
      <c r="AD422" s="708"/>
      <c r="AE422" s="708"/>
    </row>
    <row r="423">
      <c r="A423" s="727">
        <f>IFERROR(__xludf.DUMMYFUNCTION("""COMPUTED_VALUE"""),370.0)</f>
        <v>370</v>
      </c>
      <c r="B423" s="728" t="str">
        <f>IFERROR(__xludf.DUMMYFUNCTION("""COMPUTED_VALUE"""),"SB_CS_A.SM_ACT")</f>
        <v>SB_CS_A.SM_ACT</v>
      </c>
      <c r="C423" s="728" t="str">
        <f>IFERROR(__xludf.DUMMYFUNCTION("""COMPUTED_VALUE"""),"SB_CS_A.SM_ACT")</f>
        <v>SB_CS_A.SM_ACT</v>
      </c>
      <c r="D423" s="728" t="str">
        <f>IFERROR(__xludf.DUMMYFUNCTION("""COMPUTED_VALUE"""),"Q. Quản lý kinh doanh (bán thêm)")</f>
        <v>Q. Quản lý kinh doanh (bán thêm)</v>
      </c>
      <c r="E423" s="728" t="str">
        <f>IFERROR(__xludf.DUMMYFUNCTION("""COMPUTED_VALUE"""),"SM")</f>
        <v>SM</v>
      </c>
      <c r="F423" s="728">
        <f>IFERROR(__xludf.DUMMYFUNCTION("""COMPUTED_VALUE"""),2.0)</f>
        <v>2</v>
      </c>
      <c r="G423" s="728" t="str">
        <f>IFERROR(__xludf.DUMMYFUNCTION("""COMPUTED_VALUE"""),"BANTHEM")</f>
        <v>BANTHEM</v>
      </c>
      <c r="H423" s="728" t="str">
        <f>IFERROR(__xludf.DUMMYFUNCTION("""COMPUTED_VALUE"""),"TPP/ Trưởng ban")</f>
        <v>TPP/ Trưởng ban</v>
      </c>
      <c r="I423" s="728" t="str">
        <f>IFERROR(__xludf.DUMMYFUNCTION("""COMPUTED_VALUE"""),"L00")</f>
        <v>L00</v>
      </c>
      <c r="J423" s="728" t="str">
        <f>IFERROR(__xludf.DUMMYFUNCTION("""COMPUTED_VALUE"""),"Công ty cổ phần MISA")</f>
        <v>Công ty cổ phần MISA</v>
      </c>
      <c r="K423" s="728" t="str">
        <f>IFERROR(__xludf.DUMMYFUNCTION("""COMPUTED_VALUE"""),"02 - QL_KD")</f>
        <v>02 - QL_KD</v>
      </c>
      <c r="L423" s="728" t="str">
        <f>IFERROR(__xludf.DUMMYFUNCTION("""COMPUTED_VALUE"""),"Đang theo dõi")</f>
        <v>Đang theo dõi</v>
      </c>
      <c r="M423" s="729"/>
      <c r="N423" s="728" t="str">
        <f>IFERROR(__xludf.DUMMYFUNCTION("""COMPUTED_VALUE"""),"giữ nguyên")</f>
        <v>giữ nguyên</v>
      </c>
      <c r="O423" s="708"/>
      <c r="P423" s="708"/>
      <c r="Q423" s="708"/>
      <c r="R423" s="708"/>
      <c r="S423" s="708"/>
      <c r="T423" s="708"/>
      <c r="U423" s="708"/>
      <c r="V423" s="708"/>
      <c r="W423" s="708"/>
      <c r="X423" s="708"/>
      <c r="Y423" s="708"/>
      <c r="Z423" s="708"/>
      <c r="AA423" s="708"/>
      <c r="AB423" s="708"/>
      <c r="AC423" s="708"/>
      <c r="AD423" s="708"/>
      <c r="AE423" s="708"/>
    </row>
    <row r="424">
      <c r="A424" s="727">
        <f>IFERROR(__xludf.DUMMYFUNCTION("""COMPUTED_VALUE"""),371.0)</f>
        <v>371</v>
      </c>
      <c r="B424" s="728" t="str">
        <f>IFERROR(__xludf.DUMMYFUNCTION("""COMPUTED_VALUE"""),"SB_CS_A.SM_COV")</f>
        <v>SB_CS_A.SM_COV</v>
      </c>
      <c r="C424" s="728" t="str">
        <f>IFERROR(__xludf.DUMMYFUNCTION("""COMPUTED_VALUE"""),"SB_CS_A.SM_COV")</f>
        <v>SB_CS_A.SM_COV</v>
      </c>
      <c r="D424" s="728" t="str">
        <f>IFERROR(__xludf.DUMMYFUNCTION("""COMPUTED_VALUE"""),"Q. Quản lý kinh doanh (chuyển đổi)")</f>
        <v>Q. Quản lý kinh doanh (chuyển đổi)</v>
      </c>
      <c r="E424" s="728" t="str">
        <f>IFERROR(__xludf.DUMMYFUNCTION("""COMPUTED_VALUE"""),"SM")</f>
        <v>SM</v>
      </c>
      <c r="F424" s="728">
        <f>IFERROR(__xludf.DUMMYFUNCTION("""COMPUTED_VALUE"""),2.0)</f>
        <v>2</v>
      </c>
      <c r="G424" s="728" t="str">
        <f>IFERROR(__xludf.DUMMYFUNCTION("""COMPUTED_VALUE"""),"BANTHEM")</f>
        <v>BANTHEM</v>
      </c>
      <c r="H424" s="728" t="str">
        <f>IFERROR(__xludf.DUMMYFUNCTION("""COMPUTED_VALUE"""),"TPP/ Trưởng ban")</f>
        <v>TPP/ Trưởng ban</v>
      </c>
      <c r="I424" s="728" t="str">
        <f>IFERROR(__xludf.DUMMYFUNCTION("""COMPUTED_VALUE"""),"L00")</f>
        <v>L00</v>
      </c>
      <c r="J424" s="728" t="str">
        <f>IFERROR(__xludf.DUMMYFUNCTION("""COMPUTED_VALUE"""),"Công ty cổ phần MISA")</f>
        <v>Công ty cổ phần MISA</v>
      </c>
      <c r="K424" s="728" t="str">
        <f>IFERROR(__xludf.DUMMYFUNCTION("""COMPUTED_VALUE"""),"02 - QL_KD")</f>
        <v>02 - QL_KD</v>
      </c>
      <c r="L424" s="728" t="str">
        <f>IFERROR(__xludf.DUMMYFUNCTION("""COMPUTED_VALUE"""),"Đang theo dõi")</f>
        <v>Đang theo dõi</v>
      </c>
      <c r="M424" s="729"/>
      <c r="N424" s="728" t="str">
        <f>IFERROR(__xludf.DUMMYFUNCTION("""COMPUTED_VALUE"""),"giữ nguyên")</f>
        <v>giữ nguyên</v>
      </c>
      <c r="O424" s="708"/>
      <c r="P424" s="708"/>
      <c r="Q424" s="708"/>
      <c r="R424" s="708"/>
      <c r="S424" s="708"/>
      <c r="T424" s="708"/>
      <c r="U424" s="708"/>
      <c r="V424" s="708"/>
      <c r="W424" s="708"/>
      <c r="X424" s="708"/>
      <c r="Y424" s="708"/>
      <c r="Z424" s="708"/>
      <c r="AA424" s="708"/>
      <c r="AB424" s="708"/>
      <c r="AC424" s="708"/>
      <c r="AD424" s="708"/>
      <c r="AE424" s="708"/>
    </row>
    <row r="425">
      <c r="A425" s="727">
        <f>IFERROR(__xludf.DUMMYFUNCTION("""COMPUTED_VALUE"""),372.0)</f>
        <v>372</v>
      </c>
      <c r="B425" s="728" t="str">
        <f>IFERROR(__xludf.DUMMYFUNCTION("""COMPUTED_VALUE"""),"SB_CS_A.SM_MEI")</f>
        <v>SB_CS_A.SM_MEI</v>
      </c>
      <c r="C425" s="728" t="str">
        <f>IFERROR(__xludf.DUMMYFUNCTION("""COMPUTED_VALUE"""),"SB_CS_A.SM_MEI")</f>
        <v>SB_CS_A.SM_MEI</v>
      </c>
      <c r="D425" s="728" t="str">
        <f>IFERROR(__xludf.DUMMYFUNCTION("""COMPUTED_VALUE"""),"Q. Quản lý kinh doanh (bán thêm)")</f>
        <v>Q. Quản lý kinh doanh (bán thêm)</v>
      </c>
      <c r="E425" s="728" t="str">
        <f>IFERROR(__xludf.DUMMYFUNCTION("""COMPUTED_VALUE"""),"SM")</f>
        <v>SM</v>
      </c>
      <c r="F425" s="728">
        <f>IFERROR(__xludf.DUMMYFUNCTION("""COMPUTED_VALUE"""),2.0)</f>
        <v>2</v>
      </c>
      <c r="G425" s="728" t="str">
        <f>IFERROR(__xludf.DUMMYFUNCTION("""COMPUTED_VALUE"""),"BANTHEM")</f>
        <v>BANTHEM</v>
      </c>
      <c r="H425" s="728" t="str">
        <f>IFERROR(__xludf.DUMMYFUNCTION("""COMPUTED_VALUE"""),"TPP/ Trưởng ban")</f>
        <v>TPP/ Trưởng ban</v>
      </c>
      <c r="I425" s="728" t="str">
        <f>IFERROR(__xludf.DUMMYFUNCTION("""COMPUTED_VALUE"""),"L00")</f>
        <v>L00</v>
      </c>
      <c r="J425" s="728" t="str">
        <f>IFERROR(__xludf.DUMMYFUNCTION("""COMPUTED_VALUE"""),"Công ty cổ phần MISA")</f>
        <v>Công ty cổ phần MISA</v>
      </c>
      <c r="K425" s="728" t="str">
        <f>IFERROR(__xludf.DUMMYFUNCTION("""COMPUTED_VALUE"""),"02 - QL_KD")</f>
        <v>02 - QL_KD</v>
      </c>
      <c r="L425" s="728" t="str">
        <f>IFERROR(__xludf.DUMMYFUNCTION("""COMPUTED_VALUE"""),"Đang theo dõi")</f>
        <v>Đang theo dõi</v>
      </c>
      <c r="M425" s="729"/>
      <c r="N425" s="728" t="str">
        <f>IFERROR(__xludf.DUMMYFUNCTION("""COMPUTED_VALUE"""),"giữ nguyên")</f>
        <v>giữ nguyên</v>
      </c>
      <c r="O425" s="708"/>
      <c r="P425" s="708"/>
      <c r="Q425" s="708"/>
      <c r="R425" s="708"/>
      <c r="S425" s="708"/>
      <c r="T425" s="708"/>
      <c r="U425" s="708"/>
      <c r="V425" s="708"/>
      <c r="W425" s="708"/>
      <c r="X425" s="708"/>
      <c r="Y425" s="708"/>
      <c r="Z425" s="708"/>
      <c r="AA425" s="708"/>
      <c r="AB425" s="708"/>
      <c r="AC425" s="708"/>
      <c r="AD425" s="708"/>
      <c r="AE425" s="708"/>
    </row>
    <row r="426">
      <c r="A426" s="727">
        <f>IFERROR(__xludf.DUMMYFUNCTION("""COMPUTED_VALUE"""),373.0)</f>
        <v>373</v>
      </c>
      <c r="B426" s="738" t="str">
        <f>IFERROR(__xludf.DUMMYFUNCTION("""COMPUTED_VALUE"""),"KD_BANTHEM_HDDT_MEI.DA_A.SM")</f>
        <v>KD_BANTHEM_HDDT_MEI.DA_A.SM</v>
      </c>
      <c r="C426" s="728" t="str">
        <f>IFERROR(__xludf.DUMMYFUNCTION("""COMPUTED_VALUE"""),"SB_CS_A.SM_MEI.DA")</f>
        <v>SB_CS_A.SM_MEI.DA</v>
      </c>
      <c r="D426" s="728" t="str">
        <f>IFERROR(__xludf.DUMMYFUNCTION("""COMPUTED_VALUE"""),"Q. Quản lý kinh doanh")</f>
        <v>Q. Quản lý kinh doanh</v>
      </c>
      <c r="E426" s="728" t="str">
        <f>IFERROR(__xludf.DUMMYFUNCTION("""COMPUTED_VALUE"""),"SM")</f>
        <v>SM</v>
      </c>
      <c r="F426" s="728">
        <f>IFERROR(__xludf.DUMMYFUNCTION("""COMPUTED_VALUE"""),2.0)</f>
        <v>2</v>
      </c>
      <c r="G426" s="728" t="str">
        <f>IFERROR(__xludf.DUMMYFUNCTION("""COMPUTED_VALUE"""),"BANTHEM")</f>
        <v>BANTHEM</v>
      </c>
      <c r="H426" s="728" t="str">
        <f>IFERROR(__xludf.DUMMYFUNCTION("""COMPUTED_VALUE"""),"TPP/ Trưởng ban")</f>
        <v>TPP/ Trưởng ban</v>
      </c>
      <c r="I426" s="728" t="str">
        <f>IFERROR(__xludf.DUMMYFUNCTION("""COMPUTED_VALUE"""),"L00")</f>
        <v>L00</v>
      </c>
      <c r="J426" s="728" t="str">
        <f>IFERROR(__xludf.DUMMYFUNCTION("""COMPUTED_VALUE"""),"Công ty cổ phần MISA")</f>
        <v>Công ty cổ phần MISA</v>
      </c>
      <c r="K426" s="728" t="str">
        <f>IFERROR(__xludf.DUMMYFUNCTION("""COMPUTED_VALUE"""),"02 - QL_KD")</f>
        <v>02 - QL_KD</v>
      </c>
      <c r="L426" s="728" t="str">
        <f>IFERROR(__xludf.DUMMYFUNCTION("""COMPUTED_VALUE"""),"Đang theo dõi")</f>
        <v>Đang theo dõi</v>
      </c>
      <c r="M426" s="729"/>
      <c r="N426" s="728" t="str">
        <f>IFERROR(__xludf.DUMMYFUNCTION("""COMPUTED_VALUE"""),"đổi mã")</f>
        <v>đổi mã</v>
      </c>
      <c r="O426" s="708"/>
      <c r="P426" s="708"/>
      <c r="Q426" s="708"/>
      <c r="R426" s="708"/>
      <c r="S426" s="708"/>
      <c r="T426" s="708"/>
      <c r="U426" s="708"/>
      <c r="V426" s="708"/>
      <c r="W426" s="708"/>
      <c r="X426" s="708"/>
      <c r="Y426" s="708"/>
      <c r="Z426" s="708"/>
      <c r="AA426" s="708"/>
      <c r="AB426" s="708"/>
      <c r="AC426" s="708"/>
      <c r="AD426" s="708"/>
      <c r="AE426" s="708"/>
    </row>
    <row r="427">
      <c r="A427" s="727">
        <f>IFERROR(__xludf.DUMMYFUNCTION("""COMPUTED_VALUE"""),374.0)</f>
        <v>374</v>
      </c>
      <c r="B427" s="728" t="str">
        <f>IFERROR(__xludf.DUMMYFUNCTION("""COMPUTED_VALUE"""),"SB_CS_A.SM_POS")</f>
        <v>SB_CS_A.SM_POS</v>
      </c>
      <c r="C427" s="728" t="str">
        <f>IFERROR(__xludf.DUMMYFUNCTION("""COMPUTED_VALUE"""),"SB_CS_A.SM_POS")</f>
        <v>SB_CS_A.SM_POS</v>
      </c>
      <c r="D427" s="728" t="str">
        <f>IFERROR(__xludf.DUMMYFUNCTION("""COMPUTED_VALUE"""),"Q. Quản lý kinh doanh (bán thêm)")</f>
        <v>Q. Quản lý kinh doanh (bán thêm)</v>
      </c>
      <c r="E427" s="728" t="str">
        <f>IFERROR(__xludf.DUMMYFUNCTION("""COMPUTED_VALUE"""),"SM")</f>
        <v>SM</v>
      </c>
      <c r="F427" s="728">
        <f>IFERROR(__xludf.DUMMYFUNCTION("""COMPUTED_VALUE"""),2.0)</f>
        <v>2</v>
      </c>
      <c r="G427" s="728" t="str">
        <f>IFERROR(__xludf.DUMMYFUNCTION("""COMPUTED_VALUE"""),"BANTHEM")</f>
        <v>BANTHEM</v>
      </c>
      <c r="H427" s="728" t="str">
        <f>IFERROR(__xludf.DUMMYFUNCTION("""COMPUTED_VALUE"""),"TPP/ Trưởng ban")</f>
        <v>TPP/ Trưởng ban</v>
      </c>
      <c r="I427" s="728" t="str">
        <f>IFERROR(__xludf.DUMMYFUNCTION("""COMPUTED_VALUE"""),"L00")</f>
        <v>L00</v>
      </c>
      <c r="J427" s="728" t="str">
        <f>IFERROR(__xludf.DUMMYFUNCTION("""COMPUTED_VALUE"""),"Công ty cổ phần MISA")</f>
        <v>Công ty cổ phần MISA</v>
      </c>
      <c r="K427" s="728" t="str">
        <f>IFERROR(__xludf.DUMMYFUNCTION("""COMPUTED_VALUE"""),"02 - QL_KD")</f>
        <v>02 - QL_KD</v>
      </c>
      <c r="L427" s="728" t="str">
        <f>IFERROR(__xludf.DUMMYFUNCTION("""COMPUTED_VALUE"""),"Đang theo dõi")</f>
        <v>Đang theo dõi</v>
      </c>
      <c r="M427" s="729"/>
      <c r="N427" s="728" t="str">
        <f>IFERROR(__xludf.DUMMYFUNCTION("""COMPUTED_VALUE"""),"giữ nguyên")</f>
        <v>giữ nguyên</v>
      </c>
      <c r="O427" s="708"/>
      <c r="P427" s="708"/>
      <c r="Q427" s="708"/>
      <c r="R427" s="708"/>
      <c r="S427" s="708"/>
      <c r="T427" s="708"/>
      <c r="U427" s="708"/>
      <c r="V427" s="708"/>
      <c r="W427" s="708"/>
      <c r="X427" s="708"/>
      <c r="Y427" s="708"/>
      <c r="Z427" s="708"/>
      <c r="AA427" s="708"/>
      <c r="AB427" s="708"/>
      <c r="AC427" s="708"/>
      <c r="AD427" s="708"/>
      <c r="AE427" s="708"/>
    </row>
    <row r="428">
      <c r="A428" s="727">
        <f>IFERROR(__xludf.DUMMYFUNCTION("""COMPUTED_VALUE"""),375.0)</f>
        <v>375</v>
      </c>
      <c r="B428" s="728" t="str">
        <f>IFERROR(__xludf.DUMMYFUNCTION("""COMPUTED_VALUE"""),"KD_BANTHEM_BT-WSES_A. SM")</f>
        <v>KD_BANTHEM_BT-WSES_A. SM</v>
      </c>
      <c r="C428" s="728" t="str">
        <f>IFERROR(__xludf.DUMMYFUNCTION("""COMPUTED_VALUE"""),"SB_CS_A.SM_WSES")</f>
        <v>SB_CS_A.SM_WSES</v>
      </c>
      <c r="D428" s="728" t="str">
        <f>IFERROR(__xludf.DUMMYFUNCTION("""COMPUTED_VALUE"""),"Q. Quản lý kinh doanh")</f>
        <v>Q. Quản lý kinh doanh</v>
      </c>
      <c r="E428" s="728" t="str">
        <f>IFERROR(__xludf.DUMMYFUNCTION("""COMPUTED_VALUE"""),"SM")</f>
        <v>SM</v>
      </c>
      <c r="F428" s="728">
        <f>IFERROR(__xludf.DUMMYFUNCTION("""COMPUTED_VALUE"""),2.0)</f>
        <v>2</v>
      </c>
      <c r="G428" s="728" t="str">
        <f>IFERROR(__xludf.DUMMYFUNCTION("""COMPUTED_VALUE"""),"BANTHEM")</f>
        <v>BANTHEM</v>
      </c>
      <c r="H428" s="728" t="str">
        <f>IFERROR(__xludf.DUMMYFUNCTION("""COMPUTED_VALUE"""),"TPP/ Trưởng ban")</f>
        <v>TPP/ Trưởng ban</v>
      </c>
      <c r="I428" s="728" t="str">
        <f>IFERROR(__xludf.DUMMYFUNCTION("""COMPUTED_VALUE"""),"L00")</f>
        <v>L00</v>
      </c>
      <c r="J428" s="728" t="str">
        <f>IFERROR(__xludf.DUMMYFUNCTION("""COMPUTED_VALUE"""),"Công ty cổ phần MISA")</f>
        <v>Công ty cổ phần MISA</v>
      </c>
      <c r="K428" s="728" t="str">
        <f>IFERROR(__xludf.DUMMYFUNCTION("""COMPUTED_VALUE"""),"02 - QL_KD")</f>
        <v>02 - QL_KD</v>
      </c>
      <c r="L428" s="728" t="str">
        <f>IFERROR(__xludf.DUMMYFUNCTION("""COMPUTED_VALUE"""),"Đang theo dõi")</f>
        <v>Đang theo dõi</v>
      </c>
      <c r="M428" s="729"/>
      <c r="N428" s="728" t="str">
        <f>IFERROR(__xludf.DUMMYFUNCTION("""COMPUTED_VALUE"""),"đổi mã")</f>
        <v>đổi mã</v>
      </c>
      <c r="O428" s="708"/>
      <c r="P428" s="708"/>
      <c r="Q428" s="708"/>
      <c r="R428" s="708"/>
      <c r="S428" s="708"/>
      <c r="T428" s="708"/>
      <c r="U428" s="708"/>
      <c r="V428" s="708"/>
      <c r="W428" s="708"/>
      <c r="X428" s="708"/>
      <c r="Y428" s="708"/>
      <c r="Z428" s="708"/>
      <c r="AA428" s="708"/>
      <c r="AB428" s="708"/>
      <c r="AC428" s="708"/>
      <c r="AD428" s="708"/>
      <c r="AE428" s="708"/>
    </row>
    <row r="429">
      <c r="A429" s="727">
        <f>IFERROR(__xludf.DUMMYFUNCTION("""COMPUTED_VALUE"""),376.0)</f>
        <v>376</v>
      </c>
      <c r="B429" s="728" t="str">
        <f>IFERROR(__xludf.DUMMYFUNCTION("""COMPUTED_VALUE"""),"SB_CS_A.VSD")</f>
        <v>SB_CS_A.VSD</v>
      </c>
      <c r="C429" s="728" t="str">
        <f>IFERROR(__xludf.DUMMYFUNCTION("""COMPUTED_VALUE"""),"SB_CS_A.VSD")</f>
        <v>SB_CS_A.VSD</v>
      </c>
      <c r="D429" s="728" t="str">
        <f>IFERROR(__xludf.DUMMYFUNCTION("""COMPUTED_VALUE"""),"Q. Phó giám đốc TTKD")</f>
        <v>Q. Phó giám đốc TTKD</v>
      </c>
      <c r="E429" s="728" t="str">
        <f>IFERROR(__xludf.DUMMYFUNCTION("""COMPUTED_VALUE"""),"BOM")</f>
        <v>BOM</v>
      </c>
      <c r="F429" s="728">
        <f>IFERROR(__xludf.DUMMYFUNCTION("""COMPUTED_VALUE"""),3.0)</f>
        <v>3</v>
      </c>
      <c r="G429" s="728" t="str">
        <f>IFERROR(__xludf.DUMMYFUNCTION("""COMPUTED_VALUE"""),"BANTHEM")</f>
        <v>BANTHEM</v>
      </c>
      <c r="H429" s="728" t="str">
        <f>IFERROR(__xludf.DUMMYFUNCTION("""COMPUTED_VALUE"""),"Ban GĐTTKD/ BGĐ khối DA")</f>
        <v>Ban GĐTTKD/ BGĐ khối DA</v>
      </c>
      <c r="I429" s="728" t="str">
        <f>IFERROR(__xludf.DUMMYFUNCTION("""COMPUTED_VALUE"""),"L00")</f>
        <v>L00</v>
      </c>
      <c r="J429" s="728" t="str">
        <f>IFERROR(__xludf.DUMMYFUNCTION("""COMPUTED_VALUE"""),"Công ty cổ phần MISA")</f>
        <v>Công ty cổ phần MISA</v>
      </c>
      <c r="K429" s="728" t="str">
        <f>IFERROR(__xludf.DUMMYFUNCTION("""COMPUTED_VALUE"""),"03 - BGĐ_KD")</f>
        <v>03 - BGĐ_KD</v>
      </c>
      <c r="L429" s="728" t="str">
        <f>IFERROR(__xludf.DUMMYFUNCTION("""COMPUTED_VALUE"""),"Đang theo dõi")</f>
        <v>Đang theo dõi</v>
      </c>
      <c r="M429" s="729"/>
      <c r="N429" s="728" t="str">
        <f>IFERROR(__xludf.DUMMYFUNCTION("""COMPUTED_VALUE"""),"giữ nguyên")</f>
        <v>giữ nguyên</v>
      </c>
      <c r="O429" s="708"/>
      <c r="P429" s="708"/>
      <c r="Q429" s="708"/>
      <c r="R429" s="708"/>
      <c r="S429" s="708"/>
      <c r="T429" s="708"/>
      <c r="U429" s="708"/>
      <c r="V429" s="708"/>
      <c r="W429" s="708"/>
      <c r="X429" s="708"/>
      <c r="Y429" s="708"/>
      <c r="Z429" s="708"/>
      <c r="AA429" s="708"/>
      <c r="AB429" s="708"/>
      <c r="AC429" s="708"/>
      <c r="AD429" s="708"/>
      <c r="AE429" s="708"/>
    </row>
    <row r="430">
      <c r="A430" s="727">
        <f>IFERROR(__xludf.DUMMYFUNCTION("""COMPUTED_VALUE"""),377.0)</f>
        <v>377</v>
      </c>
      <c r="B430" s="728" t="str">
        <f>IFERROR(__xludf.DUMMYFUNCTION("""COMPUTED_VALUE"""),"SB_CS_AE_ACT")</f>
        <v>SB_CS_AE_ACT</v>
      </c>
      <c r="C430" s="728" t="str">
        <f>IFERROR(__xludf.DUMMYFUNCTION("""COMPUTED_VALUE"""),"SB_CS_AE_ACT")</f>
        <v>SB_CS_AE_ACT</v>
      </c>
      <c r="D430" s="728" t="str">
        <f>IFERROR(__xludf.DUMMYFUNCTION("""COMPUTED_VALUE"""),"NV Tư vấn bán hàng")</f>
        <v>NV Tư vấn bán hàng</v>
      </c>
      <c r="E430" s="728" t="str">
        <f>IFERROR(__xludf.DUMMYFUNCTION("""COMPUTED_VALUE"""),"AE")</f>
        <v>AE</v>
      </c>
      <c r="F430" s="728"/>
      <c r="G430" s="728" t="str">
        <f>IFERROR(__xludf.DUMMYFUNCTION("""COMPUTED_VALUE"""),"BANTHEM")</f>
        <v>BANTHEM</v>
      </c>
      <c r="H430" s="728" t="str">
        <f>IFERROR(__xludf.DUMMYFUNCTION("""COMPUTED_VALUE"""),"Nhân viên/ Chuyên viên/ Chuyên gia")</f>
        <v>Nhân viên/ Chuyên viên/ Chuyên gia</v>
      </c>
      <c r="I430" s="728" t="str">
        <f>IFERROR(__xludf.DUMMYFUNCTION("""COMPUTED_VALUE"""),"L00")</f>
        <v>L00</v>
      </c>
      <c r="J430" s="728" t="str">
        <f>IFERROR(__xludf.DUMMYFUNCTION("""COMPUTED_VALUE"""),"Công ty cổ phần MISA")</f>
        <v>Công ty cổ phần MISA</v>
      </c>
      <c r="K430" s="728" t="str">
        <f>IFERROR(__xludf.DUMMYFUNCTION("""COMPUTED_VALUE"""),"01 - NV_KD")</f>
        <v>01 - NV_KD</v>
      </c>
      <c r="L430" s="728" t="str">
        <f>IFERROR(__xludf.DUMMYFUNCTION("""COMPUTED_VALUE"""),"Đang theo dõi")</f>
        <v>Đang theo dõi</v>
      </c>
      <c r="M430" s="729"/>
      <c r="N430" s="728" t="str">
        <f>IFERROR(__xludf.DUMMYFUNCTION("""COMPUTED_VALUE"""),"giữ nguyên")</f>
        <v>giữ nguyên</v>
      </c>
      <c r="O430" s="708"/>
      <c r="P430" s="708"/>
      <c r="Q430" s="708"/>
      <c r="R430" s="708"/>
      <c r="S430" s="708"/>
      <c r="T430" s="708"/>
      <c r="U430" s="708"/>
      <c r="V430" s="708"/>
      <c r="W430" s="708"/>
      <c r="X430" s="708"/>
      <c r="Y430" s="708"/>
      <c r="Z430" s="708"/>
      <c r="AA430" s="708"/>
      <c r="AB430" s="708"/>
      <c r="AC430" s="708"/>
      <c r="AD430" s="708"/>
      <c r="AE430" s="708"/>
    </row>
    <row r="431">
      <c r="A431" s="727">
        <f>IFERROR(__xludf.DUMMYFUNCTION("""COMPUTED_VALUE"""),378.0)</f>
        <v>378</v>
      </c>
      <c r="B431" s="728" t="str">
        <f>IFERROR(__xludf.DUMMYFUNCTION("""COMPUTED_VALUE"""),"SB_CS_AE_COV")</f>
        <v>SB_CS_AE_COV</v>
      </c>
      <c r="C431" s="728" t="str">
        <f>IFERROR(__xludf.DUMMYFUNCTION("""COMPUTED_VALUE"""),"SB_CS_AE_COV")</f>
        <v>SB_CS_AE_COV</v>
      </c>
      <c r="D431" s="728" t="str">
        <f>IFERROR(__xludf.DUMMYFUNCTION("""COMPUTED_VALUE"""),"NV Tư vấn bán hàng (chuyển đổi)")</f>
        <v>NV Tư vấn bán hàng (chuyển đổi)</v>
      </c>
      <c r="E431" s="728" t="str">
        <f>IFERROR(__xludf.DUMMYFUNCTION("""COMPUTED_VALUE"""),"AE")</f>
        <v>AE</v>
      </c>
      <c r="F431" s="728"/>
      <c r="G431" s="728" t="str">
        <f>IFERROR(__xludf.DUMMYFUNCTION("""COMPUTED_VALUE"""),"BANTHEM")</f>
        <v>BANTHEM</v>
      </c>
      <c r="H431" s="728" t="str">
        <f>IFERROR(__xludf.DUMMYFUNCTION("""COMPUTED_VALUE"""),"Nhân viên/ Chuyên viên/ Chuyên gia")</f>
        <v>Nhân viên/ Chuyên viên/ Chuyên gia</v>
      </c>
      <c r="I431" s="728" t="str">
        <f>IFERROR(__xludf.DUMMYFUNCTION("""COMPUTED_VALUE"""),"L00")</f>
        <v>L00</v>
      </c>
      <c r="J431" s="728" t="str">
        <f>IFERROR(__xludf.DUMMYFUNCTION("""COMPUTED_VALUE"""),"Công ty cổ phần MISA")</f>
        <v>Công ty cổ phần MISA</v>
      </c>
      <c r="K431" s="728" t="str">
        <f>IFERROR(__xludf.DUMMYFUNCTION("""COMPUTED_VALUE"""),"01 - NV_KD")</f>
        <v>01 - NV_KD</v>
      </c>
      <c r="L431" s="728" t="str">
        <f>IFERROR(__xludf.DUMMYFUNCTION("""COMPUTED_VALUE"""),"Đang theo dõi")</f>
        <v>Đang theo dõi</v>
      </c>
      <c r="M431" s="729"/>
      <c r="N431" s="728" t="str">
        <f>IFERROR(__xludf.DUMMYFUNCTION("""COMPUTED_VALUE"""),"giữ nguyên")</f>
        <v>giữ nguyên</v>
      </c>
      <c r="O431" s="708"/>
      <c r="P431" s="708"/>
      <c r="Q431" s="708"/>
      <c r="R431" s="708"/>
      <c r="S431" s="708"/>
      <c r="T431" s="708"/>
      <c r="U431" s="708"/>
      <c r="V431" s="708"/>
      <c r="W431" s="708"/>
      <c r="X431" s="708"/>
      <c r="Y431" s="708"/>
      <c r="Z431" s="708"/>
      <c r="AA431" s="708"/>
      <c r="AB431" s="708"/>
      <c r="AC431" s="708"/>
      <c r="AD431" s="708"/>
      <c r="AE431" s="708"/>
    </row>
    <row r="432">
      <c r="A432" s="742">
        <f>IFERROR(__xludf.DUMMYFUNCTION("""COMPUTED_VALUE"""),379.0)</f>
        <v>379</v>
      </c>
      <c r="B432" s="731" t="str">
        <f>IFERROR(__xludf.DUMMYFUNCTION("""COMPUTED_VALUE"""),"SB_CS_AE_MEI")</f>
        <v>SB_CS_AE_MEI</v>
      </c>
      <c r="C432" s="731" t="str">
        <f>IFERROR(__xludf.DUMMYFUNCTION("""COMPUTED_VALUE"""),"SB_CS_AE_MEI")</f>
        <v>SB_CS_AE_MEI</v>
      </c>
      <c r="D432" s="731" t="str">
        <f>IFERROR(__xludf.DUMMYFUNCTION("""COMPUTED_VALUE"""),"NV Tư vấn bán hàng")</f>
        <v>NV Tư vấn bán hàng</v>
      </c>
      <c r="E432" s="731" t="str">
        <f>IFERROR(__xludf.DUMMYFUNCTION("""COMPUTED_VALUE"""),"AE")</f>
        <v>AE</v>
      </c>
      <c r="F432" s="729"/>
      <c r="G432" s="731" t="str">
        <f>IFERROR(__xludf.DUMMYFUNCTION("""COMPUTED_VALUE"""),"BANTHEM")</f>
        <v>BANTHEM</v>
      </c>
      <c r="H432" s="731" t="str">
        <f>IFERROR(__xludf.DUMMYFUNCTION("""COMPUTED_VALUE"""),"Nhân viên/ Chuyên viên/ Chuyên gia")</f>
        <v>Nhân viên/ Chuyên viên/ Chuyên gia</v>
      </c>
      <c r="I432" s="731" t="str">
        <f>IFERROR(__xludf.DUMMYFUNCTION("""COMPUTED_VALUE"""),"L00")</f>
        <v>L00</v>
      </c>
      <c r="J432" s="731" t="str">
        <f>IFERROR(__xludf.DUMMYFUNCTION("""COMPUTED_VALUE"""),"Công ty cổ phần MISA")</f>
        <v>Công ty cổ phần MISA</v>
      </c>
      <c r="K432" s="729" t="str">
        <f>IFERROR(__xludf.DUMMYFUNCTION("""COMPUTED_VALUE"""),"01 - NV_KD")</f>
        <v>01 - NV_KD</v>
      </c>
      <c r="L432" s="731" t="str">
        <f>IFERROR(__xludf.DUMMYFUNCTION("""COMPUTED_VALUE"""),"Đang theo dõi")</f>
        <v>Đang theo dõi</v>
      </c>
      <c r="M432" s="729"/>
      <c r="N432" s="728" t="str">
        <f>IFERROR(__xludf.DUMMYFUNCTION("""COMPUTED_VALUE"""),"giữ nguyên")</f>
        <v>giữ nguyên</v>
      </c>
      <c r="O432" s="708"/>
      <c r="P432" s="708"/>
      <c r="Q432" s="708"/>
      <c r="R432" s="708"/>
      <c r="S432" s="708"/>
      <c r="T432" s="708"/>
      <c r="U432" s="708"/>
      <c r="V432" s="708"/>
      <c r="W432" s="708"/>
      <c r="X432" s="708"/>
      <c r="Y432" s="708"/>
      <c r="Z432" s="708"/>
      <c r="AA432" s="708"/>
      <c r="AB432" s="708"/>
      <c r="AC432" s="708"/>
      <c r="AD432" s="708"/>
      <c r="AE432" s="708"/>
    </row>
    <row r="433">
      <c r="A433" s="742">
        <f>IFERROR(__xludf.DUMMYFUNCTION("""COMPUTED_VALUE"""),380.0)</f>
        <v>380</v>
      </c>
      <c r="B433" s="731" t="str">
        <f>IFERROR(__xludf.DUMMYFUNCTION("""COMPUTED_VALUE"""),"KD_BANTHEM_HDDT_MEI.DA_AE")</f>
        <v>KD_BANTHEM_HDDT_MEI.DA_AE</v>
      </c>
      <c r="C433" s="731" t="str">
        <f>IFERROR(__xludf.DUMMYFUNCTION("""COMPUTED_VALUE"""),"SB_CS_AE_MEI.DA")</f>
        <v>SB_CS_AE_MEI.DA</v>
      </c>
      <c r="D433" s="731" t="str">
        <f>IFERROR(__xludf.DUMMYFUNCTION("""COMPUTED_VALUE"""),"NV Tư vấn bán hàng")</f>
        <v>NV Tư vấn bán hàng</v>
      </c>
      <c r="E433" s="731" t="str">
        <f>IFERROR(__xludf.DUMMYFUNCTION("""COMPUTED_VALUE"""),"AE")</f>
        <v>AE</v>
      </c>
      <c r="F433" s="729"/>
      <c r="G433" s="731" t="str">
        <f>IFERROR(__xludf.DUMMYFUNCTION("""COMPUTED_VALUE"""),"BANTHEM")</f>
        <v>BANTHEM</v>
      </c>
      <c r="H433" s="731" t="str">
        <f>IFERROR(__xludf.DUMMYFUNCTION("""COMPUTED_VALUE"""),"Nhân viên/ Chuyên viên/ Chuyên gia")</f>
        <v>Nhân viên/ Chuyên viên/ Chuyên gia</v>
      </c>
      <c r="I433" s="731" t="str">
        <f>IFERROR(__xludf.DUMMYFUNCTION("""COMPUTED_VALUE"""),"L00")</f>
        <v>L00</v>
      </c>
      <c r="J433" s="731" t="str">
        <f>IFERROR(__xludf.DUMMYFUNCTION("""COMPUTED_VALUE"""),"Công ty cổ phần MISA")</f>
        <v>Công ty cổ phần MISA</v>
      </c>
      <c r="K433" s="729" t="str">
        <f>IFERROR(__xludf.DUMMYFUNCTION("""COMPUTED_VALUE"""),"01 - NV_KD")</f>
        <v>01 - NV_KD</v>
      </c>
      <c r="L433" s="731" t="str">
        <f>IFERROR(__xludf.DUMMYFUNCTION("""COMPUTED_VALUE"""),"Đang theo dõi")</f>
        <v>Đang theo dõi</v>
      </c>
      <c r="M433" s="729"/>
      <c r="N433" s="728" t="str">
        <f>IFERROR(__xludf.DUMMYFUNCTION("""COMPUTED_VALUE"""),"đổi mã")</f>
        <v>đổi mã</v>
      </c>
      <c r="O433" s="708"/>
      <c r="P433" s="708"/>
      <c r="Q433" s="708"/>
      <c r="R433" s="708"/>
      <c r="S433" s="708"/>
      <c r="T433" s="708"/>
      <c r="U433" s="708"/>
      <c r="V433" s="708"/>
      <c r="W433" s="708"/>
      <c r="X433" s="708"/>
      <c r="Y433" s="708"/>
      <c r="Z433" s="708"/>
      <c r="AA433" s="708"/>
      <c r="AB433" s="708"/>
      <c r="AC433" s="708"/>
      <c r="AD433" s="708"/>
      <c r="AE433" s="708"/>
    </row>
    <row r="434">
      <c r="A434" s="742">
        <f>IFERROR(__xludf.DUMMYFUNCTION("""COMPUTED_VALUE"""),381.0)</f>
        <v>381</v>
      </c>
      <c r="B434" s="731" t="str">
        <f>IFERROR(__xludf.DUMMYFUNCTION("""COMPUTED_VALUE"""),"KD_BANTHEM_BT-WSES_AE")</f>
        <v>KD_BANTHEM_BT-WSES_AE</v>
      </c>
      <c r="C434" s="731" t="str">
        <f>IFERROR(__xludf.DUMMYFUNCTION("""COMPUTED_VALUE"""),"SB_CS_AE_WSES")</f>
        <v>SB_CS_AE_WSES</v>
      </c>
      <c r="D434" s="731" t="str">
        <f>IFERROR(__xludf.DUMMYFUNCTION("""COMPUTED_VALUE"""),"NV Tư vấn bán hàng")</f>
        <v>NV Tư vấn bán hàng</v>
      </c>
      <c r="E434" s="731" t="str">
        <f>IFERROR(__xludf.DUMMYFUNCTION("""COMPUTED_VALUE"""),"AE")</f>
        <v>AE</v>
      </c>
      <c r="F434" s="729"/>
      <c r="G434" s="731" t="str">
        <f>IFERROR(__xludf.DUMMYFUNCTION("""COMPUTED_VALUE"""),"BANTHEM")</f>
        <v>BANTHEM</v>
      </c>
      <c r="H434" s="731" t="str">
        <f>IFERROR(__xludf.DUMMYFUNCTION("""COMPUTED_VALUE"""),"Nhân viên/ Chuyên viên/ Chuyên gia")</f>
        <v>Nhân viên/ Chuyên viên/ Chuyên gia</v>
      </c>
      <c r="I434" s="731" t="str">
        <f>IFERROR(__xludf.DUMMYFUNCTION("""COMPUTED_VALUE"""),"L00")</f>
        <v>L00</v>
      </c>
      <c r="J434" s="731" t="str">
        <f>IFERROR(__xludf.DUMMYFUNCTION("""COMPUTED_VALUE"""),"Công ty cổ phần MISA")</f>
        <v>Công ty cổ phần MISA</v>
      </c>
      <c r="K434" s="729" t="str">
        <f>IFERROR(__xludf.DUMMYFUNCTION("""COMPUTED_VALUE"""),"01 - NV_KD")</f>
        <v>01 - NV_KD</v>
      </c>
      <c r="L434" s="731" t="str">
        <f>IFERROR(__xludf.DUMMYFUNCTION("""COMPUTED_VALUE"""),"Đang theo dõi")</f>
        <v>Đang theo dõi</v>
      </c>
      <c r="M434" s="729"/>
      <c r="N434" s="728" t="str">
        <f>IFERROR(__xludf.DUMMYFUNCTION("""COMPUTED_VALUE"""),"đổi mã")</f>
        <v>đổi mã</v>
      </c>
      <c r="O434" s="708"/>
      <c r="P434" s="708"/>
      <c r="Q434" s="708"/>
      <c r="R434" s="708"/>
      <c r="S434" s="708"/>
      <c r="T434" s="708"/>
      <c r="U434" s="708"/>
      <c r="V434" s="708"/>
      <c r="W434" s="708"/>
      <c r="X434" s="708"/>
      <c r="Y434" s="708"/>
      <c r="Z434" s="708"/>
      <c r="AA434" s="708"/>
      <c r="AB434" s="732"/>
      <c r="AC434" s="732"/>
      <c r="AD434" s="732"/>
      <c r="AE434" s="732"/>
    </row>
    <row r="435">
      <c r="A435" s="742">
        <f>IFERROR(__xludf.DUMMYFUNCTION("""COMPUTED_VALUE"""),382.0)</f>
        <v>382</v>
      </c>
      <c r="B435" s="731" t="str">
        <f>IFERROR(__xludf.DUMMYFUNCTION("""COMPUTED_VALUE"""),"KD_BANTHEM_BT-WSES_SM")</f>
        <v>KD_BANTHEM_BT-WSES_SM</v>
      </c>
      <c r="C435" s="731" t="str">
        <f>IFERROR(__xludf.DUMMYFUNCTION("""COMPUTED_VALUE"""),"SB_CS_SM_WSES")</f>
        <v>SB_CS_SM_WSES</v>
      </c>
      <c r="D435" s="731" t="str">
        <f>IFERROR(__xludf.DUMMYFUNCTION("""COMPUTED_VALUE"""),"Quản lý kinh doanh")</f>
        <v>Quản lý kinh doanh</v>
      </c>
      <c r="E435" s="731" t="str">
        <f>IFERROR(__xludf.DUMMYFUNCTION("""COMPUTED_VALUE"""),"SM")</f>
        <v>SM</v>
      </c>
      <c r="F435" s="729">
        <f>IFERROR(__xludf.DUMMYFUNCTION("""COMPUTED_VALUE"""),2.0)</f>
        <v>2</v>
      </c>
      <c r="G435" s="731" t="str">
        <f>IFERROR(__xludf.DUMMYFUNCTION("""COMPUTED_VALUE"""),"BANTHEM")</f>
        <v>BANTHEM</v>
      </c>
      <c r="H435" s="731" t="str">
        <f>IFERROR(__xludf.DUMMYFUNCTION("""COMPUTED_VALUE"""),"TPP/ Trưởng ban")</f>
        <v>TPP/ Trưởng ban</v>
      </c>
      <c r="I435" s="731" t="str">
        <f>IFERROR(__xludf.DUMMYFUNCTION("""COMPUTED_VALUE"""),"L00")</f>
        <v>L00</v>
      </c>
      <c r="J435" s="731" t="str">
        <f>IFERROR(__xludf.DUMMYFUNCTION("""COMPUTED_VALUE"""),"Công ty cổ phần MISA")</f>
        <v>Công ty cổ phần MISA</v>
      </c>
      <c r="K435" s="729" t="str">
        <f>IFERROR(__xludf.DUMMYFUNCTION("""COMPUTED_VALUE"""),"02 - QL_KD")</f>
        <v>02 - QL_KD</v>
      </c>
      <c r="L435" s="731" t="str">
        <f>IFERROR(__xludf.DUMMYFUNCTION("""COMPUTED_VALUE"""),"Đang theo dõi")</f>
        <v>Đang theo dõi</v>
      </c>
      <c r="M435" s="729"/>
      <c r="N435" s="728" t="str">
        <f>IFERROR(__xludf.DUMMYFUNCTION("""COMPUTED_VALUE"""),"đổi mã")</f>
        <v>đổi mã</v>
      </c>
      <c r="O435" s="708"/>
      <c r="P435" s="708"/>
      <c r="Q435" s="708"/>
      <c r="R435" s="708"/>
      <c r="S435" s="708"/>
      <c r="T435" s="708"/>
      <c r="U435" s="708"/>
      <c r="V435" s="708"/>
      <c r="W435" s="708"/>
      <c r="X435" s="708"/>
      <c r="Y435" s="708"/>
      <c r="Z435" s="708"/>
      <c r="AA435" s="708"/>
      <c r="AB435" s="732"/>
      <c r="AC435" s="732"/>
      <c r="AD435" s="732"/>
      <c r="AE435" s="732"/>
    </row>
    <row r="436">
      <c r="A436" s="742">
        <f>IFERROR(__xludf.DUMMYFUNCTION("""COMPUTED_VALUE"""),383.0)</f>
        <v>383</v>
      </c>
      <c r="B436" s="731" t="str">
        <f>IFERROR(__xludf.DUMMYFUNCTION("""COMPUTED_VALUE"""),"SB_CS_SD")</f>
        <v>SB_CS_SD</v>
      </c>
      <c r="C436" s="731" t="str">
        <f>IFERROR(__xludf.DUMMYFUNCTION("""COMPUTED_VALUE"""),"SB_CS_SD")</f>
        <v>SB_CS_SD</v>
      </c>
      <c r="D436" s="731" t="str">
        <f>IFERROR(__xludf.DUMMYFUNCTION("""COMPUTED_VALUE"""),"Giám đốc TTKD")</f>
        <v>Giám đốc TTKD</v>
      </c>
      <c r="E436" s="731" t="str">
        <f>IFERROR(__xludf.DUMMYFUNCTION("""COMPUTED_VALUE"""),"BOM")</f>
        <v>BOM</v>
      </c>
      <c r="F436" s="731">
        <f>IFERROR(__xludf.DUMMYFUNCTION("""COMPUTED_VALUE"""),3.0)</f>
        <v>3</v>
      </c>
      <c r="G436" s="731" t="str">
        <f>IFERROR(__xludf.DUMMYFUNCTION("""COMPUTED_VALUE"""),"BANTHEM")</f>
        <v>BANTHEM</v>
      </c>
      <c r="H436" s="731" t="str">
        <f>IFERROR(__xludf.DUMMYFUNCTION("""COMPUTED_VALUE"""),"Ban GĐTTKD/ BGĐ khối DA")</f>
        <v>Ban GĐTTKD/ BGĐ khối DA</v>
      </c>
      <c r="I436" s="731" t="str">
        <f>IFERROR(__xludf.DUMMYFUNCTION("""COMPUTED_VALUE"""),"L00")</f>
        <v>L00</v>
      </c>
      <c r="J436" s="731" t="str">
        <f>IFERROR(__xludf.DUMMYFUNCTION("""COMPUTED_VALUE"""),"Công ty cổ phần MISA")</f>
        <v>Công ty cổ phần MISA</v>
      </c>
      <c r="K436" s="729" t="str">
        <f>IFERROR(__xludf.DUMMYFUNCTION("""COMPUTED_VALUE"""),"03 - BGĐ_KD")</f>
        <v>03 - BGĐ_KD</v>
      </c>
      <c r="L436" s="731" t="str">
        <f>IFERROR(__xludf.DUMMYFUNCTION("""COMPUTED_VALUE"""),"Đang theo dõi")</f>
        <v>Đang theo dõi</v>
      </c>
      <c r="M436" s="729"/>
      <c r="N436" s="728" t="str">
        <f>IFERROR(__xludf.DUMMYFUNCTION("""COMPUTED_VALUE"""),"giữ nguyên")</f>
        <v>giữ nguyên</v>
      </c>
      <c r="O436" s="708"/>
      <c r="P436" s="708"/>
      <c r="Q436" s="708"/>
      <c r="R436" s="708"/>
      <c r="S436" s="708"/>
      <c r="T436" s="708"/>
      <c r="U436" s="708"/>
      <c r="V436" s="708"/>
      <c r="W436" s="708"/>
      <c r="X436" s="708"/>
      <c r="Y436" s="708"/>
      <c r="Z436" s="708"/>
      <c r="AA436" s="708"/>
      <c r="AB436" s="708"/>
      <c r="AC436" s="708"/>
      <c r="AD436" s="708"/>
      <c r="AE436" s="708"/>
    </row>
    <row r="437">
      <c r="A437" s="742">
        <f>IFERROR(__xludf.DUMMYFUNCTION("""COMPUTED_VALUE"""),384.0)</f>
        <v>384</v>
      </c>
      <c r="B437" s="731" t="str">
        <f>IFERROR(__xludf.DUMMYFUNCTION("""COMPUTED_VALUE"""),"SB_CS_SM")</f>
        <v>SB_CS_SM</v>
      </c>
      <c r="C437" s="731" t="str">
        <f>IFERROR(__xludf.DUMMYFUNCTION("""COMPUTED_VALUE"""),"SB_CS_SM")</f>
        <v>SB_CS_SM</v>
      </c>
      <c r="D437" s="731" t="str">
        <f>IFERROR(__xludf.DUMMYFUNCTION("""COMPUTED_VALUE"""),"Quản lý kinh doanh (Bán thêm)")</f>
        <v>Quản lý kinh doanh (Bán thêm)</v>
      </c>
      <c r="E437" s="731" t="str">
        <f>IFERROR(__xludf.DUMMYFUNCTION("""COMPUTED_VALUE"""),"SM")</f>
        <v>SM</v>
      </c>
      <c r="F437" s="731">
        <f>IFERROR(__xludf.DUMMYFUNCTION("""COMPUTED_VALUE"""),2.0)</f>
        <v>2</v>
      </c>
      <c r="G437" s="731" t="str">
        <f>IFERROR(__xludf.DUMMYFUNCTION("""COMPUTED_VALUE"""),"BANTHEM")</f>
        <v>BANTHEM</v>
      </c>
      <c r="H437" s="731" t="str">
        <f>IFERROR(__xludf.DUMMYFUNCTION("""COMPUTED_VALUE"""),"TPP/ Trưởng ban")</f>
        <v>TPP/ Trưởng ban</v>
      </c>
      <c r="I437" s="731" t="str">
        <f>IFERROR(__xludf.DUMMYFUNCTION("""COMPUTED_VALUE"""),"L00")</f>
        <v>L00</v>
      </c>
      <c r="J437" s="731" t="str">
        <f>IFERROR(__xludf.DUMMYFUNCTION("""COMPUTED_VALUE"""),"Công ty cổ phần MISA")</f>
        <v>Công ty cổ phần MISA</v>
      </c>
      <c r="K437" s="729" t="str">
        <f>IFERROR(__xludf.DUMMYFUNCTION("""COMPUTED_VALUE"""),"02 - QL_KD")</f>
        <v>02 - QL_KD</v>
      </c>
      <c r="L437" s="731" t="str">
        <f>IFERROR(__xludf.DUMMYFUNCTION("""COMPUTED_VALUE"""),"Đang theo dõi")</f>
        <v>Đang theo dõi</v>
      </c>
      <c r="M437" s="729"/>
      <c r="N437" s="728" t="str">
        <f>IFERROR(__xludf.DUMMYFUNCTION("""COMPUTED_VALUE"""),"giữ nguyên")</f>
        <v>giữ nguyên</v>
      </c>
      <c r="O437" s="708"/>
      <c r="P437" s="708"/>
      <c r="Q437" s="708"/>
      <c r="R437" s="708"/>
      <c r="S437" s="708"/>
      <c r="T437" s="708"/>
      <c r="U437" s="708"/>
      <c r="V437" s="708"/>
      <c r="W437" s="708"/>
      <c r="X437" s="708"/>
      <c r="Y437" s="708"/>
      <c r="Z437" s="708"/>
      <c r="AA437" s="708"/>
      <c r="AB437" s="732"/>
      <c r="AC437" s="732"/>
      <c r="AD437" s="732"/>
      <c r="AE437" s="732"/>
    </row>
    <row r="438">
      <c r="A438" s="742">
        <f>IFERROR(__xludf.DUMMYFUNCTION("""COMPUTED_VALUE"""),385.0)</f>
        <v>385</v>
      </c>
      <c r="B438" s="731" t="str">
        <f>IFERROR(__xludf.DUMMYFUNCTION("""COMPUTED_VALUE"""),"SB_CS_SM_ACT")</f>
        <v>SB_CS_SM_ACT</v>
      </c>
      <c r="C438" s="731" t="str">
        <f>IFERROR(__xludf.DUMMYFUNCTION("""COMPUTED_VALUE"""),"SB_CS_SM_ACT")</f>
        <v>SB_CS_SM_ACT</v>
      </c>
      <c r="D438" s="731" t="str">
        <f>IFERROR(__xludf.DUMMYFUNCTION("""COMPUTED_VALUE"""),"Quản lý kinh doanh (bán thêm)")</f>
        <v>Quản lý kinh doanh (bán thêm)</v>
      </c>
      <c r="E438" s="731" t="str">
        <f>IFERROR(__xludf.DUMMYFUNCTION("""COMPUTED_VALUE"""),"SM")</f>
        <v>SM</v>
      </c>
      <c r="F438" s="731">
        <f>IFERROR(__xludf.DUMMYFUNCTION("""COMPUTED_VALUE"""),2.0)</f>
        <v>2</v>
      </c>
      <c r="G438" s="731" t="str">
        <f>IFERROR(__xludf.DUMMYFUNCTION("""COMPUTED_VALUE"""),"BANTHEM")</f>
        <v>BANTHEM</v>
      </c>
      <c r="H438" s="731" t="str">
        <f>IFERROR(__xludf.DUMMYFUNCTION("""COMPUTED_VALUE"""),"TPP/ Trưởng ban")</f>
        <v>TPP/ Trưởng ban</v>
      </c>
      <c r="I438" s="731" t="str">
        <f>IFERROR(__xludf.DUMMYFUNCTION("""COMPUTED_VALUE"""),"L00")</f>
        <v>L00</v>
      </c>
      <c r="J438" s="731" t="str">
        <f>IFERROR(__xludf.DUMMYFUNCTION("""COMPUTED_VALUE"""),"Công ty cổ phần MISA")</f>
        <v>Công ty cổ phần MISA</v>
      </c>
      <c r="K438" s="729" t="str">
        <f>IFERROR(__xludf.DUMMYFUNCTION("""COMPUTED_VALUE"""),"02 - QL_KD")</f>
        <v>02 - QL_KD</v>
      </c>
      <c r="L438" s="731" t="str">
        <f>IFERROR(__xludf.DUMMYFUNCTION("""COMPUTED_VALUE"""),"Đang theo dõi")</f>
        <v>Đang theo dõi</v>
      </c>
      <c r="M438" s="729"/>
      <c r="N438" s="728" t="str">
        <f>IFERROR(__xludf.DUMMYFUNCTION("""COMPUTED_VALUE"""),"giữ nguyên")</f>
        <v>giữ nguyên</v>
      </c>
      <c r="O438" s="708"/>
      <c r="P438" s="708"/>
      <c r="Q438" s="708"/>
      <c r="R438" s="708"/>
      <c r="S438" s="708"/>
      <c r="T438" s="708"/>
      <c r="U438" s="708"/>
      <c r="V438" s="708"/>
      <c r="W438" s="708"/>
      <c r="X438" s="708"/>
      <c r="Y438" s="708"/>
      <c r="Z438" s="708"/>
      <c r="AA438" s="708"/>
      <c r="AB438" s="726"/>
      <c r="AC438" s="726"/>
      <c r="AD438" s="726"/>
      <c r="AE438" s="726"/>
    </row>
    <row r="439">
      <c r="A439" s="743">
        <f>IFERROR(__xludf.DUMMYFUNCTION("""COMPUTED_VALUE"""),386.0)</f>
        <v>386</v>
      </c>
      <c r="B439" s="729" t="str">
        <f>IFERROR(__xludf.DUMMYFUNCTION("""COMPUTED_VALUE"""),"SB_CS_SM_COV")</f>
        <v>SB_CS_SM_COV</v>
      </c>
      <c r="C439" s="729" t="str">
        <f>IFERROR(__xludf.DUMMYFUNCTION("""COMPUTED_VALUE"""),"SB_CS_SM_COV")</f>
        <v>SB_CS_SM_COV</v>
      </c>
      <c r="D439" s="729" t="str">
        <f>IFERROR(__xludf.DUMMYFUNCTION("""COMPUTED_VALUE"""),"Quản lý kinh doanh (chuyển đổi)")</f>
        <v>Quản lý kinh doanh (chuyển đổi)</v>
      </c>
      <c r="E439" s="729" t="str">
        <f>IFERROR(__xludf.DUMMYFUNCTION("""COMPUTED_VALUE"""),"SM")</f>
        <v>SM</v>
      </c>
      <c r="F439" s="729">
        <f>IFERROR(__xludf.DUMMYFUNCTION("""COMPUTED_VALUE"""),2.0)</f>
        <v>2</v>
      </c>
      <c r="G439" s="729" t="str">
        <f>IFERROR(__xludf.DUMMYFUNCTION("""COMPUTED_VALUE"""),"BANTHEM")</f>
        <v>BANTHEM</v>
      </c>
      <c r="H439" s="729" t="str">
        <f>IFERROR(__xludf.DUMMYFUNCTION("""COMPUTED_VALUE"""),"TPP/ Trưởng ban")</f>
        <v>TPP/ Trưởng ban</v>
      </c>
      <c r="I439" s="729" t="str">
        <f>IFERROR(__xludf.DUMMYFUNCTION("""COMPUTED_VALUE"""),"L00")</f>
        <v>L00</v>
      </c>
      <c r="J439" s="729" t="str">
        <f>IFERROR(__xludf.DUMMYFUNCTION("""COMPUTED_VALUE"""),"Công ty cổ phần MISA")</f>
        <v>Công ty cổ phần MISA</v>
      </c>
      <c r="K439" s="729" t="str">
        <f>IFERROR(__xludf.DUMMYFUNCTION("""COMPUTED_VALUE"""),"02 - QL_KD")</f>
        <v>02 - QL_KD</v>
      </c>
      <c r="L439" s="729" t="str">
        <f>IFERROR(__xludf.DUMMYFUNCTION("""COMPUTED_VALUE"""),"Đang theo dõi")</f>
        <v>Đang theo dõi</v>
      </c>
      <c r="M439" s="729"/>
      <c r="N439" s="728" t="str">
        <f>IFERROR(__xludf.DUMMYFUNCTION("""COMPUTED_VALUE"""),"giữ nguyên")</f>
        <v>giữ nguyên</v>
      </c>
      <c r="O439" s="732"/>
      <c r="P439" s="732"/>
      <c r="Q439" s="732"/>
      <c r="R439" s="732"/>
      <c r="S439" s="732"/>
      <c r="T439" s="732"/>
      <c r="U439" s="732"/>
      <c r="V439" s="732"/>
      <c r="W439" s="732"/>
      <c r="X439" s="732"/>
      <c r="Y439" s="732"/>
      <c r="Z439" s="732"/>
      <c r="AA439" s="732"/>
      <c r="AB439" s="708"/>
      <c r="AC439" s="708"/>
      <c r="AD439" s="708"/>
      <c r="AE439" s="708"/>
    </row>
    <row r="440">
      <c r="A440" s="727">
        <f>IFERROR(__xludf.DUMMYFUNCTION("""COMPUTED_VALUE"""),387.0)</f>
        <v>387</v>
      </c>
      <c r="B440" s="728" t="str">
        <f>IFERROR(__xludf.DUMMYFUNCTION("""COMPUTED_VALUE"""),"SB_CS_SM_MEI")</f>
        <v>SB_CS_SM_MEI</v>
      </c>
      <c r="C440" s="728" t="str">
        <f>IFERROR(__xludf.DUMMYFUNCTION("""COMPUTED_VALUE"""),"SB_CS_SM_MEI")</f>
        <v>SB_CS_SM_MEI</v>
      </c>
      <c r="D440" s="728" t="str">
        <f>IFERROR(__xludf.DUMMYFUNCTION("""COMPUTED_VALUE"""),"Quản lý kinh doanh (bán thêm)")</f>
        <v>Quản lý kinh doanh (bán thêm)</v>
      </c>
      <c r="E440" s="728" t="str">
        <f>IFERROR(__xludf.DUMMYFUNCTION("""COMPUTED_VALUE"""),"SM")</f>
        <v>SM</v>
      </c>
      <c r="F440" s="745">
        <f>IFERROR(__xludf.DUMMYFUNCTION("""COMPUTED_VALUE"""),2.0)</f>
        <v>2</v>
      </c>
      <c r="G440" s="728" t="str">
        <f>IFERROR(__xludf.DUMMYFUNCTION("""COMPUTED_VALUE"""),"BANTHEM")</f>
        <v>BANTHEM</v>
      </c>
      <c r="H440" s="728" t="str">
        <f>IFERROR(__xludf.DUMMYFUNCTION("""COMPUTED_VALUE"""),"TPP/ Trưởng ban")</f>
        <v>TPP/ Trưởng ban</v>
      </c>
      <c r="I440" s="728" t="str">
        <f>IFERROR(__xludf.DUMMYFUNCTION("""COMPUTED_VALUE"""),"L00")</f>
        <v>L00</v>
      </c>
      <c r="J440" s="728" t="str">
        <f>IFERROR(__xludf.DUMMYFUNCTION("""COMPUTED_VALUE"""),"Công ty cổ phần MISA")</f>
        <v>Công ty cổ phần MISA</v>
      </c>
      <c r="K440" s="728" t="str">
        <f>IFERROR(__xludf.DUMMYFUNCTION("""COMPUTED_VALUE"""),"02 - QL_KD")</f>
        <v>02 - QL_KD</v>
      </c>
      <c r="L440" s="728" t="str">
        <f>IFERROR(__xludf.DUMMYFUNCTION("""COMPUTED_VALUE"""),"Đang theo dõi")</f>
        <v>Đang theo dõi</v>
      </c>
      <c r="M440" s="729"/>
      <c r="N440" s="728" t="str">
        <f>IFERROR(__xludf.DUMMYFUNCTION("""COMPUTED_VALUE"""),"giữ nguyên")</f>
        <v>giữ nguyên</v>
      </c>
      <c r="O440" s="732"/>
      <c r="P440" s="732"/>
      <c r="Q440" s="732"/>
      <c r="R440" s="732"/>
      <c r="S440" s="732"/>
      <c r="T440" s="732"/>
      <c r="U440" s="732"/>
      <c r="V440" s="732"/>
      <c r="W440" s="732"/>
      <c r="X440" s="732"/>
      <c r="Y440" s="732"/>
      <c r="Z440" s="732"/>
      <c r="AA440" s="732"/>
      <c r="AB440" s="708"/>
      <c r="AC440" s="708"/>
      <c r="AD440" s="708"/>
      <c r="AE440" s="708"/>
    </row>
    <row r="441">
      <c r="A441" s="727">
        <f>IFERROR(__xludf.DUMMYFUNCTION("""COMPUTED_VALUE"""),388.0)</f>
        <v>388</v>
      </c>
      <c r="B441" s="728" t="str">
        <f>IFERROR(__xludf.DUMMYFUNCTION("""COMPUTED_VALUE"""),"KD_BANTHEM_HDDT_MEI.DA_SM")</f>
        <v>KD_BANTHEM_HDDT_MEI.DA_SM</v>
      </c>
      <c r="C441" s="728" t="str">
        <f>IFERROR(__xludf.DUMMYFUNCTION("""COMPUTED_VALUE"""),"SB_CS_SM_MEI.DA")</f>
        <v>SB_CS_SM_MEI.DA</v>
      </c>
      <c r="D441" s="728" t="str">
        <f>IFERROR(__xludf.DUMMYFUNCTION("""COMPUTED_VALUE"""),"Quản lý kinh doanh")</f>
        <v>Quản lý kinh doanh</v>
      </c>
      <c r="E441" s="728" t="str">
        <f>IFERROR(__xludf.DUMMYFUNCTION("""COMPUTED_VALUE"""),"SM")</f>
        <v>SM</v>
      </c>
      <c r="F441" s="729">
        <f>IFERROR(__xludf.DUMMYFUNCTION("""COMPUTED_VALUE"""),2.0)</f>
        <v>2</v>
      </c>
      <c r="G441" s="728" t="str">
        <f>IFERROR(__xludf.DUMMYFUNCTION("""COMPUTED_VALUE"""),"BANTHEM")</f>
        <v>BANTHEM</v>
      </c>
      <c r="H441" s="728" t="str">
        <f>IFERROR(__xludf.DUMMYFUNCTION("""COMPUTED_VALUE"""),"TPP/ Trưởng ban")</f>
        <v>TPP/ Trưởng ban</v>
      </c>
      <c r="I441" s="728" t="str">
        <f>IFERROR(__xludf.DUMMYFUNCTION("""COMPUTED_VALUE"""),"L00")</f>
        <v>L00</v>
      </c>
      <c r="J441" s="728" t="str">
        <f>IFERROR(__xludf.DUMMYFUNCTION("""COMPUTED_VALUE"""),"Công ty cổ phần MISA")</f>
        <v>Công ty cổ phần MISA</v>
      </c>
      <c r="K441" s="728" t="str">
        <f>IFERROR(__xludf.DUMMYFUNCTION("""COMPUTED_VALUE"""),"02 - QL_KD")</f>
        <v>02 - QL_KD</v>
      </c>
      <c r="L441" s="728" t="str">
        <f>IFERROR(__xludf.DUMMYFUNCTION("""COMPUTED_VALUE"""),"Đang theo dõi")</f>
        <v>Đang theo dõi</v>
      </c>
      <c r="M441" s="729"/>
      <c r="N441" s="728" t="str">
        <f>IFERROR(__xludf.DUMMYFUNCTION("""COMPUTED_VALUE"""),"đổi mã")</f>
        <v>đổi mã</v>
      </c>
      <c r="O441" s="708"/>
      <c r="P441" s="708"/>
      <c r="Q441" s="708"/>
      <c r="R441" s="708"/>
      <c r="S441" s="708"/>
      <c r="T441" s="708"/>
      <c r="U441" s="708"/>
      <c r="V441" s="708"/>
      <c r="W441" s="708"/>
      <c r="X441" s="708"/>
      <c r="Y441" s="708"/>
      <c r="Z441" s="708"/>
      <c r="AA441" s="708"/>
      <c r="AB441" s="708"/>
      <c r="AC441" s="708"/>
      <c r="AD441" s="708"/>
      <c r="AE441" s="708"/>
    </row>
    <row r="442">
      <c r="A442" s="727">
        <f>IFERROR(__xludf.DUMMYFUNCTION("""COMPUTED_VALUE"""),389.0)</f>
        <v>389</v>
      </c>
      <c r="B442" s="728" t="str">
        <f>IFERROR(__xludf.DUMMYFUNCTION("""COMPUTED_VALUE"""),"SB_CS_SM_POS")</f>
        <v>SB_CS_SM_POS</v>
      </c>
      <c r="C442" s="728" t="str">
        <f>IFERROR(__xludf.DUMMYFUNCTION("""COMPUTED_VALUE"""),"SB_CS_SM_POS")</f>
        <v>SB_CS_SM_POS</v>
      </c>
      <c r="D442" s="728" t="str">
        <f>IFERROR(__xludf.DUMMYFUNCTION("""COMPUTED_VALUE"""),"Quản lý kinh doanh (bán thêm)")</f>
        <v>Quản lý kinh doanh (bán thêm)</v>
      </c>
      <c r="E442" s="728" t="str">
        <f>IFERROR(__xludf.DUMMYFUNCTION("""COMPUTED_VALUE"""),"SM")</f>
        <v>SM</v>
      </c>
      <c r="F442" s="745">
        <f>IFERROR(__xludf.DUMMYFUNCTION("""COMPUTED_VALUE"""),2.0)</f>
        <v>2</v>
      </c>
      <c r="G442" s="728" t="str">
        <f>IFERROR(__xludf.DUMMYFUNCTION("""COMPUTED_VALUE"""),"BANTHEM")</f>
        <v>BANTHEM</v>
      </c>
      <c r="H442" s="728" t="str">
        <f>IFERROR(__xludf.DUMMYFUNCTION("""COMPUTED_VALUE"""),"TPP/ Trưởng ban")</f>
        <v>TPP/ Trưởng ban</v>
      </c>
      <c r="I442" s="728" t="str">
        <f>IFERROR(__xludf.DUMMYFUNCTION("""COMPUTED_VALUE"""),"L00")</f>
        <v>L00</v>
      </c>
      <c r="J442" s="728" t="str">
        <f>IFERROR(__xludf.DUMMYFUNCTION("""COMPUTED_VALUE"""),"Công ty cổ phần MISA")</f>
        <v>Công ty cổ phần MISA</v>
      </c>
      <c r="K442" s="728" t="str">
        <f>IFERROR(__xludf.DUMMYFUNCTION("""COMPUTED_VALUE"""),"02 - QL_KD")</f>
        <v>02 - QL_KD</v>
      </c>
      <c r="L442" s="728" t="str">
        <f>IFERROR(__xludf.DUMMYFUNCTION("""COMPUTED_VALUE"""),"Đang theo dõi")</f>
        <v>Đang theo dõi</v>
      </c>
      <c r="M442" s="729"/>
      <c r="N442" s="728" t="str">
        <f>IFERROR(__xludf.DUMMYFUNCTION("""COMPUTED_VALUE"""),"giữ nguyên")</f>
        <v>giữ nguyên</v>
      </c>
      <c r="O442" s="732"/>
      <c r="P442" s="732"/>
      <c r="Q442" s="732"/>
      <c r="R442" s="732"/>
      <c r="S442" s="732"/>
      <c r="T442" s="732"/>
      <c r="U442" s="732"/>
      <c r="V442" s="732"/>
      <c r="W442" s="732"/>
      <c r="X442" s="732"/>
      <c r="Y442" s="732"/>
      <c r="Z442" s="732"/>
      <c r="AA442" s="732"/>
      <c r="AB442" s="708"/>
      <c r="AC442" s="708"/>
      <c r="AD442" s="708"/>
      <c r="AE442" s="708"/>
    </row>
    <row r="443">
      <c r="A443" s="724">
        <f>IFERROR(__xludf.DUMMYFUNCTION("""COMPUTED_VALUE"""),390.0)</f>
        <v>390</v>
      </c>
      <c r="B443" s="725" t="str">
        <f>IFERROR(__xludf.DUMMYFUNCTION("""COMPUTED_VALUE"""),"SB_CS_VSD")</f>
        <v>SB_CS_VSD</v>
      </c>
      <c r="C443" s="725" t="str">
        <f>IFERROR(__xludf.DUMMYFUNCTION("""COMPUTED_VALUE"""),"SB_CS_VSD")</f>
        <v>SB_CS_VSD</v>
      </c>
      <c r="D443" s="725" t="str">
        <f>IFERROR(__xludf.DUMMYFUNCTION("""COMPUTED_VALUE"""),"Phó giám đốc TTKD")</f>
        <v>Phó giám đốc TTKD</v>
      </c>
      <c r="E443" s="725" t="str">
        <f>IFERROR(__xludf.DUMMYFUNCTION("""COMPUTED_VALUE"""),"BOM")</f>
        <v>BOM</v>
      </c>
      <c r="F443" s="725">
        <f>IFERROR(__xludf.DUMMYFUNCTION("""COMPUTED_VALUE"""),3.0)</f>
        <v>3</v>
      </c>
      <c r="G443" s="725" t="str">
        <f>IFERROR(__xludf.DUMMYFUNCTION("""COMPUTED_VALUE"""),"BANTHEM")</f>
        <v>BANTHEM</v>
      </c>
      <c r="H443" s="725" t="str">
        <f>IFERROR(__xludf.DUMMYFUNCTION("""COMPUTED_VALUE"""),"Ban GĐTTKD/ BGĐ khối DA")</f>
        <v>Ban GĐTTKD/ BGĐ khối DA</v>
      </c>
      <c r="I443" s="725" t="str">
        <f>IFERROR(__xludf.DUMMYFUNCTION("""COMPUTED_VALUE"""),"L00")</f>
        <v>L00</v>
      </c>
      <c r="J443" s="725" t="str">
        <f>IFERROR(__xludf.DUMMYFUNCTION("""COMPUTED_VALUE"""),"Công ty cổ phần MISA")</f>
        <v>Công ty cổ phần MISA</v>
      </c>
      <c r="K443" s="725" t="str">
        <f>IFERROR(__xludf.DUMMYFUNCTION("""COMPUTED_VALUE"""),"03 - BGĐ_KD")</f>
        <v>03 - BGĐ_KD</v>
      </c>
      <c r="L443" s="725" t="str">
        <f>IFERROR(__xludf.DUMMYFUNCTION("""COMPUTED_VALUE"""),"Đang theo dõi")</f>
        <v>Đang theo dõi</v>
      </c>
      <c r="M443" s="725"/>
      <c r="N443" s="729" t="str">
        <f>IFERROR(__xludf.DUMMYFUNCTION("""COMPUTED_VALUE"""),"giữ nguyên")</f>
        <v>giữ nguyên</v>
      </c>
      <c r="O443" s="726"/>
      <c r="P443" s="726"/>
      <c r="Q443" s="726"/>
      <c r="R443" s="726"/>
      <c r="S443" s="726"/>
      <c r="T443" s="726"/>
      <c r="U443" s="726"/>
      <c r="V443" s="726"/>
      <c r="W443" s="726"/>
      <c r="X443" s="726"/>
      <c r="Y443" s="726"/>
      <c r="Z443" s="726"/>
      <c r="AA443" s="726"/>
      <c r="AB443" s="708"/>
      <c r="AC443" s="708"/>
      <c r="AD443" s="708"/>
      <c r="AE443" s="708"/>
    </row>
    <row r="444">
      <c r="A444" s="727">
        <f>IFERROR(__xludf.DUMMYFUNCTION("""COMPUTED_VALUE"""),391.0)</f>
        <v>391</v>
      </c>
      <c r="B444" s="728" t="str">
        <f>IFERROR(__xludf.DUMMYFUNCTION("""COMPUTED_VALUE"""),"SB_CSM_ACT")</f>
        <v>SB_CSM_ACT</v>
      </c>
      <c r="C444" s="728" t="str">
        <f>IFERROR(__xludf.DUMMYFUNCTION("""COMPUTED_VALUE"""),"SB_CSM_ACT")</f>
        <v>SB_CSM_ACT</v>
      </c>
      <c r="D444" s="728" t="str">
        <f>IFERROR(__xludf.DUMMYFUNCTION("""COMPUTED_VALUE"""),"NV CSKH")</f>
        <v>NV CSKH</v>
      </c>
      <c r="E444" s="728" t="str">
        <f>IFERROR(__xludf.DUMMYFUNCTION("""COMPUTED_VALUE"""),"CSM")</f>
        <v>CSM</v>
      </c>
      <c r="F444" s="745"/>
      <c r="G444" s="728" t="str">
        <f>IFERROR(__xludf.DUMMYFUNCTION("""COMPUTED_VALUE"""),"CSM")</f>
        <v>CSM</v>
      </c>
      <c r="H444" s="728" t="str">
        <f>IFERROR(__xludf.DUMMYFUNCTION("""COMPUTED_VALUE"""),"Nhân viên/ Chuyên viên/ Chuyên gia")</f>
        <v>Nhân viên/ Chuyên viên/ Chuyên gia</v>
      </c>
      <c r="I444" s="728" t="str">
        <f>IFERROR(__xludf.DUMMYFUNCTION("""COMPUTED_VALUE"""),"L00")</f>
        <v>L00</v>
      </c>
      <c r="J444" s="728" t="str">
        <f>IFERROR(__xludf.DUMMYFUNCTION("""COMPUTED_VALUE"""),"Công ty cổ phần MISA")</f>
        <v>Công ty cổ phần MISA</v>
      </c>
      <c r="K444" s="728"/>
      <c r="L444" s="728" t="str">
        <f>IFERROR(__xludf.DUMMYFUNCTION("""COMPUTED_VALUE"""),"Ngừng")</f>
        <v>Ngừng</v>
      </c>
      <c r="M444" s="729"/>
      <c r="N444" s="728" t="str">
        <f>IFERROR(__xludf.DUMMYFUNCTION("""COMPUTED_VALUE"""),"ngừng")</f>
        <v>ngừng</v>
      </c>
      <c r="O444" s="708"/>
      <c r="P444" s="708"/>
      <c r="Q444" s="708"/>
      <c r="R444" s="708"/>
      <c r="S444" s="708"/>
      <c r="T444" s="708"/>
      <c r="U444" s="708"/>
      <c r="V444" s="708"/>
      <c r="W444" s="708"/>
      <c r="X444" s="708"/>
      <c r="Y444" s="708"/>
      <c r="Z444" s="708"/>
      <c r="AA444" s="708"/>
      <c r="AB444" s="708"/>
      <c r="AC444" s="708"/>
      <c r="AD444" s="708"/>
      <c r="AE444" s="708"/>
    </row>
    <row r="445">
      <c r="A445" s="727">
        <f>IFERROR(__xludf.DUMMYFUNCTION("""COMPUTED_VALUE"""),392.0)</f>
        <v>392</v>
      </c>
      <c r="B445" s="728" t="str">
        <f>IFERROR(__xludf.DUMMYFUNCTION("""COMPUTED_VALUE"""),"SB_CSM_MEI")</f>
        <v>SB_CSM_MEI</v>
      </c>
      <c r="C445" s="728" t="str">
        <f>IFERROR(__xludf.DUMMYFUNCTION("""COMPUTED_VALUE"""),"SB_CSM_MEI")</f>
        <v>SB_CSM_MEI</v>
      </c>
      <c r="D445" s="728" t="str">
        <f>IFERROR(__xludf.DUMMYFUNCTION("""COMPUTED_VALUE"""),"NV CSKH")</f>
        <v>NV CSKH</v>
      </c>
      <c r="E445" s="728" t="str">
        <f>IFERROR(__xludf.DUMMYFUNCTION("""COMPUTED_VALUE"""),"CSM")</f>
        <v>CSM</v>
      </c>
      <c r="F445" s="745"/>
      <c r="G445" s="728" t="str">
        <f>IFERROR(__xludf.DUMMYFUNCTION("""COMPUTED_VALUE"""),"CSM")</f>
        <v>CSM</v>
      </c>
      <c r="H445" s="728" t="str">
        <f>IFERROR(__xludf.DUMMYFUNCTION("""COMPUTED_VALUE"""),"Nhân viên/ Chuyên viên/ Chuyên gia")</f>
        <v>Nhân viên/ Chuyên viên/ Chuyên gia</v>
      </c>
      <c r="I445" s="728" t="str">
        <f>IFERROR(__xludf.DUMMYFUNCTION("""COMPUTED_VALUE"""),"L00")</f>
        <v>L00</v>
      </c>
      <c r="J445" s="728" t="str">
        <f>IFERROR(__xludf.DUMMYFUNCTION("""COMPUTED_VALUE"""),"Công ty cổ phần MISA")</f>
        <v>Công ty cổ phần MISA</v>
      </c>
      <c r="K445" s="728"/>
      <c r="L445" s="728" t="str">
        <f>IFERROR(__xludf.DUMMYFUNCTION("""COMPUTED_VALUE"""),"Ngừng")</f>
        <v>Ngừng</v>
      </c>
      <c r="M445" s="729"/>
      <c r="N445" s="728" t="str">
        <f>IFERROR(__xludf.DUMMYFUNCTION("""COMPUTED_VALUE"""),"ngừng")</f>
        <v>ngừng</v>
      </c>
      <c r="O445" s="708"/>
      <c r="P445" s="708"/>
      <c r="Q445" s="708"/>
      <c r="R445" s="708"/>
      <c r="S445" s="708"/>
      <c r="T445" s="708"/>
      <c r="U445" s="708"/>
      <c r="V445" s="708"/>
      <c r="W445" s="708"/>
      <c r="X445" s="708"/>
      <c r="Y445" s="708"/>
      <c r="Z445" s="708"/>
      <c r="AA445" s="708"/>
      <c r="AB445" s="708"/>
      <c r="AC445" s="708"/>
      <c r="AD445" s="708"/>
      <c r="AE445" s="708"/>
    </row>
    <row r="446">
      <c r="A446" s="727">
        <f>IFERROR(__xludf.DUMMYFUNCTION("""COMPUTED_VALUE"""),393.0)</f>
        <v>393</v>
      </c>
      <c r="B446" s="728" t="str">
        <f>IFERROR(__xludf.DUMMYFUNCTION("""COMPUTED_VALUE"""),"SB_CSM_POS")</f>
        <v>SB_CSM_POS</v>
      </c>
      <c r="C446" s="728" t="str">
        <f>IFERROR(__xludf.DUMMYFUNCTION("""COMPUTED_VALUE"""),"SB_CSM_POS")</f>
        <v>SB_CSM_POS</v>
      </c>
      <c r="D446" s="728" t="str">
        <f>IFERROR(__xludf.DUMMYFUNCTION("""COMPUTED_VALUE"""),"NV CSKH")</f>
        <v>NV CSKH</v>
      </c>
      <c r="E446" s="728" t="str">
        <f>IFERROR(__xludf.DUMMYFUNCTION("""COMPUTED_VALUE"""),"CSM")</f>
        <v>CSM</v>
      </c>
      <c r="F446" s="745"/>
      <c r="G446" s="728" t="str">
        <f>IFERROR(__xludf.DUMMYFUNCTION("""COMPUTED_VALUE"""),"CSM")</f>
        <v>CSM</v>
      </c>
      <c r="H446" s="728" t="str">
        <f>IFERROR(__xludf.DUMMYFUNCTION("""COMPUTED_VALUE"""),"Nhân viên/ Chuyên viên/ Chuyên gia")</f>
        <v>Nhân viên/ Chuyên viên/ Chuyên gia</v>
      </c>
      <c r="I446" s="728" t="str">
        <f>IFERROR(__xludf.DUMMYFUNCTION("""COMPUTED_VALUE"""),"L00")</f>
        <v>L00</v>
      </c>
      <c r="J446" s="728" t="str">
        <f>IFERROR(__xludf.DUMMYFUNCTION("""COMPUTED_VALUE"""),"Công ty cổ phần MISA")</f>
        <v>Công ty cổ phần MISA</v>
      </c>
      <c r="K446" s="728"/>
      <c r="L446" s="728" t="str">
        <f>IFERROR(__xludf.DUMMYFUNCTION("""COMPUTED_VALUE"""),"Ngừng")</f>
        <v>Ngừng</v>
      </c>
      <c r="M446" s="729"/>
      <c r="N446" s="728" t="str">
        <f>IFERROR(__xludf.DUMMYFUNCTION("""COMPUTED_VALUE"""),"ngừng")</f>
        <v>ngừng</v>
      </c>
      <c r="O446" s="708"/>
      <c r="P446" s="708"/>
      <c r="Q446" s="708"/>
      <c r="R446" s="708"/>
      <c r="S446" s="708"/>
      <c r="T446" s="708"/>
      <c r="U446" s="708"/>
      <c r="V446" s="708"/>
      <c r="W446" s="708"/>
      <c r="X446" s="708"/>
      <c r="Y446" s="708"/>
      <c r="Z446" s="708"/>
      <c r="AA446" s="708"/>
      <c r="AB446" s="726"/>
      <c r="AC446" s="726"/>
      <c r="AD446" s="726"/>
      <c r="AE446" s="726"/>
    </row>
    <row r="447">
      <c r="A447" s="727">
        <f>IFERROR(__xludf.DUMMYFUNCTION("""COMPUTED_VALUE"""),394.0)</f>
        <v>394</v>
      </c>
      <c r="B447" s="728" t="str">
        <f>IFERROR(__xludf.DUMMYFUNCTION("""COMPUTED_VALUE"""),"SB_CSMGR_ACT")</f>
        <v>SB_CSMGR_ACT</v>
      </c>
      <c r="C447" s="728" t="str">
        <f>IFERROR(__xludf.DUMMYFUNCTION("""COMPUTED_VALUE"""),"SB_CSMGR_ACT")</f>
        <v>SB_CSMGR_ACT</v>
      </c>
      <c r="D447" s="728" t="str">
        <f>IFERROR(__xludf.DUMMYFUNCTION("""COMPUTED_VALUE"""),"Quản lý bán hàng toàn quốc")</f>
        <v>Quản lý bán hàng toàn quốc</v>
      </c>
      <c r="E447" s="728" t="str">
        <f>IFERROR(__xludf.DUMMYFUNCTION("""COMPUTED_VALUE"""),"BO")</f>
        <v>BO</v>
      </c>
      <c r="F447" s="729"/>
      <c r="G447" s="728" t="str">
        <f>IFERROR(__xludf.DUMMYFUNCTION("""COMPUTED_VALUE"""),"BO")</f>
        <v>BO</v>
      </c>
      <c r="H447" s="728" t="str">
        <f>IFERROR(__xludf.DUMMYFUNCTION("""COMPUTED_VALUE"""),"Nhân viên/ Chuyên viên/ Chuyên gia")</f>
        <v>Nhân viên/ Chuyên viên/ Chuyên gia</v>
      </c>
      <c r="I447" s="728" t="str">
        <f>IFERROR(__xludf.DUMMYFUNCTION("""COMPUTED_VALUE"""),"L00")</f>
        <v>L00</v>
      </c>
      <c r="J447" s="728" t="str">
        <f>IFERROR(__xludf.DUMMYFUNCTION("""COMPUTED_VALUE"""),"Công ty cổ phần MISA")</f>
        <v>Công ty cổ phần MISA</v>
      </c>
      <c r="K447" s="728"/>
      <c r="L447" s="728" t="str">
        <f>IFERROR(__xludf.DUMMYFUNCTION("""COMPUTED_VALUE"""),"Ngừng")</f>
        <v>Ngừng</v>
      </c>
      <c r="M447" s="729"/>
      <c r="N447" s="728" t="str">
        <f>IFERROR(__xludf.DUMMYFUNCTION("""COMPUTED_VALUE"""),"ngừng")</f>
        <v>ngừng</v>
      </c>
      <c r="O447" s="708"/>
      <c r="P447" s="708"/>
      <c r="Q447" s="708"/>
      <c r="R447" s="708"/>
      <c r="S447" s="708"/>
      <c r="T447" s="708"/>
      <c r="U447" s="708"/>
      <c r="V447" s="708"/>
      <c r="W447" s="708"/>
      <c r="X447" s="708"/>
      <c r="Y447" s="708"/>
      <c r="Z447" s="708"/>
      <c r="AA447" s="708"/>
      <c r="AB447" s="708"/>
      <c r="AC447" s="708"/>
      <c r="AD447" s="708"/>
      <c r="AE447" s="708"/>
    </row>
    <row r="448">
      <c r="A448" s="727">
        <f>IFERROR(__xludf.DUMMYFUNCTION("""COMPUTED_VALUE"""),395.0)</f>
        <v>395</v>
      </c>
      <c r="B448" s="728" t="str">
        <f>IFERROR(__xludf.DUMMYFUNCTION("""COMPUTED_VALUE"""),"SB_CSML")</f>
        <v>SB_CSML</v>
      </c>
      <c r="C448" s="728" t="str">
        <f>IFERROR(__xludf.DUMMYFUNCTION("""COMPUTED_VALUE"""),"SB_CSML")</f>
        <v>SB_CSML</v>
      </c>
      <c r="D448" s="728" t="str">
        <f>IFERROR(__xludf.DUMMYFUNCTION("""COMPUTED_VALUE"""),"Trưởng nhóm CSKH")</f>
        <v>Trưởng nhóm CSKH</v>
      </c>
      <c r="E448" s="728" t="str">
        <f>IFERROR(__xludf.DUMMYFUNCTION("""COMPUTED_VALUE"""),"CSML")</f>
        <v>CSML</v>
      </c>
      <c r="F448" s="745">
        <f>IFERROR(__xludf.DUMMYFUNCTION("""COMPUTED_VALUE"""),1.0)</f>
        <v>1</v>
      </c>
      <c r="G448" s="728" t="str">
        <f>IFERROR(__xludf.DUMMYFUNCTION("""COMPUTED_VALUE"""),"CSM")</f>
        <v>CSM</v>
      </c>
      <c r="H448" s="728" t="str">
        <f>IFERROR(__xludf.DUMMYFUNCTION("""COMPUTED_VALUE"""),"Trưởng nhóm")</f>
        <v>Trưởng nhóm</v>
      </c>
      <c r="I448" s="728" t="str">
        <f>IFERROR(__xludf.DUMMYFUNCTION("""COMPUTED_VALUE"""),"L00")</f>
        <v>L00</v>
      </c>
      <c r="J448" s="728" t="str">
        <f>IFERROR(__xludf.DUMMYFUNCTION("""COMPUTED_VALUE"""),"Công ty cổ phần MISA")</f>
        <v>Công ty cổ phần MISA</v>
      </c>
      <c r="K448" s="728"/>
      <c r="L448" s="728" t="str">
        <f>IFERROR(__xludf.DUMMYFUNCTION("""COMPUTED_VALUE"""),"Ngừng")</f>
        <v>Ngừng</v>
      </c>
      <c r="M448" s="729"/>
      <c r="N448" s="728" t="str">
        <f>IFERROR(__xludf.DUMMYFUNCTION("""COMPUTED_VALUE"""),"ngừng")</f>
        <v>ngừng</v>
      </c>
      <c r="O448" s="708"/>
      <c r="P448" s="708"/>
      <c r="Q448" s="708"/>
      <c r="R448" s="708"/>
      <c r="S448" s="708"/>
      <c r="T448" s="708"/>
      <c r="U448" s="708"/>
      <c r="V448" s="708"/>
      <c r="W448" s="708"/>
      <c r="X448" s="708"/>
      <c r="Y448" s="708"/>
      <c r="Z448" s="708"/>
      <c r="AA448" s="708"/>
      <c r="AB448" s="708"/>
      <c r="AC448" s="708"/>
      <c r="AD448" s="708"/>
      <c r="AE448" s="708"/>
    </row>
    <row r="449">
      <c r="A449" s="727">
        <f>IFERROR(__xludf.DUMMYFUNCTION("""COMPUTED_VALUE"""),396.0)</f>
        <v>396</v>
      </c>
      <c r="B449" s="728" t="str">
        <f>IFERROR(__xludf.DUMMYFUNCTION("""COMPUTED_VALUE"""),"SB_CSML_POS")</f>
        <v>SB_CSML_POS</v>
      </c>
      <c r="C449" s="728" t="str">
        <f>IFERROR(__xludf.DUMMYFUNCTION("""COMPUTED_VALUE"""),"SB_CSML_POS")</f>
        <v>SB_CSML_POS</v>
      </c>
      <c r="D449" s="728" t="str">
        <f>IFERROR(__xludf.DUMMYFUNCTION("""COMPUTED_VALUE"""),"Trưởng nhóm CSKH")</f>
        <v>Trưởng nhóm CSKH</v>
      </c>
      <c r="E449" s="728" t="str">
        <f>IFERROR(__xludf.DUMMYFUNCTION("""COMPUTED_VALUE"""),"CSML")</f>
        <v>CSML</v>
      </c>
      <c r="F449" s="745">
        <f>IFERROR(__xludf.DUMMYFUNCTION("""COMPUTED_VALUE"""),1.0)</f>
        <v>1</v>
      </c>
      <c r="G449" s="728" t="str">
        <f>IFERROR(__xludf.DUMMYFUNCTION("""COMPUTED_VALUE"""),"CSM")</f>
        <v>CSM</v>
      </c>
      <c r="H449" s="728" t="str">
        <f>IFERROR(__xludf.DUMMYFUNCTION("""COMPUTED_VALUE"""),"Trưởng nhóm")</f>
        <v>Trưởng nhóm</v>
      </c>
      <c r="I449" s="728" t="str">
        <f>IFERROR(__xludf.DUMMYFUNCTION("""COMPUTED_VALUE"""),"L00")</f>
        <v>L00</v>
      </c>
      <c r="J449" s="728" t="str">
        <f>IFERROR(__xludf.DUMMYFUNCTION("""COMPUTED_VALUE"""),"Công ty cổ phần MISA")</f>
        <v>Công ty cổ phần MISA</v>
      </c>
      <c r="K449" s="728"/>
      <c r="L449" s="728" t="str">
        <f>IFERROR(__xludf.DUMMYFUNCTION("""COMPUTED_VALUE"""),"Ngừng")</f>
        <v>Ngừng</v>
      </c>
      <c r="M449" s="729"/>
      <c r="N449" s="728" t="str">
        <f>IFERROR(__xludf.DUMMYFUNCTION("""COMPUTED_VALUE"""),"ngừng")</f>
        <v>ngừng</v>
      </c>
      <c r="O449" s="708"/>
      <c r="P449" s="708"/>
      <c r="Q449" s="708"/>
      <c r="R449" s="708"/>
      <c r="S449" s="708"/>
      <c r="T449" s="708"/>
      <c r="U449" s="708"/>
      <c r="V449" s="708"/>
      <c r="W449" s="708"/>
      <c r="X449" s="708"/>
      <c r="Y449" s="708"/>
      <c r="Z449" s="708"/>
      <c r="AA449" s="708"/>
      <c r="AB449" s="708"/>
      <c r="AC449" s="708"/>
      <c r="AD449" s="708"/>
      <c r="AE449" s="708"/>
    </row>
    <row r="450">
      <c r="A450" s="727">
        <f>IFERROR(__xludf.DUMMYFUNCTION("""COMPUTED_VALUE"""),397.0)</f>
        <v>397</v>
      </c>
      <c r="B450" s="728" t="str">
        <f>IFERROR(__xludf.DUMMYFUNCTION("""COMPUTED_VALUE"""),"SB_CSMM")</f>
        <v>SB_CSMM</v>
      </c>
      <c r="C450" s="728" t="str">
        <f>IFERROR(__xludf.DUMMYFUNCTION("""COMPUTED_VALUE"""),"SB_CSMM")</f>
        <v>SB_CSMM</v>
      </c>
      <c r="D450" s="728" t="str">
        <f>IFERROR(__xludf.DUMMYFUNCTION("""COMPUTED_VALUE"""),"Trưởng phòng CSKH")</f>
        <v>Trưởng phòng CSKH</v>
      </c>
      <c r="E450" s="728" t="str">
        <f>IFERROR(__xludf.DUMMYFUNCTION("""COMPUTED_VALUE"""),"CSMM")</f>
        <v>CSMM</v>
      </c>
      <c r="F450" s="745">
        <f>IFERROR(__xludf.DUMMYFUNCTION("""COMPUTED_VALUE"""),2.0)</f>
        <v>2</v>
      </c>
      <c r="G450" s="728" t="str">
        <f>IFERROR(__xludf.DUMMYFUNCTION("""COMPUTED_VALUE"""),"CSM")</f>
        <v>CSM</v>
      </c>
      <c r="H450" s="728" t="str">
        <f>IFERROR(__xludf.DUMMYFUNCTION("""COMPUTED_VALUE"""),"TPP/ Trưởng ban")</f>
        <v>TPP/ Trưởng ban</v>
      </c>
      <c r="I450" s="728" t="str">
        <f>IFERROR(__xludf.DUMMYFUNCTION("""COMPUTED_VALUE"""),"L00")</f>
        <v>L00</v>
      </c>
      <c r="J450" s="728" t="str">
        <f>IFERROR(__xludf.DUMMYFUNCTION("""COMPUTED_VALUE"""),"Công ty cổ phần MISA")</f>
        <v>Công ty cổ phần MISA</v>
      </c>
      <c r="K450" s="728"/>
      <c r="L450" s="728" t="str">
        <f>IFERROR(__xludf.DUMMYFUNCTION("""COMPUTED_VALUE"""),"Ngừng")</f>
        <v>Ngừng</v>
      </c>
      <c r="M450" s="729"/>
      <c r="N450" s="728" t="str">
        <f>IFERROR(__xludf.DUMMYFUNCTION("""COMPUTED_VALUE"""),"ngừng")</f>
        <v>ngừng</v>
      </c>
      <c r="O450" s="708"/>
      <c r="P450" s="708"/>
      <c r="Q450" s="708"/>
      <c r="R450" s="708"/>
      <c r="S450" s="708"/>
      <c r="T450" s="708"/>
      <c r="U450" s="708"/>
      <c r="V450" s="708"/>
      <c r="W450" s="708"/>
      <c r="X450" s="708"/>
      <c r="Y450" s="708"/>
      <c r="Z450" s="708"/>
      <c r="AA450" s="708"/>
      <c r="AB450" s="708"/>
      <c r="AC450" s="708"/>
      <c r="AD450" s="708"/>
      <c r="AE450" s="708"/>
    </row>
    <row r="451">
      <c r="A451" s="724"/>
      <c r="B451" s="725"/>
      <c r="C451" s="725"/>
      <c r="D451" s="725"/>
      <c r="E451" s="725"/>
      <c r="F451" s="725"/>
      <c r="G451" s="725"/>
      <c r="H451" s="725"/>
      <c r="I451" s="725"/>
      <c r="J451" s="725"/>
      <c r="K451" s="725"/>
      <c r="L451" s="725"/>
      <c r="M451" s="725"/>
      <c r="N451" s="729" t="str">
        <f>IFERROR(__xludf.DUMMYFUNCTION("""COMPUTED_VALUE"""),"giữ nguyên")</f>
        <v>giữ nguyên</v>
      </c>
      <c r="O451" s="726"/>
      <c r="P451" s="726"/>
      <c r="Q451" s="726"/>
      <c r="R451" s="726"/>
      <c r="S451" s="726"/>
      <c r="T451" s="726"/>
      <c r="U451" s="726"/>
      <c r="V451" s="726"/>
      <c r="W451" s="726"/>
      <c r="X451" s="726"/>
      <c r="Y451" s="726"/>
      <c r="Z451" s="726"/>
      <c r="AA451" s="726"/>
      <c r="AB451" s="708"/>
      <c r="AC451" s="708"/>
      <c r="AD451" s="708"/>
      <c r="AE451" s="708"/>
    </row>
    <row r="452">
      <c r="A452" s="727"/>
      <c r="B452" s="728"/>
      <c r="C452" s="728"/>
      <c r="D452" s="728"/>
      <c r="E452" s="728"/>
      <c r="F452" s="745"/>
      <c r="G452" s="728"/>
      <c r="H452" s="728"/>
      <c r="I452" s="728"/>
      <c r="J452" s="728"/>
      <c r="K452" s="728"/>
      <c r="L452" s="728"/>
      <c r="M452" s="729"/>
      <c r="N452" s="728"/>
      <c r="O452" s="708"/>
      <c r="P452" s="708"/>
      <c r="Q452" s="708"/>
      <c r="R452" s="708"/>
      <c r="S452" s="708"/>
      <c r="T452" s="708"/>
      <c r="U452" s="708"/>
      <c r="V452" s="708"/>
      <c r="W452" s="708"/>
      <c r="X452" s="708"/>
      <c r="Y452" s="708"/>
      <c r="Z452" s="708"/>
      <c r="AA452" s="708"/>
      <c r="AB452" s="708"/>
      <c r="AC452" s="708"/>
      <c r="AD452" s="708"/>
      <c r="AE452" s="708"/>
    </row>
    <row r="453">
      <c r="A453" s="727"/>
      <c r="B453" s="728"/>
      <c r="C453" s="728"/>
      <c r="D453" s="728"/>
      <c r="E453" s="728"/>
      <c r="F453" s="745"/>
      <c r="G453" s="728"/>
      <c r="H453" s="728"/>
      <c r="I453" s="728"/>
      <c r="J453" s="728"/>
      <c r="K453" s="728"/>
      <c r="L453" s="728"/>
      <c r="M453" s="729"/>
      <c r="N453" s="728"/>
      <c r="O453" s="708"/>
      <c r="P453" s="708"/>
      <c r="Q453" s="708"/>
      <c r="R453" s="708"/>
      <c r="S453" s="708"/>
      <c r="T453" s="708"/>
      <c r="U453" s="708"/>
      <c r="V453" s="708"/>
      <c r="W453" s="708"/>
      <c r="X453" s="708"/>
      <c r="Y453" s="708"/>
      <c r="Z453" s="708"/>
      <c r="AA453" s="708"/>
      <c r="AB453" s="708"/>
      <c r="AC453" s="708"/>
      <c r="AD453" s="708"/>
      <c r="AE453" s="708"/>
    </row>
    <row r="454">
      <c r="A454" s="727"/>
      <c r="B454" s="728"/>
      <c r="C454" s="728"/>
      <c r="D454" s="728"/>
      <c r="E454" s="728"/>
      <c r="F454" s="745"/>
      <c r="G454" s="728"/>
      <c r="H454" s="728"/>
      <c r="I454" s="728"/>
      <c r="J454" s="728"/>
      <c r="K454" s="728"/>
      <c r="L454" s="728"/>
      <c r="M454" s="729"/>
      <c r="N454" s="728"/>
      <c r="O454" s="708"/>
      <c r="P454" s="708"/>
      <c r="Q454" s="708"/>
      <c r="R454" s="708"/>
      <c r="S454" s="708"/>
      <c r="T454" s="708"/>
      <c r="U454" s="708"/>
      <c r="V454" s="708"/>
      <c r="W454" s="708"/>
      <c r="X454" s="708"/>
      <c r="Y454" s="708"/>
      <c r="Z454" s="708"/>
      <c r="AA454" s="708"/>
      <c r="AB454" s="708"/>
      <c r="AC454" s="708"/>
      <c r="AD454" s="708"/>
      <c r="AE454" s="708"/>
    </row>
    <row r="455">
      <c r="A455" s="727" t="str">
        <f>IFERROR(__xludf.DUMMYFUNCTION("""COMPUTED_VALUE"""),"TTKD GPKT")</f>
        <v>TTKD GPKT</v>
      </c>
      <c r="B455" s="728"/>
      <c r="C455" s="728"/>
      <c r="D455" s="728"/>
      <c r="E455" s="728"/>
      <c r="F455" s="729"/>
      <c r="G455" s="728"/>
      <c r="H455" s="728"/>
      <c r="I455" s="728"/>
      <c r="J455" s="728"/>
      <c r="K455" s="728"/>
      <c r="L455" s="728"/>
      <c r="M455" s="729"/>
      <c r="N455" s="728"/>
      <c r="O455" s="708"/>
      <c r="P455" s="708"/>
      <c r="Q455" s="708"/>
      <c r="R455" s="708"/>
      <c r="S455" s="708"/>
      <c r="T455" s="708"/>
      <c r="U455" s="708"/>
      <c r="V455" s="708"/>
      <c r="W455" s="708"/>
      <c r="X455" s="708"/>
      <c r="Y455" s="708"/>
      <c r="Z455" s="708"/>
      <c r="AA455" s="708"/>
      <c r="AB455" s="708"/>
      <c r="AC455" s="708"/>
      <c r="AD455" s="708"/>
      <c r="AE455" s="708"/>
    </row>
    <row r="456">
      <c r="A456" s="727">
        <f>IFERROR(__xludf.DUMMYFUNCTION("""COMPUTED_VALUE"""),401.0)</f>
        <v>401</v>
      </c>
      <c r="B456" s="728" t="str">
        <f>IFERROR(__xludf.DUMMYFUNCTION("""COMPUTED_VALUE"""),"SB_NS_A.SD_ACT")</f>
        <v>SB_NS_A.SD_ACT</v>
      </c>
      <c r="C456" s="728" t="str">
        <f>IFERROR(__xludf.DUMMYFUNCTION("""COMPUTED_VALUE"""),"SB_NS_A.SD_ACT")</f>
        <v>SB_NS_A.SD_ACT</v>
      </c>
      <c r="D456" s="728" t="str">
        <f>IFERROR(__xludf.DUMMYFUNCTION("""COMPUTED_VALUE"""),"Q. Giám đốc TTKD")</f>
        <v>Q. Giám đốc TTKD</v>
      </c>
      <c r="E456" s="728" t="str">
        <f>IFERROR(__xludf.DUMMYFUNCTION("""COMPUTED_VALUE"""),"BOM")</f>
        <v>BOM</v>
      </c>
      <c r="F456" s="729">
        <f>IFERROR(__xludf.DUMMYFUNCTION("""COMPUTED_VALUE"""),3.0)</f>
        <v>3</v>
      </c>
      <c r="G456" s="728" t="str">
        <f>IFERROR(__xludf.DUMMYFUNCTION("""COMPUTED_VALUE"""),"GPKT")</f>
        <v>GPKT</v>
      </c>
      <c r="H456" s="728" t="str">
        <f>IFERROR(__xludf.DUMMYFUNCTION("""COMPUTED_VALUE"""),"Ban GĐTTKD/ BGĐ khối DA")</f>
        <v>Ban GĐTTKD/ BGĐ khối DA</v>
      </c>
      <c r="I456" s="728" t="str">
        <f>IFERROR(__xludf.DUMMYFUNCTION("""COMPUTED_VALUE"""),"L00")</f>
        <v>L00</v>
      </c>
      <c r="J456" s="728" t="str">
        <f>IFERROR(__xludf.DUMMYFUNCTION("""COMPUTED_VALUE"""),"Công ty cổ phần MISA")</f>
        <v>Công ty cổ phần MISA</v>
      </c>
      <c r="K456" s="728" t="str">
        <f>IFERROR(__xludf.DUMMYFUNCTION("""COMPUTED_VALUE"""),"03 - BGĐ_KD")</f>
        <v>03 - BGĐ_KD</v>
      </c>
      <c r="L456" s="728" t="str">
        <f>IFERROR(__xludf.DUMMYFUNCTION("""COMPUTED_VALUE"""),"Đang theo dõi")</f>
        <v>Đang theo dõi</v>
      </c>
      <c r="M456" s="729"/>
      <c r="N456" s="728" t="str">
        <f>IFERROR(__xludf.DUMMYFUNCTION("""COMPUTED_VALUE"""),"giữ nguyên")</f>
        <v>giữ nguyên</v>
      </c>
      <c r="O456" s="708"/>
      <c r="P456" s="708"/>
      <c r="Q456" s="708"/>
      <c r="R456" s="708"/>
      <c r="S456" s="708"/>
      <c r="T456" s="708"/>
      <c r="U456" s="708"/>
      <c r="V456" s="708"/>
      <c r="W456" s="708"/>
      <c r="X456" s="708"/>
      <c r="Y456" s="708"/>
      <c r="Z456" s="708"/>
      <c r="AA456" s="708"/>
      <c r="AB456" s="726"/>
      <c r="AC456" s="726"/>
      <c r="AD456" s="726"/>
      <c r="AE456" s="726"/>
    </row>
    <row r="457">
      <c r="A457" s="727">
        <f>IFERROR(__xludf.DUMMYFUNCTION("""COMPUTED_VALUE"""),403.0)</f>
        <v>403</v>
      </c>
      <c r="B457" s="728" t="str">
        <f>IFERROR(__xludf.DUMMYFUNCTION("""COMPUTED_VALUE"""),"SB_NS_A.SM_ACT")</f>
        <v>SB_NS_A.SM_ACT</v>
      </c>
      <c r="C457" s="728" t="str">
        <f>IFERROR(__xludf.DUMMYFUNCTION("""COMPUTED_VALUE"""),"SB_NS_A.SM_ACT")</f>
        <v>SB_NS_A.SM_ACT</v>
      </c>
      <c r="D457" s="728" t="str">
        <f>IFERROR(__xludf.DUMMYFUNCTION("""COMPUTED_VALUE"""),"Q. Quản lý kinh doanh")</f>
        <v>Q. Quản lý kinh doanh</v>
      </c>
      <c r="E457" s="728" t="str">
        <f>IFERROR(__xludf.DUMMYFUNCTION("""COMPUTED_VALUE"""),"SM")</f>
        <v>SM</v>
      </c>
      <c r="F457" s="729">
        <f>IFERROR(__xludf.DUMMYFUNCTION("""COMPUTED_VALUE"""),2.0)</f>
        <v>2</v>
      </c>
      <c r="G457" s="728" t="str">
        <f>IFERROR(__xludf.DUMMYFUNCTION("""COMPUTED_VALUE"""),"GPKT")</f>
        <v>GPKT</v>
      </c>
      <c r="H457" s="728" t="str">
        <f>IFERROR(__xludf.DUMMYFUNCTION("""COMPUTED_VALUE"""),"TPP/ Trưởng ban")</f>
        <v>TPP/ Trưởng ban</v>
      </c>
      <c r="I457" s="728" t="str">
        <f>IFERROR(__xludf.DUMMYFUNCTION("""COMPUTED_VALUE"""),"L00")</f>
        <v>L00</v>
      </c>
      <c r="J457" s="728" t="str">
        <f>IFERROR(__xludf.DUMMYFUNCTION("""COMPUTED_VALUE"""),"Công ty cổ phần MISA")</f>
        <v>Công ty cổ phần MISA</v>
      </c>
      <c r="K457" s="728" t="str">
        <f>IFERROR(__xludf.DUMMYFUNCTION("""COMPUTED_VALUE"""),"02 - QL_KD")</f>
        <v>02 - QL_KD</v>
      </c>
      <c r="L457" s="728" t="str">
        <f>IFERROR(__xludf.DUMMYFUNCTION("""COMPUTED_VALUE"""),"Đang theo dõi")</f>
        <v>Đang theo dõi</v>
      </c>
      <c r="M457" s="729"/>
      <c r="N457" s="728" t="str">
        <f>IFERROR(__xludf.DUMMYFUNCTION("""COMPUTED_VALUE"""),"giữ nguyên")</f>
        <v>giữ nguyên</v>
      </c>
      <c r="O457" s="708"/>
      <c r="P457" s="708"/>
      <c r="Q457" s="708"/>
      <c r="R457" s="708"/>
      <c r="S457" s="708"/>
      <c r="T457" s="708"/>
      <c r="U457" s="708"/>
      <c r="V457" s="708"/>
      <c r="W457" s="708"/>
      <c r="X457" s="708"/>
      <c r="Y457" s="708"/>
      <c r="Z457" s="708"/>
      <c r="AA457" s="708"/>
      <c r="AB457" s="708"/>
      <c r="AC457" s="708"/>
      <c r="AD457" s="708"/>
      <c r="AE457" s="708"/>
    </row>
    <row r="458">
      <c r="A458" s="727">
        <f>IFERROR(__xludf.DUMMYFUNCTION("""COMPUTED_VALUE"""),406.0)</f>
        <v>406</v>
      </c>
      <c r="B458" s="728" t="str">
        <f>IFERROR(__xludf.DUMMYFUNCTION("""COMPUTED_VALUE"""),"SB_NS_A.VSD_ACT")</f>
        <v>SB_NS_A.VSD_ACT</v>
      </c>
      <c r="C458" s="728" t="str">
        <f>IFERROR(__xludf.DUMMYFUNCTION("""COMPUTED_VALUE"""),"SB_NS_A.VSD_ACT")</f>
        <v>SB_NS_A.VSD_ACT</v>
      </c>
      <c r="D458" s="728" t="str">
        <f>IFERROR(__xludf.DUMMYFUNCTION("""COMPUTED_VALUE"""),"Q. Phó giám đốc TTKD")</f>
        <v>Q. Phó giám đốc TTKD</v>
      </c>
      <c r="E458" s="728" t="str">
        <f>IFERROR(__xludf.DUMMYFUNCTION("""COMPUTED_VALUE"""),"BOM")</f>
        <v>BOM</v>
      </c>
      <c r="F458" s="745">
        <f>IFERROR(__xludf.DUMMYFUNCTION("""COMPUTED_VALUE"""),3.0)</f>
        <v>3</v>
      </c>
      <c r="G458" s="728" t="str">
        <f>IFERROR(__xludf.DUMMYFUNCTION("""COMPUTED_VALUE"""),"GPKT")</f>
        <v>GPKT</v>
      </c>
      <c r="H458" s="728" t="str">
        <f>IFERROR(__xludf.DUMMYFUNCTION("""COMPUTED_VALUE"""),"Ban GĐTTKD/ BGĐ khối DA")</f>
        <v>Ban GĐTTKD/ BGĐ khối DA</v>
      </c>
      <c r="I458" s="728" t="str">
        <f>IFERROR(__xludf.DUMMYFUNCTION("""COMPUTED_VALUE"""),"L00")</f>
        <v>L00</v>
      </c>
      <c r="J458" s="728" t="str">
        <f>IFERROR(__xludf.DUMMYFUNCTION("""COMPUTED_VALUE"""),"Công ty cổ phần MISA")</f>
        <v>Công ty cổ phần MISA</v>
      </c>
      <c r="K458" s="728" t="str">
        <f>IFERROR(__xludf.DUMMYFUNCTION("""COMPUTED_VALUE"""),"03 - BGĐ_KD")</f>
        <v>03 - BGĐ_KD</v>
      </c>
      <c r="L458" s="728" t="str">
        <f>IFERROR(__xludf.DUMMYFUNCTION("""COMPUTED_VALUE"""),"Đang theo dõi")</f>
        <v>Đang theo dõi</v>
      </c>
      <c r="M458" s="729"/>
      <c r="N458" s="728" t="str">
        <f>IFERROR(__xludf.DUMMYFUNCTION("""COMPUTED_VALUE"""),"giữ nguyên")</f>
        <v>giữ nguyên</v>
      </c>
      <c r="O458" s="708"/>
      <c r="P458" s="708"/>
      <c r="Q458" s="708"/>
      <c r="R458" s="708"/>
      <c r="S458" s="708"/>
      <c r="T458" s="708"/>
      <c r="U458" s="708"/>
      <c r="V458" s="708"/>
      <c r="W458" s="708"/>
      <c r="X458" s="708"/>
      <c r="Y458" s="708"/>
      <c r="Z458" s="708"/>
      <c r="AA458" s="708"/>
      <c r="AB458" s="708"/>
      <c r="AC458" s="708"/>
      <c r="AD458" s="708"/>
      <c r="AE458" s="708"/>
    </row>
    <row r="459">
      <c r="A459" s="727">
        <f>IFERROR(__xludf.DUMMYFUNCTION("""COMPUTED_VALUE"""),409.0)</f>
        <v>409</v>
      </c>
      <c r="B459" s="728" t="str">
        <f>IFERROR(__xludf.DUMMYFUNCTION("""COMPUTED_VALUE"""),"SB_NS_AE_ACT")</f>
        <v>SB_NS_AE_ACT</v>
      </c>
      <c r="C459" s="728" t="str">
        <f>IFERROR(__xludf.DUMMYFUNCTION("""COMPUTED_VALUE"""),"SB_NS_AE_ACT")</f>
        <v>SB_NS_AE_ACT</v>
      </c>
      <c r="D459" s="728" t="str">
        <f>IFERROR(__xludf.DUMMYFUNCTION("""COMPUTED_VALUE"""),"NV Tư vấn bán hàng")</f>
        <v>NV Tư vấn bán hàng</v>
      </c>
      <c r="E459" s="728" t="str">
        <f>IFERROR(__xludf.DUMMYFUNCTION("""COMPUTED_VALUE"""),"AE")</f>
        <v>AE</v>
      </c>
      <c r="F459" s="745"/>
      <c r="G459" s="728" t="str">
        <f>IFERROR(__xludf.DUMMYFUNCTION("""COMPUTED_VALUE"""),"GPKT")</f>
        <v>GPKT</v>
      </c>
      <c r="H459" s="728" t="str">
        <f>IFERROR(__xludf.DUMMYFUNCTION("""COMPUTED_VALUE"""),"Nhân viên/ Chuyên viên/ Chuyên gia")</f>
        <v>Nhân viên/ Chuyên viên/ Chuyên gia</v>
      </c>
      <c r="I459" s="728" t="str">
        <f>IFERROR(__xludf.DUMMYFUNCTION("""COMPUTED_VALUE"""),"L00")</f>
        <v>L00</v>
      </c>
      <c r="J459" s="728" t="str">
        <f>IFERROR(__xludf.DUMMYFUNCTION("""COMPUTED_VALUE"""),"Công ty cổ phần MISA")</f>
        <v>Công ty cổ phần MISA</v>
      </c>
      <c r="K459" s="728" t="str">
        <f>IFERROR(__xludf.DUMMYFUNCTION("""COMPUTED_VALUE"""),"01 - NV_KD")</f>
        <v>01 - NV_KD</v>
      </c>
      <c r="L459" s="728" t="str">
        <f>IFERROR(__xludf.DUMMYFUNCTION("""COMPUTED_VALUE"""),"Đang theo dõi")</f>
        <v>Đang theo dõi</v>
      </c>
      <c r="M459" s="729"/>
      <c r="N459" s="728" t="str">
        <f>IFERROR(__xludf.DUMMYFUNCTION("""COMPUTED_VALUE"""),"giữ nguyên")</f>
        <v>giữ nguyên</v>
      </c>
      <c r="O459" s="708"/>
      <c r="P459" s="708"/>
      <c r="Q459" s="708"/>
      <c r="R459" s="708"/>
      <c r="S459" s="708"/>
      <c r="T459" s="708"/>
      <c r="U459" s="708"/>
      <c r="V459" s="708"/>
      <c r="W459" s="708"/>
      <c r="X459" s="708"/>
      <c r="Y459" s="708"/>
      <c r="Z459" s="708"/>
      <c r="AA459" s="708"/>
      <c r="AB459" s="708"/>
      <c r="AC459" s="708"/>
      <c r="AD459" s="708"/>
      <c r="AE459" s="708"/>
    </row>
    <row r="460">
      <c r="A460" s="727">
        <f>IFERROR(__xludf.DUMMYFUNCTION("""COMPUTED_VALUE"""),413.0)</f>
        <v>413</v>
      </c>
      <c r="B460" s="728" t="str">
        <f>IFERROR(__xludf.DUMMYFUNCTION("""COMPUTED_VALUE"""),"SB_NS_SD_ACT")</f>
        <v>SB_NS_SD_ACT</v>
      </c>
      <c r="C460" s="728" t="str">
        <f>IFERROR(__xludf.DUMMYFUNCTION("""COMPUTED_VALUE"""),"SB_NS_SD_ACT")</f>
        <v>SB_NS_SD_ACT</v>
      </c>
      <c r="D460" s="728" t="str">
        <f>IFERROR(__xludf.DUMMYFUNCTION("""COMPUTED_VALUE"""),"Giám đốc TTKD")</f>
        <v>Giám đốc TTKD</v>
      </c>
      <c r="E460" s="728" t="str">
        <f>IFERROR(__xludf.DUMMYFUNCTION("""COMPUTED_VALUE"""),"BOM")</f>
        <v>BOM</v>
      </c>
      <c r="F460" s="745">
        <f>IFERROR(__xludf.DUMMYFUNCTION("""COMPUTED_VALUE"""),3.0)</f>
        <v>3</v>
      </c>
      <c r="G460" s="728" t="str">
        <f>IFERROR(__xludf.DUMMYFUNCTION("""COMPUTED_VALUE"""),"GPKT")</f>
        <v>GPKT</v>
      </c>
      <c r="H460" s="728" t="str">
        <f>IFERROR(__xludf.DUMMYFUNCTION("""COMPUTED_VALUE"""),"Ban GĐTTKD/ BGĐ khối DA")</f>
        <v>Ban GĐTTKD/ BGĐ khối DA</v>
      </c>
      <c r="I460" s="728" t="str">
        <f>IFERROR(__xludf.DUMMYFUNCTION("""COMPUTED_VALUE"""),"L00")</f>
        <v>L00</v>
      </c>
      <c r="J460" s="728" t="str">
        <f>IFERROR(__xludf.DUMMYFUNCTION("""COMPUTED_VALUE"""),"Công ty cổ phần MISA")</f>
        <v>Công ty cổ phần MISA</v>
      </c>
      <c r="K460" s="728" t="str">
        <f>IFERROR(__xludf.DUMMYFUNCTION("""COMPUTED_VALUE"""),"03 - BGĐ_KD")</f>
        <v>03 - BGĐ_KD</v>
      </c>
      <c r="L460" s="728" t="str">
        <f>IFERROR(__xludf.DUMMYFUNCTION("""COMPUTED_VALUE"""),"Đang theo dõi")</f>
        <v>Đang theo dõi</v>
      </c>
      <c r="M460" s="729"/>
      <c r="N460" s="728" t="str">
        <f>IFERROR(__xludf.DUMMYFUNCTION("""COMPUTED_VALUE"""),"giữ nguyên")</f>
        <v>giữ nguyên</v>
      </c>
      <c r="O460" s="708"/>
      <c r="P460" s="708"/>
      <c r="Q460" s="708"/>
      <c r="R460" s="708"/>
      <c r="S460" s="708"/>
      <c r="T460" s="708"/>
      <c r="U460" s="708"/>
      <c r="V460" s="708"/>
      <c r="W460" s="708"/>
      <c r="X460" s="708"/>
      <c r="Y460" s="708"/>
      <c r="Z460" s="708"/>
      <c r="AA460" s="708"/>
      <c r="AB460" s="708"/>
      <c r="AC460" s="708"/>
      <c r="AD460" s="708"/>
      <c r="AE460" s="708"/>
    </row>
    <row r="461">
      <c r="A461" s="724">
        <f>IFERROR(__xludf.DUMMYFUNCTION("""COMPUTED_VALUE"""),415.0)</f>
        <v>415</v>
      </c>
      <c r="B461" s="725" t="str">
        <f>IFERROR(__xludf.DUMMYFUNCTION("""COMPUTED_VALUE"""),"SB_NS_SM_ACT")</f>
        <v>SB_NS_SM_ACT</v>
      </c>
      <c r="C461" s="725" t="str">
        <f>IFERROR(__xludf.DUMMYFUNCTION("""COMPUTED_VALUE"""),"SB_NS_SM_ACT")</f>
        <v>SB_NS_SM_ACT</v>
      </c>
      <c r="D461" s="725" t="str">
        <f>IFERROR(__xludf.DUMMYFUNCTION("""COMPUTED_VALUE"""),"Quản lý kinh doanh")</f>
        <v>Quản lý kinh doanh</v>
      </c>
      <c r="E461" s="725" t="str">
        <f>IFERROR(__xludf.DUMMYFUNCTION("""COMPUTED_VALUE"""),"SM")</f>
        <v>SM</v>
      </c>
      <c r="F461" s="725">
        <f>IFERROR(__xludf.DUMMYFUNCTION("""COMPUTED_VALUE"""),2.0)</f>
        <v>2</v>
      </c>
      <c r="G461" s="725" t="str">
        <f>IFERROR(__xludf.DUMMYFUNCTION("""COMPUTED_VALUE"""),"GPKT")</f>
        <v>GPKT</v>
      </c>
      <c r="H461" s="725" t="str">
        <f>IFERROR(__xludf.DUMMYFUNCTION("""COMPUTED_VALUE"""),"TPP/ Trưởng ban")</f>
        <v>TPP/ Trưởng ban</v>
      </c>
      <c r="I461" s="725" t="str">
        <f>IFERROR(__xludf.DUMMYFUNCTION("""COMPUTED_VALUE"""),"L00")</f>
        <v>L00</v>
      </c>
      <c r="J461" s="725" t="str">
        <f>IFERROR(__xludf.DUMMYFUNCTION("""COMPUTED_VALUE"""),"Công ty cổ phần MISA")</f>
        <v>Công ty cổ phần MISA</v>
      </c>
      <c r="K461" s="725" t="str">
        <f>IFERROR(__xludf.DUMMYFUNCTION("""COMPUTED_VALUE"""),"02 - QL_KD")</f>
        <v>02 - QL_KD</v>
      </c>
      <c r="L461" s="725" t="str">
        <f>IFERROR(__xludf.DUMMYFUNCTION("""COMPUTED_VALUE"""),"Đang theo dõi")</f>
        <v>Đang theo dõi</v>
      </c>
      <c r="M461" s="725"/>
      <c r="N461" s="729" t="str">
        <f>IFERROR(__xludf.DUMMYFUNCTION("""COMPUTED_VALUE"""),"giữ nguyên")</f>
        <v>giữ nguyên</v>
      </c>
      <c r="O461" s="726"/>
      <c r="P461" s="726"/>
      <c r="Q461" s="726"/>
      <c r="R461" s="726"/>
      <c r="S461" s="726"/>
      <c r="T461" s="726"/>
      <c r="U461" s="726"/>
      <c r="V461" s="726"/>
      <c r="W461" s="726"/>
      <c r="X461" s="726"/>
      <c r="Y461" s="726"/>
      <c r="Z461" s="726"/>
      <c r="AA461" s="726"/>
      <c r="AB461" s="726"/>
      <c r="AC461" s="726"/>
      <c r="AD461" s="726"/>
      <c r="AE461" s="726"/>
    </row>
    <row r="462">
      <c r="A462" s="727">
        <f>IFERROR(__xludf.DUMMYFUNCTION("""COMPUTED_VALUE"""),418.0)</f>
        <v>418</v>
      </c>
      <c r="B462" s="738" t="str">
        <f>IFERROR(__xludf.DUMMYFUNCTION("""COMPUTED_VALUE"""),"SB_NS_VSD_ACT")</f>
        <v>SB_NS_VSD_ACT</v>
      </c>
      <c r="C462" s="750" t="str">
        <f>IFERROR(__xludf.DUMMYFUNCTION("""COMPUTED_VALUE"""),"SB_NS_VSD_ACT")</f>
        <v>SB_NS_VSD_ACT</v>
      </c>
      <c r="D462" s="728" t="str">
        <f>IFERROR(__xludf.DUMMYFUNCTION("""COMPUTED_VALUE"""),"Phó giám đốc TTKD")</f>
        <v>Phó giám đốc TTKD</v>
      </c>
      <c r="E462" s="728" t="str">
        <f>IFERROR(__xludf.DUMMYFUNCTION("""COMPUTED_VALUE"""),"BOM")</f>
        <v>BOM</v>
      </c>
      <c r="F462" s="728">
        <f>IFERROR(__xludf.DUMMYFUNCTION("""COMPUTED_VALUE"""),3.0)</f>
        <v>3</v>
      </c>
      <c r="G462" s="728" t="str">
        <f>IFERROR(__xludf.DUMMYFUNCTION("""COMPUTED_VALUE"""),"GPKT")</f>
        <v>GPKT</v>
      </c>
      <c r="H462" s="728" t="str">
        <f>IFERROR(__xludf.DUMMYFUNCTION("""COMPUTED_VALUE"""),"Ban GĐTTKD/ BGĐ khối DA")</f>
        <v>Ban GĐTTKD/ BGĐ khối DA</v>
      </c>
      <c r="I462" s="728" t="str">
        <f>IFERROR(__xludf.DUMMYFUNCTION("""COMPUTED_VALUE"""),"L00")</f>
        <v>L00</v>
      </c>
      <c r="J462" s="728" t="str">
        <f>IFERROR(__xludf.DUMMYFUNCTION("""COMPUTED_VALUE"""),"Công ty cổ phần MISA")</f>
        <v>Công ty cổ phần MISA</v>
      </c>
      <c r="K462" s="728" t="str">
        <f>IFERROR(__xludf.DUMMYFUNCTION("""COMPUTED_VALUE"""),"03 - BGĐ_KD")</f>
        <v>03 - BGĐ_KD</v>
      </c>
      <c r="L462" s="728" t="str">
        <f>IFERROR(__xludf.DUMMYFUNCTION("""COMPUTED_VALUE"""),"Đang theo dõi")</f>
        <v>Đang theo dõi</v>
      </c>
      <c r="M462" s="729"/>
      <c r="N462" s="728" t="str">
        <f>IFERROR(__xludf.DUMMYFUNCTION("""COMPUTED_VALUE"""),"giữ nguyên")</f>
        <v>giữ nguyên</v>
      </c>
      <c r="O462" s="708"/>
      <c r="P462" s="708"/>
      <c r="Q462" s="708"/>
      <c r="R462" s="708"/>
      <c r="S462" s="708"/>
      <c r="T462" s="708"/>
      <c r="U462" s="708"/>
      <c r="V462" s="708"/>
      <c r="W462" s="708"/>
      <c r="X462" s="708"/>
      <c r="Y462" s="708"/>
      <c r="Z462" s="708"/>
      <c r="AA462" s="708"/>
      <c r="AB462" s="708"/>
      <c r="AC462" s="708"/>
      <c r="AD462" s="708"/>
      <c r="AE462" s="708"/>
    </row>
    <row r="463">
      <c r="A463" s="727" t="str">
        <f>IFERROR(__xludf.DUMMYFUNCTION("""COMPUTED_VALUE"""),"TTKD HDDT")</f>
        <v>TTKD HDDT</v>
      </c>
      <c r="B463" s="728"/>
      <c r="C463" s="728"/>
      <c r="D463" s="728"/>
      <c r="E463" s="728"/>
      <c r="F463" s="729"/>
      <c r="G463" s="728"/>
      <c r="H463" s="728"/>
      <c r="I463" s="728"/>
      <c r="J463" s="728"/>
      <c r="K463" s="728"/>
      <c r="L463" s="728"/>
      <c r="M463" s="729"/>
      <c r="N463" s="728"/>
      <c r="O463" s="708"/>
      <c r="P463" s="708"/>
      <c r="Q463" s="708"/>
      <c r="R463" s="708"/>
      <c r="S463" s="708"/>
      <c r="T463" s="708"/>
      <c r="U463" s="708"/>
      <c r="V463" s="708"/>
      <c r="W463" s="708"/>
      <c r="X463" s="708"/>
      <c r="Y463" s="708"/>
      <c r="Z463" s="708"/>
      <c r="AA463" s="708"/>
      <c r="AB463" s="708"/>
      <c r="AC463" s="708"/>
      <c r="AD463" s="708"/>
      <c r="AE463" s="708"/>
    </row>
    <row r="464">
      <c r="A464" s="727">
        <f>IFERROR(__xludf.DUMMYFUNCTION("""COMPUTED_VALUE"""),402.0)</f>
        <v>402</v>
      </c>
      <c r="B464" s="728" t="str">
        <f>IFERROR(__xludf.DUMMYFUNCTION("""COMPUTED_VALUE"""),"SB_NS_A.SD_MEI")</f>
        <v>SB_NS_A.SD_MEI</v>
      </c>
      <c r="C464" s="728" t="str">
        <f>IFERROR(__xludf.DUMMYFUNCTION("""COMPUTED_VALUE"""),"SB_NS_A.SD_MEI")</f>
        <v>SB_NS_A.SD_MEI</v>
      </c>
      <c r="D464" s="728" t="str">
        <f>IFERROR(__xludf.DUMMYFUNCTION("""COMPUTED_VALUE"""),"Q. Giám đốc TTKD")</f>
        <v>Q. Giám đốc TTKD</v>
      </c>
      <c r="E464" s="728" t="str">
        <f>IFERROR(__xludf.DUMMYFUNCTION("""COMPUTED_VALUE"""),"BOM")</f>
        <v>BOM</v>
      </c>
      <c r="F464" s="729">
        <f>IFERROR(__xludf.DUMMYFUNCTION("""COMPUTED_VALUE"""),3.0)</f>
        <v>3</v>
      </c>
      <c r="G464" s="728" t="str">
        <f>IFERROR(__xludf.DUMMYFUNCTION("""COMPUTED_VALUE"""),"HDDT")</f>
        <v>HDDT</v>
      </c>
      <c r="H464" s="728" t="str">
        <f>IFERROR(__xludf.DUMMYFUNCTION("""COMPUTED_VALUE"""),"Ban GĐTTKD/ BGĐ khối DA")</f>
        <v>Ban GĐTTKD/ BGĐ khối DA</v>
      </c>
      <c r="I464" s="728" t="str">
        <f>IFERROR(__xludf.DUMMYFUNCTION("""COMPUTED_VALUE"""),"L00")</f>
        <v>L00</v>
      </c>
      <c r="J464" s="728" t="str">
        <f>IFERROR(__xludf.DUMMYFUNCTION("""COMPUTED_VALUE"""),"Công ty cổ phần MISA")</f>
        <v>Công ty cổ phần MISA</v>
      </c>
      <c r="K464" s="729" t="str">
        <f>IFERROR(__xludf.DUMMYFUNCTION("""COMPUTED_VALUE"""),"03 - BGĐ_KD")</f>
        <v>03 - BGĐ_KD</v>
      </c>
      <c r="L464" s="728" t="str">
        <f>IFERROR(__xludf.DUMMYFUNCTION("""COMPUTED_VALUE"""),"Ngừng")</f>
        <v>Ngừng</v>
      </c>
      <c r="M464" s="729"/>
      <c r="N464" s="728" t="str">
        <f>IFERROR(__xludf.DUMMYFUNCTION("""COMPUTED_VALUE"""),"Ngừng")</f>
        <v>Ngừng</v>
      </c>
      <c r="O464" s="708"/>
      <c r="P464" s="708"/>
      <c r="Q464" s="708"/>
      <c r="R464" s="708"/>
      <c r="S464" s="708"/>
      <c r="T464" s="708"/>
      <c r="U464" s="708"/>
      <c r="V464" s="708"/>
      <c r="W464" s="708"/>
      <c r="X464" s="708"/>
      <c r="Y464" s="708"/>
      <c r="Z464" s="708"/>
      <c r="AA464" s="708"/>
      <c r="AB464" s="708"/>
      <c r="AC464" s="708"/>
      <c r="AD464" s="708"/>
      <c r="AE464" s="708"/>
    </row>
    <row r="465">
      <c r="A465" s="727">
        <f>IFERROR(__xludf.DUMMYFUNCTION("""COMPUTED_VALUE"""),405.0)</f>
        <v>405</v>
      </c>
      <c r="B465" s="728" t="str">
        <f>IFERROR(__xludf.DUMMYFUNCTION("""COMPUTED_VALUE"""),"SB_NS_A.SM_MEI")</f>
        <v>SB_NS_A.SM_MEI</v>
      </c>
      <c r="C465" s="728" t="str">
        <f>IFERROR(__xludf.DUMMYFUNCTION("""COMPUTED_VALUE"""),"SB_NS_A.SM_MEI")</f>
        <v>SB_NS_A.SM_MEI</v>
      </c>
      <c r="D465" s="728" t="str">
        <f>IFERROR(__xludf.DUMMYFUNCTION("""COMPUTED_VALUE"""),"Q. Quản lý kinh doanh")</f>
        <v>Q. Quản lý kinh doanh</v>
      </c>
      <c r="E465" s="728" t="str">
        <f>IFERROR(__xludf.DUMMYFUNCTION("""COMPUTED_VALUE"""),"SM")</f>
        <v>SM</v>
      </c>
      <c r="F465" s="728">
        <f>IFERROR(__xludf.DUMMYFUNCTION("""COMPUTED_VALUE"""),2.0)</f>
        <v>2</v>
      </c>
      <c r="G465" s="728" t="str">
        <f>IFERROR(__xludf.DUMMYFUNCTION("""COMPUTED_VALUE"""),"HDDT")</f>
        <v>HDDT</v>
      </c>
      <c r="H465" s="728" t="str">
        <f>IFERROR(__xludf.DUMMYFUNCTION("""COMPUTED_VALUE"""),"TPP/ Trưởng ban")</f>
        <v>TPP/ Trưởng ban</v>
      </c>
      <c r="I465" s="728" t="str">
        <f>IFERROR(__xludf.DUMMYFUNCTION("""COMPUTED_VALUE"""),"L00")</f>
        <v>L00</v>
      </c>
      <c r="J465" s="728" t="str">
        <f>IFERROR(__xludf.DUMMYFUNCTION("""COMPUTED_VALUE"""),"Công ty cổ phần MISA")</f>
        <v>Công ty cổ phần MISA</v>
      </c>
      <c r="K465" s="728" t="str">
        <f>IFERROR(__xludf.DUMMYFUNCTION("""COMPUTED_VALUE"""),"02 - QL_KD")</f>
        <v>02 - QL_KD</v>
      </c>
      <c r="L465" s="728" t="str">
        <f>IFERROR(__xludf.DUMMYFUNCTION("""COMPUTED_VALUE"""),"Ngừng")</f>
        <v>Ngừng</v>
      </c>
      <c r="M465" s="729"/>
      <c r="N465" s="728" t="str">
        <f>IFERROR(__xludf.DUMMYFUNCTION("""COMPUTED_VALUE"""),"Ngừng")</f>
        <v>Ngừng</v>
      </c>
      <c r="O465" s="708"/>
      <c r="P465" s="708"/>
      <c r="Q465" s="708"/>
      <c r="R465" s="708"/>
      <c r="S465" s="708"/>
      <c r="T465" s="708"/>
      <c r="U465" s="708"/>
      <c r="V465" s="708"/>
      <c r="W465" s="708"/>
      <c r="X465" s="708"/>
      <c r="Y465" s="708"/>
      <c r="Z465" s="708"/>
      <c r="AA465" s="708"/>
      <c r="AB465" s="708"/>
      <c r="AC465" s="708"/>
      <c r="AD465" s="708"/>
      <c r="AE465" s="708"/>
    </row>
    <row r="466">
      <c r="A466" s="724">
        <f>IFERROR(__xludf.DUMMYFUNCTION("""COMPUTED_VALUE"""),407.0)</f>
        <v>407</v>
      </c>
      <c r="B466" s="725" t="str">
        <f>IFERROR(__xludf.DUMMYFUNCTION("""COMPUTED_VALUE"""),"SB_NS_A.VSD_MEI")</f>
        <v>SB_NS_A.VSD_MEI</v>
      </c>
      <c r="C466" s="725" t="str">
        <f>IFERROR(__xludf.DUMMYFUNCTION("""COMPUTED_VALUE"""),"SB_NS_A.VSD_MEI")</f>
        <v>SB_NS_A.VSD_MEI</v>
      </c>
      <c r="D466" s="725" t="str">
        <f>IFERROR(__xludf.DUMMYFUNCTION("""COMPUTED_VALUE"""),"Q. Phó giám đốc TTKD")</f>
        <v>Q. Phó giám đốc TTKD</v>
      </c>
      <c r="E466" s="725" t="str">
        <f>IFERROR(__xludf.DUMMYFUNCTION("""COMPUTED_VALUE"""),"BOM")</f>
        <v>BOM</v>
      </c>
      <c r="F466" s="725">
        <f>IFERROR(__xludf.DUMMYFUNCTION("""COMPUTED_VALUE"""),3.0)</f>
        <v>3</v>
      </c>
      <c r="G466" s="725" t="str">
        <f>IFERROR(__xludf.DUMMYFUNCTION("""COMPUTED_VALUE"""),"HDDT")</f>
        <v>HDDT</v>
      </c>
      <c r="H466" s="725" t="str">
        <f>IFERROR(__xludf.DUMMYFUNCTION("""COMPUTED_VALUE"""),"Ban GĐTTKD/ BGĐ khối DA")</f>
        <v>Ban GĐTTKD/ BGĐ khối DA</v>
      </c>
      <c r="I466" s="725" t="str">
        <f>IFERROR(__xludf.DUMMYFUNCTION("""COMPUTED_VALUE"""),"L00")</f>
        <v>L00</v>
      </c>
      <c r="J466" s="725" t="str">
        <f>IFERROR(__xludf.DUMMYFUNCTION("""COMPUTED_VALUE"""),"Công ty cổ phần MISA")</f>
        <v>Công ty cổ phần MISA</v>
      </c>
      <c r="K466" s="725" t="str">
        <f>IFERROR(__xludf.DUMMYFUNCTION("""COMPUTED_VALUE"""),"03 - BGĐ_KD")</f>
        <v>03 - BGĐ_KD</v>
      </c>
      <c r="L466" s="725" t="str">
        <f>IFERROR(__xludf.DUMMYFUNCTION("""COMPUTED_VALUE"""),"Ngừng")</f>
        <v>Ngừng</v>
      </c>
      <c r="M466" s="725"/>
      <c r="N466" s="729" t="str">
        <f>IFERROR(__xludf.DUMMYFUNCTION("""COMPUTED_VALUE"""),"Ngừng")</f>
        <v>Ngừng</v>
      </c>
      <c r="O466" s="726"/>
      <c r="P466" s="726"/>
      <c r="Q466" s="726"/>
      <c r="R466" s="726"/>
      <c r="S466" s="726"/>
      <c r="T466" s="726"/>
      <c r="U466" s="726"/>
      <c r="V466" s="726"/>
      <c r="W466" s="726"/>
      <c r="X466" s="726"/>
      <c r="Y466" s="726"/>
      <c r="Z466" s="726"/>
      <c r="AA466" s="726"/>
      <c r="AB466" s="708"/>
      <c r="AC466" s="708"/>
      <c r="AD466" s="708"/>
      <c r="AE466" s="708"/>
    </row>
    <row r="467">
      <c r="A467" s="727">
        <f>IFERROR(__xludf.DUMMYFUNCTION("""COMPUTED_VALUE"""),408.0)</f>
        <v>408</v>
      </c>
      <c r="B467" s="728" t="str">
        <f>IFERROR(__xludf.DUMMYFUNCTION("""COMPUTED_VALUE"""),"SB_NS_AE.P_MEI")</f>
        <v>SB_NS_AE.P_MEI</v>
      </c>
      <c r="C467" s="728" t="str">
        <f>IFERROR(__xludf.DUMMYFUNCTION("""COMPUTED_VALUE"""),"SB_NS_AE.P_MEI")</f>
        <v>SB_NS_AE.P_MEI</v>
      </c>
      <c r="D467" s="728" t="str">
        <f>IFERROR(__xludf.DUMMYFUNCTION("""COMPUTED_VALUE"""),"NV Tư vấn bán hàng")</f>
        <v>NV Tư vấn bán hàng</v>
      </c>
      <c r="E467" s="728" t="str">
        <f>IFERROR(__xludf.DUMMYFUNCTION("""COMPUTED_VALUE"""),"AE")</f>
        <v>AE</v>
      </c>
      <c r="F467" s="728"/>
      <c r="G467" s="728" t="str">
        <f>IFERROR(__xludf.DUMMYFUNCTION("""COMPUTED_VALUE"""),"HDDT")</f>
        <v>HDDT</v>
      </c>
      <c r="H467" s="728" t="str">
        <f>IFERROR(__xludf.DUMMYFUNCTION("""COMPUTED_VALUE"""),"Nhân viên/ Chuyên viên/ Chuyên gia")</f>
        <v>Nhân viên/ Chuyên viên/ Chuyên gia</v>
      </c>
      <c r="I467" s="728" t="str">
        <f>IFERROR(__xludf.DUMMYFUNCTION("""COMPUTED_VALUE"""),"L00")</f>
        <v>L00</v>
      </c>
      <c r="J467" s="728" t="str">
        <f>IFERROR(__xludf.DUMMYFUNCTION("""COMPUTED_VALUE"""),"Công ty cổ phần MISA")</f>
        <v>Công ty cổ phần MISA</v>
      </c>
      <c r="K467" s="729" t="str">
        <f>IFERROR(__xludf.DUMMYFUNCTION("""COMPUTED_VALUE"""),"01 - NV_KD")</f>
        <v>01 - NV_KD</v>
      </c>
      <c r="L467" s="728" t="str">
        <f>IFERROR(__xludf.DUMMYFUNCTION("""COMPUTED_VALUE"""),"Ngừng")</f>
        <v>Ngừng</v>
      </c>
      <c r="M467" s="729"/>
      <c r="N467" s="728" t="str">
        <f>IFERROR(__xludf.DUMMYFUNCTION("""COMPUTED_VALUE"""),"Ngừng")</f>
        <v>Ngừng</v>
      </c>
      <c r="O467" s="708"/>
      <c r="P467" s="708"/>
      <c r="Q467" s="708"/>
      <c r="R467" s="708"/>
      <c r="S467" s="708"/>
      <c r="T467" s="708"/>
      <c r="U467" s="708"/>
      <c r="V467" s="708"/>
      <c r="W467" s="708"/>
      <c r="X467" s="708"/>
      <c r="Y467" s="708"/>
      <c r="Z467" s="708"/>
      <c r="AA467" s="708"/>
      <c r="AB467" s="708"/>
      <c r="AC467" s="708"/>
      <c r="AD467" s="708"/>
      <c r="AE467" s="708"/>
    </row>
    <row r="468">
      <c r="A468" s="727">
        <f>IFERROR(__xludf.DUMMYFUNCTION("""COMPUTED_VALUE"""),411.0)</f>
        <v>411</v>
      </c>
      <c r="B468" s="746" t="str">
        <f>IFERROR(__xludf.DUMMYFUNCTION("""COMPUTED_VALUE"""),"SB_NS_AE_MEI")</f>
        <v>SB_NS_AE_MEI</v>
      </c>
      <c r="C468" s="728" t="str">
        <f>IFERROR(__xludf.DUMMYFUNCTION("""COMPUTED_VALUE"""),"SB_NS_AE_MEI")</f>
        <v>SB_NS_AE_MEI</v>
      </c>
      <c r="D468" s="728" t="str">
        <f>IFERROR(__xludf.DUMMYFUNCTION("""COMPUTED_VALUE"""),"NV Tư vấn bán hàng")</f>
        <v>NV Tư vấn bán hàng</v>
      </c>
      <c r="E468" s="728" t="str">
        <f>IFERROR(__xludf.DUMMYFUNCTION("""COMPUTED_VALUE"""),"AE")</f>
        <v>AE</v>
      </c>
      <c r="F468" s="728"/>
      <c r="G468" s="728" t="str">
        <f>IFERROR(__xludf.DUMMYFUNCTION("""COMPUTED_VALUE"""),"HDDT")</f>
        <v>HDDT</v>
      </c>
      <c r="H468" s="728" t="str">
        <f>IFERROR(__xludf.DUMMYFUNCTION("""COMPUTED_VALUE"""),"Nhân viên/ Chuyên viên/ Chuyên gia")</f>
        <v>Nhân viên/ Chuyên viên/ Chuyên gia</v>
      </c>
      <c r="I468" s="728" t="str">
        <f>IFERROR(__xludf.DUMMYFUNCTION("""COMPUTED_VALUE"""),"L00")</f>
        <v>L00</v>
      </c>
      <c r="J468" s="728" t="str">
        <f>IFERROR(__xludf.DUMMYFUNCTION("""COMPUTED_VALUE"""),"Công ty cổ phần MISA")</f>
        <v>Công ty cổ phần MISA</v>
      </c>
      <c r="K468" s="728" t="str">
        <f>IFERROR(__xludf.DUMMYFUNCTION("""COMPUTED_VALUE"""),"01 - NV_KD")</f>
        <v>01 - NV_KD</v>
      </c>
      <c r="L468" s="728" t="str">
        <f>IFERROR(__xludf.DUMMYFUNCTION("""COMPUTED_VALUE"""),"Ngừng")</f>
        <v>Ngừng</v>
      </c>
      <c r="M468" s="729"/>
      <c r="N468" s="728" t="str">
        <f>IFERROR(__xludf.DUMMYFUNCTION("""COMPUTED_VALUE"""),"Ngừng")</f>
        <v>Ngừng</v>
      </c>
      <c r="O468" s="708"/>
      <c r="P468" s="708"/>
      <c r="Q468" s="708"/>
      <c r="R468" s="708"/>
      <c r="S468" s="708"/>
      <c r="T468" s="708"/>
      <c r="U468" s="708"/>
      <c r="V468" s="708"/>
      <c r="W468" s="708"/>
      <c r="X468" s="708"/>
      <c r="Y468" s="708"/>
      <c r="Z468" s="708"/>
      <c r="AA468" s="708"/>
      <c r="AB468" s="708"/>
      <c r="AC468" s="708"/>
      <c r="AD468" s="708"/>
      <c r="AE468" s="708"/>
    </row>
    <row r="469">
      <c r="A469" s="727">
        <f>IFERROR(__xludf.DUMMYFUNCTION("""COMPUTED_VALUE"""),412.0)</f>
        <v>412</v>
      </c>
      <c r="B469" s="728" t="str">
        <f>IFERROR(__xludf.DUMMYFUNCTION("""COMPUTED_VALUE"""),"SB_NS_PDR.P_MEI")</f>
        <v>SB_NS_PDR.P_MEI</v>
      </c>
      <c r="C469" s="728" t="str">
        <f>IFERROR(__xludf.DUMMYFUNCTION("""COMPUTED_VALUE"""),"SB_NS_PDR.P_MEI")</f>
        <v>SB_NS_PDR.P_MEI</v>
      </c>
      <c r="D469" s="728" t="str">
        <f>IFERROR(__xludf.DUMMYFUNCTION("""COMPUTED_VALUE"""),"Nhân viên phát triển đối tác")</f>
        <v>Nhân viên phát triển đối tác</v>
      </c>
      <c r="E469" s="728" t="str">
        <f>IFERROR(__xludf.DUMMYFUNCTION("""COMPUTED_VALUE"""),"PDR")</f>
        <v>PDR</v>
      </c>
      <c r="F469" s="729"/>
      <c r="G469" s="728" t="str">
        <f>IFERROR(__xludf.DUMMYFUNCTION("""COMPUTED_VALUE"""),"HDDT")</f>
        <v>HDDT</v>
      </c>
      <c r="H469" s="728" t="str">
        <f>IFERROR(__xludf.DUMMYFUNCTION("""COMPUTED_VALUE"""),"Nhân viên/ Chuyên viên/ Chuyên gia")</f>
        <v>Nhân viên/ Chuyên viên/ Chuyên gia</v>
      </c>
      <c r="I469" s="728" t="str">
        <f>IFERROR(__xludf.DUMMYFUNCTION("""COMPUTED_VALUE"""),"L00")</f>
        <v>L00</v>
      </c>
      <c r="J469" s="728" t="str">
        <f>IFERROR(__xludf.DUMMYFUNCTION("""COMPUTED_VALUE"""),"Công ty cổ phần MISA")</f>
        <v>Công ty cổ phần MISA</v>
      </c>
      <c r="K469" s="728" t="str">
        <f>IFERROR(__xludf.DUMMYFUNCTION("""COMPUTED_VALUE"""),"01 - NV_KD")</f>
        <v>01 - NV_KD</v>
      </c>
      <c r="L469" s="729" t="str">
        <f>IFERROR(__xludf.DUMMYFUNCTION("""COMPUTED_VALUE"""),"Ngừng")</f>
        <v>Ngừng</v>
      </c>
      <c r="M469" s="729"/>
      <c r="N469" s="728" t="str">
        <f>IFERROR(__xludf.DUMMYFUNCTION("""COMPUTED_VALUE"""),"Ngừng")</f>
        <v>Ngừng</v>
      </c>
      <c r="O469" s="708"/>
      <c r="P469" s="708"/>
      <c r="Q469" s="708"/>
      <c r="R469" s="708"/>
      <c r="S469" s="708"/>
      <c r="T469" s="708"/>
      <c r="U469" s="708"/>
      <c r="V469" s="708"/>
      <c r="W469" s="708"/>
      <c r="X469" s="708"/>
      <c r="Y469" s="708"/>
      <c r="Z469" s="708"/>
      <c r="AA469" s="708"/>
      <c r="AB469" s="708"/>
      <c r="AC469" s="708"/>
      <c r="AD469" s="708"/>
      <c r="AE469" s="708"/>
    </row>
    <row r="470">
      <c r="A470" s="751">
        <f>IFERROR(__xludf.DUMMYFUNCTION("""COMPUTED_VALUE"""),414.0)</f>
        <v>414</v>
      </c>
      <c r="B470" s="736" t="str">
        <f>IFERROR(__xludf.DUMMYFUNCTION("""COMPUTED_VALUE"""),"SB_NS_SD_MEI")</f>
        <v>SB_NS_SD_MEI</v>
      </c>
      <c r="C470" s="736" t="str">
        <f>IFERROR(__xludf.DUMMYFUNCTION("""COMPUTED_VALUE"""),"SB_NS_SD_MEI")</f>
        <v>SB_NS_SD_MEI</v>
      </c>
      <c r="D470" s="736" t="str">
        <f>IFERROR(__xludf.DUMMYFUNCTION("""COMPUTED_VALUE"""),"Giám đốc TTKD")</f>
        <v>Giám đốc TTKD</v>
      </c>
      <c r="E470" s="736" t="str">
        <f>IFERROR(__xludf.DUMMYFUNCTION("""COMPUTED_VALUE"""),"BOM")</f>
        <v>BOM</v>
      </c>
      <c r="F470" s="735">
        <f>IFERROR(__xludf.DUMMYFUNCTION("""COMPUTED_VALUE"""),3.0)</f>
        <v>3</v>
      </c>
      <c r="G470" s="736" t="str">
        <f>IFERROR(__xludf.DUMMYFUNCTION("""COMPUTED_VALUE"""),"HDDT")</f>
        <v>HDDT</v>
      </c>
      <c r="H470" s="736" t="str">
        <f>IFERROR(__xludf.DUMMYFUNCTION("""COMPUTED_VALUE"""),"Ban GĐTTKD/ BGĐ khối DA")</f>
        <v>Ban GĐTTKD/ BGĐ khối DA</v>
      </c>
      <c r="I470" s="736" t="str">
        <f>IFERROR(__xludf.DUMMYFUNCTION("""COMPUTED_VALUE"""),"L00")</f>
        <v>L00</v>
      </c>
      <c r="J470" s="736" t="str">
        <f>IFERROR(__xludf.DUMMYFUNCTION("""COMPUTED_VALUE"""),"Công ty cổ phần MISA")</f>
        <v>Công ty cổ phần MISA</v>
      </c>
      <c r="K470" s="736" t="str">
        <f>IFERROR(__xludf.DUMMYFUNCTION("""COMPUTED_VALUE"""),"03 - BGĐ_KD")</f>
        <v>03 - BGĐ_KD</v>
      </c>
      <c r="L470" s="736" t="str">
        <f>IFERROR(__xludf.DUMMYFUNCTION("""COMPUTED_VALUE"""),"Ngừng")</f>
        <v>Ngừng</v>
      </c>
      <c r="M470" s="735"/>
      <c r="N470" s="728" t="str">
        <f>IFERROR(__xludf.DUMMYFUNCTION("""COMPUTED_VALUE"""),"Ngừng")</f>
        <v>Ngừng</v>
      </c>
      <c r="O470" s="737"/>
      <c r="P470" s="737"/>
      <c r="Q470" s="737"/>
      <c r="R470" s="737"/>
      <c r="S470" s="737"/>
      <c r="T470" s="737"/>
      <c r="U470" s="737"/>
      <c r="V470" s="737"/>
      <c r="W470" s="737"/>
      <c r="X470" s="737"/>
      <c r="Y470" s="737"/>
      <c r="Z470" s="737"/>
      <c r="AA470" s="737"/>
      <c r="AB470" s="708"/>
      <c r="AC470" s="708"/>
      <c r="AD470" s="708"/>
      <c r="AE470" s="708"/>
    </row>
    <row r="471">
      <c r="A471" s="751">
        <f>IFERROR(__xludf.DUMMYFUNCTION("""COMPUTED_VALUE"""),417.0)</f>
        <v>417</v>
      </c>
      <c r="B471" s="736" t="str">
        <f>IFERROR(__xludf.DUMMYFUNCTION("""COMPUTED_VALUE"""),"SB_NS_SM_MEI")</f>
        <v>SB_NS_SM_MEI</v>
      </c>
      <c r="C471" s="736" t="str">
        <f>IFERROR(__xludf.DUMMYFUNCTION("""COMPUTED_VALUE"""),"SB_NS_SM_MEI")</f>
        <v>SB_NS_SM_MEI</v>
      </c>
      <c r="D471" s="736" t="str">
        <f>IFERROR(__xludf.DUMMYFUNCTION("""COMPUTED_VALUE"""),"Quản lý kinh doanh")</f>
        <v>Quản lý kinh doanh</v>
      </c>
      <c r="E471" s="736" t="str">
        <f>IFERROR(__xludf.DUMMYFUNCTION("""COMPUTED_VALUE"""),"SM")</f>
        <v>SM</v>
      </c>
      <c r="F471" s="735">
        <f>IFERROR(__xludf.DUMMYFUNCTION("""COMPUTED_VALUE"""),2.0)</f>
        <v>2</v>
      </c>
      <c r="G471" s="736" t="str">
        <f>IFERROR(__xludf.DUMMYFUNCTION("""COMPUTED_VALUE"""),"HDDT")</f>
        <v>HDDT</v>
      </c>
      <c r="H471" s="736" t="str">
        <f>IFERROR(__xludf.DUMMYFUNCTION("""COMPUTED_VALUE"""),"TPP/ Trưởng ban")</f>
        <v>TPP/ Trưởng ban</v>
      </c>
      <c r="I471" s="736" t="str">
        <f>IFERROR(__xludf.DUMMYFUNCTION("""COMPUTED_VALUE"""),"L00")</f>
        <v>L00</v>
      </c>
      <c r="J471" s="736" t="str">
        <f>IFERROR(__xludf.DUMMYFUNCTION("""COMPUTED_VALUE"""),"Công ty cổ phần MISA")</f>
        <v>Công ty cổ phần MISA</v>
      </c>
      <c r="K471" s="736" t="str">
        <f>IFERROR(__xludf.DUMMYFUNCTION("""COMPUTED_VALUE"""),"02 - QL_KD")</f>
        <v>02 - QL_KD</v>
      </c>
      <c r="L471" s="736" t="str">
        <f>IFERROR(__xludf.DUMMYFUNCTION("""COMPUTED_VALUE"""),"Ngừng")</f>
        <v>Ngừng</v>
      </c>
      <c r="M471" s="735"/>
      <c r="N471" s="728" t="str">
        <f>IFERROR(__xludf.DUMMYFUNCTION("""COMPUTED_VALUE"""),"Ngừng")</f>
        <v>Ngừng</v>
      </c>
      <c r="O471" s="737"/>
      <c r="P471" s="737"/>
      <c r="Q471" s="737"/>
      <c r="R471" s="737"/>
      <c r="S471" s="737"/>
      <c r="T471" s="737"/>
      <c r="U471" s="737"/>
      <c r="V471" s="737"/>
      <c r="W471" s="737"/>
      <c r="X471" s="737"/>
      <c r="Y471" s="737"/>
      <c r="Z471" s="737"/>
      <c r="AA471" s="737"/>
      <c r="AB471" s="708"/>
      <c r="AC471" s="708"/>
      <c r="AD471" s="708"/>
      <c r="AE471" s="708"/>
    </row>
    <row r="472">
      <c r="A472" s="751">
        <f>IFERROR(__xludf.DUMMYFUNCTION("""COMPUTED_VALUE"""),419.0)</f>
        <v>419</v>
      </c>
      <c r="B472" s="736" t="str">
        <f>IFERROR(__xludf.DUMMYFUNCTION("""COMPUTED_VALUE"""),"SB_NS_VSD_MEI")</f>
        <v>SB_NS_VSD_MEI</v>
      </c>
      <c r="C472" s="736" t="str">
        <f>IFERROR(__xludf.DUMMYFUNCTION("""COMPUTED_VALUE"""),"SB_NS_VSD_MEI")</f>
        <v>SB_NS_VSD_MEI</v>
      </c>
      <c r="D472" s="736" t="str">
        <f>IFERROR(__xludf.DUMMYFUNCTION("""COMPUTED_VALUE"""),"Phó giám đốc TTKD")</f>
        <v>Phó giám đốc TTKD</v>
      </c>
      <c r="E472" s="736" t="str">
        <f>IFERROR(__xludf.DUMMYFUNCTION("""COMPUTED_VALUE"""),"BOM")</f>
        <v>BOM</v>
      </c>
      <c r="F472" s="735">
        <f>IFERROR(__xludf.DUMMYFUNCTION("""COMPUTED_VALUE"""),3.0)</f>
        <v>3</v>
      </c>
      <c r="G472" s="736" t="str">
        <f>IFERROR(__xludf.DUMMYFUNCTION("""COMPUTED_VALUE"""),"HDDT")</f>
        <v>HDDT</v>
      </c>
      <c r="H472" s="736" t="str">
        <f>IFERROR(__xludf.DUMMYFUNCTION("""COMPUTED_VALUE"""),"Ban GĐTTKD/ BGĐ khối DA")</f>
        <v>Ban GĐTTKD/ BGĐ khối DA</v>
      </c>
      <c r="I472" s="736" t="str">
        <f>IFERROR(__xludf.DUMMYFUNCTION("""COMPUTED_VALUE"""),"L00")</f>
        <v>L00</v>
      </c>
      <c r="J472" s="736" t="str">
        <f>IFERROR(__xludf.DUMMYFUNCTION("""COMPUTED_VALUE"""),"Công ty cổ phần MISA")</f>
        <v>Công ty cổ phần MISA</v>
      </c>
      <c r="K472" s="736" t="str">
        <f>IFERROR(__xludf.DUMMYFUNCTION("""COMPUTED_VALUE"""),"03 - BGĐ_KD")</f>
        <v>03 - BGĐ_KD</v>
      </c>
      <c r="L472" s="736" t="str">
        <f>IFERROR(__xludf.DUMMYFUNCTION("""COMPUTED_VALUE"""),"Ngừng")</f>
        <v>Ngừng</v>
      </c>
      <c r="M472" s="735"/>
      <c r="N472" s="728" t="str">
        <f>IFERROR(__xludf.DUMMYFUNCTION("""COMPUTED_VALUE"""),"Ngừng")</f>
        <v>Ngừng</v>
      </c>
      <c r="O472" s="737"/>
      <c r="P472" s="737"/>
      <c r="Q472" s="737"/>
      <c r="R472" s="737"/>
      <c r="S472" s="737"/>
      <c r="T472" s="737"/>
      <c r="U472" s="737"/>
      <c r="V472" s="737"/>
      <c r="W472" s="737"/>
      <c r="X472" s="737"/>
      <c r="Y472" s="737"/>
      <c r="Z472" s="737"/>
      <c r="AA472" s="737"/>
      <c r="AB472" s="708"/>
      <c r="AC472" s="708"/>
      <c r="AD472" s="708"/>
      <c r="AE472" s="708"/>
    </row>
    <row r="473">
      <c r="A473" s="751" t="str">
        <f>IFERROR(__xludf.DUMMYFUNCTION("""COMPUTED_VALUE"""),"Mạng lưới")</f>
        <v>Mạng lưới</v>
      </c>
      <c r="B473" s="735"/>
      <c r="C473" s="736"/>
      <c r="D473" s="736"/>
      <c r="E473" s="736"/>
      <c r="F473" s="735"/>
      <c r="G473" s="736"/>
      <c r="H473" s="736"/>
      <c r="I473" s="736"/>
      <c r="J473" s="736"/>
      <c r="K473" s="735"/>
      <c r="L473" s="735"/>
      <c r="M473" s="735"/>
      <c r="N473" s="728"/>
      <c r="O473" s="737"/>
      <c r="P473" s="737"/>
      <c r="Q473" s="737"/>
      <c r="R473" s="737"/>
      <c r="S473" s="737"/>
      <c r="T473" s="737"/>
      <c r="U473" s="737"/>
      <c r="V473" s="737"/>
      <c r="W473" s="737"/>
      <c r="X473" s="737"/>
      <c r="Y473" s="737"/>
      <c r="Z473" s="737"/>
      <c r="AA473" s="737"/>
      <c r="AB473" s="708"/>
      <c r="AC473" s="708"/>
      <c r="AD473" s="708"/>
      <c r="AE473" s="708"/>
    </row>
    <row r="474">
      <c r="A474" s="727">
        <f>IFERROR(__xludf.DUMMYFUNCTION("""COMPUTED_VALUE"""),420.0)</f>
        <v>420</v>
      </c>
      <c r="B474" s="738" t="str">
        <f>IFERROR(__xludf.DUMMYFUNCTION("""COMPUTED_VALUE"""),"SB_NWS_A.SM")</f>
        <v>SB_NWS_A.SM</v>
      </c>
      <c r="C474" s="738" t="str">
        <f>IFERROR(__xludf.DUMMYFUNCTION("""COMPUTED_VALUE"""),"SB_NWS_A.SM")</f>
        <v>SB_NWS_A.SM</v>
      </c>
      <c r="D474" s="728" t="str">
        <f>IFERROR(__xludf.DUMMYFUNCTION("""COMPUTED_VALUE"""),"Q. Trưởng phòng KD phát triển mạng lưới")</f>
        <v>Q. Trưởng phòng KD phát triển mạng lưới</v>
      </c>
      <c r="E474" s="728" t="str">
        <f>IFERROR(__xludf.DUMMYFUNCTION("""COMPUTED_VALUE"""),"SM")</f>
        <v>SM</v>
      </c>
      <c r="F474" s="728">
        <f>IFERROR(__xludf.DUMMYFUNCTION("""COMPUTED_VALUE"""),2.0)</f>
        <v>2</v>
      </c>
      <c r="G474" s="728" t="str">
        <f>IFERROR(__xludf.DUMMYFUNCTION("""COMPUTED_VALUE"""),"MANGLUOI")</f>
        <v>MANGLUOI</v>
      </c>
      <c r="H474" s="728" t="str">
        <f>IFERROR(__xludf.DUMMYFUNCTION("""COMPUTED_VALUE"""),"TPP/ Trưởng ban")</f>
        <v>TPP/ Trưởng ban</v>
      </c>
      <c r="I474" s="728" t="str">
        <f>IFERROR(__xludf.DUMMYFUNCTION("""COMPUTED_VALUE"""),"L00")</f>
        <v>L00</v>
      </c>
      <c r="J474" s="736" t="str">
        <f>IFERROR(__xludf.DUMMYFUNCTION("""COMPUTED_VALUE"""),"Công ty cổ phần MISA")</f>
        <v>Công ty cổ phần MISA</v>
      </c>
      <c r="K474" s="728" t="str">
        <f>IFERROR(__xludf.DUMMYFUNCTION("""COMPUTED_VALUE"""),"02 - QL_KD")</f>
        <v>02 - QL_KD</v>
      </c>
      <c r="L474" s="728" t="str">
        <f>IFERROR(__xludf.DUMMYFUNCTION("""COMPUTED_VALUE"""),"Đang theo dõi")</f>
        <v>Đang theo dõi</v>
      </c>
      <c r="M474" s="729"/>
      <c r="N474" s="728" t="str">
        <f>IFERROR(__xludf.DUMMYFUNCTION("""COMPUTED_VALUE"""),"giữ nguyên")</f>
        <v>giữ nguyên</v>
      </c>
      <c r="O474" s="708"/>
      <c r="P474" s="708"/>
      <c r="Q474" s="708"/>
      <c r="R474" s="708"/>
      <c r="S474" s="708"/>
      <c r="T474" s="708"/>
      <c r="U474" s="708"/>
      <c r="V474" s="708"/>
      <c r="W474" s="708"/>
      <c r="X474" s="708"/>
      <c r="Y474" s="708"/>
      <c r="Z474" s="708"/>
      <c r="AA474" s="708"/>
      <c r="AB474" s="730"/>
      <c r="AC474" s="730"/>
      <c r="AD474" s="730"/>
      <c r="AE474" s="730"/>
    </row>
    <row r="475">
      <c r="A475" s="727">
        <f>IFERROR(__xludf.DUMMYFUNCTION("""COMPUTED_VALUE"""),421.0)</f>
        <v>421</v>
      </c>
      <c r="B475" s="728" t="str">
        <f>IFERROR(__xludf.DUMMYFUNCTION("""COMPUTED_VALUE"""),"SB_NWS_AE")</f>
        <v>SB_NWS_AE</v>
      </c>
      <c r="C475" s="728" t="str">
        <f>IFERROR(__xludf.DUMMYFUNCTION("""COMPUTED_VALUE"""),"SB_NWS_AE")</f>
        <v>SB_NWS_AE</v>
      </c>
      <c r="D475" s="728" t="str">
        <f>IFERROR(__xludf.DUMMYFUNCTION("""COMPUTED_VALUE"""),"NV kinh doanh mạng lưới")</f>
        <v>NV kinh doanh mạng lưới</v>
      </c>
      <c r="E475" s="728" t="str">
        <f>IFERROR(__xludf.DUMMYFUNCTION("""COMPUTED_VALUE"""),"AE")</f>
        <v>AE</v>
      </c>
      <c r="F475" s="728"/>
      <c r="G475" s="728" t="str">
        <f>IFERROR(__xludf.DUMMYFUNCTION("""COMPUTED_VALUE"""),"MANGLUOI")</f>
        <v>MANGLUOI</v>
      </c>
      <c r="H475" s="728" t="str">
        <f>IFERROR(__xludf.DUMMYFUNCTION("""COMPUTED_VALUE"""),"Nhân viên/ Chuyên viên/ Chuyên gia")</f>
        <v>Nhân viên/ Chuyên viên/ Chuyên gia</v>
      </c>
      <c r="I475" s="728" t="str">
        <f>IFERROR(__xludf.DUMMYFUNCTION("""COMPUTED_VALUE"""),"L00")</f>
        <v>L00</v>
      </c>
      <c r="J475" s="736" t="str">
        <f>IFERROR(__xludf.DUMMYFUNCTION("""COMPUTED_VALUE"""),"Công ty cổ phần MISA")</f>
        <v>Công ty cổ phần MISA</v>
      </c>
      <c r="K475" s="728" t="str">
        <f>IFERROR(__xludf.DUMMYFUNCTION("""COMPUTED_VALUE"""),"01 - NV_KD")</f>
        <v>01 - NV_KD</v>
      </c>
      <c r="L475" s="728" t="str">
        <f>IFERROR(__xludf.DUMMYFUNCTION("""COMPUTED_VALUE"""),"Đang theo dõi")</f>
        <v>Đang theo dõi</v>
      </c>
      <c r="M475" s="729"/>
      <c r="N475" s="728" t="str">
        <f>IFERROR(__xludf.DUMMYFUNCTION("""COMPUTED_VALUE"""),"giữ nguyên")</f>
        <v>giữ nguyên</v>
      </c>
      <c r="O475" s="708"/>
      <c r="P475" s="708"/>
      <c r="Q475" s="708"/>
      <c r="R475" s="708"/>
      <c r="S475" s="708"/>
      <c r="T475" s="708"/>
      <c r="U475" s="708"/>
      <c r="V475" s="708"/>
      <c r="W475" s="708"/>
      <c r="X475" s="708"/>
      <c r="Y475" s="708"/>
      <c r="Z475" s="708"/>
      <c r="AA475" s="708"/>
      <c r="AB475" s="708"/>
      <c r="AC475" s="708"/>
      <c r="AD475" s="708"/>
      <c r="AE475" s="708"/>
    </row>
    <row r="476">
      <c r="A476" s="727">
        <f>IFERROR(__xludf.DUMMYFUNCTION("""COMPUTED_VALUE"""),422.0)</f>
        <v>422</v>
      </c>
      <c r="B476" s="731" t="str">
        <f>IFERROR(__xludf.DUMMYFUNCTION("""COMPUTED_VALUE"""),"SB_NWS_ONB")</f>
        <v>SB_NWS_ONB</v>
      </c>
      <c r="C476" s="731" t="str">
        <f>IFERROR(__xludf.DUMMYFUNCTION("""COMPUTED_VALUE"""),"SB_NWS_ONB")</f>
        <v>SB_NWS_ONB</v>
      </c>
      <c r="D476" s="731" t="str">
        <f>IFERROR(__xludf.DUMMYFUNCTION("""COMPUTED_VALUE"""),"NV Đào tạo sản phẩm")</f>
        <v>NV Đào tạo sản phẩm</v>
      </c>
      <c r="E476" s="731" t="str">
        <f>IFERROR(__xludf.DUMMYFUNCTION("""COMPUTED_VALUE"""),"ONB")</f>
        <v>ONB</v>
      </c>
      <c r="F476" s="731"/>
      <c r="G476" s="731" t="str">
        <f>IFERROR(__xludf.DUMMYFUNCTION("""COMPUTED_VALUE"""),"MANGLUOI")</f>
        <v>MANGLUOI</v>
      </c>
      <c r="H476" s="731" t="str">
        <f>IFERROR(__xludf.DUMMYFUNCTION("""COMPUTED_VALUE"""),"Nhân viên/ Chuyên viên/ Chuyên gia")</f>
        <v>Nhân viên/ Chuyên viên/ Chuyên gia</v>
      </c>
      <c r="I476" s="728" t="str">
        <f>IFERROR(__xludf.DUMMYFUNCTION("""COMPUTED_VALUE"""),"L00")</f>
        <v>L00</v>
      </c>
      <c r="J476" s="736" t="str">
        <f>IFERROR(__xludf.DUMMYFUNCTION("""COMPUTED_VALUE"""),"Công ty cổ phần MISA")</f>
        <v>Công ty cổ phần MISA</v>
      </c>
      <c r="K476" s="731"/>
      <c r="L476" s="731" t="str">
        <f>IFERROR(__xludf.DUMMYFUNCTION("""COMPUTED_VALUE"""),"Đang theo dõi")</f>
        <v>Đang theo dõi</v>
      </c>
      <c r="M476" s="729"/>
      <c r="N476" s="728" t="str">
        <f>IFERROR(__xludf.DUMMYFUNCTION("""COMPUTED_VALUE"""),"giữ nguyên")</f>
        <v>giữ nguyên</v>
      </c>
      <c r="O476" s="708"/>
      <c r="P476" s="708"/>
      <c r="Q476" s="708"/>
      <c r="R476" s="708"/>
      <c r="S476" s="708"/>
      <c r="T476" s="708"/>
      <c r="U476" s="708"/>
      <c r="V476" s="708"/>
      <c r="W476" s="708"/>
      <c r="X476" s="708"/>
      <c r="Y476" s="708"/>
      <c r="Z476" s="708"/>
      <c r="AA476" s="708"/>
      <c r="AB476" s="708"/>
      <c r="AC476" s="708"/>
      <c r="AD476" s="708"/>
      <c r="AE476" s="708"/>
    </row>
    <row r="477">
      <c r="A477" s="727">
        <f>IFERROR(__xludf.DUMMYFUNCTION("""COMPUTED_VALUE"""),423.0)</f>
        <v>423</v>
      </c>
      <c r="B477" s="731" t="str">
        <f>IFERROR(__xludf.DUMMYFUNCTION("""COMPUTED_VALUE"""),"SB_NWS_SM")</f>
        <v>SB_NWS_SM</v>
      </c>
      <c r="C477" s="731" t="str">
        <f>IFERROR(__xludf.DUMMYFUNCTION("""COMPUTED_VALUE"""),"SB_NWS_SM")</f>
        <v>SB_NWS_SM</v>
      </c>
      <c r="D477" s="731" t="str">
        <f>IFERROR(__xludf.DUMMYFUNCTION("""COMPUTED_VALUE"""),"Trưởng phòng KD phát triển mạng lưới")</f>
        <v>Trưởng phòng KD phát triển mạng lưới</v>
      </c>
      <c r="E477" s="729" t="str">
        <f>IFERROR(__xludf.DUMMYFUNCTION("""COMPUTED_VALUE"""),"SM")</f>
        <v>SM</v>
      </c>
      <c r="F477" s="729">
        <f>IFERROR(__xludf.DUMMYFUNCTION("""COMPUTED_VALUE"""),2.0)</f>
        <v>2</v>
      </c>
      <c r="G477" s="731" t="str">
        <f>IFERROR(__xludf.DUMMYFUNCTION("""COMPUTED_VALUE"""),"MANGLUOI")</f>
        <v>MANGLUOI</v>
      </c>
      <c r="H477" s="729" t="str">
        <f>IFERROR(__xludf.DUMMYFUNCTION("""COMPUTED_VALUE"""),"TPP/ Trưởng ban")</f>
        <v>TPP/ Trưởng ban</v>
      </c>
      <c r="I477" s="728" t="str">
        <f>IFERROR(__xludf.DUMMYFUNCTION("""COMPUTED_VALUE"""),"L00")</f>
        <v>L00</v>
      </c>
      <c r="J477" s="736" t="str">
        <f>IFERROR(__xludf.DUMMYFUNCTION("""COMPUTED_VALUE"""),"Công ty cổ phần MISA")</f>
        <v>Công ty cổ phần MISA</v>
      </c>
      <c r="K477" s="729" t="str">
        <f>IFERROR(__xludf.DUMMYFUNCTION("""COMPUTED_VALUE"""),"02 - QL_KD")</f>
        <v>02 - QL_KD</v>
      </c>
      <c r="L477" s="731" t="str">
        <f>IFERROR(__xludf.DUMMYFUNCTION("""COMPUTED_VALUE"""),"Đang theo dõi")</f>
        <v>Đang theo dõi</v>
      </c>
      <c r="M477" s="729"/>
      <c r="N477" s="728" t="str">
        <f>IFERROR(__xludf.DUMMYFUNCTION("""COMPUTED_VALUE"""),"giữ nguyên")</f>
        <v>giữ nguyên</v>
      </c>
      <c r="O477" s="708"/>
      <c r="P477" s="708"/>
      <c r="Q477" s="708"/>
      <c r="R477" s="708"/>
      <c r="S477" s="708"/>
      <c r="T477" s="708"/>
      <c r="U477" s="708"/>
      <c r="V477" s="708"/>
      <c r="W477" s="708"/>
      <c r="X477" s="708"/>
      <c r="Y477" s="708"/>
      <c r="Z477" s="708"/>
      <c r="AA477" s="708"/>
      <c r="AB477" s="708"/>
      <c r="AC477" s="708"/>
      <c r="AD477" s="708"/>
      <c r="AE477" s="708"/>
    </row>
    <row r="478">
      <c r="A478" s="727"/>
      <c r="B478" s="728"/>
      <c r="C478" s="728"/>
      <c r="D478" s="728"/>
      <c r="E478" s="729"/>
      <c r="F478" s="729"/>
      <c r="G478" s="728"/>
      <c r="H478" s="729"/>
      <c r="I478" s="728"/>
      <c r="J478" s="736"/>
      <c r="K478" s="729"/>
      <c r="L478" s="728"/>
      <c r="M478" s="729"/>
      <c r="N478" s="728"/>
      <c r="O478" s="708"/>
      <c r="P478" s="708"/>
      <c r="Q478" s="708"/>
      <c r="R478" s="708"/>
      <c r="S478" s="708"/>
      <c r="T478" s="708"/>
      <c r="U478" s="708"/>
      <c r="V478" s="708"/>
      <c r="W478" s="708"/>
      <c r="X478" s="708"/>
      <c r="Y478" s="708"/>
      <c r="Z478" s="708"/>
      <c r="AA478" s="708"/>
      <c r="AB478" s="708"/>
      <c r="AC478" s="708"/>
      <c r="AD478" s="708"/>
      <c r="AE478" s="708"/>
    </row>
    <row r="479">
      <c r="A479" s="752"/>
      <c r="B479" s="753"/>
      <c r="C479" s="753"/>
      <c r="D479" s="753"/>
      <c r="E479" s="753"/>
      <c r="F479" s="753"/>
      <c r="G479" s="753"/>
      <c r="H479" s="753"/>
      <c r="I479" s="753"/>
      <c r="J479" s="753"/>
      <c r="K479" s="753"/>
      <c r="L479" s="753"/>
      <c r="M479" s="753"/>
      <c r="N479" s="729"/>
      <c r="O479" s="730"/>
      <c r="P479" s="730"/>
      <c r="Q479" s="730"/>
      <c r="R479" s="730"/>
      <c r="S479" s="730"/>
      <c r="T479" s="730"/>
      <c r="U479" s="730"/>
      <c r="V479" s="730"/>
      <c r="W479" s="730"/>
      <c r="X479" s="730"/>
      <c r="Y479" s="730"/>
      <c r="Z479" s="730"/>
      <c r="AA479" s="730"/>
      <c r="AB479" s="708"/>
      <c r="AC479" s="708"/>
      <c r="AD479" s="708"/>
      <c r="AE479" s="708"/>
    </row>
    <row r="480">
      <c r="A480" s="727"/>
      <c r="B480" s="728"/>
      <c r="C480" s="728"/>
      <c r="D480" s="728"/>
      <c r="E480" s="729"/>
      <c r="F480" s="729"/>
      <c r="G480" s="728"/>
      <c r="H480" s="729"/>
      <c r="I480" s="728"/>
      <c r="J480" s="728"/>
      <c r="K480" s="729"/>
      <c r="L480" s="728"/>
      <c r="M480" s="729"/>
      <c r="N480" s="728"/>
      <c r="O480" s="708"/>
      <c r="P480" s="708"/>
      <c r="Q480" s="708"/>
      <c r="R480" s="708"/>
      <c r="S480" s="708"/>
      <c r="T480" s="708"/>
      <c r="U480" s="708"/>
      <c r="V480" s="708"/>
      <c r="W480" s="708"/>
      <c r="X480" s="708"/>
      <c r="Y480" s="708"/>
      <c r="Z480" s="708"/>
      <c r="AA480" s="708"/>
      <c r="AB480" s="708"/>
      <c r="AC480" s="708"/>
      <c r="AD480" s="708"/>
      <c r="AE480" s="708"/>
    </row>
    <row r="481">
      <c r="A481" s="727" t="str">
        <f>IFERROR(__xludf.DUMMYFUNCTION("""COMPUTED_VALUE"""),"TTKD Online")</f>
        <v>TTKD Online</v>
      </c>
      <c r="B481" s="728"/>
      <c r="C481" s="728"/>
      <c r="D481" s="728"/>
      <c r="E481" s="729"/>
      <c r="F481" s="729"/>
      <c r="G481" s="728"/>
      <c r="H481" s="728"/>
      <c r="I481" s="728"/>
      <c r="J481" s="728"/>
      <c r="K481" s="729"/>
      <c r="L481" s="728"/>
      <c r="M481" s="729"/>
      <c r="N481" s="728"/>
      <c r="O481" s="708"/>
      <c r="P481" s="708"/>
      <c r="Q481" s="708"/>
      <c r="R481" s="708"/>
      <c r="S481" s="708"/>
      <c r="T481" s="708"/>
      <c r="U481" s="708"/>
      <c r="V481" s="708"/>
      <c r="W481" s="708"/>
      <c r="X481" s="708"/>
      <c r="Y481" s="708"/>
      <c r="Z481" s="708"/>
      <c r="AA481" s="708"/>
      <c r="AB481" s="708"/>
      <c r="AC481" s="708"/>
      <c r="AD481" s="708"/>
      <c r="AE481" s="708"/>
    </row>
    <row r="482">
      <c r="A482" s="727">
        <f>IFERROR(__xludf.DUMMYFUNCTION("""COMPUTED_VALUE"""),431.0)</f>
        <v>431</v>
      </c>
      <c r="B482" s="728" t="str">
        <f>IFERROR(__xludf.DUMMYFUNCTION("""COMPUTED_VALUE"""),"BO_MKT_A.CMO")</f>
        <v>BO_MKT_A.CMO</v>
      </c>
      <c r="C482" s="728" t="str">
        <f>IFERROR(__xludf.DUMMYFUNCTION("""COMPUTED_VALUE"""),"SB_ONL_A.CMO")</f>
        <v>SB_ONL_A.CMO</v>
      </c>
      <c r="D482" s="728" t="str">
        <f>IFERROR(__xludf.DUMMYFUNCTION("""COMPUTED_VALUE"""),"Q. Giám đốc Trung tâm KD Online")</f>
        <v>Q. Giám đốc Trung tâm KD Online</v>
      </c>
      <c r="E482" s="728" t="str">
        <f>IFERROR(__xludf.DUMMYFUNCTION("""COMPUTED_VALUE"""),"BOM")</f>
        <v>BOM</v>
      </c>
      <c r="F482" s="728">
        <f>IFERROR(__xludf.DUMMYFUNCTION("""COMPUTED_VALUE"""),3.0)</f>
        <v>3</v>
      </c>
      <c r="G482" s="728" t="str">
        <f>IFERROR(__xludf.DUMMYFUNCTION("""COMPUTED_VALUE"""),"ONL")</f>
        <v>ONL</v>
      </c>
      <c r="H482" s="728" t="str">
        <f>IFERROR(__xludf.DUMMYFUNCTION("""COMPUTED_VALUE"""),"Ban GĐTTKD/ BGĐ khối DA")</f>
        <v>Ban GĐTTKD/ BGĐ khối DA</v>
      </c>
      <c r="I482" s="728" t="str">
        <f>IFERROR(__xludf.DUMMYFUNCTION("""COMPUTED_VALUE"""),"L00")</f>
        <v>L00</v>
      </c>
      <c r="J482" s="728" t="str">
        <f>IFERROR(__xludf.DUMMYFUNCTION("""COMPUTED_VALUE"""),"Công ty cổ phần MISA")</f>
        <v>Công ty cổ phần MISA</v>
      </c>
      <c r="K482" s="729"/>
      <c r="L482" s="728" t="str">
        <f>IFERROR(__xludf.DUMMYFUNCTION("""COMPUTED_VALUE"""),"Đang theo dõi")</f>
        <v>Đang theo dõi</v>
      </c>
      <c r="M482" s="729"/>
      <c r="N482" s="728" t="str">
        <f>IFERROR(__xludf.DUMMYFUNCTION("""COMPUTED_VALUE"""),"đổi mã")</f>
        <v>đổi mã</v>
      </c>
      <c r="O482" s="708"/>
      <c r="P482" s="708"/>
      <c r="Q482" s="708"/>
      <c r="R482" s="708"/>
      <c r="S482" s="708"/>
      <c r="T482" s="708"/>
      <c r="U482" s="708"/>
      <c r="V482" s="708"/>
      <c r="W482" s="708"/>
      <c r="X482" s="708"/>
      <c r="Y482" s="708"/>
      <c r="Z482" s="708"/>
      <c r="AA482" s="708"/>
      <c r="AB482" s="708"/>
      <c r="AC482" s="708"/>
      <c r="AD482" s="708"/>
      <c r="AE482" s="708"/>
    </row>
    <row r="483">
      <c r="A483" s="727">
        <f>IFERROR(__xludf.DUMMYFUNCTION("""COMPUTED_VALUE"""),432.0)</f>
        <v>432</v>
      </c>
      <c r="B483" s="738" t="str">
        <f>IFERROR(__xludf.DUMMYFUNCTION("""COMPUTED_VALUE"""),"KD_ONL_ACT_A.SM")</f>
        <v>KD_ONL_ACT_A.SM</v>
      </c>
      <c r="C483" s="728" t="str">
        <f>IFERROR(__xludf.DUMMYFUNCTION("""COMPUTED_VALUE"""),"SB_ONL_A.SM_ACT")</f>
        <v>SB_ONL_A.SM_ACT</v>
      </c>
      <c r="D483" s="728" t="str">
        <f>IFERROR(__xludf.DUMMYFUNCTION("""COMPUTED_VALUE"""),"Q.Quản lý kinh doanh")</f>
        <v>Q.Quản lý kinh doanh</v>
      </c>
      <c r="E483" s="728" t="str">
        <f>IFERROR(__xludf.DUMMYFUNCTION("""COMPUTED_VALUE"""),"SM")</f>
        <v>SM</v>
      </c>
      <c r="F483" s="728">
        <f>IFERROR(__xludf.DUMMYFUNCTION("""COMPUTED_VALUE"""),2.0)</f>
        <v>2</v>
      </c>
      <c r="G483" s="728" t="str">
        <f>IFERROR(__xludf.DUMMYFUNCTION("""COMPUTED_VALUE"""),"ONL")</f>
        <v>ONL</v>
      </c>
      <c r="H483" s="728" t="str">
        <f>IFERROR(__xludf.DUMMYFUNCTION("""COMPUTED_VALUE"""),"TPP/ Trưởng ban")</f>
        <v>TPP/ Trưởng ban</v>
      </c>
      <c r="I483" s="728" t="str">
        <f>IFERROR(__xludf.DUMMYFUNCTION("""COMPUTED_VALUE"""),"L00")</f>
        <v>L00</v>
      </c>
      <c r="J483" s="728" t="str">
        <f>IFERROR(__xludf.DUMMYFUNCTION("""COMPUTED_VALUE"""),"Công ty cổ phần MISA")</f>
        <v>Công ty cổ phần MISA</v>
      </c>
      <c r="K483" s="729" t="str">
        <f>IFERROR(__xludf.DUMMYFUNCTION("""COMPUTED_VALUE"""),"02 - QL_KD")</f>
        <v>02 - QL_KD</v>
      </c>
      <c r="L483" s="728" t="str">
        <f>IFERROR(__xludf.DUMMYFUNCTION("""COMPUTED_VALUE"""),"Đang theo dõi")</f>
        <v>Đang theo dõi</v>
      </c>
      <c r="M483" s="729"/>
      <c r="N483" s="728" t="str">
        <f>IFERROR(__xludf.DUMMYFUNCTION("""COMPUTED_VALUE"""),"đổi mã")</f>
        <v>đổi mã</v>
      </c>
      <c r="O483" s="708"/>
      <c r="P483" s="708"/>
      <c r="Q483" s="708"/>
      <c r="R483" s="708"/>
      <c r="S483" s="708"/>
      <c r="T483" s="708"/>
      <c r="U483" s="708"/>
      <c r="V483" s="708"/>
      <c r="W483" s="708"/>
      <c r="X483" s="708"/>
      <c r="Y483" s="708"/>
      <c r="Z483" s="708"/>
      <c r="AA483" s="708"/>
      <c r="AB483" s="708"/>
      <c r="AC483" s="708"/>
      <c r="AD483" s="708"/>
      <c r="AE483" s="708"/>
    </row>
    <row r="484">
      <c r="A484" s="727">
        <f>IFERROR(__xludf.DUMMYFUNCTION("""COMPUTED_VALUE"""),433.0)</f>
        <v>433</v>
      </c>
      <c r="B484" s="728" t="str">
        <f>IFERROR(__xludf.DUMMYFUNCTION("""COMPUTED_VALUE"""),"KD_ONL_ACT_AE")</f>
        <v>KD_ONL_ACT_AE</v>
      </c>
      <c r="C484" s="728" t="str">
        <f>IFERROR(__xludf.DUMMYFUNCTION("""COMPUTED_VALUE"""),"SB_ONL_AE_ACT")</f>
        <v>SB_ONL_AE_ACT</v>
      </c>
      <c r="D484" s="728" t="str">
        <f>IFERROR(__xludf.DUMMYFUNCTION("""COMPUTED_VALUE"""),"NV Tư vấn bán hàng")</f>
        <v>NV Tư vấn bán hàng</v>
      </c>
      <c r="E484" s="728" t="str">
        <f>IFERROR(__xludf.DUMMYFUNCTION("""COMPUTED_VALUE"""),"AE")</f>
        <v>AE</v>
      </c>
      <c r="F484" s="729"/>
      <c r="G484" s="728" t="str">
        <f>IFERROR(__xludf.DUMMYFUNCTION("""COMPUTED_VALUE"""),"ONL")</f>
        <v>ONL</v>
      </c>
      <c r="H484" s="728" t="str">
        <f>IFERROR(__xludf.DUMMYFUNCTION("""COMPUTED_VALUE"""),"Nhân viên/ Chuyên viên/ Chuyên gia")</f>
        <v>Nhân viên/ Chuyên viên/ Chuyên gia</v>
      </c>
      <c r="I484" s="728" t="str">
        <f>IFERROR(__xludf.DUMMYFUNCTION("""COMPUTED_VALUE"""),"L00")</f>
        <v>L00</v>
      </c>
      <c r="J484" s="728" t="str">
        <f>IFERROR(__xludf.DUMMYFUNCTION("""COMPUTED_VALUE"""),"Công ty cổ phần MISA")</f>
        <v>Công ty cổ phần MISA</v>
      </c>
      <c r="K484" s="729" t="str">
        <f>IFERROR(__xludf.DUMMYFUNCTION("""COMPUTED_VALUE"""),"01 - NV_KD")</f>
        <v>01 - NV_KD</v>
      </c>
      <c r="L484" s="728"/>
      <c r="M484" s="729"/>
      <c r="N484" s="728" t="str">
        <f>IFERROR(__xludf.DUMMYFUNCTION("""COMPUTED_VALUE"""),"đổi mã")</f>
        <v>đổi mã</v>
      </c>
      <c r="O484" s="708"/>
      <c r="P484" s="708"/>
      <c r="Q484" s="708"/>
      <c r="R484" s="708"/>
      <c r="S484" s="708"/>
      <c r="T484" s="708"/>
      <c r="U484" s="708"/>
      <c r="V484" s="708"/>
      <c r="W484" s="708"/>
      <c r="X484" s="708"/>
      <c r="Y484" s="708"/>
      <c r="Z484" s="708"/>
      <c r="AA484" s="708"/>
      <c r="AB484" s="708"/>
      <c r="AC484" s="708"/>
      <c r="AD484" s="708"/>
      <c r="AE484" s="708"/>
    </row>
    <row r="485">
      <c r="A485" s="727">
        <f>IFERROR(__xludf.DUMMYFUNCTION("""COMPUTED_VALUE"""),434.0)</f>
        <v>434</v>
      </c>
      <c r="B485" s="728" t="str">
        <f>IFERROR(__xludf.DUMMYFUNCTION("""COMPUTED_VALUE"""),"KD_ONL_HDDT_AE")</f>
        <v>KD_ONL_HDDT_AE</v>
      </c>
      <c r="C485" s="728" t="str">
        <f>IFERROR(__xludf.DUMMYFUNCTION("""COMPUTED_VALUE"""),"SB_ONL_AE_HDDT")</f>
        <v>SB_ONL_AE_HDDT</v>
      </c>
      <c r="D485" s="728" t="str">
        <f>IFERROR(__xludf.DUMMYFUNCTION("""COMPUTED_VALUE"""),"NV Tư vấn bán hàng")</f>
        <v>NV Tư vấn bán hàng</v>
      </c>
      <c r="E485" s="728" t="str">
        <f>IFERROR(__xludf.DUMMYFUNCTION("""COMPUTED_VALUE"""),"AE")</f>
        <v>AE</v>
      </c>
      <c r="F485" s="728"/>
      <c r="G485" s="728" t="str">
        <f>IFERROR(__xludf.DUMMYFUNCTION("""COMPUTED_VALUE"""),"ONL")</f>
        <v>ONL</v>
      </c>
      <c r="H485" s="728" t="str">
        <f>IFERROR(__xludf.DUMMYFUNCTION("""COMPUTED_VALUE"""),"Nhân viên/ Chuyên viên/ Chuyên gia")</f>
        <v>Nhân viên/ Chuyên viên/ Chuyên gia</v>
      </c>
      <c r="I485" s="728" t="str">
        <f>IFERROR(__xludf.DUMMYFUNCTION("""COMPUTED_VALUE"""),"L00")</f>
        <v>L00</v>
      </c>
      <c r="J485" s="728" t="str">
        <f>IFERROR(__xludf.DUMMYFUNCTION("""COMPUTED_VALUE"""),"Công ty cổ phần MISA")</f>
        <v>Công ty cổ phần MISA</v>
      </c>
      <c r="K485" s="729" t="str">
        <f>IFERROR(__xludf.DUMMYFUNCTION("""COMPUTED_VALUE"""),"01 - NV_KD")</f>
        <v>01 - NV_KD</v>
      </c>
      <c r="L485" s="728" t="str">
        <f>IFERROR(__xludf.DUMMYFUNCTION("""COMPUTED_VALUE"""),"Đang theo dõi")</f>
        <v>Đang theo dõi</v>
      </c>
      <c r="M485" s="729"/>
      <c r="N485" s="728" t="str">
        <f>IFERROR(__xludf.DUMMYFUNCTION("""COMPUTED_VALUE"""),"đổi mã")</f>
        <v>đổi mã</v>
      </c>
      <c r="O485" s="708"/>
      <c r="P485" s="708"/>
      <c r="Q485" s="708"/>
      <c r="R485" s="708"/>
      <c r="S485" s="708"/>
      <c r="T485" s="708"/>
      <c r="U485" s="708"/>
      <c r="V485" s="708"/>
      <c r="W485" s="708"/>
      <c r="X485" s="708"/>
      <c r="Y485" s="708"/>
      <c r="Z485" s="708"/>
      <c r="AA485" s="708"/>
      <c r="AB485" s="708"/>
      <c r="AC485" s="708"/>
      <c r="AD485" s="708"/>
      <c r="AE485" s="708"/>
    </row>
    <row r="486">
      <c r="A486" s="727">
        <f>IFERROR(__xludf.DUMMYFUNCTION("""COMPUTED_VALUE"""),435.0)</f>
        <v>435</v>
      </c>
      <c r="B486" s="728" t="str">
        <f>IFERROR(__xludf.DUMMYFUNCTION("""COMPUTED_VALUE"""),"KD_ONL_HKD_AE")</f>
        <v>KD_ONL_HKD_AE</v>
      </c>
      <c r="C486" s="728" t="str">
        <f>IFERROR(__xludf.DUMMYFUNCTION("""COMPUTED_VALUE"""),"SB_ONL_AE_HKD")</f>
        <v>SB_ONL_AE_HKD</v>
      </c>
      <c r="D486" s="728" t="str">
        <f>IFERROR(__xludf.DUMMYFUNCTION("""COMPUTED_VALUE"""),"NV Tư vấn bán hàng")</f>
        <v>NV Tư vấn bán hàng</v>
      </c>
      <c r="E486" s="729" t="str">
        <f>IFERROR(__xludf.DUMMYFUNCTION("""COMPUTED_VALUE"""),"AE")</f>
        <v>AE</v>
      </c>
      <c r="F486" s="729"/>
      <c r="G486" s="728" t="str">
        <f>IFERROR(__xludf.DUMMYFUNCTION("""COMPUTED_VALUE"""),"ONL")</f>
        <v>ONL</v>
      </c>
      <c r="H486" s="729" t="str">
        <f>IFERROR(__xludf.DUMMYFUNCTION("""COMPUTED_VALUE"""),"Nhân viên/ Chuyên viên/ Chuyên gia")</f>
        <v>Nhân viên/ Chuyên viên/ Chuyên gia</v>
      </c>
      <c r="I486" s="728" t="str">
        <f>IFERROR(__xludf.DUMMYFUNCTION("""COMPUTED_VALUE"""),"L00")</f>
        <v>L00</v>
      </c>
      <c r="J486" s="728" t="str">
        <f>IFERROR(__xludf.DUMMYFUNCTION("""COMPUTED_VALUE"""),"Công ty cổ phần MISA")</f>
        <v>Công ty cổ phần MISA</v>
      </c>
      <c r="K486" s="729" t="str">
        <f>IFERROR(__xludf.DUMMYFUNCTION("""COMPUTED_VALUE"""),"01 - NV_KD")</f>
        <v>01 - NV_KD</v>
      </c>
      <c r="L486" s="728" t="str">
        <f>IFERROR(__xludf.DUMMYFUNCTION("""COMPUTED_VALUE"""),"Đang theo dõi")</f>
        <v>Đang theo dõi</v>
      </c>
      <c r="M486" s="729"/>
      <c r="N486" s="728" t="str">
        <f>IFERROR(__xludf.DUMMYFUNCTION("""COMPUTED_VALUE"""),"đổi mã")</f>
        <v>đổi mã</v>
      </c>
      <c r="O486" s="708"/>
      <c r="P486" s="708"/>
      <c r="Q486" s="708"/>
      <c r="R486" s="708"/>
      <c r="S486" s="708"/>
      <c r="T486" s="708"/>
      <c r="U486" s="708"/>
      <c r="V486" s="708"/>
      <c r="W486" s="708"/>
      <c r="X486" s="708"/>
      <c r="Y486" s="708"/>
      <c r="Z486" s="708"/>
      <c r="AA486" s="708"/>
      <c r="AB486" s="708"/>
      <c r="AC486" s="708"/>
      <c r="AD486" s="708"/>
      <c r="AE486" s="708"/>
    </row>
    <row r="487">
      <c r="A487" s="727">
        <f>IFERROR(__xludf.DUMMYFUNCTION("""COMPUTED_VALUE"""),436.0)</f>
        <v>436</v>
      </c>
      <c r="B487" s="728" t="str">
        <f>IFERROR(__xludf.DUMMYFUNCTION("""COMPUTED_VALUE"""),"KD_ONL_KDT_AE")</f>
        <v>KD_ONL_KDT_AE</v>
      </c>
      <c r="C487" s="728" t="str">
        <f>IFERROR(__xludf.DUMMYFUNCTION("""COMPUTED_VALUE"""),"SB_ONL_AE_KDT")</f>
        <v>SB_ONL_AE_KDT</v>
      </c>
      <c r="D487" s="728" t="str">
        <f>IFERROR(__xludf.DUMMYFUNCTION("""COMPUTED_VALUE"""),"NV Tư vấn bán hàng")</f>
        <v>NV Tư vấn bán hàng</v>
      </c>
      <c r="E487" s="728" t="str">
        <f>IFERROR(__xludf.DUMMYFUNCTION("""COMPUTED_VALUE"""),"AE")</f>
        <v>AE</v>
      </c>
      <c r="F487" s="728"/>
      <c r="G487" s="728" t="str">
        <f>IFERROR(__xludf.DUMMYFUNCTION("""COMPUTED_VALUE"""),"ONL")</f>
        <v>ONL</v>
      </c>
      <c r="H487" s="728" t="str">
        <f>IFERROR(__xludf.DUMMYFUNCTION("""COMPUTED_VALUE"""),"Nhân viên/ Chuyên viên/ Chuyên gia")</f>
        <v>Nhân viên/ Chuyên viên/ Chuyên gia</v>
      </c>
      <c r="I487" s="728" t="str">
        <f>IFERROR(__xludf.DUMMYFUNCTION("""COMPUTED_VALUE"""),"L00")</f>
        <v>L00</v>
      </c>
      <c r="J487" s="728" t="str">
        <f>IFERROR(__xludf.DUMMYFUNCTION("""COMPUTED_VALUE"""),"Công ty cổ phần MISA")</f>
        <v>Công ty cổ phần MISA</v>
      </c>
      <c r="K487" s="729" t="str">
        <f>IFERROR(__xludf.DUMMYFUNCTION("""COMPUTED_VALUE"""),"01 - NV_KD")</f>
        <v>01 - NV_KD</v>
      </c>
      <c r="L487" s="728" t="str">
        <f>IFERROR(__xludf.DUMMYFUNCTION("""COMPUTED_VALUE"""),"Đang theo dõi")</f>
        <v>Đang theo dõi</v>
      </c>
      <c r="M487" s="729"/>
      <c r="N487" s="728" t="str">
        <f>IFERROR(__xludf.DUMMYFUNCTION("""COMPUTED_VALUE"""),"đổi mã")</f>
        <v>đổi mã</v>
      </c>
      <c r="O487" s="708"/>
      <c r="P487" s="708"/>
      <c r="Q487" s="708"/>
      <c r="R487" s="708"/>
      <c r="S487" s="708"/>
      <c r="T487" s="708"/>
      <c r="U487" s="708"/>
      <c r="V487" s="708"/>
      <c r="W487" s="708"/>
      <c r="X487" s="708"/>
      <c r="Y487" s="708"/>
      <c r="Z487" s="708"/>
      <c r="AA487" s="708"/>
      <c r="AB487" s="708"/>
      <c r="AC487" s="708"/>
      <c r="AD487" s="708"/>
      <c r="AE487" s="708"/>
    </row>
    <row r="488">
      <c r="A488" s="727">
        <f>IFERROR(__xludf.DUMMYFUNCTION("""COMPUTED_VALUE"""),437.0)</f>
        <v>437</v>
      </c>
      <c r="B488" s="728"/>
      <c r="C488" s="728" t="str">
        <f>IFERROR(__xludf.DUMMYFUNCTION("""COMPUTED_VALUE"""),"SB_ONL_AMM_ACT")</f>
        <v>SB_ONL_AMM_ACT</v>
      </c>
      <c r="D488" s="728" t="str">
        <f>IFERROR(__xludf.DUMMYFUNCTION("""COMPUTED_VALUE"""),"Trưởng phòng kinh doanh")</f>
        <v>Trưởng phòng kinh doanh</v>
      </c>
      <c r="E488" s="728" t="str">
        <f>IFERROR(__xludf.DUMMYFUNCTION("""COMPUTED_VALUE"""),"SM")</f>
        <v>SM</v>
      </c>
      <c r="F488" s="728"/>
      <c r="G488" s="728" t="str">
        <f>IFERROR(__xludf.DUMMYFUNCTION("""COMPUTED_VALUE"""),"ONL")</f>
        <v>ONL</v>
      </c>
      <c r="H488" s="728" t="str">
        <f>IFERROR(__xludf.DUMMYFUNCTION("""COMPUTED_VALUE"""),"TPP/ Trưởng ban")</f>
        <v>TPP/ Trưởng ban</v>
      </c>
      <c r="I488" s="728" t="str">
        <f>IFERROR(__xludf.DUMMYFUNCTION("""COMPUTED_VALUE"""),"L00")</f>
        <v>L00</v>
      </c>
      <c r="J488" s="728" t="str">
        <f>IFERROR(__xludf.DUMMYFUNCTION("""COMPUTED_VALUE"""),"Công ty cổ phần MISA")</f>
        <v>Công ty cổ phần MISA</v>
      </c>
      <c r="K488" s="729"/>
      <c r="L488" s="728" t="str">
        <f>IFERROR(__xludf.DUMMYFUNCTION("""COMPUTED_VALUE"""),"mới")</f>
        <v>mới</v>
      </c>
      <c r="M488" s="729"/>
      <c r="N488" s="728" t="str">
        <f>IFERROR(__xludf.DUMMYFUNCTION("""COMPUTED_VALUE"""),"thêm mới")</f>
        <v>thêm mới</v>
      </c>
      <c r="O488" s="708"/>
      <c r="P488" s="708"/>
      <c r="Q488" s="708"/>
      <c r="R488" s="708"/>
      <c r="S488" s="708"/>
      <c r="T488" s="708"/>
      <c r="U488" s="708"/>
      <c r="V488" s="708"/>
      <c r="W488" s="708"/>
      <c r="X488" s="708"/>
      <c r="Y488" s="708"/>
      <c r="Z488" s="708"/>
      <c r="AA488" s="708"/>
      <c r="AB488" s="708"/>
      <c r="AC488" s="708"/>
      <c r="AD488" s="708"/>
      <c r="AE488" s="708"/>
    </row>
    <row r="489">
      <c r="A489" s="727">
        <f>IFERROR(__xludf.DUMMYFUNCTION("""COMPUTED_VALUE"""),438.0)</f>
        <v>438</v>
      </c>
      <c r="B489" s="728" t="str">
        <f>IFERROR(__xludf.DUMMYFUNCTION("""COMPUTED_VALUE"""),"KD_ONL_ACT_SM")</f>
        <v>KD_ONL_ACT_SM</v>
      </c>
      <c r="C489" s="728" t="str">
        <f>IFERROR(__xludf.DUMMYFUNCTION("""COMPUTED_VALUE"""),"SB_ONL_SM_ACT")</f>
        <v>SB_ONL_SM_ACT</v>
      </c>
      <c r="D489" s="728" t="str">
        <f>IFERROR(__xludf.DUMMYFUNCTION("""COMPUTED_VALUE"""),"Quản lý kinh doanh")</f>
        <v>Quản lý kinh doanh</v>
      </c>
      <c r="E489" s="729" t="str">
        <f>IFERROR(__xludf.DUMMYFUNCTION("""COMPUTED_VALUE"""),"SM")</f>
        <v>SM</v>
      </c>
      <c r="F489" s="729">
        <f>IFERROR(__xludf.DUMMYFUNCTION("""COMPUTED_VALUE"""),2.0)</f>
        <v>2</v>
      </c>
      <c r="G489" s="728" t="str">
        <f>IFERROR(__xludf.DUMMYFUNCTION("""COMPUTED_VALUE"""),"ONL")</f>
        <v>ONL</v>
      </c>
      <c r="H489" s="729" t="str">
        <f>IFERROR(__xludf.DUMMYFUNCTION("""COMPUTED_VALUE"""),"TPP/ Trưởng ban")</f>
        <v>TPP/ Trưởng ban</v>
      </c>
      <c r="I489" s="728" t="str">
        <f>IFERROR(__xludf.DUMMYFUNCTION("""COMPUTED_VALUE"""),"L00")</f>
        <v>L00</v>
      </c>
      <c r="J489" s="728" t="str">
        <f>IFERROR(__xludf.DUMMYFUNCTION("""COMPUTED_VALUE"""),"Công ty cổ phần MISA")</f>
        <v>Công ty cổ phần MISA</v>
      </c>
      <c r="K489" s="729" t="str">
        <f>IFERROR(__xludf.DUMMYFUNCTION("""COMPUTED_VALUE"""),"02 - QL_KD")</f>
        <v>02 - QL_KD</v>
      </c>
      <c r="L489" s="728" t="str">
        <f>IFERROR(__xludf.DUMMYFUNCTION("""COMPUTED_VALUE"""),"Đang theo dõi")</f>
        <v>Đang theo dõi</v>
      </c>
      <c r="M489" s="729"/>
      <c r="N489" s="728" t="str">
        <f>IFERROR(__xludf.DUMMYFUNCTION("""COMPUTED_VALUE"""),"đổi mã")</f>
        <v>đổi mã</v>
      </c>
      <c r="O489" s="708"/>
      <c r="P489" s="708"/>
      <c r="Q489" s="708"/>
      <c r="R489" s="708"/>
      <c r="S489" s="708"/>
      <c r="T489" s="708"/>
      <c r="U489" s="708"/>
      <c r="V489" s="708"/>
      <c r="W489" s="708"/>
      <c r="X489" s="708"/>
      <c r="Y489" s="708"/>
      <c r="Z489" s="708"/>
      <c r="AA489" s="708"/>
      <c r="AB489" s="708"/>
      <c r="AC489" s="708"/>
      <c r="AD489" s="708"/>
      <c r="AE489" s="708"/>
    </row>
    <row r="490">
      <c r="A490" s="727">
        <f>IFERROR(__xludf.DUMMYFUNCTION("""COMPUTED_VALUE"""),439.0)</f>
        <v>439</v>
      </c>
      <c r="B490" s="728" t="str">
        <f>IFERROR(__xludf.DUMMYFUNCTION("""COMPUTED_VALUE"""),"KD_ONL_HDDT.HKD.KDT_SM")</f>
        <v>KD_ONL_HDDT.HKD.KDT_SM</v>
      </c>
      <c r="C490" s="728" t="str">
        <f>IFERROR(__xludf.DUMMYFUNCTION("""COMPUTED_VALUE"""),"SB_ONL_SM_HDDT.HKD.KDT")</f>
        <v>SB_ONL_SM_HDDT.HKD.KDT</v>
      </c>
      <c r="D490" s="728" t="str">
        <f>IFERROR(__xludf.DUMMYFUNCTION("""COMPUTED_VALUE"""),"Quản lý kinh doanh")</f>
        <v>Quản lý kinh doanh</v>
      </c>
      <c r="E490" s="728" t="str">
        <f>IFERROR(__xludf.DUMMYFUNCTION("""COMPUTED_VALUE"""),"SM")</f>
        <v>SM</v>
      </c>
      <c r="F490" s="729">
        <f>IFERROR(__xludf.DUMMYFUNCTION("""COMPUTED_VALUE"""),2.0)</f>
        <v>2</v>
      </c>
      <c r="G490" s="728" t="str">
        <f>IFERROR(__xludf.DUMMYFUNCTION("""COMPUTED_VALUE"""),"ONL")</f>
        <v>ONL</v>
      </c>
      <c r="H490" s="728" t="str">
        <f>IFERROR(__xludf.DUMMYFUNCTION("""COMPUTED_VALUE"""),"TPP/ Trưởng ban")</f>
        <v>TPP/ Trưởng ban</v>
      </c>
      <c r="I490" s="728" t="str">
        <f>IFERROR(__xludf.DUMMYFUNCTION("""COMPUTED_VALUE"""),"L00")</f>
        <v>L00</v>
      </c>
      <c r="J490" s="728" t="str">
        <f>IFERROR(__xludf.DUMMYFUNCTION("""COMPUTED_VALUE"""),"Công ty cổ phần MISA")</f>
        <v>Công ty cổ phần MISA</v>
      </c>
      <c r="K490" s="729" t="str">
        <f>IFERROR(__xludf.DUMMYFUNCTION("""COMPUTED_VALUE"""),"02 - QL_KD")</f>
        <v>02 - QL_KD</v>
      </c>
      <c r="L490" s="728" t="str">
        <f>IFERROR(__xludf.DUMMYFUNCTION("""COMPUTED_VALUE"""),"Đang theo dõi")</f>
        <v>Đang theo dõi</v>
      </c>
      <c r="M490" s="729"/>
      <c r="N490" s="728" t="str">
        <f>IFERROR(__xludf.DUMMYFUNCTION("""COMPUTED_VALUE"""),"đổi mã")</f>
        <v>đổi mã</v>
      </c>
      <c r="O490" s="708"/>
      <c r="P490" s="708"/>
      <c r="Q490" s="708"/>
      <c r="R490" s="708"/>
      <c r="S490" s="708"/>
      <c r="T490" s="708"/>
      <c r="U490" s="708"/>
      <c r="V490" s="708"/>
      <c r="W490" s="708"/>
      <c r="X490" s="708"/>
      <c r="Y490" s="708"/>
      <c r="Z490" s="708"/>
      <c r="AA490" s="708"/>
      <c r="AB490" s="708"/>
      <c r="AC490" s="708"/>
      <c r="AD490" s="708"/>
      <c r="AE490" s="708"/>
    </row>
    <row r="491">
      <c r="A491" s="727">
        <f>IFERROR(__xludf.DUMMYFUNCTION("""COMPUTED_VALUE"""),440.0)</f>
        <v>440</v>
      </c>
      <c r="B491" s="728" t="str">
        <f>IFERROR(__xludf.DUMMYFUNCTION("""COMPUTED_VALUE"""),"SB_SD_ASP")</f>
        <v>SB_SD_ASP</v>
      </c>
      <c r="C491" s="728" t="str">
        <f>IFERROR(__xludf.DUMMYFUNCTION("""COMPUTED_VALUE"""),"SB_SD_ASP")</f>
        <v>SB_SD_ASP</v>
      </c>
      <c r="D491" s="728" t="str">
        <f>IFERROR(__xludf.DUMMYFUNCTION("""COMPUTED_VALUE"""),"Giám đốc MISA ASP")</f>
        <v>Giám đốc MISA ASP</v>
      </c>
      <c r="E491" s="728" t="str">
        <f>IFERROR(__xludf.DUMMYFUNCTION("""COMPUTED_VALUE"""),"BOM")</f>
        <v>BOM</v>
      </c>
      <c r="F491" s="728">
        <f>IFERROR(__xludf.DUMMYFUNCTION("""COMPUTED_VALUE"""),3.0)</f>
        <v>3</v>
      </c>
      <c r="G491" s="728" t="str">
        <f>IFERROR(__xludf.DUMMYFUNCTION("""COMPUTED_VALUE"""),"KD_TCT")</f>
        <v>KD_TCT</v>
      </c>
      <c r="H491" s="728" t="str">
        <f>IFERROR(__xludf.DUMMYFUNCTION("""COMPUTED_VALUE"""),"Ban GĐTTKD/ BGĐ khối DA")</f>
        <v>Ban GĐTTKD/ BGĐ khối DA</v>
      </c>
      <c r="I491" s="728" t="str">
        <f>IFERROR(__xludf.DUMMYFUNCTION("""COMPUTED_VALUE"""),"L00")</f>
        <v>L00</v>
      </c>
      <c r="J491" s="728" t="str">
        <f>IFERROR(__xludf.DUMMYFUNCTION("""COMPUTED_VALUE"""),"Công ty cổ phần MISA")</f>
        <v>Công ty cổ phần MISA</v>
      </c>
      <c r="K491" s="729" t="str">
        <f>IFERROR(__xludf.DUMMYFUNCTION("""COMPUTED_VALUE"""),"03 - BGĐ_KD")</f>
        <v>03 - BGĐ_KD</v>
      </c>
      <c r="L491" s="728" t="str">
        <f>IFERROR(__xludf.DUMMYFUNCTION("""COMPUTED_VALUE"""),"Ngừng")</f>
        <v>Ngừng</v>
      </c>
      <c r="M491" s="729"/>
      <c r="N491" s="728" t="str">
        <f>IFERROR(__xludf.DUMMYFUNCTION("""COMPUTED_VALUE"""),"ngừng")</f>
        <v>ngừng</v>
      </c>
      <c r="O491" s="708"/>
      <c r="P491" s="708"/>
      <c r="Q491" s="708"/>
      <c r="R491" s="708"/>
      <c r="S491" s="708"/>
      <c r="T491" s="708"/>
      <c r="U491" s="708"/>
      <c r="V491" s="708"/>
      <c r="W491" s="708"/>
      <c r="X491" s="708"/>
      <c r="Y491" s="708"/>
      <c r="Z491" s="708"/>
      <c r="AA491" s="708"/>
      <c r="AB491" s="708"/>
      <c r="AC491" s="708"/>
      <c r="AD491" s="708"/>
      <c r="AE491" s="708"/>
    </row>
    <row r="492">
      <c r="A492" s="727">
        <f>IFERROR(__xludf.DUMMYFUNCTION("""COMPUTED_VALUE"""),441.0)</f>
        <v>441</v>
      </c>
      <c r="B492" s="728" t="str">
        <f>IFERROR(__xludf.DUMMYFUNCTION("""COMPUTED_VALUE"""),"SB_SM_ASP_HKD")</f>
        <v>SB_SM_ASP_HKD</v>
      </c>
      <c r="C492" s="728" t="str">
        <f>IFERROR(__xludf.DUMMYFUNCTION("""COMPUTED_VALUE"""),"SB_SM_ASP_HKD")</f>
        <v>SB_SM_ASP_HKD</v>
      </c>
      <c r="D492" s="728" t="str">
        <f>IFERROR(__xludf.DUMMYFUNCTION("""COMPUTED_VALUE"""),"Quản lý kinh doanh")</f>
        <v>Quản lý kinh doanh</v>
      </c>
      <c r="E492" s="729"/>
      <c r="F492" s="729"/>
      <c r="G492" s="728" t="str">
        <f>IFERROR(__xludf.DUMMYFUNCTION("""COMPUTED_VALUE"""),"KTDV")</f>
        <v>KTDV</v>
      </c>
      <c r="H492" s="728"/>
      <c r="I492" s="728" t="str">
        <f>IFERROR(__xludf.DUMMYFUNCTION("""COMPUTED_VALUE"""),"L00")</f>
        <v>L00</v>
      </c>
      <c r="J492" s="728" t="str">
        <f>IFERROR(__xludf.DUMMYFUNCTION("""COMPUTED_VALUE"""),"Công ty cổ phần MISA")</f>
        <v>Công ty cổ phần MISA</v>
      </c>
      <c r="K492" s="729"/>
      <c r="L492" s="728" t="str">
        <f>IFERROR(__xludf.DUMMYFUNCTION("""COMPUTED_VALUE"""),"Ngừng")</f>
        <v>Ngừng</v>
      </c>
      <c r="M492" s="729"/>
      <c r="N492" s="728" t="str">
        <f>IFERROR(__xludf.DUMMYFUNCTION("""COMPUTED_VALUE"""),"ngừng")</f>
        <v>ngừng</v>
      </c>
      <c r="O492" s="708"/>
      <c r="P492" s="708"/>
      <c r="Q492" s="708"/>
      <c r="R492" s="708"/>
      <c r="S492" s="708"/>
      <c r="T492" s="708"/>
      <c r="U492" s="708"/>
      <c r="V492" s="708"/>
      <c r="W492" s="708"/>
      <c r="X492" s="708"/>
      <c r="Y492" s="708"/>
      <c r="Z492" s="708"/>
      <c r="AA492" s="708"/>
      <c r="AB492" s="708"/>
      <c r="AC492" s="708"/>
      <c r="AD492" s="708"/>
      <c r="AE492" s="708"/>
    </row>
    <row r="493">
      <c r="A493" s="727">
        <f>IFERROR(__xludf.DUMMYFUNCTION("""COMPUTED_VALUE"""),442.0)</f>
        <v>442</v>
      </c>
      <c r="B493" s="728" t="str">
        <f>IFERROR(__xludf.DUMMYFUNCTION("""COMPUTED_VALUE"""),"SB_VSD_ASP_HKD")</f>
        <v>SB_VSD_ASP_HKD</v>
      </c>
      <c r="C493" s="728" t="str">
        <f>IFERROR(__xludf.DUMMYFUNCTION("""COMPUTED_VALUE"""),"SB_VSD_HKD")</f>
        <v>SB_VSD_HKD</v>
      </c>
      <c r="D493" s="728" t="str">
        <f>IFERROR(__xludf.DUMMYFUNCTION("""COMPUTED_VALUE"""),"Phó giám đốc phụ trách mảng HKD")</f>
        <v>Phó giám đốc phụ trách mảng HKD</v>
      </c>
      <c r="E493" s="729"/>
      <c r="F493" s="729"/>
      <c r="G493" s="728" t="str">
        <f>IFERROR(__xludf.DUMMYFUNCTION("""COMPUTED_VALUE"""),"KTDV")</f>
        <v>KTDV</v>
      </c>
      <c r="H493" s="729"/>
      <c r="I493" s="728" t="str">
        <f>IFERROR(__xludf.DUMMYFUNCTION("""COMPUTED_VALUE"""),"L00")</f>
        <v>L00</v>
      </c>
      <c r="J493" s="728" t="str">
        <f>IFERROR(__xludf.DUMMYFUNCTION("""COMPUTED_VALUE"""),"Công ty cổ phần MISA")</f>
        <v>Công ty cổ phần MISA</v>
      </c>
      <c r="K493" s="729"/>
      <c r="L493" s="728" t="str">
        <f>IFERROR(__xludf.DUMMYFUNCTION("""COMPUTED_VALUE"""),"Đang theo dõi")</f>
        <v>Đang theo dõi</v>
      </c>
      <c r="M493" s="729"/>
      <c r="N493" s="728" t="str">
        <f>IFERROR(__xludf.DUMMYFUNCTION("""COMPUTED_VALUE"""),"đổi mã")</f>
        <v>đổi mã</v>
      </c>
      <c r="O493" s="708"/>
      <c r="P493" s="708"/>
      <c r="Q493" s="708"/>
      <c r="R493" s="708"/>
      <c r="S493" s="708"/>
      <c r="T493" s="708"/>
      <c r="U493" s="708"/>
      <c r="V493" s="708"/>
      <c r="W493" s="708"/>
      <c r="X493" s="708"/>
      <c r="Y493" s="708"/>
      <c r="Z493" s="708"/>
      <c r="AA493" s="708"/>
      <c r="AB493" s="708"/>
      <c r="AC493" s="708"/>
      <c r="AD493" s="708"/>
      <c r="AE493" s="708"/>
    </row>
    <row r="494">
      <c r="A494" s="727" t="str">
        <f>IFERROR(__xludf.DUMMYFUNCTION("""COMPUTED_VALUE"""),"Khối sản xuất")</f>
        <v>Khối sản xuất</v>
      </c>
      <c r="B494" s="728"/>
      <c r="C494" s="728"/>
      <c r="D494" s="728"/>
      <c r="E494" s="729"/>
      <c r="F494" s="729"/>
      <c r="G494" s="728"/>
      <c r="H494" s="729"/>
      <c r="I494" s="728"/>
      <c r="J494" s="728"/>
      <c r="K494" s="729"/>
      <c r="L494" s="728"/>
      <c r="M494" s="729"/>
      <c r="N494" s="728"/>
      <c r="O494" s="708"/>
      <c r="P494" s="708"/>
      <c r="Q494" s="708"/>
      <c r="R494" s="708"/>
      <c r="S494" s="708"/>
      <c r="T494" s="708"/>
      <c r="U494" s="708"/>
      <c r="V494" s="708"/>
      <c r="W494" s="708"/>
      <c r="X494" s="708"/>
      <c r="Y494" s="708"/>
      <c r="Z494" s="708"/>
      <c r="AA494" s="708"/>
      <c r="AB494" s="708"/>
      <c r="AC494" s="708"/>
      <c r="AD494" s="708"/>
      <c r="AE494" s="708"/>
    </row>
    <row r="495">
      <c r="A495" s="727">
        <f>IFERROR(__xludf.DUMMYFUNCTION("""COMPUTED_VALUE"""),443.0)</f>
        <v>443</v>
      </c>
      <c r="B495" s="728" t="str">
        <f>IFERROR(__xludf.DUMMYFUNCTION("""COMPUTED_VALUE"""),"SDC_A.CENO")</f>
        <v>SDC_A.CENO</v>
      </c>
      <c r="C495" s="728" t="str">
        <f>IFERROR(__xludf.DUMMYFUNCTION("""COMPUTED_VALUE"""),"SDC_A.CENO")</f>
        <v>SDC_A.CENO</v>
      </c>
      <c r="D495" s="728" t="str">
        <f>IFERROR(__xludf.DUMMYFUNCTION("""COMPUTED_VALUE"""),"Q. Giám đốc thi công")</f>
        <v>Q. Giám đốc thi công</v>
      </c>
      <c r="E495" s="728"/>
      <c r="F495" s="728"/>
      <c r="G495" s="728" t="str">
        <f>IFERROR(__xludf.DUMMYFUNCTION("""COMPUTED_VALUE"""),"KSX")</f>
        <v>KSX</v>
      </c>
      <c r="H495" s="728"/>
      <c r="I495" s="728" t="str">
        <f>IFERROR(__xludf.DUMMYFUNCTION("""COMPUTED_VALUE"""),"L1.00.00.00.00.00.07")</f>
        <v>L1.00.00.00.00.00.07</v>
      </c>
      <c r="J495" s="728" t="str">
        <f>IFERROR(__xludf.DUMMYFUNCTION("""COMPUTED_VALUE"""),"Khối sản xuất")</f>
        <v>Khối sản xuất</v>
      </c>
      <c r="K495" s="729"/>
      <c r="L495" s="728" t="str">
        <f>IFERROR(__xludf.DUMMYFUNCTION("""COMPUTED_VALUE"""),"Đang theo dõi")</f>
        <v>Đang theo dõi</v>
      </c>
      <c r="M495" s="729"/>
      <c r="N495" s="728" t="str">
        <f>IFERROR(__xludf.DUMMYFUNCTION("""COMPUTED_VALUE"""),"giữ nguyên")</f>
        <v>giữ nguyên</v>
      </c>
      <c r="O495" s="708"/>
      <c r="P495" s="708"/>
      <c r="Q495" s="708"/>
      <c r="R495" s="708"/>
      <c r="S495" s="708"/>
      <c r="T495" s="708"/>
      <c r="U495" s="708"/>
      <c r="V495" s="708"/>
      <c r="W495" s="708"/>
      <c r="X495" s="708"/>
      <c r="Y495" s="708"/>
      <c r="Z495" s="708"/>
      <c r="AA495" s="708"/>
      <c r="AB495" s="708"/>
      <c r="AC495" s="708"/>
      <c r="AD495" s="708"/>
      <c r="AE495" s="708"/>
    </row>
    <row r="496">
      <c r="A496" s="727">
        <f>IFERROR(__xludf.DUMMYFUNCTION("""COMPUTED_VALUE"""),444.0)</f>
        <v>444</v>
      </c>
      <c r="B496" s="728" t="str">
        <f>IFERROR(__xludf.DUMMYFUNCTION("""COMPUTED_VALUE"""),"SDC_A.CUD")</f>
        <v>SDC_A.CUD</v>
      </c>
      <c r="C496" s="728" t="str">
        <f>IFERROR(__xludf.DUMMYFUNCTION("""COMPUTED_VALUE"""),"SDC_A.CUD")</f>
        <v>SDC_A.CUD</v>
      </c>
      <c r="D496" s="728" t="str">
        <f>IFERROR(__xludf.DUMMYFUNCTION("""COMPUTED_VALUE"""),"Q. Giám đốc thiết kế")</f>
        <v>Q. Giám đốc thiết kế</v>
      </c>
      <c r="E496" s="728"/>
      <c r="F496" s="728"/>
      <c r="G496" s="728" t="str">
        <f>IFERROR(__xludf.DUMMYFUNCTION("""COMPUTED_VALUE"""),"KSX")</f>
        <v>KSX</v>
      </c>
      <c r="H496" s="728" t="str">
        <f>IFERROR(__xludf.DUMMYFUNCTION("""COMPUTED_VALUE"""),"BGĐ khối")</f>
        <v>BGĐ khối</v>
      </c>
      <c r="I496" s="728" t="str">
        <f>IFERROR(__xludf.DUMMYFUNCTION("""COMPUTED_VALUE"""),"L1.00.00.00.00.00.07")</f>
        <v>L1.00.00.00.00.00.07</v>
      </c>
      <c r="J496" s="728" t="str">
        <f>IFERROR(__xludf.DUMMYFUNCTION("""COMPUTED_VALUE"""),"Khối sản xuất")</f>
        <v>Khối sản xuất</v>
      </c>
      <c r="K496" s="729"/>
      <c r="L496" s="728" t="str">
        <f>IFERROR(__xludf.DUMMYFUNCTION("""COMPUTED_VALUE"""),"Đang theo dõi")</f>
        <v>Đang theo dõi</v>
      </c>
      <c r="M496" s="729"/>
      <c r="N496" s="728" t="str">
        <f>IFERROR(__xludf.DUMMYFUNCTION("""COMPUTED_VALUE"""),"giữ nguyên")</f>
        <v>giữ nguyên</v>
      </c>
      <c r="O496" s="708"/>
      <c r="P496" s="708"/>
      <c r="Q496" s="708"/>
      <c r="R496" s="708"/>
      <c r="S496" s="708"/>
      <c r="T496" s="708"/>
      <c r="U496" s="708"/>
      <c r="V496" s="708"/>
      <c r="W496" s="708"/>
      <c r="X496" s="708"/>
      <c r="Y496" s="708"/>
      <c r="Z496" s="708"/>
      <c r="AA496" s="708"/>
      <c r="AB496" s="708"/>
      <c r="AC496" s="708"/>
      <c r="AD496" s="708"/>
      <c r="AE496" s="708"/>
    </row>
    <row r="497">
      <c r="A497" s="727">
        <f>IFERROR(__xludf.DUMMYFUNCTION("""COMPUTED_VALUE"""),445.0)</f>
        <v>445</v>
      </c>
      <c r="B497" s="728" t="str">
        <f>IFERROR(__xludf.DUMMYFUNCTION("""COMPUTED_VALUE"""),"SDC_A.PUD_1")</f>
        <v>SDC_A.PUD_1</v>
      </c>
      <c r="C497" s="728" t="str">
        <f>IFERROR(__xludf.DUMMYFUNCTION("""COMPUTED_VALUE"""),"SDC_A.PUD_1")</f>
        <v>SDC_A.PUD_1</v>
      </c>
      <c r="D497" s="728" t="str">
        <f>IFERROR(__xludf.DUMMYFUNCTION("""COMPUTED_VALUE"""),"Q. Giám đốc khối")</f>
        <v>Q. Giám đốc khối</v>
      </c>
      <c r="E497" s="729" t="str">
        <f>IFERROR(__xludf.DUMMYFUNCTION("""COMPUTED_VALUE"""),"BOM")</f>
        <v>BOM</v>
      </c>
      <c r="F497" s="729">
        <f>IFERROR(__xludf.DUMMYFUNCTION("""COMPUTED_VALUE"""),3.0)</f>
        <v>3</v>
      </c>
      <c r="G497" s="728" t="str">
        <f>IFERROR(__xludf.DUMMYFUNCTION("""COMPUTED_VALUE"""),"KSX")</f>
        <v>KSX</v>
      </c>
      <c r="H497" s="729" t="str">
        <f>IFERROR(__xludf.DUMMYFUNCTION("""COMPUTED_VALUE"""),"BGĐ khối")</f>
        <v>BGĐ khối</v>
      </c>
      <c r="I497" s="728" t="str">
        <f>IFERROR(__xludf.DUMMYFUNCTION("""COMPUTED_VALUE"""),"L1.00.00.00.00.00.07")</f>
        <v>L1.00.00.00.00.00.07</v>
      </c>
      <c r="J497" s="728" t="str">
        <f>IFERROR(__xludf.DUMMYFUNCTION("""COMPUTED_VALUE"""),"Khối sản xuất")</f>
        <v>Khối sản xuất</v>
      </c>
      <c r="K497" s="729"/>
      <c r="L497" s="728" t="str">
        <f>IFERROR(__xludf.DUMMYFUNCTION("""COMPUTED_VALUE"""),"Đang theo dõi")</f>
        <v>Đang theo dõi</v>
      </c>
      <c r="M497" s="729"/>
      <c r="N497" s="728" t="str">
        <f>IFERROR(__xludf.DUMMYFUNCTION("""COMPUTED_VALUE"""),"giữ nguyên")</f>
        <v>giữ nguyên</v>
      </c>
      <c r="O497" s="708"/>
      <c r="P497" s="708"/>
      <c r="Q497" s="708"/>
      <c r="R497" s="708"/>
      <c r="S497" s="708"/>
      <c r="T497" s="708"/>
      <c r="U497" s="708"/>
      <c r="V497" s="708"/>
      <c r="W497" s="708"/>
      <c r="X497" s="708"/>
      <c r="Y497" s="708"/>
      <c r="Z497" s="708"/>
      <c r="AA497" s="708"/>
      <c r="AB497" s="708"/>
      <c r="AC497" s="708"/>
      <c r="AD497" s="708"/>
      <c r="AE497" s="708"/>
    </row>
    <row r="498">
      <c r="A498" s="727">
        <f>IFERROR(__xludf.DUMMYFUNCTION("""COMPUTED_VALUE"""),446.0)</f>
        <v>446</v>
      </c>
      <c r="B498" s="728" t="str">
        <f>IFERROR(__xludf.DUMMYFUNCTION("""COMPUTED_VALUE"""),"SDC_A.VPUD")</f>
        <v>SDC_A.VPUD</v>
      </c>
      <c r="C498" s="728" t="str">
        <f>IFERROR(__xludf.DUMMYFUNCTION("""COMPUTED_VALUE"""),"SDC_A.VPUD")</f>
        <v>SDC_A.VPUD</v>
      </c>
      <c r="D498" s="728" t="str">
        <f>IFERROR(__xludf.DUMMYFUNCTION("""COMPUTED_VALUE"""),"Q. Phó GĐ khối dự án")</f>
        <v>Q. Phó GĐ khối dự án</v>
      </c>
      <c r="E498" s="728" t="str">
        <f>IFERROR(__xludf.DUMMYFUNCTION("""COMPUTED_VALUE"""),"BOM")</f>
        <v>BOM</v>
      </c>
      <c r="F498" s="729">
        <f>IFERROR(__xludf.DUMMYFUNCTION("""COMPUTED_VALUE"""),3.0)</f>
        <v>3</v>
      </c>
      <c r="G498" s="728" t="str">
        <f>IFERROR(__xludf.DUMMYFUNCTION("""COMPUTED_VALUE"""),"KSX")</f>
        <v>KSX</v>
      </c>
      <c r="H498" s="728" t="str">
        <f>IFERROR(__xludf.DUMMYFUNCTION("""COMPUTED_VALUE"""),"Ban GĐTTKD/ BGĐ khối DA")</f>
        <v>Ban GĐTTKD/ BGĐ khối DA</v>
      </c>
      <c r="I498" s="728" t="str">
        <f>IFERROR(__xludf.DUMMYFUNCTION("""COMPUTED_VALUE"""),"L1.00.00.00.00.00.07")</f>
        <v>L1.00.00.00.00.00.07</v>
      </c>
      <c r="J498" s="728" t="str">
        <f>IFERROR(__xludf.DUMMYFUNCTION("""COMPUTED_VALUE"""),"Khối sản xuất")</f>
        <v>Khối sản xuất</v>
      </c>
      <c r="K498" s="729"/>
      <c r="L498" s="728" t="str">
        <f>IFERROR(__xludf.DUMMYFUNCTION("""COMPUTED_VALUE"""),"Đang theo dõi")</f>
        <v>Đang theo dõi</v>
      </c>
      <c r="M498" s="729"/>
      <c r="N498" s="728" t="str">
        <f>IFERROR(__xludf.DUMMYFUNCTION("""COMPUTED_VALUE"""),"giữ nguyên")</f>
        <v>giữ nguyên</v>
      </c>
      <c r="O498" s="708"/>
      <c r="P498" s="708"/>
      <c r="Q498" s="708"/>
      <c r="R498" s="708"/>
      <c r="S498" s="708"/>
      <c r="T498" s="708"/>
      <c r="U498" s="708"/>
      <c r="V498" s="708"/>
      <c r="W498" s="708"/>
      <c r="X498" s="708"/>
      <c r="Y498" s="708"/>
      <c r="Z498" s="708"/>
      <c r="AA498" s="708"/>
      <c r="AB498" s="708"/>
      <c r="AC498" s="708"/>
      <c r="AD498" s="708"/>
      <c r="AE498" s="708"/>
    </row>
    <row r="499">
      <c r="A499" s="727">
        <f>IFERROR(__xludf.DUMMYFUNCTION("""COMPUTED_VALUE"""),447.0)</f>
        <v>447</v>
      </c>
      <c r="B499" s="728" t="str">
        <f>IFERROR(__xludf.DUMMYFUNCTION("""COMPUTED_VALUE"""),"SDC_BA")</f>
        <v>SDC_BA</v>
      </c>
      <c r="C499" s="728" t="str">
        <f>IFERROR(__xludf.DUMMYFUNCTION("""COMPUTED_VALUE"""),"SDC_BA")</f>
        <v>SDC_BA</v>
      </c>
      <c r="D499" s="728" t="str">
        <f>IFERROR(__xludf.DUMMYFUNCTION("""COMPUTED_VALUE"""),"NV phân tích nghiệp vụ")</f>
        <v>NV phân tích nghiệp vụ</v>
      </c>
      <c r="E499" s="728" t="str">
        <f>IFERROR(__xludf.DUMMYFUNCTION("""COMPUTED_VALUE"""),"BA")</f>
        <v>BA</v>
      </c>
      <c r="F499" s="728"/>
      <c r="G499" s="728" t="str">
        <f>IFERROR(__xludf.DUMMYFUNCTION("""COMPUTED_VALUE"""),"KSX")</f>
        <v>KSX</v>
      </c>
      <c r="H499" s="728" t="str">
        <f>IFERROR(__xludf.DUMMYFUNCTION("""COMPUTED_VALUE"""),"Nhân viên/ Chuyên viên/ Chuyên gia")</f>
        <v>Nhân viên/ Chuyên viên/ Chuyên gia</v>
      </c>
      <c r="I499" s="728" t="str">
        <f>IFERROR(__xludf.DUMMYFUNCTION("""COMPUTED_VALUE"""),"L1.00.00.00.00.00.07")</f>
        <v>L1.00.00.00.00.00.07</v>
      </c>
      <c r="J499" s="728" t="str">
        <f>IFERROR(__xludf.DUMMYFUNCTION("""COMPUTED_VALUE"""),"Khối sản xuất")</f>
        <v>Khối sản xuất</v>
      </c>
      <c r="K499" s="729"/>
      <c r="L499" s="728" t="str">
        <f>IFERROR(__xludf.DUMMYFUNCTION("""COMPUTED_VALUE"""),"Đang theo dõi")</f>
        <v>Đang theo dõi</v>
      </c>
      <c r="M499" s="729"/>
      <c r="N499" s="728" t="str">
        <f>IFERROR(__xludf.DUMMYFUNCTION("""COMPUTED_VALUE"""),"giữ nguyên")</f>
        <v>giữ nguyên</v>
      </c>
      <c r="O499" s="708"/>
      <c r="P499" s="708"/>
      <c r="Q499" s="708"/>
      <c r="R499" s="708"/>
      <c r="S499" s="708"/>
      <c r="T499" s="708"/>
      <c r="U499" s="708"/>
      <c r="V499" s="708"/>
      <c r="W499" s="708"/>
      <c r="X499" s="708"/>
      <c r="Y499" s="708"/>
      <c r="Z499" s="708"/>
      <c r="AA499" s="708"/>
      <c r="AB499" s="708"/>
      <c r="AC499" s="708"/>
      <c r="AD499" s="708"/>
      <c r="AE499" s="708"/>
    </row>
    <row r="500">
      <c r="A500" s="727">
        <f>IFERROR(__xludf.DUMMYFUNCTION("""COMPUTED_VALUE"""),448.0)</f>
        <v>448</v>
      </c>
      <c r="B500" s="728" t="str">
        <f>IFERROR(__xludf.DUMMYFUNCTION("""COMPUTED_VALUE"""),"SDC_BAL")</f>
        <v>SDC_BAL</v>
      </c>
      <c r="C500" s="728" t="str">
        <f>IFERROR(__xludf.DUMMYFUNCTION("""COMPUTED_VALUE"""),"SDC_BAL")</f>
        <v>SDC_BAL</v>
      </c>
      <c r="D500" s="728" t="str">
        <f>IFERROR(__xludf.DUMMYFUNCTION("""COMPUTED_VALUE"""),"Trưởng nhóm phân tích nghiệp vụ")</f>
        <v>Trưởng nhóm phân tích nghiệp vụ</v>
      </c>
      <c r="E500" s="728" t="str">
        <f>IFERROR(__xludf.DUMMYFUNCTION("""COMPUTED_VALUE"""),"BAL")</f>
        <v>BAL</v>
      </c>
      <c r="F500" s="728">
        <f>IFERROR(__xludf.DUMMYFUNCTION("""COMPUTED_VALUE"""),1.0)</f>
        <v>1</v>
      </c>
      <c r="G500" s="728" t="str">
        <f>IFERROR(__xludf.DUMMYFUNCTION("""COMPUTED_VALUE"""),"KSX")</f>
        <v>KSX</v>
      </c>
      <c r="H500" s="728" t="str">
        <f>IFERROR(__xludf.DUMMYFUNCTION("""COMPUTED_VALUE"""),"Trưởng nhóm")</f>
        <v>Trưởng nhóm</v>
      </c>
      <c r="I500" s="728" t="str">
        <f>IFERROR(__xludf.DUMMYFUNCTION("""COMPUTED_VALUE"""),"L1.00.00.00.00.00.07")</f>
        <v>L1.00.00.00.00.00.07</v>
      </c>
      <c r="J500" s="728" t="str">
        <f>IFERROR(__xludf.DUMMYFUNCTION("""COMPUTED_VALUE"""),"Khối sản xuất")</f>
        <v>Khối sản xuất</v>
      </c>
      <c r="K500" s="729"/>
      <c r="L500" s="728" t="str">
        <f>IFERROR(__xludf.DUMMYFUNCTION("""COMPUTED_VALUE"""),"Đang theo dõi")</f>
        <v>Đang theo dõi</v>
      </c>
      <c r="M500" s="729"/>
      <c r="N500" s="728" t="str">
        <f>IFERROR(__xludf.DUMMYFUNCTION("""COMPUTED_VALUE"""),"giữ nguyên")</f>
        <v>giữ nguyên</v>
      </c>
      <c r="O500" s="708"/>
      <c r="P500" s="708"/>
      <c r="Q500" s="708"/>
      <c r="R500" s="708"/>
      <c r="S500" s="708"/>
      <c r="T500" s="708"/>
      <c r="U500" s="708"/>
      <c r="V500" s="708"/>
      <c r="W500" s="708"/>
      <c r="X500" s="708"/>
      <c r="Y500" s="708"/>
      <c r="Z500" s="708"/>
      <c r="AA500" s="708"/>
      <c r="AB500" s="708"/>
      <c r="AC500" s="708"/>
      <c r="AD500" s="708"/>
      <c r="AE500" s="708"/>
    </row>
    <row r="501">
      <c r="A501" s="727">
        <f>IFERROR(__xludf.DUMMYFUNCTION("""COMPUTED_VALUE"""),449.0)</f>
        <v>449</v>
      </c>
      <c r="B501" s="728" t="str">
        <f>IFERROR(__xludf.DUMMYFUNCTION("""COMPUTED_VALUE"""),"SDC_CENO")</f>
        <v>SDC_CENO</v>
      </c>
      <c r="C501" s="728" t="str">
        <f>IFERROR(__xludf.DUMMYFUNCTION("""COMPUTED_VALUE"""),"SDC_CENO")</f>
        <v>SDC_CENO</v>
      </c>
      <c r="D501" s="728" t="str">
        <f>IFERROR(__xludf.DUMMYFUNCTION("""COMPUTED_VALUE"""),"Giám đốc thi công")</f>
        <v>Giám đốc thi công</v>
      </c>
      <c r="E501" s="728"/>
      <c r="F501" s="728"/>
      <c r="G501" s="728" t="str">
        <f>IFERROR(__xludf.DUMMYFUNCTION("""COMPUTED_VALUE"""),"KSX")</f>
        <v>KSX</v>
      </c>
      <c r="H501" s="728"/>
      <c r="I501" s="728" t="str">
        <f>IFERROR(__xludf.DUMMYFUNCTION("""COMPUTED_VALUE"""),"L1.00.00.00.00.00.07")</f>
        <v>L1.00.00.00.00.00.07</v>
      </c>
      <c r="J501" s="728" t="str">
        <f>IFERROR(__xludf.DUMMYFUNCTION("""COMPUTED_VALUE"""),"Khối sản xuất")</f>
        <v>Khối sản xuất</v>
      </c>
      <c r="K501" s="729"/>
      <c r="L501" s="728" t="str">
        <f>IFERROR(__xludf.DUMMYFUNCTION("""COMPUTED_VALUE"""),"Đang theo dõi")</f>
        <v>Đang theo dõi</v>
      </c>
      <c r="M501" s="729"/>
      <c r="N501" s="728" t="str">
        <f>IFERROR(__xludf.DUMMYFUNCTION("""COMPUTED_VALUE"""),"giữ nguyên")</f>
        <v>giữ nguyên</v>
      </c>
      <c r="O501" s="708"/>
      <c r="P501" s="708"/>
      <c r="Q501" s="708"/>
      <c r="R501" s="708"/>
      <c r="S501" s="708"/>
      <c r="T501" s="708"/>
      <c r="U501" s="708"/>
      <c r="V501" s="708"/>
      <c r="W501" s="708"/>
      <c r="X501" s="708"/>
      <c r="Y501" s="708"/>
      <c r="Z501" s="708"/>
      <c r="AA501" s="708"/>
      <c r="AB501" s="708"/>
      <c r="AC501" s="708"/>
      <c r="AD501" s="708"/>
      <c r="AE501" s="708"/>
    </row>
    <row r="502">
      <c r="A502" s="727">
        <f>IFERROR(__xludf.DUMMYFUNCTION("""COMPUTED_VALUE"""),450.0)</f>
        <v>450</v>
      </c>
      <c r="B502" s="728" t="str">
        <f>IFERROR(__xludf.DUMMYFUNCTION("""COMPUTED_VALUE"""),"SDC_CSO")</f>
        <v>SDC_CSO</v>
      </c>
      <c r="C502" s="728" t="str">
        <f>IFERROR(__xludf.DUMMYFUNCTION("""COMPUTED_VALUE"""),"SDC_CSO")</f>
        <v>SDC_CSO</v>
      </c>
      <c r="D502" s="728" t="str">
        <f>IFERROR(__xludf.DUMMYFUNCTION("""COMPUTED_VALUE"""),"Giám đốc An ninh thông tin")</f>
        <v>Giám đốc An ninh thông tin</v>
      </c>
      <c r="E502" s="728" t="str">
        <f>IFERROR(__xludf.DUMMYFUNCTION("""COMPUTED_VALUE"""),"BOM")</f>
        <v>BOM</v>
      </c>
      <c r="F502" s="728">
        <f>IFERROR(__xludf.DUMMYFUNCTION("""COMPUTED_VALUE"""),4.0)</f>
        <v>4</v>
      </c>
      <c r="G502" s="728" t="str">
        <f>IFERROR(__xludf.DUMMYFUNCTION("""COMPUTED_VALUE"""),"KSX")</f>
        <v>KSX</v>
      </c>
      <c r="H502" s="728" t="str">
        <f>IFERROR(__xludf.DUMMYFUNCTION("""COMPUTED_VALUE"""),"Ban GĐVP")</f>
        <v>Ban GĐVP</v>
      </c>
      <c r="I502" s="728" t="str">
        <f>IFERROR(__xludf.DUMMYFUNCTION("""COMPUTED_VALUE"""),"L1.00.00.00.00.00.07")</f>
        <v>L1.00.00.00.00.00.07</v>
      </c>
      <c r="J502" s="728" t="str">
        <f>IFERROR(__xludf.DUMMYFUNCTION("""COMPUTED_VALUE"""),"Khối sản xuất")</f>
        <v>Khối sản xuất</v>
      </c>
      <c r="K502" s="729"/>
      <c r="L502" s="728" t="str">
        <f>IFERROR(__xludf.DUMMYFUNCTION("""COMPUTED_VALUE"""),"Đang theo dõi")</f>
        <v>Đang theo dõi</v>
      </c>
      <c r="M502" s="729"/>
      <c r="N502" s="728" t="str">
        <f>IFERROR(__xludf.DUMMYFUNCTION("""COMPUTED_VALUE"""),"giữ nguyên")</f>
        <v>giữ nguyên</v>
      </c>
      <c r="O502" s="708"/>
      <c r="P502" s="708"/>
      <c r="Q502" s="708"/>
      <c r="R502" s="708"/>
      <c r="S502" s="708"/>
      <c r="T502" s="708"/>
      <c r="U502" s="708"/>
      <c r="V502" s="708"/>
      <c r="W502" s="708"/>
      <c r="X502" s="708"/>
      <c r="Y502" s="708"/>
      <c r="Z502" s="708"/>
      <c r="AA502" s="708"/>
      <c r="AB502" s="708"/>
      <c r="AC502" s="708"/>
      <c r="AD502" s="708"/>
      <c r="AE502" s="708"/>
    </row>
    <row r="503">
      <c r="A503" s="727">
        <f>IFERROR(__xludf.DUMMYFUNCTION("""COMPUTED_VALUE"""),451.0)</f>
        <v>451</v>
      </c>
      <c r="B503" s="728" t="str">
        <f>IFERROR(__xludf.DUMMYFUNCTION("""COMPUTED_VALUE"""),"SDC_CTO")</f>
        <v>SDC_CTO</v>
      </c>
      <c r="C503" s="728" t="str">
        <f>IFERROR(__xludf.DUMMYFUNCTION("""COMPUTED_VALUE"""),"SDC_CTO")</f>
        <v>SDC_CTO</v>
      </c>
      <c r="D503" s="728" t="str">
        <f>IFERROR(__xludf.DUMMYFUNCTION("""COMPUTED_VALUE"""),"Giám đốc công nghệ")</f>
        <v>Giám đốc công nghệ</v>
      </c>
      <c r="E503" s="728" t="str">
        <f>IFERROR(__xludf.DUMMYFUNCTION("""COMPUTED_VALUE"""),"BOM")</f>
        <v>BOM</v>
      </c>
      <c r="F503" s="728">
        <f>IFERROR(__xludf.DUMMYFUNCTION("""COMPUTED_VALUE"""),4.0)</f>
        <v>4</v>
      </c>
      <c r="G503" s="728" t="str">
        <f>IFERROR(__xludf.DUMMYFUNCTION("""COMPUTED_VALUE"""),"KSX")</f>
        <v>KSX</v>
      </c>
      <c r="H503" s="728" t="str">
        <f>IFERROR(__xludf.DUMMYFUNCTION("""COMPUTED_VALUE"""),"Ban GĐTTKD/ BGĐ khối DA")</f>
        <v>Ban GĐTTKD/ BGĐ khối DA</v>
      </c>
      <c r="I503" s="728" t="str">
        <f>IFERROR(__xludf.DUMMYFUNCTION("""COMPUTED_VALUE"""),"L1.00.00.00.00.00.07")</f>
        <v>L1.00.00.00.00.00.07</v>
      </c>
      <c r="J503" s="728" t="str">
        <f>IFERROR(__xludf.DUMMYFUNCTION("""COMPUTED_VALUE"""),"Khối sản xuất")</f>
        <v>Khối sản xuất</v>
      </c>
      <c r="K503" s="729"/>
      <c r="L503" s="728" t="str">
        <f>IFERROR(__xludf.DUMMYFUNCTION("""COMPUTED_VALUE"""),"Đang theo dõi")</f>
        <v>Đang theo dõi</v>
      </c>
      <c r="M503" s="729"/>
      <c r="N503" s="728" t="str">
        <f>IFERROR(__xludf.DUMMYFUNCTION("""COMPUTED_VALUE"""),"giữ nguyên")</f>
        <v>giữ nguyên</v>
      </c>
      <c r="O503" s="708"/>
      <c r="P503" s="708"/>
      <c r="Q503" s="708"/>
      <c r="R503" s="708"/>
      <c r="S503" s="708"/>
      <c r="T503" s="708"/>
      <c r="U503" s="708"/>
      <c r="V503" s="708"/>
      <c r="W503" s="708"/>
      <c r="X503" s="708"/>
      <c r="Y503" s="708"/>
      <c r="Z503" s="708"/>
      <c r="AA503" s="708"/>
      <c r="AB503" s="708"/>
      <c r="AC503" s="708"/>
      <c r="AD503" s="708"/>
      <c r="AE503" s="708"/>
    </row>
    <row r="504">
      <c r="A504" s="727">
        <f>IFERROR(__xludf.DUMMYFUNCTION("""COMPUTED_VALUE"""),452.0)</f>
        <v>452</v>
      </c>
      <c r="B504" s="728" t="str">
        <f>IFERROR(__xludf.DUMMYFUNCTION("""COMPUTED_VALUE"""),"SDC_CUO")</f>
        <v>SDC_CUO</v>
      </c>
      <c r="C504" s="728" t="str">
        <f>IFERROR(__xludf.DUMMYFUNCTION("""COMPUTED_VALUE"""),"SDC_CUO")</f>
        <v>SDC_CUO</v>
      </c>
      <c r="D504" s="728" t="str">
        <f>IFERROR(__xludf.DUMMYFUNCTION("""COMPUTED_VALUE"""),"Giám đốc thiết kế")</f>
        <v>Giám đốc thiết kế</v>
      </c>
      <c r="E504" s="728"/>
      <c r="F504" s="728"/>
      <c r="G504" s="728" t="str">
        <f>IFERROR(__xludf.DUMMYFUNCTION("""COMPUTED_VALUE"""),"KSX")</f>
        <v>KSX</v>
      </c>
      <c r="H504" s="728"/>
      <c r="I504" s="728" t="str">
        <f>IFERROR(__xludf.DUMMYFUNCTION("""COMPUTED_VALUE"""),"L1.00.00.00.00.00.07")</f>
        <v>L1.00.00.00.00.00.07</v>
      </c>
      <c r="J504" s="728" t="str">
        <f>IFERROR(__xludf.DUMMYFUNCTION("""COMPUTED_VALUE"""),"Khối sản xuất")</f>
        <v>Khối sản xuất</v>
      </c>
      <c r="K504" s="729"/>
      <c r="L504" s="728" t="str">
        <f>IFERROR(__xludf.DUMMYFUNCTION("""COMPUTED_VALUE"""),"Đang theo dõi")</f>
        <v>Đang theo dõi</v>
      </c>
      <c r="M504" s="729"/>
      <c r="N504" s="728" t="str">
        <f>IFERROR(__xludf.DUMMYFUNCTION("""COMPUTED_VALUE"""),"giữ nguyên")</f>
        <v>giữ nguyên</v>
      </c>
      <c r="O504" s="708"/>
      <c r="P504" s="708"/>
      <c r="Q504" s="708"/>
      <c r="R504" s="708"/>
      <c r="S504" s="708"/>
      <c r="T504" s="708"/>
      <c r="U504" s="708"/>
      <c r="V504" s="708"/>
      <c r="W504" s="708"/>
      <c r="X504" s="708"/>
      <c r="Y504" s="708"/>
      <c r="Z504" s="708"/>
      <c r="AA504" s="708"/>
      <c r="AB504" s="708"/>
      <c r="AC504" s="708"/>
      <c r="AD504" s="708"/>
      <c r="AE504" s="708"/>
    </row>
    <row r="505">
      <c r="A505" s="727">
        <f>IFERROR(__xludf.DUMMYFUNCTION("""COMPUTED_VALUE"""),453.0)</f>
        <v>453</v>
      </c>
      <c r="B505" s="728" t="str">
        <f>IFERROR(__xludf.DUMMYFUNCTION("""COMPUTED_VALUE"""),"SDC_DA")</f>
        <v>SDC_DA</v>
      </c>
      <c r="C505" s="728" t="str">
        <f>IFERROR(__xludf.DUMMYFUNCTION("""COMPUTED_VALUE"""),"SDC_DA")</f>
        <v>SDC_DA</v>
      </c>
      <c r="D505" s="728" t="str">
        <f>IFERROR(__xludf.DUMMYFUNCTION("""COMPUTED_VALUE"""),"NV Phân tích dữ liệu")</f>
        <v>NV Phân tích dữ liệu</v>
      </c>
      <c r="E505" s="728" t="str">
        <f>IFERROR(__xludf.DUMMYFUNCTION("""COMPUTED_VALUE"""),"SWE")</f>
        <v>SWE</v>
      </c>
      <c r="F505" s="729"/>
      <c r="G505" s="728" t="str">
        <f>IFERROR(__xludf.DUMMYFUNCTION("""COMPUTED_VALUE"""),"KSX")</f>
        <v>KSX</v>
      </c>
      <c r="H505" s="728" t="str">
        <f>IFERROR(__xludf.DUMMYFUNCTION("""COMPUTED_VALUE"""),"Nhân viên/ Chuyên viên/ Chuyên gia")</f>
        <v>Nhân viên/ Chuyên viên/ Chuyên gia</v>
      </c>
      <c r="I505" s="728" t="str">
        <f>IFERROR(__xludf.DUMMYFUNCTION("""COMPUTED_VALUE"""),"L1.00.00.00.00.00.07")</f>
        <v>L1.00.00.00.00.00.07</v>
      </c>
      <c r="J505" s="728" t="str">
        <f>IFERROR(__xludf.DUMMYFUNCTION("""COMPUTED_VALUE"""),"Khối sản xuất")</f>
        <v>Khối sản xuất</v>
      </c>
      <c r="K505" s="729"/>
      <c r="L505" s="728" t="str">
        <f>IFERROR(__xludf.DUMMYFUNCTION("""COMPUTED_VALUE"""),"Đang theo dõi")</f>
        <v>Đang theo dõi</v>
      </c>
      <c r="M505" s="729"/>
      <c r="N505" s="728" t="str">
        <f>IFERROR(__xludf.DUMMYFUNCTION("""COMPUTED_VALUE"""),"giữ nguyên")</f>
        <v>giữ nguyên</v>
      </c>
      <c r="O505" s="708"/>
      <c r="P505" s="708"/>
      <c r="Q505" s="708"/>
      <c r="R505" s="708"/>
      <c r="S505" s="708"/>
      <c r="T505" s="708"/>
      <c r="U505" s="708"/>
      <c r="V505" s="708"/>
      <c r="W505" s="708"/>
      <c r="X505" s="708"/>
      <c r="Y505" s="708"/>
      <c r="Z505" s="708"/>
      <c r="AA505" s="708"/>
      <c r="AB505" s="708"/>
      <c r="AC505" s="708"/>
      <c r="AD505" s="708"/>
      <c r="AE505" s="708"/>
    </row>
    <row r="506">
      <c r="A506" s="727">
        <f>IFERROR(__xludf.DUMMYFUNCTION("""COMPUTED_VALUE"""),454.0)</f>
        <v>454</v>
      </c>
      <c r="B506" s="728" t="str">
        <f>IFERROR(__xludf.DUMMYFUNCTION("""COMPUTED_VALUE"""),"SDC_DA_MGR")</f>
        <v>SDC_DA_MGR</v>
      </c>
      <c r="C506" s="728" t="str">
        <f>IFERROR(__xludf.DUMMYFUNCTION("""COMPUTED_VALUE"""),"SDC_DA_MGR")</f>
        <v>SDC_DA_MGR</v>
      </c>
      <c r="D506" s="728" t="str">
        <f>IFERROR(__xludf.DUMMYFUNCTION("""COMPUTED_VALUE"""),"Trưởng phòng Phân tích dữ liệu")</f>
        <v>Trưởng phòng Phân tích dữ liệu</v>
      </c>
      <c r="E506" s="728" t="str">
        <f>IFERROR(__xludf.DUMMYFUNCTION("""COMPUTED_VALUE"""),"EM")</f>
        <v>EM</v>
      </c>
      <c r="F506" s="729">
        <f>IFERROR(__xludf.DUMMYFUNCTION("""COMPUTED_VALUE"""),2.0)</f>
        <v>2</v>
      </c>
      <c r="G506" s="728" t="str">
        <f>IFERROR(__xludf.DUMMYFUNCTION("""COMPUTED_VALUE"""),"KSX")</f>
        <v>KSX</v>
      </c>
      <c r="H506" s="728" t="str">
        <f>IFERROR(__xludf.DUMMYFUNCTION("""COMPUTED_VALUE"""),"TPP/ Trưởng ban")</f>
        <v>TPP/ Trưởng ban</v>
      </c>
      <c r="I506" s="728" t="str">
        <f>IFERROR(__xludf.DUMMYFUNCTION("""COMPUTED_VALUE"""),"L1.00.00.00.00.00.07")</f>
        <v>L1.00.00.00.00.00.07</v>
      </c>
      <c r="J506" s="728" t="str">
        <f>IFERROR(__xludf.DUMMYFUNCTION("""COMPUTED_VALUE"""),"Khối sản xuất")</f>
        <v>Khối sản xuất</v>
      </c>
      <c r="K506" s="729"/>
      <c r="L506" s="728" t="str">
        <f>IFERROR(__xludf.DUMMYFUNCTION("""COMPUTED_VALUE"""),"Đang theo dõi")</f>
        <v>Đang theo dõi</v>
      </c>
      <c r="M506" s="729"/>
      <c r="N506" s="728" t="str">
        <f>IFERROR(__xludf.DUMMYFUNCTION("""COMPUTED_VALUE"""),"giữ nguyên")</f>
        <v>giữ nguyên</v>
      </c>
      <c r="O506" s="708"/>
      <c r="P506" s="708"/>
      <c r="Q506" s="708"/>
      <c r="R506" s="708"/>
      <c r="S506" s="708"/>
      <c r="T506" s="708"/>
      <c r="U506" s="708"/>
      <c r="V506" s="708"/>
      <c r="W506" s="708"/>
      <c r="X506" s="708"/>
      <c r="Y506" s="708"/>
      <c r="Z506" s="708"/>
      <c r="AA506" s="708"/>
      <c r="AB506" s="708"/>
      <c r="AC506" s="708"/>
      <c r="AD506" s="708"/>
      <c r="AE506" s="708"/>
    </row>
    <row r="507">
      <c r="A507" s="727">
        <f>IFERROR(__xludf.DUMMYFUNCTION("""COMPUTED_VALUE"""),455.0)</f>
        <v>455</v>
      </c>
      <c r="B507" s="728" t="str">
        <f>IFERROR(__xludf.DUMMYFUNCTION("""COMPUTED_VALUE"""),"SDC_DevOps")</f>
        <v>SDC_DevOps</v>
      </c>
      <c r="C507" s="728" t="str">
        <f>IFERROR(__xludf.DUMMYFUNCTION("""COMPUTED_VALUE"""),"SDC_DevOps")</f>
        <v>SDC_DevOps</v>
      </c>
      <c r="D507" s="728" t="str">
        <f>IFERROR(__xludf.DUMMYFUNCTION("""COMPUTED_VALUE"""),"DevOps")</f>
        <v>DevOps</v>
      </c>
      <c r="E507" s="728"/>
      <c r="F507" s="729"/>
      <c r="G507" s="728" t="str">
        <f>IFERROR(__xludf.DUMMYFUNCTION("""COMPUTED_VALUE"""),"KSX")</f>
        <v>KSX</v>
      </c>
      <c r="H507" s="728" t="str">
        <f>IFERROR(__xludf.DUMMYFUNCTION("""COMPUTED_VALUE"""),"Nhân viên/ Chuyên viên/ Chuyên gia")</f>
        <v>Nhân viên/ Chuyên viên/ Chuyên gia</v>
      </c>
      <c r="I507" s="728" t="str">
        <f>IFERROR(__xludf.DUMMYFUNCTION("""COMPUTED_VALUE"""),"L1.00.00.00.00.00.07")</f>
        <v>L1.00.00.00.00.00.07</v>
      </c>
      <c r="J507" s="728" t="str">
        <f>IFERROR(__xludf.DUMMYFUNCTION("""COMPUTED_VALUE"""),"Khối sản xuất")</f>
        <v>Khối sản xuất</v>
      </c>
      <c r="K507" s="729"/>
      <c r="L507" s="728" t="str">
        <f>IFERROR(__xludf.DUMMYFUNCTION("""COMPUTED_VALUE"""),"Đang theo dõi")</f>
        <v>Đang theo dõi</v>
      </c>
      <c r="M507" s="729"/>
      <c r="N507" s="728" t="str">
        <f>IFERROR(__xludf.DUMMYFUNCTION("""COMPUTED_VALUE"""),"giữ nguyên")</f>
        <v>giữ nguyên</v>
      </c>
      <c r="O507" s="708"/>
      <c r="P507" s="708"/>
      <c r="Q507" s="708"/>
      <c r="R507" s="708"/>
      <c r="S507" s="708"/>
      <c r="T507" s="708"/>
      <c r="U507" s="708"/>
      <c r="V507" s="708"/>
      <c r="W507" s="708"/>
      <c r="X507" s="708"/>
      <c r="Y507" s="708"/>
      <c r="Z507" s="708"/>
      <c r="AA507" s="708"/>
      <c r="AB507" s="708"/>
      <c r="AC507" s="708"/>
      <c r="AD507" s="708"/>
      <c r="AE507" s="708"/>
    </row>
    <row r="508">
      <c r="A508" s="727">
        <f>IFERROR(__xludf.DUMMYFUNCTION("""COMPUTED_VALUE"""),456.0)</f>
        <v>456</v>
      </c>
      <c r="B508" s="728" t="str">
        <f>IFERROR(__xludf.DUMMYFUNCTION("""COMPUTED_VALUE"""),"SDC_DOL")</f>
        <v>SDC_DOL</v>
      </c>
      <c r="C508" s="728" t="str">
        <f>IFERROR(__xludf.DUMMYFUNCTION("""COMPUTED_VALUE"""),"SDC_DOL")</f>
        <v>SDC_DOL</v>
      </c>
      <c r="D508" s="728" t="str">
        <f>IFERROR(__xludf.DUMMYFUNCTION("""COMPUTED_VALUE"""),"Trưởng nhóm DevOps")</f>
        <v>Trưởng nhóm DevOps</v>
      </c>
      <c r="E508" s="729"/>
      <c r="F508" s="729"/>
      <c r="G508" s="728" t="str">
        <f>IFERROR(__xludf.DUMMYFUNCTION("""COMPUTED_VALUE"""),"KSX")</f>
        <v>KSX</v>
      </c>
      <c r="H508" s="729"/>
      <c r="I508" s="728" t="str">
        <f>IFERROR(__xludf.DUMMYFUNCTION("""COMPUTED_VALUE"""),"L1.00.00.00.00.00.07")</f>
        <v>L1.00.00.00.00.00.07</v>
      </c>
      <c r="J508" s="728" t="str">
        <f>IFERROR(__xludf.DUMMYFUNCTION("""COMPUTED_VALUE"""),"Khối sản xuất")</f>
        <v>Khối sản xuất</v>
      </c>
      <c r="K508" s="729"/>
      <c r="L508" s="728" t="str">
        <f>IFERROR(__xludf.DUMMYFUNCTION("""COMPUTED_VALUE"""),"Đang theo dõi")</f>
        <v>Đang theo dõi</v>
      </c>
      <c r="M508" s="729"/>
      <c r="N508" s="728" t="str">
        <f>IFERROR(__xludf.DUMMYFUNCTION("""COMPUTED_VALUE"""),"giữ nguyên")</f>
        <v>giữ nguyên</v>
      </c>
      <c r="O508" s="708"/>
      <c r="P508" s="708"/>
      <c r="Q508" s="708"/>
      <c r="R508" s="708"/>
      <c r="S508" s="708"/>
      <c r="T508" s="708"/>
      <c r="U508" s="708"/>
      <c r="V508" s="708"/>
      <c r="W508" s="708"/>
      <c r="X508" s="708"/>
      <c r="Y508" s="708"/>
      <c r="Z508" s="708"/>
      <c r="AA508" s="708"/>
      <c r="AB508" s="708"/>
      <c r="AC508" s="708"/>
      <c r="AD508" s="708"/>
      <c r="AE508" s="708"/>
    </row>
    <row r="509">
      <c r="A509" s="727">
        <f>IFERROR(__xludf.DUMMYFUNCTION("""COMPUTED_VALUE"""),457.0)</f>
        <v>457</v>
      </c>
      <c r="B509" s="728" t="str">
        <f>IFERROR(__xludf.DUMMYFUNCTION("""COMPUTED_VALUE"""),"SDC_DPM")</f>
        <v>SDC_DPM</v>
      </c>
      <c r="C509" s="728" t="str">
        <f>IFERROR(__xludf.DUMMYFUNCTION("""COMPUTED_VALUE"""),"SDC_DPM")</f>
        <v>SDC_DPM</v>
      </c>
      <c r="D509" s="728" t="str">
        <f>IFERROR(__xludf.DUMMYFUNCTION("""COMPUTED_VALUE"""),"Giám đốc sản phẩm Khối")</f>
        <v>Giám đốc sản phẩm Khối</v>
      </c>
      <c r="E509" s="728"/>
      <c r="F509" s="728"/>
      <c r="G509" s="728" t="str">
        <f>IFERROR(__xludf.DUMMYFUNCTION("""COMPUTED_VALUE"""),"KSX")</f>
        <v>KSX</v>
      </c>
      <c r="H509" s="728"/>
      <c r="I509" s="728" t="str">
        <f>IFERROR(__xludf.DUMMYFUNCTION("""COMPUTED_VALUE"""),"L1.00.00.00.00.00.07")</f>
        <v>L1.00.00.00.00.00.07</v>
      </c>
      <c r="J509" s="728" t="str">
        <f>IFERROR(__xludf.DUMMYFUNCTION("""COMPUTED_VALUE"""),"Khối sản xuất")</f>
        <v>Khối sản xuất</v>
      </c>
      <c r="K509" s="729"/>
      <c r="L509" s="728" t="str">
        <f>IFERROR(__xludf.DUMMYFUNCTION("""COMPUTED_VALUE"""),"Đang theo dõi")</f>
        <v>Đang theo dõi</v>
      </c>
      <c r="M509" s="729"/>
      <c r="N509" s="728" t="str">
        <f>IFERROR(__xludf.DUMMYFUNCTION("""COMPUTED_VALUE"""),"giữ nguyên")</f>
        <v>giữ nguyên</v>
      </c>
      <c r="O509" s="708"/>
      <c r="P509" s="708"/>
      <c r="Q509" s="708"/>
      <c r="R509" s="708"/>
      <c r="S509" s="708"/>
      <c r="T509" s="708"/>
      <c r="U509" s="708"/>
      <c r="V509" s="708"/>
      <c r="W509" s="708"/>
      <c r="X509" s="708"/>
      <c r="Y509" s="708"/>
      <c r="Z509" s="708"/>
      <c r="AA509" s="708"/>
      <c r="AB509" s="708"/>
      <c r="AC509" s="708"/>
      <c r="AD509" s="708"/>
      <c r="AE509" s="708"/>
    </row>
    <row r="510">
      <c r="A510" s="727">
        <f>IFERROR(__xludf.DUMMYFUNCTION("""COMPUTED_VALUE"""),458.0)</f>
        <v>458</v>
      </c>
      <c r="B510" s="728" t="str">
        <f>IFERROR(__xludf.DUMMYFUNCTION("""COMPUTED_VALUE"""),"SDC_DTR_1")</f>
        <v>SDC_DTR_1</v>
      </c>
      <c r="C510" s="728" t="str">
        <f>IFERROR(__xludf.DUMMYFUNCTION("""COMPUTED_VALUE"""),"SDC_DTR_1")</f>
        <v>SDC_DTR_1</v>
      </c>
      <c r="D510" s="728" t="str">
        <f>IFERROR(__xludf.DUMMYFUNCTION("""COMPUTED_VALUE"""),"Viện trưởng viện công nghệ")</f>
        <v>Viện trưởng viện công nghệ</v>
      </c>
      <c r="E510" s="728" t="str">
        <f>IFERROR(__xludf.DUMMYFUNCTION("""COMPUTED_VALUE"""),"BOM")</f>
        <v>BOM</v>
      </c>
      <c r="F510" s="728">
        <f>IFERROR(__xludf.DUMMYFUNCTION("""COMPUTED_VALUE"""),4.0)</f>
        <v>4</v>
      </c>
      <c r="G510" s="728" t="str">
        <f>IFERROR(__xludf.DUMMYFUNCTION("""COMPUTED_VALUE"""),"KSX")</f>
        <v>KSX</v>
      </c>
      <c r="H510" s="728" t="str">
        <f>IFERROR(__xludf.DUMMYFUNCTION("""COMPUTED_VALUE"""),"BGĐ khối")</f>
        <v>BGĐ khối</v>
      </c>
      <c r="I510" s="728" t="str">
        <f>IFERROR(__xludf.DUMMYFUNCTION("""COMPUTED_VALUE"""),"L1.00.00.00.00.00.07")</f>
        <v>L1.00.00.00.00.00.07</v>
      </c>
      <c r="J510" s="728" t="str">
        <f>IFERROR(__xludf.DUMMYFUNCTION("""COMPUTED_VALUE"""),"Khối sản xuất")</f>
        <v>Khối sản xuất</v>
      </c>
      <c r="K510" s="729"/>
      <c r="L510" s="728" t="str">
        <f>IFERROR(__xludf.DUMMYFUNCTION("""COMPUTED_VALUE"""),"Đang theo dõi")</f>
        <v>Đang theo dõi</v>
      </c>
      <c r="M510" s="729"/>
      <c r="N510" s="728" t="str">
        <f>IFERROR(__xludf.DUMMYFUNCTION("""COMPUTED_VALUE"""),"giữ nguyên")</f>
        <v>giữ nguyên</v>
      </c>
      <c r="O510" s="708"/>
      <c r="P510" s="708"/>
      <c r="Q510" s="708"/>
      <c r="R510" s="708"/>
      <c r="S510" s="708"/>
      <c r="T510" s="708"/>
      <c r="U510" s="708"/>
      <c r="V510" s="708"/>
      <c r="W510" s="708"/>
      <c r="X510" s="708"/>
      <c r="Y510" s="708"/>
      <c r="Z510" s="708"/>
      <c r="AA510" s="708"/>
      <c r="AB510" s="708"/>
      <c r="AC510" s="708"/>
      <c r="AD510" s="708"/>
      <c r="AE510" s="708"/>
    </row>
    <row r="511">
      <c r="A511" s="727">
        <f>IFERROR(__xludf.DUMMYFUNCTION("""COMPUTED_VALUE"""),459.0)</f>
        <v>459</v>
      </c>
      <c r="B511" s="728" t="str">
        <f>IFERROR(__xludf.DUMMYFUNCTION("""COMPUTED_VALUE"""),"SDC_EM")</f>
        <v>SDC_EM</v>
      </c>
      <c r="C511" s="728" t="str">
        <f>IFERROR(__xludf.DUMMYFUNCTION("""COMPUTED_VALUE"""),"SDC_EM")</f>
        <v>SDC_EM</v>
      </c>
      <c r="D511" s="728" t="str">
        <f>IFERROR(__xludf.DUMMYFUNCTION("""COMPUTED_VALUE"""),"QL thi công")</f>
        <v>QL thi công</v>
      </c>
      <c r="E511" s="729" t="str">
        <f>IFERROR(__xludf.DUMMYFUNCTION("""COMPUTED_VALUE"""),"EM")</f>
        <v>EM</v>
      </c>
      <c r="F511" s="729">
        <f>IFERROR(__xludf.DUMMYFUNCTION("""COMPUTED_VALUE"""),2.0)</f>
        <v>2</v>
      </c>
      <c r="G511" s="728" t="str">
        <f>IFERROR(__xludf.DUMMYFUNCTION("""COMPUTED_VALUE"""),"KSX")</f>
        <v>KSX</v>
      </c>
      <c r="H511" s="729" t="str">
        <f>IFERROR(__xludf.DUMMYFUNCTION("""COMPUTED_VALUE"""),"TPP/ Trưởng ban")</f>
        <v>TPP/ Trưởng ban</v>
      </c>
      <c r="I511" s="728" t="str">
        <f>IFERROR(__xludf.DUMMYFUNCTION("""COMPUTED_VALUE"""),"L1.00.00.00.00.00.07")</f>
        <v>L1.00.00.00.00.00.07</v>
      </c>
      <c r="J511" s="728" t="str">
        <f>IFERROR(__xludf.DUMMYFUNCTION("""COMPUTED_VALUE"""),"Khối sản xuất")</f>
        <v>Khối sản xuất</v>
      </c>
      <c r="K511" s="729"/>
      <c r="L511" s="728" t="str">
        <f>IFERROR(__xludf.DUMMYFUNCTION("""COMPUTED_VALUE"""),"Đang theo dõi")</f>
        <v>Đang theo dõi</v>
      </c>
      <c r="M511" s="729"/>
      <c r="N511" s="728" t="str">
        <f>IFERROR(__xludf.DUMMYFUNCTION("""COMPUTED_VALUE"""),"giữ nguyên")</f>
        <v>giữ nguyên</v>
      </c>
      <c r="O511" s="708"/>
      <c r="P511" s="708"/>
      <c r="Q511" s="708"/>
      <c r="R511" s="708"/>
      <c r="S511" s="708"/>
      <c r="T511" s="708"/>
      <c r="U511" s="708"/>
      <c r="V511" s="708"/>
      <c r="W511" s="708"/>
      <c r="X511" s="708"/>
      <c r="Y511" s="708"/>
      <c r="Z511" s="708"/>
      <c r="AA511" s="708"/>
      <c r="AB511" s="708"/>
      <c r="AC511" s="708"/>
      <c r="AD511" s="708"/>
      <c r="AE511" s="708"/>
    </row>
    <row r="512">
      <c r="A512" s="727">
        <f>IFERROR(__xludf.DUMMYFUNCTION("""COMPUTED_VALUE"""),460.0)</f>
        <v>460</v>
      </c>
      <c r="B512" s="728" t="str">
        <f>IFERROR(__xludf.DUMMYFUNCTION("""COMPUTED_VALUE"""),"SDC_GPM")</f>
        <v>SDC_GPM</v>
      </c>
      <c r="C512" s="728" t="str">
        <f>IFERROR(__xludf.DUMMYFUNCTION("""COMPUTED_VALUE"""),"SDC_GPM")</f>
        <v>SDC_GPM</v>
      </c>
      <c r="D512" s="728" t="str">
        <f>IFERROR(__xludf.DUMMYFUNCTION("""COMPUTED_VALUE"""),"Giám đốc sản phẩm Nhóm")</f>
        <v>Giám đốc sản phẩm Nhóm</v>
      </c>
      <c r="E512" s="728"/>
      <c r="F512" s="729"/>
      <c r="G512" s="728" t="str">
        <f>IFERROR(__xludf.DUMMYFUNCTION("""COMPUTED_VALUE"""),"KSX")</f>
        <v>KSX</v>
      </c>
      <c r="H512" s="728"/>
      <c r="I512" s="728" t="str">
        <f>IFERROR(__xludf.DUMMYFUNCTION("""COMPUTED_VALUE"""),"L1.00.00.00.00.00.07")</f>
        <v>L1.00.00.00.00.00.07</v>
      </c>
      <c r="J512" s="728" t="str">
        <f>IFERROR(__xludf.DUMMYFUNCTION("""COMPUTED_VALUE"""),"Khối sản xuất")</f>
        <v>Khối sản xuất</v>
      </c>
      <c r="K512" s="729"/>
      <c r="L512" s="728" t="str">
        <f>IFERROR(__xludf.DUMMYFUNCTION("""COMPUTED_VALUE"""),"Đang theo dõi")</f>
        <v>Đang theo dõi</v>
      </c>
      <c r="M512" s="729"/>
      <c r="N512" s="728" t="str">
        <f>IFERROR(__xludf.DUMMYFUNCTION("""COMPUTED_VALUE"""),"giữ nguyên")</f>
        <v>giữ nguyên</v>
      </c>
      <c r="O512" s="708"/>
      <c r="P512" s="708"/>
      <c r="Q512" s="708"/>
      <c r="R512" s="708"/>
      <c r="S512" s="708"/>
      <c r="T512" s="708"/>
      <c r="U512" s="708"/>
      <c r="V512" s="708"/>
      <c r="W512" s="708"/>
      <c r="X512" s="708"/>
      <c r="Y512" s="708"/>
      <c r="Z512" s="708"/>
      <c r="AA512" s="708"/>
      <c r="AB512" s="708"/>
      <c r="AC512" s="708"/>
      <c r="AD512" s="708"/>
      <c r="AE512" s="708"/>
    </row>
    <row r="513">
      <c r="A513" s="727">
        <f>IFERROR(__xludf.DUMMYFUNCTION("""COMPUTED_VALUE"""),461.0)</f>
        <v>461</v>
      </c>
      <c r="B513" s="728" t="str">
        <f>IFERROR(__xludf.DUMMYFUNCTION("""COMPUTED_VALUE"""),"SDC_IS")</f>
        <v>SDC_IS</v>
      </c>
      <c r="C513" s="728" t="str">
        <f>IFERROR(__xludf.DUMMYFUNCTION("""COMPUTED_VALUE"""),"SDC_IS")</f>
        <v>SDC_IS</v>
      </c>
      <c r="D513" s="728" t="str">
        <f>IFERROR(__xludf.DUMMYFUNCTION("""COMPUTED_VALUE"""),"NV An ninh thông tin")</f>
        <v>NV An ninh thông tin</v>
      </c>
      <c r="E513" s="728" t="str">
        <f>IFERROR(__xludf.DUMMYFUNCTION("""COMPUTED_VALUE"""),"SWE")</f>
        <v>SWE</v>
      </c>
      <c r="F513" s="729"/>
      <c r="G513" s="728" t="str">
        <f>IFERROR(__xludf.DUMMYFUNCTION("""COMPUTED_VALUE"""),"KSX")</f>
        <v>KSX</v>
      </c>
      <c r="H513" s="728" t="str">
        <f>IFERROR(__xludf.DUMMYFUNCTION("""COMPUTED_VALUE"""),"Nhân viên/ Chuyên viên/ Chuyên gia")</f>
        <v>Nhân viên/ Chuyên viên/ Chuyên gia</v>
      </c>
      <c r="I513" s="728" t="str">
        <f>IFERROR(__xludf.DUMMYFUNCTION("""COMPUTED_VALUE"""),"L1.00.00.00.00.00.07")</f>
        <v>L1.00.00.00.00.00.07</v>
      </c>
      <c r="J513" s="728" t="str">
        <f>IFERROR(__xludf.DUMMYFUNCTION("""COMPUTED_VALUE"""),"Khối sản xuất")</f>
        <v>Khối sản xuất</v>
      </c>
      <c r="K513" s="729"/>
      <c r="L513" s="728" t="str">
        <f>IFERROR(__xludf.DUMMYFUNCTION("""COMPUTED_VALUE"""),"Đang theo dõi")</f>
        <v>Đang theo dõi</v>
      </c>
      <c r="M513" s="729"/>
      <c r="N513" s="728" t="str">
        <f>IFERROR(__xludf.DUMMYFUNCTION("""COMPUTED_VALUE"""),"giữ nguyên")</f>
        <v>giữ nguyên</v>
      </c>
      <c r="O513" s="708"/>
      <c r="P513" s="708"/>
      <c r="Q513" s="708"/>
      <c r="R513" s="708"/>
      <c r="S513" s="708"/>
      <c r="T513" s="708"/>
      <c r="U513" s="708"/>
      <c r="V513" s="708"/>
      <c r="W513" s="708"/>
      <c r="X513" s="708"/>
      <c r="Y513" s="708"/>
      <c r="Z513" s="708"/>
      <c r="AA513" s="708"/>
      <c r="AB513" s="708"/>
      <c r="AC513" s="708"/>
      <c r="AD513" s="708"/>
      <c r="AE513" s="708"/>
    </row>
    <row r="514">
      <c r="A514" s="727">
        <f>IFERROR(__xludf.DUMMYFUNCTION("""COMPUTED_VALUE"""),462.0)</f>
        <v>462</v>
      </c>
      <c r="B514" s="728" t="str">
        <f>IFERROR(__xludf.DUMMYFUNCTION("""COMPUTED_VALUE"""),"SDC_IS_A.MGR")</f>
        <v>SDC_IS_A.MGR</v>
      </c>
      <c r="C514" s="728" t="str">
        <f>IFERROR(__xludf.DUMMYFUNCTION("""COMPUTED_VALUE"""),"SDC_IS_A.MGR")</f>
        <v>SDC_IS_A.MGR</v>
      </c>
      <c r="D514" s="728" t="str">
        <f>IFERROR(__xludf.DUMMYFUNCTION("""COMPUTED_VALUE"""),"Q.Trưởng ban ANTT")</f>
        <v>Q.Trưởng ban ANTT</v>
      </c>
      <c r="E514" s="728" t="str">
        <f>IFERROR(__xludf.DUMMYFUNCTION("""COMPUTED_VALUE"""),"ANTT_COD")</f>
        <v>ANTT_COD</v>
      </c>
      <c r="F514" s="728">
        <f>IFERROR(__xludf.DUMMYFUNCTION("""COMPUTED_VALUE"""),2.0)</f>
        <v>2</v>
      </c>
      <c r="G514" s="728" t="str">
        <f>IFERROR(__xludf.DUMMYFUNCTION("""COMPUTED_VALUE"""),"KSX")</f>
        <v>KSX</v>
      </c>
      <c r="H514" s="728" t="str">
        <f>IFERROR(__xludf.DUMMYFUNCTION("""COMPUTED_VALUE"""),"TPP/ Trưởng ban")</f>
        <v>TPP/ Trưởng ban</v>
      </c>
      <c r="I514" s="728" t="str">
        <f>IFERROR(__xludf.DUMMYFUNCTION("""COMPUTED_VALUE"""),"L1.00.00.00.00.00.07")</f>
        <v>L1.00.00.00.00.00.07</v>
      </c>
      <c r="J514" s="728" t="str">
        <f>IFERROR(__xludf.DUMMYFUNCTION("""COMPUTED_VALUE"""),"Khối sản xuất")</f>
        <v>Khối sản xuất</v>
      </c>
      <c r="K514" s="729"/>
      <c r="L514" s="728" t="str">
        <f>IFERROR(__xludf.DUMMYFUNCTION("""COMPUTED_VALUE"""),"Đang theo dõi")</f>
        <v>Đang theo dõi</v>
      </c>
      <c r="M514" s="729"/>
      <c r="N514" s="728" t="str">
        <f>IFERROR(__xludf.DUMMYFUNCTION("""COMPUTED_VALUE"""),"giữ nguyên")</f>
        <v>giữ nguyên</v>
      </c>
      <c r="O514" s="708"/>
      <c r="P514" s="708"/>
      <c r="Q514" s="708"/>
      <c r="R514" s="708"/>
      <c r="S514" s="708"/>
      <c r="T514" s="708"/>
      <c r="U514" s="708"/>
      <c r="V514" s="708"/>
      <c r="W514" s="708"/>
      <c r="X514" s="708"/>
      <c r="Y514" s="708"/>
      <c r="Z514" s="708"/>
      <c r="AA514" s="708"/>
      <c r="AB514" s="708"/>
      <c r="AC514" s="708"/>
      <c r="AD514" s="708"/>
      <c r="AE514" s="708"/>
    </row>
    <row r="515">
      <c r="A515" s="727">
        <f>IFERROR(__xludf.DUMMYFUNCTION("""COMPUTED_VALUE"""),463.0)</f>
        <v>463</v>
      </c>
      <c r="B515" s="728" t="str">
        <f>IFERROR(__xludf.DUMMYFUNCTION("""COMPUTED_VALUE"""),"SDC_IS_MGR")</f>
        <v>SDC_IS_MGR</v>
      </c>
      <c r="C515" s="728" t="str">
        <f>IFERROR(__xludf.DUMMYFUNCTION("""COMPUTED_VALUE"""),"SDC_IS_MGR")</f>
        <v>SDC_IS_MGR</v>
      </c>
      <c r="D515" s="728" t="str">
        <f>IFERROR(__xludf.DUMMYFUNCTION("""COMPUTED_VALUE"""),"Trưởng ban ANTT")</f>
        <v>Trưởng ban ANTT</v>
      </c>
      <c r="E515" s="728" t="str">
        <f>IFERROR(__xludf.DUMMYFUNCTION("""COMPUTED_VALUE"""),"ANTT_COD")</f>
        <v>ANTT_COD</v>
      </c>
      <c r="F515" s="728">
        <f>IFERROR(__xludf.DUMMYFUNCTION("""COMPUTED_VALUE"""),2.0)</f>
        <v>2</v>
      </c>
      <c r="G515" s="728" t="str">
        <f>IFERROR(__xludf.DUMMYFUNCTION("""COMPUTED_VALUE"""),"KSX")</f>
        <v>KSX</v>
      </c>
      <c r="H515" s="728" t="str">
        <f>IFERROR(__xludf.DUMMYFUNCTION("""COMPUTED_VALUE"""),"TPP/ Trưởng ban")</f>
        <v>TPP/ Trưởng ban</v>
      </c>
      <c r="I515" s="728" t="str">
        <f>IFERROR(__xludf.DUMMYFUNCTION("""COMPUTED_VALUE"""),"L1.00.00.00.00.00.07")</f>
        <v>L1.00.00.00.00.00.07</v>
      </c>
      <c r="J515" s="728" t="str">
        <f>IFERROR(__xludf.DUMMYFUNCTION("""COMPUTED_VALUE"""),"Khối sản xuất")</f>
        <v>Khối sản xuất</v>
      </c>
      <c r="K515" s="729"/>
      <c r="L515" s="728" t="str">
        <f>IFERROR(__xludf.DUMMYFUNCTION("""COMPUTED_VALUE"""),"Đang theo dõi")</f>
        <v>Đang theo dõi</v>
      </c>
      <c r="M515" s="729"/>
      <c r="N515" s="728" t="str">
        <f>IFERROR(__xludf.DUMMYFUNCTION("""COMPUTED_VALUE"""),"giữ nguyên")</f>
        <v>giữ nguyên</v>
      </c>
      <c r="O515" s="708"/>
      <c r="P515" s="708"/>
      <c r="Q515" s="708"/>
      <c r="R515" s="708"/>
      <c r="S515" s="708"/>
      <c r="T515" s="708"/>
      <c r="U515" s="708"/>
      <c r="V515" s="708"/>
      <c r="W515" s="708"/>
      <c r="X515" s="708"/>
      <c r="Y515" s="708"/>
      <c r="Z515" s="708"/>
      <c r="AA515" s="708"/>
      <c r="AB515" s="708"/>
      <c r="AC515" s="708"/>
      <c r="AD515" s="708"/>
      <c r="AE515" s="708"/>
    </row>
    <row r="516">
      <c r="A516" s="727">
        <f>IFERROR(__xludf.DUMMYFUNCTION("""COMPUTED_VALUE"""),464.0)</f>
        <v>464</v>
      </c>
      <c r="B516" s="728" t="str">
        <f>IFERROR(__xludf.DUMMYFUNCTION("""COMPUTED_VALUE"""),"SDC_IT_A.DEP")</f>
        <v>SDC_IT_A.DEP</v>
      </c>
      <c r="C516" s="728" t="str">
        <f>IFERROR(__xludf.DUMMYFUNCTION("""COMPUTED_VALUE"""),"SDC_IT_A.DEP")</f>
        <v>SDC_IT_A.DEP</v>
      </c>
      <c r="D516" s="728" t="str">
        <f>IFERROR(__xludf.DUMMYFUNCTION("""COMPUTED_VALUE"""),"Quyền Phó ban CNTT")</f>
        <v>Quyền Phó ban CNTT</v>
      </c>
      <c r="E516" s="728" t="str">
        <f>IFERROR(__xludf.DUMMYFUNCTION("""COMPUTED_VALUE"""),"EM")</f>
        <v>EM</v>
      </c>
      <c r="F516" s="728">
        <f>IFERROR(__xludf.DUMMYFUNCTION("""COMPUTED_VALUE"""),2.0)</f>
        <v>2</v>
      </c>
      <c r="G516" s="728" t="str">
        <f>IFERROR(__xludf.DUMMYFUNCTION("""COMPUTED_VALUE"""),"KSX")</f>
        <v>KSX</v>
      </c>
      <c r="H516" s="728" t="str">
        <f>IFERROR(__xludf.DUMMYFUNCTION("""COMPUTED_VALUE"""),"TPP/ Trưởng ban")</f>
        <v>TPP/ Trưởng ban</v>
      </c>
      <c r="I516" s="728" t="str">
        <f>IFERROR(__xludf.DUMMYFUNCTION("""COMPUTED_VALUE"""),"L1.00.00.00.00.00.07")</f>
        <v>L1.00.00.00.00.00.07</v>
      </c>
      <c r="J516" s="728" t="str">
        <f>IFERROR(__xludf.DUMMYFUNCTION("""COMPUTED_VALUE"""),"Khối sản xuất")</f>
        <v>Khối sản xuất</v>
      </c>
      <c r="K516" s="729"/>
      <c r="L516" s="728" t="str">
        <f>IFERROR(__xludf.DUMMYFUNCTION("""COMPUTED_VALUE"""),"Đang theo dõi")</f>
        <v>Đang theo dõi</v>
      </c>
      <c r="M516" s="729"/>
      <c r="N516" s="728" t="str">
        <f>IFERROR(__xludf.DUMMYFUNCTION("""COMPUTED_VALUE"""),"giữ nguyên")</f>
        <v>giữ nguyên</v>
      </c>
      <c r="O516" s="708"/>
      <c r="P516" s="708"/>
      <c r="Q516" s="708"/>
      <c r="R516" s="708"/>
      <c r="S516" s="708"/>
      <c r="T516" s="708"/>
      <c r="U516" s="708"/>
      <c r="V516" s="708"/>
      <c r="W516" s="708"/>
      <c r="X516" s="708"/>
      <c r="Y516" s="708"/>
      <c r="Z516" s="708"/>
      <c r="AA516" s="708"/>
      <c r="AB516" s="708"/>
      <c r="AC516" s="708"/>
      <c r="AD516" s="708"/>
      <c r="AE516" s="708"/>
    </row>
    <row r="517">
      <c r="A517" s="727">
        <f>IFERROR(__xludf.DUMMYFUNCTION("""COMPUTED_VALUE"""),465.0)</f>
        <v>465</v>
      </c>
      <c r="B517" s="728" t="str">
        <f>IFERROR(__xludf.DUMMYFUNCTION("""COMPUTED_VALUE"""),"SDC_IT_A.MGR")</f>
        <v>SDC_IT_A.MGR</v>
      </c>
      <c r="C517" s="728" t="str">
        <f>IFERROR(__xludf.DUMMYFUNCTION("""COMPUTED_VALUE"""),"SDC_IT_A.MGR")</f>
        <v>SDC_IT_A.MGR</v>
      </c>
      <c r="D517" s="728" t="str">
        <f>IFERROR(__xludf.DUMMYFUNCTION("""COMPUTED_VALUE"""),"Quyền Trưởng ban CNTT")</f>
        <v>Quyền Trưởng ban CNTT</v>
      </c>
      <c r="E517" s="729" t="str">
        <f>IFERROR(__xludf.DUMMYFUNCTION("""COMPUTED_VALUE"""),"BOM")</f>
        <v>BOM</v>
      </c>
      <c r="F517" s="729">
        <f>IFERROR(__xludf.DUMMYFUNCTION("""COMPUTED_VALUE"""),3.0)</f>
        <v>3</v>
      </c>
      <c r="G517" s="728" t="str">
        <f>IFERROR(__xludf.DUMMYFUNCTION("""COMPUTED_VALUE"""),"KSX")</f>
        <v>KSX</v>
      </c>
      <c r="H517" s="729" t="str">
        <f>IFERROR(__xludf.DUMMYFUNCTION("""COMPUTED_VALUE"""),"Ban GĐTTKD/ BGĐ khối DA")</f>
        <v>Ban GĐTTKD/ BGĐ khối DA</v>
      </c>
      <c r="I517" s="728" t="str">
        <f>IFERROR(__xludf.DUMMYFUNCTION("""COMPUTED_VALUE"""),"L1.00.00.00.00.00.07")</f>
        <v>L1.00.00.00.00.00.07</v>
      </c>
      <c r="J517" s="728" t="str">
        <f>IFERROR(__xludf.DUMMYFUNCTION("""COMPUTED_VALUE"""),"Khối sản xuất")</f>
        <v>Khối sản xuất</v>
      </c>
      <c r="K517" s="729"/>
      <c r="L517" s="728" t="str">
        <f>IFERROR(__xludf.DUMMYFUNCTION("""COMPUTED_VALUE"""),"Đang theo dõi")</f>
        <v>Đang theo dõi</v>
      </c>
      <c r="M517" s="729"/>
      <c r="N517" s="728" t="str">
        <f>IFERROR(__xludf.DUMMYFUNCTION("""COMPUTED_VALUE"""),"giữ nguyên")</f>
        <v>giữ nguyên</v>
      </c>
      <c r="O517" s="708"/>
      <c r="P517" s="708"/>
      <c r="Q517" s="708"/>
      <c r="R517" s="708"/>
      <c r="S517" s="708"/>
      <c r="T517" s="708"/>
      <c r="U517" s="708"/>
      <c r="V517" s="708"/>
      <c r="W517" s="708"/>
      <c r="X517" s="708"/>
      <c r="Y517" s="708"/>
      <c r="Z517" s="708"/>
      <c r="AA517" s="708"/>
      <c r="AB517" s="708"/>
      <c r="AC517" s="708"/>
      <c r="AD517" s="708"/>
      <c r="AE517" s="708"/>
    </row>
    <row r="518">
      <c r="A518" s="727">
        <f>IFERROR(__xludf.DUMMYFUNCTION("""COMPUTED_VALUE"""),466.0)</f>
        <v>466</v>
      </c>
      <c r="B518" s="728" t="str">
        <f>IFERROR(__xludf.DUMMYFUNCTION("""COMPUTED_VALUE"""),"SDC_IT_DEP")</f>
        <v>SDC_IT_DEP</v>
      </c>
      <c r="C518" s="728" t="str">
        <f>IFERROR(__xludf.DUMMYFUNCTION("""COMPUTED_VALUE"""),"SDC_IT_DEP")</f>
        <v>SDC_IT_DEP</v>
      </c>
      <c r="D518" s="728" t="str">
        <f>IFERROR(__xludf.DUMMYFUNCTION("""COMPUTED_VALUE"""),"Phó ban CNTT")</f>
        <v>Phó ban CNTT</v>
      </c>
      <c r="E518" s="728" t="str">
        <f>IFERROR(__xludf.DUMMYFUNCTION("""COMPUTED_VALUE"""),"EM")</f>
        <v>EM</v>
      </c>
      <c r="F518" s="728">
        <f>IFERROR(__xludf.DUMMYFUNCTION("""COMPUTED_VALUE"""),2.0)</f>
        <v>2</v>
      </c>
      <c r="G518" s="728" t="str">
        <f>IFERROR(__xludf.DUMMYFUNCTION("""COMPUTED_VALUE"""),"KSX")</f>
        <v>KSX</v>
      </c>
      <c r="H518" s="728" t="str">
        <f>IFERROR(__xludf.DUMMYFUNCTION("""COMPUTED_VALUE"""),"TPP/ Trưởng ban")</f>
        <v>TPP/ Trưởng ban</v>
      </c>
      <c r="I518" s="728" t="str">
        <f>IFERROR(__xludf.DUMMYFUNCTION("""COMPUTED_VALUE"""),"L1.00.00.00.00.00.07")</f>
        <v>L1.00.00.00.00.00.07</v>
      </c>
      <c r="J518" s="728" t="str">
        <f>IFERROR(__xludf.DUMMYFUNCTION("""COMPUTED_VALUE"""),"Khối sản xuất")</f>
        <v>Khối sản xuất</v>
      </c>
      <c r="K518" s="729"/>
      <c r="L518" s="728" t="str">
        <f>IFERROR(__xludf.DUMMYFUNCTION("""COMPUTED_VALUE"""),"Đang theo dõi")</f>
        <v>Đang theo dõi</v>
      </c>
      <c r="M518" s="729"/>
      <c r="N518" s="728" t="str">
        <f>IFERROR(__xludf.DUMMYFUNCTION("""COMPUTED_VALUE"""),"giữ nguyên")</f>
        <v>giữ nguyên</v>
      </c>
      <c r="O518" s="708"/>
      <c r="P518" s="708"/>
      <c r="Q518" s="708"/>
      <c r="R518" s="708"/>
      <c r="S518" s="708"/>
      <c r="T518" s="708"/>
      <c r="U518" s="708"/>
      <c r="V518" s="708"/>
      <c r="W518" s="708"/>
      <c r="X518" s="708"/>
      <c r="Y518" s="708"/>
      <c r="Z518" s="708"/>
      <c r="AA518" s="708"/>
      <c r="AB518" s="708"/>
      <c r="AC518" s="708"/>
      <c r="AD518" s="708"/>
      <c r="AE518" s="708"/>
    </row>
    <row r="519">
      <c r="A519" s="727">
        <f>IFERROR(__xludf.DUMMYFUNCTION("""COMPUTED_VALUE"""),467.0)</f>
        <v>467</v>
      </c>
      <c r="B519" s="728" t="str">
        <f>IFERROR(__xludf.DUMMYFUNCTION("""COMPUTED_VALUE"""),"SDC_IT_MGR")</f>
        <v>SDC_IT_MGR</v>
      </c>
      <c r="C519" s="728" t="str">
        <f>IFERROR(__xludf.DUMMYFUNCTION("""COMPUTED_VALUE"""),"SDC_IT_MGR")</f>
        <v>SDC_IT_MGR</v>
      </c>
      <c r="D519" s="728" t="str">
        <f>IFERROR(__xludf.DUMMYFUNCTION("""COMPUTED_VALUE"""),"Trưởng ban CNTT")</f>
        <v>Trưởng ban CNTT</v>
      </c>
      <c r="E519" s="729" t="str">
        <f>IFERROR(__xludf.DUMMYFUNCTION("""COMPUTED_VALUE"""),"BOM")</f>
        <v>BOM</v>
      </c>
      <c r="F519" s="729">
        <f>IFERROR(__xludf.DUMMYFUNCTION("""COMPUTED_VALUE"""),3.0)</f>
        <v>3</v>
      </c>
      <c r="G519" s="728" t="str">
        <f>IFERROR(__xludf.DUMMYFUNCTION("""COMPUTED_VALUE"""),"KSX")</f>
        <v>KSX</v>
      </c>
      <c r="H519" s="729" t="str">
        <f>IFERROR(__xludf.DUMMYFUNCTION("""COMPUTED_VALUE"""),"BGĐ khối")</f>
        <v>BGĐ khối</v>
      </c>
      <c r="I519" s="728" t="str">
        <f>IFERROR(__xludf.DUMMYFUNCTION("""COMPUTED_VALUE"""),"L1.00.00.00.00.00.07")</f>
        <v>L1.00.00.00.00.00.07</v>
      </c>
      <c r="J519" s="728" t="str">
        <f>IFERROR(__xludf.DUMMYFUNCTION("""COMPUTED_VALUE"""),"Khối sản xuất")</f>
        <v>Khối sản xuất</v>
      </c>
      <c r="K519" s="729"/>
      <c r="L519" s="728" t="str">
        <f>IFERROR(__xludf.DUMMYFUNCTION("""COMPUTED_VALUE"""),"Đang theo dõi")</f>
        <v>Đang theo dõi</v>
      </c>
      <c r="M519" s="729"/>
      <c r="N519" s="728" t="str">
        <f>IFERROR(__xludf.DUMMYFUNCTION("""COMPUTED_VALUE"""),"giữ nguyên")</f>
        <v>giữ nguyên</v>
      </c>
      <c r="O519" s="708"/>
      <c r="P519" s="708"/>
      <c r="Q519" s="708"/>
      <c r="R519" s="708"/>
      <c r="S519" s="708"/>
      <c r="T519" s="708"/>
      <c r="U519" s="708"/>
      <c r="V519" s="708"/>
      <c r="W519" s="708"/>
      <c r="X519" s="708"/>
      <c r="Y519" s="708"/>
      <c r="Z519" s="708"/>
      <c r="AA519" s="708"/>
      <c r="AB519" s="708"/>
      <c r="AC519" s="708"/>
      <c r="AD519" s="708"/>
      <c r="AE519" s="708"/>
    </row>
    <row r="520">
      <c r="A520" s="727">
        <f>IFERROR(__xludf.DUMMYFUNCTION("""COMPUTED_VALUE"""),468.0)</f>
        <v>468</v>
      </c>
      <c r="B520" s="728" t="str">
        <f>IFERROR(__xludf.DUMMYFUNCTION("""COMPUTED_VALUE"""),"SDC_MKT")</f>
        <v>SDC_MKT</v>
      </c>
      <c r="C520" s="728" t="str">
        <f>IFERROR(__xludf.DUMMYFUNCTION("""COMPUTED_VALUE"""),"SDC_MKT")</f>
        <v>SDC_MKT</v>
      </c>
      <c r="D520" s="728" t="str">
        <f>IFERROR(__xludf.DUMMYFUNCTION("""COMPUTED_VALUE"""),"NV Marketing")</f>
        <v>NV Marketing</v>
      </c>
      <c r="E520" s="728" t="str">
        <f>IFERROR(__xludf.DUMMYFUNCTION("""COMPUTED_VALUE"""),"BO")</f>
        <v>BO</v>
      </c>
      <c r="F520" s="729"/>
      <c r="G520" s="728" t="str">
        <f>IFERROR(__xludf.DUMMYFUNCTION("""COMPUTED_VALUE"""),"KSX")</f>
        <v>KSX</v>
      </c>
      <c r="H520" s="728" t="str">
        <f>IFERROR(__xludf.DUMMYFUNCTION("""COMPUTED_VALUE"""),"Nhân viên/ Chuyên viên/ Chuyên gia")</f>
        <v>Nhân viên/ Chuyên viên/ Chuyên gia</v>
      </c>
      <c r="I520" s="728" t="str">
        <f>IFERROR(__xludf.DUMMYFUNCTION("""COMPUTED_VALUE"""),"L1.00.00.00.00.00.07")</f>
        <v>L1.00.00.00.00.00.07</v>
      </c>
      <c r="J520" s="728" t="str">
        <f>IFERROR(__xludf.DUMMYFUNCTION("""COMPUTED_VALUE"""),"Khối sản xuất")</f>
        <v>Khối sản xuất</v>
      </c>
      <c r="K520" s="729"/>
      <c r="L520" s="728" t="str">
        <f>IFERROR(__xludf.DUMMYFUNCTION("""COMPUTED_VALUE"""),"Đang theo dõi")</f>
        <v>Đang theo dõi</v>
      </c>
      <c r="M520" s="729"/>
      <c r="N520" s="728" t="str">
        <f>IFERROR(__xludf.DUMMYFUNCTION("""COMPUTED_VALUE"""),"giữ nguyên")</f>
        <v>giữ nguyên</v>
      </c>
      <c r="O520" s="708"/>
      <c r="P520" s="708"/>
      <c r="Q520" s="708"/>
      <c r="R520" s="708"/>
      <c r="S520" s="708"/>
      <c r="T520" s="708"/>
      <c r="U520" s="708"/>
      <c r="V520" s="708"/>
      <c r="W520" s="708"/>
      <c r="X520" s="708"/>
      <c r="Y520" s="708"/>
      <c r="Z520" s="708"/>
      <c r="AA520" s="708"/>
      <c r="AB520" s="708"/>
      <c r="AC520" s="708"/>
      <c r="AD520" s="708"/>
      <c r="AE520" s="708"/>
    </row>
    <row r="521">
      <c r="A521" s="727">
        <f>IFERROR(__xludf.DUMMYFUNCTION("""COMPUTED_VALUE"""),469.0)</f>
        <v>469</v>
      </c>
      <c r="B521" s="728" t="str">
        <f>IFERROR(__xludf.DUMMYFUNCTION("""COMPUTED_VALUE"""),"SDC_PA")</f>
        <v>SDC_PA</v>
      </c>
      <c r="C521" s="728" t="str">
        <f>IFERROR(__xludf.DUMMYFUNCTION("""COMPUTED_VALUE"""),"SDC_PA")</f>
        <v>SDC_PA</v>
      </c>
      <c r="D521" s="728" t="str">
        <f>IFERROR(__xludf.DUMMYFUNCTION("""COMPUTED_VALUE"""),"Kiến trúc sư trưởng")</f>
        <v>Kiến trúc sư trưởng</v>
      </c>
      <c r="E521" s="728" t="str">
        <f>IFERROR(__xludf.DUMMYFUNCTION("""COMPUTED_VALUE"""),"PA")</f>
        <v>PA</v>
      </c>
      <c r="F521" s="729"/>
      <c r="G521" s="728" t="str">
        <f>IFERROR(__xludf.DUMMYFUNCTION("""COMPUTED_VALUE"""),"KSX")</f>
        <v>KSX</v>
      </c>
      <c r="H521" s="728" t="str">
        <f>IFERROR(__xludf.DUMMYFUNCTION("""COMPUTED_VALUE"""),"Nhân viên/ Chuyên viên/ Chuyên gia")</f>
        <v>Nhân viên/ Chuyên viên/ Chuyên gia</v>
      </c>
      <c r="I521" s="728" t="str">
        <f>IFERROR(__xludf.DUMMYFUNCTION("""COMPUTED_VALUE"""),"L1.00.00.00.00.00.07")</f>
        <v>L1.00.00.00.00.00.07</v>
      </c>
      <c r="J521" s="728" t="str">
        <f>IFERROR(__xludf.DUMMYFUNCTION("""COMPUTED_VALUE"""),"Khối sản xuất")</f>
        <v>Khối sản xuất</v>
      </c>
      <c r="K521" s="729"/>
      <c r="L521" s="728" t="str">
        <f>IFERROR(__xludf.DUMMYFUNCTION("""COMPUTED_VALUE"""),"Đang theo dõi")</f>
        <v>Đang theo dõi</v>
      </c>
      <c r="M521" s="729"/>
      <c r="N521" s="728" t="str">
        <f>IFERROR(__xludf.DUMMYFUNCTION("""COMPUTED_VALUE"""),"giữ nguyên")</f>
        <v>giữ nguyên</v>
      </c>
      <c r="O521" s="708"/>
      <c r="P521" s="708"/>
      <c r="Q521" s="708"/>
      <c r="R521" s="708"/>
      <c r="S521" s="708"/>
      <c r="T521" s="708"/>
      <c r="U521" s="708"/>
      <c r="V521" s="708"/>
      <c r="W521" s="708"/>
      <c r="X521" s="708"/>
      <c r="Y521" s="708"/>
      <c r="Z521" s="708"/>
      <c r="AA521" s="708"/>
      <c r="AB521" s="708"/>
      <c r="AC521" s="708"/>
      <c r="AD521" s="708"/>
      <c r="AE521" s="708"/>
    </row>
    <row r="522">
      <c r="A522" s="727">
        <f>IFERROR(__xludf.DUMMYFUNCTION("""COMPUTED_VALUE"""),470.0)</f>
        <v>470</v>
      </c>
      <c r="B522" s="728" t="str">
        <f>IFERROR(__xludf.DUMMYFUNCTION("""COMPUTED_VALUE"""),"SDC_PD")</f>
        <v>SDC_PD</v>
      </c>
      <c r="C522" s="728" t="str">
        <f>IFERROR(__xludf.DUMMYFUNCTION("""COMPUTED_VALUE"""),"SDC_PD")</f>
        <v>SDC_PD</v>
      </c>
      <c r="D522" s="728" t="str">
        <f>IFERROR(__xludf.DUMMYFUNCTION("""COMPUTED_VALUE"""),"NV thiết kế")</f>
        <v>NV thiết kế</v>
      </c>
      <c r="E522" s="728" t="str">
        <f>IFERROR(__xludf.DUMMYFUNCTION("""COMPUTED_VALUE"""),"PD")</f>
        <v>PD</v>
      </c>
      <c r="F522" s="729"/>
      <c r="G522" s="728" t="str">
        <f>IFERROR(__xludf.DUMMYFUNCTION("""COMPUTED_VALUE"""),"KSX")</f>
        <v>KSX</v>
      </c>
      <c r="H522" s="728" t="str">
        <f>IFERROR(__xludf.DUMMYFUNCTION("""COMPUTED_VALUE"""),"Nhân viên/ Chuyên viên/ Chuyên gia")</f>
        <v>Nhân viên/ Chuyên viên/ Chuyên gia</v>
      </c>
      <c r="I522" s="728" t="str">
        <f>IFERROR(__xludf.DUMMYFUNCTION("""COMPUTED_VALUE"""),"L1.00.00.00.00.00.07")</f>
        <v>L1.00.00.00.00.00.07</v>
      </c>
      <c r="J522" s="728" t="str">
        <f>IFERROR(__xludf.DUMMYFUNCTION("""COMPUTED_VALUE"""),"Khối sản xuất")</f>
        <v>Khối sản xuất</v>
      </c>
      <c r="K522" s="729"/>
      <c r="L522" s="728" t="str">
        <f>IFERROR(__xludf.DUMMYFUNCTION("""COMPUTED_VALUE"""),"Đang theo dõi")</f>
        <v>Đang theo dõi</v>
      </c>
      <c r="M522" s="729"/>
      <c r="N522" s="728" t="str">
        <f>IFERROR(__xludf.DUMMYFUNCTION("""COMPUTED_VALUE"""),"giữ nguyên")</f>
        <v>giữ nguyên</v>
      </c>
      <c r="O522" s="708"/>
      <c r="P522" s="708"/>
      <c r="Q522" s="708"/>
      <c r="R522" s="708"/>
      <c r="S522" s="708"/>
      <c r="T522" s="708"/>
      <c r="U522" s="708"/>
      <c r="V522" s="708"/>
      <c r="W522" s="708"/>
      <c r="X522" s="708"/>
      <c r="Y522" s="708"/>
      <c r="Z522" s="708"/>
      <c r="AA522" s="708"/>
      <c r="AB522" s="708"/>
      <c r="AC522" s="708"/>
      <c r="AD522" s="708"/>
      <c r="AE522" s="708"/>
    </row>
    <row r="523">
      <c r="A523" s="727">
        <f>IFERROR(__xludf.DUMMYFUNCTION("""COMPUTED_VALUE"""),471.0)</f>
        <v>471</v>
      </c>
      <c r="B523" s="728" t="str">
        <f>IFERROR(__xludf.DUMMYFUNCTION("""COMPUTED_VALUE"""),"SDC_PDBO")</f>
        <v>SDC_PDBO</v>
      </c>
      <c r="C523" s="728" t="str">
        <f>IFERROR(__xludf.DUMMYFUNCTION("""COMPUTED_VALUE"""),"SDC_PDBO")</f>
        <v>SDC_PDBO</v>
      </c>
      <c r="D523" s="728" t="str">
        <f>IFERROR(__xludf.DUMMYFUNCTION("""COMPUTED_VALUE"""),"DBO trưởng")</f>
        <v>DBO trưởng</v>
      </c>
      <c r="E523" s="728"/>
      <c r="F523" s="728"/>
      <c r="G523" s="728" t="str">
        <f>IFERROR(__xludf.DUMMYFUNCTION("""COMPUTED_VALUE"""),"KSX")</f>
        <v>KSX</v>
      </c>
      <c r="H523" s="728"/>
      <c r="I523" s="728" t="str">
        <f>IFERROR(__xludf.DUMMYFUNCTION("""COMPUTED_VALUE"""),"L1.00.00.00.00.00.07")</f>
        <v>L1.00.00.00.00.00.07</v>
      </c>
      <c r="J523" s="728" t="str">
        <f>IFERROR(__xludf.DUMMYFUNCTION("""COMPUTED_VALUE"""),"Khối sản xuất")</f>
        <v>Khối sản xuất</v>
      </c>
      <c r="K523" s="729"/>
      <c r="L523" s="728" t="str">
        <f>IFERROR(__xludf.DUMMYFUNCTION("""COMPUTED_VALUE"""),"Đang theo dõi")</f>
        <v>Đang theo dõi</v>
      </c>
      <c r="M523" s="729"/>
      <c r="N523" s="728" t="str">
        <f>IFERROR(__xludf.DUMMYFUNCTION("""COMPUTED_VALUE"""),"giữ nguyên")</f>
        <v>giữ nguyên</v>
      </c>
      <c r="O523" s="708"/>
      <c r="P523" s="708"/>
      <c r="Q523" s="708"/>
      <c r="R523" s="708"/>
      <c r="S523" s="708"/>
      <c r="T523" s="708"/>
      <c r="U523" s="708"/>
      <c r="V523" s="708"/>
      <c r="W523" s="708"/>
      <c r="X523" s="708"/>
      <c r="Y523" s="708"/>
      <c r="Z523" s="708"/>
      <c r="AA523" s="708"/>
      <c r="AB523" s="708"/>
      <c r="AC523" s="708"/>
      <c r="AD523" s="708"/>
      <c r="AE523" s="708"/>
    </row>
    <row r="524">
      <c r="A524" s="727">
        <f>IFERROR(__xludf.DUMMYFUNCTION("""COMPUTED_VALUE"""),472.0)</f>
        <v>472</v>
      </c>
      <c r="B524" s="728" t="str">
        <f>IFERROR(__xludf.DUMMYFUNCTION("""COMPUTED_VALUE"""),"SDC_PDL")</f>
        <v>SDC_PDL</v>
      </c>
      <c r="C524" s="728" t="str">
        <f>IFERROR(__xludf.DUMMYFUNCTION("""COMPUTED_VALUE"""),"SDC_PDL")</f>
        <v>SDC_PDL</v>
      </c>
      <c r="D524" s="728" t="str">
        <f>IFERROR(__xludf.DUMMYFUNCTION("""COMPUTED_VALUE"""),"Trưởng nhóm thiết kế")</f>
        <v>Trưởng nhóm thiết kế</v>
      </c>
      <c r="E524" s="728" t="str">
        <f>IFERROR(__xludf.DUMMYFUNCTION("""COMPUTED_VALUE"""),"PDL")</f>
        <v>PDL</v>
      </c>
      <c r="F524" s="728">
        <f>IFERROR(__xludf.DUMMYFUNCTION("""COMPUTED_VALUE"""),1.0)</f>
        <v>1</v>
      </c>
      <c r="G524" s="728" t="str">
        <f>IFERROR(__xludf.DUMMYFUNCTION("""COMPUTED_VALUE"""),"KSX")</f>
        <v>KSX</v>
      </c>
      <c r="H524" s="728" t="str">
        <f>IFERROR(__xludf.DUMMYFUNCTION("""COMPUTED_VALUE"""),"Trưởng nhóm")</f>
        <v>Trưởng nhóm</v>
      </c>
      <c r="I524" s="728" t="str">
        <f>IFERROR(__xludf.DUMMYFUNCTION("""COMPUTED_VALUE"""),"L1.00.00.00.00.00.07")</f>
        <v>L1.00.00.00.00.00.07</v>
      </c>
      <c r="J524" s="728" t="str">
        <f>IFERROR(__xludf.DUMMYFUNCTION("""COMPUTED_VALUE"""),"Khối sản xuất")</f>
        <v>Khối sản xuất</v>
      </c>
      <c r="K524" s="729"/>
      <c r="L524" s="728" t="str">
        <f>IFERROR(__xludf.DUMMYFUNCTION("""COMPUTED_VALUE"""),"Đang theo dõi")</f>
        <v>Đang theo dõi</v>
      </c>
      <c r="M524" s="729"/>
      <c r="N524" s="728" t="str">
        <f>IFERROR(__xludf.DUMMYFUNCTION("""COMPUTED_VALUE"""),"giữ nguyên")</f>
        <v>giữ nguyên</v>
      </c>
      <c r="O524" s="708"/>
      <c r="P524" s="708"/>
      <c r="Q524" s="708"/>
      <c r="R524" s="708"/>
      <c r="S524" s="708"/>
      <c r="T524" s="708"/>
      <c r="U524" s="708"/>
      <c r="V524" s="708"/>
      <c r="W524" s="708"/>
      <c r="X524" s="708"/>
      <c r="Y524" s="708"/>
      <c r="Z524" s="708"/>
      <c r="AA524" s="708"/>
      <c r="AB524" s="708"/>
      <c r="AC524" s="708"/>
      <c r="AD524" s="708"/>
      <c r="AE524" s="708"/>
    </row>
    <row r="525">
      <c r="A525" s="727">
        <f>IFERROR(__xludf.DUMMYFUNCTION("""COMPUTED_VALUE"""),473.0)</f>
        <v>473</v>
      </c>
      <c r="B525" s="728" t="str">
        <f>IFERROR(__xludf.DUMMYFUNCTION("""COMPUTED_VALUE"""),"SDC_PDM")</f>
        <v>SDC_PDM</v>
      </c>
      <c r="C525" s="728" t="str">
        <f>IFERROR(__xludf.DUMMYFUNCTION("""COMPUTED_VALUE"""),"SDC_PDM")</f>
        <v>SDC_PDM</v>
      </c>
      <c r="D525" s="728" t="str">
        <f>IFERROR(__xludf.DUMMYFUNCTION("""COMPUTED_VALUE"""),"Quản lý thiết kế")</f>
        <v>Quản lý thiết kế</v>
      </c>
      <c r="E525" s="728" t="str">
        <f>IFERROR(__xludf.DUMMYFUNCTION("""COMPUTED_VALUE"""),"PDM")</f>
        <v>PDM</v>
      </c>
      <c r="F525" s="729">
        <f>IFERROR(__xludf.DUMMYFUNCTION("""COMPUTED_VALUE"""),2.0)</f>
        <v>2</v>
      </c>
      <c r="G525" s="728" t="str">
        <f>IFERROR(__xludf.DUMMYFUNCTION("""COMPUTED_VALUE"""),"KSX")</f>
        <v>KSX</v>
      </c>
      <c r="H525" s="728" t="str">
        <f>IFERROR(__xludf.DUMMYFUNCTION("""COMPUTED_VALUE"""),"TPP/ Trưởng ban")</f>
        <v>TPP/ Trưởng ban</v>
      </c>
      <c r="I525" s="728" t="str">
        <f>IFERROR(__xludf.DUMMYFUNCTION("""COMPUTED_VALUE"""),"L1.00.00.00.00.00.07")</f>
        <v>L1.00.00.00.00.00.07</v>
      </c>
      <c r="J525" s="728" t="str">
        <f>IFERROR(__xludf.DUMMYFUNCTION("""COMPUTED_VALUE"""),"Khối sản xuất")</f>
        <v>Khối sản xuất</v>
      </c>
      <c r="K525" s="729"/>
      <c r="L525" s="728" t="str">
        <f>IFERROR(__xludf.DUMMYFUNCTION("""COMPUTED_VALUE"""),"Đang theo dõi")</f>
        <v>Đang theo dõi</v>
      </c>
      <c r="M525" s="729"/>
      <c r="N525" s="728" t="str">
        <f>IFERROR(__xludf.DUMMYFUNCTION("""COMPUTED_VALUE"""),"giữ nguyên")</f>
        <v>giữ nguyên</v>
      </c>
      <c r="O525" s="708"/>
      <c r="P525" s="708"/>
      <c r="Q525" s="708"/>
      <c r="R525" s="708"/>
      <c r="S525" s="708"/>
      <c r="T525" s="708"/>
      <c r="U525" s="708"/>
      <c r="V525" s="708"/>
      <c r="W525" s="708"/>
      <c r="X525" s="708"/>
      <c r="Y525" s="708"/>
      <c r="Z525" s="708"/>
      <c r="AA525" s="708"/>
      <c r="AB525" s="708"/>
      <c r="AC525" s="708"/>
      <c r="AD525" s="708"/>
      <c r="AE525" s="708"/>
    </row>
    <row r="526">
      <c r="A526" s="727">
        <f>IFERROR(__xludf.DUMMYFUNCTION("""COMPUTED_VALUE"""),474.0)</f>
        <v>474</v>
      </c>
      <c r="B526" s="728" t="str">
        <f>IFERROR(__xludf.DUMMYFUNCTION("""COMPUTED_VALUE"""),"SDC_PEM")</f>
        <v>SDC_PEM</v>
      </c>
      <c r="C526" s="728" t="str">
        <f>IFERROR(__xludf.DUMMYFUNCTION("""COMPUTED_VALUE"""),"SDC_PEM")</f>
        <v>SDC_PEM</v>
      </c>
      <c r="D526" s="728" t="str">
        <f>IFERROR(__xludf.DUMMYFUNCTION("""COMPUTED_VALUE"""),"Quản lý thi công nền tảng")</f>
        <v>Quản lý thi công nền tảng</v>
      </c>
      <c r="E526" s="729"/>
      <c r="F526" s="729"/>
      <c r="G526" s="728" t="str">
        <f>IFERROR(__xludf.DUMMYFUNCTION("""COMPUTED_VALUE"""),"KSX")</f>
        <v>KSX</v>
      </c>
      <c r="H526" s="729"/>
      <c r="I526" s="728" t="str">
        <f>IFERROR(__xludf.DUMMYFUNCTION("""COMPUTED_VALUE"""),"L1.00.00.00.00.00.07")</f>
        <v>L1.00.00.00.00.00.07</v>
      </c>
      <c r="J526" s="728" t="str">
        <f>IFERROR(__xludf.DUMMYFUNCTION("""COMPUTED_VALUE"""),"Khối sản xuất")</f>
        <v>Khối sản xuất</v>
      </c>
      <c r="K526" s="729"/>
      <c r="L526" s="728" t="str">
        <f>IFERROR(__xludf.DUMMYFUNCTION("""COMPUTED_VALUE"""),"Đang theo dõi")</f>
        <v>Đang theo dõi</v>
      </c>
      <c r="M526" s="729"/>
      <c r="N526" s="728" t="str">
        <f>IFERROR(__xludf.DUMMYFUNCTION("""COMPUTED_VALUE"""),"giữ nguyên")</f>
        <v>giữ nguyên</v>
      </c>
      <c r="O526" s="708"/>
      <c r="P526" s="708"/>
      <c r="Q526" s="708"/>
      <c r="R526" s="708"/>
      <c r="S526" s="708"/>
      <c r="T526" s="708"/>
      <c r="U526" s="708"/>
      <c r="V526" s="708"/>
      <c r="W526" s="708"/>
      <c r="X526" s="708"/>
      <c r="Y526" s="708"/>
      <c r="Z526" s="708"/>
      <c r="AA526" s="708"/>
      <c r="AB526" s="708"/>
      <c r="AC526" s="708"/>
      <c r="AD526" s="708"/>
      <c r="AE526" s="708"/>
    </row>
    <row r="527">
      <c r="A527" s="727">
        <f>IFERROR(__xludf.DUMMYFUNCTION("""COMPUTED_VALUE"""),475.0)</f>
        <v>475</v>
      </c>
      <c r="B527" s="728" t="str">
        <f>IFERROR(__xludf.DUMMYFUNCTION("""COMPUTED_VALUE"""),"SDC_PM")</f>
        <v>SDC_PM</v>
      </c>
      <c r="C527" s="728" t="str">
        <f>IFERROR(__xludf.DUMMYFUNCTION("""COMPUTED_VALUE"""),"SDC_PM")</f>
        <v>SDC_PM</v>
      </c>
      <c r="D527" s="728" t="str">
        <f>IFERROR(__xludf.DUMMYFUNCTION("""COMPUTED_VALUE"""),"Giám đốc sản phẩm")</f>
        <v>Giám đốc sản phẩm</v>
      </c>
      <c r="E527" s="728" t="str">
        <f>IFERROR(__xludf.DUMMYFUNCTION("""COMPUTED_VALUE"""),"PM")</f>
        <v>PM</v>
      </c>
      <c r="F527" s="729"/>
      <c r="G527" s="728" t="str">
        <f>IFERROR(__xludf.DUMMYFUNCTION("""COMPUTED_VALUE"""),"KSX")</f>
        <v>KSX</v>
      </c>
      <c r="H527" s="728" t="str">
        <f>IFERROR(__xludf.DUMMYFUNCTION("""COMPUTED_VALUE"""),"Nhân viên/ Chuyên viên/ Chuyên gia")</f>
        <v>Nhân viên/ Chuyên viên/ Chuyên gia</v>
      </c>
      <c r="I527" s="728" t="str">
        <f>IFERROR(__xludf.DUMMYFUNCTION("""COMPUTED_VALUE"""),"L1.00.00.00.00.00.07")</f>
        <v>L1.00.00.00.00.00.07</v>
      </c>
      <c r="J527" s="728" t="str">
        <f>IFERROR(__xludf.DUMMYFUNCTION("""COMPUTED_VALUE"""),"Khối sản xuất")</f>
        <v>Khối sản xuất</v>
      </c>
      <c r="K527" s="729"/>
      <c r="L527" s="728" t="str">
        <f>IFERROR(__xludf.DUMMYFUNCTION("""COMPUTED_VALUE"""),"Đang theo dõi")</f>
        <v>Đang theo dõi</v>
      </c>
      <c r="M527" s="729"/>
      <c r="N527" s="728" t="str">
        <f>IFERROR(__xludf.DUMMYFUNCTION("""COMPUTED_VALUE"""),"giữ nguyên")</f>
        <v>giữ nguyên</v>
      </c>
      <c r="O527" s="708"/>
      <c r="P527" s="708"/>
      <c r="Q527" s="708"/>
      <c r="R527" s="708"/>
      <c r="S527" s="708"/>
      <c r="T527" s="708"/>
      <c r="U527" s="708"/>
      <c r="V527" s="708"/>
      <c r="W527" s="708"/>
      <c r="X527" s="708"/>
      <c r="Y527" s="708"/>
      <c r="Z527" s="708"/>
      <c r="AA527" s="708"/>
      <c r="AB527" s="708"/>
      <c r="AC527" s="708"/>
      <c r="AD527" s="708"/>
      <c r="AE527" s="708"/>
    </row>
    <row r="528">
      <c r="A528" s="727">
        <f>IFERROR(__xludf.DUMMYFUNCTION("""COMPUTED_VALUE"""),476.0)</f>
        <v>476</v>
      </c>
      <c r="B528" s="728" t="str">
        <f>IFERROR(__xludf.DUMMYFUNCTION("""COMPUTED_VALUE"""),"SDC_PNR")</f>
        <v>SDC_PNR</v>
      </c>
      <c r="C528" s="728" t="str">
        <f>IFERROR(__xludf.DUMMYFUNCTION("""COMPUTED_VALUE"""),"SDC_PNR")</f>
        <v>SDC_PNR</v>
      </c>
      <c r="D528" s="728" t="str">
        <f>IFERROR(__xludf.DUMMYFUNCTION("""COMPUTED_VALUE"""),"NV phát triển đối tác")</f>
        <v>NV phát triển đối tác</v>
      </c>
      <c r="E528" s="728" t="str">
        <f>IFERROR(__xludf.DUMMYFUNCTION("""COMPUTED_VALUE"""),"BO")</f>
        <v>BO</v>
      </c>
      <c r="F528" s="728"/>
      <c r="G528" s="728" t="str">
        <f>IFERROR(__xludf.DUMMYFUNCTION("""COMPUTED_VALUE"""),"KSX")</f>
        <v>KSX</v>
      </c>
      <c r="H528" s="728" t="str">
        <f>IFERROR(__xludf.DUMMYFUNCTION("""COMPUTED_VALUE"""),"Nhân viên/ Chuyên viên/ Chuyên gia")</f>
        <v>Nhân viên/ Chuyên viên/ Chuyên gia</v>
      </c>
      <c r="I528" s="728" t="str">
        <f>IFERROR(__xludf.DUMMYFUNCTION("""COMPUTED_VALUE"""),"L1.00.00.00.00.00.07")</f>
        <v>L1.00.00.00.00.00.07</v>
      </c>
      <c r="J528" s="728" t="str">
        <f>IFERROR(__xludf.DUMMYFUNCTION("""COMPUTED_VALUE"""),"Khối sản xuất")</f>
        <v>Khối sản xuất</v>
      </c>
      <c r="K528" s="729"/>
      <c r="L528" s="728" t="str">
        <f>IFERROR(__xludf.DUMMYFUNCTION("""COMPUTED_VALUE"""),"Đang theo dõi")</f>
        <v>Đang theo dõi</v>
      </c>
      <c r="M528" s="729"/>
      <c r="N528" s="728" t="str">
        <f>IFERROR(__xludf.DUMMYFUNCTION("""COMPUTED_VALUE"""),"giữ nguyên")</f>
        <v>giữ nguyên</v>
      </c>
      <c r="O528" s="708"/>
      <c r="P528" s="708"/>
      <c r="Q528" s="708"/>
      <c r="R528" s="708"/>
      <c r="S528" s="708"/>
      <c r="T528" s="708"/>
      <c r="U528" s="708"/>
      <c r="V528" s="708"/>
      <c r="W528" s="708"/>
      <c r="X528" s="708"/>
      <c r="Y528" s="708"/>
      <c r="Z528" s="708"/>
      <c r="AA528" s="708"/>
      <c r="AB528" s="708"/>
      <c r="AC528" s="708"/>
      <c r="AD528" s="708"/>
      <c r="AE528" s="708"/>
    </row>
    <row r="529">
      <c r="A529" s="727">
        <f>IFERROR(__xludf.DUMMYFUNCTION("""COMPUTED_VALUE"""),477.0)</f>
        <v>477</v>
      </c>
      <c r="B529" s="728" t="str">
        <f>IFERROR(__xludf.DUMMYFUNCTION("""COMPUTED_VALUE"""),"SDC_PNR_A.MGR")</f>
        <v>SDC_PNR_A.MGR</v>
      </c>
      <c r="C529" s="728" t="str">
        <f>IFERROR(__xludf.DUMMYFUNCTION("""COMPUTED_VALUE"""),"SDC_PNR_A.MGR")</f>
        <v>SDC_PNR_A.MGR</v>
      </c>
      <c r="D529" s="728" t="str">
        <f>IFERROR(__xludf.DUMMYFUNCTION("""COMPUTED_VALUE"""),"Q. Trưởng ban phát triển đối tác")</f>
        <v>Q. Trưởng ban phát triển đối tác</v>
      </c>
      <c r="E529" s="728" t="str">
        <f>IFERROR(__xludf.DUMMYFUNCTION("""COMPUTED_VALUE"""),"BO_COD")</f>
        <v>BO_COD</v>
      </c>
      <c r="F529" s="729">
        <f>IFERROR(__xludf.DUMMYFUNCTION("""COMPUTED_VALUE"""),2.0)</f>
        <v>2</v>
      </c>
      <c r="G529" s="728" t="str">
        <f>IFERROR(__xludf.DUMMYFUNCTION("""COMPUTED_VALUE"""),"KSX")</f>
        <v>KSX</v>
      </c>
      <c r="H529" s="729" t="str">
        <f>IFERROR(__xludf.DUMMYFUNCTION("""COMPUTED_VALUE"""),"TPP/ Trưởng ban")</f>
        <v>TPP/ Trưởng ban</v>
      </c>
      <c r="I529" s="728" t="str">
        <f>IFERROR(__xludf.DUMMYFUNCTION("""COMPUTED_VALUE"""),"L1.00.00.00.00.00.07")</f>
        <v>L1.00.00.00.00.00.07</v>
      </c>
      <c r="J529" s="728" t="str">
        <f>IFERROR(__xludf.DUMMYFUNCTION("""COMPUTED_VALUE"""),"Khối sản xuất")</f>
        <v>Khối sản xuất</v>
      </c>
      <c r="K529" s="729"/>
      <c r="L529" s="728" t="str">
        <f>IFERROR(__xludf.DUMMYFUNCTION("""COMPUTED_VALUE"""),"Đang theo dõi")</f>
        <v>Đang theo dõi</v>
      </c>
      <c r="M529" s="729"/>
      <c r="N529" s="728" t="str">
        <f>IFERROR(__xludf.DUMMYFUNCTION("""COMPUTED_VALUE"""),"giữ nguyên")</f>
        <v>giữ nguyên</v>
      </c>
      <c r="O529" s="708"/>
      <c r="P529" s="708"/>
      <c r="Q529" s="708"/>
      <c r="R529" s="708"/>
      <c r="S529" s="708"/>
      <c r="T529" s="708"/>
      <c r="U529" s="708"/>
      <c r="V529" s="708"/>
      <c r="W529" s="708"/>
      <c r="X529" s="708"/>
      <c r="Y529" s="708"/>
      <c r="Z529" s="708"/>
      <c r="AA529" s="708"/>
      <c r="AB529" s="708"/>
      <c r="AC529" s="708"/>
      <c r="AD529" s="708"/>
      <c r="AE529" s="708"/>
    </row>
    <row r="530">
      <c r="A530" s="727">
        <f>IFERROR(__xludf.DUMMYFUNCTION("""COMPUTED_VALUE"""),478.0)</f>
        <v>478</v>
      </c>
      <c r="B530" s="728" t="str">
        <f>IFERROR(__xludf.DUMMYFUNCTION("""COMPUTED_VALUE"""),"SDC_PNR_MGR")</f>
        <v>SDC_PNR_MGR</v>
      </c>
      <c r="C530" s="728" t="str">
        <f>IFERROR(__xludf.DUMMYFUNCTION("""COMPUTED_VALUE"""),"SDC_PNR_MGR")</f>
        <v>SDC_PNR_MGR</v>
      </c>
      <c r="D530" s="728" t="str">
        <f>IFERROR(__xludf.DUMMYFUNCTION("""COMPUTED_VALUE"""),"Trưởng ban Phát triển đối tác")</f>
        <v>Trưởng ban Phát triển đối tác</v>
      </c>
      <c r="E530" s="728" t="str">
        <f>IFERROR(__xludf.DUMMYFUNCTION("""COMPUTED_VALUE"""),"BO_COD")</f>
        <v>BO_COD</v>
      </c>
      <c r="F530" s="729">
        <f>IFERROR(__xludf.DUMMYFUNCTION("""COMPUTED_VALUE"""),2.0)</f>
        <v>2</v>
      </c>
      <c r="G530" s="728" t="str">
        <f>IFERROR(__xludf.DUMMYFUNCTION("""COMPUTED_VALUE"""),"KSX")</f>
        <v>KSX</v>
      </c>
      <c r="H530" s="728" t="str">
        <f>IFERROR(__xludf.DUMMYFUNCTION("""COMPUTED_VALUE"""),"TPP/ Trưởng ban")</f>
        <v>TPP/ Trưởng ban</v>
      </c>
      <c r="I530" s="728" t="str">
        <f>IFERROR(__xludf.DUMMYFUNCTION("""COMPUTED_VALUE"""),"L1.00.00.00.00.00.07")</f>
        <v>L1.00.00.00.00.00.07</v>
      </c>
      <c r="J530" s="728" t="str">
        <f>IFERROR(__xludf.DUMMYFUNCTION("""COMPUTED_VALUE"""),"Khối sản xuất")</f>
        <v>Khối sản xuất</v>
      </c>
      <c r="K530" s="729"/>
      <c r="L530" s="728" t="str">
        <f>IFERROR(__xludf.DUMMYFUNCTION("""COMPUTED_VALUE"""),"Đang theo dõi")</f>
        <v>Đang theo dõi</v>
      </c>
      <c r="M530" s="729"/>
      <c r="N530" s="728" t="str">
        <f>IFERROR(__xludf.DUMMYFUNCTION("""COMPUTED_VALUE"""),"giữ nguyên")</f>
        <v>giữ nguyên</v>
      </c>
      <c r="O530" s="708"/>
      <c r="P530" s="708"/>
      <c r="Q530" s="708"/>
      <c r="R530" s="708"/>
      <c r="S530" s="708"/>
      <c r="T530" s="708"/>
      <c r="U530" s="708"/>
      <c r="V530" s="708"/>
      <c r="W530" s="708"/>
      <c r="X530" s="708"/>
      <c r="Y530" s="708"/>
      <c r="Z530" s="708"/>
      <c r="AA530" s="708"/>
      <c r="AB530" s="708"/>
      <c r="AC530" s="708"/>
      <c r="AD530" s="708"/>
      <c r="AE530" s="708"/>
    </row>
    <row r="531">
      <c r="A531" s="727">
        <f>IFERROR(__xludf.DUMMYFUNCTION("""COMPUTED_VALUE"""),479.0)</f>
        <v>479</v>
      </c>
      <c r="B531" s="728" t="str">
        <f>IFERROR(__xludf.DUMMYFUNCTION("""COMPUTED_VALUE"""),"SDC_PO")</f>
        <v>SDC_PO</v>
      </c>
      <c r="C531" s="728" t="str">
        <f>IFERROR(__xludf.DUMMYFUNCTION("""COMPUTED_VALUE"""),"SDC_PO")</f>
        <v>SDC_PO</v>
      </c>
      <c r="D531" s="728" t="str">
        <f>IFERROR(__xludf.DUMMYFUNCTION("""COMPUTED_VALUE"""),"QL phân tích thiết kế")</f>
        <v>QL phân tích thiết kế</v>
      </c>
      <c r="E531" s="728" t="str">
        <f>IFERROR(__xludf.DUMMYFUNCTION("""COMPUTED_VALUE"""),"PO")</f>
        <v>PO</v>
      </c>
      <c r="F531" s="729">
        <f>IFERROR(__xludf.DUMMYFUNCTION("""COMPUTED_VALUE"""),2.0)</f>
        <v>2</v>
      </c>
      <c r="G531" s="728" t="str">
        <f>IFERROR(__xludf.DUMMYFUNCTION("""COMPUTED_VALUE"""),"KSX")</f>
        <v>KSX</v>
      </c>
      <c r="H531" s="728" t="str">
        <f>IFERROR(__xludf.DUMMYFUNCTION("""COMPUTED_VALUE"""),"TPP/ Trưởng ban")</f>
        <v>TPP/ Trưởng ban</v>
      </c>
      <c r="I531" s="728" t="str">
        <f>IFERROR(__xludf.DUMMYFUNCTION("""COMPUTED_VALUE"""),"L1.00.00.00.00.00.07")</f>
        <v>L1.00.00.00.00.00.07</v>
      </c>
      <c r="J531" s="728" t="str">
        <f>IFERROR(__xludf.DUMMYFUNCTION("""COMPUTED_VALUE"""),"Khối sản xuất")</f>
        <v>Khối sản xuất</v>
      </c>
      <c r="K531" s="729"/>
      <c r="L531" s="728" t="str">
        <f>IFERROR(__xludf.DUMMYFUNCTION("""COMPUTED_VALUE"""),"Đang theo dõi")</f>
        <v>Đang theo dõi</v>
      </c>
      <c r="M531" s="729"/>
      <c r="N531" s="728" t="str">
        <f>IFERROR(__xludf.DUMMYFUNCTION("""COMPUTED_VALUE"""),"giữ nguyên")</f>
        <v>giữ nguyên</v>
      </c>
      <c r="O531" s="708"/>
      <c r="P531" s="708"/>
      <c r="Q531" s="708"/>
      <c r="R531" s="708"/>
      <c r="S531" s="708"/>
      <c r="T531" s="708"/>
      <c r="U531" s="708"/>
      <c r="V531" s="708"/>
      <c r="W531" s="708"/>
      <c r="X531" s="708"/>
      <c r="Y531" s="708"/>
      <c r="Z531" s="708"/>
      <c r="AA531" s="708"/>
      <c r="AB531" s="708"/>
      <c r="AC531" s="708"/>
      <c r="AD531" s="708"/>
      <c r="AE531" s="708"/>
    </row>
    <row r="532">
      <c r="A532" s="727">
        <f>IFERROR(__xludf.DUMMYFUNCTION("""COMPUTED_VALUE"""),480.0)</f>
        <v>480</v>
      </c>
      <c r="B532" s="728" t="str">
        <f>IFERROR(__xludf.DUMMYFUNCTION("""COMPUTED_VALUE"""),"SDC_PQC")</f>
        <v>SDC_PQC</v>
      </c>
      <c r="C532" s="728" t="str">
        <f>IFERROR(__xludf.DUMMYFUNCTION("""COMPUTED_VALUE"""),"SDC_PQC")</f>
        <v>SDC_PQC</v>
      </c>
      <c r="D532" s="728" t="str">
        <f>IFERROR(__xludf.DUMMYFUNCTION("""COMPUTED_VALUE"""),"QC trưởng")</f>
        <v>QC trưởng</v>
      </c>
      <c r="E532" s="728"/>
      <c r="F532" s="729"/>
      <c r="G532" s="728" t="str">
        <f>IFERROR(__xludf.DUMMYFUNCTION("""COMPUTED_VALUE"""),"KSX")</f>
        <v>KSX</v>
      </c>
      <c r="H532" s="728"/>
      <c r="I532" s="728" t="str">
        <f>IFERROR(__xludf.DUMMYFUNCTION("""COMPUTED_VALUE"""),"L1.00.00.00.00.00.07")</f>
        <v>L1.00.00.00.00.00.07</v>
      </c>
      <c r="J532" s="728" t="str">
        <f>IFERROR(__xludf.DUMMYFUNCTION("""COMPUTED_VALUE"""),"Khối sản xuất")</f>
        <v>Khối sản xuất</v>
      </c>
      <c r="K532" s="729"/>
      <c r="L532" s="728" t="str">
        <f>IFERROR(__xludf.DUMMYFUNCTION("""COMPUTED_VALUE"""),"Đang theo dõi")</f>
        <v>Đang theo dõi</v>
      </c>
      <c r="M532" s="729"/>
      <c r="N532" s="728" t="str">
        <f>IFERROR(__xludf.DUMMYFUNCTION("""COMPUTED_VALUE"""),"giữ nguyên")</f>
        <v>giữ nguyên</v>
      </c>
      <c r="O532" s="708"/>
      <c r="P532" s="708"/>
      <c r="Q532" s="708"/>
      <c r="R532" s="708"/>
      <c r="S532" s="708"/>
      <c r="T532" s="708"/>
      <c r="U532" s="708"/>
      <c r="V532" s="708"/>
      <c r="W532" s="708"/>
      <c r="X532" s="708"/>
      <c r="Y532" s="708"/>
      <c r="Z532" s="708"/>
      <c r="AA532" s="708"/>
      <c r="AB532" s="708"/>
      <c r="AC532" s="708"/>
      <c r="AD532" s="708"/>
      <c r="AE532" s="708"/>
    </row>
    <row r="533">
      <c r="A533" s="727">
        <f>IFERROR(__xludf.DUMMYFUNCTION("""COMPUTED_VALUE"""),481.0)</f>
        <v>481</v>
      </c>
      <c r="B533" s="728" t="str">
        <f>IFERROR(__xludf.DUMMYFUNCTION("""COMPUTED_VALUE"""),"SDC_PUD_1")</f>
        <v>SDC_PUD_1</v>
      </c>
      <c r="C533" s="728" t="str">
        <f>IFERROR(__xludf.DUMMYFUNCTION("""COMPUTED_VALUE"""),"SDC_PUD_1")</f>
        <v>SDC_PUD_1</v>
      </c>
      <c r="D533" s="728" t="str">
        <f>IFERROR(__xludf.DUMMYFUNCTION("""COMPUTED_VALUE"""),"Giám đốc khối")</f>
        <v>Giám đốc khối</v>
      </c>
      <c r="E533" s="728" t="str">
        <f>IFERROR(__xludf.DUMMYFUNCTION("""COMPUTED_VALUE"""),"BOM")</f>
        <v>BOM</v>
      </c>
      <c r="F533" s="729">
        <f>IFERROR(__xludf.DUMMYFUNCTION("""COMPUTED_VALUE"""),3.0)</f>
        <v>3</v>
      </c>
      <c r="G533" s="728" t="str">
        <f>IFERROR(__xludf.DUMMYFUNCTION("""COMPUTED_VALUE"""),"KSX")</f>
        <v>KSX</v>
      </c>
      <c r="H533" s="728" t="str">
        <f>IFERROR(__xludf.DUMMYFUNCTION("""COMPUTED_VALUE"""),"BGĐ khối")</f>
        <v>BGĐ khối</v>
      </c>
      <c r="I533" s="728" t="str">
        <f>IFERROR(__xludf.DUMMYFUNCTION("""COMPUTED_VALUE"""),"L1.00.00.00.00.00.07")</f>
        <v>L1.00.00.00.00.00.07</v>
      </c>
      <c r="J533" s="728" t="str">
        <f>IFERROR(__xludf.DUMMYFUNCTION("""COMPUTED_VALUE"""),"Khối sản xuất")</f>
        <v>Khối sản xuất</v>
      </c>
      <c r="K533" s="729"/>
      <c r="L533" s="728" t="str">
        <f>IFERROR(__xludf.DUMMYFUNCTION("""COMPUTED_VALUE"""),"Đang theo dõi")</f>
        <v>Đang theo dõi</v>
      </c>
      <c r="M533" s="729"/>
      <c r="N533" s="728" t="str">
        <f>IFERROR(__xludf.DUMMYFUNCTION("""COMPUTED_VALUE"""),"giữ nguyên")</f>
        <v>giữ nguyên</v>
      </c>
      <c r="O533" s="708"/>
      <c r="P533" s="708"/>
      <c r="Q533" s="708"/>
      <c r="R533" s="708"/>
      <c r="S533" s="708"/>
      <c r="T533" s="708"/>
      <c r="U533" s="708"/>
      <c r="V533" s="708"/>
      <c r="W533" s="708"/>
      <c r="X533" s="708"/>
      <c r="Y533" s="708"/>
      <c r="Z533" s="708"/>
      <c r="AA533" s="708"/>
      <c r="AB533" s="708"/>
      <c r="AC533" s="708"/>
      <c r="AD533" s="708"/>
      <c r="AE533" s="708"/>
    </row>
    <row r="534">
      <c r="A534" s="727">
        <f>IFERROR(__xludf.DUMMYFUNCTION("""COMPUTED_VALUE"""),482.0)</f>
        <v>482</v>
      </c>
      <c r="B534" s="728" t="str">
        <f>IFERROR(__xludf.DUMMYFUNCTION("""COMPUTED_VALUE"""),"SDC_PUDs")</f>
        <v>SDC_PUDs</v>
      </c>
      <c r="C534" s="728" t="str">
        <f>IFERROR(__xludf.DUMMYFUNCTION("""COMPUTED_VALUE"""),"SDC_PUDs")</f>
        <v>SDC_PUDs</v>
      </c>
      <c r="D534" s="728" t="str">
        <f>IFERROR(__xludf.DUMMYFUNCTION("""COMPUTED_VALUE"""),"Thiết kế trưởng")</f>
        <v>Thiết kế trưởng</v>
      </c>
      <c r="E534" s="728"/>
      <c r="F534" s="729"/>
      <c r="G534" s="728" t="str">
        <f>IFERROR(__xludf.DUMMYFUNCTION("""COMPUTED_VALUE"""),"KSX")</f>
        <v>KSX</v>
      </c>
      <c r="H534" s="728"/>
      <c r="I534" s="728" t="str">
        <f>IFERROR(__xludf.DUMMYFUNCTION("""COMPUTED_VALUE"""),"L1.00.00.00.00.00.07")</f>
        <v>L1.00.00.00.00.00.07</v>
      </c>
      <c r="J534" s="728" t="str">
        <f>IFERROR(__xludf.DUMMYFUNCTION("""COMPUTED_VALUE"""),"Khối sản xuất")</f>
        <v>Khối sản xuất</v>
      </c>
      <c r="K534" s="729"/>
      <c r="L534" s="728" t="str">
        <f>IFERROR(__xludf.DUMMYFUNCTION("""COMPUTED_VALUE"""),"Đang theo dõi")</f>
        <v>Đang theo dõi</v>
      </c>
      <c r="M534" s="729"/>
      <c r="N534" s="728" t="str">
        <f>IFERROR(__xludf.DUMMYFUNCTION("""COMPUTED_VALUE"""),"giữ nguyên")</f>
        <v>giữ nguyên</v>
      </c>
      <c r="O534" s="708"/>
      <c r="P534" s="708"/>
      <c r="Q534" s="708"/>
      <c r="R534" s="708"/>
      <c r="S534" s="708"/>
      <c r="T534" s="708"/>
      <c r="U534" s="708"/>
      <c r="V534" s="708"/>
      <c r="W534" s="708"/>
      <c r="X534" s="708"/>
      <c r="Y534" s="708"/>
      <c r="Z534" s="708"/>
      <c r="AA534" s="708"/>
      <c r="AB534" s="708"/>
      <c r="AC534" s="708"/>
      <c r="AD534" s="708"/>
      <c r="AE534" s="708"/>
    </row>
    <row r="535">
      <c r="A535" s="727">
        <f>IFERROR(__xludf.DUMMYFUNCTION("""COMPUTED_VALUE"""),483.0)</f>
        <v>483</v>
      </c>
      <c r="B535" s="728" t="str">
        <f>IFERROR(__xludf.DUMMYFUNCTION("""COMPUTED_VALUE"""),"SDC_PWRBI")</f>
        <v>SDC_PWRBI</v>
      </c>
      <c r="C535" s="728" t="str">
        <f>IFERROR(__xludf.DUMMYFUNCTION("""COMPUTED_VALUE"""),"SDC_PWRBI")</f>
        <v>SDC_PWRBI</v>
      </c>
      <c r="D535" s="728" t="str">
        <f>IFERROR(__xludf.DUMMYFUNCTION("""COMPUTED_VALUE"""),"Chuyên viên Power BI")</f>
        <v>Chuyên viên Power BI</v>
      </c>
      <c r="E535" s="728" t="str">
        <f>IFERROR(__xludf.DUMMYFUNCTION("""COMPUTED_VALUE"""),"PBI")</f>
        <v>PBI</v>
      </c>
      <c r="F535" s="745"/>
      <c r="G535" s="728" t="str">
        <f>IFERROR(__xludf.DUMMYFUNCTION("""COMPUTED_VALUE"""),"KSX")</f>
        <v>KSX</v>
      </c>
      <c r="H535" s="728" t="str">
        <f>IFERROR(__xludf.DUMMYFUNCTION("""COMPUTED_VALUE"""),"Nhân viên/ Chuyên viên/ Chuyên gia")</f>
        <v>Nhân viên/ Chuyên viên/ Chuyên gia</v>
      </c>
      <c r="I535" s="728" t="str">
        <f>IFERROR(__xludf.DUMMYFUNCTION("""COMPUTED_VALUE"""),"L1.00.00.00.00.00.07")</f>
        <v>L1.00.00.00.00.00.07</v>
      </c>
      <c r="J535" s="728" t="str">
        <f>IFERROR(__xludf.DUMMYFUNCTION("""COMPUTED_VALUE"""),"Khối sản xuất")</f>
        <v>Khối sản xuất</v>
      </c>
      <c r="K535" s="729"/>
      <c r="L535" s="728" t="str">
        <f>IFERROR(__xludf.DUMMYFUNCTION("""COMPUTED_VALUE"""),"Đang theo dõi")</f>
        <v>Đang theo dõi</v>
      </c>
      <c r="M535" s="729"/>
      <c r="N535" s="728" t="str">
        <f>IFERROR(__xludf.DUMMYFUNCTION("""COMPUTED_VALUE"""),"giữ nguyên")</f>
        <v>giữ nguyên</v>
      </c>
      <c r="O535" s="708"/>
      <c r="P535" s="708"/>
      <c r="Q535" s="708"/>
      <c r="R535" s="708"/>
      <c r="S535" s="708"/>
      <c r="T535" s="708"/>
      <c r="U535" s="708"/>
      <c r="V535" s="708"/>
      <c r="W535" s="708"/>
      <c r="X535" s="708"/>
      <c r="Y535" s="708"/>
      <c r="Z535" s="708"/>
      <c r="AA535" s="708"/>
      <c r="AB535" s="708"/>
      <c r="AC535" s="708"/>
      <c r="AD535" s="708"/>
      <c r="AE535" s="708"/>
    </row>
    <row r="536">
      <c r="A536" s="727">
        <f>IFERROR(__xludf.DUMMYFUNCTION("""COMPUTED_VALUE"""),484.0)</f>
        <v>484</v>
      </c>
      <c r="B536" s="728" t="str">
        <f>IFERROR(__xludf.DUMMYFUNCTION("""COMPUTED_VALUE"""),"SDC_QC")</f>
        <v>SDC_QC</v>
      </c>
      <c r="C536" s="728" t="str">
        <f>IFERROR(__xludf.DUMMYFUNCTION("""COMPUTED_VALUE"""),"SDC_QC")</f>
        <v>SDC_QC</v>
      </c>
      <c r="D536" s="728" t="str">
        <f>IFERROR(__xludf.DUMMYFUNCTION("""COMPUTED_VALUE"""),"NV kiểm soát chất lượng")</f>
        <v>NV kiểm soát chất lượng</v>
      </c>
      <c r="E536" s="729" t="str">
        <f>IFERROR(__xludf.DUMMYFUNCTION("""COMPUTED_VALUE"""),"QC")</f>
        <v>QC</v>
      </c>
      <c r="F536" s="729"/>
      <c r="G536" s="728" t="str">
        <f>IFERROR(__xludf.DUMMYFUNCTION("""COMPUTED_VALUE"""),"KSX")</f>
        <v>KSX</v>
      </c>
      <c r="H536" s="728" t="str">
        <f>IFERROR(__xludf.DUMMYFUNCTION("""COMPUTED_VALUE"""),"Nhân viên/ Chuyên viên/ Chuyên gia")</f>
        <v>Nhân viên/ Chuyên viên/ Chuyên gia</v>
      </c>
      <c r="I536" s="728" t="str">
        <f>IFERROR(__xludf.DUMMYFUNCTION("""COMPUTED_VALUE"""),"L1.00.00.00.00.00.07")</f>
        <v>L1.00.00.00.00.00.07</v>
      </c>
      <c r="J536" s="728" t="str">
        <f>IFERROR(__xludf.DUMMYFUNCTION("""COMPUTED_VALUE"""),"Khối sản xuất")</f>
        <v>Khối sản xuất</v>
      </c>
      <c r="K536" s="729"/>
      <c r="L536" s="728" t="str">
        <f>IFERROR(__xludf.DUMMYFUNCTION("""COMPUTED_VALUE"""),"Đang theo dõi")</f>
        <v>Đang theo dõi</v>
      </c>
      <c r="M536" s="729"/>
      <c r="N536" s="728" t="str">
        <f>IFERROR(__xludf.DUMMYFUNCTION("""COMPUTED_VALUE"""),"giữ nguyên")</f>
        <v>giữ nguyên</v>
      </c>
      <c r="O536" s="708"/>
      <c r="P536" s="708"/>
      <c r="Q536" s="708"/>
      <c r="R536" s="708"/>
      <c r="S536" s="708"/>
      <c r="T536" s="708"/>
      <c r="U536" s="708"/>
      <c r="V536" s="708"/>
      <c r="W536" s="708"/>
      <c r="X536" s="708"/>
      <c r="Y536" s="708"/>
      <c r="Z536" s="708"/>
      <c r="AA536" s="708"/>
      <c r="AB536" s="708"/>
      <c r="AC536" s="708"/>
      <c r="AD536" s="708"/>
      <c r="AE536" s="708"/>
    </row>
    <row r="537">
      <c r="A537" s="727">
        <f>IFERROR(__xludf.DUMMYFUNCTION("""COMPUTED_VALUE"""),485.0)</f>
        <v>485</v>
      </c>
      <c r="B537" s="728" t="str">
        <f>IFERROR(__xludf.DUMMYFUNCTION("""COMPUTED_VALUE"""),"SDC_QCAU")</f>
        <v>SDC_QCAU</v>
      </c>
      <c r="C537" s="728" t="str">
        <f>IFERROR(__xludf.DUMMYFUNCTION("""COMPUTED_VALUE"""),"SDC_QCAU")</f>
        <v>SDC_QCAU</v>
      </c>
      <c r="D537" s="728" t="str">
        <f>IFERROR(__xludf.DUMMYFUNCTION("""COMPUTED_VALUE"""),"NV kiểm thử tự động")</f>
        <v>NV kiểm thử tự động</v>
      </c>
      <c r="E537" s="728" t="str">
        <f>IFERROR(__xludf.DUMMYFUNCTION("""COMPUTED_VALUE"""),"QC")</f>
        <v>QC</v>
      </c>
      <c r="F537" s="729"/>
      <c r="G537" s="728" t="str">
        <f>IFERROR(__xludf.DUMMYFUNCTION("""COMPUTED_VALUE"""),"KSX")</f>
        <v>KSX</v>
      </c>
      <c r="H537" s="728" t="str">
        <f>IFERROR(__xludf.DUMMYFUNCTION("""COMPUTED_VALUE"""),"Nhân viên/ Chuyên viên/ Chuyên gia")</f>
        <v>Nhân viên/ Chuyên viên/ Chuyên gia</v>
      </c>
      <c r="I537" s="728" t="str">
        <f>IFERROR(__xludf.DUMMYFUNCTION("""COMPUTED_VALUE"""),"L1.00.00.00.00.00.07")</f>
        <v>L1.00.00.00.00.00.07</v>
      </c>
      <c r="J537" s="728" t="str">
        <f>IFERROR(__xludf.DUMMYFUNCTION("""COMPUTED_VALUE"""),"Khối sản xuất")</f>
        <v>Khối sản xuất</v>
      </c>
      <c r="K537" s="729"/>
      <c r="L537" s="728" t="str">
        <f>IFERROR(__xludf.DUMMYFUNCTION("""COMPUTED_VALUE"""),"Đang theo dõi")</f>
        <v>Đang theo dõi</v>
      </c>
      <c r="M537" s="729"/>
      <c r="N537" s="728" t="str">
        <f>IFERROR(__xludf.DUMMYFUNCTION("""COMPUTED_VALUE"""),"giữ nguyên")</f>
        <v>giữ nguyên</v>
      </c>
      <c r="O537" s="708"/>
      <c r="P537" s="708"/>
      <c r="Q537" s="708"/>
      <c r="R537" s="708"/>
      <c r="S537" s="708"/>
      <c r="T537" s="708"/>
      <c r="U537" s="708"/>
      <c r="V537" s="708"/>
      <c r="W537" s="708"/>
      <c r="X537" s="708"/>
      <c r="Y537" s="708"/>
      <c r="Z537" s="708"/>
      <c r="AA537" s="708"/>
      <c r="AB537" s="708"/>
      <c r="AC537" s="708"/>
      <c r="AD537" s="708"/>
      <c r="AE537" s="708"/>
    </row>
    <row r="538">
      <c r="A538" s="727">
        <f>IFERROR(__xludf.DUMMYFUNCTION("""COMPUTED_VALUE"""),486.0)</f>
        <v>486</v>
      </c>
      <c r="B538" s="728" t="str">
        <f>IFERROR(__xludf.DUMMYFUNCTION("""COMPUTED_VALUE"""),"SDC_QCAUL")</f>
        <v>SDC_QCAUL</v>
      </c>
      <c r="C538" s="728" t="str">
        <f>IFERROR(__xludf.DUMMYFUNCTION("""COMPUTED_VALUE"""),"SDC_QCAUL")</f>
        <v>SDC_QCAUL</v>
      </c>
      <c r="D538" s="728" t="str">
        <f>IFERROR(__xludf.DUMMYFUNCTION("""COMPUTED_VALUE"""),"Trưởng nhóm kiểm thử tự động")</f>
        <v>Trưởng nhóm kiểm thử tự động</v>
      </c>
      <c r="E538" s="728" t="str">
        <f>IFERROR(__xludf.DUMMYFUNCTION("""COMPUTED_VALUE"""),"QCA")</f>
        <v>QCA</v>
      </c>
      <c r="F538" s="745">
        <f>IFERROR(__xludf.DUMMYFUNCTION("""COMPUTED_VALUE"""),1.0)</f>
        <v>1</v>
      </c>
      <c r="G538" s="728" t="str">
        <f>IFERROR(__xludf.DUMMYFUNCTION("""COMPUTED_VALUE"""),"KSX")</f>
        <v>KSX</v>
      </c>
      <c r="H538" s="728" t="str">
        <f>IFERROR(__xludf.DUMMYFUNCTION("""COMPUTED_VALUE"""),"Trưởng nhóm")</f>
        <v>Trưởng nhóm</v>
      </c>
      <c r="I538" s="728" t="str">
        <f>IFERROR(__xludf.DUMMYFUNCTION("""COMPUTED_VALUE"""),"L1.00.00.00.00.00.07")</f>
        <v>L1.00.00.00.00.00.07</v>
      </c>
      <c r="J538" s="728" t="str">
        <f>IFERROR(__xludf.DUMMYFUNCTION("""COMPUTED_VALUE"""),"Khối sản xuất")</f>
        <v>Khối sản xuất</v>
      </c>
      <c r="K538" s="729"/>
      <c r="L538" s="728" t="str">
        <f>IFERROR(__xludf.DUMMYFUNCTION("""COMPUTED_VALUE"""),"Đang theo dõi")</f>
        <v>Đang theo dõi</v>
      </c>
      <c r="M538" s="729"/>
      <c r="N538" s="728" t="str">
        <f>IFERROR(__xludf.DUMMYFUNCTION("""COMPUTED_VALUE"""),"giữ nguyên")</f>
        <v>giữ nguyên</v>
      </c>
      <c r="O538" s="708"/>
      <c r="P538" s="708"/>
      <c r="Q538" s="708"/>
      <c r="R538" s="708"/>
      <c r="S538" s="708"/>
      <c r="T538" s="708"/>
      <c r="U538" s="708"/>
      <c r="V538" s="708"/>
      <c r="W538" s="708"/>
      <c r="X538" s="708"/>
      <c r="Y538" s="708"/>
      <c r="Z538" s="708"/>
      <c r="AA538" s="708"/>
      <c r="AB538" s="708"/>
      <c r="AC538" s="708"/>
      <c r="AD538" s="708"/>
      <c r="AE538" s="708"/>
    </row>
    <row r="539">
      <c r="A539" s="727">
        <f>IFERROR(__xludf.DUMMYFUNCTION("""COMPUTED_VALUE"""),487.0)</f>
        <v>487</v>
      </c>
      <c r="B539" s="728" t="str">
        <f>IFERROR(__xludf.DUMMYFUNCTION("""COMPUTED_VALUE"""),"SDC_QCL")</f>
        <v>SDC_QCL</v>
      </c>
      <c r="C539" s="728" t="str">
        <f>IFERROR(__xludf.DUMMYFUNCTION("""COMPUTED_VALUE"""),"SDC_QCL")</f>
        <v>SDC_QCL</v>
      </c>
      <c r="D539" s="728" t="str">
        <f>IFERROR(__xludf.DUMMYFUNCTION("""COMPUTED_VALUE"""),"Trưởng nhóm kiểm soát chất lượng")</f>
        <v>Trưởng nhóm kiểm soát chất lượng</v>
      </c>
      <c r="E539" s="728" t="str">
        <f>IFERROR(__xludf.DUMMYFUNCTION("""COMPUTED_VALUE"""),"QCL")</f>
        <v>QCL</v>
      </c>
      <c r="F539" s="745">
        <f>IFERROR(__xludf.DUMMYFUNCTION("""COMPUTED_VALUE"""),1.0)</f>
        <v>1</v>
      </c>
      <c r="G539" s="728" t="str">
        <f>IFERROR(__xludf.DUMMYFUNCTION("""COMPUTED_VALUE"""),"KSX")</f>
        <v>KSX</v>
      </c>
      <c r="H539" s="728" t="str">
        <f>IFERROR(__xludf.DUMMYFUNCTION("""COMPUTED_VALUE"""),"Trưởng nhóm")</f>
        <v>Trưởng nhóm</v>
      </c>
      <c r="I539" s="728" t="str">
        <f>IFERROR(__xludf.DUMMYFUNCTION("""COMPUTED_VALUE"""),"L1.00.00.00.00.00.07")</f>
        <v>L1.00.00.00.00.00.07</v>
      </c>
      <c r="J539" s="728" t="str">
        <f>IFERROR(__xludf.DUMMYFUNCTION("""COMPUTED_VALUE"""),"Khối sản xuất")</f>
        <v>Khối sản xuất</v>
      </c>
      <c r="K539" s="729"/>
      <c r="L539" s="728" t="str">
        <f>IFERROR(__xludf.DUMMYFUNCTION("""COMPUTED_VALUE"""),"Đang theo dõi")</f>
        <v>Đang theo dõi</v>
      </c>
      <c r="M539" s="729"/>
      <c r="N539" s="728" t="str">
        <f>IFERROR(__xludf.DUMMYFUNCTION("""COMPUTED_VALUE"""),"giữ nguyên")</f>
        <v>giữ nguyên</v>
      </c>
      <c r="O539" s="708"/>
      <c r="P539" s="708"/>
      <c r="Q539" s="708"/>
      <c r="R539" s="708"/>
      <c r="S539" s="708"/>
      <c r="T539" s="708"/>
      <c r="U539" s="708"/>
      <c r="V539" s="708"/>
      <c r="W539" s="708"/>
      <c r="X539" s="708"/>
      <c r="Y539" s="708"/>
      <c r="Z539" s="708"/>
      <c r="AA539" s="708"/>
      <c r="AB539" s="708"/>
      <c r="AC539" s="708"/>
      <c r="AD539" s="708"/>
      <c r="AE539" s="708"/>
    </row>
    <row r="540">
      <c r="A540" s="727">
        <f>IFERROR(__xludf.DUMMYFUNCTION("""COMPUTED_VALUE"""),488.0)</f>
        <v>488</v>
      </c>
      <c r="B540" s="728" t="str">
        <f>IFERROR(__xludf.DUMMYFUNCTION("""COMPUTED_VALUE"""),"SDC_RD")</f>
        <v>SDC_RD</v>
      </c>
      <c r="C540" s="728" t="str">
        <f>IFERROR(__xludf.DUMMYFUNCTION("""COMPUTED_VALUE"""),"SDC_RD")</f>
        <v>SDC_RD</v>
      </c>
      <c r="D540" s="728" t="str">
        <f>IFERROR(__xludf.DUMMYFUNCTION("""COMPUTED_VALUE"""),"NV nghiên cứu và phát triển công nghệ")</f>
        <v>NV nghiên cứu và phát triển công nghệ</v>
      </c>
      <c r="E540" s="728" t="str">
        <f>IFERROR(__xludf.DUMMYFUNCTION("""COMPUTED_VALUE"""),"SWE")</f>
        <v>SWE</v>
      </c>
      <c r="F540" s="729"/>
      <c r="G540" s="728" t="str">
        <f>IFERROR(__xludf.DUMMYFUNCTION("""COMPUTED_VALUE"""),"KSX")</f>
        <v>KSX</v>
      </c>
      <c r="H540" s="728" t="str">
        <f>IFERROR(__xludf.DUMMYFUNCTION("""COMPUTED_VALUE"""),"Nhân viên/ Chuyên viên/ Chuyên gia")</f>
        <v>Nhân viên/ Chuyên viên/ Chuyên gia</v>
      </c>
      <c r="I540" s="728" t="str">
        <f>IFERROR(__xludf.DUMMYFUNCTION("""COMPUTED_VALUE"""),"L1.00.00.00.00.00.07")</f>
        <v>L1.00.00.00.00.00.07</v>
      </c>
      <c r="J540" s="728" t="str">
        <f>IFERROR(__xludf.DUMMYFUNCTION("""COMPUTED_VALUE"""),"Khối sản xuất")</f>
        <v>Khối sản xuất</v>
      </c>
      <c r="K540" s="729"/>
      <c r="L540" s="728" t="str">
        <f>IFERROR(__xludf.DUMMYFUNCTION("""COMPUTED_VALUE"""),"Đang theo dõi")</f>
        <v>Đang theo dõi</v>
      </c>
      <c r="M540" s="729"/>
      <c r="N540" s="728" t="str">
        <f>IFERROR(__xludf.DUMMYFUNCTION("""COMPUTED_VALUE"""),"giữ nguyên")</f>
        <v>giữ nguyên</v>
      </c>
      <c r="O540" s="708"/>
      <c r="P540" s="708"/>
      <c r="Q540" s="708"/>
      <c r="R540" s="708"/>
      <c r="S540" s="708"/>
      <c r="T540" s="708"/>
      <c r="U540" s="708"/>
      <c r="V540" s="708"/>
      <c r="W540" s="708"/>
      <c r="X540" s="708"/>
      <c r="Y540" s="708"/>
      <c r="Z540" s="708"/>
      <c r="AA540" s="708"/>
      <c r="AB540" s="730"/>
      <c r="AC540" s="730"/>
      <c r="AD540" s="730"/>
      <c r="AE540" s="730"/>
    </row>
    <row r="541">
      <c r="A541" s="727">
        <f>IFERROR(__xludf.DUMMYFUNCTION("""COMPUTED_VALUE"""),489.0)</f>
        <v>489</v>
      </c>
      <c r="B541" s="728" t="str">
        <f>IFERROR(__xludf.DUMMYFUNCTION("""COMPUTED_VALUE"""),"SDC_RDL")</f>
        <v>SDC_RDL</v>
      </c>
      <c r="C541" s="728" t="str">
        <f>IFERROR(__xludf.DUMMYFUNCTION("""COMPUTED_VALUE"""),"SDC_RDL")</f>
        <v>SDC_RDL</v>
      </c>
      <c r="D541" s="728" t="str">
        <f>IFERROR(__xludf.DUMMYFUNCTION("""COMPUTED_VALUE"""),"Trưởng nhóm nghiên cứu TT&amp;SP")</f>
        <v>Trưởng nhóm nghiên cứu TT&amp;SP</v>
      </c>
      <c r="E541" s="728"/>
      <c r="F541" s="745"/>
      <c r="G541" s="728" t="str">
        <f>IFERROR(__xludf.DUMMYFUNCTION("""COMPUTED_VALUE"""),"KSX")</f>
        <v>KSX</v>
      </c>
      <c r="H541" s="728"/>
      <c r="I541" s="728" t="str">
        <f>IFERROR(__xludf.DUMMYFUNCTION("""COMPUTED_VALUE"""),"L1.00.00.00.00.00.07")</f>
        <v>L1.00.00.00.00.00.07</v>
      </c>
      <c r="J541" s="728" t="str">
        <f>IFERROR(__xludf.DUMMYFUNCTION("""COMPUTED_VALUE"""),"Khối sản xuất")</f>
        <v>Khối sản xuất</v>
      </c>
      <c r="K541" s="729"/>
      <c r="L541" s="728" t="str">
        <f>IFERROR(__xludf.DUMMYFUNCTION("""COMPUTED_VALUE"""),"Đang theo dõi")</f>
        <v>Đang theo dõi</v>
      </c>
      <c r="M541" s="729"/>
      <c r="N541" s="728" t="str">
        <f>IFERROR(__xludf.DUMMYFUNCTION("""COMPUTED_VALUE"""),"giữ nguyên")</f>
        <v>giữ nguyên</v>
      </c>
      <c r="O541" s="708"/>
      <c r="P541" s="708"/>
      <c r="Q541" s="708"/>
      <c r="R541" s="708"/>
      <c r="S541" s="708"/>
      <c r="T541" s="708"/>
      <c r="U541" s="708"/>
      <c r="V541" s="708"/>
      <c r="W541" s="708"/>
      <c r="X541" s="708"/>
      <c r="Y541" s="708"/>
      <c r="Z541" s="708"/>
      <c r="AA541" s="708"/>
      <c r="AB541" s="708"/>
      <c r="AC541" s="708"/>
      <c r="AD541" s="708"/>
      <c r="AE541" s="708"/>
    </row>
    <row r="542">
      <c r="A542" s="727">
        <f>IFERROR(__xludf.DUMMYFUNCTION("""COMPUTED_VALUE"""),490.0)</f>
        <v>490</v>
      </c>
      <c r="B542" s="728" t="str">
        <f>IFERROR(__xludf.DUMMYFUNCTION("""COMPUTED_VALUE"""),"SDC_SA")</f>
        <v>SDC_SA</v>
      </c>
      <c r="C542" s="728" t="str">
        <f>IFERROR(__xludf.DUMMYFUNCTION("""COMPUTED_VALUE"""),"SDC_SA")</f>
        <v>SDC_SA</v>
      </c>
      <c r="D542" s="728" t="str">
        <f>IFERROR(__xludf.DUMMYFUNCTION("""COMPUTED_VALUE"""),"Kiến trúc sư")</f>
        <v>Kiến trúc sư</v>
      </c>
      <c r="E542" s="728" t="str">
        <f>IFERROR(__xludf.DUMMYFUNCTION("""COMPUTED_VALUE"""),"SA")</f>
        <v>SA</v>
      </c>
      <c r="F542" s="729"/>
      <c r="G542" s="728" t="str">
        <f>IFERROR(__xludf.DUMMYFUNCTION("""COMPUTED_VALUE"""),"KSX")</f>
        <v>KSX</v>
      </c>
      <c r="H542" s="729" t="str">
        <f>IFERROR(__xludf.DUMMYFUNCTION("""COMPUTED_VALUE"""),"Nhân viên/ Chuyên viên/ Chuyên gia")</f>
        <v>Nhân viên/ Chuyên viên/ Chuyên gia</v>
      </c>
      <c r="I542" s="728" t="str">
        <f>IFERROR(__xludf.DUMMYFUNCTION("""COMPUTED_VALUE"""),"L1.00.00.00.00.00.07")</f>
        <v>L1.00.00.00.00.00.07</v>
      </c>
      <c r="J542" s="728" t="str">
        <f>IFERROR(__xludf.DUMMYFUNCTION("""COMPUTED_VALUE"""),"Khối sản xuất")</f>
        <v>Khối sản xuất</v>
      </c>
      <c r="K542" s="729"/>
      <c r="L542" s="728" t="str">
        <f>IFERROR(__xludf.DUMMYFUNCTION("""COMPUTED_VALUE"""),"Đang theo dõi")</f>
        <v>Đang theo dõi</v>
      </c>
      <c r="M542" s="729"/>
      <c r="N542" s="728" t="str">
        <f>IFERROR(__xludf.DUMMYFUNCTION("""COMPUTED_VALUE"""),"giữ nguyên")</f>
        <v>giữ nguyên</v>
      </c>
      <c r="O542" s="708"/>
      <c r="P542" s="708"/>
      <c r="Q542" s="708"/>
      <c r="R542" s="708"/>
      <c r="S542" s="708"/>
      <c r="T542" s="708"/>
      <c r="U542" s="708"/>
      <c r="V542" s="708"/>
      <c r="W542" s="708"/>
      <c r="X542" s="708"/>
      <c r="Y542" s="708"/>
      <c r="Z542" s="708"/>
      <c r="AA542" s="708"/>
      <c r="AB542" s="708"/>
      <c r="AC542" s="708"/>
      <c r="AD542" s="708"/>
      <c r="AE542" s="708"/>
    </row>
    <row r="543">
      <c r="A543" s="727">
        <f>IFERROR(__xludf.DUMMYFUNCTION("""COMPUTED_VALUE"""),491.0)</f>
        <v>491</v>
      </c>
      <c r="B543" s="728" t="str">
        <f>IFERROR(__xludf.DUMMYFUNCTION("""COMPUTED_VALUE"""),"SDC_SAL")</f>
        <v>SDC_SAL</v>
      </c>
      <c r="C543" s="728" t="str">
        <f>IFERROR(__xludf.DUMMYFUNCTION("""COMPUTED_VALUE"""),"SDC_SAL")</f>
        <v>SDC_SAL</v>
      </c>
      <c r="D543" s="728" t="str">
        <f>IFERROR(__xludf.DUMMYFUNCTION("""COMPUTED_VALUE"""),"Trưởng nhóm kiến trúc sư")</f>
        <v>Trưởng nhóm kiến trúc sư</v>
      </c>
      <c r="E543" s="728" t="str">
        <f>IFERROR(__xludf.DUMMYFUNCTION("""COMPUTED_VALUE"""),"SAL")</f>
        <v>SAL</v>
      </c>
      <c r="F543" s="745">
        <f>IFERROR(__xludf.DUMMYFUNCTION("""COMPUTED_VALUE"""),1.0)</f>
        <v>1</v>
      </c>
      <c r="G543" s="728" t="str">
        <f>IFERROR(__xludf.DUMMYFUNCTION("""COMPUTED_VALUE"""),"KSX")</f>
        <v>KSX</v>
      </c>
      <c r="H543" s="728" t="str">
        <f>IFERROR(__xludf.DUMMYFUNCTION("""COMPUTED_VALUE"""),"Trưởng nhóm")</f>
        <v>Trưởng nhóm</v>
      </c>
      <c r="I543" s="728" t="str">
        <f>IFERROR(__xludf.DUMMYFUNCTION("""COMPUTED_VALUE"""),"L1.00.00.00.00.00.07")</f>
        <v>L1.00.00.00.00.00.07</v>
      </c>
      <c r="J543" s="728" t="str">
        <f>IFERROR(__xludf.DUMMYFUNCTION("""COMPUTED_VALUE"""),"Khối sản xuất")</f>
        <v>Khối sản xuất</v>
      </c>
      <c r="K543" s="729"/>
      <c r="L543" s="728" t="str">
        <f>IFERROR(__xludf.DUMMYFUNCTION("""COMPUTED_VALUE"""),"Đang theo dõi")</f>
        <v>Đang theo dõi</v>
      </c>
      <c r="M543" s="729"/>
      <c r="N543" s="728" t="str">
        <f>IFERROR(__xludf.DUMMYFUNCTION("""COMPUTED_VALUE"""),"giữ nguyên")</f>
        <v>giữ nguyên</v>
      </c>
      <c r="O543" s="708"/>
      <c r="P543" s="708"/>
      <c r="Q543" s="708"/>
      <c r="R543" s="708"/>
      <c r="S543" s="708"/>
      <c r="T543" s="708"/>
      <c r="U543" s="708"/>
      <c r="V543" s="708"/>
      <c r="W543" s="708"/>
      <c r="X543" s="708"/>
      <c r="Y543" s="708"/>
      <c r="Z543" s="708"/>
      <c r="AA543" s="708"/>
      <c r="AB543" s="708"/>
      <c r="AC543" s="708"/>
      <c r="AD543" s="708"/>
      <c r="AE543" s="708"/>
    </row>
    <row r="544">
      <c r="A544" s="727">
        <f>IFERROR(__xludf.DUMMYFUNCTION("""COMPUTED_VALUE"""),492.0)</f>
        <v>492</v>
      </c>
      <c r="B544" s="728" t="str">
        <f>IFERROR(__xludf.DUMMYFUNCTION("""COMPUTED_VALUE"""),"SDC_ST_INTERN")</f>
        <v>SDC_ST_INTERN</v>
      </c>
      <c r="C544" s="728" t="str">
        <f>IFERROR(__xludf.DUMMYFUNCTION("""COMPUTED_VALUE"""),"SDC_ST_INTERN")</f>
        <v>SDC_ST_INTERN</v>
      </c>
      <c r="D544" s="728" t="str">
        <f>IFERROR(__xludf.DUMMYFUNCTION("""COMPUTED_VALUE"""),"TTS kiểm thử phần mềm")</f>
        <v>TTS kiểm thử phần mềm</v>
      </c>
      <c r="E544" s="728" t="str">
        <f>IFERROR(__xludf.DUMMYFUNCTION("""COMPUTED_VALUE"""),"TTS")</f>
        <v>TTS</v>
      </c>
      <c r="F544" s="745"/>
      <c r="G544" s="728" t="str">
        <f>IFERROR(__xludf.DUMMYFUNCTION("""COMPUTED_VALUE"""),"KSX")</f>
        <v>KSX</v>
      </c>
      <c r="H544" s="728"/>
      <c r="I544" s="728" t="str">
        <f>IFERROR(__xludf.DUMMYFUNCTION("""COMPUTED_VALUE"""),"L1.00.00.00.00.00.07")</f>
        <v>L1.00.00.00.00.00.07</v>
      </c>
      <c r="J544" s="728" t="str">
        <f>IFERROR(__xludf.DUMMYFUNCTION("""COMPUTED_VALUE"""),"Khối sản xuất")</f>
        <v>Khối sản xuất</v>
      </c>
      <c r="K544" s="729"/>
      <c r="L544" s="728" t="str">
        <f>IFERROR(__xludf.DUMMYFUNCTION("""COMPUTED_VALUE"""),"Đang theo dõi")</f>
        <v>Đang theo dõi</v>
      </c>
      <c r="M544" s="729"/>
      <c r="N544" s="728" t="str">
        <f>IFERROR(__xludf.DUMMYFUNCTION("""COMPUTED_VALUE"""),"giữ nguyên")</f>
        <v>giữ nguyên</v>
      </c>
      <c r="O544" s="708"/>
      <c r="P544" s="708"/>
      <c r="Q544" s="708"/>
      <c r="R544" s="708"/>
      <c r="S544" s="708"/>
      <c r="T544" s="708"/>
      <c r="U544" s="708"/>
      <c r="V544" s="708"/>
      <c r="W544" s="708"/>
      <c r="X544" s="708"/>
      <c r="Y544" s="708"/>
      <c r="Z544" s="708"/>
      <c r="AA544" s="708"/>
      <c r="AB544" s="708"/>
      <c r="AC544" s="708"/>
      <c r="AD544" s="708"/>
      <c r="AE544" s="708"/>
    </row>
    <row r="545">
      <c r="A545" s="752">
        <f>IFERROR(__xludf.DUMMYFUNCTION("""COMPUTED_VALUE"""),493.0)</f>
        <v>493</v>
      </c>
      <c r="B545" s="753" t="str">
        <f>IFERROR(__xludf.DUMMYFUNCTION("""COMPUTED_VALUE"""),"SDC_SWE_ADR")</f>
        <v>SDC_SWE_ADR</v>
      </c>
      <c r="C545" s="753" t="str">
        <f>IFERROR(__xludf.DUMMYFUNCTION("""COMPUTED_VALUE"""),"SDC_SWE_ADR")</f>
        <v>SDC_SWE_ADR</v>
      </c>
      <c r="D545" s="753" t="str">
        <f>IFERROR(__xludf.DUMMYFUNCTION("""COMPUTED_VALUE"""),"Lập trình viên")</f>
        <v>Lập trình viên</v>
      </c>
      <c r="E545" s="753" t="str">
        <f>IFERROR(__xludf.DUMMYFUNCTION("""COMPUTED_VALUE"""),"SWE")</f>
        <v>SWE</v>
      </c>
      <c r="F545" s="753"/>
      <c r="G545" s="753" t="str">
        <f>IFERROR(__xludf.DUMMYFUNCTION("""COMPUTED_VALUE"""),"KSX")</f>
        <v>KSX</v>
      </c>
      <c r="H545" s="753" t="str">
        <f>IFERROR(__xludf.DUMMYFUNCTION("""COMPUTED_VALUE"""),"Nhân viên/ Chuyên viên/ Chuyên gia")</f>
        <v>Nhân viên/ Chuyên viên/ Chuyên gia</v>
      </c>
      <c r="I545" s="753" t="str">
        <f>IFERROR(__xludf.DUMMYFUNCTION("""COMPUTED_VALUE"""),"L1.00.00.00.00.00.07")</f>
        <v>L1.00.00.00.00.00.07</v>
      </c>
      <c r="J545" s="753" t="str">
        <f>IFERROR(__xludf.DUMMYFUNCTION("""COMPUTED_VALUE"""),"Khối sản xuất")</f>
        <v>Khối sản xuất</v>
      </c>
      <c r="K545" s="753"/>
      <c r="L545" s="753" t="str">
        <f>IFERROR(__xludf.DUMMYFUNCTION("""COMPUTED_VALUE"""),"Đang theo dõi")</f>
        <v>Đang theo dõi</v>
      </c>
      <c r="M545" s="753"/>
      <c r="N545" s="729" t="str">
        <f>IFERROR(__xludf.DUMMYFUNCTION("""COMPUTED_VALUE"""),"giữ nguyên")</f>
        <v>giữ nguyên</v>
      </c>
      <c r="O545" s="730"/>
      <c r="P545" s="730"/>
      <c r="Q545" s="730"/>
      <c r="R545" s="730"/>
      <c r="S545" s="730"/>
      <c r="T545" s="730"/>
      <c r="U545" s="730"/>
      <c r="V545" s="730"/>
      <c r="W545" s="730"/>
      <c r="X545" s="730"/>
      <c r="Y545" s="730"/>
      <c r="Z545" s="730"/>
      <c r="AA545" s="730"/>
      <c r="AB545" s="708"/>
      <c r="AC545" s="708"/>
      <c r="AD545" s="708"/>
      <c r="AE545" s="708"/>
    </row>
    <row r="546">
      <c r="A546" s="727">
        <f>IFERROR(__xludf.DUMMYFUNCTION("""COMPUTED_VALUE"""),494.0)</f>
        <v>494</v>
      </c>
      <c r="B546" s="728" t="str">
        <f>IFERROR(__xludf.DUMMYFUNCTION("""COMPUTED_VALUE"""),"SDC_SWE_DES")</f>
        <v>SDC_SWE_DES</v>
      </c>
      <c r="C546" s="728" t="str">
        <f>IFERROR(__xludf.DUMMYFUNCTION("""COMPUTED_VALUE"""),"SDC_SWE_DES")</f>
        <v>SDC_SWE_DES</v>
      </c>
      <c r="D546" s="728" t="str">
        <f>IFERROR(__xludf.DUMMYFUNCTION("""COMPUTED_VALUE"""),"Lập trình viên")</f>
        <v>Lập trình viên</v>
      </c>
      <c r="E546" s="728" t="str">
        <f>IFERROR(__xludf.DUMMYFUNCTION("""COMPUTED_VALUE"""),"SWE")</f>
        <v>SWE</v>
      </c>
      <c r="F546" s="729"/>
      <c r="G546" s="728" t="str">
        <f>IFERROR(__xludf.DUMMYFUNCTION("""COMPUTED_VALUE"""),"KSX")</f>
        <v>KSX</v>
      </c>
      <c r="H546" s="728" t="str">
        <f>IFERROR(__xludf.DUMMYFUNCTION("""COMPUTED_VALUE"""),"Nhân viên/ Chuyên viên/ Chuyên gia")</f>
        <v>Nhân viên/ Chuyên viên/ Chuyên gia</v>
      </c>
      <c r="I546" s="728" t="str">
        <f>IFERROR(__xludf.DUMMYFUNCTION("""COMPUTED_VALUE"""),"L1.00.00.00.00.00.07")</f>
        <v>L1.00.00.00.00.00.07</v>
      </c>
      <c r="J546" s="728" t="str">
        <f>IFERROR(__xludf.DUMMYFUNCTION("""COMPUTED_VALUE"""),"Khối sản xuất")</f>
        <v>Khối sản xuất</v>
      </c>
      <c r="K546" s="729"/>
      <c r="L546" s="728" t="str">
        <f>IFERROR(__xludf.DUMMYFUNCTION("""COMPUTED_VALUE"""),"Đang theo dõi")</f>
        <v>Đang theo dõi</v>
      </c>
      <c r="M546" s="729"/>
      <c r="N546" s="728" t="str">
        <f>IFERROR(__xludf.DUMMYFUNCTION("""COMPUTED_VALUE"""),"giữ nguyên")</f>
        <v>giữ nguyên</v>
      </c>
      <c r="O546" s="708"/>
      <c r="P546" s="708"/>
      <c r="Q546" s="708"/>
      <c r="R546" s="708"/>
      <c r="S546" s="708"/>
      <c r="T546" s="708"/>
      <c r="U546" s="708"/>
      <c r="V546" s="708"/>
      <c r="W546" s="708"/>
      <c r="X546" s="708"/>
      <c r="Y546" s="708"/>
      <c r="Z546" s="708"/>
      <c r="AA546" s="708"/>
      <c r="AB546" s="708"/>
      <c r="AC546" s="708"/>
      <c r="AD546" s="708"/>
      <c r="AE546" s="708"/>
    </row>
    <row r="547">
      <c r="A547" s="727">
        <f>IFERROR(__xludf.DUMMYFUNCTION("""COMPUTED_VALUE"""),495.0)</f>
        <v>495</v>
      </c>
      <c r="B547" s="728" t="str">
        <f>IFERROR(__xludf.DUMMYFUNCTION("""COMPUTED_VALUE"""),"SDC_SWE_FLU")</f>
        <v>SDC_SWE_FLU</v>
      </c>
      <c r="C547" s="728" t="str">
        <f>IFERROR(__xludf.DUMMYFUNCTION("""COMPUTED_VALUE"""),"SDC_SWE_FLU")</f>
        <v>SDC_SWE_FLU</v>
      </c>
      <c r="D547" s="728" t="str">
        <f>IFERROR(__xludf.DUMMYFUNCTION("""COMPUTED_VALUE"""),"Lập trình viên")</f>
        <v>Lập trình viên</v>
      </c>
      <c r="E547" s="728" t="str">
        <f>IFERROR(__xludf.DUMMYFUNCTION("""COMPUTED_VALUE"""),"SWE")</f>
        <v>SWE</v>
      </c>
      <c r="F547" s="729"/>
      <c r="G547" s="728" t="str">
        <f>IFERROR(__xludf.DUMMYFUNCTION("""COMPUTED_VALUE"""),"KSX")</f>
        <v>KSX</v>
      </c>
      <c r="H547" s="728" t="str">
        <f>IFERROR(__xludf.DUMMYFUNCTION("""COMPUTED_VALUE"""),"Nhân viên/ Chuyên viên/ Chuyên gia")</f>
        <v>Nhân viên/ Chuyên viên/ Chuyên gia</v>
      </c>
      <c r="I547" s="728" t="str">
        <f>IFERROR(__xludf.DUMMYFUNCTION("""COMPUTED_VALUE"""),"L1.00.00.00.00.00.07")</f>
        <v>L1.00.00.00.00.00.07</v>
      </c>
      <c r="J547" s="728" t="str">
        <f>IFERROR(__xludf.DUMMYFUNCTION("""COMPUTED_VALUE"""),"Khối sản xuất")</f>
        <v>Khối sản xuất</v>
      </c>
      <c r="K547" s="729"/>
      <c r="L547" s="728" t="str">
        <f>IFERROR(__xludf.DUMMYFUNCTION("""COMPUTED_VALUE"""),"Đang theo dõi")</f>
        <v>Đang theo dõi</v>
      </c>
      <c r="M547" s="729"/>
      <c r="N547" s="728" t="str">
        <f>IFERROR(__xludf.DUMMYFUNCTION("""COMPUTED_VALUE"""),"giữ nguyên")</f>
        <v>giữ nguyên</v>
      </c>
      <c r="O547" s="708"/>
      <c r="P547" s="708"/>
      <c r="Q547" s="708"/>
      <c r="R547" s="708"/>
      <c r="S547" s="708"/>
      <c r="T547" s="708"/>
      <c r="U547" s="708"/>
      <c r="V547" s="708"/>
      <c r="W547" s="708"/>
      <c r="X547" s="708"/>
      <c r="Y547" s="708"/>
      <c r="Z547" s="708"/>
      <c r="AA547" s="708"/>
      <c r="AB547" s="708"/>
      <c r="AC547" s="708"/>
      <c r="AD547" s="708"/>
      <c r="AE547" s="708"/>
    </row>
    <row r="548">
      <c r="A548" s="727">
        <f>IFERROR(__xludf.DUMMYFUNCTION("""COMPUTED_VALUE"""),496.0)</f>
        <v>496</v>
      </c>
      <c r="B548" s="733" t="str">
        <f>IFERROR(__xludf.DUMMYFUNCTION("""COMPUTED_VALUE"""),"SDC_SWE_IOS")</f>
        <v>SDC_SWE_IOS</v>
      </c>
      <c r="C548" s="734" t="str">
        <f>IFERROR(__xludf.DUMMYFUNCTION("""COMPUTED_VALUE"""),"SDC_SWE_IOS")</f>
        <v>SDC_SWE_IOS</v>
      </c>
      <c r="D548" s="734" t="str">
        <f>IFERROR(__xludf.DUMMYFUNCTION("""COMPUTED_VALUE"""),"Lập trình viên")</f>
        <v>Lập trình viên</v>
      </c>
      <c r="E548" s="734" t="str">
        <f>IFERROR(__xludf.DUMMYFUNCTION("""COMPUTED_VALUE"""),"SWE")</f>
        <v>SWE</v>
      </c>
      <c r="F548" s="733"/>
      <c r="G548" s="728" t="str">
        <f>IFERROR(__xludf.DUMMYFUNCTION("""COMPUTED_VALUE"""),"KSX")</f>
        <v>KSX</v>
      </c>
      <c r="H548" s="728" t="str">
        <f>IFERROR(__xludf.DUMMYFUNCTION("""COMPUTED_VALUE"""),"Nhân viên/ Chuyên viên/ Chuyên gia")</f>
        <v>Nhân viên/ Chuyên viên/ Chuyên gia</v>
      </c>
      <c r="I548" s="728" t="str">
        <f>IFERROR(__xludf.DUMMYFUNCTION("""COMPUTED_VALUE"""),"L1.00.00.00.00.00.07")</f>
        <v>L1.00.00.00.00.00.07</v>
      </c>
      <c r="J548" s="728" t="str">
        <f>IFERROR(__xludf.DUMMYFUNCTION("""COMPUTED_VALUE"""),"Khối sản xuất")</f>
        <v>Khối sản xuất</v>
      </c>
      <c r="K548" s="733"/>
      <c r="L548" s="734" t="str">
        <f>IFERROR(__xludf.DUMMYFUNCTION("""COMPUTED_VALUE"""),"Đang theo dõi")</f>
        <v>Đang theo dõi</v>
      </c>
      <c r="M548" s="733"/>
      <c r="N548" s="728" t="str">
        <f>IFERROR(__xludf.DUMMYFUNCTION("""COMPUTED_VALUE"""),"giữ nguyên")</f>
        <v>giữ nguyên</v>
      </c>
      <c r="O548" s="708"/>
      <c r="P548" s="708"/>
      <c r="Q548" s="708"/>
      <c r="R548" s="708"/>
      <c r="S548" s="708"/>
      <c r="T548" s="708"/>
      <c r="U548" s="708"/>
      <c r="V548" s="708"/>
      <c r="W548" s="708"/>
      <c r="X548" s="708"/>
      <c r="Y548" s="708"/>
      <c r="Z548" s="708"/>
      <c r="AA548" s="708"/>
      <c r="AB548" s="730"/>
      <c r="AC548" s="730"/>
      <c r="AD548" s="730"/>
      <c r="AE548" s="730"/>
    </row>
    <row r="549">
      <c r="A549" s="727">
        <f>IFERROR(__xludf.DUMMYFUNCTION("""COMPUTED_VALUE"""),497.0)</f>
        <v>497</v>
      </c>
      <c r="B549" s="733" t="str">
        <f>IFERROR(__xludf.DUMMYFUNCTION("""COMPUTED_VALUE"""),"SDC_SWE_WEB")</f>
        <v>SDC_SWE_WEB</v>
      </c>
      <c r="C549" s="734" t="str">
        <f>IFERROR(__xludf.DUMMYFUNCTION("""COMPUTED_VALUE"""),"SDC_SWE_WEB")</f>
        <v>SDC_SWE_WEB</v>
      </c>
      <c r="D549" s="734" t="str">
        <f>IFERROR(__xludf.DUMMYFUNCTION("""COMPUTED_VALUE"""),"Lập trình viên")</f>
        <v>Lập trình viên</v>
      </c>
      <c r="E549" s="734" t="str">
        <f>IFERROR(__xludf.DUMMYFUNCTION("""COMPUTED_VALUE"""),"SWE")</f>
        <v>SWE</v>
      </c>
      <c r="F549" s="733"/>
      <c r="G549" s="728" t="str">
        <f>IFERROR(__xludf.DUMMYFUNCTION("""COMPUTED_VALUE"""),"KSX")</f>
        <v>KSX</v>
      </c>
      <c r="H549" s="728" t="str">
        <f>IFERROR(__xludf.DUMMYFUNCTION("""COMPUTED_VALUE"""),"Nhân viên/ Chuyên viên/ Chuyên gia")</f>
        <v>Nhân viên/ Chuyên viên/ Chuyên gia</v>
      </c>
      <c r="I549" s="728" t="str">
        <f>IFERROR(__xludf.DUMMYFUNCTION("""COMPUTED_VALUE"""),"L1.00.00.00.00.00.07")</f>
        <v>L1.00.00.00.00.00.07</v>
      </c>
      <c r="J549" s="728" t="str">
        <f>IFERROR(__xludf.DUMMYFUNCTION("""COMPUTED_VALUE"""),"Khối sản xuất")</f>
        <v>Khối sản xuất</v>
      </c>
      <c r="K549" s="733"/>
      <c r="L549" s="734" t="str">
        <f>IFERROR(__xludf.DUMMYFUNCTION("""COMPUTED_VALUE"""),"Đang theo dõi")</f>
        <v>Đang theo dõi</v>
      </c>
      <c r="M549" s="733"/>
      <c r="N549" s="728" t="str">
        <f>IFERROR(__xludf.DUMMYFUNCTION("""COMPUTED_VALUE"""),"giữ nguyên")</f>
        <v>giữ nguyên</v>
      </c>
      <c r="O549" s="708"/>
      <c r="P549" s="708"/>
      <c r="Q549" s="708"/>
      <c r="R549" s="708"/>
      <c r="S549" s="708"/>
      <c r="T549" s="708"/>
      <c r="U549" s="708"/>
      <c r="V549" s="708"/>
      <c r="W549" s="708"/>
      <c r="X549" s="708"/>
      <c r="Y549" s="708"/>
      <c r="Z549" s="708"/>
      <c r="AA549" s="708"/>
      <c r="AB549" s="708"/>
      <c r="AC549" s="708"/>
      <c r="AD549" s="708"/>
      <c r="AE549" s="708"/>
    </row>
    <row r="550">
      <c r="A550" s="742">
        <f>IFERROR(__xludf.DUMMYFUNCTION("""COMPUTED_VALUE"""),498.0)</f>
        <v>498</v>
      </c>
      <c r="B550" s="740" t="str">
        <f>IFERROR(__xludf.DUMMYFUNCTION("""COMPUTED_VALUE"""),"SDC_SWEL")</f>
        <v>SDC_SWEL</v>
      </c>
      <c r="C550" s="740" t="str">
        <f>IFERROR(__xludf.DUMMYFUNCTION("""COMPUTED_VALUE"""),"SDC_SWEL")</f>
        <v>SDC_SWEL</v>
      </c>
      <c r="D550" s="731" t="str">
        <f>IFERROR(__xludf.DUMMYFUNCTION("""COMPUTED_VALUE"""),"Trưởng nhóm lập trình")</f>
        <v>Trưởng nhóm lập trình</v>
      </c>
      <c r="E550" s="731" t="str">
        <f>IFERROR(__xludf.DUMMYFUNCTION("""COMPUTED_VALUE"""),"SWEL")</f>
        <v>SWEL</v>
      </c>
      <c r="F550" s="731">
        <f>IFERROR(__xludf.DUMMYFUNCTION("""COMPUTED_VALUE"""),1.0)</f>
        <v>1</v>
      </c>
      <c r="G550" s="728" t="str">
        <f>IFERROR(__xludf.DUMMYFUNCTION("""COMPUTED_VALUE"""),"KSX")</f>
        <v>KSX</v>
      </c>
      <c r="H550" s="731" t="str">
        <f>IFERROR(__xludf.DUMMYFUNCTION("""COMPUTED_VALUE"""),"Trưởng nhóm")</f>
        <v>Trưởng nhóm</v>
      </c>
      <c r="I550" s="731" t="str">
        <f>IFERROR(__xludf.DUMMYFUNCTION("""COMPUTED_VALUE"""),"L1.00.00.00.00.00.07")</f>
        <v>L1.00.00.00.00.00.07</v>
      </c>
      <c r="J550" s="731" t="str">
        <f>IFERROR(__xludf.DUMMYFUNCTION("""COMPUTED_VALUE"""),"Khối sản xuất")</f>
        <v>Khối sản xuất</v>
      </c>
      <c r="K550" s="731"/>
      <c r="L550" s="731" t="str">
        <f>IFERROR(__xludf.DUMMYFUNCTION("""COMPUTED_VALUE"""),"Đang theo dõi")</f>
        <v>Đang theo dõi</v>
      </c>
      <c r="M550" s="729"/>
      <c r="N550" s="728" t="str">
        <f>IFERROR(__xludf.DUMMYFUNCTION("""COMPUTED_VALUE"""),"giữ nguyên")</f>
        <v>giữ nguyên</v>
      </c>
      <c r="O550" s="708"/>
      <c r="P550" s="708"/>
      <c r="Q550" s="708"/>
      <c r="R550" s="708"/>
      <c r="S550" s="708"/>
      <c r="T550" s="708"/>
      <c r="U550" s="708"/>
      <c r="V550" s="708"/>
      <c r="W550" s="708"/>
      <c r="X550" s="708"/>
      <c r="Y550" s="708"/>
      <c r="Z550" s="708"/>
      <c r="AA550" s="708"/>
      <c r="AB550" s="708"/>
      <c r="AC550" s="708"/>
      <c r="AD550" s="708"/>
      <c r="AE550" s="708"/>
    </row>
    <row r="551">
      <c r="A551" s="727">
        <f>IFERROR(__xludf.DUMMYFUNCTION("""COMPUTED_VALUE"""),499.0)</f>
        <v>499</v>
      </c>
      <c r="B551" s="728" t="str">
        <f>IFERROR(__xludf.DUMMYFUNCTION("""COMPUTED_VALUE"""),"SDC_SysOps")</f>
        <v>SDC_SysOps</v>
      </c>
      <c r="C551" s="728" t="str">
        <f>IFERROR(__xludf.DUMMYFUNCTION("""COMPUTED_VALUE"""),"SDC_SysOps")</f>
        <v>SDC_SysOps</v>
      </c>
      <c r="D551" s="728" t="str">
        <f>IFERROR(__xludf.DUMMYFUNCTION("""COMPUTED_VALUE"""),"SysOps")</f>
        <v>SysOps</v>
      </c>
      <c r="E551" s="728"/>
      <c r="F551" s="729"/>
      <c r="G551" s="728" t="str">
        <f>IFERROR(__xludf.DUMMYFUNCTION("""COMPUTED_VALUE"""),"KSX")</f>
        <v>KSX</v>
      </c>
      <c r="H551" s="728" t="str">
        <f>IFERROR(__xludf.DUMMYFUNCTION("""COMPUTED_VALUE"""),"Nhân viên/ Chuyên viên/ Chuyên gia")</f>
        <v>Nhân viên/ Chuyên viên/ Chuyên gia</v>
      </c>
      <c r="I551" s="728" t="str">
        <f>IFERROR(__xludf.DUMMYFUNCTION("""COMPUTED_VALUE"""),"L1.00.00.00.00.00.07")</f>
        <v>L1.00.00.00.00.00.07</v>
      </c>
      <c r="J551" s="728" t="str">
        <f>IFERROR(__xludf.DUMMYFUNCTION("""COMPUTED_VALUE"""),"Khối sản xuất")</f>
        <v>Khối sản xuất</v>
      </c>
      <c r="K551" s="728"/>
      <c r="L551" s="728" t="str">
        <f>IFERROR(__xludf.DUMMYFUNCTION("""COMPUTED_VALUE"""),"Đang theo dõi")</f>
        <v>Đang theo dõi</v>
      </c>
      <c r="M551" s="729"/>
      <c r="N551" s="728" t="str">
        <f>IFERROR(__xludf.DUMMYFUNCTION("""COMPUTED_VALUE"""),"giữ nguyên")</f>
        <v>giữ nguyên</v>
      </c>
      <c r="O551" s="708"/>
      <c r="P551" s="708"/>
      <c r="Q551" s="708"/>
      <c r="R551" s="708"/>
      <c r="S551" s="708"/>
      <c r="T551" s="708"/>
      <c r="U551" s="708"/>
      <c r="V551" s="708"/>
      <c r="W551" s="708"/>
      <c r="X551" s="708"/>
      <c r="Y551" s="708"/>
      <c r="Z551" s="708"/>
      <c r="AA551" s="708"/>
      <c r="AB551" s="708"/>
      <c r="AC551" s="708"/>
      <c r="AD551" s="708"/>
      <c r="AE551" s="708"/>
    </row>
    <row r="552">
      <c r="A552" s="742">
        <f>IFERROR(__xludf.DUMMYFUNCTION("""COMPUTED_VALUE"""),500.0)</f>
        <v>500</v>
      </c>
      <c r="B552" s="731" t="str">
        <f>IFERROR(__xludf.DUMMYFUNCTION("""COMPUTED_VALUE"""),"SDC_TSP")</f>
        <v>SDC_TSP</v>
      </c>
      <c r="C552" s="731" t="str">
        <f>IFERROR(__xludf.DUMMYFUNCTION("""COMPUTED_VALUE"""),"SDC_TSP")</f>
        <v>SDC_TSP</v>
      </c>
      <c r="D552" s="731" t="str">
        <f>IFERROR(__xludf.DUMMYFUNCTION("""COMPUTED_VALUE"""),"NV Hỗ trợ kỹ thuật")</f>
        <v>NV Hỗ trợ kỹ thuật</v>
      </c>
      <c r="E552" s="731" t="str">
        <f>IFERROR(__xludf.DUMMYFUNCTION("""COMPUTED_VALUE"""),"HTKT")</f>
        <v>HTKT</v>
      </c>
      <c r="F552" s="731"/>
      <c r="G552" s="728" t="str">
        <f>IFERROR(__xludf.DUMMYFUNCTION("""COMPUTED_VALUE"""),"KSX")</f>
        <v>KSX</v>
      </c>
      <c r="H552" s="731" t="str">
        <f>IFERROR(__xludf.DUMMYFUNCTION("""COMPUTED_VALUE"""),"Nhân viên/ Chuyên viên/ Chuyên gia")</f>
        <v>Nhân viên/ Chuyên viên/ Chuyên gia</v>
      </c>
      <c r="I552" s="731" t="str">
        <f>IFERROR(__xludf.DUMMYFUNCTION("""COMPUTED_VALUE"""),"L1.00.00.00.00.00.07")</f>
        <v>L1.00.00.00.00.00.07</v>
      </c>
      <c r="J552" s="731" t="str">
        <f>IFERROR(__xludf.DUMMYFUNCTION("""COMPUTED_VALUE"""),"Khối sản xuất")</f>
        <v>Khối sản xuất</v>
      </c>
      <c r="K552" s="731"/>
      <c r="L552" s="731" t="str">
        <f>IFERROR(__xludf.DUMMYFUNCTION("""COMPUTED_VALUE"""),"Đang theo dõi")</f>
        <v>Đang theo dõi</v>
      </c>
      <c r="M552" s="729"/>
      <c r="N552" s="728" t="str">
        <f>IFERROR(__xludf.DUMMYFUNCTION("""COMPUTED_VALUE"""),"giữ nguyên")</f>
        <v>giữ nguyên</v>
      </c>
      <c r="O552" s="708"/>
      <c r="P552" s="708"/>
      <c r="Q552" s="708"/>
      <c r="R552" s="708"/>
      <c r="S552" s="708"/>
      <c r="T552" s="708"/>
      <c r="U552" s="708"/>
      <c r="V552" s="708"/>
      <c r="W552" s="708"/>
      <c r="X552" s="708"/>
      <c r="Y552" s="708"/>
      <c r="Z552" s="708"/>
      <c r="AA552" s="708"/>
      <c r="AB552" s="708"/>
      <c r="AC552" s="708"/>
      <c r="AD552" s="708"/>
      <c r="AE552" s="708"/>
    </row>
    <row r="553">
      <c r="A553" s="752">
        <f>IFERROR(__xludf.DUMMYFUNCTION("""COMPUTED_VALUE"""),501.0)</f>
        <v>501</v>
      </c>
      <c r="B553" s="753" t="str">
        <f>IFERROR(__xludf.DUMMYFUNCTION("""COMPUTED_VALUE"""),"SDC_TSP_LEAD")</f>
        <v>SDC_TSP_LEAD</v>
      </c>
      <c r="C553" s="753" t="str">
        <f>IFERROR(__xludf.DUMMYFUNCTION("""COMPUTED_VALUE"""),"SDC_TSP_LEAD")</f>
        <v>SDC_TSP_LEAD</v>
      </c>
      <c r="D553" s="753" t="str">
        <f>IFERROR(__xludf.DUMMYFUNCTION("""COMPUTED_VALUE"""),"Trưởng nhóm Hỗ trợ kỹ thuật")</f>
        <v>Trưởng nhóm Hỗ trợ kỹ thuật</v>
      </c>
      <c r="E553" s="753" t="str">
        <f>IFERROR(__xludf.DUMMYFUNCTION("""COMPUTED_VALUE"""),"HTKT")</f>
        <v>HTKT</v>
      </c>
      <c r="F553" s="753">
        <f>IFERROR(__xludf.DUMMYFUNCTION("""COMPUTED_VALUE"""),1.0)</f>
        <v>1</v>
      </c>
      <c r="G553" s="753" t="str">
        <f>IFERROR(__xludf.DUMMYFUNCTION("""COMPUTED_VALUE"""),"KSX")</f>
        <v>KSX</v>
      </c>
      <c r="H553" s="753" t="str">
        <f>IFERROR(__xludf.DUMMYFUNCTION("""COMPUTED_VALUE"""),"Nhân viên/ Chuyên viên/ Chuyên gia")</f>
        <v>Nhân viên/ Chuyên viên/ Chuyên gia</v>
      </c>
      <c r="I553" s="753" t="str">
        <f>IFERROR(__xludf.DUMMYFUNCTION("""COMPUTED_VALUE"""),"L1.00.00.00.00.00.07")</f>
        <v>L1.00.00.00.00.00.07</v>
      </c>
      <c r="J553" s="753" t="str">
        <f>IFERROR(__xludf.DUMMYFUNCTION("""COMPUTED_VALUE"""),"Khối sản xuất")</f>
        <v>Khối sản xuất</v>
      </c>
      <c r="K553" s="753"/>
      <c r="L553" s="753" t="str">
        <f>IFERROR(__xludf.DUMMYFUNCTION("""COMPUTED_VALUE"""),"Đang theo dõi")</f>
        <v>Đang theo dõi</v>
      </c>
      <c r="M553" s="753"/>
      <c r="N553" s="729" t="str">
        <f>IFERROR(__xludf.DUMMYFUNCTION("""COMPUTED_VALUE"""),"giữ nguyên")</f>
        <v>giữ nguyên</v>
      </c>
      <c r="O553" s="730"/>
      <c r="P553" s="730"/>
      <c r="Q553" s="730"/>
      <c r="R553" s="730"/>
      <c r="S553" s="730"/>
      <c r="T553" s="730"/>
      <c r="U553" s="730"/>
      <c r="V553" s="730"/>
      <c r="W553" s="730"/>
      <c r="X553" s="730"/>
      <c r="Y553" s="730"/>
      <c r="Z553" s="730"/>
      <c r="AA553" s="730"/>
      <c r="AB553" s="708"/>
      <c r="AC553" s="708"/>
      <c r="AD553" s="708"/>
      <c r="AE553" s="708"/>
    </row>
    <row r="554">
      <c r="A554" s="727">
        <f>IFERROR(__xludf.DUMMYFUNCTION("""COMPUTED_VALUE"""),502.0)</f>
        <v>502</v>
      </c>
      <c r="B554" s="728" t="str">
        <f>IFERROR(__xludf.DUMMYFUNCTION("""COMPUTED_VALUE"""),"SDC_TSP_MGR")</f>
        <v>SDC_TSP_MGR</v>
      </c>
      <c r="C554" s="728" t="str">
        <f>IFERROR(__xludf.DUMMYFUNCTION("""COMPUTED_VALUE"""),"SDC_TSP_MGR")</f>
        <v>SDC_TSP_MGR</v>
      </c>
      <c r="D554" s="728" t="str">
        <f>IFERROR(__xludf.DUMMYFUNCTION("""COMPUTED_VALUE"""),"Trưởng phòng Hỗ trợ kỹ thuật")</f>
        <v>Trưởng phòng Hỗ trợ kỹ thuật</v>
      </c>
      <c r="E554" s="729" t="str">
        <f>IFERROR(__xludf.DUMMYFUNCTION("""COMPUTED_VALUE"""),"HTKT_COD")</f>
        <v>HTKT_COD</v>
      </c>
      <c r="F554" s="729">
        <f>IFERROR(__xludf.DUMMYFUNCTION("""COMPUTED_VALUE"""),2.0)</f>
        <v>2</v>
      </c>
      <c r="G554" s="729" t="str">
        <f>IFERROR(__xludf.DUMMYFUNCTION("""COMPUTED_VALUE"""),"KSX")</f>
        <v>KSX</v>
      </c>
      <c r="H554" s="729" t="str">
        <f>IFERROR(__xludf.DUMMYFUNCTION("""COMPUTED_VALUE"""),"TPP/ Trưởng ban")</f>
        <v>TPP/ Trưởng ban</v>
      </c>
      <c r="I554" s="728" t="str">
        <f>IFERROR(__xludf.DUMMYFUNCTION("""COMPUTED_VALUE"""),"L1.00.00.00.00.00.07")</f>
        <v>L1.00.00.00.00.00.07</v>
      </c>
      <c r="J554" s="728" t="str">
        <f>IFERROR(__xludf.DUMMYFUNCTION("""COMPUTED_VALUE"""),"Khối sản xuất")</f>
        <v>Khối sản xuất</v>
      </c>
      <c r="K554" s="729"/>
      <c r="L554" s="728" t="str">
        <f>IFERROR(__xludf.DUMMYFUNCTION("""COMPUTED_VALUE"""),"Đang theo dõi")</f>
        <v>Đang theo dõi</v>
      </c>
      <c r="M554" s="729"/>
      <c r="N554" s="728" t="str">
        <f>IFERROR(__xludf.DUMMYFUNCTION("""COMPUTED_VALUE"""),"giữ nguyên")</f>
        <v>giữ nguyên</v>
      </c>
      <c r="O554" s="708"/>
      <c r="P554" s="708"/>
      <c r="Q554" s="708"/>
      <c r="R554" s="708"/>
      <c r="S554" s="708"/>
      <c r="T554" s="708"/>
      <c r="U554" s="708"/>
      <c r="V554" s="708"/>
      <c r="W554" s="708"/>
      <c r="X554" s="708"/>
      <c r="Y554" s="708"/>
      <c r="Z554" s="708"/>
      <c r="AA554" s="708"/>
      <c r="AB554" s="708"/>
      <c r="AC554" s="708"/>
      <c r="AD554" s="708"/>
      <c r="AE554" s="708"/>
    </row>
    <row r="555">
      <c r="A555" s="727">
        <f>IFERROR(__xludf.DUMMYFUNCTION("""COMPUTED_VALUE"""),503.0)</f>
        <v>503</v>
      </c>
      <c r="B555" s="728" t="str">
        <f>IFERROR(__xludf.DUMMYFUNCTION("""COMPUTED_VALUE"""),"SDC_TW")</f>
        <v>SDC_TW</v>
      </c>
      <c r="C555" s="728" t="str">
        <f>IFERROR(__xludf.DUMMYFUNCTION("""COMPUTED_VALUE"""),"SDC_TW")</f>
        <v>SDC_TW</v>
      </c>
      <c r="D555" s="728" t="str">
        <f>IFERROR(__xludf.DUMMYFUNCTION("""COMPUTED_VALUE"""),"NV hướng dẫn chuyển giao")</f>
        <v>NV hướng dẫn chuyển giao</v>
      </c>
      <c r="E555" s="729" t="str">
        <f>IFERROR(__xludf.DUMMYFUNCTION("""COMPUTED_VALUE"""),"TW")</f>
        <v>TW</v>
      </c>
      <c r="F555" s="729"/>
      <c r="G555" s="729" t="str">
        <f>IFERROR(__xludf.DUMMYFUNCTION("""COMPUTED_VALUE"""),"KSX")</f>
        <v>KSX</v>
      </c>
      <c r="H555" s="729" t="str">
        <f>IFERROR(__xludf.DUMMYFUNCTION("""COMPUTED_VALUE"""),"Nhân viên/ Chuyên viên/ Chuyên gia")</f>
        <v>Nhân viên/ Chuyên viên/ Chuyên gia</v>
      </c>
      <c r="I555" s="728" t="str">
        <f>IFERROR(__xludf.DUMMYFUNCTION("""COMPUTED_VALUE"""),"L1.00.00.00.00.00.07")</f>
        <v>L1.00.00.00.00.00.07</v>
      </c>
      <c r="J555" s="728" t="str">
        <f>IFERROR(__xludf.DUMMYFUNCTION("""COMPUTED_VALUE"""),"Khối sản xuất")</f>
        <v>Khối sản xuất</v>
      </c>
      <c r="K555" s="729"/>
      <c r="L555" s="728" t="str">
        <f>IFERROR(__xludf.DUMMYFUNCTION("""COMPUTED_VALUE"""),"Đang theo dõi")</f>
        <v>Đang theo dõi</v>
      </c>
      <c r="M555" s="729"/>
      <c r="N555" s="728" t="str">
        <f>IFERROR(__xludf.DUMMYFUNCTION("""COMPUTED_VALUE"""),"giữ nguyên")</f>
        <v>giữ nguyên</v>
      </c>
      <c r="O555" s="708"/>
      <c r="P555" s="708"/>
      <c r="Q555" s="708"/>
      <c r="R555" s="708"/>
      <c r="S555" s="708"/>
      <c r="T555" s="708"/>
      <c r="U555" s="708"/>
      <c r="V555" s="708"/>
      <c r="W555" s="708"/>
      <c r="X555" s="708"/>
      <c r="Y555" s="708"/>
      <c r="Z555" s="708"/>
      <c r="AA555" s="708"/>
      <c r="AB555" s="708"/>
      <c r="AC555" s="708"/>
      <c r="AD555" s="708"/>
      <c r="AE555" s="708"/>
    </row>
    <row r="556">
      <c r="A556" s="708">
        <f>IFERROR(__xludf.DUMMYFUNCTION("""COMPUTED_VALUE"""),504.0)</f>
        <v>504</v>
      </c>
      <c r="B556" s="708" t="str">
        <f>IFERROR(__xludf.DUMMYFUNCTION("""COMPUTED_VALUE"""),"SDC_TWL")</f>
        <v>SDC_TWL</v>
      </c>
      <c r="C556" s="708" t="str">
        <f>IFERROR(__xludf.DUMMYFUNCTION("""COMPUTED_VALUE"""),"SDC_TWL")</f>
        <v>SDC_TWL</v>
      </c>
      <c r="D556" s="708" t="str">
        <f>IFERROR(__xludf.DUMMYFUNCTION("""COMPUTED_VALUE"""),"Trưởng nhóm hướng dẫn chuyển giao")</f>
        <v>Trưởng nhóm hướng dẫn chuyển giao</v>
      </c>
      <c r="E556" s="708" t="str">
        <f>IFERROR(__xludf.DUMMYFUNCTION("""COMPUTED_VALUE"""),"TWL")</f>
        <v>TWL</v>
      </c>
      <c r="F556" s="708">
        <f>IFERROR(__xludf.DUMMYFUNCTION("""COMPUTED_VALUE"""),1.0)</f>
        <v>1</v>
      </c>
      <c r="G556" s="708" t="str">
        <f>IFERROR(__xludf.DUMMYFUNCTION("""COMPUTED_VALUE"""),"KSX")</f>
        <v>KSX</v>
      </c>
      <c r="H556" s="708" t="str">
        <f>IFERROR(__xludf.DUMMYFUNCTION("""COMPUTED_VALUE"""),"Trưởng nhóm")</f>
        <v>Trưởng nhóm</v>
      </c>
      <c r="I556" s="708" t="str">
        <f>IFERROR(__xludf.DUMMYFUNCTION("""COMPUTED_VALUE"""),"L1.00.00.00.00.00.07")</f>
        <v>L1.00.00.00.00.00.07</v>
      </c>
      <c r="J556" s="708" t="str">
        <f>IFERROR(__xludf.DUMMYFUNCTION("""COMPUTED_VALUE"""),"Khối sản xuất")</f>
        <v>Khối sản xuất</v>
      </c>
      <c r="K556" s="708"/>
      <c r="L556" s="708" t="str">
        <f>IFERROR(__xludf.DUMMYFUNCTION("""COMPUTED_VALUE"""),"Đang theo dõi")</f>
        <v>Đang theo dõi</v>
      </c>
      <c r="M556" s="708"/>
      <c r="N556" s="708" t="str">
        <f>IFERROR(__xludf.DUMMYFUNCTION("""COMPUTED_VALUE"""),"giữ nguyên")</f>
        <v>giữ nguyên</v>
      </c>
      <c r="O556" s="708"/>
      <c r="P556" s="708"/>
      <c r="Q556" s="708"/>
      <c r="R556" s="708"/>
      <c r="S556" s="708"/>
      <c r="T556" s="708"/>
      <c r="U556" s="708"/>
      <c r="V556" s="708"/>
      <c r="W556" s="708"/>
      <c r="X556" s="708"/>
      <c r="Y556" s="708"/>
      <c r="Z556" s="708"/>
      <c r="AA556" s="708"/>
      <c r="AB556" s="708"/>
      <c r="AC556" s="708"/>
      <c r="AD556" s="708"/>
      <c r="AE556" s="708"/>
    </row>
    <row r="557">
      <c r="A557" s="708">
        <f>IFERROR(__xludf.DUMMYFUNCTION("""COMPUTED_VALUE"""),505.0)</f>
        <v>505</v>
      </c>
      <c r="B557" s="708" t="str">
        <f>IFERROR(__xludf.DUMMYFUNCTION("""COMPUTED_VALUE"""),"SDC_UXM")</f>
        <v>SDC_UXM</v>
      </c>
      <c r="C557" s="708" t="str">
        <f>IFERROR(__xludf.DUMMYFUNCTION("""COMPUTED_VALUE"""),"SDC_UXM")</f>
        <v>SDC_UXM</v>
      </c>
      <c r="D557" s="708" t="str">
        <f>IFERROR(__xludf.DUMMYFUNCTION("""COMPUTED_VALUE"""),"UX Manager")</f>
        <v>UX Manager</v>
      </c>
      <c r="E557" s="708" t="str">
        <f>IFERROR(__xludf.DUMMYFUNCTION("""COMPUTED_VALUE"""),"UXM")</f>
        <v>UXM</v>
      </c>
      <c r="F557" s="708"/>
      <c r="G557" s="708" t="str">
        <f>IFERROR(__xludf.DUMMYFUNCTION("""COMPUTED_VALUE"""),"KSX")</f>
        <v>KSX</v>
      </c>
      <c r="H557" s="708"/>
      <c r="I557" s="708" t="str">
        <f>IFERROR(__xludf.DUMMYFUNCTION("""COMPUTED_VALUE"""),"L1.00.00.00.00.00.07")</f>
        <v>L1.00.00.00.00.00.07</v>
      </c>
      <c r="J557" s="708" t="str">
        <f>IFERROR(__xludf.DUMMYFUNCTION("""COMPUTED_VALUE"""),"Khối sản xuất")</f>
        <v>Khối sản xuất</v>
      </c>
      <c r="K557" s="708"/>
      <c r="L557" s="708" t="str">
        <f>IFERROR(__xludf.DUMMYFUNCTION("""COMPUTED_VALUE"""),"Đang theo dõi")</f>
        <v>Đang theo dõi</v>
      </c>
      <c r="M557" s="708"/>
      <c r="N557" s="708" t="str">
        <f>IFERROR(__xludf.DUMMYFUNCTION("""COMPUTED_VALUE"""),"giữ nguyên")</f>
        <v>giữ nguyên</v>
      </c>
      <c r="O557" s="708"/>
      <c r="P557" s="708"/>
      <c r="Q557" s="708"/>
      <c r="R557" s="708"/>
      <c r="S557" s="708"/>
      <c r="T557" s="708"/>
      <c r="U557" s="708"/>
      <c r="V557" s="708"/>
      <c r="W557" s="708"/>
      <c r="X557" s="708"/>
      <c r="Y557" s="708"/>
      <c r="Z557" s="708"/>
      <c r="AA557" s="708"/>
      <c r="AB557" s="708"/>
      <c r="AC557" s="708"/>
      <c r="AD557" s="708"/>
      <c r="AE557" s="708"/>
    </row>
    <row r="558">
      <c r="A558" s="708">
        <f>IFERROR(__xludf.DUMMYFUNCTION("""COMPUTED_VALUE"""),506.0)</f>
        <v>506</v>
      </c>
      <c r="B558" s="708" t="str">
        <f>IFERROR(__xludf.DUMMYFUNCTION("""COMPUTED_VALUE"""),"SDC_VPUD_1")</f>
        <v>SDC_VPUD_1</v>
      </c>
      <c r="C558" s="708" t="str">
        <f>IFERROR(__xludf.DUMMYFUNCTION("""COMPUTED_VALUE"""),"SDC_VPUD_1")</f>
        <v>SDC_VPUD_1</v>
      </c>
      <c r="D558" s="708" t="str">
        <f>IFERROR(__xludf.DUMMYFUNCTION("""COMPUTED_VALUE"""),"Phó Giám đốc khối")</f>
        <v>Phó Giám đốc khối</v>
      </c>
      <c r="E558" s="708" t="str">
        <f>IFERROR(__xludf.DUMMYFUNCTION("""COMPUTED_VALUE"""),"BOM")</f>
        <v>BOM</v>
      </c>
      <c r="F558" s="708">
        <f>IFERROR(__xludf.DUMMYFUNCTION("""COMPUTED_VALUE"""),3.0)</f>
        <v>3</v>
      </c>
      <c r="G558" s="708" t="str">
        <f>IFERROR(__xludf.DUMMYFUNCTION("""COMPUTED_VALUE"""),"KSX")</f>
        <v>KSX</v>
      </c>
      <c r="H558" s="708" t="str">
        <f>IFERROR(__xludf.DUMMYFUNCTION("""COMPUTED_VALUE"""),"BGĐ khối")</f>
        <v>BGĐ khối</v>
      </c>
      <c r="I558" s="708" t="str">
        <f>IFERROR(__xludf.DUMMYFUNCTION("""COMPUTED_VALUE"""),"L1.00.00.00.00.00.07")</f>
        <v>L1.00.00.00.00.00.07</v>
      </c>
      <c r="J558" s="708" t="str">
        <f>IFERROR(__xludf.DUMMYFUNCTION("""COMPUTED_VALUE"""),"Khối sản xuất")</f>
        <v>Khối sản xuất</v>
      </c>
      <c r="K558" s="708"/>
      <c r="L558" s="708" t="str">
        <f>IFERROR(__xludf.DUMMYFUNCTION("""COMPUTED_VALUE"""),"Đang theo dõi")</f>
        <v>Đang theo dõi</v>
      </c>
      <c r="M558" s="708"/>
      <c r="N558" s="708" t="str">
        <f>IFERROR(__xludf.DUMMYFUNCTION("""COMPUTED_VALUE"""),"giữ nguyên")</f>
        <v>giữ nguyên</v>
      </c>
      <c r="O558" s="708"/>
      <c r="P558" s="708"/>
      <c r="Q558" s="708"/>
      <c r="R558" s="708"/>
      <c r="S558" s="708"/>
      <c r="T558" s="708"/>
      <c r="U558" s="708"/>
      <c r="V558" s="708"/>
      <c r="W558" s="708"/>
      <c r="X558" s="708"/>
      <c r="Y558" s="708"/>
      <c r="Z558" s="708"/>
      <c r="AA558" s="708"/>
      <c r="AB558" s="708"/>
      <c r="AC558" s="708"/>
      <c r="AD558" s="708"/>
      <c r="AE558" s="708"/>
    </row>
    <row r="559">
      <c r="A559" s="708">
        <f>IFERROR(__xludf.DUMMYFUNCTION("""COMPUTED_VALUE"""),507.0)</f>
        <v>507</v>
      </c>
      <c r="B559" s="708" t="str">
        <f>IFERROR(__xludf.DUMMYFUNCTION("""COMPUTED_VALUE"""),"SDC_VPUD_ENT")</f>
        <v>SDC_VPUD_ENT</v>
      </c>
      <c r="C559" s="708" t="str">
        <f>IFERROR(__xludf.DUMMYFUNCTION("""COMPUTED_VALUE"""),"SDC_VPUD_ENT")</f>
        <v>SDC_VPUD_ENT</v>
      </c>
      <c r="D559" s="708" t="str">
        <f>IFERROR(__xludf.DUMMYFUNCTION("""COMPUTED_VALUE"""),"Phó Giám đốc TT giải pháp DN lớn")</f>
        <v>Phó Giám đốc TT giải pháp DN lớn</v>
      </c>
      <c r="E559" s="708" t="str">
        <f>IFERROR(__xludf.DUMMYFUNCTION("""COMPUTED_VALUE"""),"BOM")</f>
        <v>BOM</v>
      </c>
      <c r="F559" s="708">
        <f>IFERROR(__xludf.DUMMYFUNCTION("""COMPUTED_VALUE"""),3.0)</f>
        <v>3</v>
      </c>
      <c r="G559" s="708" t="str">
        <f>IFERROR(__xludf.DUMMYFUNCTION("""COMPUTED_VALUE"""),"KSX")</f>
        <v>KSX</v>
      </c>
      <c r="H559" s="708" t="str">
        <f>IFERROR(__xludf.DUMMYFUNCTION("""COMPUTED_VALUE"""),"Ban GĐTTKD/ BGĐ khối DA")</f>
        <v>Ban GĐTTKD/ BGĐ khối DA</v>
      </c>
      <c r="I559" s="708" t="str">
        <f>IFERROR(__xludf.DUMMYFUNCTION("""COMPUTED_VALUE"""),"L1.00.00.00.00.00.07")</f>
        <v>L1.00.00.00.00.00.07</v>
      </c>
      <c r="J559" s="708" t="str">
        <f>IFERROR(__xludf.DUMMYFUNCTION("""COMPUTED_VALUE"""),"Khối sản xuất")</f>
        <v>Khối sản xuất</v>
      </c>
      <c r="K559" s="708"/>
      <c r="L559" s="708" t="str">
        <f>IFERROR(__xludf.DUMMYFUNCTION("""COMPUTED_VALUE"""),"Đang theo dõi")</f>
        <v>Đang theo dõi</v>
      </c>
      <c r="M559" s="708"/>
      <c r="N559" s="708" t="str">
        <f>IFERROR(__xludf.DUMMYFUNCTION("""COMPUTED_VALUE"""),"giữ nguyên")</f>
        <v>giữ nguyên</v>
      </c>
      <c r="O559" s="708"/>
      <c r="P559" s="708"/>
      <c r="Q559" s="708"/>
      <c r="R559" s="708"/>
      <c r="S559" s="708"/>
      <c r="T559" s="708"/>
      <c r="U559" s="708"/>
      <c r="V559" s="708"/>
      <c r="W559" s="708"/>
      <c r="X559" s="708"/>
      <c r="Y559" s="708"/>
      <c r="Z559" s="708"/>
      <c r="AA559" s="708"/>
      <c r="AB559" s="708"/>
      <c r="AC559" s="708"/>
      <c r="AD559" s="708"/>
      <c r="AE559" s="708"/>
    </row>
    <row r="560">
      <c r="A560" s="708" t="str">
        <f>IFERROR(__xludf.DUMMYFUNCTION("""COMPUTED_VALUE"""),"Khối Thị trường toàn cầu")</f>
        <v>Khối Thị trường toàn cầu</v>
      </c>
      <c r="B560" s="708"/>
      <c r="C560" s="708"/>
      <c r="D560" s="708"/>
      <c r="E560" s="708"/>
      <c r="F560" s="708"/>
      <c r="G560" s="708"/>
      <c r="H560" s="708"/>
      <c r="I560" s="708"/>
      <c r="J560" s="708"/>
      <c r="K560" s="708"/>
      <c r="L560" s="708"/>
      <c r="M560" s="708"/>
      <c r="N560" s="708"/>
      <c r="O560" s="708"/>
      <c r="P560" s="708"/>
      <c r="Q560" s="708"/>
      <c r="R560" s="708"/>
      <c r="S560" s="708"/>
      <c r="T560" s="708"/>
      <c r="U560" s="708"/>
      <c r="V560" s="708"/>
      <c r="W560" s="708"/>
      <c r="X560" s="708"/>
      <c r="Y560" s="708"/>
      <c r="Z560" s="708"/>
      <c r="AA560" s="708"/>
      <c r="AB560" s="708"/>
      <c r="AC560" s="708"/>
      <c r="AD560" s="708"/>
      <c r="AE560" s="708"/>
    </row>
    <row r="561">
      <c r="A561" s="708">
        <f>IFERROR(__xludf.DUMMYFUNCTION("""COMPUTED_VALUE"""),508.0)</f>
        <v>508</v>
      </c>
      <c r="B561" s="708" t="str">
        <f>IFERROR(__xludf.DUMMYFUNCTION("""COMPUTED_VALUE"""),"SB_FSALE_MKT")</f>
        <v>SB_FSALE_MKT</v>
      </c>
      <c r="C561" s="708" t="str">
        <f>IFERROR(__xludf.DUMMYFUNCTION("""COMPUTED_VALUE"""),"TTTC_MKT")</f>
        <v>TTTC_MKT</v>
      </c>
      <c r="D561" s="708" t="str">
        <f>IFERROR(__xludf.DUMMYFUNCTION("""COMPUTED_VALUE"""),"NV Marketing Support")</f>
        <v>NV Marketing Support</v>
      </c>
      <c r="E561" s="708" t="str">
        <f>IFERROR(__xludf.DUMMYFUNCTION("""COMPUTED_VALUE"""),"BO")</f>
        <v>BO</v>
      </c>
      <c r="F561" s="708"/>
      <c r="G561" s="708" t="str">
        <f>IFERROR(__xludf.DUMMYFUNCTION("""COMPUTED_VALUE"""),"TTTC")</f>
        <v>TTTC</v>
      </c>
      <c r="H561" s="708" t="str">
        <f>IFERROR(__xludf.DUMMYFUNCTION("""COMPUTED_VALUE"""),"Nhân viên/ Chuyên viên/ Chuyên gia")</f>
        <v>Nhân viên/ Chuyên viên/ Chuyên gia</v>
      </c>
      <c r="I561" s="708" t="str">
        <f>IFERROR(__xludf.DUMMYFUNCTION("""COMPUTED_VALUE"""),"L00")</f>
        <v>L00</v>
      </c>
      <c r="J561" s="708" t="str">
        <f>IFERROR(__xludf.DUMMYFUNCTION("""COMPUTED_VALUE"""),"Công ty cổ phần MISA")</f>
        <v>Công ty cổ phần MISA</v>
      </c>
      <c r="K561" s="708"/>
      <c r="L561" s="708" t="str">
        <f>IFERROR(__xludf.DUMMYFUNCTION("""COMPUTED_VALUE"""),"Đang theo dõi")</f>
        <v>Đang theo dõi</v>
      </c>
      <c r="M561" s="708"/>
      <c r="N561" s="708" t="str">
        <f>IFERROR(__xludf.DUMMYFUNCTION("""COMPUTED_VALUE"""),"đổi mã")</f>
        <v>đổi mã</v>
      </c>
      <c r="O561" s="708"/>
      <c r="P561" s="708"/>
      <c r="Q561" s="708"/>
      <c r="R561" s="708"/>
      <c r="S561" s="708"/>
      <c r="T561" s="708"/>
      <c r="U561" s="708"/>
      <c r="V561" s="708"/>
      <c r="W561" s="708"/>
      <c r="X561" s="708"/>
      <c r="Y561" s="708"/>
      <c r="Z561" s="708"/>
      <c r="AA561" s="708"/>
      <c r="AB561" s="708"/>
      <c r="AC561" s="708"/>
      <c r="AD561" s="708"/>
      <c r="AE561" s="708"/>
    </row>
    <row r="562">
      <c r="A562" s="708">
        <f>IFERROR(__xludf.DUMMYFUNCTION("""COMPUTED_VALUE"""),509.0)</f>
        <v>509</v>
      </c>
      <c r="B562" s="708" t="str">
        <f>IFERROR(__xludf.DUMMYFUNCTION("""COMPUTED_VALUE"""),"SB_FSALE_ONB")</f>
        <v>SB_FSALE_ONB</v>
      </c>
      <c r="C562" s="708" t="str">
        <f>IFERROR(__xludf.DUMMYFUNCTION("""COMPUTED_VALUE"""),"TTTC_ONB")</f>
        <v>TTTC_ONB</v>
      </c>
      <c r="D562" s="708" t="str">
        <f>IFERROR(__xludf.DUMMYFUNCTION("""COMPUTED_VALUE"""),"NV tư vấn triển khai phần mềm quốc tế")</f>
        <v>NV tư vấn triển khai phần mềm quốc tế</v>
      </c>
      <c r="E562" s="708" t="str">
        <f>IFERROR(__xludf.DUMMYFUNCTION("""COMPUTED_VALUE"""),"ONB")</f>
        <v>ONB</v>
      </c>
      <c r="F562" s="708"/>
      <c r="G562" s="708" t="str">
        <f>IFERROR(__xludf.DUMMYFUNCTION("""COMPUTED_VALUE"""),"TTTC")</f>
        <v>TTTC</v>
      </c>
      <c r="H562" s="708" t="str">
        <f>IFERROR(__xludf.DUMMYFUNCTION("""COMPUTED_VALUE"""),"Nhân viên/ Chuyên viên/ Chuyên gia")</f>
        <v>Nhân viên/ Chuyên viên/ Chuyên gia</v>
      </c>
      <c r="I562" s="708" t="str">
        <f>IFERROR(__xludf.DUMMYFUNCTION("""COMPUTED_VALUE"""),"L00")</f>
        <v>L00</v>
      </c>
      <c r="J562" s="708" t="str">
        <f>IFERROR(__xludf.DUMMYFUNCTION("""COMPUTED_VALUE"""),"Công ty cổ phần MISA")</f>
        <v>Công ty cổ phần MISA</v>
      </c>
      <c r="K562" s="708"/>
      <c r="L562" s="708" t="str">
        <f>IFERROR(__xludf.DUMMYFUNCTION("""COMPUTED_VALUE"""),"Đang theo dõi")</f>
        <v>Đang theo dõi</v>
      </c>
      <c r="M562" s="708"/>
      <c r="N562" s="708" t="str">
        <f>IFERROR(__xludf.DUMMYFUNCTION("""COMPUTED_VALUE"""),"đổi mã")</f>
        <v>đổi mã</v>
      </c>
      <c r="O562" s="708"/>
      <c r="P562" s="708"/>
      <c r="Q562" s="708"/>
      <c r="R562" s="708"/>
      <c r="S562" s="708"/>
      <c r="T562" s="708"/>
      <c r="U562" s="708"/>
      <c r="V562" s="708"/>
      <c r="W562" s="708"/>
      <c r="X562" s="708"/>
      <c r="Y562" s="708"/>
      <c r="Z562" s="708"/>
      <c r="AA562" s="708"/>
      <c r="AB562" s="708"/>
      <c r="AC562" s="708"/>
      <c r="AD562" s="708"/>
      <c r="AE562" s="708"/>
    </row>
    <row r="563">
      <c r="A563" s="708">
        <f>IFERROR(__xludf.DUMMYFUNCTION("""COMPUTED_VALUE"""),510.0)</f>
        <v>510</v>
      </c>
      <c r="B563" s="708"/>
      <c r="C563" s="708" t="str">
        <f>IFERROR(__xludf.DUMMYFUNCTION("""COMPUTED_VALUE"""),"TTTC_PDR")</f>
        <v>TTTC_PDR</v>
      </c>
      <c r="D563" s="708" t="str">
        <f>IFERROR(__xludf.DUMMYFUNCTION("""COMPUTED_VALUE"""),"NV phát triển khách hàng")</f>
        <v>NV phát triển khách hàng</v>
      </c>
      <c r="E563" s="708" t="str">
        <f>IFERROR(__xludf.DUMMYFUNCTION("""COMPUTED_VALUE"""),"AE")</f>
        <v>AE</v>
      </c>
      <c r="F563" s="708"/>
      <c r="G563" s="708" t="str">
        <f>IFERROR(__xludf.DUMMYFUNCTION("""COMPUTED_VALUE"""),"TTTC")</f>
        <v>TTTC</v>
      </c>
      <c r="H563" s="708" t="str">
        <f>IFERROR(__xludf.DUMMYFUNCTION("""COMPUTED_VALUE"""),"Nhân viên/ Chuyên viên/ Chuyên gia")</f>
        <v>Nhân viên/ Chuyên viên/ Chuyên gia</v>
      </c>
      <c r="I563" s="708" t="str">
        <f>IFERROR(__xludf.DUMMYFUNCTION("""COMPUTED_VALUE"""),"L00")</f>
        <v>L00</v>
      </c>
      <c r="J563" s="708" t="str">
        <f>IFERROR(__xludf.DUMMYFUNCTION("""COMPUTED_VALUE"""),"Công ty cổ phần MISA")</f>
        <v>Công ty cổ phần MISA</v>
      </c>
      <c r="K563" s="708"/>
      <c r="L563" s="708" t="str">
        <f>IFERROR(__xludf.DUMMYFUNCTION("""COMPUTED_VALUE"""),"mới")</f>
        <v>mới</v>
      </c>
      <c r="M563" s="708"/>
      <c r="N563" s="708" t="str">
        <f>IFERROR(__xludf.DUMMYFUNCTION("""COMPUTED_VALUE"""),"thêm mới")</f>
        <v>thêm mới</v>
      </c>
      <c r="O563" s="708"/>
      <c r="P563" s="708"/>
      <c r="Q563" s="708"/>
      <c r="R563" s="708"/>
      <c r="S563" s="708"/>
      <c r="T563" s="708"/>
      <c r="U563" s="708"/>
      <c r="V563" s="708"/>
      <c r="W563" s="708"/>
      <c r="X563" s="708"/>
      <c r="Y563" s="708"/>
      <c r="Z563" s="708"/>
      <c r="AA563" s="708"/>
      <c r="AB563" s="708"/>
      <c r="AC563" s="708"/>
      <c r="AD563" s="708"/>
      <c r="AE563" s="708"/>
    </row>
    <row r="564">
      <c r="A564" s="708">
        <f>IFERROR(__xludf.DUMMYFUNCTION("""COMPUTED_VALUE"""),511.0)</f>
        <v>511</v>
      </c>
      <c r="B564" s="708"/>
      <c r="C564" s="708" t="str">
        <f>IFERROR(__xludf.DUMMYFUNCTION("""COMPUTED_VALUE"""),"TTTC_PUD")</f>
        <v>TTTC_PUD</v>
      </c>
      <c r="D564" s="708" t="str">
        <f>IFERROR(__xludf.DUMMYFUNCTION("""COMPUTED_VALUE"""),"Giám đốc Khối Thị trường toàn cầu")</f>
        <v>Giám đốc Khối Thị trường toàn cầu</v>
      </c>
      <c r="E564" s="708" t="str">
        <f>IFERROR(__xludf.DUMMYFUNCTION("""COMPUTED_VALUE"""),"BOM")</f>
        <v>BOM</v>
      </c>
      <c r="F564" s="708"/>
      <c r="G564" s="708" t="str">
        <f>IFERROR(__xludf.DUMMYFUNCTION("""COMPUTED_VALUE"""),"TTTC")</f>
        <v>TTTC</v>
      </c>
      <c r="H564" s="708" t="str">
        <f>IFERROR(__xludf.DUMMYFUNCTION("""COMPUTED_VALUE"""),"BGĐ khối")</f>
        <v>BGĐ khối</v>
      </c>
      <c r="I564" s="708" t="str">
        <f>IFERROR(__xludf.DUMMYFUNCTION("""COMPUTED_VALUE"""),"L00")</f>
        <v>L00</v>
      </c>
      <c r="J564" s="708" t="str">
        <f>IFERROR(__xludf.DUMMYFUNCTION("""COMPUTED_VALUE"""),"Công ty cổ phần MISA")</f>
        <v>Công ty cổ phần MISA</v>
      </c>
      <c r="K564" s="708"/>
      <c r="L564" s="708" t="str">
        <f>IFERROR(__xludf.DUMMYFUNCTION("""COMPUTED_VALUE"""),"mới")</f>
        <v>mới</v>
      </c>
      <c r="M564" s="708"/>
      <c r="N564" s="708" t="str">
        <f>IFERROR(__xludf.DUMMYFUNCTION("""COMPUTED_VALUE"""),"thêm mới")</f>
        <v>thêm mới</v>
      </c>
      <c r="O564" s="708"/>
      <c r="P564" s="708"/>
      <c r="Q564" s="708"/>
      <c r="R564" s="708"/>
      <c r="S564" s="708"/>
      <c r="T564" s="708"/>
      <c r="U564" s="708"/>
      <c r="V564" s="708"/>
      <c r="W564" s="708"/>
      <c r="X564" s="708"/>
      <c r="Y564" s="708"/>
      <c r="Z564" s="708"/>
      <c r="AA564" s="708"/>
      <c r="AB564" s="708"/>
      <c r="AC564" s="708"/>
      <c r="AD564" s="708"/>
      <c r="AE564" s="708"/>
    </row>
    <row r="565">
      <c r="A565" s="708">
        <f>IFERROR(__xludf.DUMMYFUNCTION("""COMPUTED_VALUE"""),398.0)</f>
        <v>398</v>
      </c>
      <c r="B565" s="754" t="str">
        <f>IFERROR(__xludf.DUMMYFUNCTION("""COMPUTED_VALUE"""),"SB_FSALE_A.SM")</f>
        <v>SB_FSALE_A.SM</v>
      </c>
      <c r="C565" s="754" t="str">
        <f>IFERROR(__xludf.DUMMYFUNCTION("""COMPUTED_VALUE"""),"SB_FSALE_A.SM")</f>
        <v>SB_FSALE_A.SM</v>
      </c>
      <c r="D565" s="708" t="str">
        <f>IFERROR(__xludf.DUMMYFUNCTION("""COMPUTED_VALUE"""),"Q. Trưởng phòng KD Thị trường nước ngoài")</f>
        <v>Q. Trưởng phòng KD Thị trường nước ngoài</v>
      </c>
      <c r="E565" s="708" t="str">
        <f>IFERROR(__xludf.DUMMYFUNCTION("""COMPUTED_VALUE"""),"SM")</f>
        <v>SM</v>
      </c>
      <c r="F565" s="708">
        <f>IFERROR(__xludf.DUMMYFUNCTION("""COMPUTED_VALUE"""),2.0)</f>
        <v>2</v>
      </c>
      <c r="G565" s="708" t="str">
        <f>IFERROR(__xludf.DUMMYFUNCTION("""COMPUTED_VALUE"""),"TTTC")</f>
        <v>TTTC</v>
      </c>
      <c r="H565" s="708" t="str">
        <f>IFERROR(__xludf.DUMMYFUNCTION("""COMPUTED_VALUE"""),"TPP/ Trưởng ban")</f>
        <v>TPP/ Trưởng ban</v>
      </c>
      <c r="I565" s="708" t="str">
        <f>IFERROR(__xludf.DUMMYFUNCTION("""COMPUTED_VALUE"""),"L00")</f>
        <v>L00</v>
      </c>
      <c r="J565" s="708" t="str">
        <f>IFERROR(__xludf.DUMMYFUNCTION("""COMPUTED_VALUE"""),"Công ty cổ phần MISA")</f>
        <v>Công ty cổ phần MISA</v>
      </c>
      <c r="K565" s="708" t="str">
        <f>IFERROR(__xludf.DUMMYFUNCTION("""COMPUTED_VALUE"""),"02 - QL_KD")</f>
        <v>02 - QL_KD</v>
      </c>
      <c r="L565" s="708" t="str">
        <f>IFERROR(__xludf.DUMMYFUNCTION("""COMPUTED_VALUE"""),"Ngừng")</f>
        <v>Ngừng</v>
      </c>
      <c r="M565" s="708"/>
      <c r="N565" s="708" t="str">
        <f>IFERROR(__xludf.DUMMYFUNCTION("""COMPUTED_VALUE"""),"ngừng")</f>
        <v>ngừng</v>
      </c>
      <c r="O565" s="708"/>
      <c r="P565" s="708"/>
      <c r="Q565" s="708"/>
      <c r="R565" s="708"/>
      <c r="S565" s="708"/>
      <c r="T565" s="708"/>
      <c r="U565" s="708"/>
      <c r="V565" s="708"/>
      <c r="W565" s="708"/>
      <c r="X565" s="708"/>
      <c r="Y565" s="708"/>
      <c r="Z565" s="708"/>
      <c r="AA565" s="708"/>
      <c r="AB565" s="708"/>
      <c r="AC565" s="708"/>
      <c r="AD565" s="708"/>
      <c r="AE565" s="708"/>
    </row>
    <row r="566">
      <c r="A566" s="708">
        <f>IFERROR(__xludf.DUMMYFUNCTION("""COMPUTED_VALUE"""),399.0)</f>
        <v>399</v>
      </c>
      <c r="B566" s="708" t="str">
        <f>IFERROR(__xludf.DUMMYFUNCTION("""COMPUTED_VALUE"""),"SB_FSALE_AE")</f>
        <v>SB_FSALE_AE</v>
      </c>
      <c r="C566" s="708" t="str">
        <f>IFERROR(__xludf.DUMMYFUNCTION("""COMPUTED_VALUE"""),"SB_FSALE_AE")</f>
        <v>SB_FSALE_AE</v>
      </c>
      <c r="D566" s="708" t="str">
        <f>IFERROR(__xludf.DUMMYFUNCTION("""COMPUTED_VALUE"""),"NV KD Phát triển thị trường nước ngoài")</f>
        <v>NV KD Phát triển thị trường nước ngoài</v>
      </c>
      <c r="E566" s="708" t="str">
        <f>IFERROR(__xludf.DUMMYFUNCTION("""COMPUTED_VALUE"""),"AE")</f>
        <v>AE</v>
      </c>
      <c r="F566" s="708"/>
      <c r="G566" s="708" t="str">
        <f>IFERROR(__xludf.DUMMYFUNCTION("""COMPUTED_VALUE"""),"TTTC")</f>
        <v>TTTC</v>
      </c>
      <c r="H566" s="708" t="str">
        <f>IFERROR(__xludf.DUMMYFUNCTION("""COMPUTED_VALUE"""),"Nhân viên/ Chuyên viên/ Chuyên gia")</f>
        <v>Nhân viên/ Chuyên viên/ Chuyên gia</v>
      </c>
      <c r="I566" s="708" t="str">
        <f>IFERROR(__xludf.DUMMYFUNCTION("""COMPUTED_VALUE"""),"L00")</f>
        <v>L00</v>
      </c>
      <c r="J566" s="708" t="str">
        <f>IFERROR(__xludf.DUMMYFUNCTION("""COMPUTED_VALUE"""),"Công ty cổ phần MISA")</f>
        <v>Công ty cổ phần MISA</v>
      </c>
      <c r="K566" s="708" t="str">
        <f>IFERROR(__xludf.DUMMYFUNCTION("""COMPUTED_VALUE"""),"01 - NV_KD")</f>
        <v>01 - NV_KD</v>
      </c>
      <c r="L566" s="708" t="str">
        <f>IFERROR(__xludf.DUMMYFUNCTION("""COMPUTED_VALUE"""),"Đang theo dõi")</f>
        <v>Đang theo dõi</v>
      </c>
      <c r="M566" s="708"/>
      <c r="N566" s="708" t="str">
        <f>IFERROR(__xludf.DUMMYFUNCTION("""COMPUTED_VALUE"""),"giữ nguyên")</f>
        <v>giữ nguyên</v>
      </c>
      <c r="O566" s="708"/>
      <c r="P566" s="708"/>
      <c r="Q566" s="708"/>
      <c r="R566" s="708"/>
      <c r="S566" s="708"/>
      <c r="T566" s="708"/>
      <c r="U566" s="708"/>
      <c r="V566" s="708"/>
      <c r="W566" s="708"/>
      <c r="X566" s="708"/>
      <c r="Y566" s="708"/>
      <c r="Z566" s="708"/>
      <c r="AA566" s="708"/>
      <c r="AB566" s="708"/>
      <c r="AC566" s="708"/>
      <c r="AD566" s="708"/>
      <c r="AE566" s="708"/>
    </row>
    <row r="567">
      <c r="A567" s="708">
        <f>IFERROR(__xludf.DUMMYFUNCTION("""COMPUTED_VALUE"""),400.0)</f>
        <v>400</v>
      </c>
      <c r="B567" s="708" t="str">
        <f>IFERROR(__xludf.DUMMYFUNCTION("""COMPUTED_VALUE"""),"SB_FSALE_SM")</f>
        <v>SB_FSALE_SM</v>
      </c>
      <c r="C567" s="708" t="str">
        <f>IFERROR(__xludf.DUMMYFUNCTION("""COMPUTED_VALUE"""),"SB_FSALE_SM")</f>
        <v>SB_FSALE_SM</v>
      </c>
      <c r="D567" s="708" t="str">
        <f>IFERROR(__xludf.DUMMYFUNCTION("""COMPUTED_VALUE"""),"Trưởng phòng KD Thị trường nước ngoài")</f>
        <v>Trưởng phòng KD Thị trường nước ngoài</v>
      </c>
      <c r="E567" s="708" t="str">
        <f>IFERROR(__xludf.DUMMYFUNCTION("""COMPUTED_VALUE"""),"SM")</f>
        <v>SM</v>
      </c>
      <c r="F567" s="708">
        <f>IFERROR(__xludf.DUMMYFUNCTION("""COMPUTED_VALUE"""),2.0)</f>
        <v>2</v>
      </c>
      <c r="G567" s="708" t="str">
        <f>IFERROR(__xludf.DUMMYFUNCTION("""COMPUTED_VALUE"""),"TTTC")</f>
        <v>TTTC</v>
      </c>
      <c r="H567" s="708" t="str">
        <f>IFERROR(__xludf.DUMMYFUNCTION("""COMPUTED_VALUE"""),"TPP/ Trưởng ban")</f>
        <v>TPP/ Trưởng ban</v>
      </c>
      <c r="I567" s="708" t="str">
        <f>IFERROR(__xludf.DUMMYFUNCTION("""COMPUTED_VALUE"""),"L00")</f>
        <v>L00</v>
      </c>
      <c r="J567" s="708" t="str">
        <f>IFERROR(__xludf.DUMMYFUNCTION("""COMPUTED_VALUE"""),"Công ty cổ phần MISA")</f>
        <v>Công ty cổ phần MISA</v>
      </c>
      <c r="K567" s="708" t="str">
        <f>IFERROR(__xludf.DUMMYFUNCTION("""COMPUTED_VALUE"""),"02 - QL_KD")</f>
        <v>02 - QL_KD</v>
      </c>
      <c r="L567" s="708" t="str">
        <f>IFERROR(__xludf.DUMMYFUNCTION("""COMPUTED_VALUE"""),"Ngừng")</f>
        <v>Ngừng</v>
      </c>
      <c r="M567" s="708"/>
      <c r="N567" s="708" t="str">
        <f>IFERROR(__xludf.DUMMYFUNCTION("""COMPUTED_VALUE"""),"ngừng")</f>
        <v>ngừng</v>
      </c>
      <c r="O567" s="708"/>
      <c r="P567" s="708"/>
      <c r="Q567" s="708"/>
      <c r="R567" s="708"/>
      <c r="S567" s="708"/>
      <c r="T567" s="708"/>
      <c r="U567" s="708"/>
      <c r="V567" s="708"/>
      <c r="W567" s="708"/>
      <c r="X567" s="708"/>
      <c r="Y567" s="708"/>
      <c r="Z567" s="708"/>
      <c r="AA567" s="708"/>
      <c r="AB567" s="708"/>
      <c r="AC567" s="708"/>
      <c r="AD567" s="708"/>
      <c r="AE567" s="708"/>
    </row>
    <row r="568">
      <c r="A568" s="708" t="str">
        <f>IFERROR(__xludf.DUMMYFUNCTION("""COMPUTED_VALUE"""),"Khác")</f>
        <v>Khác</v>
      </c>
      <c r="B568" s="708"/>
      <c r="C568" s="708"/>
      <c r="D568" s="708"/>
      <c r="E568" s="708"/>
      <c r="F568" s="708"/>
      <c r="G568" s="708"/>
      <c r="H568" s="708"/>
      <c r="I568" s="708"/>
      <c r="J568" s="708"/>
      <c r="K568" s="708"/>
      <c r="L568" s="708"/>
      <c r="M568" s="708"/>
      <c r="N568" s="708"/>
      <c r="O568" s="708"/>
      <c r="P568" s="708"/>
      <c r="Q568" s="708"/>
      <c r="R568" s="708"/>
      <c r="S568" s="708"/>
      <c r="T568" s="708"/>
      <c r="U568" s="708"/>
      <c r="V568" s="708"/>
      <c r="W568" s="708"/>
      <c r="X568" s="708"/>
      <c r="Y568" s="708"/>
      <c r="Z568" s="708"/>
      <c r="AA568" s="708"/>
      <c r="AB568" s="708"/>
      <c r="AC568" s="708"/>
      <c r="AD568" s="708"/>
      <c r="AE568" s="708"/>
    </row>
    <row r="569">
      <c r="A569" s="708">
        <f>IFERROR(__xludf.DUMMYFUNCTION("""COMPUTED_VALUE"""),253.0)</f>
        <v>253</v>
      </c>
      <c r="B569" s="708" t="str">
        <f>IFERROR(__xludf.DUMMYFUNCTION("""COMPUTED_VALUE"""),"HAN_GIA HẠN")</f>
        <v>HAN_GIA HẠN</v>
      </c>
      <c r="C569" s="708" t="str">
        <f>IFERROR(__xludf.DUMMYFUNCTION("""COMPUTED_VALUE"""),"HAN_GIA HẠN")</f>
        <v>HAN_GIA HẠN</v>
      </c>
      <c r="D569" s="708" t="str">
        <f>IFERROR(__xludf.DUMMYFUNCTION("""COMPUTED_VALUE"""),"Gia hạn HAN")</f>
        <v>Gia hạn HAN</v>
      </c>
      <c r="E569" s="708"/>
      <c r="F569" s="708"/>
      <c r="G569" s="708"/>
      <c r="H569" s="708"/>
      <c r="I569" s="708" t="str">
        <f>IFERROR(__xludf.DUMMYFUNCTION("""COMPUTED_VALUE"""),"L00")</f>
        <v>L00</v>
      </c>
      <c r="J569" s="708" t="str">
        <f>IFERROR(__xludf.DUMMYFUNCTION("""COMPUTED_VALUE"""),"Công ty cổ phần MISA")</f>
        <v>Công ty cổ phần MISA</v>
      </c>
      <c r="K569" s="708"/>
      <c r="L569" s="708" t="str">
        <f>IFERROR(__xludf.DUMMYFUNCTION("""COMPUTED_VALUE"""),"Đang theo dõi")</f>
        <v>Đang theo dõi</v>
      </c>
      <c r="M569" s="708"/>
      <c r="N569" s="708" t="str">
        <f>IFERROR(__xludf.DUMMYFUNCTION("""COMPUTED_VALUE"""),"giữ nguyên")</f>
        <v>giữ nguyên</v>
      </c>
      <c r="O569" s="708"/>
      <c r="P569" s="708"/>
      <c r="Q569" s="708"/>
      <c r="R569" s="708"/>
      <c r="S569" s="708"/>
      <c r="T569" s="708"/>
      <c r="U569" s="708"/>
      <c r="V569" s="708"/>
      <c r="W569" s="708"/>
      <c r="X569" s="708"/>
      <c r="Y569" s="708"/>
      <c r="Z569" s="708"/>
      <c r="AA569" s="708"/>
      <c r="AB569" s="708"/>
      <c r="AC569" s="708"/>
      <c r="AD569" s="708"/>
      <c r="AE569" s="708"/>
    </row>
    <row r="570">
      <c r="A570" s="708">
        <f>IFERROR(__xludf.DUMMYFUNCTION("""COMPUTED_VALUE"""),254.0)</f>
        <v>254</v>
      </c>
      <c r="B570" s="708" t="str">
        <f>IFERROR(__xludf.DUMMYFUNCTION("""COMPUTED_VALUE"""),"HCM_GIA HẠN")</f>
        <v>HCM_GIA HẠN</v>
      </c>
      <c r="C570" s="708" t="str">
        <f>IFERROR(__xludf.DUMMYFUNCTION("""COMPUTED_VALUE"""),"HCM_GIA HẠN")</f>
        <v>HCM_GIA HẠN</v>
      </c>
      <c r="D570" s="708" t="str">
        <f>IFERROR(__xludf.DUMMYFUNCTION("""COMPUTED_VALUE"""),"Gia hạn HCM")</f>
        <v>Gia hạn HCM</v>
      </c>
      <c r="E570" s="708"/>
      <c r="F570" s="708"/>
      <c r="G570" s="708"/>
      <c r="H570" s="708"/>
      <c r="I570" s="708" t="str">
        <f>IFERROR(__xludf.DUMMYFUNCTION("""COMPUTED_VALUE"""),"L00")</f>
        <v>L00</v>
      </c>
      <c r="J570" s="708" t="str">
        <f>IFERROR(__xludf.DUMMYFUNCTION("""COMPUTED_VALUE"""),"Công ty cổ phần MISA")</f>
        <v>Công ty cổ phần MISA</v>
      </c>
      <c r="K570" s="708"/>
      <c r="L570" s="708" t="str">
        <f>IFERROR(__xludf.DUMMYFUNCTION("""COMPUTED_VALUE"""),"Đang theo dõi")</f>
        <v>Đang theo dõi</v>
      </c>
      <c r="M570" s="708"/>
      <c r="N570" s="708" t="str">
        <f>IFERROR(__xludf.DUMMYFUNCTION("""COMPUTED_VALUE"""),"giữ nguyên")</f>
        <v>giữ nguyên</v>
      </c>
      <c r="O570" s="708"/>
      <c r="P570" s="708"/>
      <c r="Q570" s="708"/>
      <c r="R570" s="708"/>
      <c r="S570" s="708"/>
      <c r="T570" s="708"/>
      <c r="U570" s="708"/>
      <c r="V570" s="708"/>
      <c r="W570" s="708"/>
      <c r="X570" s="708"/>
      <c r="Y570" s="708"/>
      <c r="Z570" s="708"/>
      <c r="AA570" s="708"/>
      <c r="AB570" s="708"/>
      <c r="AC570" s="708"/>
      <c r="AD570" s="708"/>
      <c r="AE570" s="708"/>
    </row>
    <row r="571">
      <c r="A571" s="708"/>
      <c r="B571" s="708"/>
      <c r="C571" s="708"/>
      <c r="D571" s="708"/>
      <c r="E571" s="708"/>
      <c r="F571" s="708"/>
      <c r="G571" s="708"/>
      <c r="H571" s="708"/>
      <c r="I571" s="708"/>
      <c r="J571" s="708"/>
      <c r="K571" s="708"/>
      <c r="L571" s="708"/>
      <c r="M571" s="708"/>
      <c r="N571" s="708"/>
      <c r="O571" s="708"/>
      <c r="P571" s="708"/>
      <c r="Q571" s="708"/>
      <c r="R571" s="708"/>
      <c r="S571" s="708"/>
      <c r="T571" s="708"/>
      <c r="U571" s="708"/>
      <c r="V571" s="708"/>
      <c r="W571" s="708"/>
      <c r="X571" s="708"/>
      <c r="Y571" s="708"/>
      <c r="Z571" s="708"/>
      <c r="AA571" s="708"/>
      <c r="AB571" s="708"/>
      <c r="AC571" s="708"/>
      <c r="AD571" s="708"/>
      <c r="AE571" s="708"/>
    </row>
    <row r="572">
      <c r="A572" s="708"/>
      <c r="B572" s="708"/>
      <c r="C572" s="708"/>
      <c r="D572" s="708"/>
      <c r="E572" s="708"/>
      <c r="F572" s="708"/>
      <c r="G572" s="708"/>
      <c r="H572" s="708"/>
      <c r="I572" s="708"/>
      <c r="J572" s="708"/>
      <c r="K572" s="708"/>
      <c r="L572" s="708"/>
      <c r="M572" s="708"/>
      <c r="N572" s="708"/>
      <c r="O572" s="708"/>
      <c r="P572" s="708"/>
      <c r="Q572" s="708"/>
      <c r="R572" s="708"/>
      <c r="S572" s="708"/>
      <c r="T572" s="708"/>
      <c r="U572" s="708"/>
      <c r="V572" s="708"/>
      <c r="W572" s="708"/>
      <c r="X572" s="708"/>
      <c r="Y572" s="708"/>
      <c r="Z572" s="708"/>
      <c r="AA572" s="708"/>
      <c r="AB572" s="708"/>
      <c r="AC572" s="708"/>
      <c r="AD572" s="708"/>
      <c r="AE572" s="708"/>
    </row>
    <row r="573">
      <c r="A573" s="708"/>
      <c r="B573" s="708"/>
      <c r="C573" s="708"/>
      <c r="D573" s="708"/>
      <c r="E573" s="708"/>
      <c r="F573" s="708"/>
      <c r="G573" s="708"/>
      <c r="H573" s="708"/>
      <c r="I573" s="708"/>
      <c r="J573" s="708"/>
      <c r="K573" s="708"/>
      <c r="L573" s="708"/>
      <c r="M573" s="708"/>
      <c r="N573" s="708"/>
      <c r="O573" s="708"/>
      <c r="P573" s="708"/>
      <c r="Q573" s="708"/>
      <c r="R573" s="708"/>
      <c r="S573" s="708"/>
      <c r="T573" s="708"/>
      <c r="U573" s="708"/>
      <c r="V573" s="708"/>
      <c r="W573" s="708"/>
      <c r="X573" s="708"/>
      <c r="Y573" s="708"/>
      <c r="Z573" s="708"/>
      <c r="AA573" s="708"/>
      <c r="AB573" s="708"/>
      <c r="AC573" s="708"/>
      <c r="AD573" s="708"/>
      <c r="AE573" s="708"/>
    </row>
    <row r="574">
      <c r="A574" s="708"/>
      <c r="B574" s="708"/>
      <c r="C574" s="708"/>
      <c r="D574" s="708"/>
      <c r="E574" s="708"/>
      <c r="F574" s="708"/>
      <c r="G574" s="708"/>
      <c r="H574" s="708"/>
      <c r="I574" s="708"/>
      <c r="J574" s="708"/>
      <c r="K574" s="708"/>
      <c r="L574" s="708"/>
      <c r="M574" s="708"/>
      <c r="N574" s="708"/>
      <c r="O574" s="708"/>
      <c r="P574" s="708"/>
      <c r="Q574" s="708"/>
      <c r="R574" s="708"/>
      <c r="S574" s="708"/>
      <c r="T574" s="708"/>
      <c r="U574" s="708"/>
      <c r="V574" s="708"/>
      <c r="W574" s="708"/>
      <c r="X574" s="708"/>
      <c r="Y574" s="708"/>
      <c r="Z574" s="708"/>
      <c r="AA574" s="708"/>
      <c r="AB574" s="708"/>
      <c r="AC574" s="708"/>
      <c r="AD574" s="708"/>
      <c r="AE574" s="708"/>
    </row>
    <row r="575">
      <c r="A575" s="708"/>
      <c r="B575" s="708"/>
      <c r="C575" s="708"/>
      <c r="D575" s="708"/>
      <c r="E575" s="708"/>
      <c r="F575" s="708"/>
      <c r="G575" s="708"/>
      <c r="H575" s="708"/>
      <c r="I575" s="708"/>
      <c r="J575" s="708"/>
      <c r="K575" s="708"/>
      <c r="L575" s="708"/>
      <c r="M575" s="708"/>
      <c r="N575" s="708"/>
      <c r="O575" s="708"/>
      <c r="P575" s="708"/>
      <c r="Q575" s="708"/>
      <c r="R575" s="708"/>
      <c r="S575" s="708"/>
      <c r="T575" s="708"/>
      <c r="U575" s="708"/>
      <c r="V575" s="708"/>
      <c r="W575" s="708"/>
      <c r="X575" s="708"/>
      <c r="Y575" s="708"/>
      <c r="Z575" s="708"/>
      <c r="AA575" s="708"/>
      <c r="AB575" s="708"/>
      <c r="AC575" s="708"/>
      <c r="AD575" s="708"/>
      <c r="AE575" s="708"/>
    </row>
    <row r="576">
      <c r="A576" s="708"/>
      <c r="B576" s="708"/>
      <c r="C576" s="708"/>
      <c r="D576" s="708"/>
      <c r="E576" s="708"/>
      <c r="F576" s="708"/>
      <c r="G576" s="708"/>
      <c r="H576" s="708"/>
      <c r="I576" s="708"/>
      <c r="J576" s="708"/>
      <c r="K576" s="708"/>
      <c r="L576" s="708"/>
      <c r="M576" s="708"/>
      <c r="N576" s="708"/>
      <c r="O576" s="708"/>
      <c r="P576" s="708"/>
      <c r="Q576" s="708"/>
      <c r="R576" s="708"/>
      <c r="S576" s="708"/>
      <c r="T576" s="708"/>
      <c r="U576" s="708"/>
      <c r="V576" s="708"/>
      <c r="W576" s="708"/>
      <c r="X576" s="708"/>
      <c r="Y576" s="708"/>
      <c r="Z576" s="708"/>
      <c r="AA576" s="708"/>
      <c r="AB576" s="708"/>
      <c r="AC576" s="708"/>
      <c r="AD576" s="708"/>
      <c r="AE576" s="708"/>
    </row>
    <row r="577">
      <c r="A577" s="708"/>
      <c r="B577" s="708"/>
      <c r="C577" s="708"/>
      <c r="D577" s="708"/>
      <c r="E577" s="708"/>
      <c r="F577" s="708"/>
      <c r="G577" s="708"/>
      <c r="H577" s="708"/>
      <c r="I577" s="708"/>
      <c r="J577" s="708"/>
      <c r="K577" s="708"/>
      <c r="L577" s="708"/>
      <c r="M577" s="708"/>
      <c r="N577" s="708"/>
      <c r="O577" s="708"/>
      <c r="P577" s="708"/>
      <c r="Q577" s="708"/>
      <c r="R577" s="708"/>
      <c r="S577" s="708"/>
      <c r="T577" s="708"/>
      <c r="U577" s="708"/>
      <c r="V577" s="708"/>
      <c r="W577" s="708"/>
      <c r="X577" s="708"/>
      <c r="Y577" s="708"/>
      <c r="Z577" s="708"/>
      <c r="AA577" s="708"/>
      <c r="AB577" s="708"/>
      <c r="AC577" s="708"/>
      <c r="AD577" s="708"/>
      <c r="AE577" s="708"/>
    </row>
    <row r="578">
      <c r="A578" s="708"/>
      <c r="B578" s="708"/>
      <c r="C578" s="708"/>
      <c r="D578" s="708"/>
      <c r="E578" s="708"/>
      <c r="F578" s="708"/>
      <c r="G578" s="708"/>
      <c r="H578" s="708"/>
      <c r="I578" s="708"/>
      <c r="J578" s="708"/>
      <c r="K578" s="708"/>
      <c r="L578" s="708"/>
      <c r="M578" s="708"/>
      <c r="N578" s="708"/>
      <c r="O578" s="708"/>
      <c r="P578" s="708"/>
      <c r="Q578" s="708"/>
      <c r="R578" s="708"/>
      <c r="S578" s="708"/>
      <c r="T578" s="708"/>
      <c r="U578" s="708"/>
      <c r="V578" s="708"/>
      <c r="W578" s="708"/>
      <c r="X578" s="708"/>
      <c r="Y578" s="708"/>
      <c r="Z578" s="708"/>
      <c r="AA578" s="708"/>
      <c r="AB578" s="708"/>
      <c r="AC578" s="708"/>
      <c r="AD578" s="708"/>
      <c r="AE578" s="708"/>
    </row>
    <row r="579">
      <c r="A579" s="708"/>
      <c r="B579" s="708"/>
      <c r="C579" s="708"/>
      <c r="D579" s="708"/>
      <c r="E579" s="708"/>
      <c r="F579" s="708"/>
      <c r="G579" s="708"/>
      <c r="H579" s="708"/>
      <c r="I579" s="708"/>
      <c r="J579" s="708"/>
      <c r="K579" s="708"/>
      <c r="L579" s="708"/>
      <c r="M579" s="708"/>
      <c r="N579" s="708"/>
      <c r="O579" s="708"/>
      <c r="P579" s="708"/>
      <c r="Q579" s="708"/>
      <c r="R579" s="708"/>
      <c r="S579" s="708"/>
      <c r="T579" s="708"/>
      <c r="U579" s="708"/>
      <c r="V579" s="708"/>
      <c r="W579" s="708"/>
      <c r="X579" s="708"/>
      <c r="Y579" s="708"/>
      <c r="Z579" s="708"/>
      <c r="AA579" s="708"/>
      <c r="AB579" s="708"/>
      <c r="AC579" s="708"/>
      <c r="AD579" s="708"/>
      <c r="AE579" s="708"/>
    </row>
    <row r="580">
      <c r="A580" s="708"/>
      <c r="B580" s="708"/>
      <c r="C580" s="708"/>
      <c r="D580" s="708"/>
      <c r="E580" s="708"/>
      <c r="F580" s="708"/>
      <c r="G580" s="708"/>
      <c r="H580" s="708"/>
      <c r="I580" s="708"/>
      <c r="J580" s="708"/>
      <c r="K580" s="708"/>
      <c r="L580" s="708"/>
      <c r="M580" s="708"/>
      <c r="N580" s="708"/>
      <c r="O580" s="708"/>
      <c r="P580" s="708"/>
      <c r="Q580" s="708"/>
      <c r="R580" s="708"/>
      <c r="S580" s="708"/>
      <c r="T580" s="708"/>
      <c r="U580" s="708"/>
      <c r="V580" s="708"/>
      <c r="W580" s="708"/>
      <c r="X580" s="708"/>
      <c r="Y580" s="708"/>
      <c r="Z580" s="708"/>
      <c r="AA580" s="708"/>
      <c r="AB580" s="708"/>
      <c r="AC580" s="708"/>
      <c r="AD580" s="708"/>
      <c r="AE580" s="708"/>
    </row>
    <row r="581">
      <c r="A581" s="708"/>
      <c r="B581" s="708"/>
      <c r="C581" s="708"/>
      <c r="D581" s="708"/>
      <c r="E581" s="708"/>
      <c r="F581" s="708"/>
      <c r="G581" s="708"/>
      <c r="H581" s="708"/>
      <c r="I581" s="708"/>
      <c r="J581" s="708"/>
      <c r="K581" s="708"/>
      <c r="L581" s="708"/>
      <c r="M581" s="708"/>
      <c r="N581" s="708"/>
      <c r="O581" s="708"/>
      <c r="P581" s="708"/>
      <c r="Q581" s="708"/>
      <c r="R581" s="708"/>
      <c r="S581" s="708"/>
      <c r="T581" s="708"/>
      <c r="U581" s="708"/>
      <c r="V581" s="708"/>
      <c r="W581" s="708"/>
      <c r="X581" s="708"/>
      <c r="Y581" s="708"/>
      <c r="Z581" s="708"/>
      <c r="AA581" s="708"/>
      <c r="AB581" s="708"/>
      <c r="AC581" s="708"/>
      <c r="AD581" s="708"/>
      <c r="AE581" s="708"/>
    </row>
    <row r="582">
      <c r="A582" s="708"/>
      <c r="B582" s="708"/>
      <c r="C582" s="708"/>
      <c r="D582" s="708"/>
      <c r="E582" s="708"/>
      <c r="F582" s="708"/>
      <c r="G582" s="708"/>
      <c r="H582" s="708"/>
      <c r="I582" s="708"/>
      <c r="J582" s="708"/>
      <c r="K582" s="708"/>
      <c r="L582" s="708"/>
      <c r="M582" s="708"/>
      <c r="N582" s="708"/>
      <c r="O582" s="708"/>
      <c r="P582" s="708"/>
      <c r="Q582" s="708"/>
      <c r="R582" s="708"/>
      <c r="S582" s="708"/>
      <c r="T582" s="708"/>
      <c r="U582" s="708"/>
      <c r="V582" s="708"/>
      <c r="W582" s="708"/>
      <c r="X582" s="708"/>
      <c r="Y582" s="708"/>
      <c r="Z582" s="708"/>
      <c r="AA582" s="708"/>
      <c r="AB582" s="708"/>
      <c r="AC582" s="708"/>
      <c r="AD582" s="708"/>
      <c r="AE582" s="708"/>
    </row>
    <row r="583">
      <c r="A583" s="708"/>
      <c r="B583" s="708"/>
      <c r="C583" s="708"/>
      <c r="D583" s="708"/>
      <c r="E583" s="708"/>
      <c r="F583" s="708"/>
      <c r="G583" s="708"/>
      <c r="H583" s="708"/>
      <c r="I583" s="708"/>
      <c r="J583" s="708"/>
      <c r="K583" s="708"/>
      <c r="L583" s="708"/>
      <c r="M583" s="708"/>
      <c r="N583" s="708"/>
      <c r="O583" s="708"/>
      <c r="P583" s="708"/>
      <c r="Q583" s="708"/>
      <c r="R583" s="708"/>
      <c r="S583" s="708"/>
      <c r="T583" s="708"/>
      <c r="U583" s="708"/>
      <c r="V583" s="708"/>
      <c r="W583" s="708"/>
      <c r="X583" s="708"/>
      <c r="Y583" s="708"/>
      <c r="Z583" s="708"/>
      <c r="AA583" s="708"/>
      <c r="AB583" s="708"/>
      <c r="AC583" s="708"/>
      <c r="AD583" s="708"/>
      <c r="AE583" s="708"/>
    </row>
    <row r="584">
      <c r="A584" s="708"/>
      <c r="B584" s="708"/>
      <c r="C584" s="708"/>
      <c r="D584" s="708"/>
      <c r="E584" s="708"/>
      <c r="F584" s="708"/>
      <c r="G584" s="708"/>
      <c r="H584" s="708"/>
      <c r="I584" s="708"/>
      <c r="J584" s="708"/>
      <c r="K584" s="708"/>
      <c r="L584" s="708"/>
      <c r="M584" s="708"/>
      <c r="N584" s="708"/>
      <c r="O584" s="708"/>
      <c r="P584" s="708"/>
      <c r="Q584" s="708"/>
      <c r="R584" s="708"/>
      <c r="S584" s="708"/>
      <c r="T584" s="708"/>
      <c r="U584" s="708"/>
      <c r="V584" s="708"/>
      <c r="W584" s="708"/>
      <c r="X584" s="708"/>
      <c r="Y584" s="708"/>
      <c r="Z584" s="708"/>
      <c r="AA584" s="708"/>
      <c r="AB584" s="708"/>
      <c r="AC584" s="708"/>
      <c r="AD584" s="708"/>
      <c r="AE584" s="708"/>
    </row>
    <row r="585">
      <c r="A585" s="708"/>
      <c r="B585" s="708"/>
      <c r="C585" s="708"/>
      <c r="D585" s="708"/>
      <c r="E585" s="708"/>
      <c r="F585" s="708"/>
      <c r="G585" s="708"/>
      <c r="H585" s="708"/>
      <c r="I585" s="708"/>
      <c r="J585" s="708"/>
      <c r="K585" s="708"/>
      <c r="L585" s="708"/>
      <c r="M585" s="708"/>
      <c r="N585" s="708"/>
      <c r="O585" s="708"/>
      <c r="P585" s="708"/>
      <c r="Q585" s="708"/>
      <c r="R585" s="708"/>
      <c r="S585" s="708"/>
      <c r="T585" s="708"/>
      <c r="U585" s="708"/>
      <c r="V585" s="708"/>
      <c r="W585" s="708"/>
      <c r="X585" s="708"/>
      <c r="Y585" s="708"/>
      <c r="Z585" s="708"/>
      <c r="AA585" s="708"/>
      <c r="AB585" s="708"/>
      <c r="AC585" s="708"/>
      <c r="AD585" s="708"/>
      <c r="AE585" s="708"/>
    </row>
    <row r="586">
      <c r="A586" s="708"/>
      <c r="B586" s="708"/>
      <c r="C586" s="708"/>
      <c r="D586" s="708"/>
      <c r="E586" s="708"/>
      <c r="F586" s="708"/>
      <c r="G586" s="708"/>
      <c r="H586" s="708"/>
      <c r="I586" s="708"/>
      <c r="J586" s="708"/>
      <c r="K586" s="708"/>
      <c r="L586" s="708"/>
      <c r="M586" s="708"/>
      <c r="N586" s="708"/>
      <c r="O586" s="708"/>
      <c r="P586" s="708"/>
      <c r="Q586" s="708"/>
      <c r="R586" s="708"/>
      <c r="S586" s="708"/>
      <c r="T586" s="708"/>
      <c r="U586" s="708"/>
      <c r="V586" s="708"/>
      <c r="W586" s="708"/>
      <c r="X586" s="708"/>
      <c r="Y586" s="708"/>
      <c r="Z586" s="708"/>
      <c r="AA586" s="708"/>
      <c r="AB586" s="708"/>
      <c r="AC586" s="708"/>
      <c r="AD586" s="708"/>
      <c r="AE586" s="708"/>
    </row>
    <row r="587">
      <c r="A587" s="708"/>
      <c r="B587" s="708"/>
      <c r="C587" s="708"/>
      <c r="D587" s="708"/>
      <c r="E587" s="708"/>
      <c r="F587" s="708"/>
      <c r="G587" s="708"/>
      <c r="H587" s="708"/>
      <c r="I587" s="708"/>
      <c r="J587" s="708"/>
      <c r="K587" s="708"/>
      <c r="L587" s="708"/>
      <c r="M587" s="708"/>
      <c r="N587" s="708"/>
      <c r="O587" s="708"/>
      <c r="P587" s="708"/>
      <c r="Q587" s="708"/>
      <c r="R587" s="708"/>
      <c r="S587" s="708"/>
      <c r="T587" s="708"/>
      <c r="U587" s="708"/>
      <c r="V587" s="708"/>
      <c r="W587" s="708"/>
      <c r="X587" s="708"/>
      <c r="Y587" s="708"/>
      <c r="Z587" s="708"/>
      <c r="AA587" s="708"/>
      <c r="AB587" s="708"/>
      <c r="AC587" s="708"/>
      <c r="AD587" s="708"/>
      <c r="AE587" s="708"/>
    </row>
    <row r="588">
      <c r="A588" s="708"/>
      <c r="B588" s="708"/>
      <c r="C588" s="708"/>
      <c r="D588" s="708"/>
      <c r="E588" s="708"/>
      <c r="F588" s="708"/>
      <c r="G588" s="708"/>
      <c r="H588" s="708"/>
      <c r="I588" s="708"/>
      <c r="J588" s="708"/>
      <c r="K588" s="708"/>
      <c r="L588" s="708"/>
      <c r="M588" s="708"/>
      <c r="N588" s="708"/>
      <c r="O588" s="708"/>
      <c r="P588" s="708"/>
      <c r="Q588" s="708"/>
      <c r="R588" s="708"/>
      <c r="S588" s="708"/>
      <c r="T588" s="708"/>
      <c r="U588" s="708"/>
      <c r="V588" s="708"/>
      <c r="W588" s="708"/>
      <c r="X588" s="708"/>
      <c r="Y588" s="708"/>
      <c r="Z588" s="708"/>
      <c r="AA588" s="708"/>
      <c r="AB588" s="708"/>
      <c r="AC588" s="708"/>
      <c r="AD588" s="708"/>
      <c r="AE588" s="708"/>
    </row>
    <row r="589">
      <c r="A589" s="708"/>
      <c r="B589" s="708"/>
      <c r="C589" s="708"/>
      <c r="D589" s="708"/>
      <c r="E589" s="708"/>
      <c r="F589" s="708"/>
      <c r="G589" s="708"/>
      <c r="H589" s="708"/>
      <c r="I589" s="708"/>
      <c r="J589" s="708"/>
      <c r="K589" s="708"/>
      <c r="L589" s="708"/>
      <c r="M589" s="708"/>
      <c r="N589" s="708"/>
      <c r="O589" s="708"/>
      <c r="P589" s="708"/>
      <c r="Q589" s="708"/>
      <c r="R589" s="708"/>
      <c r="S589" s="708"/>
      <c r="T589" s="708"/>
      <c r="U589" s="708"/>
      <c r="V589" s="708"/>
      <c r="W589" s="708"/>
      <c r="X589" s="708"/>
      <c r="Y589" s="708"/>
      <c r="Z589" s="708"/>
      <c r="AA589" s="708"/>
      <c r="AB589" s="708"/>
      <c r="AC589" s="708"/>
      <c r="AD589" s="708"/>
      <c r="AE589" s="708"/>
    </row>
    <row r="590">
      <c r="A590" s="708"/>
      <c r="B590" s="708"/>
      <c r="C590" s="708"/>
      <c r="D590" s="708"/>
      <c r="E590" s="708"/>
      <c r="F590" s="708"/>
      <c r="G590" s="708"/>
      <c r="H590" s="708"/>
      <c r="I590" s="708"/>
      <c r="J590" s="708"/>
      <c r="K590" s="708"/>
      <c r="L590" s="708"/>
      <c r="M590" s="708"/>
      <c r="N590" s="708"/>
      <c r="O590" s="708"/>
      <c r="P590" s="708"/>
      <c r="Q590" s="708"/>
      <c r="R590" s="708"/>
      <c r="S590" s="708"/>
      <c r="T590" s="708"/>
      <c r="U590" s="708"/>
      <c r="V590" s="708"/>
      <c r="W590" s="708"/>
      <c r="X590" s="708"/>
      <c r="Y590" s="708"/>
      <c r="Z590" s="708"/>
      <c r="AA590" s="708"/>
      <c r="AB590" s="708"/>
      <c r="AC590" s="708"/>
      <c r="AD590" s="708"/>
      <c r="AE590" s="708"/>
    </row>
    <row r="591">
      <c r="A591" s="708"/>
      <c r="B591" s="708"/>
      <c r="C591" s="708"/>
      <c r="D591" s="708"/>
      <c r="E591" s="708"/>
      <c r="F591" s="708"/>
      <c r="G591" s="708"/>
      <c r="H591" s="708"/>
      <c r="I591" s="708"/>
      <c r="J591" s="708"/>
      <c r="K591" s="708"/>
      <c r="L591" s="708"/>
      <c r="M591" s="708"/>
      <c r="N591" s="708"/>
      <c r="O591" s="708"/>
      <c r="P591" s="708"/>
      <c r="Q591" s="708"/>
      <c r="R591" s="708"/>
      <c r="S591" s="708"/>
      <c r="T591" s="708"/>
      <c r="U591" s="708"/>
      <c r="V591" s="708"/>
      <c r="W591" s="708"/>
      <c r="X591" s="708"/>
      <c r="Y591" s="708"/>
      <c r="Z591" s="708"/>
      <c r="AA591" s="708"/>
      <c r="AB591" s="708"/>
      <c r="AC591" s="708"/>
      <c r="AD591" s="708"/>
      <c r="AE591" s="708"/>
    </row>
    <row r="592">
      <c r="A592" s="708"/>
      <c r="B592" s="708"/>
      <c r="C592" s="708"/>
      <c r="D592" s="708"/>
      <c r="E592" s="708"/>
      <c r="F592" s="708"/>
      <c r="G592" s="708"/>
      <c r="H592" s="708"/>
      <c r="I592" s="708"/>
      <c r="J592" s="708"/>
      <c r="K592" s="708"/>
      <c r="L592" s="708"/>
      <c r="M592" s="708"/>
      <c r="N592" s="708"/>
      <c r="O592" s="708"/>
      <c r="P592" s="708"/>
      <c r="Q592" s="708"/>
      <c r="R592" s="708"/>
      <c r="S592" s="708"/>
      <c r="T592" s="708"/>
      <c r="U592" s="708"/>
      <c r="V592" s="708"/>
      <c r="W592" s="708"/>
      <c r="X592" s="708"/>
      <c r="Y592" s="708"/>
      <c r="Z592" s="708"/>
      <c r="AA592" s="708"/>
      <c r="AB592" s="708"/>
      <c r="AC592" s="708"/>
      <c r="AD592" s="708"/>
      <c r="AE592" s="708"/>
    </row>
    <row r="593">
      <c r="A593" s="708"/>
      <c r="B593" s="708"/>
      <c r="C593" s="708"/>
      <c r="D593" s="708"/>
      <c r="E593" s="708"/>
      <c r="F593" s="708"/>
      <c r="G593" s="708"/>
      <c r="H593" s="708"/>
      <c r="I593" s="708"/>
      <c r="J593" s="708"/>
      <c r="K593" s="708"/>
      <c r="L593" s="708"/>
      <c r="M593" s="708"/>
      <c r="N593" s="708"/>
      <c r="O593" s="708"/>
      <c r="P593" s="708"/>
      <c r="Q593" s="708"/>
      <c r="R593" s="708"/>
      <c r="S593" s="708"/>
      <c r="T593" s="708"/>
      <c r="U593" s="708"/>
      <c r="V593" s="708"/>
      <c r="W593" s="708"/>
      <c r="X593" s="708"/>
      <c r="Y593" s="708"/>
      <c r="Z593" s="708"/>
      <c r="AA593" s="708"/>
      <c r="AB593" s="708"/>
      <c r="AC593" s="708"/>
      <c r="AD593" s="708"/>
      <c r="AE593" s="708"/>
    </row>
    <row r="594">
      <c r="A594" s="708"/>
      <c r="B594" s="708"/>
      <c r="C594" s="708"/>
      <c r="D594" s="708"/>
      <c r="E594" s="708"/>
      <c r="F594" s="708"/>
      <c r="G594" s="708"/>
      <c r="H594" s="708"/>
      <c r="I594" s="708"/>
      <c r="J594" s="708"/>
      <c r="K594" s="708"/>
      <c r="L594" s="708"/>
      <c r="M594" s="708"/>
      <c r="N594" s="708"/>
      <c r="O594" s="708"/>
      <c r="P594" s="708"/>
      <c r="Q594" s="708"/>
      <c r="R594" s="708"/>
      <c r="S594" s="708"/>
      <c r="T594" s="708"/>
      <c r="U594" s="708"/>
      <c r="V594" s="708"/>
      <c r="W594" s="708"/>
      <c r="X594" s="708"/>
      <c r="Y594" s="708"/>
      <c r="Z594" s="708"/>
      <c r="AA594" s="708"/>
      <c r="AB594" s="708"/>
      <c r="AC594" s="708"/>
      <c r="AD594" s="708"/>
      <c r="AE594" s="708"/>
    </row>
    <row r="595">
      <c r="A595" s="708"/>
      <c r="B595" s="708"/>
      <c r="C595" s="708"/>
      <c r="D595" s="708"/>
      <c r="E595" s="708"/>
      <c r="F595" s="708"/>
      <c r="G595" s="708"/>
      <c r="H595" s="708"/>
      <c r="I595" s="708"/>
      <c r="J595" s="708"/>
      <c r="K595" s="708"/>
      <c r="L595" s="708"/>
      <c r="M595" s="708"/>
      <c r="N595" s="708"/>
      <c r="O595" s="708"/>
      <c r="P595" s="708"/>
      <c r="Q595" s="708"/>
      <c r="R595" s="708"/>
      <c r="S595" s="708"/>
      <c r="T595" s="708"/>
      <c r="U595" s="708"/>
      <c r="V595" s="708"/>
      <c r="W595" s="708"/>
      <c r="X595" s="708"/>
      <c r="Y595" s="708"/>
      <c r="Z595" s="708"/>
      <c r="AA595" s="708"/>
      <c r="AB595" s="708"/>
      <c r="AC595" s="708"/>
      <c r="AD595" s="708"/>
      <c r="AE595" s="708"/>
    </row>
    <row r="596">
      <c r="A596" s="708"/>
      <c r="B596" s="708"/>
      <c r="C596" s="708"/>
      <c r="D596" s="708"/>
      <c r="E596" s="708"/>
      <c r="F596" s="708"/>
      <c r="G596" s="708"/>
      <c r="H596" s="708"/>
      <c r="I596" s="708"/>
      <c r="J596" s="708"/>
      <c r="K596" s="708"/>
      <c r="L596" s="708"/>
      <c r="M596" s="708"/>
      <c r="N596" s="708"/>
      <c r="O596" s="708"/>
      <c r="P596" s="708"/>
      <c r="Q596" s="708"/>
      <c r="R596" s="708"/>
      <c r="S596" s="708"/>
      <c r="T596" s="708"/>
      <c r="U596" s="708"/>
      <c r="V596" s="708"/>
      <c r="W596" s="708"/>
      <c r="X596" s="708"/>
      <c r="Y596" s="708"/>
      <c r="Z596" s="708"/>
      <c r="AA596" s="708"/>
      <c r="AB596" s="708"/>
      <c r="AC596" s="708"/>
      <c r="AD596" s="708"/>
      <c r="AE596" s="708"/>
    </row>
    <row r="597">
      <c r="A597" s="708"/>
      <c r="B597" s="708"/>
      <c r="C597" s="708"/>
      <c r="D597" s="708"/>
      <c r="E597" s="708"/>
      <c r="F597" s="708"/>
      <c r="G597" s="708"/>
      <c r="H597" s="708"/>
      <c r="I597" s="708"/>
      <c r="J597" s="708"/>
      <c r="K597" s="708"/>
      <c r="L597" s="708"/>
      <c r="M597" s="708"/>
      <c r="N597" s="708"/>
      <c r="O597" s="708"/>
      <c r="P597" s="708"/>
      <c r="Q597" s="708"/>
      <c r="R597" s="708"/>
      <c r="S597" s="708"/>
      <c r="T597" s="708"/>
      <c r="U597" s="708"/>
      <c r="V597" s="708"/>
      <c r="W597" s="708"/>
      <c r="X597" s="708"/>
      <c r="Y597" s="708"/>
      <c r="Z597" s="708"/>
      <c r="AA597" s="708"/>
      <c r="AB597" s="708"/>
      <c r="AC597" s="708"/>
      <c r="AD597" s="708"/>
      <c r="AE597" s="708"/>
    </row>
    <row r="598">
      <c r="A598" s="708"/>
      <c r="B598" s="708"/>
      <c r="C598" s="708"/>
      <c r="D598" s="708"/>
      <c r="E598" s="708"/>
      <c r="F598" s="708"/>
      <c r="G598" s="708"/>
      <c r="H598" s="708"/>
      <c r="I598" s="708"/>
      <c r="J598" s="708"/>
      <c r="K598" s="708"/>
      <c r="L598" s="708"/>
      <c r="M598" s="708"/>
      <c r="N598" s="708"/>
      <c r="O598" s="708"/>
      <c r="P598" s="708"/>
      <c r="Q598" s="708"/>
      <c r="R598" s="708"/>
      <c r="S598" s="708"/>
      <c r="T598" s="708"/>
      <c r="U598" s="708"/>
      <c r="V598" s="708"/>
      <c r="W598" s="708"/>
      <c r="X598" s="708"/>
      <c r="Y598" s="708"/>
      <c r="Z598" s="708"/>
      <c r="AA598" s="708"/>
      <c r="AB598" s="708"/>
      <c r="AC598" s="708"/>
      <c r="AD598" s="708"/>
      <c r="AE598" s="708"/>
    </row>
    <row r="599">
      <c r="A599" s="708"/>
      <c r="B599" s="708"/>
      <c r="C599" s="708"/>
      <c r="D599" s="708"/>
      <c r="E599" s="708"/>
      <c r="F599" s="708"/>
      <c r="G599" s="708"/>
      <c r="H599" s="708"/>
      <c r="I599" s="708"/>
      <c r="J599" s="708"/>
      <c r="K599" s="708"/>
      <c r="L599" s="708"/>
      <c r="M599" s="708"/>
      <c r="N599" s="708"/>
      <c r="O599" s="708"/>
      <c r="P599" s="708"/>
      <c r="Q599" s="708"/>
      <c r="R599" s="708"/>
      <c r="S599" s="708"/>
      <c r="T599" s="708"/>
      <c r="U599" s="708"/>
      <c r="V599" s="708"/>
      <c r="W599" s="708"/>
      <c r="X599" s="708"/>
      <c r="Y599" s="708"/>
      <c r="Z599" s="708"/>
      <c r="AA599" s="708"/>
      <c r="AB599" s="708"/>
      <c r="AC599" s="708"/>
      <c r="AD599" s="708"/>
      <c r="AE599" s="708"/>
    </row>
    <row r="600">
      <c r="A600" s="708"/>
      <c r="B600" s="708"/>
      <c r="C600" s="708"/>
      <c r="D600" s="708"/>
      <c r="E600" s="708"/>
      <c r="F600" s="708"/>
      <c r="G600" s="708"/>
      <c r="H600" s="708"/>
      <c r="I600" s="708"/>
      <c r="J600" s="708"/>
      <c r="K600" s="708"/>
      <c r="L600" s="708"/>
      <c r="M600" s="708"/>
      <c r="N600" s="708"/>
      <c r="O600" s="708"/>
      <c r="P600" s="708"/>
      <c r="Q600" s="708"/>
      <c r="R600" s="708"/>
      <c r="S600" s="708"/>
      <c r="T600" s="708"/>
      <c r="U600" s="708"/>
      <c r="V600" s="708"/>
      <c r="W600" s="708"/>
      <c r="X600" s="708"/>
      <c r="Y600" s="708"/>
      <c r="Z600" s="708"/>
      <c r="AA600" s="708"/>
      <c r="AB600" s="708"/>
      <c r="AC600" s="708"/>
      <c r="AD600" s="708"/>
      <c r="AE600" s="708"/>
    </row>
    <row r="601">
      <c r="A601" s="708"/>
      <c r="B601" s="708"/>
      <c r="C601" s="708"/>
      <c r="D601" s="708"/>
      <c r="E601" s="708"/>
      <c r="F601" s="708"/>
      <c r="G601" s="708"/>
      <c r="H601" s="708"/>
      <c r="I601" s="708"/>
      <c r="J601" s="708"/>
      <c r="K601" s="708"/>
      <c r="L601" s="708"/>
      <c r="M601" s="708"/>
      <c r="N601" s="708"/>
      <c r="O601" s="708"/>
      <c r="P601" s="708"/>
      <c r="Q601" s="708"/>
      <c r="R601" s="708"/>
      <c r="S601" s="708"/>
      <c r="T601" s="708"/>
      <c r="U601" s="708"/>
      <c r="V601" s="708"/>
      <c r="W601" s="708"/>
      <c r="X601" s="708"/>
      <c r="Y601" s="708"/>
      <c r="Z601" s="708"/>
      <c r="AA601" s="708"/>
      <c r="AB601" s="708"/>
      <c r="AC601" s="708"/>
      <c r="AD601" s="708"/>
      <c r="AE601" s="708"/>
    </row>
    <row r="602">
      <c r="A602" s="708"/>
      <c r="B602" s="708"/>
      <c r="C602" s="708"/>
      <c r="D602" s="708"/>
      <c r="E602" s="708"/>
      <c r="F602" s="708"/>
      <c r="G602" s="708"/>
      <c r="H602" s="708"/>
      <c r="I602" s="708"/>
      <c r="J602" s="708"/>
      <c r="K602" s="708"/>
      <c r="L602" s="708"/>
      <c r="M602" s="708"/>
      <c r="N602" s="708"/>
      <c r="O602" s="708"/>
      <c r="P602" s="708"/>
      <c r="Q602" s="708"/>
      <c r="R602" s="708"/>
      <c r="S602" s="708"/>
      <c r="T602" s="708"/>
      <c r="U602" s="708"/>
      <c r="V602" s="708"/>
      <c r="W602" s="708"/>
      <c r="X602" s="708"/>
      <c r="Y602" s="708"/>
      <c r="Z602" s="708"/>
      <c r="AA602" s="708"/>
      <c r="AB602" s="708"/>
      <c r="AC602" s="708"/>
      <c r="AD602" s="708"/>
      <c r="AE602" s="708"/>
    </row>
    <row r="603">
      <c r="A603" s="708"/>
      <c r="B603" s="708"/>
      <c r="C603" s="708"/>
      <c r="D603" s="708"/>
      <c r="E603" s="708"/>
      <c r="F603" s="708"/>
      <c r="G603" s="708"/>
      <c r="H603" s="708"/>
      <c r="I603" s="708"/>
      <c r="J603" s="708"/>
      <c r="K603" s="708"/>
      <c r="L603" s="708"/>
      <c r="M603" s="708"/>
      <c r="N603" s="708"/>
      <c r="O603" s="708"/>
      <c r="P603" s="708"/>
      <c r="Q603" s="708"/>
      <c r="R603" s="708"/>
      <c r="S603" s="708"/>
      <c r="T603" s="708"/>
      <c r="U603" s="708"/>
      <c r="V603" s="708"/>
      <c r="W603" s="708"/>
      <c r="X603" s="708"/>
      <c r="Y603" s="708"/>
      <c r="Z603" s="708"/>
      <c r="AA603" s="708"/>
      <c r="AB603" s="708"/>
      <c r="AC603" s="708"/>
      <c r="AD603" s="708"/>
      <c r="AE603" s="708"/>
    </row>
    <row r="604">
      <c r="A604" s="708"/>
      <c r="B604" s="708"/>
      <c r="C604" s="708"/>
      <c r="D604" s="708"/>
      <c r="E604" s="708"/>
      <c r="F604" s="708"/>
      <c r="G604" s="708"/>
      <c r="H604" s="708"/>
      <c r="I604" s="708"/>
      <c r="J604" s="708"/>
      <c r="K604" s="708"/>
      <c r="L604" s="708"/>
      <c r="M604" s="708"/>
      <c r="N604" s="708"/>
      <c r="O604" s="708"/>
      <c r="P604" s="708"/>
      <c r="Q604" s="708"/>
      <c r="R604" s="708"/>
      <c r="S604" s="708"/>
      <c r="T604" s="708"/>
      <c r="U604" s="708"/>
      <c r="V604" s="708"/>
      <c r="W604" s="708"/>
      <c r="X604" s="708"/>
      <c r="Y604" s="708"/>
      <c r="Z604" s="708"/>
      <c r="AA604" s="708"/>
      <c r="AB604" s="708"/>
      <c r="AC604" s="708"/>
      <c r="AD604" s="708"/>
      <c r="AE604" s="708"/>
    </row>
    <row r="605">
      <c r="A605" s="708"/>
      <c r="B605" s="708"/>
      <c r="C605" s="708"/>
      <c r="D605" s="708"/>
      <c r="E605" s="708"/>
      <c r="F605" s="708"/>
      <c r="G605" s="708"/>
      <c r="H605" s="708"/>
      <c r="I605" s="708"/>
      <c r="J605" s="708"/>
      <c r="K605" s="708"/>
      <c r="L605" s="708"/>
      <c r="M605" s="708"/>
      <c r="N605" s="708"/>
      <c r="O605" s="708"/>
      <c r="P605" s="708"/>
      <c r="Q605" s="708"/>
      <c r="R605" s="708"/>
      <c r="S605" s="708"/>
      <c r="T605" s="708"/>
      <c r="U605" s="708"/>
      <c r="V605" s="708"/>
      <c r="W605" s="708"/>
      <c r="X605" s="708"/>
      <c r="Y605" s="708"/>
      <c r="Z605" s="708"/>
      <c r="AA605" s="708"/>
      <c r="AB605" s="708"/>
      <c r="AC605" s="708"/>
      <c r="AD605" s="708"/>
      <c r="AE605" s="708"/>
    </row>
    <row r="606">
      <c r="A606" s="708"/>
      <c r="B606" s="708"/>
      <c r="C606" s="708"/>
      <c r="D606" s="708"/>
      <c r="E606" s="708"/>
      <c r="F606" s="708"/>
      <c r="G606" s="708"/>
      <c r="H606" s="708"/>
      <c r="I606" s="708"/>
      <c r="J606" s="708"/>
      <c r="K606" s="708"/>
      <c r="L606" s="708"/>
      <c r="M606" s="708"/>
      <c r="N606" s="708"/>
      <c r="O606" s="708"/>
      <c r="P606" s="708"/>
      <c r="Q606" s="708"/>
      <c r="R606" s="708"/>
      <c r="S606" s="708"/>
      <c r="T606" s="708"/>
      <c r="U606" s="708"/>
      <c r="V606" s="708"/>
      <c r="W606" s="708"/>
      <c r="X606" s="708"/>
      <c r="Y606" s="708"/>
      <c r="Z606" s="708"/>
      <c r="AA606" s="708"/>
      <c r="AB606" s="708"/>
      <c r="AC606" s="708"/>
      <c r="AD606" s="708"/>
      <c r="AE606" s="708"/>
    </row>
    <row r="607">
      <c r="A607" s="708"/>
      <c r="B607" s="708"/>
      <c r="C607" s="708"/>
      <c r="D607" s="708"/>
      <c r="E607" s="708"/>
      <c r="F607" s="708"/>
      <c r="G607" s="708"/>
      <c r="H607" s="708"/>
      <c r="I607" s="708"/>
      <c r="J607" s="708"/>
      <c r="K607" s="708"/>
      <c r="L607" s="708"/>
      <c r="M607" s="708"/>
      <c r="N607" s="708"/>
      <c r="O607" s="708"/>
      <c r="P607" s="708"/>
      <c r="Q607" s="708"/>
      <c r="R607" s="708"/>
      <c r="S607" s="708"/>
      <c r="T607" s="708"/>
      <c r="U607" s="708"/>
      <c r="V607" s="708"/>
      <c r="W607" s="708"/>
      <c r="X607" s="708"/>
      <c r="Y607" s="708"/>
      <c r="Z607" s="708"/>
      <c r="AA607" s="708"/>
      <c r="AB607" s="708"/>
      <c r="AC607" s="708"/>
      <c r="AD607" s="708"/>
      <c r="AE607" s="708"/>
    </row>
    <row r="608">
      <c r="A608" s="708"/>
      <c r="B608" s="708"/>
      <c r="C608" s="708"/>
      <c r="D608" s="708"/>
      <c r="E608" s="708"/>
      <c r="F608" s="708"/>
      <c r="G608" s="708"/>
      <c r="H608" s="708"/>
      <c r="I608" s="708"/>
      <c r="J608" s="708"/>
      <c r="K608" s="708"/>
      <c r="L608" s="708"/>
      <c r="M608" s="708"/>
      <c r="N608" s="708"/>
      <c r="O608" s="708"/>
      <c r="P608" s="708"/>
      <c r="Q608" s="708"/>
      <c r="R608" s="708"/>
      <c r="S608" s="708"/>
      <c r="T608" s="708"/>
      <c r="U608" s="708"/>
      <c r="V608" s="708"/>
      <c r="W608" s="708"/>
      <c r="X608" s="708"/>
      <c r="Y608" s="708"/>
      <c r="Z608" s="708"/>
      <c r="AA608" s="708"/>
      <c r="AB608" s="708"/>
      <c r="AC608" s="708"/>
      <c r="AD608" s="708"/>
      <c r="AE608" s="708"/>
    </row>
    <row r="609">
      <c r="A609" s="708"/>
      <c r="B609" s="708"/>
      <c r="C609" s="708"/>
      <c r="D609" s="708"/>
      <c r="E609" s="708"/>
      <c r="F609" s="708"/>
      <c r="G609" s="708"/>
      <c r="H609" s="708"/>
      <c r="I609" s="708"/>
      <c r="J609" s="708"/>
      <c r="K609" s="708"/>
      <c r="L609" s="708"/>
      <c r="M609" s="708"/>
      <c r="N609" s="708"/>
      <c r="O609" s="708"/>
      <c r="P609" s="708"/>
      <c r="Q609" s="708"/>
      <c r="R609" s="708"/>
      <c r="S609" s="708"/>
      <c r="T609" s="708"/>
      <c r="U609" s="708"/>
      <c r="V609" s="708"/>
      <c r="W609" s="708"/>
      <c r="X609" s="708"/>
      <c r="Y609" s="708"/>
      <c r="Z609" s="708"/>
      <c r="AA609" s="708"/>
      <c r="AB609" s="708"/>
      <c r="AC609" s="708"/>
      <c r="AD609" s="708"/>
      <c r="AE609" s="708"/>
    </row>
    <row r="610">
      <c r="A610" s="708"/>
      <c r="B610" s="708"/>
      <c r="C610" s="708"/>
      <c r="D610" s="708"/>
      <c r="E610" s="708"/>
      <c r="F610" s="708"/>
      <c r="G610" s="708"/>
      <c r="H610" s="708"/>
      <c r="I610" s="708"/>
      <c r="J610" s="708"/>
      <c r="K610" s="708"/>
      <c r="L610" s="708"/>
      <c r="M610" s="708"/>
      <c r="N610" s="708"/>
      <c r="O610" s="708"/>
      <c r="P610" s="708"/>
      <c r="Q610" s="708"/>
      <c r="R610" s="708"/>
      <c r="S610" s="708"/>
      <c r="T610" s="708"/>
      <c r="U610" s="708"/>
      <c r="V610" s="708"/>
      <c r="W610" s="708"/>
      <c r="X610" s="708"/>
      <c r="Y610" s="708"/>
      <c r="Z610" s="708"/>
      <c r="AA610" s="708"/>
      <c r="AB610" s="708"/>
      <c r="AC610" s="708"/>
      <c r="AD610" s="708"/>
      <c r="AE610" s="708"/>
    </row>
    <row r="611">
      <c r="A611" s="708"/>
      <c r="B611" s="708"/>
      <c r="C611" s="708"/>
      <c r="D611" s="708"/>
      <c r="E611" s="708"/>
      <c r="F611" s="708"/>
      <c r="G611" s="708"/>
      <c r="H611" s="708"/>
      <c r="I611" s="708"/>
      <c r="J611" s="708"/>
      <c r="K611" s="708"/>
      <c r="L611" s="708"/>
      <c r="M611" s="708"/>
      <c r="N611" s="708"/>
      <c r="O611" s="708"/>
      <c r="P611" s="708"/>
      <c r="Q611" s="708"/>
      <c r="R611" s="708"/>
      <c r="S611" s="708"/>
      <c r="T611" s="708"/>
      <c r="U611" s="708"/>
      <c r="V611" s="708"/>
      <c r="W611" s="708"/>
      <c r="X611" s="708"/>
      <c r="Y611" s="708"/>
      <c r="Z611" s="708"/>
      <c r="AA611" s="708"/>
      <c r="AB611" s="708"/>
      <c r="AC611" s="708"/>
      <c r="AD611" s="708"/>
      <c r="AE611" s="708"/>
    </row>
    <row r="612">
      <c r="A612" s="708"/>
      <c r="B612" s="708"/>
      <c r="C612" s="708"/>
      <c r="D612" s="708"/>
      <c r="E612" s="708"/>
      <c r="F612" s="708"/>
      <c r="G612" s="708"/>
      <c r="H612" s="708"/>
      <c r="I612" s="708"/>
      <c r="J612" s="708"/>
      <c r="K612" s="708"/>
      <c r="L612" s="708"/>
      <c r="M612" s="708"/>
      <c r="N612" s="708"/>
      <c r="O612" s="708"/>
      <c r="P612" s="708"/>
      <c r="Q612" s="708"/>
      <c r="R612" s="708"/>
      <c r="S612" s="708"/>
      <c r="T612" s="708"/>
      <c r="U612" s="708"/>
      <c r="V612" s="708"/>
      <c r="W612" s="708"/>
      <c r="X612" s="708"/>
      <c r="Y612" s="708"/>
      <c r="Z612" s="708"/>
      <c r="AA612" s="708"/>
      <c r="AB612" s="708"/>
      <c r="AC612" s="708"/>
      <c r="AD612" s="708"/>
      <c r="AE612" s="708"/>
    </row>
    <row r="613">
      <c r="A613" s="708"/>
      <c r="B613" s="708"/>
      <c r="C613" s="708"/>
      <c r="D613" s="708"/>
      <c r="E613" s="708"/>
      <c r="F613" s="708"/>
      <c r="G613" s="708"/>
      <c r="H613" s="708"/>
      <c r="I613" s="708"/>
      <c r="J613" s="708"/>
      <c r="K613" s="708"/>
      <c r="L613" s="708"/>
      <c r="M613" s="708"/>
      <c r="N613" s="708"/>
      <c r="O613" s="708"/>
      <c r="P613" s="708"/>
      <c r="Q613" s="708"/>
      <c r="R613" s="708"/>
      <c r="S613" s="708"/>
      <c r="T613" s="708"/>
      <c r="U613" s="708"/>
      <c r="V613" s="708"/>
      <c r="W613" s="708"/>
      <c r="X613" s="708"/>
      <c r="Y613" s="708"/>
      <c r="Z613" s="708"/>
      <c r="AA613" s="708"/>
      <c r="AB613" s="708"/>
      <c r="AC613" s="708"/>
      <c r="AD613" s="708"/>
      <c r="AE613" s="708"/>
    </row>
    <row r="614">
      <c r="A614" s="708"/>
      <c r="B614" s="708"/>
      <c r="C614" s="708"/>
      <c r="D614" s="708"/>
      <c r="E614" s="708"/>
      <c r="F614" s="708"/>
      <c r="G614" s="708"/>
      <c r="H614" s="708"/>
      <c r="I614" s="708"/>
      <c r="J614" s="708"/>
      <c r="K614" s="708"/>
      <c r="L614" s="708"/>
      <c r="M614" s="708"/>
      <c r="N614" s="708"/>
      <c r="O614" s="708"/>
      <c r="P614" s="708"/>
      <c r="Q614" s="708"/>
      <c r="R614" s="708"/>
      <c r="S614" s="708"/>
      <c r="T614" s="708"/>
      <c r="U614" s="708"/>
      <c r="V614" s="708"/>
      <c r="W614" s="708"/>
      <c r="X614" s="708"/>
      <c r="Y614" s="708"/>
      <c r="Z614" s="708"/>
      <c r="AA614" s="708"/>
      <c r="AB614" s="708"/>
      <c r="AC614" s="708"/>
      <c r="AD614" s="708"/>
      <c r="AE614" s="708"/>
    </row>
    <row r="615">
      <c r="A615" s="708"/>
      <c r="B615" s="708"/>
      <c r="C615" s="708"/>
      <c r="D615" s="708"/>
      <c r="E615" s="708"/>
      <c r="F615" s="708"/>
      <c r="G615" s="708"/>
      <c r="H615" s="708"/>
      <c r="I615" s="708"/>
      <c r="J615" s="708"/>
      <c r="K615" s="708"/>
      <c r="L615" s="708"/>
      <c r="M615" s="708"/>
      <c r="N615" s="708"/>
      <c r="O615" s="708"/>
      <c r="P615" s="708"/>
      <c r="Q615" s="708"/>
      <c r="R615" s="708"/>
      <c r="S615" s="708"/>
      <c r="T615" s="708"/>
      <c r="U615" s="708"/>
      <c r="V615" s="708"/>
      <c r="W615" s="708"/>
      <c r="X615" s="708"/>
      <c r="Y615" s="708"/>
      <c r="Z615" s="708"/>
      <c r="AA615" s="708"/>
      <c r="AB615" s="708"/>
      <c r="AC615" s="708"/>
      <c r="AD615" s="708"/>
      <c r="AE615" s="708"/>
    </row>
    <row r="616">
      <c r="A616" s="708"/>
      <c r="B616" s="708"/>
      <c r="C616" s="708"/>
      <c r="D616" s="708"/>
      <c r="E616" s="708"/>
      <c r="F616" s="708"/>
      <c r="G616" s="708"/>
      <c r="H616" s="708"/>
      <c r="I616" s="708"/>
      <c r="J616" s="708"/>
      <c r="K616" s="708"/>
      <c r="L616" s="708"/>
      <c r="M616" s="708"/>
      <c r="N616" s="708"/>
      <c r="O616" s="708"/>
      <c r="P616" s="708"/>
      <c r="Q616" s="708"/>
      <c r="R616" s="708"/>
      <c r="S616" s="708"/>
      <c r="T616" s="708"/>
      <c r="U616" s="708"/>
      <c r="V616" s="708"/>
      <c r="W616" s="708"/>
      <c r="X616" s="708"/>
      <c r="Y616" s="708"/>
      <c r="Z616" s="708"/>
      <c r="AA616" s="708"/>
      <c r="AB616" s="708"/>
      <c r="AC616" s="708"/>
      <c r="AD616" s="708"/>
      <c r="AE616" s="708"/>
    </row>
    <row r="617">
      <c r="A617" s="708"/>
      <c r="B617" s="708"/>
      <c r="C617" s="708"/>
      <c r="D617" s="708"/>
      <c r="E617" s="708"/>
      <c r="F617" s="708"/>
      <c r="G617" s="708"/>
      <c r="H617" s="708"/>
      <c r="I617" s="708"/>
      <c r="J617" s="708"/>
      <c r="K617" s="708"/>
      <c r="L617" s="708"/>
      <c r="M617" s="708"/>
      <c r="N617" s="708"/>
      <c r="O617" s="708"/>
      <c r="P617" s="708"/>
      <c r="Q617" s="708"/>
      <c r="R617" s="708"/>
      <c r="S617" s="708"/>
      <c r="T617" s="708"/>
      <c r="U617" s="708"/>
      <c r="V617" s="708"/>
      <c r="W617" s="708"/>
      <c r="X617" s="708"/>
      <c r="Y617" s="708"/>
      <c r="Z617" s="708"/>
      <c r="AA617" s="708"/>
      <c r="AB617" s="708"/>
      <c r="AC617" s="708"/>
      <c r="AD617" s="708"/>
      <c r="AE617" s="708"/>
    </row>
    <row r="618">
      <c r="A618" s="708"/>
      <c r="B618" s="708"/>
      <c r="C618" s="708"/>
      <c r="D618" s="708"/>
      <c r="E618" s="708"/>
      <c r="F618" s="708"/>
      <c r="G618" s="708"/>
      <c r="H618" s="708"/>
      <c r="I618" s="708"/>
      <c r="J618" s="708"/>
      <c r="K618" s="708"/>
      <c r="L618" s="708"/>
      <c r="M618" s="708"/>
      <c r="N618" s="708"/>
      <c r="O618" s="708"/>
      <c r="P618" s="708"/>
      <c r="Q618" s="708"/>
      <c r="R618" s="708"/>
      <c r="S618" s="708"/>
      <c r="T618" s="708"/>
      <c r="U618" s="708"/>
      <c r="V618" s="708"/>
      <c r="W618" s="708"/>
      <c r="X618" s="708"/>
      <c r="Y618" s="708"/>
      <c r="Z618" s="708"/>
      <c r="AA618" s="708"/>
      <c r="AB618" s="708"/>
      <c r="AC618" s="708"/>
      <c r="AD618" s="708"/>
      <c r="AE618" s="708"/>
    </row>
    <row r="619">
      <c r="A619" s="708"/>
      <c r="B619" s="708"/>
      <c r="C619" s="708"/>
      <c r="D619" s="708"/>
      <c r="E619" s="708"/>
      <c r="F619" s="708"/>
      <c r="G619" s="708"/>
      <c r="H619" s="708"/>
      <c r="I619" s="708"/>
      <c r="J619" s="708"/>
      <c r="K619" s="708"/>
      <c r="L619" s="708"/>
      <c r="M619" s="708"/>
      <c r="N619" s="708"/>
      <c r="O619" s="708"/>
      <c r="P619" s="708"/>
      <c r="Q619" s="708"/>
      <c r="R619" s="708"/>
      <c r="S619" s="708"/>
      <c r="T619" s="708"/>
      <c r="U619" s="708"/>
      <c r="V619" s="708"/>
      <c r="W619" s="708"/>
      <c r="X619" s="708"/>
      <c r="Y619" s="708"/>
      <c r="Z619" s="708"/>
      <c r="AA619" s="708"/>
      <c r="AB619" s="708"/>
      <c r="AC619" s="708"/>
      <c r="AD619" s="708"/>
      <c r="AE619" s="708"/>
    </row>
    <row r="620">
      <c r="A620" s="708"/>
      <c r="B620" s="708"/>
      <c r="C620" s="708"/>
      <c r="D620" s="708"/>
      <c r="E620" s="708"/>
      <c r="F620" s="708"/>
      <c r="G620" s="708"/>
      <c r="H620" s="708"/>
      <c r="I620" s="708"/>
      <c r="J620" s="708"/>
      <c r="K620" s="708"/>
      <c r="L620" s="708"/>
      <c r="M620" s="708"/>
      <c r="N620" s="708"/>
      <c r="O620" s="708"/>
      <c r="P620" s="708"/>
      <c r="Q620" s="708"/>
      <c r="R620" s="708"/>
      <c r="S620" s="708"/>
      <c r="T620" s="708"/>
      <c r="U620" s="708"/>
      <c r="V620" s="708"/>
      <c r="W620" s="708"/>
      <c r="X620" s="708"/>
      <c r="Y620" s="708"/>
      <c r="Z620" s="708"/>
      <c r="AA620" s="708"/>
      <c r="AB620" s="708"/>
      <c r="AC620" s="708"/>
      <c r="AD620" s="708"/>
      <c r="AE620" s="708"/>
    </row>
    <row r="621">
      <c r="A621" s="708"/>
      <c r="B621" s="708"/>
      <c r="C621" s="708"/>
      <c r="D621" s="708"/>
      <c r="E621" s="708"/>
      <c r="F621" s="708"/>
      <c r="G621" s="708"/>
      <c r="H621" s="708"/>
      <c r="I621" s="708"/>
      <c r="J621" s="708"/>
      <c r="K621" s="708"/>
      <c r="L621" s="708"/>
      <c r="M621" s="708"/>
      <c r="N621" s="708"/>
      <c r="O621" s="708"/>
      <c r="P621" s="708"/>
      <c r="Q621" s="708"/>
      <c r="R621" s="708"/>
      <c r="S621" s="708"/>
      <c r="T621" s="708"/>
      <c r="U621" s="708"/>
      <c r="V621" s="708"/>
      <c r="W621" s="708"/>
      <c r="X621" s="708"/>
      <c r="Y621" s="708"/>
      <c r="Z621" s="708"/>
      <c r="AA621" s="708"/>
      <c r="AB621" s="708"/>
      <c r="AC621" s="708"/>
      <c r="AD621" s="708"/>
      <c r="AE621" s="708"/>
    </row>
    <row r="622">
      <c r="A622" s="708"/>
      <c r="B622" s="708"/>
      <c r="C622" s="708"/>
      <c r="D622" s="708"/>
      <c r="E622" s="708"/>
      <c r="F622" s="708"/>
      <c r="G622" s="708"/>
      <c r="H622" s="708"/>
      <c r="I622" s="708"/>
      <c r="J622" s="708"/>
      <c r="K622" s="708"/>
      <c r="L622" s="708"/>
      <c r="M622" s="708"/>
      <c r="N622" s="708"/>
      <c r="O622" s="708"/>
      <c r="P622" s="708"/>
      <c r="Q622" s="708"/>
      <c r="R622" s="708"/>
      <c r="S622" s="708"/>
      <c r="T622" s="708"/>
      <c r="U622" s="708"/>
      <c r="V622" s="708"/>
      <c r="W622" s="708"/>
      <c r="X622" s="708"/>
      <c r="Y622" s="708"/>
      <c r="Z622" s="708"/>
      <c r="AA622" s="708"/>
      <c r="AB622" s="708"/>
      <c r="AC622" s="708"/>
      <c r="AD622" s="708"/>
      <c r="AE622" s="708"/>
    </row>
    <row r="623">
      <c r="A623" s="708"/>
      <c r="B623" s="708"/>
      <c r="C623" s="708"/>
      <c r="D623" s="708"/>
      <c r="E623" s="708"/>
      <c r="F623" s="708"/>
      <c r="G623" s="708"/>
      <c r="H623" s="708"/>
      <c r="I623" s="708"/>
      <c r="J623" s="708"/>
      <c r="K623" s="708"/>
      <c r="L623" s="708"/>
      <c r="M623" s="708"/>
      <c r="N623" s="708"/>
      <c r="O623" s="708"/>
      <c r="P623" s="708"/>
      <c r="Q623" s="708"/>
      <c r="R623" s="708"/>
      <c r="S623" s="708"/>
      <c r="T623" s="708"/>
      <c r="U623" s="708"/>
      <c r="V623" s="708"/>
      <c r="W623" s="708"/>
      <c r="X623" s="708"/>
      <c r="Y623" s="708"/>
      <c r="Z623" s="708"/>
      <c r="AA623" s="708"/>
      <c r="AB623" s="708"/>
      <c r="AC623" s="708"/>
      <c r="AD623" s="708"/>
      <c r="AE623" s="708"/>
    </row>
    <row r="624">
      <c r="A624" s="708"/>
      <c r="B624" s="708"/>
      <c r="C624" s="708"/>
      <c r="D624" s="708"/>
      <c r="E624" s="708"/>
      <c r="F624" s="708"/>
      <c r="G624" s="708"/>
      <c r="H624" s="708"/>
      <c r="I624" s="708"/>
      <c r="J624" s="708"/>
      <c r="K624" s="708"/>
      <c r="L624" s="708"/>
      <c r="M624" s="708"/>
      <c r="N624" s="708"/>
      <c r="O624" s="708"/>
      <c r="P624" s="708"/>
      <c r="Q624" s="708"/>
      <c r="R624" s="708"/>
      <c r="S624" s="708"/>
      <c r="T624" s="708"/>
      <c r="U624" s="708"/>
      <c r="V624" s="708"/>
      <c r="W624" s="708"/>
      <c r="X624" s="708"/>
      <c r="Y624" s="708"/>
      <c r="Z624" s="708"/>
      <c r="AA624" s="708"/>
      <c r="AB624" s="708"/>
      <c r="AC624" s="708"/>
      <c r="AD624" s="708"/>
      <c r="AE624" s="708"/>
    </row>
    <row r="625">
      <c r="A625" s="708"/>
      <c r="B625" s="708"/>
      <c r="C625" s="708"/>
      <c r="D625" s="708"/>
      <c r="E625" s="708"/>
      <c r="F625" s="708"/>
      <c r="G625" s="708"/>
      <c r="H625" s="708"/>
      <c r="I625" s="708"/>
      <c r="J625" s="708"/>
      <c r="K625" s="708"/>
      <c r="L625" s="708"/>
      <c r="M625" s="708"/>
      <c r="N625" s="708"/>
      <c r="O625" s="708"/>
      <c r="P625" s="708"/>
      <c r="Q625" s="708"/>
      <c r="R625" s="708"/>
      <c r="S625" s="708"/>
      <c r="T625" s="708"/>
      <c r="U625" s="708"/>
      <c r="V625" s="708"/>
      <c r="W625" s="708"/>
      <c r="X625" s="708"/>
      <c r="Y625" s="708"/>
      <c r="Z625" s="708"/>
      <c r="AA625" s="708"/>
      <c r="AB625" s="708"/>
      <c r="AC625" s="708"/>
      <c r="AD625" s="708"/>
      <c r="AE625" s="708"/>
    </row>
    <row r="626">
      <c r="A626" s="708"/>
      <c r="B626" s="708"/>
      <c r="C626" s="708"/>
      <c r="D626" s="708"/>
      <c r="E626" s="708"/>
      <c r="F626" s="708"/>
      <c r="G626" s="708"/>
      <c r="H626" s="708"/>
      <c r="I626" s="708"/>
      <c r="J626" s="708"/>
      <c r="K626" s="708"/>
      <c r="L626" s="708"/>
      <c r="M626" s="708"/>
      <c r="N626" s="708"/>
      <c r="O626" s="708"/>
      <c r="P626" s="708"/>
      <c r="Q626" s="708"/>
      <c r="R626" s="708"/>
      <c r="S626" s="708"/>
      <c r="T626" s="708"/>
      <c r="U626" s="708"/>
      <c r="V626" s="708"/>
      <c r="W626" s="708"/>
      <c r="X626" s="708"/>
      <c r="Y626" s="708"/>
      <c r="Z626" s="708"/>
      <c r="AA626" s="708"/>
      <c r="AB626" s="708"/>
      <c r="AC626" s="708"/>
      <c r="AD626" s="708"/>
      <c r="AE626" s="708"/>
    </row>
    <row r="627">
      <c r="A627" s="708"/>
      <c r="B627" s="708"/>
      <c r="C627" s="708"/>
      <c r="D627" s="708"/>
      <c r="E627" s="708"/>
      <c r="F627" s="708"/>
      <c r="G627" s="708"/>
      <c r="H627" s="708"/>
      <c r="I627" s="708"/>
      <c r="J627" s="708"/>
      <c r="K627" s="708"/>
      <c r="L627" s="708"/>
      <c r="M627" s="708"/>
      <c r="N627" s="708"/>
      <c r="O627" s="708"/>
      <c r="P627" s="708"/>
      <c r="Q627" s="708"/>
      <c r="R627" s="708"/>
      <c r="S627" s="708"/>
      <c r="T627" s="708"/>
      <c r="U627" s="708"/>
      <c r="V627" s="708"/>
      <c r="W627" s="708"/>
      <c r="X627" s="708"/>
      <c r="Y627" s="708"/>
      <c r="Z627" s="708"/>
      <c r="AA627" s="708"/>
      <c r="AB627" s="708"/>
      <c r="AC627" s="708"/>
      <c r="AD627" s="708"/>
      <c r="AE627" s="708"/>
    </row>
    <row r="628">
      <c r="A628" s="708"/>
      <c r="B628" s="708"/>
      <c r="C628" s="708"/>
      <c r="D628" s="708"/>
      <c r="E628" s="708"/>
      <c r="F628" s="708"/>
      <c r="G628" s="708"/>
      <c r="H628" s="708"/>
      <c r="I628" s="708"/>
      <c r="J628" s="708"/>
      <c r="K628" s="708"/>
      <c r="L628" s="708"/>
      <c r="M628" s="708"/>
      <c r="N628" s="708"/>
      <c r="O628" s="708"/>
      <c r="P628" s="708"/>
      <c r="Q628" s="708"/>
      <c r="R628" s="708"/>
      <c r="S628" s="708"/>
      <c r="T628" s="708"/>
      <c r="U628" s="708"/>
      <c r="V628" s="708"/>
      <c r="W628" s="708"/>
      <c r="X628" s="708"/>
      <c r="Y628" s="708"/>
      <c r="Z628" s="708"/>
      <c r="AA628" s="708"/>
      <c r="AB628" s="708"/>
      <c r="AC628" s="708"/>
      <c r="AD628" s="708"/>
      <c r="AE628" s="708"/>
    </row>
    <row r="629">
      <c r="A629" s="708"/>
      <c r="B629" s="708"/>
      <c r="C629" s="708"/>
      <c r="D629" s="708"/>
      <c r="E629" s="708"/>
      <c r="F629" s="708"/>
      <c r="G629" s="708"/>
      <c r="H629" s="708"/>
      <c r="I629" s="708"/>
      <c r="J629" s="708"/>
      <c r="K629" s="708"/>
      <c r="L629" s="708"/>
      <c r="M629" s="708"/>
      <c r="N629" s="708"/>
      <c r="O629" s="708"/>
      <c r="P629" s="708"/>
      <c r="Q629" s="708"/>
      <c r="R629" s="708"/>
      <c r="S629" s="708"/>
      <c r="T629" s="708"/>
      <c r="U629" s="708"/>
      <c r="V629" s="708"/>
      <c r="W629" s="708"/>
      <c r="X629" s="708"/>
      <c r="Y629" s="708"/>
      <c r="Z629" s="708"/>
      <c r="AA629" s="708"/>
      <c r="AB629" s="708"/>
      <c r="AC629" s="708"/>
      <c r="AD629" s="708"/>
      <c r="AE629" s="708"/>
    </row>
    <row r="630">
      <c r="A630" s="708"/>
      <c r="B630" s="708"/>
      <c r="C630" s="708"/>
      <c r="D630" s="708"/>
      <c r="E630" s="708"/>
      <c r="F630" s="708"/>
      <c r="G630" s="708"/>
      <c r="H630" s="708"/>
      <c r="I630" s="708"/>
      <c r="J630" s="708"/>
      <c r="K630" s="708"/>
      <c r="L630" s="708"/>
      <c r="M630" s="708"/>
      <c r="N630" s="708"/>
      <c r="O630" s="708"/>
      <c r="P630" s="708"/>
      <c r="Q630" s="708"/>
      <c r="R630" s="708"/>
      <c r="S630" s="708"/>
      <c r="T630" s="708"/>
      <c r="U630" s="708"/>
      <c r="V630" s="708"/>
      <c r="W630" s="708"/>
      <c r="X630" s="708"/>
      <c r="Y630" s="708"/>
      <c r="Z630" s="708"/>
      <c r="AA630" s="708"/>
      <c r="AB630" s="708"/>
      <c r="AC630" s="708"/>
      <c r="AD630" s="708"/>
      <c r="AE630" s="708"/>
    </row>
    <row r="631">
      <c r="A631" s="708"/>
      <c r="B631" s="708"/>
      <c r="C631" s="708"/>
      <c r="D631" s="708"/>
      <c r="E631" s="708"/>
      <c r="F631" s="708"/>
      <c r="G631" s="708"/>
      <c r="H631" s="708"/>
      <c r="I631" s="708"/>
      <c r="J631" s="708"/>
      <c r="K631" s="708"/>
      <c r="L631" s="708"/>
      <c r="M631" s="708"/>
      <c r="N631" s="708"/>
      <c r="O631" s="708"/>
      <c r="P631" s="708"/>
      <c r="Q631" s="708"/>
      <c r="R631" s="708"/>
      <c r="S631" s="708"/>
      <c r="T631" s="708"/>
      <c r="U631" s="708"/>
      <c r="V631" s="708"/>
      <c r="W631" s="708"/>
      <c r="X631" s="708"/>
      <c r="Y631" s="708"/>
      <c r="Z631" s="708"/>
      <c r="AA631" s="708"/>
      <c r="AB631" s="708"/>
      <c r="AC631" s="708"/>
      <c r="AD631" s="708"/>
      <c r="AE631" s="708"/>
    </row>
    <row r="632">
      <c r="A632" s="708"/>
      <c r="B632" s="708"/>
      <c r="C632" s="708"/>
      <c r="D632" s="708"/>
      <c r="E632" s="708"/>
      <c r="F632" s="708"/>
      <c r="G632" s="708"/>
      <c r="H632" s="708"/>
      <c r="I632" s="708"/>
      <c r="J632" s="708"/>
      <c r="K632" s="708"/>
      <c r="L632" s="708"/>
      <c r="M632" s="708"/>
      <c r="N632" s="708"/>
      <c r="O632" s="708"/>
      <c r="P632" s="708"/>
      <c r="Q632" s="708"/>
      <c r="R632" s="708"/>
      <c r="S632" s="708"/>
      <c r="T632" s="708"/>
      <c r="U632" s="708"/>
      <c r="V632" s="708"/>
      <c r="W632" s="708"/>
      <c r="X632" s="708"/>
      <c r="Y632" s="708"/>
      <c r="Z632" s="708"/>
      <c r="AA632" s="708"/>
      <c r="AB632" s="708"/>
      <c r="AC632" s="708"/>
      <c r="AD632" s="708"/>
      <c r="AE632" s="708"/>
    </row>
    <row r="633">
      <c r="A633" s="708"/>
      <c r="B633" s="708"/>
      <c r="C633" s="708"/>
      <c r="D633" s="708"/>
      <c r="E633" s="708"/>
      <c r="F633" s="708"/>
      <c r="G633" s="708"/>
      <c r="H633" s="708"/>
      <c r="I633" s="708"/>
      <c r="J633" s="708"/>
      <c r="K633" s="708"/>
      <c r="L633" s="708"/>
      <c r="M633" s="708"/>
      <c r="N633" s="708"/>
      <c r="O633" s="708"/>
      <c r="P633" s="708"/>
      <c r="Q633" s="708"/>
      <c r="R633" s="708"/>
      <c r="S633" s="708"/>
      <c r="T633" s="708"/>
      <c r="U633" s="708"/>
      <c r="V633" s="708"/>
      <c r="W633" s="708"/>
      <c r="X633" s="708"/>
      <c r="Y633" s="708"/>
      <c r="Z633" s="708"/>
      <c r="AA633" s="708"/>
      <c r="AB633" s="708"/>
      <c r="AC633" s="708"/>
      <c r="AD633" s="708"/>
      <c r="AE633" s="708"/>
    </row>
    <row r="634">
      <c r="A634" s="708"/>
      <c r="B634" s="708"/>
      <c r="C634" s="708"/>
      <c r="D634" s="708"/>
      <c r="E634" s="708"/>
      <c r="F634" s="708"/>
      <c r="G634" s="708"/>
      <c r="H634" s="708"/>
      <c r="I634" s="708"/>
      <c r="J634" s="708"/>
      <c r="K634" s="708"/>
      <c r="L634" s="708"/>
      <c r="M634" s="708"/>
      <c r="N634" s="708"/>
      <c r="O634" s="708"/>
      <c r="P634" s="708"/>
      <c r="Q634" s="708"/>
      <c r="R634" s="708"/>
      <c r="S634" s="708"/>
      <c r="T634" s="708"/>
      <c r="U634" s="708"/>
      <c r="V634" s="708"/>
      <c r="W634" s="708"/>
      <c r="X634" s="708"/>
      <c r="Y634" s="708"/>
      <c r="Z634" s="708"/>
      <c r="AA634" s="708"/>
      <c r="AB634" s="708"/>
      <c r="AC634" s="708"/>
      <c r="AD634" s="708"/>
      <c r="AE634" s="708"/>
    </row>
    <row r="635">
      <c r="A635" s="708"/>
      <c r="B635" s="708"/>
      <c r="C635" s="708"/>
      <c r="D635" s="708"/>
      <c r="E635" s="708"/>
      <c r="F635" s="708"/>
      <c r="G635" s="708"/>
      <c r="H635" s="708"/>
      <c r="I635" s="708"/>
      <c r="J635" s="708"/>
      <c r="K635" s="708"/>
      <c r="L635" s="708"/>
      <c r="M635" s="708"/>
      <c r="N635" s="708"/>
      <c r="O635" s="708"/>
      <c r="P635" s="708"/>
      <c r="Q635" s="708"/>
      <c r="R635" s="708"/>
      <c r="S635" s="708"/>
      <c r="T635" s="708"/>
      <c r="U635" s="708"/>
      <c r="V635" s="708"/>
      <c r="W635" s="708"/>
      <c r="X635" s="708"/>
      <c r="Y635" s="708"/>
      <c r="Z635" s="708"/>
      <c r="AA635" s="708"/>
      <c r="AB635" s="708"/>
      <c r="AC635" s="708"/>
      <c r="AD635" s="708"/>
      <c r="AE635" s="708"/>
    </row>
    <row r="636">
      <c r="A636" s="708"/>
      <c r="B636" s="708"/>
      <c r="C636" s="708"/>
      <c r="D636" s="708"/>
      <c r="E636" s="708"/>
      <c r="F636" s="708"/>
      <c r="G636" s="708"/>
      <c r="H636" s="708"/>
      <c r="I636" s="708"/>
      <c r="J636" s="708"/>
      <c r="K636" s="708"/>
      <c r="L636" s="708"/>
      <c r="M636" s="708"/>
      <c r="N636" s="708"/>
      <c r="O636" s="708"/>
      <c r="P636" s="708"/>
      <c r="Q636" s="708"/>
      <c r="R636" s="708"/>
      <c r="S636" s="708"/>
      <c r="T636" s="708"/>
      <c r="U636" s="708"/>
      <c r="V636" s="708"/>
      <c r="W636" s="708"/>
      <c r="X636" s="708"/>
      <c r="Y636" s="708"/>
      <c r="Z636" s="708"/>
      <c r="AA636" s="708"/>
      <c r="AB636" s="708"/>
      <c r="AC636" s="708"/>
      <c r="AD636" s="708"/>
      <c r="AE636" s="708"/>
    </row>
    <row r="637">
      <c r="A637" s="708"/>
      <c r="B637" s="708"/>
      <c r="C637" s="708"/>
      <c r="D637" s="708"/>
      <c r="E637" s="708"/>
      <c r="F637" s="708"/>
      <c r="G637" s="708"/>
      <c r="H637" s="708"/>
      <c r="I637" s="708"/>
      <c r="J637" s="708"/>
      <c r="K637" s="708"/>
      <c r="L637" s="708"/>
      <c r="M637" s="708"/>
      <c r="N637" s="708"/>
      <c r="O637" s="708"/>
      <c r="P637" s="708"/>
      <c r="Q637" s="708"/>
      <c r="R637" s="708"/>
      <c r="S637" s="708"/>
      <c r="T637" s="708"/>
      <c r="U637" s="708"/>
      <c r="V637" s="708"/>
      <c r="W637" s="708"/>
      <c r="X637" s="708"/>
      <c r="Y637" s="708"/>
      <c r="Z637" s="708"/>
      <c r="AA637" s="708"/>
      <c r="AB637" s="708"/>
      <c r="AC637" s="708"/>
      <c r="AD637" s="708"/>
      <c r="AE637" s="708"/>
    </row>
    <row r="638">
      <c r="A638" s="708"/>
      <c r="B638" s="708"/>
      <c r="C638" s="708"/>
      <c r="D638" s="708"/>
      <c r="E638" s="708"/>
      <c r="F638" s="708"/>
      <c r="G638" s="708"/>
      <c r="H638" s="708"/>
      <c r="I638" s="708"/>
      <c r="J638" s="708"/>
      <c r="K638" s="708"/>
      <c r="L638" s="708"/>
      <c r="M638" s="708"/>
      <c r="N638" s="708"/>
      <c r="O638" s="708"/>
      <c r="P638" s="708"/>
      <c r="Q638" s="708"/>
      <c r="R638" s="708"/>
      <c r="S638" s="708"/>
      <c r="T638" s="708"/>
      <c r="U638" s="708"/>
      <c r="V638" s="708"/>
      <c r="W638" s="708"/>
      <c r="X638" s="708"/>
      <c r="Y638" s="708"/>
      <c r="Z638" s="708"/>
      <c r="AA638" s="708"/>
      <c r="AB638" s="708"/>
      <c r="AC638" s="708"/>
      <c r="AD638" s="708"/>
      <c r="AE638" s="708"/>
    </row>
    <row r="639">
      <c r="A639" s="708"/>
      <c r="B639" s="708"/>
      <c r="C639" s="708"/>
      <c r="D639" s="708"/>
      <c r="E639" s="708"/>
      <c r="F639" s="708"/>
      <c r="G639" s="708"/>
      <c r="H639" s="708"/>
      <c r="I639" s="708"/>
      <c r="J639" s="708"/>
      <c r="K639" s="708"/>
      <c r="L639" s="708"/>
      <c r="M639" s="708"/>
      <c r="N639" s="708"/>
      <c r="O639" s="708"/>
      <c r="P639" s="708"/>
      <c r="Q639" s="708"/>
      <c r="R639" s="708"/>
      <c r="S639" s="708"/>
      <c r="T639" s="708"/>
      <c r="U639" s="708"/>
      <c r="V639" s="708"/>
      <c r="W639" s="708"/>
      <c r="X639" s="708"/>
      <c r="Y639" s="708"/>
      <c r="Z639" s="708"/>
      <c r="AA639" s="708"/>
      <c r="AB639" s="708"/>
      <c r="AC639" s="708"/>
      <c r="AD639" s="708"/>
      <c r="AE639" s="708"/>
    </row>
    <row r="640">
      <c r="A640" s="708"/>
      <c r="B640" s="708"/>
      <c r="C640" s="708"/>
      <c r="D640" s="708"/>
      <c r="E640" s="708"/>
      <c r="F640" s="708"/>
      <c r="G640" s="708"/>
      <c r="H640" s="708"/>
      <c r="I640" s="708"/>
      <c r="J640" s="708"/>
      <c r="K640" s="708"/>
      <c r="L640" s="708"/>
      <c r="M640" s="708"/>
      <c r="N640" s="708"/>
      <c r="O640" s="708"/>
      <c r="P640" s="708"/>
      <c r="Q640" s="708"/>
      <c r="R640" s="708"/>
      <c r="S640" s="708"/>
      <c r="T640" s="708"/>
      <c r="U640" s="708"/>
      <c r="V640" s="708"/>
      <c r="W640" s="708"/>
      <c r="X640" s="708"/>
      <c r="Y640" s="708"/>
      <c r="Z640" s="708"/>
      <c r="AA640" s="708"/>
      <c r="AB640" s="708"/>
      <c r="AC640" s="708"/>
      <c r="AD640" s="708"/>
      <c r="AE640" s="708"/>
    </row>
    <row r="641">
      <c r="A641" s="708"/>
      <c r="B641" s="708"/>
      <c r="C641" s="708"/>
      <c r="D641" s="708"/>
      <c r="E641" s="708"/>
      <c r="F641" s="708"/>
      <c r="G641" s="708"/>
      <c r="H641" s="708"/>
      <c r="I641" s="708"/>
      <c r="J641" s="708"/>
      <c r="K641" s="708"/>
      <c r="L641" s="708"/>
      <c r="M641" s="708"/>
      <c r="N641" s="708"/>
      <c r="O641" s="708"/>
      <c r="P641" s="708"/>
      <c r="Q641" s="708"/>
      <c r="R641" s="708"/>
      <c r="S641" s="708"/>
      <c r="T641" s="708"/>
      <c r="U641" s="708"/>
      <c r="V641" s="708"/>
      <c r="W641" s="708"/>
      <c r="X641" s="708"/>
      <c r="Y641" s="708"/>
      <c r="Z641" s="708"/>
      <c r="AA641" s="708"/>
      <c r="AB641" s="708"/>
      <c r="AC641" s="708"/>
      <c r="AD641" s="708"/>
      <c r="AE641" s="708"/>
    </row>
    <row r="642">
      <c r="A642" s="708"/>
      <c r="B642" s="708"/>
      <c r="C642" s="708"/>
      <c r="D642" s="708"/>
      <c r="E642" s="708"/>
      <c r="F642" s="708"/>
      <c r="G642" s="708"/>
      <c r="H642" s="708"/>
      <c r="I642" s="708"/>
      <c r="J642" s="708"/>
      <c r="K642" s="708"/>
      <c r="L642" s="708"/>
      <c r="M642" s="708"/>
      <c r="N642" s="708"/>
      <c r="O642" s="708"/>
      <c r="P642" s="708"/>
      <c r="Q642" s="708"/>
      <c r="R642" s="708"/>
      <c r="S642" s="708"/>
      <c r="T642" s="708"/>
      <c r="U642" s="708"/>
      <c r="V642" s="708"/>
      <c r="W642" s="708"/>
      <c r="X642" s="708"/>
      <c r="Y642" s="708"/>
      <c r="Z642" s="708"/>
      <c r="AA642" s="708"/>
      <c r="AB642" s="708"/>
      <c r="AC642" s="708"/>
      <c r="AD642" s="708"/>
      <c r="AE642" s="708"/>
    </row>
    <row r="643">
      <c r="A643" s="708"/>
      <c r="B643" s="708"/>
      <c r="C643" s="708"/>
      <c r="D643" s="708"/>
      <c r="E643" s="708"/>
      <c r="F643" s="708"/>
      <c r="G643" s="708"/>
      <c r="H643" s="708"/>
      <c r="I643" s="708"/>
      <c r="J643" s="708"/>
      <c r="K643" s="708"/>
      <c r="L643" s="708"/>
      <c r="M643" s="708"/>
      <c r="N643" s="708"/>
      <c r="O643" s="708"/>
      <c r="P643" s="708"/>
      <c r="Q643" s="708"/>
      <c r="R643" s="708"/>
      <c r="S643" s="708"/>
      <c r="T643" s="708"/>
      <c r="U643" s="708"/>
      <c r="V643" s="708"/>
      <c r="W643" s="708"/>
      <c r="X643" s="708"/>
      <c r="Y643" s="708"/>
      <c r="Z643" s="708"/>
      <c r="AA643" s="708"/>
      <c r="AB643" s="708"/>
      <c r="AC643" s="708"/>
      <c r="AD643" s="708"/>
      <c r="AE643" s="708"/>
    </row>
    <row r="644">
      <c r="A644" s="708"/>
      <c r="B644" s="708"/>
      <c r="C644" s="708"/>
      <c r="D644" s="708"/>
      <c r="E644" s="708"/>
      <c r="F644" s="708"/>
      <c r="G644" s="708"/>
      <c r="H644" s="708"/>
      <c r="I644" s="708"/>
      <c r="J644" s="708"/>
      <c r="K644" s="708"/>
      <c r="L644" s="708"/>
      <c r="M644" s="708"/>
      <c r="N644" s="708"/>
      <c r="O644" s="708"/>
      <c r="P644" s="708"/>
      <c r="Q644" s="708"/>
      <c r="R644" s="708"/>
      <c r="S644" s="708"/>
      <c r="T644" s="708"/>
      <c r="U644" s="708"/>
      <c r="V644" s="708"/>
      <c r="W644" s="708"/>
      <c r="X644" s="708"/>
      <c r="Y644" s="708"/>
      <c r="Z644" s="708"/>
      <c r="AA644" s="708"/>
      <c r="AB644" s="708"/>
      <c r="AC644" s="708"/>
      <c r="AD644" s="708"/>
      <c r="AE644" s="708"/>
    </row>
    <row r="645">
      <c r="A645" s="708"/>
      <c r="B645" s="708"/>
      <c r="C645" s="708"/>
      <c r="D645" s="708"/>
      <c r="E645" s="708"/>
      <c r="F645" s="708"/>
      <c r="G645" s="708"/>
      <c r="H645" s="708"/>
      <c r="I645" s="708"/>
      <c r="J645" s="708"/>
      <c r="K645" s="708"/>
      <c r="L645" s="708"/>
      <c r="M645" s="708"/>
      <c r="N645" s="708"/>
      <c r="O645" s="708"/>
      <c r="P645" s="708"/>
      <c r="Q645" s="708"/>
      <c r="R645" s="708"/>
      <c r="S645" s="708"/>
      <c r="T645" s="708"/>
      <c r="U645" s="708"/>
      <c r="V645" s="708"/>
      <c r="W645" s="708"/>
      <c r="X645" s="708"/>
      <c r="Y645" s="708"/>
      <c r="Z645" s="708"/>
      <c r="AA645" s="708"/>
      <c r="AB645" s="708"/>
      <c r="AC645" s="708"/>
      <c r="AD645" s="708"/>
      <c r="AE645" s="708"/>
    </row>
    <row r="646">
      <c r="A646" s="708"/>
      <c r="B646" s="708"/>
      <c r="C646" s="708"/>
      <c r="D646" s="708"/>
      <c r="E646" s="708"/>
      <c r="F646" s="708"/>
      <c r="G646" s="708"/>
      <c r="H646" s="708"/>
      <c r="I646" s="708"/>
      <c r="J646" s="708"/>
      <c r="K646" s="708"/>
      <c r="L646" s="708"/>
      <c r="M646" s="708"/>
      <c r="N646" s="708"/>
      <c r="O646" s="708"/>
      <c r="P646" s="708"/>
      <c r="Q646" s="708"/>
      <c r="R646" s="708"/>
      <c r="S646" s="708"/>
      <c r="T646" s="708"/>
      <c r="U646" s="708"/>
      <c r="V646" s="708"/>
      <c r="W646" s="708"/>
      <c r="X646" s="708"/>
      <c r="Y646" s="708"/>
      <c r="Z646" s="708"/>
      <c r="AA646" s="708"/>
      <c r="AB646" s="708"/>
      <c r="AC646" s="708"/>
      <c r="AD646" s="708"/>
      <c r="AE646" s="708"/>
    </row>
    <row r="647">
      <c r="A647" s="708"/>
      <c r="B647" s="708"/>
      <c r="C647" s="708"/>
      <c r="D647" s="708"/>
      <c r="E647" s="708"/>
      <c r="F647" s="708"/>
      <c r="G647" s="708"/>
      <c r="H647" s="708"/>
      <c r="I647" s="708"/>
      <c r="J647" s="708"/>
      <c r="K647" s="708"/>
      <c r="L647" s="708"/>
      <c r="M647" s="708"/>
      <c r="N647" s="708"/>
      <c r="O647" s="708"/>
      <c r="P647" s="708"/>
      <c r="Q647" s="708"/>
      <c r="R647" s="708"/>
      <c r="S647" s="708"/>
      <c r="T647" s="708"/>
      <c r="U647" s="708"/>
      <c r="V647" s="708"/>
      <c r="W647" s="708"/>
      <c r="X647" s="708"/>
      <c r="Y647" s="708"/>
      <c r="Z647" s="708"/>
      <c r="AA647" s="708"/>
      <c r="AB647" s="708"/>
      <c r="AC647" s="708"/>
      <c r="AD647" s="708"/>
      <c r="AE647" s="708"/>
    </row>
    <row r="648">
      <c r="A648" s="708"/>
      <c r="B648" s="708"/>
      <c r="C648" s="708"/>
      <c r="D648" s="708"/>
      <c r="E648" s="708"/>
      <c r="F648" s="708"/>
      <c r="G648" s="708"/>
      <c r="H648" s="708"/>
      <c r="I648" s="708"/>
      <c r="J648" s="708"/>
      <c r="K648" s="708"/>
      <c r="L648" s="708"/>
      <c r="M648" s="708"/>
      <c r="N648" s="708"/>
      <c r="O648" s="708"/>
      <c r="P648" s="708"/>
      <c r="Q648" s="708"/>
      <c r="R648" s="708"/>
      <c r="S648" s="708"/>
      <c r="T648" s="708"/>
      <c r="U648" s="708"/>
      <c r="V648" s="708"/>
      <c r="W648" s="708"/>
      <c r="X648" s="708"/>
      <c r="Y648" s="708"/>
      <c r="Z648" s="708"/>
      <c r="AA648" s="708"/>
      <c r="AB648" s="708"/>
      <c r="AC648" s="708"/>
      <c r="AD648" s="708"/>
      <c r="AE648" s="708"/>
    </row>
    <row r="649">
      <c r="A649" s="708"/>
      <c r="B649" s="708"/>
      <c r="C649" s="708"/>
      <c r="D649" s="708"/>
      <c r="E649" s="708"/>
      <c r="F649" s="708"/>
      <c r="G649" s="708"/>
      <c r="H649" s="708"/>
      <c r="I649" s="708"/>
      <c r="J649" s="708"/>
      <c r="K649" s="708"/>
      <c r="L649" s="708"/>
      <c r="M649" s="708"/>
      <c r="N649" s="708"/>
      <c r="O649" s="708"/>
      <c r="P649" s="708"/>
      <c r="Q649" s="708"/>
      <c r="R649" s="708"/>
      <c r="S649" s="708"/>
      <c r="T649" s="708"/>
      <c r="U649" s="708"/>
      <c r="V649" s="708"/>
      <c r="W649" s="708"/>
      <c r="X649" s="708"/>
      <c r="Y649" s="708"/>
      <c r="Z649" s="708"/>
      <c r="AA649" s="708"/>
      <c r="AB649" s="708"/>
      <c r="AC649" s="708"/>
      <c r="AD649" s="708"/>
      <c r="AE649" s="708"/>
    </row>
    <row r="650">
      <c r="A650" s="708"/>
      <c r="B650" s="708"/>
      <c r="C650" s="708"/>
      <c r="D650" s="708"/>
      <c r="E650" s="708"/>
      <c r="F650" s="708"/>
      <c r="G650" s="708"/>
      <c r="H650" s="708"/>
      <c r="I650" s="708"/>
      <c r="J650" s="708"/>
      <c r="K650" s="708"/>
      <c r="L650" s="708"/>
      <c r="M650" s="708"/>
      <c r="N650" s="708"/>
      <c r="O650" s="708"/>
      <c r="P650" s="708"/>
      <c r="Q650" s="708"/>
      <c r="R650" s="708"/>
      <c r="S650" s="708"/>
      <c r="T650" s="708"/>
      <c r="U650" s="708"/>
      <c r="V650" s="708"/>
      <c r="W650" s="708"/>
      <c r="X650" s="708"/>
      <c r="Y650" s="708"/>
      <c r="Z650" s="708"/>
      <c r="AA650" s="708"/>
      <c r="AB650" s="708"/>
      <c r="AC650" s="708"/>
      <c r="AD650" s="708"/>
      <c r="AE650" s="708"/>
    </row>
    <row r="651">
      <c r="A651" s="708"/>
      <c r="B651" s="708"/>
      <c r="C651" s="708"/>
      <c r="D651" s="708"/>
      <c r="E651" s="708"/>
      <c r="F651" s="708"/>
      <c r="G651" s="708"/>
      <c r="H651" s="708"/>
      <c r="I651" s="708"/>
      <c r="J651" s="708"/>
      <c r="K651" s="708"/>
      <c r="L651" s="708"/>
      <c r="M651" s="708"/>
      <c r="N651" s="708"/>
      <c r="O651" s="708"/>
      <c r="P651" s="708"/>
      <c r="Q651" s="708"/>
      <c r="R651" s="708"/>
      <c r="S651" s="708"/>
      <c r="T651" s="708"/>
      <c r="U651" s="708"/>
      <c r="V651" s="708"/>
      <c r="W651" s="708"/>
      <c r="X651" s="708"/>
      <c r="Y651" s="708"/>
      <c r="Z651" s="708"/>
      <c r="AA651" s="708"/>
      <c r="AB651" s="708"/>
      <c r="AC651" s="708"/>
      <c r="AD651" s="708"/>
      <c r="AE651" s="708"/>
    </row>
    <row r="652">
      <c r="A652" s="708"/>
      <c r="B652" s="708"/>
      <c r="C652" s="708"/>
      <c r="D652" s="708"/>
      <c r="E652" s="708"/>
      <c r="F652" s="708"/>
      <c r="G652" s="708"/>
      <c r="H652" s="708"/>
      <c r="I652" s="708"/>
      <c r="J652" s="708"/>
      <c r="K652" s="708"/>
      <c r="L652" s="708"/>
      <c r="M652" s="708"/>
      <c r="N652" s="708"/>
      <c r="O652" s="708"/>
      <c r="P652" s="708"/>
      <c r="Q652" s="708"/>
      <c r="R652" s="708"/>
      <c r="S652" s="708"/>
      <c r="T652" s="708"/>
      <c r="U652" s="708"/>
      <c r="V652" s="708"/>
      <c r="W652" s="708"/>
      <c r="X652" s="708"/>
      <c r="Y652" s="708"/>
      <c r="Z652" s="708"/>
      <c r="AA652" s="708"/>
      <c r="AB652" s="708"/>
      <c r="AC652" s="708"/>
      <c r="AD652" s="708"/>
      <c r="AE652" s="708"/>
    </row>
    <row r="653">
      <c r="A653" s="708"/>
      <c r="B653" s="708"/>
      <c r="C653" s="708"/>
      <c r="D653" s="708"/>
      <c r="E653" s="708"/>
      <c r="F653" s="708"/>
      <c r="G653" s="708"/>
      <c r="H653" s="708"/>
      <c r="I653" s="708"/>
      <c r="J653" s="708"/>
      <c r="K653" s="708"/>
      <c r="L653" s="708"/>
      <c r="M653" s="708"/>
      <c r="N653" s="708"/>
      <c r="O653" s="708"/>
      <c r="P653" s="708"/>
      <c r="Q653" s="708"/>
      <c r="R653" s="708"/>
      <c r="S653" s="708"/>
      <c r="T653" s="708"/>
      <c r="U653" s="708"/>
      <c r="V653" s="708"/>
      <c r="W653" s="708"/>
      <c r="X653" s="708"/>
      <c r="Y653" s="708"/>
      <c r="Z653" s="708"/>
      <c r="AA653" s="708"/>
      <c r="AB653" s="708"/>
      <c r="AC653" s="708"/>
      <c r="AD653" s="708"/>
      <c r="AE653" s="708"/>
    </row>
    <row r="654">
      <c r="A654" s="708"/>
      <c r="B654" s="708"/>
      <c r="C654" s="708"/>
      <c r="D654" s="708"/>
      <c r="E654" s="708"/>
      <c r="F654" s="708"/>
      <c r="G654" s="708"/>
      <c r="H654" s="708"/>
      <c r="I654" s="708"/>
      <c r="J654" s="708"/>
      <c r="K654" s="708"/>
      <c r="L654" s="708"/>
      <c r="M654" s="708"/>
      <c r="N654" s="708"/>
      <c r="O654" s="708"/>
      <c r="P654" s="708"/>
      <c r="Q654" s="708"/>
      <c r="R654" s="708"/>
      <c r="S654" s="708"/>
      <c r="T654" s="708"/>
      <c r="U654" s="708"/>
      <c r="V654" s="708"/>
      <c r="W654" s="708"/>
      <c r="X654" s="708"/>
      <c r="Y654" s="708"/>
      <c r="Z654" s="708"/>
      <c r="AA654" s="708"/>
      <c r="AB654" s="708"/>
      <c r="AC654" s="708"/>
      <c r="AD654" s="708"/>
      <c r="AE654" s="708"/>
    </row>
    <row r="655">
      <c r="A655" s="708"/>
      <c r="B655" s="708"/>
      <c r="C655" s="708"/>
      <c r="D655" s="708"/>
      <c r="E655" s="708"/>
      <c r="F655" s="708"/>
      <c r="G655" s="708"/>
      <c r="H655" s="708"/>
      <c r="I655" s="708"/>
      <c r="J655" s="708"/>
      <c r="K655" s="708"/>
      <c r="L655" s="708"/>
      <c r="M655" s="708"/>
      <c r="N655" s="708"/>
      <c r="O655" s="708"/>
      <c r="P655" s="708"/>
      <c r="Q655" s="708"/>
      <c r="R655" s="708"/>
      <c r="S655" s="708"/>
      <c r="T655" s="708"/>
      <c r="U655" s="708"/>
      <c r="V655" s="708"/>
      <c r="W655" s="708"/>
      <c r="X655" s="708"/>
      <c r="Y655" s="708"/>
      <c r="Z655" s="708"/>
      <c r="AA655" s="708"/>
      <c r="AB655" s="708"/>
      <c r="AC655" s="708"/>
      <c r="AD655" s="708"/>
      <c r="AE655" s="708"/>
    </row>
    <row r="656">
      <c r="A656" s="708"/>
      <c r="B656" s="708"/>
      <c r="C656" s="708"/>
      <c r="D656" s="708"/>
      <c r="E656" s="708"/>
      <c r="F656" s="708"/>
      <c r="G656" s="708"/>
      <c r="H656" s="708"/>
      <c r="I656" s="708"/>
      <c r="J656" s="708"/>
      <c r="K656" s="708"/>
      <c r="L656" s="708"/>
      <c r="M656" s="708"/>
      <c r="N656" s="708"/>
      <c r="O656" s="708"/>
      <c r="P656" s="708"/>
      <c r="Q656" s="708"/>
      <c r="R656" s="708"/>
      <c r="S656" s="708"/>
      <c r="T656" s="708"/>
      <c r="U656" s="708"/>
      <c r="V656" s="708"/>
      <c r="W656" s="708"/>
      <c r="X656" s="708"/>
      <c r="Y656" s="708"/>
      <c r="Z656" s="708"/>
      <c r="AA656" s="708"/>
      <c r="AB656" s="708"/>
      <c r="AC656" s="708"/>
      <c r="AD656" s="708"/>
      <c r="AE656" s="708"/>
    </row>
    <row r="657">
      <c r="A657" s="708"/>
      <c r="B657" s="708"/>
      <c r="C657" s="708"/>
      <c r="D657" s="708"/>
      <c r="E657" s="708"/>
      <c r="F657" s="708"/>
      <c r="G657" s="708"/>
      <c r="H657" s="708"/>
      <c r="I657" s="708"/>
      <c r="J657" s="708"/>
      <c r="K657" s="708"/>
      <c r="L657" s="708"/>
      <c r="M657" s="708"/>
      <c r="N657" s="708"/>
      <c r="O657" s="708"/>
      <c r="P657" s="708"/>
      <c r="Q657" s="708"/>
      <c r="R657" s="708"/>
      <c r="S657" s="708"/>
      <c r="T657" s="708"/>
      <c r="U657" s="708"/>
      <c r="V657" s="708"/>
      <c r="W657" s="708"/>
      <c r="X657" s="708"/>
      <c r="Y657" s="708"/>
      <c r="Z657" s="708"/>
      <c r="AA657" s="708"/>
      <c r="AB657" s="708"/>
      <c r="AC657" s="708"/>
      <c r="AD657" s="708"/>
      <c r="AE657" s="708"/>
    </row>
    <row r="658">
      <c r="A658" s="708"/>
      <c r="B658" s="708"/>
      <c r="C658" s="708"/>
      <c r="D658" s="708"/>
      <c r="E658" s="708"/>
      <c r="F658" s="708"/>
      <c r="G658" s="708"/>
      <c r="H658" s="708"/>
      <c r="I658" s="708"/>
      <c r="J658" s="708"/>
      <c r="K658" s="708"/>
      <c r="L658" s="708"/>
      <c r="M658" s="708"/>
      <c r="N658" s="708"/>
      <c r="O658" s="708"/>
      <c r="P658" s="708"/>
      <c r="Q658" s="708"/>
      <c r="R658" s="708"/>
      <c r="S658" s="708"/>
      <c r="T658" s="708"/>
      <c r="U658" s="708"/>
      <c r="V658" s="708"/>
      <c r="W658" s="708"/>
      <c r="X658" s="708"/>
      <c r="Y658" s="708"/>
      <c r="Z658" s="708"/>
      <c r="AA658" s="708"/>
      <c r="AB658" s="708"/>
      <c r="AC658" s="708"/>
      <c r="AD658" s="708"/>
      <c r="AE658" s="708"/>
    </row>
    <row r="659">
      <c r="A659" s="708"/>
      <c r="B659" s="708"/>
      <c r="C659" s="708"/>
      <c r="D659" s="708"/>
      <c r="E659" s="708"/>
      <c r="F659" s="708"/>
      <c r="G659" s="708"/>
      <c r="H659" s="708"/>
      <c r="I659" s="708"/>
      <c r="J659" s="708"/>
      <c r="K659" s="708"/>
      <c r="L659" s="708"/>
      <c r="M659" s="708"/>
      <c r="N659" s="708"/>
      <c r="O659" s="708"/>
      <c r="P659" s="708"/>
      <c r="Q659" s="708"/>
      <c r="R659" s="708"/>
      <c r="S659" s="708"/>
      <c r="T659" s="708"/>
      <c r="U659" s="708"/>
      <c r="V659" s="708"/>
      <c r="W659" s="708"/>
      <c r="X659" s="708"/>
      <c r="Y659" s="708"/>
      <c r="Z659" s="708"/>
      <c r="AA659" s="708"/>
      <c r="AB659" s="708"/>
      <c r="AC659" s="708"/>
      <c r="AD659" s="708"/>
      <c r="AE659" s="708"/>
    </row>
    <row r="660">
      <c r="A660" s="708"/>
      <c r="B660" s="708"/>
      <c r="C660" s="708"/>
      <c r="D660" s="708"/>
      <c r="E660" s="708"/>
      <c r="F660" s="708"/>
      <c r="G660" s="708"/>
      <c r="H660" s="708"/>
      <c r="I660" s="708"/>
      <c r="J660" s="708"/>
      <c r="K660" s="708"/>
      <c r="L660" s="708"/>
      <c r="M660" s="708"/>
      <c r="N660" s="708"/>
      <c r="O660" s="708"/>
      <c r="P660" s="708"/>
      <c r="Q660" s="708"/>
      <c r="R660" s="708"/>
      <c r="S660" s="708"/>
      <c r="T660" s="708"/>
      <c r="U660" s="708"/>
      <c r="V660" s="708"/>
      <c r="W660" s="708"/>
      <c r="X660" s="708"/>
      <c r="Y660" s="708"/>
      <c r="Z660" s="708"/>
      <c r="AA660" s="708"/>
      <c r="AB660" s="708"/>
      <c r="AC660" s="708"/>
      <c r="AD660" s="708"/>
      <c r="AE660" s="708"/>
    </row>
    <row r="661">
      <c r="A661" s="708"/>
      <c r="B661" s="708"/>
      <c r="C661" s="708"/>
      <c r="D661" s="708"/>
      <c r="E661" s="708"/>
      <c r="F661" s="708"/>
      <c r="G661" s="708"/>
      <c r="H661" s="708"/>
      <c r="I661" s="708"/>
      <c r="J661" s="708"/>
      <c r="K661" s="708"/>
      <c r="L661" s="708"/>
      <c r="M661" s="708"/>
      <c r="N661" s="708"/>
      <c r="O661" s="708"/>
      <c r="P661" s="708"/>
      <c r="Q661" s="708"/>
      <c r="R661" s="708"/>
      <c r="S661" s="708"/>
      <c r="T661" s="708"/>
      <c r="U661" s="708"/>
      <c r="V661" s="708"/>
      <c r="W661" s="708"/>
      <c r="X661" s="708"/>
      <c r="Y661" s="708"/>
      <c r="Z661" s="708"/>
      <c r="AA661" s="708"/>
      <c r="AB661" s="708"/>
      <c r="AC661" s="708"/>
      <c r="AD661" s="708"/>
      <c r="AE661" s="708"/>
    </row>
    <row r="662">
      <c r="A662" s="708"/>
      <c r="B662" s="708"/>
      <c r="C662" s="708"/>
      <c r="D662" s="708"/>
      <c r="E662" s="708"/>
      <c r="F662" s="708"/>
      <c r="G662" s="708"/>
      <c r="H662" s="708"/>
      <c r="I662" s="708"/>
      <c r="J662" s="708"/>
      <c r="K662" s="708"/>
      <c r="L662" s="708"/>
      <c r="M662" s="708"/>
      <c r="N662" s="708"/>
      <c r="O662" s="708"/>
      <c r="P662" s="708"/>
      <c r="Q662" s="708"/>
      <c r="R662" s="708"/>
      <c r="S662" s="708"/>
      <c r="T662" s="708"/>
      <c r="U662" s="708"/>
      <c r="V662" s="708"/>
      <c r="W662" s="708"/>
      <c r="X662" s="708"/>
      <c r="Y662" s="708"/>
      <c r="Z662" s="708"/>
      <c r="AA662" s="708"/>
      <c r="AB662" s="708"/>
      <c r="AC662" s="708"/>
      <c r="AD662" s="708"/>
      <c r="AE662" s="708"/>
    </row>
    <row r="663">
      <c r="A663" s="708"/>
      <c r="B663" s="708"/>
      <c r="C663" s="708"/>
      <c r="D663" s="708"/>
      <c r="E663" s="708"/>
      <c r="F663" s="708"/>
      <c r="G663" s="708"/>
      <c r="H663" s="708"/>
      <c r="I663" s="708"/>
      <c r="J663" s="708"/>
      <c r="K663" s="708"/>
      <c r="L663" s="708"/>
      <c r="M663" s="708"/>
      <c r="N663" s="708"/>
      <c r="O663" s="708"/>
      <c r="P663" s="708"/>
      <c r="Q663" s="708"/>
      <c r="R663" s="708"/>
      <c r="S663" s="708"/>
      <c r="T663" s="708"/>
      <c r="U663" s="708"/>
      <c r="V663" s="708"/>
      <c r="W663" s="708"/>
      <c r="X663" s="708"/>
      <c r="Y663" s="708"/>
      <c r="Z663" s="708"/>
      <c r="AA663" s="708"/>
      <c r="AB663" s="708"/>
      <c r="AC663" s="708"/>
      <c r="AD663" s="708"/>
      <c r="AE663" s="708"/>
    </row>
    <row r="664">
      <c r="A664" s="708"/>
      <c r="B664" s="708"/>
      <c r="C664" s="708"/>
      <c r="D664" s="708"/>
      <c r="E664" s="708"/>
      <c r="F664" s="708"/>
      <c r="G664" s="708"/>
      <c r="H664" s="708"/>
      <c r="I664" s="708"/>
      <c r="J664" s="708"/>
      <c r="K664" s="708"/>
      <c r="L664" s="708"/>
      <c r="M664" s="708"/>
      <c r="N664" s="708"/>
      <c r="O664" s="708"/>
      <c r="P664" s="708"/>
      <c r="Q664" s="708"/>
      <c r="R664" s="708"/>
      <c r="S664" s="708"/>
      <c r="T664" s="708"/>
      <c r="U664" s="708"/>
      <c r="V664" s="708"/>
      <c r="W664" s="708"/>
      <c r="X664" s="708"/>
      <c r="Y664" s="708"/>
      <c r="Z664" s="708"/>
      <c r="AA664" s="708"/>
      <c r="AB664" s="708"/>
      <c r="AC664" s="708"/>
      <c r="AD664" s="708"/>
      <c r="AE664" s="708"/>
    </row>
    <row r="665">
      <c r="A665" s="708"/>
      <c r="B665" s="708"/>
      <c r="C665" s="708"/>
      <c r="D665" s="708"/>
      <c r="E665" s="708"/>
      <c r="F665" s="708"/>
      <c r="G665" s="708"/>
      <c r="H665" s="708"/>
      <c r="I665" s="708"/>
      <c r="J665" s="708"/>
      <c r="K665" s="708"/>
      <c r="L665" s="708"/>
      <c r="M665" s="708"/>
      <c r="N665" s="708"/>
      <c r="O665" s="708"/>
      <c r="P665" s="708"/>
      <c r="Q665" s="708"/>
      <c r="R665" s="708"/>
      <c r="S665" s="708"/>
      <c r="T665" s="708"/>
      <c r="U665" s="708"/>
      <c r="V665" s="708"/>
      <c r="W665" s="708"/>
      <c r="X665" s="708"/>
      <c r="Y665" s="708"/>
      <c r="Z665" s="708"/>
      <c r="AA665" s="708"/>
      <c r="AB665" s="708"/>
      <c r="AC665" s="708"/>
      <c r="AD665" s="708"/>
      <c r="AE665" s="708"/>
    </row>
    <row r="666">
      <c r="A666" s="708"/>
      <c r="B666" s="708"/>
      <c r="C666" s="708"/>
      <c r="D666" s="708"/>
      <c r="E666" s="708"/>
      <c r="F666" s="708"/>
      <c r="G666" s="708"/>
      <c r="H666" s="708"/>
      <c r="I666" s="708"/>
      <c r="J666" s="708"/>
      <c r="K666" s="708"/>
      <c r="L666" s="708"/>
      <c r="M666" s="708"/>
      <c r="N666" s="708"/>
      <c r="O666" s="708"/>
      <c r="P666" s="708"/>
      <c r="Q666" s="708"/>
      <c r="R666" s="708"/>
      <c r="S666" s="708"/>
      <c r="T666" s="708"/>
      <c r="U666" s="708"/>
      <c r="V666" s="708"/>
      <c r="W666" s="708"/>
      <c r="X666" s="708"/>
      <c r="Y666" s="708"/>
      <c r="Z666" s="708"/>
      <c r="AA666" s="708"/>
      <c r="AB666" s="708"/>
      <c r="AC666" s="708"/>
      <c r="AD666" s="708"/>
      <c r="AE666" s="708"/>
    </row>
    <row r="667">
      <c r="A667" s="708"/>
      <c r="B667" s="708"/>
      <c r="C667" s="708"/>
      <c r="D667" s="708"/>
      <c r="E667" s="708"/>
      <c r="F667" s="708"/>
      <c r="G667" s="708"/>
      <c r="H667" s="708"/>
      <c r="I667" s="708"/>
      <c r="J667" s="708"/>
      <c r="K667" s="708"/>
      <c r="L667" s="708"/>
      <c r="M667" s="708"/>
      <c r="N667" s="708"/>
      <c r="O667" s="708"/>
      <c r="P667" s="708"/>
      <c r="Q667" s="708"/>
      <c r="R667" s="708"/>
      <c r="S667" s="708"/>
      <c r="T667" s="708"/>
      <c r="U667" s="708"/>
      <c r="V667" s="708"/>
      <c r="W667" s="708"/>
      <c r="X667" s="708"/>
      <c r="Y667" s="708"/>
      <c r="Z667" s="708"/>
      <c r="AA667" s="708"/>
      <c r="AB667" s="708"/>
      <c r="AC667" s="708"/>
      <c r="AD667" s="708"/>
      <c r="AE667" s="708"/>
    </row>
    <row r="668">
      <c r="A668" s="708"/>
      <c r="B668" s="708"/>
      <c r="C668" s="708"/>
      <c r="D668" s="708"/>
      <c r="E668" s="708"/>
      <c r="F668" s="708"/>
      <c r="G668" s="708"/>
      <c r="H668" s="708"/>
      <c r="I668" s="708"/>
      <c r="J668" s="708"/>
      <c r="K668" s="708"/>
      <c r="L668" s="708"/>
      <c r="M668" s="708"/>
      <c r="N668" s="708"/>
      <c r="O668" s="708"/>
      <c r="P668" s="708"/>
      <c r="Q668" s="708"/>
      <c r="R668" s="708"/>
      <c r="S668" s="708"/>
      <c r="T668" s="708"/>
      <c r="U668" s="708"/>
      <c r="V668" s="708"/>
      <c r="W668" s="708"/>
      <c r="X668" s="708"/>
      <c r="Y668" s="708"/>
      <c r="Z668" s="708"/>
      <c r="AA668" s="708"/>
      <c r="AB668" s="708"/>
      <c r="AC668" s="708"/>
      <c r="AD668" s="708"/>
      <c r="AE668" s="708"/>
    </row>
    <row r="669">
      <c r="A669" s="708"/>
      <c r="B669" s="708"/>
      <c r="C669" s="708"/>
      <c r="D669" s="708"/>
      <c r="E669" s="708"/>
      <c r="F669" s="708"/>
      <c r="G669" s="708"/>
      <c r="H669" s="708"/>
      <c r="I669" s="708"/>
      <c r="J669" s="708"/>
      <c r="K669" s="708"/>
      <c r="L669" s="708"/>
      <c r="M669" s="708"/>
      <c r="N669" s="708"/>
      <c r="O669" s="708"/>
      <c r="P669" s="708"/>
      <c r="Q669" s="708"/>
      <c r="R669" s="708"/>
      <c r="S669" s="708"/>
      <c r="T669" s="708"/>
      <c r="U669" s="708"/>
      <c r="V669" s="708"/>
      <c r="W669" s="708"/>
      <c r="X669" s="708"/>
      <c r="Y669" s="708"/>
      <c r="Z669" s="708"/>
      <c r="AA669" s="708"/>
      <c r="AB669" s="708"/>
      <c r="AC669" s="708"/>
      <c r="AD669" s="708"/>
      <c r="AE669" s="708"/>
    </row>
    <row r="670">
      <c r="A670" s="708"/>
      <c r="B670" s="708"/>
      <c r="C670" s="708"/>
      <c r="D670" s="708"/>
      <c r="E670" s="708"/>
      <c r="F670" s="708"/>
      <c r="G670" s="708"/>
      <c r="H670" s="708"/>
      <c r="I670" s="708"/>
      <c r="J670" s="708"/>
      <c r="K670" s="708"/>
      <c r="L670" s="708"/>
      <c r="M670" s="708"/>
      <c r="N670" s="708"/>
      <c r="O670" s="708"/>
      <c r="P670" s="708"/>
      <c r="Q670" s="708"/>
      <c r="R670" s="708"/>
      <c r="S670" s="708"/>
      <c r="T670" s="708"/>
      <c r="U670" s="708"/>
      <c r="V670" s="708"/>
      <c r="W670" s="708"/>
      <c r="X670" s="708"/>
      <c r="Y670" s="708"/>
      <c r="Z670" s="708"/>
      <c r="AA670" s="708"/>
      <c r="AB670" s="708"/>
      <c r="AC670" s="708"/>
      <c r="AD670" s="708"/>
      <c r="AE670" s="708"/>
    </row>
    <row r="671">
      <c r="A671" s="708"/>
      <c r="B671" s="708"/>
      <c r="C671" s="708"/>
      <c r="D671" s="708"/>
      <c r="E671" s="708"/>
      <c r="F671" s="708"/>
      <c r="G671" s="708"/>
      <c r="H671" s="708"/>
      <c r="I671" s="708"/>
      <c r="J671" s="708"/>
      <c r="K671" s="708"/>
      <c r="L671" s="708"/>
      <c r="M671" s="708"/>
      <c r="N671" s="708"/>
      <c r="O671" s="708"/>
      <c r="P671" s="708"/>
      <c r="Q671" s="708"/>
      <c r="R671" s="708"/>
      <c r="S671" s="708"/>
      <c r="T671" s="708"/>
      <c r="U671" s="708"/>
      <c r="V671" s="708"/>
      <c r="W671" s="708"/>
      <c r="X671" s="708"/>
      <c r="Y671" s="708"/>
      <c r="Z671" s="708"/>
      <c r="AA671" s="708"/>
      <c r="AB671" s="708"/>
      <c r="AC671" s="708"/>
      <c r="AD671" s="708"/>
      <c r="AE671" s="708"/>
    </row>
    <row r="672">
      <c r="A672" s="708"/>
      <c r="B672" s="708"/>
      <c r="C672" s="708"/>
      <c r="D672" s="708"/>
      <c r="E672" s="708"/>
      <c r="F672" s="708"/>
      <c r="G672" s="708"/>
      <c r="H672" s="708"/>
      <c r="I672" s="708"/>
      <c r="J672" s="708"/>
      <c r="K672" s="708"/>
      <c r="L672" s="708"/>
      <c r="M672" s="708"/>
      <c r="N672" s="708"/>
      <c r="O672" s="708"/>
      <c r="P672" s="708"/>
      <c r="Q672" s="708"/>
      <c r="R672" s="708"/>
      <c r="S672" s="708"/>
      <c r="T672" s="708"/>
      <c r="U672" s="708"/>
      <c r="V672" s="708"/>
      <c r="W672" s="708"/>
      <c r="X672" s="708"/>
      <c r="Y672" s="708"/>
      <c r="Z672" s="708"/>
      <c r="AA672" s="708"/>
      <c r="AB672" s="708"/>
      <c r="AC672" s="708"/>
      <c r="AD672" s="708"/>
      <c r="AE672" s="708"/>
    </row>
    <row r="673">
      <c r="A673" s="708"/>
      <c r="B673" s="708"/>
      <c r="C673" s="708"/>
      <c r="D673" s="708"/>
      <c r="E673" s="708"/>
      <c r="F673" s="708"/>
      <c r="G673" s="708"/>
      <c r="H673" s="708"/>
      <c r="I673" s="708"/>
      <c r="J673" s="708"/>
      <c r="K673" s="708"/>
      <c r="L673" s="708"/>
      <c r="M673" s="708"/>
      <c r="N673" s="708"/>
      <c r="O673" s="708"/>
      <c r="P673" s="708"/>
      <c r="Q673" s="708"/>
      <c r="R673" s="708"/>
      <c r="S673" s="708"/>
      <c r="T673" s="708"/>
      <c r="U673" s="708"/>
      <c r="V673" s="708"/>
      <c r="W673" s="708"/>
      <c r="X673" s="708"/>
      <c r="Y673" s="708"/>
      <c r="Z673" s="708"/>
      <c r="AA673" s="708"/>
      <c r="AB673" s="708"/>
      <c r="AC673" s="708"/>
      <c r="AD673" s="708"/>
      <c r="AE673" s="708"/>
    </row>
    <row r="674">
      <c r="A674" s="708"/>
      <c r="B674" s="708"/>
      <c r="C674" s="708"/>
      <c r="D674" s="708"/>
      <c r="E674" s="708"/>
      <c r="F674" s="708"/>
      <c r="G674" s="708"/>
      <c r="H674" s="708"/>
      <c r="I674" s="708"/>
      <c r="J674" s="708"/>
      <c r="K674" s="708"/>
      <c r="L674" s="708"/>
      <c r="M674" s="708"/>
      <c r="N674" s="708"/>
      <c r="O674" s="708"/>
      <c r="P674" s="708"/>
      <c r="Q674" s="708"/>
      <c r="R674" s="708"/>
      <c r="S674" s="708"/>
      <c r="T674" s="708"/>
      <c r="U674" s="708"/>
      <c r="V674" s="708"/>
      <c r="W674" s="708"/>
      <c r="X674" s="708"/>
      <c r="Y674" s="708"/>
      <c r="Z674" s="708"/>
      <c r="AA674" s="708"/>
      <c r="AB674" s="708"/>
      <c r="AC674" s="708"/>
      <c r="AD674" s="708"/>
      <c r="AE674" s="708"/>
    </row>
    <row r="675">
      <c r="A675" s="708"/>
      <c r="B675" s="708"/>
      <c r="C675" s="708"/>
      <c r="D675" s="708"/>
      <c r="E675" s="708"/>
      <c r="F675" s="708"/>
      <c r="G675" s="708"/>
      <c r="H675" s="708"/>
      <c r="I675" s="708"/>
      <c r="J675" s="708"/>
      <c r="K675" s="708"/>
      <c r="L675" s="708"/>
      <c r="M675" s="708"/>
      <c r="N675" s="708"/>
      <c r="O675" s="708"/>
      <c r="P675" s="708"/>
      <c r="Q675" s="708"/>
      <c r="R675" s="708"/>
      <c r="S675" s="708"/>
      <c r="T675" s="708"/>
      <c r="U675" s="708"/>
      <c r="V675" s="708"/>
      <c r="W675" s="708"/>
      <c r="X675" s="708"/>
      <c r="Y675" s="708"/>
      <c r="Z675" s="708"/>
      <c r="AA675" s="708"/>
      <c r="AB675" s="708"/>
      <c r="AC675" s="708"/>
      <c r="AD675" s="708"/>
      <c r="AE675" s="708"/>
    </row>
    <row r="676">
      <c r="A676" s="708"/>
      <c r="B676" s="708"/>
      <c r="C676" s="708"/>
      <c r="D676" s="708"/>
      <c r="E676" s="708"/>
      <c r="F676" s="708"/>
      <c r="G676" s="708"/>
      <c r="H676" s="708"/>
      <c r="I676" s="708"/>
      <c r="J676" s="708"/>
      <c r="K676" s="708"/>
      <c r="L676" s="708"/>
      <c r="M676" s="708"/>
      <c r="N676" s="708"/>
      <c r="O676" s="708"/>
      <c r="P676" s="708"/>
      <c r="Q676" s="708"/>
      <c r="R676" s="708"/>
      <c r="S676" s="708"/>
      <c r="T676" s="708"/>
      <c r="U676" s="708"/>
      <c r="V676" s="708"/>
      <c r="W676" s="708"/>
      <c r="X676" s="708"/>
      <c r="Y676" s="708"/>
      <c r="Z676" s="708"/>
      <c r="AA676" s="708"/>
      <c r="AB676" s="708"/>
      <c r="AC676" s="708"/>
      <c r="AD676" s="708"/>
      <c r="AE676" s="708"/>
    </row>
    <row r="677">
      <c r="A677" s="708"/>
      <c r="B677" s="708"/>
      <c r="C677" s="708"/>
      <c r="D677" s="708"/>
      <c r="E677" s="708"/>
      <c r="F677" s="708"/>
      <c r="G677" s="708"/>
      <c r="H677" s="708"/>
      <c r="I677" s="708"/>
      <c r="J677" s="708"/>
      <c r="K677" s="708"/>
      <c r="L677" s="708"/>
      <c r="M677" s="708"/>
      <c r="N677" s="708"/>
      <c r="O677" s="708"/>
      <c r="P677" s="708"/>
      <c r="Q677" s="708"/>
      <c r="R677" s="708"/>
      <c r="S677" s="708"/>
      <c r="T677" s="708"/>
      <c r="U677" s="708"/>
      <c r="V677" s="708"/>
      <c r="W677" s="708"/>
      <c r="X677" s="708"/>
      <c r="Y677" s="708"/>
      <c r="Z677" s="708"/>
      <c r="AA677" s="708"/>
      <c r="AB677" s="708"/>
      <c r="AC677" s="708"/>
      <c r="AD677" s="708"/>
      <c r="AE677" s="708"/>
    </row>
    <row r="678">
      <c r="A678" s="708"/>
      <c r="B678" s="708"/>
      <c r="C678" s="708"/>
      <c r="D678" s="708"/>
      <c r="E678" s="708"/>
      <c r="F678" s="708"/>
      <c r="G678" s="708"/>
      <c r="H678" s="708"/>
      <c r="I678" s="708"/>
      <c r="J678" s="708"/>
      <c r="K678" s="708"/>
      <c r="L678" s="708"/>
      <c r="M678" s="708"/>
      <c r="N678" s="708"/>
      <c r="O678" s="708"/>
      <c r="P678" s="708"/>
      <c r="Q678" s="708"/>
      <c r="R678" s="708"/>
      <c r="S678" s="708"/>
      <c r="T678" s="708"/>
      <c r="U678" s="708"/>
      <c r="V678" s="708"/>
      <c r="W678" s="708"/>
      <c r="X678" s="708"/>
      <c r="Y678" s="708"/>
      <c r="Z678" s="708"/>
      <c r="AA678" s="708"/>
      <c r="AB678" s="708"/>
      <c r="AC678" s="708"/>
      <c r="AD678" s="708"/>
      <c r="AE678" s="708"/>
    </row>
    <row r="679">
      <c r="A679" s="708"/>
      <c r="B679" s="708"/>
      <c r="C679" s="708"/>
      <c r="D679" s="708"/>
      <c r="E679" s="708"/>
      <c r="F679" s="708"/>
      <c r="G679" s="708"/>
      <c r="H679" s="708"/>
      <c r="I679" s="708"/>
      <c r="J679" s="708"/>
      <c r="K679" s="708"/>
      <c r="L679" s="708"/>
      <c r="M679" s="708"/>
      <c r="N679" s="708"/>
      <c r="O679" s="708"/>
      <c r="P679" s="708"/>
      <c r="Q679" s="708"/>
      <c r="R679" s="708"/>
      <c r="S679" s="708"/>
      <c r="T679" s="708"/>
      <c r="U679" s="708"/>
      <c r="V679" s="708"/>
      <c r="W679" s="708"/>
      <c r="X679" s="708"/>
      <c r="Y679" s="708"/>
      <c r="Z679" s="708"/>
      <c r="AA679" s="708"/>
      <c r="AB679" s="708"/>
      <c r="AC679" s="708"/>
      <c r="AD679" s="708"/>
      <c r="AE679" s="708"/>
    </row>
    <row r="680">
      <c r="A680" s="708"/>
      <c r="B680" s="708"/>
      <c r="C680" s="708"/>
      <c r="D680" s="708"/>
      <c r="E680" s="708"/>
      <c r="F680" s="708"/>
      <c r="G680" s="708"/>
      <c r="H680" s="708"/>
      <c r="I680" s="708"/>
      <c r="J680" s="708"/>
      <c r="K680" s="708"/>
      <c r="L680" s="708"/>
      <c r="M680" s="708"/>
      <c r="N680" s="708"/>
      <c r="O680" s="708"/>
      <c r="P680" s="708"/>
      <c r="Q680" s="708"/>
      <c r="R680" s="708"/>
      <c r="S680" s="708"/>
      <c r="T680" s="708"/>
      <c r="U680" s="708"/>
      <c r="V680" s="708"/>
      <c r="W680" s="708"/>
      <c r="X680" s="708"/>
      <c r="Y680" s="708"/>
      <c r="Z680" s="708"/>
      <c r="AA680" s="708"/>
      <c r="AB680" s="708"/>
      <c r="AC680" s="708"/>
      <c r="AD680" s="708"/>
      <c r="AE680" s="708"/>
    </row>
    <row r="681">
      <c r="A681" s="708"/>
      <c r="B681" s="708"/>
      <c r="C681" s="708"/>
      <c r="D681" s="708"/>
      <c r="E681" s="708"/>
      <c r="F681" s="708"/>
      <c r="G681" s="708"/>
      <c r="H681" s="708"/>
      <c r="I681" s="708"/>
      <c r="J681" s="708"/>
      <c r="K681" s="708"/>
      <c r="L681" s="708"/>
      <c r="M681" s="708"/>
      <c r="N681" s="708"/>
      <c r="O681" s="708"/>
      <c r="P681" s="708"/>
      <c r="Q681" s="708"/>
      <c r="R681" s="708"/>
      <c r="S681" s="708"/>
      <c r="T681" s="708"/>
      <c r="U681" s="708"/>
      <c r="V681" s="708"/>
      <c r="W681" s="708"/>
      <c r="X681" s="708"/>
      <c r="Y681" s="708"/>
      <c r="Z681" s="708"/>
      <c r="AA681" s="708"/>
      <c r="AB681" s="708"/>
      <c r="AC681" s="708"/>
      <c r="AD681" s="708"/>
      <c r="AE681" s="708"/>
    </row>
    <row r="682">
      <c r="A682" s="708"/>
      <c r="B682" s="708"/>
      <c r="C682" s="708"/>
      <c r="D682" s="708"/>
      <c r="E682" s="708"/>
      <c r="F682" s="708"/>
      <c r="G682" s="708"/>
      <c r="H682" s="708"/>
      <c r="I682" s="708"/>
      <c r="J682" s="708"/>
      <c r="K682" s="708"/>
      <c r="L682" s="708"/>
      <c r="M682" s="708"/>
      <c r="N682" s="708"/>
      <c r="O682" s="708"/>
      <c r="P682" s="708"/>
      <c r="Q682" s="708"/>
      <c r="R682" s="708"/>
      <c r="S682" s="708"/>
      <c r="T682" s="708"/>
      <c r="U682" s="708"/>
      <c r="V682" s="708"/>
      <c r="W682" s="708"/>
      <c r="X682" s="708"/>
      <c r="Y682" s="708"/>
      <c r="Z682" s="708"/>
      <c r="AA682" s="708"/>
      <c r="AB682" s="708"/>
      <c r="AC682" s="708"/>
      <c r="AD682" s="708"/>
      <c r="AE682" s="708"/>
    </row>
    <row r="683">
      <c r="A683" s="708"/>
      <c r="B683" s="708"/>
      <c r="C683" s="708"/>
      <c r="D683" s="708"/>
      <c r="E683" s="708"/>
      <c r="F683" s="708"/>
      <c r="G683" s="708"/>
      <c r="H683" s="708"/>
      <c r="I683" s="708"/>
      <c r="J683" s="708"/>
      <c r="K683" s="708"/>
      <c r="L683" s="708"/>
      <c r="M683" s="708"/>
      <c r="N683" s="708"/>
      <c r="O683" s="708"/>
      <c r="P683" s="708"/>
      <c r="Q683" s="708"/>
      <c r="R683" s="708"/>
      <c r="S683" s="708"/>
      <c r="T683" s="708"/>
      <c r="U683" s="708"/>
      <c r="V683" s="708"/>
      <c r="W683" s="708"/>
      <c r="X683" s="708"/>
      <c r="Y683" s="708"/>
      <c r="Z683" s="708"/>
      <c r="AA683" s="708"/>
      <c r="AB683" s="708"/>
      <c r="AC683" s="708"/>
      <c r="AD683" s="708"/>
      <c r="AE683" s="708"/>
    </row>
    <row r="684">
      <c r="A684" s="708"/>
      <c r="B684" s="708"/>
      <c r="C684" s="708"/>
      <c r="D684" s="708"/>
      <c r="E684" s="708"/>
      <c r="F684" s="708"/>
      <c r="G684" s="708"/>
      <c r="H684" s="708"/>
      <c r="I684" s="708"/>
      <c r="J684" s="708"/>
      <c r="K684" s="708"/>
      <c r="L684" s="708"/>
      <c r="M684" s="708"/>
      <c r="N684" s="708"/>
      <c r="O684" s="708"/>
      <c r="P684" s="708"/>
      <c r="Q684" s="708"/>
      <c r="R684" s="708"/>
      <c r="S684" s="708"/>
      <c r="T684" s="708"/>
      <c r="U684" s="708"/>
      <c r="V684" s="708"/>
      <c r="W684" s="708"/>
      <c r="X684" s="708"/>
      <c r="Y684" s="708"/>
      <c r="Z684" s="708"/>
      <c r="AA684" s="708"/>
      <c r="AB684" s="708"/>
      <c r="AC684" s="708"/>
      <c r="AD684" s="708"/>
      <c r="AE684" s="708"/>
    </row>
    <row r="685">
      <c r="A685" s="708"/>
      <c r="B685" s="708"/>
      <c r="C685" s="708"/>
      <c r="D685" s="708"/>
      <c r="E685" s="708"/>
      <c r="F685" s="708"/>
      <c r="G685" s="708"/>
      <c r="H685" s="708"/>
      <c r="I685" s="708"/>
      <c r="J685" s="708"/>
      <c r="K685" s="708"/>
      <c r="L685" s="708"/>
      <c r="M685" s="708"/>
      <c r="N685" s="708"/>
      <c r="O685" s="708"/>
      <c r="P685" s="708"/>
      <c r="Q685" s="708"/>
      <c r="R685" s="708"/>
      <c r="S685" s="708"/>
      <c r="T685" s="708"/>
      <c r="U685" s="708"/>
      <c r="V685" s="708"/>
      <c r="W685" s="708"/>
      <c r="X685" s="708"/>
      <c r="Y685" s="708"/>
      <c r="Z685" s="708"/>
      <c r="AA685" s="708"/>
      <c r="AB685" s="708"/>
      <c r="AC685" s="708"/>
      <c r="AD685" s="708"/>
      <c r="AE685" s="708"/>
    </row>
    <row r="686">
      <c r="A686" s="708"/>
      <c r="B686" s="708"/>
      <c r="C686" s="708"/>
      <c r="D686" s="708"/>
      <c r="E686" s="708"/>
      <c r="F686" s="708"/>
      <c r="G686" s="708"/>
      <c r="H686" s="708"/>
      <c r="I686" s="708"/>
      <c r="J686" s="708"/>
      <c r="K686" s="708"/>
      <c r="L686" s="708"/>
      <c r="M686" s="708"/>
      <c r="N686" s="708"/>
      <c r="O686" s="708"/>
      <c r="P686" s="708"/>
      <c r="Q686" s="708"/>
      <c r="R686" s="708"/>
      <c r="S686" s="708"/>
      <c r="T686" s="708"/>
      <c r="U686" s="708"/>
      <c r="V686" s="708"/>
      <c r="W686" s="708"/>
      <c r="X686" s="708"/>
      <c r="Y686" s="708"/>
      <c r="Z686" s="708"/>
      <c r="AA686" s="708"/>
      <c r="AB686" s="708"/>
      <c r="AC686" s="708"/>
      <c r="AD686" s="708"/>
      <c r="AE686" s="708"/>
    </row>
    <row r="687">
      <c r="A687" s="708"/>
      <c r="B687" s="708"/>
      <c r="C687" s="708"/>
      <c r="D687" s="708"/>
      <c r="E687" s="708"/>
      <c r="F687" s="708"/>
      <c r="G687" s="708"/>
      <c r="H687" s="708"/>
      <c r="I687" s="708"/>
      <c r="J687" s="708"/>
      <c r="K687" s="708"/>
      <c r="L687" s="708"/>
      <c r="M687" s="708"/>
      <c r="N687" s="708"/>
      <c r="O687" s="708"/>
      <c r="P687" s="708"/>
      <c r="Q687" s="708"/>
      <c r="R687" s="708"/>
      <c r="S687" s="708"/>
      <c r="T687" s="708"/>
      <c r="U687" s="708"/>
      <c r="V687" s="708"/>
      <c r="W687" s="708"/>
      <c r="X687" s="708"/>
      <c r="Y687" s="708"/>
      <c r="Z687" s="708"/>
      <c r="AA687" s="708"/>
      <c r="AB687" s="708"/>
      <c r="AC687" s="708"/>
      <c r="AD687" s="708"/>
      <c r="AE687" s="708"/>
    </row>
    <row r="688">
      <c r="A688" s="708"/>
      <c r="B688" s="708"/>
      <c r="C688" s="708"/>
      <c r="D688" s="708"/>
      <c r="E688" s="708"/>
      <c r="F688" s="708"/>
      <c r="G688" s="708"/>
      <c r="H688" s="708"/>
      <c r="I688" s="708"/>
      <c r="J688" s="708"/>
      <c r="K688" s="708"/>
      <c r="L688" s="708"/>
      <c r="M688" s="708"/>
      <c r="N688" s="708"/>
      <c r="O688" s="708"/>
      <c r="P688" s="708"/>
      <c r="Q688" s="708"/>
      <c r="R688" s="708"/>
      <c r="S688" s="708"/>
      <c r="T688" s="708"/>
      <c r="U688" s="708"/>
      <c r="V688" s="708"/>
      <c r="W688" s="708"/>
      <c r="X688" s="708"/>
      <c r="Y688" s="708"/>
      <c r="Z688" s="708"/>
      <c r="AA688" s="708"/>
      <c r="AB688" s="708"/>
      <c r="AC688" s="708"/>
      <c r="AD688" s="708"/>
      <c r="AE688" s="708"/>
    </row>
    <row r="689">
      <c r="A689" s="708"/>
      <c r="B689" s="708"/>
      <c r="C689" s="708"/>
      <c r="D689" s="708"/>
      <c r="E689" s="708"/>
      <c r="F689" s="708"/>
      <c r="G689" s="708"/>
      <c r="H689" s="708"/>
      <c r="I689" s="708"/>
      <c r="J689" s="708"/>
      <c r="K689" s="708"/>
      <c r="L689" s="708"/>
      <c r="M689" s="708"/>
      <c r="N689" s="708"/>
      <c r="O689" s="708"/>
      <c r="P689" s="708"/>
      <c r="Q689" s="708"/>
      <c r="R689" s="708"/>
      <c r="S689" s="708"/>
      <c r="T689" s="708"/>
      <c r="U689" s="708"/>
      <c r="V689" s="708"/>
      <c r="W689" s="708"/>
      <c r="X689" s="708"/>
      <c r="Y689" s="708"/>
      <c r="Z689" s="708"/>
      <c r="AA689" s="708"/>
      <c r="AB689" s="708"/>
      <c r="AC689" s="708"/>
      <c r="AD689" s="708"/>
      <c r="AE689" s="708"/>
    </row>
    <row r="690">
      <c r="A690" s="708"/>
      <c r="B690" s="708"/>
      <c r="C690" s="708"/>
      <c r="D690" s="708"/>
      <c r="E690" s="708"/>
      <c r="F690" s="708"/>
      <c r="G690" s="708"/>
      <c r="H690" s="708"/>
      <c r="I690" s="708"/>
      <c r="J690" s="708"/>
      <c r="K690" s="708"/>
      <c r="L690" s="708"/>
      <c r="M690" s="708"/>
      <c r="N690" s="708"/>
      <c r="O690" s="708"/>
      <c r="P690" s="708"/>
      <c r="Q690" s="708"/>
      <c r="R690" s="708"/>
      <c r="S690" s="708"/>
      <c r="T690" s="708"/>
      <c r="U690" s="708"/>
      <c r="V690" s="708"/>
      <c r="W690" s="708"/>
      <c r="X690" s="708"/>
      <c r="Y690" s="708"/>
      <c r="Z690" s="708"/>
      <c r="AA690" s="708"/>
      <c r="AB690" s="708"/>
      <c r="AC690" s="708"/>
      <c r="AD690" s="708"/>
      <c r="AE690" s="708"/>
    </row>
    <row r="691">
      <c r="A691" s="708"/>
      <c r="B691" s="708"/>
      <c r="C691" s="708"/>
      <c r="D691" s="708"/>
      <c r="E691" s="708"/>
      <c r="F691" s="708"/>
      <c r="G691" s="708"/>
      <c r="H691" s="708"/>
      <c r="I691" s="708"/>
      <c r="J691" s="708"/>
      <c r="K691" s="708"/>
      <c r="L691" s="708"/>
      <c r="M691" s="708"/>
      <c r="N691" s="708"/>
      <c r="O691" s="708"/>
      <c r="P691" s="708"/>
      <c r="Q691" s="708"/>
      <c r="R691" s="708"/>
      <c r="S691" s="708"/>
      <c r="T691" s="708"/>
      <c r="U691" s="708"/>
      <c r="V691" s="708"/>
      <c r="W691" s="708"/>
      <c r="X691" s="708"/>
      <c r="Y691" s="708"/>
      <c r="Z691" s="708"/>
      <c r="AA691" s="708"/>
      <c r="AB691" s="708"/>
      <c r="AC691" s="708"/>
      <c r="AD691" s="708"/>
      <c r="AE691" s="708"/>
    </row>
    <row r="692">
      <c r="A692" s="708"/>
      <c r="B692" s="708"/>
      <c r="C692" s="708"/>
      <c r="D692" s="708"/>
      <c r="E692" s="708"/>
      <c r="F692" s="708"/>
      <c r="G692" s="708"/>
      <c r="H692" s="708"/>
      <c r="I692" s="708"/>
      <c r="J692" s="708"/>
      <c r="K692" s="708"/>
      <c r="L692" s="708"/>
      <c r="M692" s="708"/>
      <c r="N692" s="708"/>
      <c r="O692" s="708"/>
      <c r="P692" s="708"/>
      <c r="Q692" s="708"/>
      <c r="R692" s="708"/>
      <c r="S692" s="708"/>
      <c r="T692" s="708"/>
      <c r="U692" s="708"/>
      <c r="V692" s="708"/>
      <c r="W692" s="708"/>
      <c r="X692" s="708"/>
      <c r="Y692" s="708"/>
      <c r="Z692" s="708"/>
      <c r="AA692" s="708"/>
      <c r="AB692" s="708"/>
      <c r="AC692" s="708"/>
      <c r="AD692" s="708"/>
      <c r="AE692" s="708"/>
    </row>
    <row r="693">
      <c r="A693" s="708"/>
      <c r="B693" s="708"/>
      <c r="C693" s="708"/>
      <c r="D693" s="708"/>
      <c r="E693" s="708"/>
      <c r="F693" s="708"/>
      <c r="G693" s="708"/>
      <c r="H693" s="708"/>
      <c r="I693" s="708"/>
      <c r="J693" s="708"/>
      <c r="K693" s="708"/>
      <c r="L693" s="708"/>
      <c r="M693" s="708"/>
      <c r="N693" s="708"/>
      <c r="O693" s="708"/>
      <c r="P693" s="708"/>
      <c r="Q693" s="708"/>
      <c r="R693" s="708"/>
      <c r="S693" s="708"/>
      <c r="T693" s="708"/>
      <c r="U693" s="708"/>
      <c r="V693" s="708"/>
      <c r="W693" s="708"/>
      <c r="X693" s="708"/>
      <c r="Y693" s="708"/>
      <c r="Z693" s="708"/>
      <c r="AA693" s="708"/>
      <c r="AB693" s="708"/>
      <c r="AC693" s="708"/>
      <c r="AD693" s="708"/>
      <c r="AE693" s="708"/>
    </row>
    <row r="694">
      <c r="A694" s="708"/>
      <c r="B694" s="708"/>
      <c r="C694" s="708"/>
      <c r="D694" s="708"/>
      <c r="E694" s="708"/>
      <c r="F694" s="708"/>
      <c r="G694" s="708"/>
      <c r="H694" s="708"/>
      <c r="I694" s="708"/>
      <c r="J694" s="708"/>
      <c r="K694" s="708"/>
      <c r="L694" s="708"/>
      <c r="M694" s="708"/>
      <c r="N694" s="708"/>
      <c r="O694" s="708"/>
      <c r="P694" s="708"/>
      <c r="Q694" s="708"/>
      <c r="R694" s="708"/>
      <c r="S694" s="708"/>
      <c r="T694" s="708"/>
      <c r="U694" s="708"/>
      <c r="V694" s="708"/>
      <c r="W694" s="708"/>
      <c r="X694" s="708"/>
      <c r="Y694" s="708"/>
      <c r="Z694" s="708"/>
      <c r="AA694" s="708"/>
      <c r="AB694" s="708"/>
      <c r="AC694" s="708"/>
      <c r="AD694" s="708"/>
      <c r="AE694" s="708"/>
    </row>
    <row r="695">
      <c r="A695" s="708"/>
      <c r="B695" s="708"/>
      <c r="C695" s="708"/>
      <c r="D695" s="708"/>
      <c r="E695" s="708"/>
      <c r="F695" s="708"/>
      <c r="G695" s="708"/>
      <c r="H695" s="708"/>
      <c r="I695" s="708"/>
      <c r="J695" s="708"/>
      <c r="K695" s="708"/>
      <c r="L695" s="708"/>
      <c r="M695" s="708"/>
      <c r="N695" s="708"/>
      <c r="O695" s="708"/>
      <c r="P695" s="708"/>
      <c r="Q695" s="708"/>
      <c r="R695" s="708"/>
      <c r="S695" s="708"/>
      <c r="T695" s="708"/>
      <c r="U695" s="708"/>
      <c r="V695" s="708"/>
      <c r="W695" s="708"/>
      <c r="X695" s="708"/>
      <c r="Y695" s="708"/>
      <c r="Z695" s="708"/>
      <c r="AA695" s="708"/>
      <c r="AB695" s="708"/>
      <c r="AC695" s="708"/>
      <c r="AD695" s="708"/>
      <c r="AE695" s="708"/>
    </row>
    <row r="696">
      <c r="A696" s="708"/>
      <c r="B696" s="708"/>
      <c r="C696" s="708"/>
      <c r="D696" s="708"/>
      <c r="E696" s="708"/>
      <c r="F696" s="708"/>
      <c r="G696" s="708"/>
      <c r="H696" s="708"/>
      <c r="I696" s="708"/>
      <c r="J696" s="708"/>
      <c r="K696" s="708"/>
      <c r="L696" s="708"/>
      <c r="M696" s="708"/>
      <c r="N696" s="708"/>
      <c r="O696" s="708"/>
      <c r="P696" s="708"/>
      <c r="Q696" s="708"/>
      <c r="R696" s="708"/>
      <c r="S696" s="708"/>
      <c r="T696" s="708"/>
      <c r="U696" s="708"/>
      <c r="V696" s="708"/>
      <c r="W696" s="708"/>
      <c r="X696" s="708"/>
      <c r="Y696" s="708"/>
      <c r="Z696" s="708"/>
      <c r="AA696" s="708"/>
      <c r="AB696" s="708"/>
      <c r="AC696" s="708"/>
      <c r="AD696" s="708"/>
      <c r="AE696" s="708"/>
    </row>
    <row r="697">
      <c r="A697" s="708"/>
      <c r="B697" s="708"/>
      <c r="C697" s="708"/>
      <c r="D697" s="708"/>
      <c r="E697" s="708"/>
      <c r="F697" s="708"/>
      <c r="G697" s="708"/>
      <c r="H697" s="708"/>
      <c r="I697" s="708"/>
      <c r="J697" s="708"/>
      <c r="K697" s="708"/>
      <c r="L697" s="708"/>
      <c r="M697" s="708"/>
      <c r="N697" s="708"/>
      <c r="O697" s="708"/>
      <c r="P697" s="708"/>
      <c r="Q697" s="708"/>
      <c r="R697" s="708"/>
      <c r="S697" s="708"/>
      <c r="T697" s="708"/>
      <c r="U697" s="708"/>
      <c r="V697" s="708"/>
      <c r="W697" s="708"/>
      <c r="X697" s="708"/>
      <c r="Y697" s="708"/>
      <c r="Z697" s="708"/>
      <c r="AA697" s="708"/>
      <c r="AB697" s="708"/>
      <c r="AC697" s="708"/>
      <c r="AD697" s="708"/>
      <c r="AE697" s="708"/>
    </row>
    <row r="698">
      <c r="A698" s="708"/>
      <c r="B698" s="708"/>
      <c r="C698" s="708"/>
      <c r="D698" s="708"/>
      <c r="E698" s="708"/>
      <c r="F698" s="708"/>
      <c r="G698" s="708"/>
      <c r="H698" s="708"/>
      <c r="I698" s="708"/>
      <c r="J698" s="708"/>
      <c r="K698" s="708"/>
      <c r="L698" s="708"/>
      <c r="M698" s="708"/>
      <c r="N698" s="708"/>
      <c r="O698" s="708"/>
      <c r="P698" s="708"/>
      <c r="Q698" s="708"/>
      <c r="R698" s="708"/>
      <c r="S698" s="708"/>
      <c r="T698" s="708"/>
      <c r="U698" s="708"/>
      <c r="V698" s="708"/>
      <c r="W698" s="708"/>
      <c r="X698" s="708"/>
      <c r="Y698" s="708"/>
      <c r="Z698" s="708"/>
      <c r="AA698" s="708"/>
      <c r="AB698" s="708"/>
      <c r="AC698" s="708"/>
      <c r="AD698" s="708"/>
      <c r="AE698" s="708"/>
    </row>
    <row r="699">
      <c r="A699" s="708"/>
      <c r="B699" s="708"/>
      <c r="C699" s="708"/>
      <c r="D699" s="708"/>
      <c r="E699" s="708"/>
      <c r="F699" s="708"/>
      <c r="G699" s="708"/>
      <c r="H699" s="708"/>
      <c r="I699" s="708"/>
      <c r="J699" s="708"/>
      <c r="K699" s="708"/>
      <c r="L699" s="708"/>
      <c r="M699" s="708"/>
      <c r="N699" s="708"/>
      <c r="O699" s="708"/>
      <c r="P699" s="708"/>
      <c r="Q699" s="708"/>
      <c r="R699" s="708"/>
      <c r="S699" s="708"/>
      <c r="T699" s="708"/>
      <c r="U699" s="708"/>
      <c r="V699" s="708"/>
      <c r="W699" s="708"/>
      <c r="X699" s="708"/>
      <c r="Y699" s="708"/>
      <c r="Z699" s="708"/>
      <c r="AA699" s="708"/>
      <c r="AB699" s="708"/>
      <c r="AC699" s="708"/>
      <c r="AD699" s="708"/>
      <c r="AE699" s="708"/>
    </row>
    <row r="700">
      <c r="A700" s="708"/>
      <c r="B700" s="708"/>
      <c r="C700" s="708"/>
      <c r="D700" s="708"/>
      <c r="E700" s="708"/>
      <c r="F700" s="708"/>
      <c r="G700" s="708"/>
      <c r="H700" s="708"/>
      <c r="I700" s="708"/>
      <c r="J700" s="708"/>
      <c r="K700" s="708"/>
      <c r="L700" s="708"/>
      <c r="M700" s="708"/>
      <c r="N700" s="708"/>
      <c r="O700" s="708"/>
      <c r="P700" s="708"/>
      <c r="Q700" s="708"/>
      <c r="R700" s="708"/>
      <c r="S700" s="708"/>
      <c r="T700" s="708"/>
      <c r="U700" s="708"/>
      <c r="V700" s="708"/>
      <c r="W700" s="708"/>
      <c r="X700" s="708"/>
      <c r="Y700" s="708"/>
      <c r="Z700" s="708"/>
      <c r="AA700" s="708"/>
      <c r="AB700" s="708"/>
      <c r="AC700" s="708"/>
      <c r="AD700" s="708"/>
      <c r="AE700" s="708"/>
    </row>
    <row r="701">
      <c r="A701" s="708"/>
      <c r="B701" s="708"/>
      <c r="C701" s="708"/>
      <c r="D701" s="708"/>
      <c r="E701" s="708"/>
      <c r="F701" s="708"/>
      <c r="G701" s="708"/>
      <c r="H701" s="708"/>
      <c r="I701" s="708"/>
      <c r="J701" s="708"/>
      <c r="K701" s="708"/>
      <c r="L701" s="708"/>
      <c r="M701" s="708"/>
      <c r="N701" s="708"/>
      <c r="O701" s="708"/>
      <c r="P701" s="708"/>
      <c r="Q701" s="708"/>
      <c r="R701" s="708"/>
      <c r="S701" s="708"/>
      <c r="T701" s="708"/>
      <c r="U701" s="708"/>
      <c r="V701" s="708"/>
      <c r="W701" s="708"/>
      <c r="X701" s="708"/>
      <c r="Y701" s="708"/>
      <c r="Z701" s="708"/>
      <c r="AA701" s="708"/>
      <c r="AB701" s="708"/>
      <c r="AC701" s="708"/>
      <c r="AD701" s="708"/>
      <c r="AE701" s="708"/>
    </row>
    <row r="702">
      <c r="A702" s="708"/>
      <c r="B702" s="708"/>
      <c r="C702" s="708"/>
      <c r="D702" s="708"/>
      <c r="E702" s="708"/>
      <c r="F702" s="708"/>
      <c r="G702" s="708"/>
      <c r="H702" s="708"/>
      <c r="I702" s="708"/>
      <c r="J702" s="708"/>
      <c r="K702" s="708"/>
      <c r="L702" s="708"/>
      <c r="M702" s="708"/>
      <c r="N702" s="708"/>
      <c r="O702" s="708"/>
      <c r="P702" s="708"/>
      <c r="Q702" s="708"/>
      <c r="R702" s="708"/>
      <c r="S702" s="708"/>
      <c r="T702" s="708"/>
      <c r="U702" s="708"/>
      <c r="V702" s="708"/>
      <c r="W702" s="708"/>
      <c r="X702" s="708"/>
      <c r="Y702" s="708"/>
      <c r="Z702" s="708"/>
      <c r="AA702" s="708"/>
      <c r="AB702" s="708"/>
      <c r="AC702" s="708"/>
      <c r="AD702" s="708"/>
      <c r="AE702" s="708"/>
    </row>
    <row r="703">
      <c r="A703" s="708"/>
      <c r="B703" s="708"/>
      <c r="C703" s="708"/>
      <c r="D703" s="708"/>
      <c r="E703" s="708"/>
      <c r="F703" s="708"/>
      <c r="G703" s="708"/>
      <c r="H703" s="708"/>
      <c r="I703" s="708"/>
      <c r="J703" s="708"/>
      <c r="K703" s="708"/>
      <c r="L703" s="708"/>
      <c r="M703" s="708"/>
      <c r="N703" s="708"/>
      <c r="O703" s="708"/>
      <c r="P703" s="708"/>
      <c r="Q703" s="708"/>
      <c r="R703" s="708"/>
      <c r="S703" s="708"/>
      <c r="T703" s="708"/>
      <c r="U703" s="708"/>
      <c r="V703" s="708"/>
      <c r="W703" s="708"/>
      <c r="X703" s="708"/>
      <c r="Y703" s="708"/>
      <c r="Z703" s="708"/>
      <c r="AA703" s="708"/>
      <c r="AB703" s="708"/>
      <c r="AC703" s="708"/>
      <c r="AD703" s="708"/>
      <c r="AE703" s="708"/>
    </row>
    <row r="704">
      <c r="A704" s="708"/>
      <c r="B704" s="708"/>
      <c r="C704" s="708"/>
      <c r="D704" s="708"/>
      <c r="E704" s="708"/>
      <c r="F704" s="708"/>
      <c r="G704" s="708"/>
      <c r="H704" s="708"/>
      <c r="I704" s="708"/>
      <c r="J704" s="708"/>
      <c r="K704" s="708"/>
      <c r="L704" s="708"/>
      <c r="M704" s="708"/>
      <c r="N704" s="708"/>
      <c r="O704" s="708"/>
      <c r="P704" s="708"/>
      <c r="Q704" s="708"/>
      <c r="R704" s="708"/>
      <c r="S704" s="708"/>
      <c r="T704" s="708"/>
      <c r="U704" s="708"/>
      <c r="V704" s="708"/>
      <c r="W704" s="708"/>
      <c r="X704" s="708"/>
      <c r="Y704" s="708"/>
      <c r="Z704" s="708"/>
      <c r="AA704" s="708"/>
      <c r="AB704" s="708"/>
      <c r="AC704" s="708"/>
      <c r="AD704" s="708"/>
      <c r="AE704" s="708"/>
    </row>
    <row r="705">
      <c r="A705" s="708"/>
      <c r="B705" s="708"/>
      <c r="C705" s="708"/>
      <c r="D705" s="708"/>
      <c r="E705" s="708"/>
      <c r="F705" s="708"/>
      <c r="G705" s="708"/>
      <c r="H705" s="708"/>
      <c r="I705" s="708"/>
      <c r="J705" s="708"/>
      <c r="K705" s="708"/>
      <c r="L705" s="708"/>
      <c r="M705" s="708"/>
      <c r="N705" s="708"/>
      <c r="O705" s="708"/>
      <c r="P705" s="708"/>
      <c r="Q705" s="708"/>
      <c r="R705" s="708"/>
      <c r="S705" s="708"/>
      <c r="T705" s="708"/>
      <c r="U705" s="708"/>
      <c r="V705" s="708"/>
      <c r="W705" s="708"/>
      <c r="X705" s="708"/>
      <c r="Y705" s="708"/>
      <c r="Z705" s="708"/>
      <c r="AA705" s="708"/>
      <c r="AB705" s="708"/>
      <c r="AC705" s="708"/>
      <c r="AD705" s="708"/>
      <c r="AE705" s="708"/>
    </row>
    <row r="706">
      <c r="A706" s="708"/>
      <c r="B706" s="708"/>
      <c r="C706" s="708"/>
      <c r="D706" s="708"/>
      <c r="E706" s="708"/>
      <c r="F706" s="708"/>
      <c r="G706" s="708"/>
      <c r="H706" s="708"/>
      <c r="I706" s="708"/>
      <c r="J706" s="708"/>
      <c r="K706" s="708"/>
      <c r="L706" s="708"/>
      <c r="M706" s="708"/>
      <c r="N706" s="708"/>
      <c r="O706" s="708"/>
      <c r="P706" s="708"/>
      <c r="Q706" s="708"/>
      <c r="R706" s="708"/>
      <c r="S706" s="708"/>
      <c r="T706" s="708"/>
      <c r="U706" s="708"/>
      <c r="V706" s="708"/>
      <c r="W706" s="708"/>
      <c r="X706" s="708"/>
      <c r="Y706" s="708"/>
      <c r="Z706" s="708"/>
      <c r="AA706" s="708"/>
      <c r="AB706" s="708"/>
      <c r="AC706" s="708"/>
      <c r="AD706" s="708"/>
      <c r="AE706" s="708"/>
    </row>
    <row r="707">
      <c r="A707" s="708"/>
      <c r="B707" s="708"/>
      <c r="C707" s="708"/>
      <c r="D707" s="708"/>
      <c r="E707" s="708"/>
      <c r="F707" s="708"/>
      <c r="G707" s="708"/>
      <c r="H707" s="708"/>
      <c r="I707" s="708"/>
      <c r="J707" s="708"/>
      <c r="K707" s="708"/>
      <c r="L707" s="708"/>
      <c r="M707" s="708"/>
      <c r="N707" s="708"/>
      <c r="O707" s="708"/>
      <c r="P707" s="708"/>
      <c r="Q707" s="708"/>
      <c r="R707" s="708"/>
      <c r="S707" s="708"/>
      <c r="T707" s="708"/>
      <c r="U707" s="708"/>
      <c r="V707" s="708"/>
      <c r="W707" s="708"/>
      <c r="X707" s="708"/>
      <c r="Y707" s="708"/>
      <c r="Z707" s="708"/>
      <c r="AA707" s="708"/>
      <c r="AB707" s="708"/>
      <c r="AC707" s="708"/>
      <c r="AD707" s="708"/>
      <c r="AE707" s="708"/>
    </row>
    <row r="708">
      <c r="A708" s="708"/>
      <c r="B708" s="708"/>
      <c r="C708" s="708"/>
      <c r="D708" s="708"/>
      <c r="E708" s="708"/>
      <c r="F708" s="708"/>
      <c r="G708" s="708"/>
      <c r="H708" s="708"/>
      <c r="I708" s="708"/>
      <c r="J708" s="708"/>
      <c r="K708" s="708"/>
      <c r="L708" s="708"/>
      <c r="M708" s="708"/>
      <c r="N708" s="708"/>
      <c r="O708" s="708"/>
      <c r="P708" s="708"/>
      <c r="Q708" s="708"/>
      <c r="R708" s="708"/>
      <c r="S708" s="708"/>
      <c r="T708" s="708"/>
      <c r="U708" s="708"/>
      <c r="V708" s="708"/>
      <c r="W708" s="708"/>
      <c r="X708" s="708"/>
      <c r="Y708" s="708"/>
      <c r="Z708" s="708"/>
      <c r="AA708" s="708"/>
      <c r="AB708" s="708"/>
      <c r="AC708" s="708"/>
      <c r="AD708" s="708"/>
      <c r="AE708" s="708"/>
    </row>
    <row r="709">
      <c r="A709" s="708"/>
      <c r="B709" s="708"/>
      <c r="C709" s="708"/>
      <c r="D709" s="708"/>
      <c r="E709" s="708"/>
      <c r="F709" s="708"/>
      <c r="G709" s="708"/>
      <c r="H709" s="708"/>
      <c r="I709" s="708"/>
      <c r="J709" s="708"/>
      <c r="K709" s="708"/>
      <c r="L709" s="708"/>
      <c r="M709" s="708"/>
      <c r="N709" s="708"/>
      <c r="O709" s="708"/>
      <c r="P709" s="708"/>
      <c r="Q709" s="708"/>
      <c r="R709" s="708"/>
      <c r="S709" s="708"/>
      <c r="T709" s="708"/>
      <c r="U709" s="708"/>
      <c r="V709" s="708"/>
      <c r="W709" s="708"/>
      <c r="X709" s="708"/>
      <c r="Y709" s="708"/>
      <c r="Z709" s="708"/>
      <c r="AA709" s="708"/>
      <c r="AB709" s="708"/>
      <c r="AC709" s="708"/>
      <c r="AD709" s="708"/>
      <c r="AE709" s="708"/>
    </row>
    <row r="710">
      <c r="A710" s="708"/>
      <c r="B710" s="708"/>
      <c r="C710" s="708"/>
      <c r="D710" s="708"/>
      <c r="E710" s="708"/>
      <c r="F710" s="708"/>
      <c r="G710" s="708"/>
      <c r="H710" s="708"/>
      <c r="I710" s="708"/>
      <c r="J710" s="708"/>
      <c r="K710" s="708"/>
      <c r="L710" s="708"/>
      <c r="M710" s="708"/>
      <c r="N710" s="708"/>
      <c r="O710" s="708"/>
      <c r="P710" s="708"/>
      <c r="Q710" s="708"/>
      <c r="R710" s="708"/>
      <c r="S710" s="708"/>
      <c r="T710" s="708"/>
      <c r="U710" s="708"/>
      <c r="V710" s="708"/>
      <c r="W710" s="708"/>
      <c r="X710" s="708"/>
      <c r="Y710" s="708"/>
      <c r="Z710" s="708"/>
      <c r="AA710" s="708"/>
      <c r="AB710" s="708"/>
      <c r="AC710" s="708"/>
      <c r="AD710" s="708"/>
      <c r="AE710" s="708"/>
    </row>
    <row r="711">
      <c r="A711" s="708"/>
      <c r="B711" s="708"/>
      <c r="C711" s="708"/>
      <c r="D711" s="708"/>
      <c r="E711" s="708"/>
      <c r="F711" s="708"/>
      <c r="G711" s="708"/>
      <c r="H711" s="708"/>
      <c r="I711" s="708"/>
      <c r="J711" s="708"/>
      <c r="K711" s="708"/>
      <c r="L711" s="708"/>
      <c r="M711" s="708"/>
      <c r="N711" s="708"/>
      <c r="O711" s="708"/>
      <c r="P711" s="708"/>
      <c r="Q711" s="708"/>
      <c r="R711" s="708"/>
      <c r="S711" s="708"/>
      <c r="T711" s="708"/>
      <c r="U711" s="708"/>
      <c r="V711" s="708"/>
      <c r="W711" s="708"/>
      <c r="X711" s="708"/>
      <c r="Y711" s="708"/>
      <c r="Z711" s="708"/>
      <c r="AA711" s="708"/>
      <c r="AB711" s="708"/>
      <c r="AC711" s="708"/>
      <c r="AD711" s="708"/>
      <c r="AE711" s="708"/>
    </row>
    <row r="712">
      <c r="A712" s="708"/>
      <c r="B712" s="708"/>
      <c r="C712" s="708"/>
      <c r="D712" s="708"/>
      <c r="E712" s="708"/>
      <c r="F712" s="708"/>
      <c r="G712" s="708"/>
      <c r="H712" s="708"/>
      <c r="I712" s="708"/>
      <c r="J712" s="708"/>
      <c r="K712" s="708"/>
      <c r="L712" s="708"/>
      <c r="M712" s="708"/>
      <c r="N712" s="708"/>
      <c r="O712" s="708"/>
      <c r="P712" s="708"/>
      <c r="Q712" s="708"/>
      <c r="R712" s="708"/>
      <c r="S712" s="708"/>
      <c r="T712" s="708"/>
      <c r="U712" s="708"/>
      <c r="V712" s="708"/>
      <c r="W712" s="708"/>
      <c r="X712" s="708"/>
      <c r="Y712" s="708"/>
      <c r="Z712" s="708"/>
      <c r="AA712" s="708"/>
      <c r="AB712" s="708"/>
      <c r="AC712" s="708"/>
      <c r="AD712" s="708"/>
      <c r="AE712" s="708"/>
    </row>
    <row r="713">
      <c r="A713" s="708"/>
      <c r="B713" s="708"/>
      <c r="C713" s="708"/>
      <c r="D713" s="708"/>
      <c r="E713" s="708"/>
      <c r="F713" s="708"/>
      <c r="G713" s="708"/>
      <c r="H713" s="708"/>
      <c r="I713" s="708"/>
      <c r="J713" s="708"/>
      <c r="K713" s="708"/>
      <c r="L713" s="708"/>
      <c r="M713" s="708"/>
      <c r="N713" s="708"/>
      <c r="O713" s="708"/>
      <c r="P713" s="708"/>
      <c r="Q713" s="708"/>
      <c r="R713" s="708"/>
      <c r="S713" s="708"/>
      <c r="T713" s="708"/>
      <c r="U713" s="708"/>
      <c r="V713" s="708"/>
      <c r="W713" s="708"/>
      <c r="X713" s="708"/>
      <c r="Y713" s="708"/>
      <c r="Z713" s="708"/>
      <c r="AA713" s="708"/>
      <c r="AB713" s="708"/>
      <c r="AC713" s="708"/>
      <c r="AD713" s="708"/>
      <c r="AE713" s="708"/>
    </row>
    <row r="714">
      <c r="A714" s="708"/>
      <c r="B714" s="708"/>
      <c r="C714" s="708"/>
      <c r="D714" s="708"/>
      <c r="E714" s="708"/>
      <c r="F714" s="708"/>
      <c r="G714" s="708"/>
      <c r="H714" s="708"/>
      <c r="I714" s="708"/>
      <c r="J714" s="708"/>
      <c r="K714" s="708"/>
      <c r="L714" s="708"/>
      <c r="M714" s="708"/>
      <c r="N714" s="708"/>
      <c r="O714" s="708"/>
      <c r="P714" s="708"/>
      <c r="Q714" s="708"/>
      <c r="R714" s="708"/>
      <c r="S714" s="708"/>
      <c r="T714" s="708"/>
      <c r="U714" s="708"/>
      <c r="V714" s="708"/>
      <c r="W714" s="708"/>
      <c r="X714" s="708"/>
      <c r="Y714" s="708"/>
      <c r="Z714" s="708"/>
      <c r="AA714" s="708"/>
      <c r="AB714" s="708"/>
      <c r="AC714" s="708"/>
      <c r="AD714" s="708"/>
      <c r="AE714" s="708"/>
    </row>
    <row r="715">
      <c r="A715" s="708"/>
      <c r="B715" s="708"/>
      <c r="C715" s="708"/>
      <c r="D715" s="708"/>
      <c r="E715" s="708"/>
      <c r="F715" s="708"/>
      <c r="G715" s="708"/>
      <c r="H715" s="708"/>
      <c r="I715" s="708"/>
      <c r="J715" s="708"/>
      <c r="K715" s="708"/>
      <c r="L715" s="708"/>
      <c r="M715" s="708"/>
      <c r="N715" s="708"/>
      <c r="O715" s="708"/>
      <c r="P715" s="708"/>
      <c r="Q715" s="708"/>
      <c r="R715" s="708"/>
      <c r="S715" s="708"/>
      <c r="T715" s="708"/>
      <c r="U715" s="708"/>
      <c r="V715" s="708"/>
      <c r="W715" s="708"/>
      <c r="X715" s="708"/>
      <c r="Y715" s="708"/>
      <c r="Z715" s="708"/>
      <c r="AA715" s="708"/>
      <c r="AB715" s="708"/>
      <c r="AC715" s="708"/>
      <c r="AD715" s="708"/>
      <c r="AE715" s="708"/>
    </row>
    <row r="716">
      <c r="A716" s="708"/>
      <c r="B716" s="708"/>
      <c r="C716" s="708"/>
      <c r="D716" s="708"/>
      <c r="E716" s="708"/>
      <c r="F716" s="708"/>
      <c r="G716" s="708"/>
      <c r="H716" s="708"/>
      <c r="I716" s="708"/>
      <c r="J716" s="708"/>
      <c r="K716" s="708"/>
      <c r="L716" s="708"/>
      <c r="M716" s="708"/>
      <c r="N716" s="708"/>
      <c r="O716" s="708"/>
      <c r="P716" s="708"/>
      <c r="Q716" s="708"/>
      <c r="R716" s="708"/>
      <c r="S716" s="708"/>
      <c r="T716" s="708"/>
      <c r="U716" s="708"/>
      <c r="V716" s="708"/>
      <c r="W716" s="708"/>
      <c r="X716" s="708"/>
      <c r="Y716" s="708"/>
      <c r="Z716" s="708"/>
      <c r="AA716" s="708"/>
      <c r="AB716" s="708"/>
      <c r="AC716" s="708"/>
      <c r="AD716" s="708"/>
      <c r="AE716" s="708"/>
    </row>
    <row r="717">
      <c r="A717" s="708"/>
      <c r="B717" s="708"/>
      <c r="C717" s="708"/>
      <c r="D717" s="708"/>
      <c r="E717" s="708"/>
      <c r="F717" s="708"/>
      <c r="G717" s="708"/>
      <c r="H717" s="708"/>
      <c r="I717" s="708"/>
      <c r="J717" s="708"/>
      <c r="K717" s="708"/>
      <c r="L717" s="708"/>
      <c r="M717" s="708"/>
      <c r="N717" s="708"/>
      <c r="O717" s="708"/>
      <c r="P717" s="708"/>
      <c r="Q717" s="708"/>
      <c r="R717" s="708"/>
      <c r="S717" s="708"/>
      <c r="T717" s="708"/>
      <c r="U717" s="708"/>
      <c r="V717" s="708"/>
      <c r="W717" s="708"/>
      <c r="X717" s="708"/>
      <c r="Y717" s="708"/>
      <c r="Z717" s="708"/>
      <c r="AA717" s="708"/>
      <c r="AB717" s="708"/>
      <c r="AC717" s="708"/>
      <c r="AD717" s="708"/>
      <c r="AE717" s="708"/>
    </row>
    <row r="718">
      <c r="A718" s="708"/>
      <c r="B718" s="708"/>
      <c r="C718" s="708"/>
      <c r="D718" s="708"/>
      <c r="E718" s="708"/>
      <c r="F718" s="708"/>
      <c r="G718" s="708"/>
      <c r="H718" s="708"/>
      <c r="I718" s="708"/>
      <c r="J718" s="708"/>
      <c r="K718" s="708"/>
      <c r="L718" s="708"/>
      <c r="M718" s="708"/>
      <c r="N718" s="708"/>
      <c r="O718" s="708"/>
      <c r="P718" s="708"/>
      <c r="Q718" s="708"/>
      <c r="R718" s="708"/>
      <c r="S718" s="708"/>
      <c r="T718" s="708"/>
      <c r="U718" s="708"/>
      <c r="V718" s="708"/>
      <c r="W718" s="708"/>
      <c r="X718" s="708"/>
      <c r="Y718" s="708"/>
      <c r="Z718" s="708"/>
      <c r="AA718" s="708"/>
      <c r="AB718" s="708"/>
      <c r="AC718" s="708"/>
      <c r="AD718" s="708"/>
      <c r="AE718" s="708"/>
    </row>
    <row r="719">
      <c r="A719" s="708"/>
      <c r="B719" s="708"/>
      <c r="C719" s="708"/>
      <c r="D719" s="708"/>
      <c r="E719" s="708"/>
      <c r="F719" s="708"/>
      <c r="G719" s="708"/>
      <c r="H719" s="708"/>
      <c r="I719" s="708"/>
      <c r="J719" s="708"/>
      <c r="K719" s="708"/>
      <c r="L719" s="708"/>
      <c r="M719" s="708"/>
      <c r="N719" s="708"/>
      <c r="O719" s="708"/>
      <c r="P719" s="708"/>
      <c r="Q719" s="708"/>
      <c r="R719" s="708"/>
      <c r="S719" s="708"/>
      <c r="T719" s="708"/>
      <c r="U719" s="708"/>
      <c r="V719" s="708"/>
      <c r="W719" s="708"/>
      <c r="X719" s="708"/>
      <c r="Y719" s="708"/>
      <c r="Z719" s="708"/>
      <c r="AA719" s="708"/>
      <c r="AB719" s="708"/>
      <c r="AC719" s="708"/>
      <c r="AD719" s="708"/>
      <c r="AE719" s="708"/>
    </row>
    <row r="720">
      <c r="A720" s="708"/>
      <c r="B720" s="708"/>
      <c r="C720" s="708"/>
      <c r="D720" s="708"/>
      <c r="E720" s="708"/>
      <c r="F720" s="708"/>
      <c r="G720" s="708"/>
      <c r="H720" s="708"/>
      <c r="I720" s="708"/>
      <c r="J720" s="708"/>
      <c r="K720" s="708"/>
      <c r="L720" s="708"/>
      <c r="M720" s="708"/>
      <c r="N720" s="708"/>
      <c r="O720" s="708"/>
      <c r="P720" s="708"/>
      <c r="Q720" s="708"/>
      <c r="R720" s="708"/>
      <c r="S720" s="708"/>
      <c r="T720" s="708"/>
      <c r="U720" s="708"/>
      <c r="V720" s="708"/>
      <c r="W720" s="708"/>
      <c r="X720" s="708"/>
      <c r="Y720" s="708"/>
      <c r="Z720" s="708"/>
      <c r="AA720" s="708"/>
      <c r="AB720" s="708"/>
      <c r="AC720" s="708"/>
      <c r="AD720" s="708"/>
      <c r="AE720" s="708"/>
    </row>
    <row r="721">
      <c r="A721" s="708"/>
      <c r="B721" s="708"/>
      <c r="C721" s="708"/>
      <c r="D721" s="708"/>
      <c r="E721" s="708"/>
      <c r="F721" s="708"/>
      <c r="G721" s="708"/>
      <c r="H721" s="708"/>
      <c r="I721" s="708"/>
      <c r="J721" s="708"/>
      <c r="K721" s="708"/>
      <c r="L721" s="708"/>
      <c r="M721" s="708"/>
      <c r="N721" s="708"/>
      <c r="O721" s="708"/>
      <c r="P721" s="708"/>
      <c r="Q721" s="708"/>
      <c r="R721" s="708"/>
      <c r="S721" s="708"/>
      <c r="T721" s="708"/>
      <c r="U721" s="708"/>
      <c r="V721" s="708"/>
      <c r="W721" s="708"/>
      <c r="X721" s="708"/>
      <c r="Y721" s="708"/>
      <c r="Z721" s="708"/>
      <c r="AA721" s="708"/>
      <c r="AB721" s="708"/>
      <c r="AC721" s="708"/>
      <c r="AD721" s="708"/>
      <c r="AE721" s="708"/>
    </row>
    <row r="722">
      <c r="A722" s="708"/>
      <c r="B722" s="708"/>
      <c r="C722" s="708"/>
      <c r="D722" s="708"/>
      <c r="E722" s="708"/>
      <c r="F722" s="708"/>
      <c r="G722" s="708"/>
      <c r="H722" s="708"/>
      <c r="I722" s="708"/>
      <c r="J722" s="708"/>
      <c r="K722" s="708"/>
      <c r="L722" s="708"/>
      <c r="M722" s="708"/>
      <c r="N722" s="708"/>
      <c r="O722" s="708"/>
      <c r="P722" s="708"/>
      <c r="Q722" s="708"/>
      <c r="R722" s="708"/>
      <c r="S722" s="708"/>
      <c r="T722" s="708"/>
      <c r="U722" s="708"/>
      <c r="V722" s="708"/>
      <c r="W722" s="708"/>
      <c r="X722" s="708"/>
      <c r="Y722" s="708"/>
      <c r="Z722" s="708"/>
      <c r="AA722" s="708"/>
      <c r="AB722" s="708"/>
      <c r="AC722" s="708"/>
      <c r="AD722" s="708"/>
      <c r="AE722" s="708"/>
    </row>
    <row r="723">
      <c r="A723" s="708"/>
      <c r="B723" s="708"/>
      <c r="C723" s="708"/>
      <c r="D723" s="708"/>
      <c r="E723" s="708"/>
      <c r="F723" s="708"/>
      <c r="G723" s="708"/>
      <c r="H723" s="708"/>
      <c r="I723" s="708"/>
      <c r="J723" s="708"/>
      <c r="K723" s="708"/>
      <c r="L723" s="708"/>
      <c r="M723" s="708"/>
      <c r="N723" s="708"/>
      <c r="O723" s="708"/>
      <c r="P723" s="708"/>
      <c r="Q723" s="708"/>
      <c r="R723" s="708"/>
      <c r="S723" s="708"/>
      <c r="T723" s="708"/>
      <c r="U723" s="708"/>
      <c r="V723" s="708"/>
      <c r="W723" s="708"/>
      <c r="X723" s="708"/>
      <c r="Y723" s="708"/>
      <c r="Z723" s="708"/>
      <c r="AA723" s="708"/>
      <c r="AB723" s="708"/>
      <c r="AC723" s="708"/>
      <c r="AD723" s="708"/>
      <c r="AE723" s="708"/>
    </row>
    <row r="724">
      <c r="A724" s="708"/>
      <c r="B724" s="708"/>
      <c r="C724" s="708"/>
      <c r="D724" s="708"/>
      <c r="E724" s="708"/>
      <c r="F724" s="708"/>
      <c r="G724" s="708"/>
      <c r="H724" s="708"/>
      <c r="I724" s="708"/>
      <c r="J724" s="708"/>
      <c r="K724" s="708"/>
      <c r="L724" s="708"/>
      <c r="M724" s="708"/>
      <c r="N724" s="708"/>
      <c r="O724" s="708"/>
      <c r="P724" s="708"/>
      <c r="Q724" s="708"/>
      <c r="R724" s="708"/>
      <c r="S724" s="708"/>
      <c r="T724" s="708"/>
      <c r="U724" s="708"/>
      <c r="V724" s="708"/>
      <c r="W724" s="708"/>
      <c r="X724" s="708"/>
      <c r="Y724" s="708"/>
      <c r="Z724" s="708"/>
      <c r="AA724" s="708"/>
      <c r="AB724" s="708"/>
      <c r="AC724" s="708"/>
      <c r="AD724" s="708"/>
      <c r="AE724" s="708"/>
    </row>
    <row r="725">
      <c r="A725" s="708"/>
      <c r="B725" s="708"/>
      <c r="C725" s="708"/>
      <c r="D725" s="708"/>
      <c r="E725" s="708"/>
      <c r="F725" s="708"/>
      <c r="G725" s="708"/>
      <c r="H725" s="708"/>
      <c r="I725" s="708"/>
      <c r="J725" s="708"/>
      <c r="K725" s="708"/>
      <c r="L725" s="708"/>
      <c r="M725" s="708"/>
      <c r="N725" s="708"/>
      <c r="O725" s="708"/>
      <c r="P725" s="708"/>
      <c r="Q725" s="708"/>
      <c r="R725" s="708"/>
      <c r="S725" s="708"/>
      <c r="T725" s="708"/>
      <c r="U725" s="708"/>
      <c r="V725" s="708"/>
      <c r="W725" s="708"/>
      <c r="X725" s="708"/>
      <c r="Y725" s="708"/>
      <c r="Z725" s="708"/>
      <c r="AA725" s="708"/>
      <c r="AB725" s="708"/>
      <c r="AC725" s="708"/>
      <c r="AD725" s="708"/>
      <c r="AE725" s="708"/>
    </row>
    <row r="726">
      <c r="A726" s="708"/>
      <c r="B726" s="708"/>
      <c r="C726" s="708"/>
      <c r="D726" s="708"/>
      <c r="E726" s="708"/>
      <c r="F726" s="708"/>
      <c r="G726" s="708"/>
      <c r="H726" s="708"/>
      <c r="I726" s="708"/>
      <c r="J726" s="708"/>
      <c r="K726" s="708"/>
      <c r="L726" s="708"/>
      <c r="M726" s="708"/>
      <c r="N726" s="708"/>
      <c r="O726" s="708"/>
      <c r="P726" s="708"/>
      <c r="Q726" s="708"/>
      <c r="R726" s="708"/>
      <c r="S726" s="708"/>
      <c r="T726" s="708"/>
      <c r="U726" s="708"/>
      <c r="V726" s="708"/>
      <c r="W726" s="708"/>
      <c r="X726" s="708"/>
      <c r="Y726" s="708"/>
      <c r="Z726" s="708"/>
      <c r="AA726" s="708"/>
      <c r="AB726" s="708"/>
      <c r="AC726" s="708"/>
      <c r="AD726" s="708"/>
      <c r="AE726" s="708"/>
    </row>
    <row r="727">
      <c r="A727" s="708"/>
      <c r="B727" s="708"/>
      <c r="C727" s="708"/>
      <c r="D727" s="708"/>
      <c r="E727" s="708"/>
      <c r="F727" s="708"/>
      <c r="G727" s="708"/>
      <c r="H727" s="708"/>
      <c r="I727" s="708"/>
      <c r="J727" s="708"/>
      <c r="K727" s="708"/>
      <c r="L727" s="708"/>
      <c r="M727" s="708"/>
      <c r="N727" s="708"/>
      <c r="O727" s="708"/>
      <c r="P727" s="708"/>
      <c r="Q727" s="708"/>
      <c r="R727" s="708"/>
      <c r="S727" s="708"/>
      <c r="T727" s="708"/>
      <c r="U727" s="708"/>
      <c r="V727" s="708"/>
      <c r="W727" s="708"/>
      <c r="X727" s="708"/>
      <c r="Y727" s="708"/>
      <c r="Z727" s="708"/>
      <c r="AA727" s="708"/>
      <c r="AB727" s="708"/>
      <c r="AC727" s="708"/>
      <c r="AD727" s="708"/>
      <c r="AE727" s="708"/>
    </row>
    <row r="728">
      <c r="A728" s="708"/>
      <c r="B728" s="708"/>
      <c r="C728" s="708"/>
      <c r="D728" s="708"/>
      <c r="E728" s="708"/>
      <c r="F728" s="708"/>
      <c r="G728" s="708"/>
      <c r="H728" s="708"/>
      <c r="I728" s="708"/>
      <c r="J728" s="708"/>
      <c r="K728" s="708"/>
      <c r="L728" s="708"/>
      <c r="M728" s="708"/>
      <c r="N728" s="708"/>
      <c r="O728" s="708"/>
      <c r="P728" s="708"/>
      <c r="Q728" s="708"/>
      <c r="R728" s="708"/>
      <c r="S728" s="708"/>
      <c r="T728" s="708"/>
      <c r="U728" s="708"/>
      <c r="V728" s="708"/>
      <c r="W728" s="708"/>
      <c r="X728" s="708"/>
      <c r="Y728" s="708"/>
      <c r="Z728" s="708"/>
      <c r="AA728" s="708"/>
      <c r="AB728" s="708"/>
      <c r="AC728" s="708"/>
      <c r="AD728" s="708"/>
      <c r="AE728" s="708"/>
    </row>
    <row r="729">
      <c r="A729" s="708"/>
      <c r="B729" s="708"/>
      <c r="C729" s="708"/>
      <c r="D729" s="708"/>
      <c r="E729" s="708"/>
      <c r="F729" s="708"/>
      <c r="G729" s="708"/>
      <c r="H729" s="708"/>
      <c r="I729" s="708"/>
      <c r="J729" s="708"/>
      <c r="K729" s="708"/>
      <c r="L729" s="708"/>
      <c r="M729" s="708"/>
      <c r="N729" s="708"/>
      <c r="O729" s="708"/>
      <c r="P729" s="708"/>
      <c r="Q729" s="708"/>
      <c r="R729" s="708"/>
      <c r="S729" s="708"/>
      <c r="T729" s="708"/>
      <c r="U729" s="708"/>
      <c r="V729" s="708"/>
      <c r="W729" s="708"/>
      <c r="X729" s="708"/>
      <c r="Y729" s="708"/>
      <c r="Z729" s="708"/>
      <c r="AA729" s="708"/>
      <c r="AB729" s="708"/>
      <c r="AC729" s="708"/>
      <c r="AD729" s="708"/>
      <c r="AE729" s="708"/>
    </row>
    <row r="730">
      <c r="A730" s="708"/>
      <c r="B730" s="708"/>
      <c r="C730" s="708"/>
      <c r="D730" s="708"/>
      <c r="E730" s="708"/>
      <c r="F730" s="708"/>
      <c r="G730" s="708"/>
      <c r="H730" s="708"/>
      <c r="I730" s="708"/>
      <c r="J730" s="708"/>
      <c r="K730" s="708"/>
      <c r="L730" s="708"/>
      <c r="M730" s="708"/>
      <c r="N730" s="708"/>
      <c r="O730" s="708"/>
      <c r="P730" s="708"/>
      <c r="Q730" s="708"/>
      <c r="R730" s="708"/>
      <c r="S730" s="708"/>
      <c r="T730" s="708"/>
      <c r="U730" s="708"/>
      <c r="V730" s="708"/>
      <c r="W730" s="708"/>
      <c r="X730" s="708"/>
      <c r="Y730" s="708"/>
      <c r="Z730" s="708"/>
      <c r="AA730" s="708"/>
      <c r="AB730" s="708"/>
      <c r="AC730" s="708"/>
      <c r="AD730" s="708"/>
      <c r="AE730" s="708"/>
    </row>
    <row r="731">
      <c r="A731" s="708"/>
      <c r="B731" s="708"/>
      <c r="C731" s="708"/>
      <c r="D731" s="708"/>
      <c r="E731" s="708"/>
      <c r="F731" s="708"/>
      <c r="G731" s="708"/>
      <c r="H731" s="708"/>
      <c r="I731" s="708"/>
      <c r="J731" s="708"/>
      <c r="K731" s="708"/>
      <c r="L731" s="708"/>
      <c r="M731" s="708"/>
      <c r="N731" s="708"/>
      <c r="O731" s="708"/>
      <c r="P731" s="708"/>
      <c r="Q731" s="708"/>
      <c r="R731" s="708"/>
      <c r="S731" s="708"/>
      <c r="T731" s="708"/>
      <c r="U731" s="708"/>
      <c r="V731" s="708"/>
      <c r="W731" s="708"/>
      <c r="X731" s="708"/>
      <c r="Y731" s="708"/>
      <c r="Z731" s="708"/>
      <c r="AA731" s="708"/>
      <c r="AB731" s="708"/>
      <c r="AC731" s="708"/>
      <c r="AD731" s="708"/>
      <c r="AE731" s="708"/>
    </row>
    <row r="732">
      <c r="A732" s="708"/>
      <c r="B732" s="708"/>
      <c r="C732" s="708"/>
      <c r="D732" s="708"/>
      <c r="E732" s="708"/>
      <c r="F732" s="708"/>
      <c r="G732" s="708"/>
      <c r="H732" s="708"/>
      <c r="I732" s="708"/>
      <c r="J732" s="708"/>
      <c r="K732" s="708"/>
      <c r="L732" s="708"/>
      <c r="M732" s="708"/>
      <c r="N732" s="708"/>
      <c r="O732" s="708"/>
      <c r="P732" s="708"/>
      <c r="Q732" s="708"/>
      <c r="R732" s="708"/>
      <c r="S732" s="708"/>
      <c r="T732" s="708"/>
      <c r="U732" s="708"/>
      <c r="V732" s="708"/>
      <c r="W732" s="708"/>
      <c r="X732" s="708"/>
      <c r="Y732" s="708"/>
      <c r="Z732" s="708"/>
      <c r="AA732" s="708"/>
      <c r="AB732" s="708"/>
      <c r="AC732" s="708"/>
      <c r="AD732" s="708"/>
      <c r="AE732" s="708"/>
    </row>
    <row r="733">
      <c r="A733" s="708"/>
      <c r="B733" s="708"/>
      <c r="C733" s="708"/>
      <c r="D733" s="708"/>
      <c r="E733" s="708"/>
      <c r="F733" s="708"/>
      <c r="G733" s="708"/>
      <c r="H733" s="708"/>
      <c r="I733" s="708"/>
      <c r="J733" s="708"/>
      <c r="K733" s="708"/>
      <c r="L733" s="708"/>
      <c r="M733" s="708"/>
      <c r="N733" s="708"/>
      <c r="O733" s="708"/>
      <c r="P733" s="708"/>
      <c r="Q733" s="708"/>
      <c r="R733" s="708"/>
      <c r="S733" s="708"/>
      <c r="T733" s="708"/>
      <c r="U733" s="708"/>
      <c r="V733" s="708"/>
      <c r="W733" s="708"/>
      <c r="X733" s="708"/>
      <c r="Y733" s="708"/>
      <c r="Z733" s="708"/>
      <c r="AA733" s="708"/>
      <c r="AB733" s="708"/>
      <c r="AC733" s="708"/>
      <c r="AD733" s="708"/>
      <c r="AE733" s="708"/>
    </row>
    <row r="734">
      <c r="A734" s="708"/>
      <c r="B734" s="708"/>
      <c r="C734" s="708"/>
      <c r="D734" s="708"/>
      <c r="E734" s="708"/>
      <c r="F734" s="708"/>
      <c r="G734" s="708"/>
      <c r="H734" s="708"/>
      <c r="I734" s="708"/>
      <c r="J734" s="708"/>
      <c r="K734" s="708"/>
      <c r="L734" s="708"/>
      <c r="M734" s="708"/>
      <c r="N734" s="708"/>
      <c r="O734" s="708"/>
      <c r="P734" s="708"/>
      <c r="Q734" s="708"/>
      <c r="R734" s="708"/>
      <c r="S734" s="708"/>
      <c r="T734" s="708"/>
      <c r="U734" s="708"/>
      <c r="V734" s="708"/>
      <c r="W734" s="708"/>
      <c r="X734" s="708"/>
      <c r="Y734" s="708"/>
      <c r="Z734" s="708"/>
      <c r="AA734" s="708"/>
      <c r="AB734" s="708"/>
      <c r="AC734" s="708"/>
      <c r="AD734" s="708"/>
      <c r="AE734" s="708"/>
    </row>
    <row r="735">
      <c r="A735" s="708"/>
      <c r="B735" s="708"/>
      <c r="C735" s="708"/>
      <c r="D735" s="708"/>
      <c r="E735" s="708"/>
      <c r="F735" s="708"/>
      <c r="G735" s="708"/>
      <c r="H735" s="708"/>
      <c r="I735" s="708"/>
      <c r="J735" s="708"/>
      <c r="K735" s="708"/>
      <c r="L735" s="708"/>
      <c r="M735" s="708"/>
      <c r="N735" s="708"/>
      <c r="O735" s="708"/>
      <c r="P735" s="708"/>
      <c r="Q735" s="708"/>
      <c r="R735" s="708"/>
      <c r="S735" s="708"/>
      <c r="T735" s="708"/>
      <c r="U735" s="708"/>
      <c r="V735" s="708"/>
      <c r="W735" s="708"/>
      <c r="X735" s="708"/>
      <c r="Y735" s="708"/>
      <c r="Z735" s="708"/>
      <c r="AA735" s="708"/>
      <c r="AB735" s="708"/>
      <c r="AC735" s="708"/>
      <c r="AD735" s="708"/>
      <c r="AE735" s="708"/>
    </row>
    <row r="736">
      <c r="A736" s="708"/>
      <c r="B736" s="708"/>
      <c r="C736" s="708"/>
      <c r="D736" s="708"/>
      <c r="E736" s="708"/>
      <c r="F736" s="708"/>
      <c r="G736" s="708"/>
      <c r="H736" s="708"/>
      <c r="I736" s="708"/>
      <c r="J736" s="708"/>
      <c r="K736" s="708"/>
      <c r="L736" s="708"/>
      <c r="M736" s="708"/>
      <c r="N736" s="708"/>
      <c r="O736" s="708"/>
      <c r="P736" s="708"/>
      <c r="Q736" s="708"/>
      <c r="R736" s="708"/>
      <c r="S736" s="708"/>
      <c r="T736" s="708"/>
      <c r="U736" s="708"/>
      <c r="V736" s="708"/>
      <c r="W736" s="708"/>
      <c r="X736" s="708"/>
      <c r="Y736" s="708"/>
      <c r="Z736" s="708"/>
      <c r="AA736" s="708"/>
      <c r="AB736" s="708"/>
      <c r="AC736" s="708"/>
      <c r="AD736" s="708"/>
      <c r="AE736" s="708"/>
    </row>
    <row r="737">
      <c r="A737" s="708"/>
      <c r="B737" s="708"/>
      <c r="C737" s="708"/>
      <c r="D737" s="708"/>
      <c r="E737" s="708"/>
      <c r="F737" s="708"/>
      <c r="G737" s="708"/>
      <c r="H737" s="708"/>
      <c r="I737" s="708"/>
      <c r="J737" s="708"/>
      <c r="K737" s="708"/>
      <c r="L737" s="708"/>
      <c r="M737" s="708"/>
      <c r="N737" s="708"/>
      <c r="O737" s="708"/>
      <c r="P737" s="708"/>
      <c r="Q737" s="708"/>
      <c r="R737" s="708"/>
      <c r="S737" s="708"/>
      <c r="T737" s="708"/>
      <c r="U737" s="708"/>
      <c r="V737" s="708"/>
      <c r="W737" s="708"/>
      <c r="X737" s="708"/>
      <c r="Y737" s="708"/>
      <c r="Z737" s="708"/>
      <c r="AA737" s="708"/>
      <c r="AB737" s="708"/>
      <c r="AC737" s="708"/>
      <c r="AD737" s="708"/>
      <c r="AE737" s="708"/>
    </row>
    <row r="738">
      <c r="A738" s="708"/>
      <c r="B738" s="708"/>
      <c r="C738" s="708"/>
      <c r="D738" s="708"/>
      <c r="E738" s="708"/>
      <c r="F738" s="708"/>
      <c r="G738" s="708"/>
      <c r="H738" s="708"/>
      <c r="I738" s="708"/>
      <c r="J738" s="708"/>
      <c r="K738" s="708"/>
      <c r="L738" s="708"/>
      <c r="M738" s="708"/>
      <c r="N738" s="708"/>
      <c r="O738" s="708"/>
      <c r="P738" s="708"/>
      <c r="Q738" s="708"/>
      <c r="R738" s="708"/>
      <c r="S738" s="708"/>
      <c r="T738" s="708"/>
      <c r="U738" s="708"/>
      <c r="V738" s="708"/>
      <c r="W738" s="708"/>
      <c r="X738" s="708"/>
      <c r="Y738" s="708"/>
      <c r="Z738" s="708"/>
      <c r="AA738" s="708"/>
      <c r="AB738" s="708"/>
      <c r="AC738" s="708"/>
      <c r="AD738" s="708"/>
      <c r="AE738" s="708"/>
    </row>
    <row r="739">
      <c r="A739" s="708"/>
      <c r="B739" s="708"/>
      <c r="C739" s="708"/>
      <c r="D739" s="708"/>
      <c r="E739" s="708"/>
      <c r="F739" s="708"/>
      <c r="G739" s="708"/>
      <c r="H739" s="708"/>
      <c r="I739" s="708"/>
      <c r="J739" s="708"/>
      <c r="K739" s="708"/>
      <c r="L739" s="708"/>
      <c r="M739" s="708"/>
      <c r="N739" s="708"/>
      <c r="O739" s="708"/>
      <c r="P739" s="708"/>
      <c r="Q739" s="708"/>
      <c r="R739" s="708"/>
      <c r="S739" s="708"/>
      <c r="T739" s="708"/>
      <c r="U739" s="708"/>
      <c r="V739" s="708"/>
      <c r="W739" s="708"/>
      <c r="X739" s="708"/>
      <c r="Y739" s="708"/>
      <c r="Z739" s="708"/>
      <c r="AA739" s="708"/>
      <c r="AB739" s="708"/>
      <c r="AC739" s="708"/>
      <c r="AD739" s="708"/>
      <c r="AE739" s="708"/>
    </row>
    <row r="740">
      <c r="A740" s="708"/>
      <c r="B740" s="708"/>
      <c r="C740" s="708"/>
      <c r="D740" s="708"/>
      <c r="E740" s="708"/>
      <c r="F740" s="708"/>
      <c r="G740" s="708"/>
      <c r="H740" s="708"/>
      <c r="I740" s="708"/>
      <c r="J740" s="708"/>
      <c r="K740" s="708"/>
      <c r="L740" s="708"/>
      <c r="M740" s="708"/>
      <c r="N740" s="708"/>
      <c r="O740" s="708"/>
      <c r="P740" s="708"/>
      <c r="Q740" s="708"/>
      <c r="R740" s="708"/>
      <c r="S740" s="708"/>
      <c r="T740" s="708"/>
      <c r="U740" s="708"/>
      <c r="V740" s="708"/>
      <c r="W740" s="708"/>
      <c r="X740" s="708"/>
      <c r="Y740" s="708"/>
      <c r="Z740" s="708"/>
      <c r="AA740" s="708"/>
      <c r="AB740" s="708"/>
      <c r="AC740" s="708"/>
      <c r="AD740" s="708"/>
      <c r="AE740" s="708"/>
    </row>
    <row r="741">
      <c r="A741" s="708"/>
      <c r="B741" s="708"/>
      <c r="C741" s="708"/>
      <c r="D741" s="708"/>
      <c r="E741" s="708"/>
      <c r="F741" s="708"/>
      <c r="G741" s="708"/>
      <c r="H741" s="708"/>
      <c r="I741" s="708"/>
      <c r="J741" s="708"/>
      <c r="K741" s="708"/>
      <c r="L741" s="708"/>
      <c r="M741" s="708"/>
      <c r="N741" s="708"/>
      <c r="O741" s="708"/>
      <c r="P741" s="708"/>
      <c r="Q741" s="708"/>
      <c r="R741" s="708"/>
      <c r="S741" s="708"/>
      <c r="T741" s="708"/>
      <c r="U741" s="708"/>
      <c r="V741" s="708"/>
      <c r="W741" s="708"/>
      <c r="X741" s="708"/>
      <c r="Y741" s="708"/>
      <c r="Z741" s="708"/>
      <c r="AA741" s="708"/>
      <c r="AB741" s="708"/>
      <c r="AC741" s="708"/>
      <c r="AD741" s="708"/>
      <c r="AE741" s="708"/>
    </row>
    <row r="742">
      <c r="A742" s="708"/>
      <c r="B742" s="708"/>
      <c r="C742" s="708"/>
      <c r="D742" s="708"/>
      <c r="E742" s="708"/>
      <c r="F742" s="708"/>
      <c r="G742" s="708"/>
      <c r="H742" s="708"/>
      <c r="I742" s="708"/>
      <c r="J742" s="708"/>
      <c r="K742" s="708"/>
      <c r="L742" s="708"/>
      <c r="M742" s="708"/>
      <c r="N742" s="708"/>
      <c r="O742" s="708"/>
      <c r="P742" s="708"/>
      <c r="Q742" s="708"/>
      <c r="R742" s="708"/>
      <c r="S742" s="708"/>
      <c r="T742" s="708"/>
      <c r="U742" s="708"/>
      <c r="V742" s="708"/>
      <c r="W742" s="708"/>
      <c r="X742" s="708"/>
      <c r="Y742" s="708"/>
      <c r="Z742" s="708"/>
      <c r="AA742" s="708"/>
      <c r="AB742" s="708"/>
      <c r="AC742" s="708"/>
      <c r="AD742" s="708"/>
      <c r="AE742" s="708"/>
    </row>
    <row r="743">
      <c r="A743" s="708"/>
      <c r="B743" s="708"/>
      <c r="C743" s="708"/>
      <c r="D743" s="708"/>
      <c r="E743" s="708"/>
      <c r="F743" s="708"/>
      <c r="G743" s="708"/>
      <c r="H743" s="708"/>
      <c r="I743" s="708"/>
      <c r="J743" s="708"/>
      <c r="K743" s="708"/>
      <c r="L743" s="708"/>
      <c r="M743" s="708"/>
      <c r="N743" s="708"/>
      <c r="O743" s="708"/>
      <c r="P743" s="708"/>
      <c r="Q743" s="708"/>
      <c r="R743" s="708"/>
      <c r="S743" s="708"/>
      <c r="T743" s="708"/>
      <c r="U743" s="708"/>
      <c r="V743" s="708"/>
      <c r="W743" s="708"/>
      <c r="X743" s="708"/>
      <c r="Y743" s="708"/>
      <c r="Z743" s="708"/>
      <c r="AA743" s="708"/>
      <c r="AB743" s="708"/>
      <c r="AC743" s="708"/>
      <c r="AD743" s="708"/>
      <c r="AE743" s="708"/>
    </row>
    <row r="744">
      <c r="A744" s="708"/>
      <c r="B744" s="708"/>
      <c r="C744" s="708"/>
      <c r="D744" s="708"/>
      <c r="E744" s="708"/>
      <c r="F744" s="708"/>
      <c r="G744" s="708"/>
      <c r="H744" s="708"/>
      <c r="I744" s="708"/>
      <c r="J744" s="708"/>
      <c r="K744" s="708"/>
      <c r="L744" s="708"/>
      <c r="M744" s="708"/>
      <c r="N744" s="708"/>
      <c r="O744" s="708"/>
      <c r="P744" s="708"/>
      <c r="Q744" s="708"/>
      <c r="R744" s="708"/>
      <c r="S744" s="708"/>
      <c r="T744" s="708"/>
      <c r="U744" s="708"/>
      <c r="V744" s="708"/>
      <c r="W744" s="708"/>
      <c r="X744" s="708"/>
      <c r="Y744" s="708"/>
      <c r="Z744" s="708"/>
      <c r="AA744" s="708"/>
      <c r="AB744" s="708"/>
      <c r="AC744" s="708"/>
      <c r="AD744" s="708"/>
      <c r="AE744" s="708"/>
    </row>
    <row r="745">
      <c r="A745" s="708"/>
      <c r="B745" s="708"/>
      <c r="C745" s="708"/>
      <c r="D745" s="708"/>
      <c r="E745" s="708"/>
      <c r="F745" s="708"/>
      <c r="G745" s="708"/>
      <c r="H745" s="708"/>
      <c r="I745" s="708"/>
      <c r="J745" s="708"/>
      <c r="K745" s="708"/>
      <c r="L745" s="708"/>
      <c r="M745" s="708"/>
      <c r="N745" s="708"/>
      <c r="O745" s="708"/>
      <c r="P745" s="708"/>
      <c r="Q745" s="708"/>
      <c r="R745" s="708"/>
      <c r="S745" s="708"/>
      <c r="T745" s="708"/>
      <c r="U745" s="708"/>
      <c r="V745" s="708"/>
      <c r="W745" s="708"/>
      <c r="X745" s="708"/>
      <c r="Y745" s="708"/>
      <c r="Z745" s="708"/>
      <c r="AA745" s="708"/>
      <c r="AB745" s="708"/>
      <c r="AC745" s="708"/>
      <c r="AD745" s="708"/>
      <c r="AE745" s="708"/>
    </row>
    <row r="746">
      <c r="A746" s="708"/>
      <c r="B746" s="708"/>
      <c r="C746" s="708"/>
      <c r="D746" s="708"/>
      <c r="E746" s="708"/>
      <c r="F746" s="708"/>
      <c r="G746" s="708"/>
      <c r="H746" s="708"/>
      <c r="I746" s="708"/>
      <c r="J746" s="708"/>
      <c r="K746" s="708"/>
      <c r="L746" s="708"/>
      <c r="M746" s="708"/>
      <c r="N746" s="708"/>
      <c r="O746" s="708"/>
      <c r="P746" s="708"/>
      <c r="Q746" s="708"/>
      <c r="R746" s="708"/>
      <c r="S746" s="708"/>
      <c r="T746" s="708"/>
      <c r="U746" s="708"/>
      <c r="V746" s="708"/>
      <c r="W746" s="708"/>
      <c r="X746" s="708"/>
      <c r="Y746" s="708"/>
      <c r="Z746" s="708"/>
      <c r="AA746" s="708"/>
      <c r="AB746" s="708"/>
      <c r="AC746" s="708"/>
      <c r="AD746" s="708"/>
      <c r="AE746" s="708"/>
    </row>
    <row r="747">
      <c r="A747" s="708"/>
      <c r="B747" s="708"/>
      <c r="C747" s="708"/>
      <c r="D747" s="708"/>
      <c r="E747" s="708"/>
      <c r="F747" s="708"/>
      <c r="G747" s="708"/>
      <c r="H747" s="708"/>
      <c r="I747" s="708"/>
      <c r="J747" s="708"/>
      <c r="K747" s="708"/>
      <c r="L747" s="708"/>
      <c r="M747" s="708"/>
      <c r="N747" s="708"/>
      <c r="O747" s="708"/>
      <c r="P747" s="708"/>
      <c r="Q747" s="708"/>
      <c r="R747" s="708"/>
      <c r="S747" s="708"/>
      <c r="T747" s="708"/>
      <c r="U747" s="708"/>
      <c r="V747" s="708"/>
      <c r="W747" s="708"/>
      <c r="X747" s="708"/>
      <c r="Y747" s="708"/>
      <c r="Z747" s="708"/>
      <c r="AA747" s="708"/>
      <c r="AB747" s="708"/>
      <c r="AC747" s="708"/>
      <c r="AD747" s="708"/>
      <c r="AE747" s="708"/>
    </row>
    <row r="748">
      <c r="A748" s="708"/>
      <c r="B748" s="708"/>
      <c r="C748" s="708"/>
      <c r="D748" s="708"/>
      <c r="E748" s="708"/>
      <c r="F748" s="708"/>
      <c r="G748" s="708"/>
      <c r="H748" s="708"/>
      <c r="I748" s="708"/>
      <c r="J748" s="708"/>
      <c r="K748" s="708"/>
      <c r="L748" s="708"/>
      <c r="M748" s="708"/>
      <c r="N748" s="708"/>
      <c r="O748" s="708"/>
      <c r="P748" s="708"/>
      <c r="Q748" s="708"/>
      <c r="R748" s="708"/>
      <c r="S748" s="708"/>
      <c r="T748" s="708"/>
      <c r="U748" s="708"/>
      <c r="V748" s="708"/>
      <c r="W748" s="708"/>
      <c r="X748" s="708"/>
      <c r="Y748" s="708"/>
      <c r="Z748" s="708"/>
      <c r="AA748" s="708"/>
      <c r="AB748" s="708"/>
      <c r="AC748" s="708"/>
      <c r="AD748" s="708"/>
      <c r="AE748" s="708"/>
    </row>
    <row r="749">
      <c r="A749" s="708"/>
      <c r="B749" s="708"/>
      <c r="C749" s="708"/>
      <c r="D749" s="708"/>
      <c r="E749" s="708"/>
      <c r="F749" s="708"/>
      <c r="G749" s="708"/>
      <c r="H749" s="708"/>
      <c r="I749" s="708"/>
      <c r="J749" s="708"/>
      <c r="K749" s="708"/>
      <c r="L749" s="708"/>
      <c r="M749" s="708"/>
      <c r="N749" s="708"/>
      <c r="O749" s="708"/>
      <c r="P749" s="708"/>
      <c r="Q749" s="708"/>
      <c r="R749" s="708"/>
      <c r="S749" s="708"/>
      <c r="T749" s="708"/>
      <c r="U749" s="708"/>
      <c r="V749" s="708"/>
      <c r="W749" s="708"/>
      <c r="X749" s="708"/>
      <c r="Y749" s="708"/>
      <c r="Z749" s="708"/>
      <c r="AA749" s="708"/>
      <c r="AB749" s="708"/>
      <c r="AC749" s="708"/>
      <c r="AD749" s="708"/>
      <c r="AE749" s="708"/>
    </row>
    <row r="750">
      <c r="A750" s="708"/>
      <c r="B750" s="708"/>
      <c r="C750" s="708"/>
      <c r="D750" s="708"/>
      <c r="E750" s="708"/>
      <c r="F750" s="708"/>
      <c r="G750" s="708"/>
      <c r="H750" s="708"/>
      <c r="I750" s="708"/>
      <c r="J750" s="708"/>
      <c r="K750" s="708"/>
      <c r="L750" s="708"/>
      <c r="M750" s="708"/>
      <c r="N750" s="708"/>
      <c r="O750" s="708"/>
      <c r="P750" s="708"/>
      <c r="Q750" s="708"/>
      <c r="R750" s="708"/>
      <c r="S750" s="708"/>
      <c r="T750" s="708"/>
      <c r="U750" s="708"/>
      <c r="V750" s="708"/>
      <c r="W750" s="708"/>
      <c r="X750" s="708"/>
      <c r="Y750" s="708"/>
      <c r="Z750" s="708"/>
      <c r="AA750" s="708"/>
      <c r="AB750" s="708"/>
      <c r="AC750" s="708"/>
      <c r="AD750" s="708"/>
      <c r="AE750" s="708"/>
    </row>
    <row r="751">
      <c r="A751" s="708"/>
      <c r="B751" s="708"/>
      <c r="C751" s="708"/>
      <c r="D751" s="708"/>
      <c r="E751" s="708"/>
      <c r="F751" s="708"/>
      <c r="G751" s="708"/>
      <c r="H751" s="708"/>
      <c r="I751" s="708"/>
      <c r="J751" s="708"/>
      <c r="K751" s="708"/>
      <c r="L751" s="708"/>
      <c r="M751" s="708"/>
      <c r="N751" s="708"/>
      <c r="O751" s="708"/>
      <c r="P751" s="708"/>
      <c r="Q751" s="708"/>
      <c r="R751" s="708"/>
      <c r="S751" s="708"/>
      <c r="T751" s="708"/>
      <c r="U751" s="708"/>
      <c r="V751" s="708"/>
      <c r="W751" s="708"/>
      <c r="X751" s="708"/>
      <c r="Y751" s="708"/>
      <c r="Z751" s="708"/>
      <c r="AA751" s="708"/>
      <c r="AB751" s="708"/>
      <c r="AC751" s="708"/>
      <c r="AD751" s="708"/>
      <c r="AE751" s="708"/>
    </row>
    <row r="752">
      <c r="A752" s="708"/>
      <c r="B752" s="708"/>
      <c r="C752" s="708"/>
      <c r="D752" s="708"/>
      <c r="E752" s="708"/>
      <c r="F752" s="708"/>
      <c r="G752" s="708"/>
      <c r="H752" s="708"/>
      <c r="I752" s="708"/>
      <c r="J752" s="708"/>
      <c r="K752" s="708"/>
      <c r="L752" s="708"/>
      <c r="M752" s="708"/>
      <c r="N752" s="708"/>
      <c r="O752" s="708"/>
      <c r="P752" s="708"/>
      <c r="Q752" s="708"/>
      <c r="R752" s="708"/>
      <c r="S752" s="708"/>
      <c r="T752" s="708"/>
      <c r="U752" s="708"/>
      <c r="V752" s="708"/>
      <c r="W752" s="708"/>
      <c r="X752" s="708"/>
      <c r="Y752" s="708"/>
      <c r="Z752" s="708"/>
      <c r="AA752" s="708"/>
      <c r="AB752" s="708"/>
      <c r="AC752" s="708"/>
      <c r="AD752" s="708"/>
      <c r="AE752" s="708"/>
    </row>
    <row r="753">
      <c r="A753" s="708"/>
      <c r="B753" s="708"/>
      <c r="C753" s="708"/>
      <c r="D753" s="708"/>
      <c r="E753" s="708"/>
      <c r="F753" s="708"/>
      <c r="G753" s="708"/>
      <c r="H753" s="708"/>
      <c r="I753" s="708"/>
      <c r="J753" s="708"/>
      <c r="K753" s="708"/>
      <c r="L753" s="708"/>
      <c r="M753" s="708"/>
      <c r="N753" s="708"/>
      <c r="O753" s="708"/>
      <c r="P753" s="708"/>
      <c r="Q753" s="708"/>
      <c r="R753" s="708"/>
      <c r="S753" s="708"/>
      <c r="T753" s="708"/>
      <c r="U753" s="708"/>
      <c r="V753" s="708"/>
      <c r="W753" s="708"/>
      <c r="X753" s="708"/>
      <c r="Y753" s="708"/>
      <c r="Z753" s="708"/>
      <c r="AA753" s="708"/>
      <c r="AB753" s="708"/>
      <c r="AC753" s="708"/>
      <c r="AD753" s="708"/>
      <c r="AE753" s="708"/>
    </row>
    <row r="754">
      <c r="A754" s="708"/>
      <c r="B754" s="708"/>
      <c r="C754" s="708"/>
      <c r="D754" s="708"/>
      <c r="E754" s="708"/>
      <c r="F754" s="708"/>
      <c r="G754" s="708"/>
      <c r="H754" s="708"/>
      <c r="I754" s="708"/>
      <c r="J754" s="708"/>
      <c r="K754" s="708"/>
      <c r="L754" s="708"/>
      <c r="M754" s="708"/>
      <c r="N754" s="708"/>
      <c r="O754" s="708"/>
      <c r="P754" s="708"/>
      <c r="Q754" s="708"/>
      <c r="R754" s="708"/>
      <c r="S754" s="708"/>
      <c r="T754" s="708"/>
      <c r="U754" s="708"/>
      <c r="V754" s="708"/>
      <c r="W754" s="708"/>
      <c r="X754" s="708"/>
      <c r="Y754" s="708"/>
      <c r="Z754" s="708"/>
      <c r="AA754" s="708"/>
      <c r="AB754" s="708"/>
      <c r="AC754" s="708"/>
      <c r="AD754" s="708"/>
      <c r="AE754" s="708"/>
    </row>
    <row r="755">
      <c r="A755" s="708"/>
      <c r="B755" s="708"/>
      <c r="C755" s="708"/>
      <c r="D755" s="708"/>
      <c r="E755" s="708"/>
      <c r="F755" s="708"/>
      <c r="G755" s="708"/>
      <c r="H755" s="708"/>
      <c r="I755" s="708"/>
      <c r="J755" s="708"/>
      <c r="K755" s="708"/>
      <c r="L755" s="708"/>
      <c r="M755" s="708"/>
      <c r="N755" s="708"/>
      <c r="O755" s="708"/>
      <c r="P755" s="708"/>
      <c r="Q755" s="708"/>
      <c r="R755" s="708"/>
      <c r="S755" s="708"/>
      <c r="T755" s="708"/>
      <c r="U755" s="708"/>
      <c r="V755" s="708"/>
      <c r="W755" s="708"/>
      <c r="X755" s="708"/>
      <c r="Y755" s="708"/>
      <c r="Z755" s="708"/>
      <c r="AA755" s="708"/>
      <c r="AB755" s="708"/>
      <c r="AC755" s="708"/>
      <c r="AD755" s="708"/>
      <c r="AE755" s="708"/>
    </row>
    <row r="756">
      <c r="A756" s="708"/>
      <c r="B756" s="708"/>
      <c r="C756" s="708"/>
      <c r="D756" s="708"/>
      <c r="E756" s="708"/>
      <c r="F756" s="708"/>
      <c r="G756" s="708"/>
      <c r="H756" s="708"/>
      <c r="I756" s="708"/>
      <c r="J756" s="708"/>
      <c r="K756" s="708"/>
      <c r="L756" s="708"/>
      <c r="M756" s="708"/>
      <c r="N756" s="708"/>
      <c r="O756" s="708"/>
      <c r="P756" s="708"/>
      <c r="Q756" s="708"/>
      <c r="R756" s="708"/>
      <c r="S756" s="708"/>
      <c r="T756" s="708"/>
      <c r="U756" s="708"/>
      <c r="V756" s="708"/>
      <c r="W756" s="708"/>
      <c r="X756" s="708"/>
      <c r="Y756" s="708"/>
      <c r="Z756" s="708"/>
      <c r="AA756" s="708"/>
      <c r="AB756" s="708"/>
      <c r="AC756" s="708"/>
      <c r="AD756" s="708"/>
      <c r="AE756" s="708"/>
    </row>
    <row r="757">
      <c r="A757" s="708"/>
      <c r="B757" s="708"/>
      <c r="C757" s="708"/>
      <c r="D757" s="708"/>
      <c r="E757" s="708"/>
      <c r="F757" s="708"/>
      <c r="G757" s="708"/>
      <c r="H757" s="708"/>
      <c r="I757" s="708"/>
      <c r="J757" s="708"/>
      <c r="K757" s="708"/>
      <c r="L757" s="708"/>
      <c r="M757" s="708"/>
      <c r="N757" s="708"/>
      <c r="O757" s="708"/>
      <c r="P757" s="708"/>
      <c r="Q757" s="708"/>
      <c r="R757" s="708"/>
      <c r="S757" s="708"/>
      <c r="T757" s="708"/>
      <c r="U757" s="708"/>
      <c r="V757" s="708"/>
      <c r="W757" s="708"/>
      <c r="X757" s="708"/>
      <c r="Y757" s="708"/>
      <c r="Z757" s="708"/>
      <c r="AA757" s="708"/>
      <c r="AB757" s="708"/>
      <c r="AC757" s="708"/>
      <c r="AD757" s="708"/>
      <c r="AE757" s="708"/>
    </row>
    <row r="758">
      <c r="A758" s="708"/>
      <c r="B758" s="708"/>
      <c r="C758" s="708"/>
      <c r="D758" s="708"/>
      <c r="E758" s="708"/>
      <c r="F758" s="708"/>
      <c r="G758" s="708"/>
      <c r="H758" s="708"/>
      <c r="I758" s="708"/>
      <c r="J758" s="708"/>
      <c r="K758" s="708"/>
      <c r="L758" s="708"/>
      <c r="M758" s="708"/>
      <c r="N758" s="708"/>
      <c r="O758" s="708"/>
      <c r="P758" s="708"/>
      <c r="Q758" s="708"/>
      <c r="R758" s="708"/>
      <c r="S758" s="708"/>
      <c r="T758" s="708"/>
      <c r="U758" s="708"/>
      <c r="V758" s="708"/>
      <c r="W758" s="708"/>
      <c r="X758" s="708"/>
      <c r="Y758" s="708"/>
      <c r="Z758" s="708"/>
      <c r="AA758" s="708"/>
      <c r="AB758" s="708"/>
      <c r="AC758" s="708"/>
      <c r="AD758" s="708"/>
      <c r="AE758" s="708"/>
    </row>
    <row r="759">
      <c r="A759" s="708"/>
      <c r="B759" s="708"/>
      <c r="C759" s="708"/>
      <c r="D759" s="708"/>
      <c r="E759" s="708"/>
      <c r="F759" s="708"/>
      <c r="G759" s="708"/>
      <c r="H759" s="708"/>
      <c r="I759" s="708"/>
      <c r="J759" s="708"/>
      <c r="K759" s="708"/>
      <c r="L759" s="708"/>
      <c r="M759" s="708"/>
      <c r="N759" s="708"/>
      <c r="O759" s="708"/>
      <c r="P759" s="708"/>
      <c r="Q759" s="708"/>
      <c r="R759" s="708"/>
      <c r="S759" s="708"/>
      <c r="T759" s="708"/>
      <c r="U759" s="708"/>
      <c r="V759" s="708"/>
      <c r="W759" s="708"/>
      <c r="X759" s="708"/>
      <c r="Y759" s="708"/>
      <c r="Z759" s="708"/>
      <c r="AA759" s="708"/>
      <c r="AB759" s="708"/>
      <c r="AC759" s="708"/>
      <c r="AD759" s="708"/>
      <c r="AE759" s="708"/>
    </row>
    <row r="760">
      <c r="A760" s="708"/>
      <c r="B760" s="708"/>
      <c r="C760" s="708"/>
      <c r="D760" s="708"/>
      <c r="E760" s="708"/>
      <c r="F760" s="708"/>
      <c r="G760" s="708"/>
      <c r="H760" s="708"/>
      <c r="I760" s="708"/>
      <c r="J760" s="708"/>
      <c r="K760" s="708"/>
      <c r="L760" s="708"/>
      <c r="M760" s="708"/>
      <c r="N760" s="708"/>
      <c r="O760" s="708"/>
      <c r="P760" s="708"/>
      <c r="Q760" s="708"/>
      <c r="R760" s="708"/>
      <c r="S760" s="708"/>
      <c r="T760" s="708"/>
      <c r="U760" s="708"/>
      <c r="V760" s="708"/>
      <c r="W760" s="708"/>
      <c r="X760" s="708"/>
      <c r="Y760" s="708"/>
      <c r="Z760" s="708"/>
      <c r="AA760" s="708"/>
      <c r="AB760" s="708"/>
      <c r="AC760" s="708"/>
      <c r="AD760" s="708"/>
      <c r="AE760" s="708"/>
    </row>
    <row r="761">
      <c r="A761" s="708"/>
      <c r="B761" s="708"/>
      <c r="C761" s="708"/>
      <c r="D761" s="708"/>
      <c r="E761" s="708"/>
      <c r="F761" s="708"/>
      <c r="G761" s="708"/>
      <c r="H761" s="708"/>
      <c r="I761" s="708"/>
      <c r="J761" s="708"/>
      <c r="K761" s="708"/>
      <c r="L761" s="708"/>
      <c r="M761" s="708"/>
      <c r="N761" s="708"/>
      <c r="O761" s="708"/>
      <c r="P761" s="708"/>
      <c r="Q761" s="708"/>
      <c r="R761" s="708"/>
      <c r="S761" s="708"/>
      <c r="T761" s="708"/>
      <c r="U761" s="708"/>
      <c r="V761" s="708"/>
      <c r="W761" s="708"/>
      <c r="X761" s="708"/>
      <c r="Y761" s="708"/>
      <c r="Z761" s="708"/>
      <c r="AA761" s="708"/>
      <c r="AB761" s="708"/>
      <c r="AC761" s="708"/>
      <c r="AD761" s="708"/>
      <c r="AE761" s="708"/>
    </row>
    <row r="762">
      <c r="A762" s="708"/>
      <c r="B762" s="708"/>
      <c r="C762" s="708"/>
      <c r="D762" s="708"/>
      <c r="E762" s="708"/>
      <c r="F762" s="708"/>
      <c r="G762" s="708"/>
      <c r="H762" s="708"/>
      <c r="I762" s="708"/>
      <c r="J762" s="708"/>
      <c r="K762" s="708"/>
      <c r="L762" s="708"/>
      <c r="M762" s="708"/>
      <c r="N762" s="708"/>
      <c r="O762" s="708"/>
      <c r="P762" s="708"/>
      <c r="Q762" s="708"/>
      <c r="R762" s="708"/>
      <c r="S762" s="708"/>
      <c r="T762" s="708"/>
      <c r="U762" s="708"/>
      <c r="V762" s="708"/>
      <c r="W762" s="708"/>
      <c r="X762" s="708"/>
      <c r="Y762" s="708"/>
      <c r="Z762" s="708"/>
      <c r="AA762" s="708"/>
      <c r="AB762" s="708"/>
      <c r="AC762" s="708"/>
      <c r="AD762" s="708"/>
      <c r="AE762" s="708"/>
    </row>
    <row r="763">
      <c r="A763" s="708"/>
      <c r="B763" s="708"/>
      <c r="C763" s="708"/>
      <c r="D763" s="708"/>
      <c r="E763" s="708"/>
      <c r="F763" s="708"/>
      <c r="G763" s="708"/>
      <c r="H763" s="708"/>
      <c r="I763" s="708"/>
      <c r="J763" s="708"/>
      <c r="K763" s="708"/>
      <c r="L763" s="708"/>
      <c r="M763" s="708"/>
      <c r="N763" s="708"/>
      <c r="O763" s="708"/>
      <c r="P763" s="708"/>
      <c r="Q763" s="708"/>
      <c r="R763" s="708"/>
      <c r="S763" s="708"/>
      <c r="T763" s="708"/>
      <c r="U763" s="708"/>
      <c r="V763" s="708"/>
      <c r="W763" s="708"/>
      <c r="X763" s="708"/>
      <c r="Y763" s="708"/>
      <c r="Z763" s="708"/>
      <c r="AA763" s="708"/>
      <c r="AB763" s="708"/>
      <c r="AC763" s="708"/>
      <c r="AD763" s="708"/>
      <c r="AE763" s="708"/>
    </row>
    <row r="764">
      <c r="A764" s="708"/>
      <c r="B764" s="708"/>
      <c r="C764" s="708"/>
      <c r="D764" s="708"/>
      <c r="E764" s="708"/>
      <c r="F764" s="708"/>
      <c r="G764" s="708"/>
      <c r="H764" s="708"/>
      <c r="I764" s="708"/>
      <c r="J764" s="708"/>
      <c r="K764" s="708"/>
      <c r="L764" s="708"/>
      <c r="M764" s="708"/>
      <c r="N764" s="708"/>
      <c r="O764" s="708"/>
      <c r="P764" s="708"/>
      <c r="Q764" s="708"/>
      <c r="R764" s="708"/>
      <c r="S764" s="708"/>
      <c r="T764" s="708"/>
      <c r="U764" s="708"/>
      <c r="V764" s="708"/>
      <c r="W764" s="708"/>
      <c r="X764" s="708"/>
      <c r="Y764" s="708"/>
      <c r="Z764" s="708"/>
      <c r="AA764" s="708"/>
      <c r="AB764" s="708"/>
      <c r="AC764" s="708"/>
      <c r="AD764" s="708"/>
      <c r="AE764" s="708"/>
    </row>
    <row r="765">
      <c r="A765" s="708"/>
      <c r="B765" s="708"/>
      <c r="C765" s="708"/>
      <c r="D765" s="708"/>
      <c r="E765" s="708"/>
      <c r="F765" s="708"/>
      <c r="G765" s="708"/>
      <c r="H765" s="708"/>
      <c r="I765" s="708"/>
      <c r="J765" s="708"/>
      <c r="K765" s="708"/>
      <c r="L765" s="708"/>
      <c r="M765" s="708"/>
      <c r="N765" s="708"/>
      <c r="O765" s="708"/>
      <c r="P765" s="708"/>
      <c r="Q765" s="708"/>
      <c r="R765" s="708"/>
      <c r="S765" s="708"/>
      <c r="T765" s="708"/>
      <c r="U765" s="708"/>
      <c r="V765" s="708"/>
      <c r="W765" s="708"/>
      <c r="X765" s="708"/>
      <c r="Y765" s="708"/>
      <c r="Z765" s="708"/>
      <c r="AA765" s="708"/>
      <c r="AB765" s="708"/>
      <c r="AC765" s="708"/>
      <c r="AD765" s="708"/>
      <c r="AE765" s="708"/>
    </row>
    <row r="766">
      <c r="A766" s="708"/>
      <c r="B766" s="708"/>
      <c r="C766" s="708"/>
      <c r="D766" s="708"/>
      <c r="E766" s="708"/>
      <c r="F766" s="708"/>
      <c r="G766" s="708"/>
      <c r="H766" s="708"/>
      <c r="I766" s="708"/>
      <c r="J766" s="708"/>
      <c r="K766" s="708"/>
      <c r="L766" s="708"/>
      <c r="M766" s="708"/>
      <c r="N766" s="708"/>
      <c r="O766" s="708"/>
      <c r="P766" s="708"/>
      <c r="Q766" s="708"/>
      <c r="R766" s="708"/>
      <c r="S766" s="708"/>
      <c r="T766" s="708"/>
      <c r="U766" s="708"/>
      <c r="V766" s="708"/>
      <c r="W766" s="708"/>
      <c r="X766" s="708"/>
      <c r="Y766" s="708"/>
      <c r="Z766" s="708"/>
      <c r="AA766" s="708"/>
      <c r="AB766" s="708"/>
      <c r="AC766" s="708"/>
      <c r="AD766" s="708"/>
      <c r="AE766" s="708"/>
    </row>
    <row r="767">
      <c r="A767" s="708"/>
      <c r="B767" s="708"/>
      <c r="C767" s="708"/>
      <c r="D767" s="708"/>
      <c r="E767" s="708"/>
      <c r="F767" s="708"/>
      <c r="G767" s="708"/>
      <c r="H767" s="708"/>
      <c r="I767" s="708"/>
      <c r="J767" s="708"/>
      <c r="K767" s="708"/>
      <c r="L767" s="708"/>
      <c r="M767" s="708"/>
      <c r="N767" s="708"/>
      <c r="O767" s="708"/>
      <c r="P767" s="708"/>
      <c r="Q767" s="708"/>
      <c r="R767" s="708"/>
      <c r="S767" s="708"/>
      <c r="T767" s="708"/>
      <c r="U767" s="708"/>
      <c r="V767" s="708"/>
      <c r="W767" s="708"/>
      <c r="X767" s="708"/>
      <c r="Y767" s="708"/>
      <c r="Z767" s="708"/>
      <c r="AA767" s="708"/>
      <c r="AB767" s="708"/>
      <c r="AC767" s="708"/>
      <c r="AD767" s="708"/>
      <c r="AE767" s="708"/>
    </row>
    <row r="768">
      <c r="A768" s="708"/>
      <c r="B768" s="708"/>
      <c r="C768" s="708"/>
      <c r="D768" s="708"/>
      <c r="E768" s="708"/>
      <c r="F768" s="708"/>
      <c r="G768" s="708"/>
      <c r="H768" s="708"/>
      <c r="I768" s="708"/>
      <c r="J768" s="708"/>
      <c r="K768" s="708"/>
      <c r="L768" s="708"/>
      <c r="M768" s="708"/>
      <c r="N768" s="708"/>
      <c r="O768" s="708"/>
      <c r="P768" s="708"/>
      <c r="Q768" s="708"/>
      <c r="R768" s="708"/>
      <c r="S768" s="708"/>
      <c r="T768" s="708"/>
      <c r="U768" s="708"/>
      <c r="V768" s="708"/>
      <c r="W768" s="708"/>
      <c r="X768" s="708"/>
      <c r="Y768" s="708"/>
      <c r="Z768" s="708"/>
      <c r="AA768" s="708"/>
      <c r="AB768" s="708"/>
      <c r="AC768" s="708"/>
      <c r="AD768" s="708"/>
      <c r="AE768" s="708"/>
    </row>
    <row r="769">
      <c r="A769" s="708"/>
      <c r="B769" s="708"/>
      <c r="C769" s="708"/>
      <c r="D769" s="708"/>
      <c r="E769" s="708"/>
      <c r="F769" s="708"/>
      <c r="G769" s="708"/>
      <c r="H769" s="708"/>
      <c r="I769" s="708"/>
      <c r="J769" s="708"/>
      <c r="K769" s="708"/>
      <c r="L769" s="708"/>
      <c r="M769" s="708"/>
      <c r="N769" s="708"/>
      <c r="O769" s="708"/>
      <c r="P769" s="708"/>
      <c r="Q769" s="708"/>
      <c r="R769" s="708"/>
      <c r="S769" s="708"/>
      <c r="T769" s="708"/>
      <c r="U769" s="708"/>
      <c r="V769" s="708"/>
      <c r="W769" s="708"/>
      <c r="X769" s="708"/>
      <c r="Y769" s="708"/>
      <c r="Z769" s="708"/>
      <c r="AA769" s="708"/>
      <c r="AB769" s="708"/>
      <c r="AC769" s="708"/>
      <c r="AD769" s="708"/>
      <c r="AE769" s="708"/>
    </row>
    <row r="770">
      <c r="A770" s="708"/>
      <c r="B770" s="708"/>
      <c r="C770" s="708"/>
      <c r="D770" s="708"/>
      <c r="E770" s="708"/>
      <c r="F770" s="708"/>
      <c r="G770" s="708"/>
      <c r="H770" s="708"/>
      <c r="I770" s="708"/>
      <c r="J770" s="708"/>
      <c r="K770" s="708"/>
      <c r="L770" s="708"/>
      <c r="M770" s="708"/>
      <c r="N770" s="708"/>
      <c r="O770" s="708"/>
      <c r="P770" s="708"/>
      <c r="Q770" s="708"/>
      <c r="R770" s="708"/>
      <c r="S770" s="708"/>
      <c r="T770" s="708"/>
      <c r="U770" s="708"/>
      <c r="V770" s="708"/>
      <c r="W770" s="708"/>
      <c r="X770" s="708"/>
      <c r="Y770" s="708"/>
      <c r="Z770" s="708"/>
      <c r="AA770" s="708"/>
      <c r="AB770" s="708"/>
      <c r="AC770" s="708"/>
      <c r="AD770" s="708"/>
      <c r="AE770" s="708"/>
    </row>
    <row r="771">
      <c r="A771" s="708"/>
      <c r="B771" s="708"/>
      <c r="C771" s="708"/>
      <c r="D771" s="708"/>
      <c r="E771" s="708"/>
      <c r="F771" s="708"/>
      <c r="G771" s="708"/>
      <c r="H771" s="708"/>
      <c r="I771" s="708"/>
      <c r="J771" s="708"/>
      <c r="K771" s="708"/>
      <c r="L771" s="708"/>
      <c r="M771" s="708"/>
      <c r="N771" s="708"/>
      <c r="O771" s="708"/>
      <c r="P771" s="708"/>
      <c r="Q771" s="708"/>
      <c r="R771" s="708"/>
      <c r="S771" s="708"/>
      <c r="T771" s="708"/>
      <c r="U771" s="708"/>
      <c r="V771" s="708"/>
      <c r="W771" s="708"/>
      <c r="X771" s="708"/>
      <c r="Y771" s="708"/>
      <c r="Z771" s="708"/>
      <c r="AA771" s="708"/>
      <c r="AB771" s="708"/>
      <c r="AC771" s="708"/>
      <c r="AD771" s="708"/>
      <c r="AE771" s="708"/>
    </row>
    <row r="772">
      <c r="A772" s="708"/>
      <c r="B772" s="708"/>
      <c r="C772" s="708"/>
      <c r="D772" s="708"/>
      <c r="E772" s="708"/>
      <c r="F772" s="708"/>
      <c r="G772" s="708"/>
      <c r="H772" s="708"/>
      <c r="I772" s="708"/>
      <c r="J772" s="708"/>
      <c r="K772" s="708"/>
      <c r="L772" s="708"/>
      <c r="M772" s="708"/>
      <c r="N772" s="708"/>
      <c r="O772" s="708"/>
      <c r="P772" s="708"/>
      <c r="Q772" s="708"/>
      <c r="R772" s="708"/>
      <c r="S772" s="708"/>
      <c r="T772" s="708"/>
      <c r="U772" s="708"/>
      <c r="V772" s="708"/>
      <c r="W772" s="708"/>
      <c r="X772" s="708"/>
      <c r="Y772" s="708"/>
      <c r="Z772" s="708"/>
      <c r="AA772" s="708"/>
      <c r="AB772" s="708"/>
      <c r="AC772" s="708"/>
      <c r="AD772" s="708"/>
      <c r="AE772" s="708"/>
    </row>
    <row r="773">
      <c r="A773" s="708"/>
      <c r="B773" s="708"/>
      <c r="C773" s="708"/>
      <c r="D773" s="708"/>
      <c r="E773" s="708"/>
      <c r="F773" s="708"/>
      <c r="G773" s="708"/>
      <c r="H773" s="708"/>
      <c r="I773" s="708"/>
      <c r="J773" s="708"/>
      <c r="K773" s="708"/>
      <c r="L773" s="708"/>
      <c r="M773" s="708"/>
      <c r="N773" s="708"/>
      <c r="O773" s="708"/>
      <c r="P773" s="708"/>
      <c r="Q773" s="708"/>
      <c r="R773" s="708"/>
      <c r="S773" s="708"/>
      <c r="T773" s="708"/>
      <c r="U773" s="708"/>
      <c r="V773" s="708"/>
      <c r="W773" s="708"/>
      <c r="X773" s="708"/>
      <c r="Y773" s="708"/>
      <c r="Z773" s="708"/>
      <c r="AA773" s="708"/>
      <c r="AB773" s="708"/>
      <c r="AC773" s="708"/>
      <c r="AD773" s="708"/>
      <c r="AE773" s="708"/>
    </row>
    <row r="774">
      <c r="A774" s="708"/>
      <c r="B774" s="708"/>
      <c r="C774" s="708"/>
      <c r="D774" s="708"/>
      <c r="E774" s="708"/>
      <c r="F774" s="708"/>
      <c r="G774" s="708"/>
      <c r="H774" s="708"/>
      <c r="I774" s="708"/>
      <c r="J774" s="708"/>
      <c r="K774" s="708"/>
      <c r="L774" s="708"/>
      <c r="M774" s="708"/>
      <c r="N774" s="708"/>
      <c r="O774" s="708"/>
      <c r="P774" s="708"/>
      <c r="Q774" s="708"/>
      <c r="R774" s="708"/>
      <c r="S774" s="708"/>
      <c r="T774" s="708"/>
      <c r="U774" s="708"/>
      <c r="V774" s="708"/>
      <c r="W774" s="708"/>
      <c r="X774" s="708"/>
      <c r="Y774" s="708"/>
      <c r="Z774" s="708"/>
      <c r="AA774" s="708"/>
      <c r="AB774" s="708"/>
      <c r="AC774" s="708"/>
      <c r="AD774" s="708"/>
      <c r="AE774" s="708"/>
    </row>
    <row r="775">
      <c r="A775" s="708"/>
      <c r="B775" s="708"/>
      <c r="C775" s="708"/>
      <c r="D775" s="708"/>
      <c r="E775" s="708"/>
      <c r="F775" s="708"/>
      <c r="G775" s="708"/>
      <c r="H775" s="708"/>
      <c r="I775" s="708"/>
      <c r="J775" s="708"/>
      <c r="K775" s="708"/>
      <c r="L775" s="708"/>
      <c r="M775" s="708"/>
      <c r="N775" s="708"/>
      <c r="O775" s="708"/>
      <c r="P775" s="708"/>
      <c r="Q775" s="708"/>
      <c r="R775" s="708"/>
      <c r="S775" s="708"/>
      <c r="T775" s="708"/>
      <c r="U775" s="708"/>
      <c r="V775" s="708"/>
      <c r="W775" s="708"/>
      <c r="X775" s="708"/>
      <c r="Y775" s="708"/>
      <c r="Z775" s="708"/>
      <c r="AA775" s="708"/>
      <c r="AB775" s="708"/>
      <c r="AC775" s="708"/>
      <c r="AD775" s="708"/>
      <c r="AE775" s="708"/>
    </row>
    <row r="776">
      <c r="A776" s="708"/>
      <c r="B776" s="708"/>
      <c r="C776" s="708"/>
      <c r="D776" s="708"/>
      <c r="E776" s="708"/>
      <c r="F776" s="708"/>
      <c r="G776" s="708"/>
      <c r="H776" s="708"/>
      <c r="I776" s="708"/>
      <c r="J776" s="708"/>
      <c r="K776" s="708"/>
      <c r="L776" s="708"/>
      <c r="M776" s="708"/>
      <c r="N776" s="708"/>
      <c r="O776" s="708"/>
      <c r="P776" s="708"/>
      <c r="Q776" s="708"/>
      <c r="R776" s="708"/>
      <c r="S776" s="708"/>
      <c r="T776" s="708"/>
      <c r="U776" s="708"/>
      <c r="V776" s="708"/>
      <c r="W776" s="708"/>
      <c r="X776" s="708"/>
      <c r="Y776" s="708"/>
      <c r="Z776" s="708"/>
      <c r="AA776" s="708"/>
      <c r="AB776" s="708"/>
      <c r="AC776" s="708"/>
      <c r="AD776" s="708"/>
      <c r="AE776" s="708"/>
    </row>
    <row r="777">
      <c r="A777" s="708"/>
      <c r="B777" s="708"/>
      <c r="C777" s="708"/>
      <c r="D777" s="708"/>
      <c r="E777" s="708"/>
      <c r="F777" s="708"/>
      <c r="G777" s="708"/>
      <c r="H777" s="708"/>
      <c r="I777" s="708"/>
      <c r="J777" s="708"/>
      <c r="K777" s="708"/>
      <c r="L777" s="708"/>
      <c r="M777" s="708"/>
      <c r="N777" s="708"/>
      <c r="O777" s="708"/>
      <c r="P777" s="708"/>
      <c r="Q777" s="708"/>
      <c r="R777" s="708"/>
      <c r="S777" s="708"/>
      <c r="T777" s="708"/>
      <c r="U777" s="708"/>
      <c r="V777" s="708"/>
      <c r="W777" s="708"/>
      <c r="X777" s="708"/>
      <c r="Y777" s="708"/>
      <c r="Z777" s="708"/>
      <c r="AA777" s="708"/>
      <c r="AB777" s="708"/>
      <c r="AC777" s="708"/>
      <c r="AD777" s="708"/>
      <c r="AE777" s="708"/>
    </row>
    <row r="778">
      <c r="A778" s="708"/>
      <c r="B778" s="708"/>
      <c r="C778" s="708"/>
      <c r="D778" s="708"/>
      <c r="E778" s="708"/>
      <c r="F778" s="708"/>
      <c r="G778" s="708"/>
      <c r="H778" s="708"/>
      <c r="I778" s="708"/>
      <c r="J778" s="708"/>
      <c r="K778" s="708"/>
      <c r="L778" s="708"/>
      <c r="M778" s="708"/>
      <c r="N778" s="708"/>
      <c r="O778" s="708"/>
      <c r="P778" s="708"/>
      <c r="Q778" s="708"/>
      <c r="R778" s="708"/>
      <c r="S778" s="708"/>
      <c r="T778" s="708"/>
      <c r="U778" s="708"/>
      <c r="V778" s="708"/>
      <c r="W778" s="708"/>
      <c r="X778" s="708"/>
      <c r="Y778" s="708"/>
      <c r="Z778" s="708"/>
      <c r="AA778" s="708"/>
      <c r="AB778" s="708"/>
      <c r="AC778" s="708"/>
      <c r="AD778" s="708"/>
      <c r="AE778" s="708"/>
    </row>
    <row r="779">
      <c r="A779" s="708"/>
      <c r="B779" s="708"/>
      <c r="C779" s="708"/>
      <c r="D779" s="708"/>
      <c r="E779" s="708"/>
      <c r="F779" s="708"/>
      <c r="G779" s="708"/>
      <c r="H779" s="708"/>
      <c r="I779" s="708"/>
      <c r="J779" s="708"/>
      <c r="K779" s="708"/>
      <c r="L779" s="708"/>
      <c r="M779" s="708"/>
      <c r="N779" s="708"/>
      <c r="O779" s="708"/>
      <c r="P779" s="708"/>
      <c r="Q779" s="708"/>
      <c r="R779" s="708"/>
      <c r="S779" s="708"/>
      <c r="T779" s="708"/>
      <c r="U779" s="708"/>
      <c r="V779" s="708"/>
      <c r="W779" s="708"/>
      <c r="X779" s="708"/>
      <c r="Y779" s="708"/>
      <c r="Z779" s="708"/>
      <c r="AA779" s="708"/>
      <c r="AB779" s="708"/>
      <c r="AC779" s="708"/>
      <c r="AD779" s="708"/>
      <c r="AE779" s="708"/>
    </row>
    <row r="780">
      <c r="A780" s="708"/>
      <c r="B780" s="708"/>
      <c r="C780" s="708"/>
      <c r="D780" s="708"/>
      <c r="E780" s="708"/>
      <c r="F780" s="708"/>
      <c r="G780" s="708"/>
      <c r="H780" s="708"/>
      <c r="I780" s="708"/>
      <c r="J780" s="708"/>
      <c r="K780" s="708"/>
      <c r="L780" s="708"/>
      <c r="M780" s="708"/>
      <c r="N780" s="708"/>
      <c r="O780" s="708"/>
      <c r="P780" s="708"/>
      <c r="Q780" s="708"/>
      <c r="R780" s="708"/>
      <c r="S780" s="708"/>
      <c r="T780" s="708"/>
      <c r="U780" s="708"/>
      <c r="V780" s="708"/>
      <c r="W780" s="708"/>
      <c r="X780" s="708"/>
      <c r="Y780" s="708"/>
      <c r="Z780" s="708"/>
      <c r="AA780" s="708"/>
      <c r="AB780" s="708"/>
      <c r="AC780" s="708"/>
      <c r="AD780" s="708"/>
      <c r="AE780" s="708"/>
    </row>
    <row r="781">
      <c r="A781" s="708"/>
      <c r="B781" s="708"/>
      <c r="C781" s="708"/>
      <c r="D781" s="708"/>
      <c r="E781" s="708"/>
      <c r="F781" s="708"/>
      <c r="G781" s="708"/>
      <c r="H781" s="708"/>
      <c r="I781" s="708"/>
      <c r="J781" s="708"/>
      <c r="K781" s="708"/>
      <c r="L781" s="708"/>
      <c r="M781" s="708"/>
      <c r="N781" s="708"/>
      <c r="O781" s="708"/>
      <c r="P781" s="708"/>
      <c r="Q781" s="708"/>
      <c r="R781" s="708"/>
      <c r="S781" s="708"/>
      <c r="T781" s="708"/>
      <c r="U781" s="708"/>
      <c r="V781" s="708"/>
      <c r="W781" s="708"/>
      <c r="X781" s="708"/>
      <c r="Y781" s="708"/>
      <c r="Z781" s="708"/>
      <c r="AA781" s="708"/>
      <c r="AB781" s="708"/>
      <c r="AC781" s="708"/>
      <c r="AD781" s="708"/>
      <c r="AE781" s="708"/>
    </row>
    <row r="782">
      <c r="A782" s="708"/>
      <c r="B782" s="708"/>
      <c r="C782" s="708"/>
      <c r="D782" s="708"/>
      <c r="E782" s="708"/>
      <c r="F782" s="708"/>
      <c r="G782" s="708"/>
      <c r="H782" s="708"/>
      <c r="I782" s="708"/>
      <c r="J782" s="708"/>
      <c r="K782" s="708"/>
      <c r="L782" s="708"/>
      <c r="M782" s="708"/>
      <c r="N782" s="708"/>
      <c r="O782" s="708"/>
      <c r="P782" s="708"/>
      <c r="Q782" s="708"/>
      <c r="R782" s="708"/>
      <c r="S782" s="708"/>
      <c r="T782" s="708"/>
      <c r="U782" s="708"/>
      <c r="V782" s="708"/>
      <c r="W782" s="708"/>
      <c r="X782" s="708"/>
      <c r="Y782" s="708"/>
      <c r="Z782" s="708"/>
      <c r="AA782" s="708"/>
      <c r="AB782" s="708"/>
      <c r="AC782" s="708"/>
      <c r="AD782" s="708"/>
      <c r="AE782" s="708"/>
    </row>
    <row r="783">
      <c r="A783" s="708"/>
      <c r="B783" s="708"/>
      <c r="C783" s="708"/>
      <c r="D783" s="708"/>
      <c r="E783" s="708"/>
      <c r="F783" s="708"/>
      <c r="G783" s="708"/>
      <c r="H783" s="708"/>
      <c r="I783" s="708"/>
      <c r="J783" s="708"/>
      <c r="K783" s="708"/>
      <c r="L783" s="708"/>
      <c r="M783" s="708"/>
      <c r="N783" s="708"/>
      <c r="O783" s="708"/>
      <c r="P783" s="708"/>
      <c r="Q783" s="708"/>
      <c r="R783" s="708"/>
      <c r="S783" s="708"/>
      <c r="T783" s="708"/>
      <c r="U783" s="708"/>
      <c r="V783" s="708"/>
      <c r="W783" s="708"/>
      <c r="X783" s="708"/>
      <c r="Y783" s="708"/>
      <c r="Z783" s="708"/>
      <c r="AA783" s="708"/>
      <c r="AB783" s="708"/>
      <c r="AC783" s="708"/>
      <c r="AD783" s="708"/>
      <c r="AE783" s="708"/>
    </row>
    <row r="784">
      <c r="A784" s="708"/>
      <c r="B784" s="708"/>
      <c r="C784" s="708"/>
      <c r="D784" s="708"/>
      <c r="E784" s="708"/>
      <c r="F784" s="708"/>
      <c r="G784" s="708"/>
      <c r="H784" s="708"/>
      <c r="I784" s="708"/>
      <c r="J784" s="708"/>
      <c r="K784" s="708"/>
      <c r="L784" s="708"/>
      <c r="M784" s="708"/>
      <c r="N784" s="708"/>
      <c r="O784" s="708"/>
      <c r="P784" s="708"/>
      <c r="Q784" s="708"/>
      <c r="R784" s="708"/>
      <c r="S784" s="708"/>
      <c r="T784" s="708"/>
      <c r="U784" s="708"/>
      <c r="V784" s="708"/>
      <c r="W784" s="708"/>
      <c r="X784" s="708"/>
      <c r="Y784" s="708"/>
      <c r="Z784" s="708"/>
      <c r="AA784" s="708"/>
      <c r="AB784" s="708"/>
      <c r="AC784" s="708"/>
      <c r="AD784" s="708"/>
      <c r="AE784" s="708"/>
    </row>
    <row r="785">
      <c r="A785" s="708"/>
      <c r="B785" s="708"/>
      <c r="C785" s="708"/>
      <c r="D785" s="708"/>
      <c r="E785" s="708"/>
      <c r="F785" s="708"/>
      <c r="G785" s="708"/>
      <c r="H785" s="708"/>
      <c r="I785" s="708"/>
      <c r="J785" s="708"/>
      <c r="K785" s="708"/>
      <c r="L785" s="708"/>
      <c r="M785" s="708"/>
      <c r="N785" s="708"/>
      <c r="O785" s="708"/>
      <c r="P785" s="708"/>
      <c r="Q785" s="708"/>
      <c r="R785" s="708"/>
      <c r="S785" s="708"/>
      <c r="T785" s="708"/>
      <c r="U785" s="708"/>
      <c r="V785" s="708"/>
      <c r="W785" s="708"/>
      <c r="X785" s="708"/>
      <c r="Y785" s="708"/>
      <c r="Z785" s="708"/>
      <c r="AA785" s="708"/>
      <c r="AB785" s="708"/>
      <c r="AC785" s="708"/>
      <c r="AD785" s="708"/>
      <c r="AE785" s="708"/>
    </row>
    <row r="786">
      <c r="A786" s="708"/>
      <c r="B786" s="708"/>
      <c r="C786" s="708"/>
      <c r="D786" s="708"/>
      <c r="E786" s="708"/>
      <c r="F786" s="708"/>
      <c r="G786" s="708"/>
      <c r="H786" s="708"/>
      <c r="I786" s="708"/>
      <c r="J786" s="708"/>
      <c r="K786" s="708"/>
      <c r="L786" s="708"/>
      <c r="M786" s="708"/>
      <c r="N786" s="708"/>
      <c r="O786" s="708"/>
      <c r="P786" s="708"/>
      <c r="Q786" s="708"/>
      <c r="R786" s="708"/>
      <c r="S786" s="708"/>
      <c r="T786" s="708"/>
      <c r="U786" s="708"/>
      <c r="V786" s="708"/>
      <c r="W786" s="708"/>
      <c r="X786" s="708"/>
      <c r="Y786" s="708"/>
      <c r="Z786" s="708"/>
      <c r="AA786" s="708"/>
      <c r="AB786" s="708"/>
      <c r="AC786" s="708"/>
      <c r="AD786" s="708"/>
      <c r="AE786" s="708"/>
    </row>
    <row r="787">
      <c r="A787" s="708"/>
      <c r="B787" s="708"/>
      <c r="C787" s="708"/>
      <c r="D787" s="708"/>
      <c r="E787" s="708"/>
      <c r="F787" s="708"/>
      <c r="G787" s="708"/>
      <c r="H787" s="708"/>
      <c r="I787" s="708"/>
      <c r="J787" s="708"/>
      <c r="K787" s="708"/>
      <c r="L787" s="708"/>
      <c r="M787" s="708"/>
      <c r="N787" s="708"/>
      <c r="O787" s="708"/>
      <c r="P787" s="708"/>
      <c r="Q787" s="708"/>
      <c r="R787" s="708"/>
      <c r="S787" s="708"/>
      <c r="T787" s="708"/>
      <c r="U787" s="708"/>
      <c r="V787" s="708"/>
      <c r="W787" s="708"/>
      <c r="X787" s="708"/>
      <c r="Y787" s="708"/>
      <c r="Z787" s="708"/>
      <c r="AA787" s="708"/>
      <c r="AB787" s="708"/>
      <c r="AC787" s="708"/>
      <c r="AD787" s="708"/>
      <c r="AE787" s="708"/>
    </row>
    <row r="788">
      <c r="A788" s="708"/>
      <c r="B788" s="708"/>
      <c r="C788" s="708"/>
      <c r="D788" s="708"/>
      <c r="E788" s="708"/>
      <c r="F788" s="708"/>
      <c r="G788" s="708"/>
      <c r="H788" s="708"/>
      <c r="I788" s="708"/>
      <c r="J788" s="708"/>
      <c r="K788" s="708"/>
      <c r="L788" s="708"/>
      <c r="M788" s="708"/>
      <c r="N788" s="708"/>
      <c r="O788" s="708"/>
      <c r="P788" s="708"/>
      <c r="Q788" s="708"/>
      <c r="R788" s="708"/>
      <c r="S788" s="708"/>
      <c r="T788" s="708"/>
      <c r="U788" s="708"/>
      <c r="V788" s="708"/>
      <c r="W788" s="708"/>
      <c r="X788" s="708"/>
      <c r="Y788" s="708"/>
      <c r="Z788" s="708"/>
      <c r="AA788" s="708"/>
      <c r="AB788" s="708"/>
      <c r="AC788" s="708"/>
      <c r="AD788" s="708"/>
      <c r="AE788" s="708"/>
    </row>
    <row r="789">
      <c r="A789" s="708"/>
      <c r="B789" s="708"/>
      <c r="C789" s="708"/>
      <c r="D789" s="708"/>
      <c r="E789" s="708"/>
      <c r="F789" s="708"/>
      <c r="G789" s="708"/>
      <c r="H789" s="708"/>
      <c r="I789" s="708"/>
      <c r="J789" s="708"/>
      <c r="K789" s="708"/>
      <c r="L789" s="708"/>
      <c r="M789" s="708"/>
      <c r="N789" s="708"/>
      <c r="O789" s="708"/>
      <c r="P789" s="708"/>
      <c r="Q789" s="708"/>
      <c r="R789" s="708"/>
      <c r="S789" s="708"/>
      <c r="T789" s="708"/>
      <c r="U789" s="708"/>
      <c r="V789" s="708"/>
      <c r="W789" s="708"/>
      <c r="X789" s="708"/>
      <c r="Y789" s="708"/>
      <c r="Z789" s="708"/>
      <c r="AA789" s="708"/>
      <c r="AB789" s="708"/>
      <c r="AC789" s="708"/>
      <c r="AD789" s="708"/>
      <c r="AE789" s="708"/>
    </row>
    <row r="790">
      <c r="A790" s="708"/>
      <c r="B790" s="708"/>
      <c r="C790" s="708"/>
      <c r="D790" s="708"/>
      <c r="E790" s="708"/>
      <c r="F790" s="708"/>
      <c r="G790" s="708"/>
      <c r="H790" s="708"/>
      <c r="I790" s="708"/>
      <c r="J790" s="708"/>
      <c r="K790" s="708"/>
      <c r="L790" s="708"/>
      <c r="M790" s="708"/>
      <c r="N790" s="708"/>
      <c r="O790" s="708"/>
      <c r="P790" s="708"/>
      <c r="Q790" s="708"/>
      <c r="R790" s="708"/>
      <c r="S790" s="708"/>
      <c r="T790" s="708"/>
      <c r="U790" s="708"/>
      <c r="V790" s="708"/>
      <c r="W790" s="708"/>
      <c r="X790" s="708"/>
      <c r="Y790" s="708"/>
      <c r="Z790" s="708"/>
      <c r="AA790" s="708"/>
      <c r="AB790" s="708"/>
      <c r="AC790" s="708"/>
      <c r="AD790" s="708"/>
      <c r="AE790" s="708"/>
    </row>
    <row r="791">
      <c r="A791" s="708"/>
      <c r="B791" s="708"/>
      <c r="C791" s="708"/>
      <c r="D791" s="708"/>
      <c r="E791" s="708"/>
      <c r="F791" s="708"/>
      <c r="G791" s="708"/>
      <c r="H791" s="708"/>
      <c r="I791" s="708"/>
      <c r="J791" s="708"/>
      <c r="K791" s="708"/>
      <c r="L791" s="708"/>
      <c r="M791" s="708"/>
      <c r="N791" s="708"/>
      <c r="O791" s="708"/>
      <c r="P791" s="708"/>
      <c r="Q791" s="708"/>
      <c r="R791" s="708"/>
      <c r="S791" s="708"/>
      <c r="T791" s="708"/>
      <c r="U791" s="708"/>
      <c r="V791" s="708"/>
      <c r="W791" s="708"/>
      <c r="X791" s="708"/>
      <c r="Y791" s="708"/>
      <c r="Z791" s="708"/>
      <c r="AA791" s="708"/>
      <c r="AB791" s="708"/>
      <c r="AC791" s="708"/>
      <c r="AD791" s="708"/>
      <c r="AE791" s="708"/>
    </row>
    <row r="792">
      <c r="A792" s="708"/>
      <c r="B792" s="708"/>
      <c r="C792" s="708"/>
      <c r="D792" s="708"/>
      <c r="E792" s="708"/>
      <c r="F792" s="708"/>
      <c r="G792" s="708"/>
      <c r="H792" s="708"/>
      <c r="I792" s="708"/>
      <c r="J792" s="708"/>
      <c r="K792" s="708"/>
      <c r="L792" s="708"/>
      <c r="M792" s="708"/>
      <c r="N792" s="708"/>
      <c r="O792" s="708"/>
      <c r="P792" s="708"/>
      <c r="Q792" s="708"/>
      <c r="R792" s="708"/>
      <c r="S792" s="708"/>
      <c r="T792" s="708"/>
      <c r="U792" s="708"/>
      <c r="V792" s="708"/>
      <c r="W792" s="708"/>
      <c r="X792" s="708"/>
      <c r="Y792" s="708"/>
      <c r="Z792" s="708"/>
      <c r="AA792" s="708"/>
      <c r="AB792" s="708"/>
      <c r="AC792" s="708"/>
      <c r="AD792" s="708"/>
      <c r="AE792" s="708"/>
    </row>
    <row r="793">
      <c r="A793" s="708"/>
      <c r="B793" s="708"/>
      <c r="C793" s="708"/>
      <c r="D793" s="708"/>
      <c r="E793" s="708"/>
      <c r="F793" s="708"/>
      <c r="G793" s="708"/>
      <c r="H793" s="708"/>
      <c r="I793" s="708"/>
      <c r="J793" s="708"/>
      <c r="K793" s="708"/>
      <c r="L793" s="708"/>
      <c r="M793" s="708"/>
      <c r="N793" s="708"/>
      <c r="O793" s="708"/>
      <c r="P793" s="708"/>
      <c r="Q793" s="708"/>
      <c r="R793" s="708"/>
      <c r="S793" s="708"/>
      <c r="T793" s="708"/>
      <c r="U793" s="708"/>
      <c r="V793" s="708"/>
      <c r="W793" s="708"/>
      <c r="X793" s="708"/>
      <c r="Y793" s="708"/>
      <c r="Z793" s="708"/>
      <c r="AA793" s="708"/>
      <c r="AB793" s="708"/>
      <c r="AC793" s="708"/>
      <c r="AD793" s="708"/>
      <c r="AE793" s="708"/>
    </row>
    <row r="794">
      <c r="A794" s="708"/>
      <c r="B794" s="708"/>
      <c r="C794" s="708"/>
      <c r="D794" s="708"/>
      <c r="E794" s="708"/>
      <c r="F794" s="708"/>
      <c r="G794" s="708"/>
      <c r="H794" s="708"/>
      <c r="I794" s="708"/>
      <c r="J794" s="708"/>
      <c r="K794" s="708"/>
      <c r="L794" s="708"/>
      <c r="M794" s="708"/>
      <c r="N794" s="708"/>
      <c r="O794" s="708"/>
      <c r="P794" s="708"/>
      <c r="Q794" s="708"/>
      <c r="R794" s="708"/>
      <c r="S794" s="708"/>
      <c r="T794" s="708"/>
      <c r="U794" s="708"/>
      <c r="V794" s="708"/>
      <c r="W794" s="708"/>
      <c r="X794" s="708"/>
      <c r="Y794" s="708"/>
      <c r="Z794" s="708"/>
      <c r="AA794" s="708"/>
      <c r="AB794" s="708"/>
      <c r="AC794" s="708"/>
      <c r="AD794" s="708"/>
      <c r="AE794" s="708"/>
    </row>
    <row r="795">
      <c r="A795" s="708"/>
      <c r="B795" s="708"/>
      <c r="C795" s="708"/>
      <c r="D795" s="708"/>
      <c r="E795" s="708"/>
      <c r="F795" s="708"/>
      <c r="G795" s="708"/>
      <c r="H795" s="708"/>
      <c r="I795" s="708"/>
      <c r="J795" s="708"/>
      <c r="K795" s="708"/>
      <c r="L795" s="708"/>
      <c r="M795" s="708"/>
      <c r="N795" s="708"/>
      <c r="O795" s="708"/>
      <c r="P795" s="708"/>
      <c r="Q795" s="708"/>
      <c r="R795" s="708"/>
      <c r="S795" s="708"/>
      <c r="T795" s="708"/>
      <c r="U795" s="708"/>
      <c r="V795" s="708"/>
      <c r="W795" s="708"/>
      <c r="X795" s="708"/>
      <c r="Y795" s="708"/>
      <c r="Z795" s="708"/>
      <c r="AA795" s="708"/>
      <c r="AB795" s="708"/>
      <c r="AC795" s="708"/>
      <c r="AD795" s="708"/>
      <c r="AE795" s="708"/>
    </row>
    <row r="796">
      <c r="A796" s="708"/>
      <c r="B796" s="708"/>
      <c r="C796" s="708"/>
      <c r="D796" s="708"/>
      <c r="E796" s="708"/>
      <c r="F796" s="708"/>
      <c r="G796" s="708"/>
      <c r="H796" s="708"/>
      <c r="I796" s="708"/>
      <c r="J796" s="708"/>
      <c r="K796" s="708"/>
      <c r="L796" s="708"/>
      <c r="M796" s="708"/>
      <c r="N796" s="708"/>
      <c r="O796" s="708"/>
      <c r="P796" s="708"/>
      <c r="Q796" s="708"/>
      <c r="R796" s="708"/>
      <c r="S796" s="708"/>
      <c r="T796" s="708"/>
      <c r="U796" s="708"/>
      <c r="V796" s="708"/>
      <c r="W796" s="708"/>
      <c r="X796" s="708"/>
      <c r="Y796" s="708"/>
      <c r="Z796" s="708"/>
      <c r="AA796" s="708"/>
      <c r="AB796" s="708"/>
      <c r="AC796" s="708"/>
      <c r="AD796" s="708"/>
      <c r="AE796" s="708"/>
    </row>
    <row r="797">
      <c r="A797" s="708"/>
      <c r="B797" s="708"/>
      <c r="C797" s="708"/>
      <c r="D797" s="708"/>
      <c r="E797" s="708"/>
      <c r="F797" s="708"/>
      <c r="G797" s="708"/>
      <c r="H797" s="708"/>
      <c r="I797" s="708"/>
      <c r="J797" s="708"/>
      <c r="K797" s="708"/>
      <c r="L797" s="708"/>
      <c r="M797" s="708"/>
      <c r="N797" s="708"/>
      <c r="O797" s="708"/>
      <c r="P797" s="708"/>
      <c r="Q797" s="708"/>
      <c r="R797" s="708"/>
      <c r="S797" s="708"/>
      <c r="T797" s="708"/>
      <c r="U797" s="708"/>
      <c r="V797" s="708"/>
      <c r="W797" s="708"/>
      <c r="X797" s="708"/>
      <c r="Y797" s="708"/>
      <c r="Z797" s="708"/>
      <c r="AA797" s="708"/>
      <c r="AB797" s="708"/>
      <c r="AC797" s="708"/>
      <c r="AD797" s="708"/>
      <c r="AE797" s="708"/>
    </row>
    <row r="798">
      <c r="A798" s="708"/>
      <c r="B798" s="708"/>
      <c r="C798" s="708"/>
      <c r="D798" s="708"/>
      <c r="E798" s="708"/>
      <c r="F798" s="708"/>
      <c r="G798" s="708"/>
      <c r="H798" s="708"/>
      <c r="I798" s="708"/>
      <c r="J798" s="708"/>
      <c r="K798" s="708"/>
      <c r="L798" s="708"/>
      <c r="M798" s="708"/>
      <c r="N798" s="708"/>
      <c r="O798" s="708"/>
      <c r="P798" s="708"/>
      <c r="Q798" s="708"/>
      <c r="R798" s="708"/>
      <c r="S798" s="708"/>
      <c r="T798" s="708"/>
      <c r="U798" s="708"/>
      <c r="V798" s="708"/>
      <c r="W798" s="708"/>
      <c r="X798" s="708"/>
      <c r="Y798" s="708"/>
      <c r="Z798" s="708"/>
      <c r="AA798" s="708"/>
      <c r="AB798" s="708"/>
      <c r="AC798" s="708"/>
      <c r="AD798" s="708"/>
      <c r="AE798" s="708"/>
    </row>
    <row r="799">
      <c r="A799" s="708"/>
      <c r="B799" s="708"/>
      <c r="C799" s="708"/>
      <c r="D799" s="708"/>
      <c r="E799" s="708"/>
      <c r="F799" s="708"/>
      <c r="G799" s="708"/>
      <c r="H799" s="708"/>
      <c r="I799" s="708"/>
      <c r="J799" s="708"/>
      <c r="K799" s="708"/>
      <c r="L799" s="708"/>
      <c r="M799" s="708"/>
      <c r="N799" s="708"/>
      <c r="O799" s="708"/>
      <c r="P799" s="708"/>
      <c r="Q799" s="708"/>
      <c r="R799" s="708"/>
      <c r="S799" s="708"/>
      <c r="T799" s="708"/>
      <c r="U799" s="708"/>
      <c r="V799" s="708"/>
      <c r="W799" s="708"/>
      <c r="X799" s="708"/>
      <c r="Y799" s="708"/>
      <c r="Z799" s="708"/>
      <c r="AA799" s="708"/>
      <c r="AB799" s="708"/>
      <c r="AC799" s="708"/>
      <c r="AD799" s="708"/>
      <c r="AE799" s="708"/>
    </row>
    <row r="800">
      <c r="A800" s="708"/>
      <c r="B800" s="708"/>
      <c r="C800" s="708"/>
      <c r="D800" s="708"/>
      <c r="E800" s="708"/>
      <c r="F800" s="708"/>
      <c r="G800" s="708"/>
      <c r="H800" s="708"/>
      <c r="I800" s="708"/>
      <c r="J800" s="708"/>
      <c r="K800" s="708"/>
      <c r="L800" s="708"/>
      <c r="M800" s="708"/>
      <c r="N800" s="708"/>
      <c r="O800" s="708"/>
      <c r="P800" s="708"/>
      <c r="Q800" s="708"/>
      <c r="R800" s="708"/>
      <c r="S800" s="708"/>
      <c r="T800" s="708"/>
      <c r="U800" s="708"/>
      <c r="V800" s="708"/>
      <c r="W800" s="708"/>
      <c r="X800" s="708"/>
      <c r="Y800" s="708"/>
      <c r="Z800" s="708"/>
      <c r="AA800" s="708"/>
      <c r="AB800" s="708"/>
      <c r="AC800" s="708"/>
      <c r="AD800" s="708"/>
      <c r="AE800" s="708"/>
    </row>
    <row r="801">
      <c r="A801" s="708"/>
      <c r="B801" s="708"/>
      <c r="C801" s="708"/>
      <c r="D801" s="708"/>
      <c r="E801" s="708"/>
      <c r="F801" s="708"/>
      <c r="G801" s="708"/>
      <c r="H801" s="708"/>
      <c r="I801" s="708"/>
      <c r="J801" s="708"/>
      <c r="K801" s="708"/>
      <c r="L801" s="708"/>
      <c r="M801" s="708"/>
      <c r="N801" s="708"/>
      <c r="O801" s="708"/>
      <c r="P801" s="708"/>
      <c r="Q801" s="708"/>
      <c r="R801" s="708"/>
      <c r="S801" s="708"/>
      <c r="T801" s="708"/>
      <c r="U801" s="708"/>
      <c r="V801" s="708"/>
      <c r="W801" s="708"/>
      <c r="X801" s="708"/>
      <c r="Y801" s="708"/>
      <c r="Z801" s="708"/>
      <c r="AA801" s="708"/>
      <c r="AB801" s="708"/>
      <c r="AC801" s="708"/>
      <c r="AD801" s="708"/>
      <c r="AE801" s="708"/>
    </row>
    <row r="802">
      <c r="A802" s="708"/>
      <c r="B802" s="708"/>
      <c r="C802" s="708"/>
      <c r="D802" s="708"/>
      <c r="E802" s="708"/>
      <c r="F802" s="708"/>
      <c r="G802" s="708"/>
      <c r="H802" s="708"/>
      <c r="I802" s="708"/>
      <c r="J802" s="708"/>
      <c r="K802" s="708"/>
      <c r="L802" s="708"/>
      <c r="M802" s="708"/>
      <c r="N802" s="708"/>
      <c r="O802" s="708"/>
      <c r="P802" s="708"/>
      <c r="Q802" s="708"/>
      <c r="R802" s="708"/>
      <c r="S802" s="708"/>
      <c r="T802" s="708"/>
      <c r="U802" s="708"/>
      <c r="V802" s="708"/>
      <c r="W802" s="708"/>
      <c r="X802" s="708"/>
      <c r="Y802" s="708"/>
      <c r="Z802" s="708"/>
      <c r="AA802" s="708"/>
      <c r="AB802" s="708"/>
      <c r="AC802" s="708"/>
      <c r="AD802" s="708"/>
      <c r="AE802" s="708"/>
    </row>
    <row r="803">
      <c r="A803" s="708"/>
      <c r="B803" s="708"/>
      <c r="C803" s="708"/>
      <c r="D803" s="708"/>
      <c r="E803" s="708"/>
      <c r="F803" s="708"/>
      <c r="G803" s="708"/>
      <c r="H803" s="708"/>
      <c r="I803" s="708"/>
      <c r="J803" s="708"/>
      <c r="K803" s="708"/>
      <c r="L803" s="708"/>
      <c r="M803" s="708"/>
      <c r="N803" s="708"/>
      <c r="O803" s="708"/>
      <c r="P803" s="708"/>
      <c r="Q803" s="708"/>
      <c r="R803" s="708"/>
      <c r="S803" s="708"/>
      <c r="T803" s="708"/>
      <c r="U803" s="708"/>
      <c r="V803" s="708"/>
      <c r="W803" s="708"/>
      <c r="X803" s="708"/>
      <c r="Y803" s="708"/>
      <c r="Z803" s="708"/>
      <c r="AA803" s="708"/>
      <c r="AB803" s="708"/>
      <c r="AC803" s="708"/>
      <c r="AD803" s="708"/>
      <c r="AE803" s="708"/>
    </row>
    <row r="804">
      <c r="A804" s="708"/>
      <c r="B804" s="708"/>
      <c r="C804" s="708"/>
      <c r="D804" s="708"/>
      <c r="E804" s="708"/>
      <c r="F804" s="708"/>
      <c r="G804" s="708"/>
      <c r="H804" s="708"/>
      <c r="I804" s="708"/>
      <c r="J804" s="708"/>
      <c r="K804" s="708"/>
      <c r="L804" s="708"/>
      <c r="M804" s="708"/>
      <c r="N804" s="708"/>
      <c r="O804" s="708"/>
      <c r="P804" s="708"/>
      <c r="Q804" s="708"/>
      <c r="R804" s="708"/>
      <c r="S804" s="708"/>
      <c r="T804" s="708"/>
      <c r="U804" s="708"/>
      <c r="V804" s="708"/>
      <c r="W804" s="708"/>
      <c r="X804" s="708"/>
      <c r="Y804" s="708"/>
      <c r="Z804" s="708"/>
      <c r="AA804" s="708"/>
      <c r="AB804" s="708"/>
      <c r="AC804" s="708"/>
      <c r="AD804" s="708"/>
      <c r="AE804" s="708"/>
    </row>
    <row r="805">
      <c r="A805" s="708"/>
      <c r="B805" s="708"/>
      <c r="C805" s="708"/>
      <c r="D805" s="708"/>
      <c r="E805" s="708"/>
      <c r="F805" s="708"/>
      <c r="G805" s="708"/>
      <c r="H805" s="708"/>
      <c r="I805" s="708"/>
      <c r="J805" s="708"/>
      <c r="K805" s="708"/>
      <c r="L805" s="708"/>
      <c r="M805" s="708"/>
      <c r="N805" s="708"/>
      <c r="O805" s="708"/>
      <c r="P805" s="708"/>
      <c r="Q805" s="708"/>
      <c r="R805" s="708"/>
      <c r="S805" s="708"/>
      <c r="T805" s="708"/>
      <c r="U805" s="708"/>
      <c r="V805" s="708"/>
      <c r="W805" s="708"/>
      <c r="X805" s="708"/>
      <c r="Y805" s="708"/>
      <c r="Z805" s="708"/>
      <c r="AA805" s="708"/>
      <c r="AB805" s="708"/>
      <c r="AC805" s="708"/>
      <c r="AD805" s="708"/>
      <c r="AE805" s="708"/>
    </row>
    <row r="806">
      <c r="A806" s="708"/>
      <c r="B806" s="708"/>
      <c r="C806" s="708"/>
      <c r="D806" s="708"/>
      <c r="E806" s="708"/>
      <c r="F806" s="708"/>
      <c r="G806" s="708"/>
      <c r="H806" s="708"/>
      <c r="I806" s="708"/>
      <c r="J806" s="708"/>
      <c r="K806" s="708"/>
      <c r="L806" s="708"/>
      <c r="M806" s="708"/>
      <c r="N806" s="708"/>
      <c r="O806" s="708"/>
      <c r="P806" s="708"/>
      <c r="Q806" s="708"/>
      <c r="R806" s="708"/>
      <c r="S806" s="708"/>
      <c r="T806" s="708"/>
      <c r="U806" s="708"/>
      <c r="V806" s="708"/>
      <c r="W806" s="708"/>
      <c r="X806" s="708"/>
      <c r="Y806" s="708"/>
      <c r="Z806" s="708"/>
      <c r="AA806" s="708"/>
      <c r="AB806" s="708"/>
      <c r="AC806" s="708"/>
      <c r="AD806" s="708"/>
      <c r="AE806" s="708"/>
    </row>
    <row r="807">
      <c r="A807" s="708"/>
      <c r="B807" s="708"/>
      <c r="C807" s="708"/>
      <c r="D807" s="708"/>
      <c r="E807" s="708"/>
      <c r="F807" s="708"/>
      <c r="G807" s="708"/>
      <c r="H807" s="708"/>
      <c r="I807" s="708"/>
      <c r="J807" s="708"/>
      <c r="K807" s="708"/>
      <c r="L807" s="708"/>
      <c r="M807" s="708"/>
      <c r="N807" s="708"/>
      <c r="O807" s="708"/>
      <c r="P807" s="708"/>
      <c r="Q807" s="708"/>
      <c r="R807" s="708"/>
      <c r="S807" s="708"/>
      <c r="T807" s="708"/>
      <c r="U807" s="708"/>
      <c r="V807" s="708"/>
      <c r="W807" s="708"/>
      <c r="X807" s="708"/>
      <c r="Y807" s="708"/>
      <c r="Z807" s="708"/>
      <c r="AA807" s="708"/>
      <c r="AB807" s="708"/>
      <c r="AC807" s="708"/>
      <c r="AD807" s="708"/>
      <c r="AE807" s="708"/>
    </row>
    <row r="808">
      <c r="A808" s="708"/>
      <c r="B808" s="708"/>
      <c r="C808" s="708"/>
      <c r="D808" s="708"/>
      <c r="E808" s="708"/>
      <c r="F808" s="708"/>
      <c r="G808" s="708"/>
      <c r="H808" s="708"/>
      <c r="I808" s="708"/>
      <c r="J808" s="708"/>
      <c r="K808" s="708"/>
      <c r="L808" s="708"/>
      <c r="M808" s="708"/>
      <c r="N808" s="708"/>
      <c r="O808" s="708"/>
      <c r="P808" s="708"/>
      <c r="Q808" s="708"/>
      <c r="R808" s="708"/>
      <c r="S808" s="708"/>
      <c r="T808" s="708"/>
      <c r="U808" s="708"/>
      <c r="V808" s="708"/>
      <c r="W808" s="708"/>
      <c r="X808" s="708"/>
      <c r="Y808" s="708"/>
      <c r="Z808" s="708"/>
      <c r="AA808" s="708"/>
      <c r="AB808" s="708"/>
      <c r="AC808" s="708"/>
      <c r="AD808" s="708"/>
      <c r="AE808" s="708"/>
    </row>
    <row r="809">
      <c r="A809" s="708"/>
      <c r="B809" s="708"/>
      <c r="C809" s="708"/>
      <c r="D809" s="708"/>
      <c r="E809" s="708"/>
      <c r="F809" s="708"/>
      <c r="G809" s="708"/>
      <c r="H809" s="708"/>
      <c r="I809" s="708"/>
      <c r="J809" s="708"/>
      <c r="K809" s="708"/>
      <c r="L809" s="708"/>
      <c r="M809" s="708"/>
      <c r="N809" s="708"/>
      <c r="O809" s="708"/>
      <c r="P809" s="708"/>
      <c r="Q809" s="708"/>
      <c r="R809" s="708"/>
      <c r="S809" s="708"/>
      <c r="T809" s="708"/>
      <c r="U809" s="708"/>
      <c r="V809" s="708"/>
      <c r="W809" s="708"/>
      <c r="X809" s="708"/>
      <c r="Y809" s="708"/>
      <c r="Z809" s="708"/>
      <c r="AA809" s="708"/>
      <c r="AB809" s="708"/>
      <c r="AC809" s="708"/>
      <c r="AD809" s="708"/>
      <c r="AE809" s="708"/>
    </row>
    <row r="810">
      <c r="A810" s="708"/>
      <c r="B810" s="708"/>
      <c r="C810" s="708"/>
      <c r="D810" s="708"/>
      <c r="E810" s="708"/>
      <c r="F810" s="708"/>
      <c r="G810" s="708"/>
      <c r="H810" s="708"/>
      <c r="I810" s="708"/>
      <c r="J810" s="708"/>
      <c r="K810" s="708"/>
      <c r="L810" s="708"/>
      <c r="M810" s="708"/>
      <c r="N810" s="708"/>
      <c r="O810" s="708"/>
      <c r="P810" s="708"/>
      <c r="Q810" s="708"/>
      <c r="R810" s="708"/>
      <c r="S810" s="708"/>
      <c r="T810" s="708"/>
      <c r="U810" s="708"/>
      <c r="V810" s="708"/>
      <c r="W810" s="708"/>
      <c r="X810" s="708"/>
      <c r="Y810" s="708"/>
      <c r="Z810" s="708"/>
      <c r="AA810" s="708"/>
      <c r="AB810" s="708"/>
      <c r="AC810" s="708"/>
      <c r="AD810" s="708"/>
      <c r="AE810" s="708"/>
    </row>
    <row r="811">
      <c r="A811" s="708"/>
      <c r="B811" s="708"/>
      <c r="C811" s="708"/>
      <c r="D811" s="708"/>
      <c r="E811" s="708"/>
      <c r="F811" s="708"/>
      <c r="G811" s="708"/>
      <c r="H811" s="708"/>
      <c r="I811" s="708"/>
      <c r="J811" s="708"/>
      <c r="K811" s="708"/>
      <c r="L811" s="708"/>
      <c r="M811" s="708"/>
      <c r="N811" s="708"/>
      <c r="O811" s="708"/>
      <c r="P811" s="708"/>
      <c r="Q811" s="708"/>
      <c r="R811" s="708"/>
      <c r="S811" s="708"/>
      <c r="T811" s="708"/>
      <c r="U811" s="708"/>
      <c r="V811" s="708"/>
      <c r="W811" s="708"/>
      <c r="X811" s="708"/>
      <c r="Y811" s="708"/>
      <c r="Z811" s="708"/>
      <c r="AA811" s="708"/>
      <c r="AB811" s="708"/>
      <c r="AC811" s="708"/>
      <c r="AD811" s="708"/>
      <c r="AE811" s="708"/>
    </row>
    <row r="812">
      <c r="A812" s="708"/>
      <c r="B812" s="708"/>
      <c r="C812" s="708"/>
      <c r="D812" s="708"/>
      <c r="E812" s="708"/>
      <c r="F812" s="708"/>
      <c r="G812" s="708"/>
      <c r="H812" s="708"/>
      <c r="I812" s="708"/>
      <c r="J812" s="708"/>
      <c r="K812" s="708"/>
      <c r="L812" s="708"/>
      <c r="M812" s="708"/>
      <c r="N812" s="708"/>
      <c r="O812" s="708"/>
      <c r="P812" s="708"/>
      <c r="Q812" s="708"/>
      <c r="R812" s="708"/>
      <c r="S812" s="708"/>
      <c r="T812" s="708"/>
      <c r="U812" s="708"/>
      <c r="V812" s="708"/>
      <c r="W812" s="708"/>
      <c r="X812" s="708"/>
      <c r="Y812" s="708"/>
      <c r="Z812" s="708"/>
      <c r="AA812" s="708"/>
      <c r="AB812" s="708"/>
      <c r="AC812" s="708"/>
      <c r="AD812" s="708"/>
      <c r="AE812" s="708"/>
    </row>
    <row r="813">
      <c r="A813" s="708"/>
      <c r="B813" s="708"/>
      <c r="C813" s="708"/>
      <c r="D813" s="708"/>
      <c r="E813" s="708"/>
      <c r="F813" s="708"/>
      <c r="G813" s="708"/>
      <c r="H813" s="708"/>
      <c r="I813" s="708"/>
      <c r="J813" s="708"/>
      <c r="K813" s="708"/>
      <c r="L813" s="708"/>
      <c r="M813" s="708"/>
      <c r="N813" s="708"/>
      <c r="O813" s="708"/>
      <c r="P813" s="708"/>
      <c r="Q813" s="708"/>
      <c r="R813" s="708"/>
      <c r="S813" s="708"/>
      <c r="T813" s="708"/>
      <c r="U813" s="708"/>
      <c r="V813" s="708"/>
      <c r="W813" s="708"/>
      <c r="X813" s="708"/>
      <c r="Y813" s="708"/>
      <c r="Z813" s="708"/>
      <c r="AA813" s="708"/>
      <c r="AB813" s="708"/>
      <c r="AC813" s="708"/>
      <c r="AD813" s="708"/>
      <c r="AE813" s="708"/>
    </row>
    <row r="814">
      <c r="A814" s="708"/>
      <c r="B814" s="708"/>
      <c r="C814" s="708"/>
      <c r="D814" s="708"/>
      <c r="E814" s="708"/>
      <c r="F814" s="708"/>
      <c r="G814" s="708"/>
      <c r="H814" s="708"/>
      <c r="I814" s="708"/>
      <c r="J814" s="708"/>
      <c r="K814" s="708"/>
      <c r="L814" s="708"/>
      <c r="M814" s="708"/>
      <c r="N814" s="708"/>
      <c r="O814" s="708"/>
      <c r="P814" s="708"/>
      <c r="Q814" s="708"/>
      <c r="R814" s="708"/>
      <c r="S814" s="708"/>
      <c r="T814" s="708"/>
      <c r="U814" s="708"/>
      <c r="V814" s="708"/>
      <c r="W814" s="708"/>
      <c r="X814" s="708"/>
      <c r="Y814" s="708"/>
      <c r="Z814" s="708"/>
      <c r="AA814" s="708"/>
      <c r="AB814" s="708"/>
      <c r="AC814" s="708"/>
      <c r="AD814" s="708"/>
      <c r="AE814" s="708"/>
    </row>
    <row r="815">
      <c r="A815" s="708"/>
      <c r="B815" s="708"/>
      <c r="C815" s="708"/>
      <c r="D815" s="708"/>
      <c r="E815" s="708"/>
      <c r="F815" s="708"/>
      <c r="G815" s="708"/>
      <c r="H815" s="708"/>
      <c r="I815" s="708"/>
      <c r="J815" s="708"/>
      <c r="K815" s="708"/>
      <c r="L815" s="708"/>
      <c r="M815" s="708"/>
      <c r="N815" s="708"/>
      <c r="O815" s="708"/>
      <c r="P815" s="708"/>
      <c r="Q815" s="708"/>
      <c r="R815" s="708"/>
      <c r="S815" s="708"/>
      <c r="T815" s="708"/>
      <c r="U815" s="708"/>
      <c r="V815" s="708"/>
      <c r="W815" s="708"/>
      <c r="X815" s="708"/>
      <c r="Y815" s="708"/>
      <c r="Z815" s="708"/>
      <c r="AA815" s="708"/>
      <c r="AB815" s="708"/>
      <c r="AC815" s="708"/>
      <c r="AD815" s="708"/>
      <c r="AE815" s="708"/>
    </row>
    <row r="816">
      <c r="A816" s="708"/>
      <c r="B816" s="708"/>
      <c r="C816" s="708"/>
      <c r="D816" s="708"/>
      <c r="E816" s="708"/>
      <c r="F816" s="708"/>
      <c r="G816" s="708"/>
      <c r="H816" s="708"/>
      <c r="I816" s="708"/>
      <c r="J816" s="708"/>
      <c r="K816" s="708"/>
      <c r="L816" s="708"/>
      <c r="M816" s="708"/>
      <c r="N816" s="708"/>
      <c r="O816" s="708"/>
      <c r="P816" s="708"/>
      <c r="Q816" s="708"/>
      <c r="R816" s="708"/>
      <c r="S816" s="708"/>
      <c r="T816" s="708"/>
      <c r="U816" s="708"/>
      <c r="V816" s="708"/>
      <c r="W816" s="708"/>
      <c r="X816" s="708"/>
      <c r="Y816" s="708"/>
      <c r="Z816" s="708"/>
      <c r="AA816" s="708"/>
      <c r="AB816" s="708"/>
      <c r="AC816" s="708"/>
      <c r="AD816" s="708"/>
      <c r="AE816" s="708"/>
    </row>
    <row r="817">
      <c r="A817" s="708"/>
      <c r="B817" s="708"/>
      <c r="C817" s="708"/>
      <c r="D817" s="708"/>
      <c r="E817" s="708"/>
      <c r="F817" s="708"/>
      <c r="G817" s="708"/>
      <c r="H817" s="708"/>
      <c r="I817" s="708"/>
      <c r="J817" s="708"/>
      <c r="K817" s="708"/>
      <c r="L817" s="708"/>
      <c r="M817" s="708"/>
      <c r="N817" s="708"/>
      <c r="O817" s="708"/>
      <c r="P817" s="708"/>
      <c r="Q817" s="708"/>
      <c r="R817" s="708"/>
      <c r="S817" s="708"/>
      <c r="T817" s="708"/>
      <c r="U817" s="708"/>
      <c r="V817" s="708"/>
      <c r="W817" s="708"/>
      <c r="X817" s="708"/>
      <c r="Y817" s="708"/>
      <c r="Z817" s="708"/>
      <c r="AA817" s="708"/>
      <c r="AB817" s="708"/>
      <c r="AC817" s="708"/>
      <c r="AD817" s="708"/>
      <c r="AE817" s="708"/>
    </row>
    <row r="818">
      <c r="A818" s="708"/>
      <c r="B818" s="708"/>
      <c r="C818" s="708"/>
      <c r="D818" s="708"/>
      <c r="E818" s="708"/>
      <c r="F818" s="708"/>
      <c r="G818" s="708"/>
      <c r="H818" s="708"/>
      <c r="I818" s="708"/>
      <c r="J818" s="708"/>
      <c r="K818" s="708"/>
      <c r="L818" s="708"/>
      <c r="M818" s="708"/>
      <c r="N818" s="708"/>
      <c r="O818" s="708"/>
      <c r="P818" s="708"/>
      <c r="Q818" s="708"/>
      <c r="R818" s="708"/>
      <c r="S818" s="708"/>
      <c r="T818" s="708"/>
      <c r="U818" s="708"/>
      <c r="V818" s="708"/>
      <c r="W818" s="708"/>
      <c r="X818" s="708"/>
      <c r="Y818" s="708"/>
      <c r="Z818" s="708"/>
      <c r="AA818" s="708"/>
      <c r="AB818" s="708"/>
      <c r="AC818" s="708"/>
      <c r="AD818" s="708"/>
      <c r="AE818" s="708"/>
    </row>
    <row r="819">
      <c r="A819" s="708"/>
      <c r="B819" s="708"/>
      <c r="C819" s="708"/>
      <c r="D819" s="708"/>
      <c r="E819" s="708"/>
      <c r="F819" s="708"/>
      <c r="G819" s="708"/>
      <c r="H819" s="708"/>
      <c r="I819" s="708"/>
      <c r="J819" s="708"/>
      <c r="K819" s="708"/>
      <c r="L819" s="708"/>
      <c r="M819" s="708"/>
      <c r="N819" s="708"/>
      <c r="O819" s="708"/>
      <c r="P819" s="708"/>
      <c r="Q819" s="708"/>
      <c r="R819" s="708"/>
      <c r="S819" s="708"/>
      <c r="T819" s="708"/>
      <c r="U819" s="708"/>
      <c r="V819" s="708"/>
      <c r="W819" s="708"/>
      <c r="X819" s="708"/>
      <c r="Y819" s="708"/>
      <c r="Z819" s="708"/>
      <c r="AA819" s="708"/>
      <c r="AB819" s="708"/>
      <c r="AC819" s="708"/>
      <c r="AD819" s="708"/>
      <c r="AE819" s="708"/>
    </row>
    <row r="820">
      <c r="A820" s="708"/>
      <c r="B820" s="708"/>
      <c r="C820" s="708"/>
      <c r="D820" s="708"/>
      <c r="E820" s="708"/>
      <c r="F820" s="708"/>
      <c r="G820" s="708"/>
      <c r="H820" s="708"/>
      <c r="I820" s="708"/>
      <c r="J820" s="708"/>
      <c r="K820" s="708"/>
      <c r="L820" s="708"/>
      <c r="M820" s="708"/>
      <c r="N820" s="708"/>
      <c r="O820" s="708"/>
      <c r="P820" s="708"/>
      <c r="Q820" s="708"/>
      <c r="R820" s="708"/>
      <c r="S820" s="708"/>
      <c r="T820" s="708"/>
      <c r="U820" s="708"/>
      <c r="V820" s="708"/>
      <c r="W820" s="708"/>
      <c r="X820" s="708"/>
      <c r="Y820" s="708"/>
      <c r="Z820" s="708"/>
      <c r="AA820" s="708"/>
      <c r="AB820" s="708"/>
      <c r="AC820" s="708"/>
      <c r="AD820" s="708"/>
      <c r="AE820" s="708"/>
    </row>
    <row r="821">
      <c r="A821" s="708"/>
      <c r="B821" s="708"/>
      <c r="C821" s="708"/>
      <c r="D821" s="708"/>
      <c r="E821" s="708"/>
      <c r="F821" s="708"/>
      <c r="G821" s="708"/>
      <c r="H821" s="708"/>
      <c r="I821" s="708"/>
      <c r="J821" s="708"/>
      <c r="K821" s="708"/>
      <c r="L821" s="708"/>
      <c r="M821" s="708"/>
      <c r="N821" s="708"/>
      <c r="O821" s="708"/>
      <c r="P821" s="708"/>
      <c r="Q821" s="708"/>
      <c r="R821" s="708"/>
      <c r="S821" s="708"/>
      <c r="T821" s="708"/>
      <c r="U821" s="708"/>
      <c r="V821" s="708"/>
      <c r="W821" s="708"/>
      <c r="X821" s="708"/>
      <c r="Y821" s="708"/>
      <c r="Z821" s="708"/>
      <c r="AA821" s="708"/>
      <c r="AB821" s="708"/>
      <c r="AC821" s="708"/>
      <c r="AD821" s="708"/>
      <c r="AE821" s="708"/>
    </row>
    <row r="822">
      <c r="A822" s="708"/>
      <c r="B822" s="708"/>
      <c r="C822" s="708"/>
      <c r="D822" s="708"/>
      <c r="E822" s="708"/>
      <c r="F822" s="708"/>
      <c r="G822" s="708"/>
      <c r="H822" s="708"/>
      <c r="I822" s="708"/>
      <c r="J822" s="708"/>
      <c r="K822" s="708"/>
      <c r="L822" s="708"/>
      <c r="M822" s="708"/>
      <c r="N822" s="708"/>
      <c r="O822" s="708"/>
      <c r="P822" s="708"/>
      <c r="Q822" s="708"/>
      <c r="R822" s="708"/>
      <c r="S822" s="708"/>
      <c r="T822" s="708"/>
      <c r="U822" s="708"/>
      <c r="V822" s="708"/>
      <c r="W822" s="708"/>
      <c r="X822" s="708"/>
      <c r="Y822" s="708"/>
      <c r="Z822" s="708"/>
      <c r="AA822" s="708"/>
      <c r="AB822" s="708"/>
      <c r="AC822" s="708"/>
      <c r="AD822" s="708"/>
      <c r="AE822" s="708"/>
    </row>
    <row r="823">
      <c r="A823" s="708"/>
      <c r="B823" s="708"/>
      <c r="C823" s="708"/>
      <c r="D823" s="708"/>
      <c r="E823" s="708"/>
      <c r="F823" s="708"/>
      <c r="G823" s="708"/>
      <c r="H823" s="708"/>
      <c r="I823" s="708"/>
      <c r="J823" s="708"/>
      <c r="K823" s="708"/>
      <c r="L823" s="708"/>
      <c r="M823" s="708"/>
      <c r="N823" s="708"/>
      <c r="O823" s="708"/>
      <c r="P823" s="708"/>
      <c r="Q823" s="708"/>
      <c r="R823" s="708"/>
      <c r="S823" s="708"/>
      <c r="T823" s="708"/>
      <c r="U823" s="708"/>
      <c r="V823" s="708"/>
      <c r="W823" s="708"/>
      <c r="X823" s="708"/>
      <c r="Y823" s="708"/>
      <c r="Z823" s="708"/>
      <c r="AA823" s="708"/>
      <c r="AB823" s="708"/>
      <c r="AC823" s="708"/>
      <c r="AD823" s="708"/>
      <c r="AE823" s="708"/>
    </row>
    <row r="824">
      <c r="A824" s="708"/>
      <c r="B824" s="708"/>
      <c r="C824" s="708"/>
      <c r="D824" s="708"/>
      <c r="E824" s="708"/>
      <c r="F824" s="708"/>
      <c r="G824" s="708"/>
      <c r="H824" s="708"/>
      <c r="I824" s="708"/>
      <c r="J824" s="708"/>
      <c r="K824" s="708"/>
      <c r="L824" s="708"/>
      <c r="M824" s="708"/>
      <c r="N824" s="708"/>
      <c r="O824" s="708"/>
      <c r="P824" s="708"/>
      <c r="Q824" s="708"/>
      <c r="R824" s="708"/>
      <c r="S824" s="708"/>
      <c r="T824" s="708"/>
      <c r="U824" s="708"/>
      <c r="V824" s="708"/>
      <c r="W824" s="708"/>
      <c r="X824" s="708"/>
      <c r="Y824" s="708"/>
      <c r="Z824" s="708"/>
      <c r="AA824" s="708"/>
      <c r="AB824" s="708"/>
      <c r="AC824" s="708"/>
      <c r="AD824" s="708"/>
      <c r="AE824" s="708"/>
    </row>
    <row r="825">
      <c r="A825" s="708"/>
      <c r="B825" s="708"/>
      <c r="C825" s="708"/>
      <c r="D825" s="708"/>
      <c r="E825" s="708"/>
      <c r="F825" s="708"/>
      <c r="G825" s="708"/>
      <c r="H825" s="708"/>
      <c r="I825" s="708"/>
      <c r="J825" s="708"/>
      <c r="K825" s="708"/>
      <c r="L825" s="708"/>
      <c r="M825" s="708"/>
      <c r="N825" s="708"/>
      <c r="O825" s="708"/>
      <c r="P825" s="708"/>
      <c r="Q825" s="708"/>
      <c r="R825" s="708"/>
      <c r="S825" s="708"/>
      <c r="T825" s="708"/>
      <c r="U825" s="708"/>
      <c r="V825" s="708"/>
      <c r="W825" s="708"/>
      <c r="X825" s="708"/>
      <c r="Y825" s="708"/>
      <c r="Z825" s="708"/>
      <c r="AA825" s="708"/>
      <c r="AB825" s="708"/>
      <c r="AC825" s="708"/>
      <c r="AD825" s="708"/>
      <c r="AE825" s="708"/>
    </row>
    <row r="826">
      <c r="A826" s="708"/>
      <c r="B826" s="708"/>
      <c r="C826" s="708"/>
      <c r="D826" s="708"/>
      <c r="E826" s="708"/>
      <c r="F826" s="708"/>
      <c r="G826" s="708"/>
      <c r="H826" s="708"/>
      <c r="I826" s="708"/>
      <c r="J826" s="708"/>
      <c r="K826" s="708"/>
      <c r="L826" s="708"/>
      <c r="M826" s="708"/>
      <c r="N826" s="708"/>
      <c r="O826" s="708"/>
      <c r="P826" s="708"/>
      <c r="Q826" s="708"/>
      <c r="R826" s="708"/>
      <c r="S826" s="708"/>
      <c r="T826" s="708"/>
      <c r="U826" s="708"/>
      <c r="V826" s="708"/>
      <c r="W826" s="708"/>
      <c r="X826" s="708"/>
      <c r="Y826" s="708"/>
      <c r="Z826" s="708"/>
      <c r="AA826" s="708"/>
      <c r="AB826" s="708"/>
      <c r="AC826" s="708"/>
      <c r="AD826" s="708"/>
      <c r="AE826" s="708"/>
    </row>
    <row r="827">
      <c r="A827" s="708"/>
      <c r="B827" s="708"/>
      <c r="C827" s="708"/>
      <c r="D827" s="708"/>
      <c r="E827" s="708"/>
      <c r="F827" s="708"/>
      <c r="G827" s="708"/>
      <c r="H827" s="708"/>
      <c r="I827" s="708"/>
      <c r="J827" s="708"/>
      <c r="K827" s="708"/>
      <c r="L827" s="708"/>
      <c r="M827" s="708"/>
      <c r="N827" s="708"/>
      <c r="O827" s="708"/>
      <c r="P827" s="708"/>
      <c r="Q827" s="708"/>
      <c r="R827" s="708"/>
      <c r="S827" s="708"/>
      <c r="T827" s="708"/>
      <c r="U827" s="708"/>
      <c r="V827" s="708"/>
      <c r="W827" s="708"/>
      <c r="X827" s="708"/>
      <c r="Y827" s="708"/>
      <c r="Z827" s="708"/>
      <c r="AA827" s="708"/>
      <c r="AB827" s="708"/>
      <c r="AC827" s="708"/>
      <c r="AD827" s="708"/>
      <c r="AE827" s="708"/>
    </row>
    <row r="828">
      <c r="A828" s="708"/>
      <c r="B828" s="708"/>
      <c r="C828" s="708"/>
      <c r="D828" s="708"/>
      <c r="E828" s="708"/>
      <c r="F828" s="708"/>
      <c r="G828" s="708"/>
      <c r="H828" s="708"/>
      <c r="I828" s="708"/>
      <c r="J828" s="708"/>
      <c r="K828" s="708"/>
      <c r="L828" s="708"/>
      <c r="M828" s="708"/>
      <c r="N828" s="708"/>
      <c r="O828" s="708"/>
      <c r="P828" s="708"/>
      <c r="Q828" s="708"/>
      <c r="R828" s="708"/>
      <c r="S828" s="708"/>
      <c r="T828" s="708"/>
      <c r="U828" s="708"/>
      <c r="V828" s="708"/>
      <c r="W828" s="708"/>
      <c r="X828" s="708"/>
      <c r="Y828" s="708"/>
      <c r="Z828" s="708"/>
      <c r="AA828" s="708"/>
      <c r="AB828" s="708"/>
      <c r="AC828" s="708"/>
      <c r="AD828" s="708"/>
      <c r="AE828" s="708"/>
    </row>
    <row r="829">
      <c r="A829" s="708"/>
      <c r="B829" s="708"/>
      <c r="C829" s="708"/>
      <c r="D829" s="708"/>
      <c r="E829" s="708"/>
      <c r="F829" s="708"/>
      <c r="G829" s="708"/>
      <c r="H829" s="708"/>
      <c r="I829" s="708"/>
      <c r="J829" s="708"/>
      <c r="K829" s="708"/>
      <c r="L829" s="708"/>
      <c r="M829" s="708"/>
      <c r="N829" s="708"/>
      <c r="O829" s="708"/>
      <c r="P829" s="708"/>
      <c r="Q829" s="708"/>
      <c r="R829" s="708"/>
      <c r="S829" s="708"/>
      <c r="T829" s="708"/>
      <c r="U829" s="708"/>
      <c r="V829" s="708"/>
      <c r="W829" s="708"/>
      <c r="X829" s="708"/>
      <c r="Y829" s="708"/>
      <c r="Z829" s="708"/>
      <c r="AA829" s="708"/>
      <c r="AB829" s="708"/>
      <c r="AC829" s="708"/>
      <c r="AD829" s="708"/>
      <c r="AE829" s="708"/>
    </row>
    <row r="830">
      <c r="A830" s="708"/>
      <c r="B830" s="708"/>
      <c r="C830" s="708"/>
      <c r="D830" s="708"/>
      <c r="E830" s="708"/>
      <c r="F830" s="708"/>
      <c r="G830" s="708"/>
      <c r="H830" s="708"/>
      <c r="I830" s="708"/>
      <c r="J830" s="708"/>
      <c r="K830" s="708"/>
      <c r="L830" s="708"/>
      <c r="M830" s="708"/>
      <c r="N830" s="708"/>
      <c r="O830" s="708"/>
      <c r="P830" s="708"/>
      <c r="Q830" s="708"/>
      <c r="R830" s="708"/>
      <c r="S830" s="708"/>
      <c r="T830" s="708"/>
      <c r="U830" s="708"/>
      <c r="V830" s="708"/>
      <c r="W830" s="708"/>
      <c r="X830" s="708"/>
      <c r="Y830" s="708"/>
      <c r="Z830" s="708"/>
      <c r="AA830" s="708"/>
      <c r="AB830" s="708"/>
      <c r="AC830" s="708"/>
      <c r="AD830" s="708"/>
      <c r="AE830" s="708"/>
    </row>
    <row r="831">
      <c r="A831" s="708"/>
      <c r="B831" s="708"/>
      <c r="C831" s="708"/>
      <c r="D831" s="708"/>
      <c r="E831" s="708"/>
      <c r="F831" s="708"/>
      <c r="G831" s="708"/>
      <c r="H831" s="708"/>
      <c r="I831" s="708"/>
      <c r="J831" s="708"/>
      <c r="K831" s="708"/>
      <c r="L831" s="708"/>
      <c r="M831" s="708"/>
      <c r="N831" s="708"/>
      <c r="O831" s="708"/>
      <c r="P831" s="708"/>
      <c r="Q831" s="708"/>
      <c r="R831" s="708"/>
      <c r="S831" s="708"/>
      <c r="T831" s="708"/>
      <c r="U831" s="708"/>
      <c r="V831" s="708"/>
      <c r="W831" s="708"/>
      <c r="X831" s="708"/>
      <c r="Y831" s="708"/>
      <c r="Z831" s="708"/>
      <c r="AA831" s="708"/>
      <c r="AB831" s="708"/>
      <c r="AC831" s="708"/>
      <c r="AD831" s="708"/>
      <c r="AE831" s="708"/>
    </row>
    <row r="832">
      <c r="A832" s="708"/>
      <c r="B832" s="708"/>
      <c r="C832" s="708"/>
      <c r="D832" s="708"/>
      <c r="E832" s="708"/>
      <c r="F832" s="708"/>
      <c r="G832" s="708"/>
      <c r="H832" s="708"/>
      <c r="I832" s="708"/>
      <c r="J832" s="708"/>
      <c r="K832" s="708"/>
      <c r="L832" s="708"/>
      <c r="M832" s="708"/>
      <c r="N832" s="708"/>
      <c r="O832" s="708"/>
      <c r="P832" s="708"/>
      <c r="Q832" s="708"/>
      <c r="R832" s="708"/>
      <c r="S832" s="708"/>
      <c r="T832" s="708"/>
      <c r="U832" s="708"/>
      <c r="V832" s="708"/>
      <c r="W832" s="708"/>
      <c r="X832" s="708"/>
      <c r="Y832" s="708"/>
      <c r="Z832" s="708"/>
      <c r="AA832" s="708"/>
      <c r="AB832" s="708"/>
      <c r="AC832" s="708"/>
      <c r="AD832" s="708"/>
      <c r="AE832" s="708"/>
    </row>
    <row r="833">
      <c r="A833" s="708"/>
      <c r="B833" s="708"/>
      <c r="C833" s="708"/>
      <c r="D833" s="708"/>
      <c r="E833" s="708"/>
      <c r="F833" s="708"/>
      <c r="G833" s="708"/>
      <c r="H833" s="708"/>
      <c r="I833" s="708"/>
      <c r="J833" s="708"/>
      <c r="K833" s="708"/>
      <c r="L833" s="708"/>
      <c r="M833" s="708"/>
      <c r="N833" s="708"/>
      <c r="O833" s="708"/>
      <c r="P833" s="708"/>
      <c r="Q833" s="708"/>
      <c r="R833" s="708"/>
      <c r="S833" s="708"/>
      <c r="T833" s="708"/>
      <c r="U833" s="708"/>
      <c r="V833" s="708"/>
      <c r="W833" s="708"/>
      <c r="X833" s="708"/>
      <c r="Y833" s="708"/>
      <c r="Z833" s="708"/>
      <c r="AA833" s="708"/>
      <c r="AB833" s="708"/>
      <c r="AC833" s="708"/>
      <c r="AD833" s="708"/>
      <c r="AE833" s="708"/>
    </row>
    <row r="834">
      <c r="A834" s="708"/>
      <c r="B834" s="708"/>
      <c r="C834" s="708"/>
      <c r="D834" s="708"/>
      <c r="E834" s="708"/>
      <c r="F834" s="708"/>
      <c r="G834" s="708"/>
      <c r="H834" s="708"/>
      <c r="I834" s="708"/>
      <c r="J834" s="708"/>
      <c r="K834" s="708"/>
      <c r="L834" s="708"/>
      <c r="M834" s="708"/>
      <c r="N834" s="708"/>
      <c r="O834" s="708"/>
      <c r="P834" s="708"/>
      <c r="Q834" s="708"/>
      <c r="R834" s="708"/>
      <c r="S834" s="708"/>
      <c r="T834" s="708"/>
      <c r="U834" s="708"/>
      <c r="V834" s="708"/>
      <c r="W834" s="708"/>
      <c r="X834" s="708"/>
      <c r="Y834" s="708"/>
      <c r="Z834" s="708"/>
      <c r="AA834" s="708"/>
      <c r="AB834" s="708"/>
      <c r="AC834" s="708"/>
      <c r="AD834" s="708"/>
      <c r="AE834" s="708"/>
    </row>
    <row r="835">
      <c r="A835" s="708"/>
      <c r="B835" s="708"/>
      <c r="C835" s="708"/>
      <c r="D835" s="708"/>
      <c r="E835" s="708"/>
      <c r="F835" s="708"/>
      <c r="G835" s="708"/>
      <c r="H835" s="708"/>
      <c r="I835" s="708"/>
      <c r="J835" s="708"/>
      <c r="K835" s="708"/>
      <c r="L835" s="708"/>
      <c r="M835" s="708"/>
      <c r="N835" s="708"/>
      <c r="O835" s="708"/>
      <c r="P835" s="708"/>
      <c r="Q835" s="708"/>
      <c r="R835" s="708"/>
      <c r="S835" s="708"/>
      <c r="T835" s="708"/>
      <c r="U835" s="708"/>
      <c r="V835" s="708"/>
      <c r="W835" s="708"/>
      <c r="X835" s="708"/>
      <c r="Y835" s="708"/>
      <c r="Z835" s="708"/>
      <c r="AA835" s="708"/>
      <c r="AB835" s="708"/>
      <c r="AC835" s="708"/>
      <c r="AD835" s="708"/>
      <c r="AE835" s="708"/>
    </row>
    <row r="836">
      <c r="A836" s="708"/>
      <c r="B836" s="708"/>
      <c r="C836" s="708"/>
      <c r="D836" s="708"/>
      <c r="E836" s="708"/>
      <c r="F836" s="708"/>
      <c r="G836" s="708"/>
      <c r="H836" s="708"/>
      <c r="I836" s="708"/>
      <c r="J836" s="708"/>
      <c r="K836" s="708"/>
      <c r="L836" s="708"/>
      <c r="M836" s="708"/>
      <c r="N836" s="708"/>
      <c r="O836" s="708"/>
      <c r="P836" s="708"/>
      <c r="Q836" s="708"/>
      <c r="R836" s="708"/>
      <c r="S836" s="708"/>
      <c r="T836" s="708"/>
      <c r="U836" s="708"/>
      <c r="V836" s="708"/>
      <c r="W836" s="708"/>
      <c r="X836" s="708"/>
      <c r="Y836" s="708"/>
      <c r="Z836" s="708"/>
      <c r="AA836" s="708"/>
      <c r="AB836" s="708"/>
      <c r="AC836" s="708"/>
      <c r="AD836" s="708"/>
      <c r="AE836" s="708"/>
    </row>
    <row r="837">
      <c r="A837" s="708"/>
      <c r="B837" s="708"/>
      <c r="C837" s="708"/>
      <c r="D837" s="708"/>
      <c r="E837" s="708"/>
      <c r="F837" s="708"/>
      <c r="G837" s="708"/>
      <c r="H837" s="708"/>
      <c r="I837" s="708"/>
      <c r="J837" s="708"/>
      <c r="K837" s="708"/>
      <c r="L837" s="708"/>
      <c r="M837" s="708"/>
      <c r="N837" s="708"/>
      <c r="O837" s="708"/>
      <c r="P837" s="708"/>
      <c r="Q837" s="708"/>
      <c r="R837" s="708"/>
      <c r="S837" s="708"/>
      <c r="T837" s="708"/>
      <c r="U837" s="708"/>
      <c r="V837" s="708"/>
      <c r="W837" s="708"/>
      <c r="X837" s="708"/>
      <c r="Y837" s="708"/>
      <c r="Z837" s="708"/>
      <c r="AA837" s="708"/>
      <c r="AB837" s="708"/>
      <c r="AC837" s="708"/>
      <c r="AD837" s="708"/>
      <c r="AE837" s="708"/>
    </row>
    <row r="838">
      <c r="A838" s="708"/>
      <c r="B838" s="708"/>
      <c r="C838" s="708"/>
      <c r="D838" s="708"/>
      <c r="E838" s="708"/>
      <c r="F838" s="708"/>
      <c r="G838" s="708"/>
      <c r="H838" s="708"/>
      <c r="I838" s="708"/>
      <c r="J838" s="708"/>
      <c r="K838" s="708"/>
      <c r="L838" s="708"/>
      <c r="M838" s="708"/>
      <c r="N838" s="708"/>
      <c r="O838" s="708"/>
      <c r="P838" s="708"/>
      <c r="Q838" s="708"/>
      <c r="R838" s="708"/>
      <c r="S838" s="708"/>
      <c r="T838" s="708"/>
      <c r="U838" s="708"/>
      <c r="V838" s="708"/>
      <c r="W838" s="708"/>
      <c r="X838" s="708"/>
      <c r="Y838" s="708"/>
      <c r="Z838" s="708"/>
      <c r="AA838" s="708"/>
      <c r="AB838" s="708"/>
      <c r="AC838" s="708"/>
      <c r="AD838" s="708"/>
      <c r="AE838" s="708"/>
    </row>
    <row r="839">
      <c r="A839" s="708"/>
      <c r="B839" s="708"/>
      <c r="C839" s="708"/>
      <c r="D839" s="708"/>
      <c r="E839" s="708"/>
      <c r="F839" s="708"/>
      <c r="G839" s="708"/>
      <c r="H839" s="708"/>
      <c r="I839" s="708"/>
      <c r="J839" s="708"/>
      <c r="K839" s="708"/>
      <c r="L839" s="708"/>
      <c r="M839" s="708"/>
      <c r="N839" s="708"/>
      <c r="O839" s="708"/>
      <c r="P839" s="708"/>
      <c r="Q839" s="708"/>
      <c r="R839" s="708"/>
      <c r="S839" s="708"/>
      <c r="T839" s="708"/>
      <c r="U839" s="708"/>
      <c r="V839" s="708"/>
      <c r="W839" s="708"/>
      <c r="X839" s="708"/>
      <c r="Y839" s="708"/>
      <c r="Z839" s="708"/>
      <c r="AA839" s="708"/>
      <c r="AB839" s="708"/>
      <c r="AC839" s="708"/>
      <c r="AD839" s="708"/>
      <c r="AE839" s="708"/>
    </row>
    <row r="840">
      <c r="A840" s="708"/>
      <c r="B840" s="708"/>
      <c r="C840" s="708"/>
      <c r="D840" s="708"/>
      <c r="E840" s="708"/>
      <c r="F840" s="708"/>
      <c r="G840" s="708"/>
      <c r="H840" s="708"/>
      <c r="I840" s="708"/>
      <c r="J840" s="708"/>
      <c r="K840" s="708"/>
      <c r="L840" s="708"/>
      <c r="M840" s="708"/>
      <c r="N840" s="708"/>
      <c r="O840" s="708"/>
      <c r="P840" s="708"/>
      <c r="Q840" s="708"/>
      <c r="R840" s="708"/>
      <c r="S840" s="708"/>
      <c r="T840" s="708"/>
      <c r="U840" s="708"/>
      <c r="V840" s="708"/>
      <c r="W840" s="708"/>
      <c r="X840" s="708"/>
      <c r="Y840" s="708"/>
      <c r="Z840" s="708"/>
      <c r="AA840" s="708"/>
      <c r="AB840" s="708"/>
      <c r="AC840" s="708"/>
      <c r="AD840" s="708"/>
      <c r="AE840" s="708"/>
    </row>
    <row r="841">
      <c r="A841" s="708"/>
      <c r="B841" s="708"/>
      <c r="C841" s="708"/>
      <c r="D841" s="708"/>
      <c r="E841" s="708"/>
      <c r="F841" s="708"/>
      <c r="G841" s="708"/>
      <c r="H841" s="708"/>
      <c r="I841" s="708"/>
      <c r="J841" s="708"/>
      <c r="K841" s="708"/>
      <c r="L841" s="708"/>
      <c r="M841" s="708"/>
      <c r="N841" s="708"/>
      <c r="O841" s="708"/>
      <c r="P841" s="708"/>
      <c r="Q841" s="708"/>
      <c r="R841" s="708"/>
      <c r="S841" s="708"/>
      <c r="T841" s="708"/>
      <c r="U841" s="708"/>
      <c r="V841" s="708"/>
      <c r="W841" s="708"/>
      <c r="X841" s="708"/>
      <c r="Y841" s="708"/>
      <c r="Z841" s="708"/>
      <c r="AA841" s="708"/>
      <c r="AB841" s="708"/>
      <c r="AC841" s="708"/>
      <c r="AD841" s="708"/>
      <c r="AE841" s="708"/>
    </row>
    <row r="842">
      <c r="A842" s="708"/>
      <c r="B842" s="708"/>
      <c r="C842" s="708"/>
      <c r="D842" s="708"/>
      <c r="E842" s="708"/>
      <c r="F842" s="708"/>
      <c r="G842" s="708"/>
      <c r="H842" s="708"/>
      <c r="I842" s="708"/>
      <c r="J842" s="708"/>
      <c r="K842" s="708"/>
      <c r="L842" s="708"/>
      <c r="M842" s="708"/>
      <c r="N842" s="708"/>
      <c r="O842" s="708"/>
      <c r="P842" s="708"/>
      <c r="Q842" s="708"/>
      <c r="R842" s="708"/>
      <c r="S842" s="708"/>
      <c r="T842" s="708"/>
      <c r="U842" s="708"/>
      <c r="V842" s="708"/>
      <c r="W842" s="708"/>
      <c r="X842" s="708"/>
      <c r="Y842" s="708"/>
      <c r="Z842" s="708"/>
      <c r="AA842" s="708"/>
      <c r="AB842" s="708"/>
      <c r="AC842" s="708"/>
      <c r="AD842" s="708"/>
      <c r="AE842" s="708"/>
    </row>
    <row r="843">
      <c r="A843" s="708"/>
      <c r="B843" s="708"/>
      <c r="C843" s="708"/>
      <c r="D843" s="708"/>
      <c r="E843" s="708"/>
      <c r="F843" s="708"/>
      <c r="G843" s="708"/>
      <c r="H843" s="708"/>
      <c r="I843" s="708"/>
      <c r="J843" s="708"/>
      <c r="K843" s="708"/>
      <c r="L843" s="708"/>
      <c r="M843" s="708"/>
      <c r="N843" s="708"/>
      <c r="O843" s="708"/>
      <c r="P843" s="708"/>
      <c r="Q843" s="708"/>
      <c r="R843" s="708"/>
      <c r="S843" s="708"/>
      <c r="T843" s="708"/>
      <c r="U843" s="708"/>
      <c r="V843" s="708"/>
      <c r="W843" s="708"/>
      <c r="X843" s="708"/>
      <c r="Y843" s="708"/>
      <c r="Z843" s="708"/>
      <c r="AA843" s="708"/>
      <c r="AB843" s="708"/>
      <c r="AC843" s="708"/>
      <c r="AD843" s="708"/>
      <c r="AE843" s="708"/>
    </row>
    <row r="844">
      <c r="A844" s="708"/>
      <c r="B844" s="708"/>
      <c r="C844" s="708"/>
      <c r="D844" s="708"/>
      <c r="E844" s="708"/>
      <c r="F844" s="708"/>
      <c r="G844" s="708"/>
      <c r="H844" s="708"/>
      <c r="I844" s="708"/>
      <c r="J844" s="708"/>
      <c r="K844" s="708"/>
      <c r="L844" s="708"/>
      <c r="M844" s="708"/>
      <c r="N844" s="708"/>
      <c r="O844" s="708"/>
      <c r="P844" s="708"/>
      <c r="Q844" s="708"/>
      <c r="R844" s="708"/>
      <c r="S844" s="708"/>
      <c r="T844" s="708"/>
      <c r="U844" s="708"/>
      <c r="V844" s="708"/>
      <c r="W844" s="708"/>
      <c r="X844" s="708"/>
      <c r="Y844" s="708"/>
      <c r="Z844" s="708"/>
      <c r="AA844" s="708"/>
      <c r="AB844" s="708"/>
      <c r="AC844" s="708"/>
      <c r="AD844" s="708"/>
      <c r="AE844" s="708"/>
    </row>
    <row r="845">
      <c r="A845" s="708"/>
      <c r="B845" s="708"/>
      <c r="C845" s="708"/>
      <c r="D845" s="708"/>
      <c r="E845" s="708"/>
      <c r="F845" s="708"/>
      <c r="G845" s="708"/>
      <c r="H845" s="708"/>
      <c r="I845" s="708"/>
      <c r="J845" s="708"/>
      <c r="K845" s="708"/>
      <c r="L845" s="708"/>
      <c r="M845" s="708"/>
      <c r="N845" s="708"/>
      <c r="O845" s="708"/>
      <c r="P845" s="708"/>
      <c r="Q845" s="708"/>
      <c r="R845" s="708"/>
      <c r="S845" s="708"/>
      <c r="T845" s="708"/>
      <c r="U845" s="708"/>
      <c r="V845" s="708"/>
      <c r="W845" s="708"/>
      <c r="X845" s="708"/>
      <c r="Y845" s="708"/>
      <c r="Z845" s="708"/>
      <c r="AA845" s="708"/>
      <c r="AB845" s="708"/>
      <c r="AC845" s="708"/>
      <c r="AD845" s="708"/>
      <c r="AE845" s="708"/>
    </row>
    <row r="846">
      <c r="A846" s="708"/>
      <c r="B846" s="708"/>
      <c r="C846" s="708"/>
      <c r="D846" s="708"/>
      <c r="E846" s="708"/>
      <c r="F846" s="708"/>
      <c r="G846" s="708"/>
      <c r="H846" s="708"/>
      <c r="I846" s="708"/>
      <c r="J846" s="708"/>
      <c r="K846" s="708"/>
      <c r="L846" s="708"/>
      <c r="M846" s="708"/>
      <c r="N846" s="708"/>
      <c r="O846" s="708"/>
      <c r="P846" s="708"/>
      <c r="Q846" s="708"/>
      <c r="R846" s="708"/>
      <c r="S846" s="708"/>
      <c r="T846" s="708"/>
      <c r="U846" s="708"/>
      <c r="V846" s="708"/>
      <c r="W846" s="708"/>
      <c r="X846" s="708"/>
      <c r="Y846" s="708"/>
      <c r="Z846" s="708"/>
      <c r="AA846" s="708"/>
      <c r="AB846" s="708"/>
      <c r="AC846" s="708"/>
      <c r="AD846" s="708"/>
      <c r="AE846" s="708"/>
    </row>
    <row r="847">
      <c r="A847" s="708"/>
      <c r="B847" s="708"/>
      <c r="C847" s="708"/>
      <c r="D847" s="708"/>
      <c r="E847" s="708"/>
      <c r="F847" s="708"/>
      <c r="G847" s="708"/>
      <c r="H847" s="708"/>
      <c r="I847" s="708"/>
      <c r="J847" s="708"/>
      <c r="K847" s="708"/>
      <c r="L847" s="708"/>
      <c r="M847" s="708"/>
      <c r="N847" s="708"/>
      <c r="O847" s="708"/>
      <c r="P847" s="708"/>
      <c r="Q847" s="708"/>
      <c r="R847" s="708"/>
      <c r="S847" s="708"/>
      <c r="T847" s="708"/>
      <c r="U847" s="708"/>
      <c r="V847" s="708"/>
      <c r="W847" s="708"/>
      <c r="X847" s="708"/>
      <c r="Y847" s="708"/>
      <c r="Z847" s="708"/>
      <c r="AA847" s="708"/>
      <c r="AB847" s="708"/>
      <c r="AC847" s="708"/>
      <c r="AD847" s="708"/>
      <c r="AE847" s="708"/>
    </row>
    <row r="848">
      <c r="A848" s="708"/>
      <c r="B848" s="708"/>
      <c r="C848" s="708"/>
      <c r="D848" s="708"/>
      <c r="E848" s="708"/>
      <c r="F848" s="708"/>
      <c r="G848" s="708"/>
      <c r="H848" s="708"/>
      <c r="I848" s="708"/>
      <c r="J848" s="708"/>
      <c r="K848" s="708"/>
      <c r="L848" s="708"/>
      <c r="M848" s="708"/>
      <c r="N848" s="708"/>
      <c r="O848" s="708"/>
      <c r="P848" s="708"/>
      <c r="Q848" s="708"/>
      <c r="R848" s="708"/>
      <c r="S848" s="708"/>
      <c r="T848" s="708"/>
      <c r="U848" s="708"/>
      <c r="V848" s="708"/>
      <c r="W848" s="708"/>
      <c r="X848" s="708"/>
      <c r="Y848" s="708"/>
      <c r="Z848" s="708"/>
      <c r="AA848" s="708"/>
      <c r="AB848" s="708"/>
      <c r="AC848" s="708"/>
      <c r="AD848" s="708"/>
      <c r="AE848" s="708"/>
    </row>
    <row r="849">
      <c r="A849" s="708"/>
      <c r="B849" s="708"/>
      <c r="C849" s="708"/>
      <c r="D849" s="708"/>
      <c r="E849" s="708"/>
      <c r="F849" s="708"/>
      <c r="G849" s="708"/>
      <c r="H849" s="708"/>
      <c r="I849" s="708"/>
      <c r="J849" s="708"/>
      <c r="K849" s="708"/>
      <c r="L849" s="708"/>
      <c r="M849" s="708"/>
      <c r="N849" s="708"/>
      <c r="O849" s="708"/>
      <c r="P849" s="708"/>
      <c r="Q849" s="708"/>
      <c r="R849" s="708"/>
      <c r="S849" s="708"/>
      <c r="T849" s="708"/>
      <c r="U849" s="708"/>
      <c r="V849" s="708"/>
      <c r="W849" s="708"/>
      <c r="X849" s="708"/>
      <c r="Y849" s="708"/>
      <c r="Z849" s="708"/>
      <c r="AA849" s="708"/>
      <c r="AB849" s="708"/>
      <c r="AC849" s="708"/>
      <c r="AD849" s="708"/>
      <c r="AE849" s="708"/>
    </row>
    <row r="850">
      <c r="A850" s="708"/>
      <c r="B850" s="708"/>
      <c r="C850" s="708"/>
      <c r="D850" s="708"/>
      <c r="E850" s="708"/>
      <c r="F850" s="708"/>
      <c r="G850" s="708"/>
      <c r="H850" s="708"/>
      <c r="I850" s="708"/>
      <c r="J850" s="708"/>
      <c r="K850" s="708"/>
      <c r="L850" s="708"/>
      <c r="M850" s="708"/>
      <c r="N850" s="708"/>
      <c r="O850" s="708"/>
      <c r="P850" s="708"/>
      <c r="Q850" s="708"/>
      <c r="R850" s="708"/>
      <c r="S850" s="708"/>
      <c r="T850" s="708"/>
      <c r="U850" s="708"/>
      <c r="V850" s="708"/>
      <c r="W850" s="708"/>
      <c r="X850" s="708"/>
      <c r="Y850" s="708"/>
      <c r="Z850" s="708"/>
      <c r="AA850" s="708"/>
      <c r="AB850" s="708"/>
      <c r="AC850" s="708"/>
      <c r="AD850" s="708"/>
      <c r="AE850" s="708"/>
    </row>
    <row r="851">
      <c r="A851" s="708"/>
      <c r="B851" s="708"/>
      <c r="C851" s="708"/>
      <c r="D851" s="708"/>
      <c r="E851" s="708"/>
      <c r="F851" s="708"/>
      <c r="G851" s="708"/>
      <c r="H851" s="708"/>
      <c r="I851" s="708"/>
      <c r="J851" s="708"/>
      <c r="K851" s="708"/>
      <c r="L851" s="708"/>
      <c r="M851" s="708"/>
      <c r="N851" s="708"/>
      <c r="O851" s="708"/>
      <c r="P851" s="708"/>
      <c r="Q851" s="708"/>
      <c r="R851" s="708"/>
      <c r="S851" s="708"/>
      <c r="T851" s="708"/>
      <c r="U851" s="708"/>
      <c r="V851" s="708"/>
      <c r="W851" s="708"/>
      <c r="X851" s="708"/>
      <c r="Y851" s="708"/>
      <c r="Z851" s="708"/>
      <c r="AA851" s="708"/>
      <c r="AB851" s="708"/>
      <c r="AC851" s="708"/>
      <c r="AD851" s="708"/>
      <c r="AE851" s="708"/>
    </row>
    <row r="852">
      <c r="A852" s="708"/>
      <c r="B852" s="708"/>
      <c r="C852" s="708"/>
      <c r="D852" s="708"/>
      <c r="E852" s="708"/>
      <c r="F852" s="708"/>
      <c r="G852" s="708"/>
      <c r="H852" s="708"/>
      <c r="I852" s="708"/>
      <c r="J852" s="708"/>
      <c r="K852" s="708"/>
      <c r="L852" s="708"/>
      <c r="M852" s="708"/>
      <c r="N852" s="708"/>
      <c r="O852" s="708"/>
      <c r="P852" s="708"/>
      <c r="Q852" s="708"/>
      <c r="R852" s="708"/>
      <c r="S852" s="708"/>
      <c r="T852" s="708"/>
      <c r="U852" s="708"/>
      <c r="V852" s="708"/>
      <c r="W852" s="708"/>
      <c r="X852" s="708"/>
      <c r="Y852" s="708"/>
      <c r="Z852" s="708"/>
      <c r="AA852" s="708"/>
      <c r="AB852" s="708"/>
      <c r="AC852" s="708"/>
      <c r="AD852" s="708"/>
      <c r="AE852" s="708"/>
    </row>
    <row r="853">
      <c r="A853" s="708"/>
      <c r="B853" s="708"/>
      <c r="C853" s="708"/>
      <c r="D853" s="708"/>
      <c r="E853" s="708"/>
      <c r="F853" s="708"/>
      <c r="G853" s="708"/>
      <c r="H853" s="708"/>
      <c r="I853" s="708"/>
      <c r="J853" s="708"/>
      <c r="K853" s="708"/>
      <c r="L853" s="708"/>
      <c r="M853" s="708"/>
      <c r="N853" s="708"/>
      <c r="O853" s="708"/>
      <c r="P853" s="708"/>
      <c r="Q853" s="708"/>
      <c r="R853" s="708"/>
      <c r="S853" s="708"/>
      <c r="T853" s="708"/>
      <c r="U853" s="708"/>
      <c r="V853" s="708"/>
      <c r="W853" s="708"/>
      <c r="X853" s="708"/>
      <c r="Y853" s="708"/>
      <c r="Z853" s="708"/>
      <c r="AA853" s="708"/>
      <c r="AB853" s="708"/>
      <c r="AC853" s="708"/>
      <c r="AD853" s="708"/>
      <c r="AE853" s="708"/>
    </row>
    <row r="854">
      <c r="A854" s="708"/>
      <c r="B854" s="708"/>
      <c r="C854" s="708"/>
      <c r="D854" s="708"/>
      <c r="E854" s="708"/>
      <c r="F854" s="708"/>
      <c r="G854" s="708"/>
      <c r="H854" s="708"/>
      <c r="I854" s="708"/>
      <c r="J854" s="708"/>
      <c r="K854" s="708"/>
      <c r="L854" s="708"/>
      <c r="M854" s="708"/>
      <c r="N854" s="708"/>
      <c r="O854" s="708"/>
      <c r="P854" s="708"/>
      <c r="Q854" s="708"/>
      <c r="R854" s="708"/>
      <c r="S854" s="708"/>
      <c r="T854" s="708"/>
      <c r="U854" s="708"/>
      <c r="V854" s="708"/>
      <c r="W854" s="708"/>
      <c r="X854" s="708"/>
      <c r="Y854" s="708"/>
      <c r="Z854" s="708"/>
      <c r="AA854" s="708"/>
      <c r="AB854" s="708"/>
      <c r="AC854" s="708"/>
      <c r="AD854" s="708"/>
      <c r="AE854" s="708"/>
    </row>
    <row r="855">
      <c r="A855" s="708"/>
      <c r="B855" s="708"/>
      <c r="C855" s="708"/>
      <c r="D855" s="708"/>
      <c r="E855" s="708"/>
      <c r="F855" s="708"/>
      <c r="G855" s="708"/>
      <c r="H855" s="708"/>
      <c r="I855" s="708"/>
      <c r="J855" s="708"/>
      <c r="K855" s="708"/>
      <c r="L855" s="708"/>
      <c r="M855" s="708"/>
      <c r="N855" s="708"/>
      <c r="O855" s="708"/>
      <c r="P855" s="708"/>
      <c r="Q855" s="708"/>
      <c r="R855" s="708"/>
      <c r="S855" s="708"/>
      <c r="T855" s="708"/>
      <c r="U855" s="708"/>
      <c r="V855" s="708"/>
      <c r="W855" s="708"/>
      <c r="X855" s="708"/>
      <c r="Y855" s="708"/>
      <c r="Z855" s="708"/>
      <c r="AA855" s="708"/>
      <c r="AB855" s="708"/>
      <c r="AC855" s="708"/>
      <c r="AD855" s="708"/>
      <c r="AE855" s="708"/>
    </row>
    <row r="856">
      <c r="A856" s="708"/>
      <c r="B856" s="708"/>
      <c r="C856" s="708"/>
      <c r="D856" s="708"/>
      <c r="E856" s="708"/>
      <c r="F856" s="708"/>
      <c r="G856" s="708"/>
      <c r="H856" s="708"/>
      <c r="I856" s="708"/>
      <c r="J856" s="708"/>
      <c r="K856" s="708"/>
      <c r="L856" s="708"/>
      <c r="M856" s="708"/>
      <c r="N856" s="708"/>
      <c r="O856" s="708"/>
      <c r="P856" s="708"/>
      <c r="Q856" s="708"/>
      <c r="R856" s="708"/>
      <c r="S856" s="708"/>
      <c r="T856" s="708"/>
      <c r="U856" s="708"/>
      <c r="V856" s="708"/>
      <c r="W856" s="708"/>
      <c r="X856" s="708"/>
      <c r="Y856" s="708"/>
      <c r="Z856" s="708"/>
      <c r="AA856" s="708"/>
      <c r="AB856" s="708"/>
      <c r="AC856" s="708"/>
      <c r="AD856" s="708"/>
      <c r="AE856" s="708"/>
    </row>
    <row r="857">
      <c r="A857" s="708"/>
      <c r="B857" s="708"/>
      <c r="C857" s="708"/>
      <c r="D857" s="708"/>
      <c r="E857" s="708"/>
      <c r="F857" s="708"/>
      <c r="G857" s="708"/>
      <c r="H857" s="708"/>
      <c r="I857" s="708"/>
      <c r="J857" s="708"/>
      <c r="K857" s="708"/>
      <c r="L857" s="708"/>
      <c r="M857" s="708"/>
      <c r="N857" s="708"/>
      <c r="O857" s="708"/>
      <c r="P857" s="708"/>
      <c r="Q857" s="708"/>
      <c r="R857" s="708"/>
      <c r="S857" s="708"/>
      <c r="T857" s="708"/>
      <c r="U857" s="708"/>
      <c r="V857" s="708"/>
      <c r="W857" s="708"/>
      <c r="X857" s="708"/>
      <c r="Y857" s="708"/>
      <c r="Z857" s="708"/>
      <c r="AA857" s="708"/>
      <c r="AB857" s="708"/>
      <c r="AC857" s="708"/>
      <c r="AD857" s="708"/>
      <c r="AE857" s="708"/>
    </row>
    <row r="858">
      <c r="A858" s="708"/>
      <c r="B858" s="708"/>
      <c r="C858" s="708"/>
      <c r="D858" s="708"/>
      <c r="E858" s="708"/>
      <c r="F858" s="708"/>
      <c r="G858" s="708"/>
      <c r="H858" s="708"/>
      <c r="I858" s="708"/>
      <c r="J858" s="708"/>
      <c r="K858" s="708"/>
      <c r="L858" s="708"/>
      <c r="M858" s="708"/>
      <c r="N858" s="708"/>
      <c r="O858" s="708"/>
      <c r="P858" s="708"/>
      <c r="Q858" s="708"/>
      <c r="R858" s="708"/>
      <c r="S858" s="708"/>
      <c r="T858" s="708"/>
      <c r="U858" s="708"/>
      <c r="V858" s="708"/>
      <c r="W858" s="708"/>
      <c r="X858" s="708"/>
      <c r="Y858" s="708"/>
      <c r="Z858" s="708"/>
      <c r="AA858" s="708"/>
      <c r="AB858" s="708"/>
      <c r="AC858" s="708"/>
      <c r="AD858" s="708"/>
      <c r="AE858" s="708"/>
    </row>
    <row r="859">
      <c r="A859" s="708"/>
      <c r="B859" s="708"/>
      <c r="C859" s="708"/>
      <c r="D859" s="708"/>
      <c r="E859" s="708"/>
      <c r="F859" s="708"/>
      <c r="G859" s="708"/>
      <c r="H859" s="708"/>
      <c r="I859" s="708"/>
      <c r="J859" s="708"/>
      <c r="K859" s="708"/>
      <c r="L859" s="708"/>
      <c r="M859" s="708"/>
      <c r="N859" s="708"/>
      <c r="O859" s="708"/>
      <c r="P859" s="708"/>
      <c r="Q859" s="708"/>
      <c r="R859" s="708"/>
      <c r="S859" s="708"/>
      <c r="T859" s="708"/>
      <c r="U859" s="708"/>
      <c r="V859" s="708"/>
      <c r="W859" s="708"/>
      <c r="X859" s="708"/>
      <c r="Y859" s="708"/>
      <c r="Z859" s="708"/>
      <c r="AA859" s="708"/>
      <c r="AB859" s="708"/>
      <c r="AC859" s="708"/>
      <c r="AD859" s="708"/>
      <c r="AE859" s="708"/>
    </row>
    <row r="860">
      <c r="A860" s="708"/>
      <c r="B860" s="708"/>
      <c r="C860" s="708"/>
      <c r="D860" s="708"/>
      <c r="E860" s="708"/>
      <c r="F860" s="708"/>
      <c r="G860" s="708"/>
      <c r="H860" s="708"/>
      <c r="I860" s="708"/>
      <c r="J860" s="708"/>
      <c r="K860" s="708"/>
      <c r="L860" s="708"/>
      <c r="M860" s="708"/>
      <c r="N860" s="708"/>
      <c r="O860" s="708"/>
      <c r="P860" s="708"/>
      <c r="Q860" s="708"/>
      <c r="R860" s="708"/>
      <c r="S860" s="708"/>
      <c r="T860" s="708"/>
      <c r="U860" s="708"/>
      <c r="V860" s="708"/>
      <c r="W860" s="708"/>
      <c r="X860" s="708"/>
      <c r="Y860" s="708"/>
      <c r="Z860" s="708"/>
      <c r="AA860" s="708"/>
      <c r="AB860" s="708"/>
      <c r="AC860" s="708"/>
      <c r="AD860" s="708"/>
      <c r="AE860" s="708"/>
    </row>
    <row r="861">
      <c r="A861" s="708"/>
      <c r="B861" s="708"/>
      <c r="C861" s="708"/>
      <c r="D861" s="708"/>
      <c r="E861" s="708"/>
      <c r="F861" s="708"/>
      <c r="G861" s="708"/>
      <c r="H861" s="708"/>
      <c r="I861" s="708"/>
      <c r="J861" s="708"/>
      <c r="K861" s="708"/>
      <c r="L861" s="708"/>
      <c r="M861" s="708"/>
      <c r="N861" s="708"/>
      <c r="O861" s="708"/>
      <c r="P861" s="708"/>
      <c r="Q861" s="708"/>
      <c r="R861" s="708"/>
      <c r="S861" s="708"/>
      <c r="T861" s="708"/>
      <c r="U861" s="708"/>
      <c r="V861" s="708"/>
      <c r="W861" s="708"/>
      <c r="X861" s="708"/>
      <c r="Y861" s="708"/>
      <c r="Z861" s="708"/>
      <c r="AA861" s="708"/>
      <c r="AB861" s="708"/>
      <c r="AC861" s="708"/>
      <c r="AD861" s="708"/>
      <c r="AE861" s="708"/>
    </row>
    <row r="862">
      <c r="A862" s="708"/>
      <c r="B862" s="708"/>
      <c r="C862" s="708"/>
      <c r="D862" s="708"/>
      <c r="E862" s="708"/>
      <c r="F862" s="708"/>
      <c r="G862" s="708"/>
      <c r="H862" s="708"/>
      <c r="I862" s="708"/>
      <c r="J862" s="708"/>
      <c r="K862" s="708"/>
      <c r="L862" s="708"/>
      <c r="M862" s="708"/>
      <c r="N862" s="708"/>
      <c r="O862" s="708"/>
      <c r="P862" s="708"/>
      <c r="Q862" s="708"/>
      <c r="R862" s="708"/>
      <c r="S862" s="708"/>
      <c r="T862" s="708"/>
      <c r="U862" s="708"/>
      <c r="V862" s="708"/>
      <c r="W862" s="708"/>
      <c r="X862" s="708"/>
      <c r="Y862" s="708"/>
      <c r="Z862" s="708"/>
      <c r="AA862" s="708"/>
      <c r="AB862" s="708"/>
      <c r="AC862" s="708"/>
      <c r="AD862" s="708"/>
      <c r="AE862" s="708"/>
    </row>
    <row r="863">
      <c r="A863" s="708"/>
      <c r="B863" s="708"/>
      <c r="C863" s="708"/>
      <c r="D863" s="708"/>
      <c r="E863" s="708"/>
      <c r="F863" s="708"/>
      <c r="G863" s="708"/>
      <c r="H863" s="708"/>
      <c r="I863" s="708"/>
      <c r="J863" s="708"/>
      <c r="K863" s="708"/>
      <c r="L863" s="708"/>
      <c r="M863" s="708"/>
      <c r="N863" s="708"/>
      <c r="O863" s="708"/>
      <c r="P863" s="708"/>
      <c r="Q863" s="708"/>
      <c r="R863" s="708"/>
      <c r="S863" s="708"/>
      <c r="T863" s="708"/>
      <c r="U863" s="708"/>
      <c r="V863" s="708"/>
      <c r="W863" s="708"/>
      <c r="X863" s="708"/>
      <c r="Y863" s="708"/>
      <c r="Z863" s="708"/>
      <c r="AA863" s="708"/>
      <c r="AB863" s="708"/>
      <c r="AC863" s="708"/>
      <c r="AD863" s="708"/>
      <c r="AE863" s="708"/>
    </row>
    <row r="864">
      <c r="A864" s="708"/>
      <c r="B864" s="708"/>
      <c r="C864" s="708"/>
      <c r="D864" s="708"/>
      <c r="E864" s="708"/>
      <c r="F864" s="708"/>
      <c r="G864" s="708"/>
      <c r="H864" s="708"/>
      <c r="I864" s="708"/>
      <c r="J864" s="708"/>
      <c r="K864" s="708"/>
      <c r="L864" s="708"/>
      <c r="M864" s="708"/>
      <c r="N864" s="708"/>
      <c r="O864" s="708"/>
      <c r="P864" s="708"/>
      <c r="Q864" s="708"/>
      <c r="R864" s="708"/>
      <c r="S864" s="708"/>
      <c r="T864" s="708"/>
      <c r="U864" s="708"/>
      <c r="V864" s="708"/>
      <c r="W864" s="708"/>
      <c r="X864" s="708"/>
      <c r="Y864" s="708"/>
      <c r="Z864" s="708"/>
      <c r="AA864" s="708"/>
      <c r="AB864" s="708"/>
      <c r="AC864" s="708"/>
      <c r="AD864" s="708"/>
      <c r="AE864" s="708"/>
    </row>
    <row r="865">
      <c r="A865" s="708"/>
      <c r="B865" s="708"/>
      <c r="C865" s="708"/>
      <c r="D865" s="708"/>
      <c r="E865" s="708"/>
      <c r="F865" s="708"/>
      <c r="G865" s="708"/>
      <c r="H865" s="708"/>
      <c r="I865" s="708"/>
      <c r="J865" s="708"/>
      <c r="K865" s="708"/>
      <c r="L865" s="708"/>
      <c r="M865" s="708"/>
      <c r="N865" s="708"/>
      <c r="O865" s="708"/>
      <c r="P865" s="708"/>
      <c r="Q865" s="708"/>
      <c r="R865" s="708"/>
      <c r="S865" s="708"/>
      <c r="T865" s="708"/>
      <c r="U865" s="708"/>
      <c r="V865" s="708"/>
      <c r="W865" s="708"/>
      <c r="X865" s="708"/>
      <c r="Y865" s="708"/>
      <c r="Z865" s="708"/>
      <c r="AA865" s="708"/>
      <c r="AB865" s="708"/>
      <c r="AC865" s="708"/>
      <c r="AD865" s="708"/>
      <c r="AE865" s="708"/>
    </row>
    <row r="866">
      <c r="A866" s="708"/>
      <c r="B866" s="708"/>
      <c r="C866" s="708"/>
      <c r="D866" s="708"/>
      <c r="E866" s="708"/>
      <c r="F866" s="708"/>
      <c r="G866" s="708"/>
      <c r="H866" s="708"/>
      <c r="I866" s="708"/>
      <c r="J866" s="708"/>
      <c r="K866" s="708"/>
      <c r="L866" s="708"/>
      <c r="M866" s="708"/>
      <c r="N866" s="708"/>
      <c r="O866" s="708"/>
      <c r="P866" s="708"/>
      <c r="Q866" s="708"/>
      <c r="R866" s="708"/>
      <c r="S866" s="708"/>
      <c r="T866" s="708"/>
      <c r="U866" s="708"/>
      <c r="V866" s="708"/>
      <c r="W866" s="708"/>
      <c r="X866" s="708"/>
      <c r="Y866" s="708"/>
      <c r="Z866" s="708"/>
      <c r="AA866" s="708"/>
      <c r="AB866" s="708"/>
      <c r="AC866" s="708"/>
      <c r="AD866" s="708"/>
      <c r="AE866" s="708"/>
    </row>
    <row r="867">
      <c r="A867" s="708"/>
      <c r="B867" s="708"/>
      <c r="C867" s="708"/>
      <c r="D867" s="708"/>
      <c r="E867" s="708"/>
      <c r="F867" s="708"/>
      <c r="G867" s="708"/>
      <c r="H867" s="708"/>
      <c r="I867" s="708"/>
      <c r="J867" s="708"/>
      <c r="K867" s="708"/>
      <c r="L867" s="708"/>
      <c r="M867" s="708"/>
      <c r="N867" s="708"/>
      <c r="O867" s="708"/>
      <c r="P867" s="708"/>
      <c r="Q867" s="708"/>
      <c r="R867" s="708"/>
      <c r="S867" s="708"/>
      <c r="T867" s="708"/>
      <c r="U867" s="708"/>
      <c r="V867" s="708"/>
      <c r="W867" s="708"/>
      <c r="X867" s="708"/>
      <c r="Y867" s="708"/>
      <c r="Z867" s="708"/>
      <c r="AA867" s="708"/>
      <c r="AB867" s="708"/>
      <c r="AC867" s="708"/>
      <c r="AD867" s="708"/>
      <c r="AE867" s="708"/>
    </row>
    <row r="868">
      <c r="A868" s="708"/>
      <c r="B868" s="708"/>
      <c r="C868" s="708"/>
      <c r="D868" s="708"/>
      <c r="E868" s="708"/>
      <c r="F868" s="708"/>
      <c r="G868" s="708"/>
      <c r="H868" s="708"/>
      <c r="I868" s="708"/>
      <c r="J868" s="708"/>
      <c r="K868" s="708"/>
      <c r="L868" s="708"/>
      <c r="M868" s="708"/>
      <c r="N868" s="708"/>
      <c r="O868" s="708"/>
      <c r="P868" s="708"/>
      <c r="Q868" s="708"/>
      <c r="R868" s="708"/>
      <c r="S868" s="708"/>
      <c r="T868" s="708"/>
      <c r="U868" s="708"/>
      <c r="V868" s="708"/>
      <c r="W868" s="708"/>
      <c r="X868" s="708"/>
      <c r="Y868" s="708"/>
      <c r="Z868" s="708"/>
      <c r="AA868" s="708"/>
      <c r="AB868" s="708"/>
      <c r="AC868" s="708"/>
      <c r="AD868" s="708"/>
      <c r="AE868" s="708"/>
    </row>
    <row r="869">
      <c r="A869" s="708"/>
      <c r="B869" s="708"/>
      <c r="C869" s="708"/>
      <c r="D869" s="708"/>
      <c r="E869" s="708"/>
      <c r="F869" s="708"/>
      <c r="G869" s="708"/>
      <c r="H869" s="708"/>
      <c r="I869" s="708"/>
      <c r="J869" s="708"/>
      <c r="K869" s="708"/>
      <c r="L869" s="708"/>
      <c r="M869" s="708"/>
      <c r="N869" s="708"/>
      <c r="O869" s="708"/>
      <c r="P869" s="708"/>
      <c r="Q869" s="708"/>
      <c r="R869" s="708"/>
      <c r="S869" s="708"/>
      <c r="T869" s="708"/>
      <c r="U869" s="708"/>
      <c r="V869" s="708"/>
      <c r="W869" s="708"/>
      <c r="X869" s="708"/>
      <c r="Y869" s="708"/>
      <c r="Z869" s="708"/>
      <c r="AA869" s="708"/>
      <c r="AB869" s="708"/>
      <c r="AC869" s="708"/>
      <c r="AD869" s="708"/>
      <c r="AE869" s="708"/>
    </row>
    <row r="870">
      <c r="A870" s="708"/>
      <c r="B870" s="708"/>
      <c r="C870" s="708"/>
      <c r="D870" s="708"/>
      <c r="E870" s="708"/>
      <c r="F870" s="708"/>
      <c r="G870" s="708"/>
      <c r="H870" s="708"/>
      <c r="I870" s="708"/>
      <c r="J870" s="708"/>
      <c r="K870" s="708"/>
      <c r="L870" s="708"/>
      <c r="M870" s="708"/>
      <c r="N870" s="708"/>
      <c r="O870" s="708"/>
      <c r="P870" s="708"/>
      <c r="Q870" s="708"/>
      <c r="R870" s="708"/>
      <c r="S870" s="708"/>
      <c r="T870" s="708"/>
      <c r="U870" s="708"/>
      <c r="V870" s="708"/>
      <c r="W870" s="708"/>
      <c r="X870" s="708"/>
      <c r="Y870" s="708"/>
      <c r="Z870" s="708"/>
      <c r="AA870" s="708"/>
      <c r="AB870" s="708"/>
      <c r="AC870" s="708"/>
      <c r="AD870" s="708"/>
      <c r="AE870" s="708"/>
    </row>
    <row r="871">
      <c r="A871" s="708"/>
      <c r="B871" s="708"/>
      <c r="C871" s="708"/>
      <c r="D871" s="708"/>
      <c r="E871" s="708"/>
      <c r="F871" s="708"/>
      <c r="G871" s="708"/>
      <c r="H871" s="708"/>
      <c r="I871" s="708"/>
      <c r="J871" s="708"/>
      <c r="K871" s="708"/>
      <c r="L871" s="708"/>
      <c r="M871" s="708"/>
      <c r="N871" s="708"/>
      <c r="O871" s="708"/>
      <c r="P871" s="708"/>
      <c r="Q871" s="708"/>
      <c r="R871" s="708"/>
      <c r="S871" s="708"/>
      <c r="T871" s="708"/>
      <c r="U871" s="708"/>
      <c r="V871" s="708"/>
      <c r="W871" s="708"/>
      <c r="X871" s="708"/>
      <c r="Y871" s="708"/>
      <c r="Z871" s="708"/>
      <c r="AA871" s="708"/>
      <c r="AB871" s="708"/>
      <c r="AC871" s="708"/>
      <c r="AD871" s="708"/>
      <c r="AE871" s="708"/>
    </row>
    <row r="872">
      <c r="A872" s="708"/>
      <c r="B872" s="708"/>
      <c r="C872" s="708"/>
      <c r="D872" s="708"/>
      <c r="E872" s="708"/>
      <c r="F872" s="708"/>
      <c r="G872" s="708"/>
      <c r="H872" s="708"/>
      <c r="I872" s="708"/>
      <c r="J872" s="708"/>
      <c r="K872" s="708"/>
      <c r="L872" s="708"/>
      <c r="M872" s="708"/>
      <c r="N872" s="708"/>
      <c r="O872" s="708"/>
      <c r="P872" s="708"/>
      <c r="Q872" s="708"/>
      <c r="R872" s="708"/>
      <c r="S872" s="708"/>
      <c r="T872" s="708"/>
      <c r="U872" s="708"/>
      <c r="V872" s="708"/>
      <c r="W872" s="708"/>
      <c r="X872" s="708"/>
      <c r="Y872" s="708"/>
      <c r="Z872" s="708"/>
      <c r="AA872" s="708"/>
      <c r="AB872" s="708"/>
      <c r="AC872" s="708"/>
      <c r="AD872" s="708"/>
      <c r="AE872" s="708"/>
    </row>
    <row r="873">
      <c r="A873" s="708"/>
      <c r="B873" s="708"/>
      <c r="C873" s="708"/>
      <c r="D873" s="708"/>
      <c r="E873" s="708"/>
      <c r="F873" s="708"/>
      <c r="G873" s="708"/>
      <c r="H873" s="708"/>
      <c r="I873" s="708"/>
      <c r="J873" s="708"/>
      <c r="K873" s="708"/>
      <c r="L873" s="708"/>
      <c r="M873" s="708"/>
      <c r="N873" s="708"/>
      <c r="O873" s="708"/>
      <c r="P873" s="708"/>
      <c r="Q873" s="708"/>
      <c r="R873" s="708"/>
      <c r="S873" s="708"/>
      <c r="T873" s="708"/>
      <c r="U873" s="708"/>
      <c r="V873" s="708"/>
      <c r="W873" s="708"/>
      <c r="X873" s="708"/>
      <c r="Y873" s="708"/>
      <c r="Z873" s="708"/>
      <c r="AA873" s="708"/>
      <c r="AB873" s="708"/>
      <c r="AC873" s="708"/>
      <c r="AD873" s="708"/>
      <c r="AE873" s="708"/>
    </row>
    <row r="874">
      <c r="A874" s="708"/>
      <c r="B874" s="708"/>
      <c r="C874" s="708"/>
      <c r="D874" s="708"/>
      <c r="E874" s="708"/>
      <c r="F874" s="708"/>
      <c r="G874" s="708"/>
      <c r="H874" s="708"/>
      <c r="I874" s="708"/>
      <c r="J874" s="708"/>
      <c r="K874" s="708"/>
      <c r="L874" s="708"/>
      <c r="M874" s="708"/>
      <c r="N874" s="708"/>
      <c r="O874" s="708"/>
      <c r="P874" s="708"/>
      <c r="Q874" s="708"/>
      <c r="R874" s="708"/>
      <c r="S874" s="708"/>
      <c r="T874" s="708"/>
      <c r="U874" s="708"/>
      <c r="V874" s="708"/>
      <c r="W874" s="708"/>
      <c r="X874" s="708"/>
      <c r="Y874" s="708"/>
      <c r="Z874" s="708"/>
      <c r="AA874" s="708"/>
      <c r="AB874" s="708"/>
      <c r="AC874" s="708"/>
      <c r="AD874" s="708"/>
      <c r="AE874" s="708"/>
    </row>
    <row r="875">
      <c r="A875" s="708"/>
      <c r="B875" s="708"/>
      <c r="C875" s="708"/>
      <c r="D875" s="708"/>
      <c r="E875" s="708"/>
      <c r="F875" s="708"/>
      <c r="G875" s="708"/>
      <c r="H875" s="708"/>
      <c r="I875" s="708"/>
      <c r="J875" s="708"/>
      <c r="K875" s="708"/>
      <c r="L875" s="708"/>
      <c r="M875" s="708"/>
      <c r="N875" s="708"/>
      <c r="O875" s="708"/>
      <c r="P875" s="708"/>
      <c r="Q875" s="708"/>
      <c r="R875" s="708"/>
      <c r="S875" s="708"/>
      <c r="T875" s="708"/>
      <c r="U875" s="708"/>
      <c r="V875" s="708"/>
      <c r="W875" s="708"/>
      <c r="X875" s="708"/>
      <c r="Y875" s="708"/>
      <c r="Z875" s="708"/>
      <c r="AA875" s="708"/>
      <c r="AB875" s="708"/>
      <c r="AC875" s="708"/>
      <c r="AD875" s="708"/>
      <c r="AE875" s="708"/>
    </row>
    <row r="876">
      <c r="A876" s="708"/>
      <c r="B876" s="708"/>
      <c r="C876" s="708"/>
      <c r="D876" s="708"/>
      <c r="E876" s="708"/>
      <c r="F876" s="708"/>
      <c r="G876" s="708"/>
      <c r="H876" s="708"/>
      <c r="I876" s="708"/>
      <c r="J876" s="708"/>
      <c r="K876" s="708"/>
      <c r="L876" s="708"/>
      <c r="M876" s="708"/>
      <c r="N876" s="708"/>
      <c r="O876" s="708"/>
      <c r="P876" s="708"/>
      <c r="Q876" s="708"/>
      <c r="R876" s="708"/>
      <c r="S876" s="708"/>
      <c r="T876" s="708"/>
      <c r="U876" s="708"/>
      <c r="V876" s="708"/>
      <c r="W876" s="708"/>
      <c r="X876" s="708"/>
      <c r="Y876" s="708"/>
      <c r="Z876" s="708"/>
      <c r="AA876" s="708"/>
      <c r="AB876" s="708"/>
      <c r="AC876" s="708"/>
      <c r="AD876" s="708"/>
      <c r="AE876" s="708"/>
    </row>
    <row r="877">
      <c r="A877" s="708"/>
      <c r="B877" s="708"/>
      <c r="C877" s="708"/>
      <c r="D877" s="708"/>
      <c r="E877" s="708"/>
      <c r="F877" s="708"/>
      <c r="G877" s="708"/>
      <c r="H877" s="708"/>
      <c r="I877" s="708"/>
      <c r="J877" s="708"/>
      <c r="K877" s="708"/>
      <c r="L877" s="708"/>
      <c r="M877" s="708"/>
      <c r="N877" s="708"/>
      <c r="O877" s="708"/>
      <c r="P877" s="708"/>
      <c r="Q877" s="708"/>
      <c r="R877" s="708"/>
      <c r="S877" s="708"/>
      <c r="T877" s="708"/>
      <c r="U877" s="708"/>
      <c r="V877" s="708"/>
      <c r="W877" s="708"/>
      <c r="X877" s="708"/>
      <c r="Y877" s="708"/>
      <c r="Z877" s="708"/>
      <c r="AA877" s="708"/>
      <c r="AB877" s="708"/>
      <c r="AC877" s="708"/>
      <c r="AD877" s="708"/>
      <c r="AE877" s="708"/>
    </row>
    <row r="878">
      <c r="A878" s="708"/>
      <c r="B878" s="708"/>
      <c r="C878" s="708"/>
      <c r="D878" s="708"/>
      <c r="E878" s="708"/>
      <c r="F878" s="708"/>
      <c r="G878" s="708"/>
      <c r="H878" s="708"/>
      <c r="I878" s="708"/>
      <c r="J878" s="708"/>
      <c r="K878" s="708"/>
      <c r="L878" s="708"/>
      <c r="M878" s="708"/>
      <c r="N878" s="708"/>
      <c r="O878" s="708"/>
      <c r="P878" s="708"/>
      <c r="Q878" s="708"/>
      <c r="R878" s="708"/>
      <c r="S878" s="708"/>
      <c r="T878" s="708"/>
      <c r="U878" s="708"/>
      <c r="V878" s="708"/>
      <c r="W878" s="708"/>
      <c r="X878" s="708"/>
      <c r="Y878" s="708"/>
      <c r="Z878" s="708"/>
      <c r="AA878" s="708"/>
      <c r="AB878" s="708"/>
      <c r="AC878" s="708"/>
      <c r="AD878" s="708"/>
      <c r="AE878" s="708"/>
    </row>
    <row r="879">
      <c r="A879" s="708"/>
      <c r="B879" s="708"/>
      <c r="C879" s="708"/>
      <c r="D879" s="708"/>
      <c r="E879" s="708"/>
      <c r="F879" s="708"/>
      <c r="G879" s="708"/>
      <c r="H879" s="708"/>
      <c r="I879" s="708"/>
      <c r="J879" s="708"/>
      <c r="K879" s="708"/>
      <c r="L879" s="708"/>
      <c r="M879" s="708"/>
      <c r="N879" s="708"/>
      <c r="O879" s="708"/>
      <c r="P879" s="708"/>
      <c r="Q879" s="708"/>
      <c r="R879" s="708"/>
      <c r="S879" s="708"/>
      <c r="T879" s="708"/>
      <c r="U879" s="708"/>
      <c r="V879" s="708"/>
      <c r="W879" s="708"/>
      <c r="X879" s="708"/>
      <c r="Y879" s="708"/>
      <c r="Z879" s="708"/>
      <c r="AA879" s="708"/>
      <c r="AB879" s="708"/>
      <c r="AC879" s="708"/>
      <c r="AD879" s="708"/>
      <c r="AE879" s="708"/>
    </row>
    <row r="880">
      <c r="A880" s="708"/>
      <c r="B880" s="708"/>
      <c r="C880" s="708"/>
      <c r="D880" s="708"/>
      <c r="E880" s="708"/>
      <c r="F880" s="708"/>
      <c r="G880" s="708"/>
      <c r="H880" s="708"/>
      <c r="I880" s="708"/>
      <c r="J880" s="708"/>
      <c r="K880" s="708"/>
      <c r="L880" s="708"/>
      <c r="M880" s="708"/>
      <c r="N880" s="708"/>
      <c r="O880" s="708"/>
      <c r="P880" s="708"/>
      <c r="Q880" s="708"/>
      <c r="R880" s="708"/>
      <c r="S880" s="708"/>
      <c r="T880" s="708"/>
      <c r="U880" s="708"/>
      <c r="V880" s="708"/>
      <c r="W880" s="708"/>
      <c r="X880" s="708"/>
      <c r="Y880" s="708"/>
      <c r="Z880" s="708"/>
      <c r="AA880" s="708"/>
      <c r="AB880" s="708"/>
      <c r="AC880" s="708"/>
      <c r="AD880" s="708"/>
      <c r="AE880" s="708"/>
    </row>
    <row r="881">
      <c r="A881" s="708"/>
      <c r="B881" s="708"/>
      <c r="C881" s="708"/>
      <c r="D881" s="708"/>
      <c r="E881" s="708"/>
      <c r="F881" s="708"/>
      <c r="G881" s="708"/>
      <c r="H881" s="708"/>
      <c r="I881" s="708"/>
      <c r="J881" s="708"/>
      <c r="K881" s="708"/>
      <c r="L881" s="708"/>
      <c r="M881" s="708"/>
      <c r="N881" s="708"/>
      <c r="O881" s="708"/>
      <c r="P881" s="708"/>
      <c r="Q881" s="708"/>
      <c r="R881" s="708"/>
      <c r="S881" s="708"/>
      <c r="T881" s="708"/>
      <c r="U881" s="708"/>
      <c r="V881" s="708"/>
      <c r="W881" s="708"/>
      <c r="X881" s="708"/>
      <c r="Y881" s="708"/>
      <c r="Z881" s="708"/>
      <c r="AA881" s="708"/>
      <c r="AB881" s="708"/>
      <c r="AC881" s="708"/>
      <c r="AD881" s="708"/>
      <c r="AE881" s="708"/>
    </row>
    <row r="882">
      <c r="A882" s="708"/>
      <c r="B882" s="708"/>
      <c r="C882" s="708"/>
      <c r="D882" s="708"/>
      <c r="E882" s="708"/>
      <c r="F882" s="708"/>
      <c r="G882" s="708"/>
      <c r="H882" s="708"/>
      <c r="I882" s="708"/>
      <c r="J882" s="708"/>
      <c r="K882" s="708"/>
      <c r="L882" s="708"/>
      <c r="M882" s="708"/>
      <c r="N882" s="708"/>
      <c r="O882" s="708"/>
      <c r="P882" s="708"/>
      <c r="Q882" s="708"/>
      <c r="R882" s="708"/>
      <c r="S882" s="708"/>
      <c r="T882" s="708"/>
      <c r="U882" s="708"/>
      <c r="V882" s="708"/>
      <c r="W882" s="708"/>
      <c r="X882" s="708"/>
      <c r="Y882" s="708"/>
      <c r="Z882" s="708"/>
      <c r="AA882" s="708"/>
      <c r="AB882" s="708"/>
      <c r="AC882" s="708"/>
      <c r="AD882" s="708"/>
      <c r="AE882" s="708"/>
    </row>
    <row r="883">
      <c r="A883" s="708"/>
      <c r="B883" s="708"/>
      <c r="C883" s="708"/>
      <c r="D883" s="708"/>
      <c r="E883" s="708"/>
      <c r="F883" s="708"/>
      <c r="G883" s="708"/>
      <c r="H883" s="708"/>
      <c r="I883" s="708"/>
      <c r="J883" s="708"/>
      <c r="K883" s="708"/>
      <c r="L883" s="708"/>
      <c r="M883" s="708"/>
      <c r="N883" s="708"/>
      <c r="O883" s="708"/>
      <c r="P883" s="708"/>
      <c r="Q883" s="708"/>
      <c r="R883" s="708"/>
      <c r="S883" s="708"/>
      <c r="T883" s="708"/>
      <c r="U883" s="708"/>
      <c r="V883" s="708"/>
      <c r="W883" s="708"/>
      <c r="X883" s="708"/>
      <c r="Y883" s="708"/>
      <c r="Z883" s="708"/>
      <c r="AA883" s="708"/>
      <c r="AB883" s="708"/>
      <c r="AC883" s="708"/>
      <c r="AD883" s="708"/>
      <c r="AE883" s="708"/>
    </row>
    <row r="884">
      <c r="A884" s="708"/>
      <c r="B884" s="708"/>
      <c r="C884" s="708"/>
      <c r="D884" s="708"/>
      <c r="E884" s="708"/>
      <c r="F884" s="708"/>
      <c r="G884" s="708"/>
      <c r="H884" s="708"/>
      <c r="I884" s="708"/>
      <c r="J884" s="708"/>
      <c r="K884" s="708"/>
      <c r="L884" s="708"/>
      <c r="M884" s="708"/>
      <c r="N884" s="708"/>
      <c r="O884" s="708"/>
      <c r="P884" s="708"/>
      <c r="Q884" s="708"/>
      <c r="R884" s="708"/>
      <c r="S884" s="708"/>
      <c r="T884" s="708"/>
      <c r="U884" s="708"/>
      <c r="V884" s="708"/>
      <c r="W884" s="708"/>
      <c r="X884" s="708"/>
      <c r="Y884" s="708"/>
      <c r="Z884" s="708"/>
      <c r="AA884" s="708"/>
      <c r="AB884" s="708"/>
      <c r="AC884" s="708"/>
      <c r="AD884" s="708"/>
      <c r="AE884" s="708"/>
    </row>
    <row r="885">
      <c r="A885" s="708"/>
      <c r="B885" s="708"/>
      <c r="C885" s="708"/>
      <c r="D885" s="708"/>
      <c r="E885" s="708"/>
      <c r="F885" s="708"/>
      <c r="G885" s="708"/>
      <c r="H885" s="708"/>
      <c r="I885" s="708"/>
      <c r="J885" s="708"/>
      <c r="K885" s="708"/>
      <c r="L885" s="708"/>
      <c r="M885" s="708"/>
      <c r="N885" s="708"/>
      <c r="O885" s="708"/>
      <c r="P885" s="708"/>
      <c r="Q885" s="708"/>
      <c r="R885" s="708"/>
      <c r="S885" s="708"/>
      <c r="T885" s="708"/>
      <c r="U885" s="708"/>
      <c r="V885" s="708"/>
      <c r="W885" s="708"/>
      <c r="X885" s="708"/>
      <c r="Y885" s="708"/>
      <c r="Z885" s="708"/>
      <c r="AA885" s="708"/>
      <c r="AB885" s="708"/>
      <c r="AC885" s="708"/>
      <c r="AD885" s="708"/>
      <c r="AE885" s="708"/>
    </row>
    <row r="886">
      <c r="A886" s="708"/>
      <c r="B886" s="708"/>
      <c r="C886" s="708"/>
      <c r="D886" s="708"/>
      <c r="E886" s="708"/>
      <c r="F886" s="708"/>
      <c r="G886" s="708"/>
      <c r="H886" s="708"/>
      <c r="I886" s="708"/>
      <c r="J886" s="708"/>
      <c r="K886" s="708"/>
      <c r="L886" s="708"/>
      <c r="M886" s="708"/>
      <c r="N886" s="708"/>
      <c r="O886" s="708"/>
      <c r="P886" s="708"/>
      <c r="Q886" s="708"/>
      <c r="R886" s="708"/>
      <c r="S886" s="708"/>
      <c r="T886" s="708"/>
      <c r="U886" s="708"/>
      <c r="V886" s="708"/>
      <c r="W886" s="708"/>
      <c r="X886" s="708"/>
      <c r="Y886" s="708"/>
      <c r="Z886" s="708"/>
      <c r="AA886" s="708"/>
      <c r="AB886" s="708"/>
      <c r="AC886" s="708"/>
      <c r="AD886" s="708"/>
      <c r="AE886" s="708"/>
    </row>
    <row r="887">
      <c r="A887" s="708"/>
      <c r="B887" s="708"/>
      <c r="C887" s="708"/>
      <c r="D887" s="708"/>
      <c r="E887" s="708"/>
      <c r="F887" s="708"/>
      <c r="G887" s="708"/>
      <c r="H887" s="708"/>
      <c r="I887" s="708"/>
      <c r="J887" s="708"/>
      <c r="K887" s="708"/>
      <c r="L887" s="708"/>
      <c r="M887" s="708"/>
      <c r="N887" s="708"/>
      <c r="O887" s="708"/>
      <c r="P887" s="708"/>
      <c r="Q887" s="708"/>
      <c r="R887" s="708"/>
      <c r="S887" s="708"/>
      <c r="T887" s="708"/>
      <c r="U887" s="708"/>
      <c r="V887" s="708"/>
      <c r="W887" s="708"/>
      <c r="X887" s="708"/>
      <c r="Y887" s="708"/>
      <c r="Z887" s="708"/>
      <c r="AA887" s="708"/>
      <c r="AB887" s="708"/>
      <c r="AC887" s="708"/>
      <c r="AD887" s="708"/>
      <c r="AE887" s="708"/>
    </row>
    <row r="888">
      <c r="A888" s="708"/>
      <c r="B888" s="708"/>
      <c r="C888" s="708"/>
      <c r="D888" s="708"/>
      <c r="E888" s="708"/>
      <c r="F888" s="708"/>
      <c r="G888" s="708"/>
      <c r="H888" s="708"/>
      <c r="I888" s="708"/>
      <c r="J888" s="708"/>
      <c r="K888" s="708"/>
      <c r="L888" s="708"/>
      <c r="M888" s="708"/>
      <c r="N888" s="708"/>
      <c r="O888" s="708"/>
      <c r="P888" s="708"/>
      <c r="Q888" s="708"/>
      <c r="R888" s="708"/>
      <c r="S888" s="708"/>
      <c r="T888" s="708"/>
      <c r="U888" s="708"/>
      <c r="V888" s="708"/>
      <c r="W888" s="708"/>
      <c r="X888" s="708"/>
      <c r="Y888" s="708"/>
      <c r="Z888" s="708"/>
      <c r="AA888" s="708"/>
      <c r="AB888" s="708"/>
      <c r="AC888" s="708"/>
      <c r="AD888" s="708"/>
      <c r="AE888" s="708"/>
    </row>
    <row r="889">
      <c r="A889" s="708"/>
      <c r="B889" s="708"/>
      <c r="C889" s="708"/>
      <c r="D889" s="708"/>
      <c r="E889" s="708"/>
      <c r="F889" s="708"/>
      <c r="G889" s="708"/>
      <c r="H889" s="708"/>
      <c r="I889" s="708"/>
      <c r="J889" s="708"/>
      <c r="K889" s="708"/>
      <c r="L889" s="708"/>
      <c r="M889" s="708"/>
      <c r="N889" s="708"/>
      <c r="O889" s="708"/>
      <c r="P889" s="708"/>
      <c r="Q889" s="708"/>
      <c r="R889" s="708"/>
      <c r="S889" s="708"/>
      <c r="T889" s="708"/>
      <c r="U889" s="708"/>
      <c r="V889" s="708"/>
      <c r="W889" s="708"/>
      <c r="X889" s="708"/>
      <c r="Y889" s="708"/>
      <c r="Z889" s="708"/>
      <c r="AA889" s="708"/>
      <c r="AB889" s="708"/>
      <c r="AC889" s="708"/>
      <c r="AD889" s="708"/>
      <c r="AE889" s="708"/>
    </row>
    <row r="890">
      <c r="A890" s="708"/>
      <c r="B890" s="708"/>
      <c r="C890" s="708"/>
      <c r="D890" s="708"/>
      <c r="E890" s="708"/>
      <c r="F890" s="708"/>
      <c r="G890" s="708"/>
      <c r="H890" s="708"/>
      <c r="I890" s="708"/>
      <c r="J890" s="708"/>
      <c r="K890" s="708"/>
      <c r="L890" s="708"/>
      <c r="M890" s="708"/>
      <c r="N890" s="708"/>
      <c r="O890" s="708"/>
      <c r="P890" s="708"/>
      <c r="Q890" s="708"/>
      <c r="R890" s="708"/>
      <c r="S890" s="708"/>
      <c r="T890" s="708"/>
      <c r="U890" s="708"/>
      <c r="V890" s="708"/>
      <c r="W890" s="708"/>
      <c r="X890" s="708"/>
      <c r="Y890" s="708"/>
      <c r="Z890" s="708"/>
      <c r="AA890" s="708"/>
      <c r="AB890" s="708"/>
      <c r="AC890" s="708"/>
      <c r="AD890" s="708"/>
      <c r="AE890" s="708"/>
    </row>
    <row r="891">
      <c r="A891" s="708"/>
      <c r="B891" s="708"/>
      <c r="C891" s="708"/>
      <c r="D891" s="708"/>
      <c r="E891" s="708"/>
      <c r="F891" s="708"/>
      <c r="G891" s="708"/>
      <c r="H891" s="708"/>
      <c r="I891" s="708"/>
      <c r="J891" s="708"/>
      <c r="K891" s="708"/>
      <c r="L891" s="708"/>
      <c r="M891" s="708"/>
      <c r="N891" s="708"/>
      <c r="O891" s="708"/>
      <c r="P891" s="708"/>
      <c r="Q891" s="708"/>
      <c r="R891" s="708"/>
      <c r="S891" s="708"/>
      <c r="T891" s="708"/>
      <c r="U891" s="708"/>
      <c r="V891" s="708"/>
      <c r="W891" s="708"/>
      <c r="X891" s="708"/>
      <c r="Y891" s="708"/>
      <c r="Z891" s="708"/>
      <c r="AA891" s="708"/>
      <c r="AB891" s="708"/>
      <c r="AC891" s="708"/>
      <c r="AD891" s="708"/>
      <c r="AE891" s="708"/>
    </row>
    <row r="892">
      <c r="A892" s="708"/>
      <c r="B892" s="708"/>
      <c r="C892" s="708"/>
      <c r="D892" s="708"/>
      <c r="E892" s="708"/>
      <c r="F892" s="708"/>
      <c r="G892" s="708"/>
      <c r="H892" s="708"/>
      <c r="I892" s="708"/>
      <c r="J892" s="708"/>
      <c r="K892" s="708"/>
      <c r="L892" s="708"/>
      <c r="M892" s="708"/>
      <c r="N892" s="708"/>
      <c r="O892" s="708"/>
      <c r="P892" s="708"/>
      <c r="Q892" s="708"/>
      <c r="R892" s="708"/>
      <c r="S892" s="708"/>
      <c r="T892" s="708"/>
      <c r="U892" s="708"/>
      <c r="V892" s="708"/>
      <c r="W892" s="708"/>
      <c r="X892" s="708"/>
      <c r="Y892" s="708"/>
      <c r="Z892" s="708"/>
      <c r="AA892" s="708"/>
      <c r="AB892" s="708"/>
      <c r="AC892" s="708"/>
      <c r="AD892" s="708"/>
      <c r="AE892" s="708"/>
    </row>
    <row r="893">
      <c r="A893" s="708"/>
      <c r="B893" s="708"/>
      <c r="C893" s="708"/>
      <c r="D893" s="708"/>
      <c r="E893" s="708"/>
      <c r="F893" s="708"/>
      <c r="G893" s="708"/>
      <c r="H893" s="708"/>
      <c r="I893" s="708"/>
      <c r="J893" s="708"/>
      <c r="K893" s="708"/>
      <c r="L893" s="708"/>
      <c r="M893" s="708"/>
      <c r="N893" s="708"/>
      <c r="O893" s="708"/>
      <c r="P893" s="708"/>
      <c r="Q893" s="708"/>
      <c r="R893" s="708"/>
      <c r="S893" s="708"/>
      <c r="T893" s="708"/>
      <c r="U893" s="708"/>
      <c r="V893" s="708"/>
      <c r="W893" s="708"/>
      <c r="X893" s="708"/>
      <c r="Y893" s="708"/>
      <c r="Z893" s="708"/>
      <c r="AA893" s="708"/>
      <c r="AB893" s="708"/>
      <c r="AC893" s="708"/>
      <c r="AD893" s="708"/>
      <c r="AE893" s="708"/>
    </row>
    <row r="894">
      <c r="A894" s="708"/>
      <c r="B894" s="708"/>
      <c r="C894" s="708"/>
      <c r="D894" s="708"/>
      <c r="E894" s="708"/>
      <c r="F894" s="708"/>
      <c r="G894" s="708"/>
      <c r="H894" s="708"/>
      <c r="I894" s="708"/>
      <c r="J894" s="708"/>
      <c r="K894" s="708"/>
      <c r="L894" s="708"/>
      <c r="M894" s="708"/>
      <c r="N894" s="708"/>
      <c r="O894" s="708"/>
      <c r="P894" s="708"/>
      <c r="Q894" s="708"/>
      <c r="R894" s="708"/>
      <c r="S894" s="708"/>
      <c r="T894" s="708"/>
      <c r="U894" s="708"/>
      <c r="V894" s="708"/>
      <c r="W894" s="708"/>
      <c r="X894" s="708"/>
      <c r="Y894" s="708"/>
      <c r="Z894" s="708"/>
      <c r="AA894" s="708"/>
      <c r="AB894" s="708"/>
      <c r="AC894" s="708"/>
      <c r="AD894" s="708"/>
      <c r="AE894" s="708"/>
    </row>
    <row r="895">
      <c r="A895" s="708"/>
      <c r="B895" s="708"/>
      <c r="C895" s="708"/>
      <c r="D895" s="708"/>
      <c r="E895" s="708"/>
      <c r="F895" s="708"/>
      <c r="G895" s="708"/>
      <c r="H895" s="708"/>
      <c r="I895" s="708"/>
      <c r="J895" s="708"/>
      <c r="K895" s="708"/>
      <c r="L895" s="708"/>
      <c r="M895" s="708"/>
      <c r="N895" s="708"/>
      <c r="O895" s="708"/>
      <c r="P895" s="708"/>
      <c r="Q895" s="708"/>
      <c r="R895" s="708"/>
      <c r="S895" s="708"/>
      <c r="T895" s="708"/>
      <c r="U895" s="708"/>
      <c r="V895" s="708"/>
      <c r="W895" s="708"/>
      <c r="X895" s="708"/>
      <c r="Y895" s="708"/>
      <c r="Z895" s="708"/>
      <c r="AA895" s="708"/>
      <c r="AB895" s="708"/>
      <c r="AC895" s="708"/>
      <c r="AD895" s="708"/>
      <c r="AE895" s="708"/>
    </row>
    <row r="896">
      <c r="A896" s="708"/>
      <c r="B896" s="708"/>
      <c r="C896" s="708"/>
      <c r="D896" s="708"/>
      <c r="E896" s="708"/>
      <c r="F896" s="708"/>
      <c r="G896" s="708"/>
      <c r="H896" s="708"/>
      <c r="I896" s="708"/>
      <c r="J896" s="708"/>
      <c r="K896" s="708"/>
      <c r="L896" s="708"/>
      <c r="M896" s="708"/>
      <c r="N896" s="708"/>
      <c r="O896" s="708"/>
      <c r="P896" s="708"/>
      <c r="Q896" s="708"/>
      <c r="R896" s="708"/>
      <c r="S896" s="708"/>
      <c r="T896" s="708"/>
      <c r="U896" s="708"/>
      <c r="V896" s="708"/>
      <c r="W896" s="708"/>
      <c r="X896" s="708"/>
      <c r="Y896" s="708"/>
      <c r="Z896" s="708"/>
      <c r="AA896" s="708"/>
      <c r="AB896" s="708"/>
      <c r="AC896" s="708"/>
      <c r="AD896" s="708"/>
      <c r="AE896" s="708"/>
    </row>
    <row r="897">
      <c r="A897" s="708"/>
      <c r="B897" s="708"/>
      <c r="C897" s="708"/>
      <c r="D897" s="708"/>
      <c r="E897" s="708"/>
      <c r="F897" s="708"/>
      <c r="G897" s="708"/>
      <c r="H897" s="708"/>
      <c r="I897" s="708"/>
      <c r="J897" s="708"/>
      <c r="K897" s="708"/>
      <c r="L897" s="708"/>
      <c r="M897" s="708"/>
      <c r="N897" s="708"/>
      <c r="O897" s="708"/>
      <c r="P897" s="708"/>
      <c r="Q897" s="708"/>
      <c r="R897" s="708"/>
      <c r="S897" s="708"/>
      <c r="T897" s="708"/>
      <c r="U897" s="708"/>
      <c r="V897" s="708"/>
      <c r="W897" s="708"/>
      <c r="X897" s="708"/>
      <c r="Y897" s="708"/>
      <c r="Z897" s="708"/>
      <c r="AA897" s="708"/>
      <c r="AB897" s="708"/>
      <c r="AC897" s="708"/>
      <c r="AD897" s="708"/>
      <c r="AE897" s="708"/>
    </row>
    <row r="898">
      <c r="A898" s="708"/>
      <c r="B898" s="708"/>
      <c r="C898" s="708"/>
      <c r="D898" s="708"/>
      <c r="E898" s="708"/>
      <c r="F898" s="708"/>
      <c r="G898" s="708"/>
      <c r="H898" s="708"/>
      <c r="I898" s="708"/>
      <c r="J898" s="708"/>
      <c r="K898" s="708"/>
      <c r="L898" s="708"/>
      <c r="M898" s="708"/>
      <c r="N898" s="708"/>
      <c r="O898" s="708"/>
      <c r="P898" s="708"/>
      <c r="Q898" s="708"/>
      <c r="R898" s="708"/>
      <c r="S898" s="708"/>
      <c r="T898" s="708"/>
      <c r="U898" s="708"/>
      <c r="V898" s="708"/>
      <c r="W898" s="708"/>
      <c r="X898" s="708"/>
      <c r="Y898" s="708"/>
      <c r="Z898" s="708"/>
      <c r="AA898" s="708"/>
      <c r="AB898" s="708"/>
      <c r="AC898" s="708"/>
      <c r="AD898" s="708"/>
      <c r="AE898" s="708"/>
    </row>
    <row r="899">
      <c r="A899" s="708"/>
      <c r="B899" s="708"/>
      <c r="C899" s="708"/>
      <c r="D899" s="708"/>
      <c r="E899" s="708"/>
      <c r="F899" s="708"/>
      <c r="G899" s="708"/>
      <c r="H899" s="708"/>
      <c r="I899" s="708"/>
      <c r="J899" s="708"/>
      <c r="K899" s="708"/>
      <c r="L899" s="708"/>
      <c r="M899" s="708"/>
      <c r="N899" s="708"/>
      <c r="O899" s="708"/>
      <c r="P899" s="708"/>
      <c r="Q899" s="708"/>
      <c r="R899" s="708"/>
      <c r="S899" s="708"/>
      <c r="T899" s="708"/>
      <c r="U899" s="708"/>
      <c r="V899" s="708"/>
      <c r="W899" s="708"/>
      <c r="X899" s="708"/>
      <c r="Y899" s="708"/>
      <c r="Z899" s="708"/>
      <c r="AA899" s="708"/>
      <c r="AB899" s="708"/>
      <c r="AC899" s="708"/>
      <c r="AD899" s="708"/>
      <c r="AE899" s="708"/>
    </row>
    <row r="900">
      <c r="A900" s="708"/>
      <c r="B900" s="708"/>
      <c r="C900" s="708"/>
      <c r="D900" s="708"/>
      <c r="E900" s="708"/>
      <c r="F900" s="708"/>
      <c r="G900" s="708"/>
      <c r="H900" s="708"/>
      <c r="I900" s="708"/>
      <c r="J900" s="708"/>
      <c r="K900" s="708"/>
      <c r="L900" s="708"/>
      <c r="M900" s="708"/>
      <c r="N900" s="708"/>
      <c r="O900" s="708"/>
      <c r="P900" s="708"/>
      <c r="Q900" s="708"/>
      <c r="R900" s="708"/>
      <c r="S900" s="708"/>
      <c r="T900" s="708"/>
      <c r="U900" s="708"/>
      <c r="V900" s="708"/>
      <c r="W900" s="708"/>
      <c r="X900" s="708"/>
      <c r="Y900" s="708"/>
      <c r="Z900" s="708"/>
      <c r="AA900" s="708"/>
      <c r="AB900" s="708"/>
      <c r="AC900" s="708"/>
      <c r="AD900" s="708"/>
      <c r="AE900" s="708"/>
    </row>
    <row r="901">
      <c r="A901" s="708"/>
      <c r="B901" s="708"/>
      <c r="C901" s="708"/>
      <c r="D901" s="708"/>
      <c r="E901" s="708"/>
      <c r="F901" s="708"/>
      <c r="G901" s="708"/>
      <c r="H901" s="708"/>
      <c r="I901" s="708"/>
      <c r="J901" s="708"/>
      <c r="K901" s="708"/>
      <c r="L901" s="708"/>
      <c r="M901" s="708"/>
      <c r="N901" s="708"/>
      <c r="O901" s="708"/>
      <c r="P901" s="708"/>
      <c r="Q901" s="708"/>
      <c r="R901" s="708"/>
      <c r="S901" s="708"/>
      <c r="T901" s="708"/>
      <c r="U901" s="708"/>
      <c r="V901" s="708"/>
      <c r="W901" s="708"/>
      <c r="X901" s="708"/>
      <c r="Y901" s="708"/>
      <c r="Z901" s="708"/>
      <c r="AA901" s="708"/>
      <c r="AB901" s="708"/>
      <c r="AC901" s="708"/>
      <c r="AD901" s="708"/>
      <c r="AE901" s="708"/>
    </row>
    <row r="902">
      <c r="A902" s="708"/>
      <c r="B902" s="708"/>
      <c r="C902" s="708"/>
      <c r="D902" s="708"/>
      <c r="E902" s="708"/>
      <c r="F902" s="708"/>
      <c r="G902" s="708"/>
      <c r="H902" s="708"/>
      <c r="I902" s="708"/>
      <c r="J902" s="708"/>
      <c r="K902" s="708"/>
      <c r="L902" s="708"/>
      <c r="M902" s="708"/>
      <c r="N902" s="708"/>
      <c r="O902" s="708"/>
      <c r="P902" s="708"/>
      <c r="Q902" s="708"/>
      <c r="R902" s="708"/>
      <c r="S902" s="708"/>
      <c r="T902" s="708"/>
      <c r="U902" s="708"/>
      <c r="V902" s="708"/>
      <c r="W902" s="708"/>
      <c r="X902" s="708"/>
      <c r="Y902" s="708"/>
      <c r="Z902" s="708"/>
      <c r="AA902" s="708"/>
      <c r="AB902" s="708"/>
      <c r="AC902" s="708"/>
      <c r="AD902" s="708"/>
      <c r="AE902" s="708"/>
    </row>
    <row r="903">
      <c r="A903" s="708"/>
      <c r="B903" s="708"/>
      <c r="C903" s="708"/>
      <c r="D903" s="708"/>
      <c r="E903" s="708"/>
      <c r="F903" s="708"/>
      <c r="G903" s="708"/>
      <c r="H903" s="708"/>
      <c r="I903" s="708"/>
      <c r="J903" s="708"/>
      <c r="K903" s="708"/>
      <c r="L903" s="708"/>
      <c r="M903" s="708"/>
      <c r="N903" s="708"/>
      <c r="O903" s="708"/>
      <c r="P903" s="708"/>
      <c r="Q903" s="708"/>
      <c r="R903" s="708"/>
      <c r="S903" s="708"/>
      <c r="T903" s="708"/>
      <c r="U903" s="708"/>
      <c r="V903" s="708"/>
      <c r="W903" s="708"/>
      <c r="X903" s="708"/>
      <c r="Y903" s="708"/>
      <c r="Z903" s="708"/>
      <c r="AA903" s="708"/>
      <c r="AB903" s="708"/>
      <c r="AC903" s="708"/>
      <c r="AD903" s="708"/>
      <c r="AE903" s="708"/>
    </row>
    <row r="904">
      <c r="A904" s="708"/>
      <c r="B904" s="708"/>
      <c r="C904" s="708"/>
      <c r="D904" s="708"/>
      <c r="E904" s="708"/>
      <c r="F904" s="708"/>
      <c r="G904" s="708"/>
      <c r="H904" s="708"/>
      <c r="I904" s="708"/>
      <c r="J904" s="708"/>
      <c r="K904" s="708"/>
      <c r="L904" s="708"/>
      <c r="M904" s="708"/>
      <c r="N904" s="708"/>
      <c r="O904" s="708"/>
      <c r="P904" s="708"/>
      <c r="Q904" s="708"/>
      <c r="R904" s="708"/>
      <c r="S904" s="708"/>
      <c r="T904" s="708"/>
      <c r="U904" s="708"/>
      <c r="V904" s="708"/>
      <c r="W904" s="708"/>
      <c r="X904" s="708"/>
      <c r="Y904" s="708"/>
      <c r="Z904" s="708"/>
      <c r="AA904" s="708"/>
      <c r="AB904" s="708"/>
      <c r="AC904" s="708"/>
      <c r="AD904" s="708"/>
      <c r="AE904" s="708"/>
    </row>
    <row r="905">
      <c r="A905" s="708"/>
      <c r="B905" s="708"/>
      <c r="C905" s="708"/>
      <c r="D905" s="708"/>
      <c r="E905" s="708"/>
      <c r="F905" s="708"/>
      <c r="G905" s="708"/>
      <c r="H905" s="708"/>
      <c r="I905" s="708"/>
      <c r="J905" s="708"/>
      <c r="K905" s="708"/>
      <c r="L905" s="708"/>
      <c r="M905" s="708"/>
      <c r="N905" s="708"/>
      <c r="O905" s="708"/>
      <c r="P905" s="708"/>
      <c r="Q905" s="708"/>
      <c r="R905" s="708"/>
      <c r="S905" s="708"/>
      <c r="T905" s="708"/>
      <c r="U905" s="708"/>
      <c r="V905" s="708"/>
      <c r="W905" s="708"/>
      <c r="X905" s="708"/>
      <c r="Y905" s="708"/>
      <c r="Z905" s="708"/>
      <c r="AA905" s="708"/>
      <c r="AB905" s="708"/>
      <c r="AC905" s="708"/>
      <c r="AD905" s="708"/>
      <c r="AE905" s="708"/>
    </row>
    <row r="906">
      <c r="A906" s="708"/>
      <c r="B906" s="708"/>
      <c r="C906" s="708"/>
      <c r="D906" s="708"/>
      <c r="E906" s="708"/>
      <c r="F906" s="708"/>
      <c r="G906" s="708"/>
      <c r="H906" s="708"/>
      <c r="I906" s="708"/>
      <c r="J906" s="708"/>
      <c r="K906" s="708"/>
      <c r="L906" s="708"/>
      <c r="M906" s="708"/>
      <c r="N906" s="708"/>
      <c r="O906" s="708"/>
      <c r="P906" s="708"/>
      <c r="Q906" s="708"/>
      <c r="R906" s="708"/>
      <c r="S906" s="708"/>
      <c r="T906" s="708"/>
      <c r="U906" s="708"/>
      <c r="V906" s="708"/>
      <c r="W906" s="708"/>
      <c r="X906" s="708"/>
      <c r="Y906" s="708"/>
      <c r="Z906" s="708"/>
      <c r="AA906" s="708"/>
      <c r="AB906" s="708"/>
      <c r="AC906" s="708"/>
      <c r="AD906" s="708"/>
      <c r="AE906" s="708"/>
    </row>
    <row r="907">
      <c r="A907" s="708"/>
      <c r="B907" s="708"/>
      <c r="C907" s="708"/>
      <c r="D907" s="708"/>
      <c r="E907" s="708"/>
      <c r="F907" s="708"/>
      <c r="G907" s="708"/>
      <c r="H907" s="708"/>
      <c r="I907" s="708"/>
      <c r="J907" s="708"/>
      <c r="K907" s="708"/>
      <c r="L907" s="708"/>
      <c r="M907" s="708"/>
      <c r="N907" s="708"/>
      <c r="O907" s="708"/>
      <c r="P907" s="708"/>
      <c r="Q907" s="708"/>
      <c r="R907" s="708"/>
      <c r="S907" s="708"/>
      <c r="T907" s="708"/>
      <c r="U907" s="708"/>
      <c r="V907" s="708"/>
      <c r="W907" s="708"/>
      <c r="X907" s="708"/>
      <c r="Y907" s="708"/>
      <c r="Z907" s="708"/>
      <c r="AA907" s="708"/>
      <c r="AB907" s="708"/>
      <c r="AC907" s="708"/>
      <c r="AD907" s="708"/>
      <c r="AE907" s="708"/>
    </row>
    <row r="908">
      <c r="A908" s="708"/>
      <c r="B908" s="708"/>
      <c r="C908" s="708"/>
      <c r="D908" s="708"/>
      <c r="E908" s="708"/>
      <c r="F908" s="708"/>
      <c r="G908" s="708"/>
      <c r="H908" s="708"/>
      <c r="I908" s="708"/>
      <c r="J908" s="708"/>
      <c r="K908" s="708"/>
      <c r="L908" s="708"/>
      <c r="M908" s="708"/>
      <c r="N908" s="708"/>
      <c r="O908" s="708"/>
      <c r="P908" s="708"/>
      <c r="Q908" s="708"/>
      <c r="R908" s="708"/>
      <c r="S908" s="708"/>
      <c r="T908" s="708"/>
      <c r="U908" s="708"/>
      <c r="V908" s="708"/>
      <c r="W908" s="708"/>
      <c r="X908" s="708"/>
      <c r="Y908" s="708"/>
      <c r="Z908" s="708"/>
      <c r="AA908" s="708"/>
      <c r="AB908" s="708"/>
      <c r="AC908" s="708"/>
      <c r="AD908" s="708"/>
      <c r="AE908" s="708"/>
    </row>
    <row r="909">
      <c r="A909" s="708"/>
      <c r="B909" s="708"/>
      <c r="C909" s="708"/>
      <c r="D909" s="708"/>
      <c r="E909" s="708"/>
      <c r="F909" s="708"/>
      <c r="G909" s="708"/>
      <c r="H909" s="708"/>
      <c r="I909" s="708"/>
      <c r="J909" s="708"/>
      <c r="K909" s="708"/>
      <c r="L909" s="708"/>
      <c r="M909" s="708"/>
      <c r="N909" s="708"/>
      <c r="O909" s="708"/>
      <c r="P909" s="708"/>
      <c r="Q909" s="708"/>
      <c r="R909" s="708"/>
      <c r="S909" s="708"/>
      <c r="T909" s="708"/>
      <c r="U909" s="708"/>
      <c r="V909" s="708"/>
      <c r="W909" s="708"/>
      <c r="X909" s="708"/>
      <c r="Y909" s="708"/>
      <c r="Z909" s="708"/>
      <c r="AA909" s="708"/>
      <c r="AB909" s="708"/>
      <c r="AC909" s="708"/>
      <c r="AD909" s="708"/>
      <c r="AE909" s="708"/>
    </row>
    <row r="910">
      <c r="A910" s="708"/>
      <c r="B910" s="708"/>
      <c r="C910" s="708"/>
      <c r="D910" s="708"/>
      <c r="E910" s="708"/>
      <c r="F910" s="708"/>
      <c r="G910" s="708"/>
      <c r="H910" s="708"/>
      <c r="I910" s="708"/>
      <c r="J910" s="708"/>
      <c r="K910" s="708"/>
      <c r="L910" s="708"/>
      <c r="M910" s="708"/>
      <c r="N910" s="708"/>
      <c r="O910" s="708"/>
      <c r="P910" s="708"/>
      <c r="Q910" s="708"/>
      <c r="R910" s="708"/>
      <c r="S910" s="708"/>
      <c r="T910" s="708"/>
      <c r="U910" s="708"/>
      <c r="V910" s="708"/>
      <c r="W910" s="708"/>
      <c r="X910" s="708"/>
      <c r="Y910" s="708"/>
      <c r="Z910" s="708"/>
      <c r="AA910" s="708"/>
      <c r="AB910" s="708"/>
      <c r="AC910" s="708"/>
      <c r="AD910" s="708"/>
      <c r="AE910" s="708"/>
    </row>
    <row r="911">
      <c r="A911" s="708"/>
      <c r="B911" s="708"/>
      <c r="C911" s="708"/>
      <c r="D911" s="708"/>
      <c r="E911" s="708"/>
      <c r="F911" s="708"/>
      <c r="G911" s="708"/>
      <c r="H911" s="708"/>
      <c r="I911" s="708"/>
      <c r="J911" s="708"/>
      <c r="K911" s="708"/>
      <c r="L911" s="708"/>
      <c r="M911" s="708"/>
      <c r="N911" s="708"/>
      <c r="O911" s="708"/>
      <c r="P911" s="708"/>
      <c r="Q911" s="708"/>
      <c r="R911" s="708"/>
      <c r="S911" s="708"/>
      <c r="T911" s="708"/>
      <c r="U911" s="708"/>
      <c r="V911" s="708"/>
      <c r="W911" s="708"/>
      <c r="X911" s="708"/>
      <c r="Y911" s="708"/>
      <c r="Z911" s="708"/>
      <c r="AA911" s="708"/>
      <c r="AB911" s="708"/>
      <c r="AC911" s="708"/>
      <c r="AD911" s="708"/>
      <c r="AE911" s="708"/>
    </row>
    <row r="912">
      <c r="A912" s="708"/>
      <c r="B912" s="708"/>
      <c r="C912" s="708"/>
      <c r="D912" s="708"/>
      <c r="E912" s="708"/>
      <c r="F912" s="708"/>
      <c r="G912" s="708"/>
      <c r="H912" s="708"/>
      <c r="I912" s="708"/>
      <c r="J912" s="708"/>
      <c r="K912" s="708"/>
      <c r="L912" s="708"/>
      <c r="M912" s="708"/>
      <c r="N912" s="708"/>
      <c r="O912" s="708"/>
      <c r="P912" s="708"/>
      <c r="Q912" s="708"/>
      <c r="R912" s="708"/>
      <c r="S912" s="708"/>
      <c r="T912" s="708"/>
      <c r="U912" s="708"/>
      <c r="V912" s="708"/>
      <c r="W912" s="708"/>
      <c r="X912" s="708"/>
      <c r="Y912" s="708"/>
      <c r="Z912" s="708"/>
      <c r="AA912" s="708"/>
      <c r="AB912" s="708"/>
      <c r="AC912" s="708"/>
      <c r="AD912" s="708"/>
      <c r="AE912" s="708"/>
    </row>
    <row r="913">
      <c r="A913" s="708"/>
      <c r="B913" s="708"/>
      <c r="C913" s="708"/>
      <c r="D913" s="708"/>
      <c r="E913" s="708"/>
      <c r="F913" s="708"/>
      <c r="G913" s="708"/>
      <c r="H913" s="708"/>
      <c r="I913" s="708"/>
      <c r="J913" s="708"/>
      <c r="K913" s="708"/>
      <c r="L913" s="708"/>
      <c r="M913" s="708"/>
      <c r="N913" s="708"/>
      <c r="O913" s="708"/>
      <c r="P913" s="708"/>
      <c r="Q913" s="708"/>
      <c r="R913" s="708"/>
      <c r="S913" s="708"/>
      <c r="T913" s="708"/>
      <c r="U913" s="708"/>
      <c r="V913" s="708"/>
      <c r="W913" s="708"/>
      <c r="X913" s="708"/>
      <c r="Y913" s="708"/>
      <c r="Z913" s="708"/>
      <c r="AA913" s="708"/>
      <c r="AB913" s="708"/>
      <c r="AC913" s="708"/>
      <c r="AD913" s="708"/>
      <c r="AE913" s="708"/>
    </row>
    <row r="914">
      <c r="A914" s="708"/>
      <c r="B914" s="708"/>
      <c r="C914" s="708"/>
      <c r="D914" s="708"/>
      <c r="E914" s="708"/>
      <c r="F914" s="708"/>
      <c r="G914" s="708"/>
      <c r="H914" s="708"/>
      <c r="I914" s="708"/>
      <c r="J914" s="708"/>
      <c r="K914" s="708"/>
      <c r="L914" s="708"/>
      <c r="M914" s="708"/>
      <c r="N914" s="708"/>
      <c r="O914" s="708"/>
      <c r="P914" s="708"/>
      <c r="Q914" s="708"/>
      <c r="R914" s="708"/>
      <c r="S914" s="708"/>
      <c r="T914" s="708"/>
      <c r="U914" s="708"/>
      <c r="V914" s="708"/>
      <c r="W914" s="708"/>
      <c r="X914" s="708"/>
      <c r="Y914" s="708"/>
      <c r="Z914" s="708"/>
      <c r="AA914" s="708"/>
      <c r="AB914" s="708"/>
      <c r="AC914" s="708"/>
      <c r="AD914" s="708"/>
      <c r="AE914" s="708"/>
    </row>
    <row r="915">
      <c r="A915" s="708"/>
      <c r="B915" s="708"/>
      <c r="C915" s="708"/>
      <c r="D915" s="708"/>
      <c r="E915" s="708"/>
      <c r="F915" s="708"/>
      <c r="G915" s="708"/>
      <c r="H915" s="708"/>
      <c r="I915" s="708"/>
      <c r="J915" s="708"/>
      <c r="K915" s="708"/>
      <c r="L915" s="708"/>
      <c r="M915" s="708"/>
      <c r="N915" s="708"/>
      <c r="O915" s="708"/>
      <c r="P915" s="708"/>
      <c r="Q915" s="708"/>
      <c r="R915" s="708"/>
      <c r="S915" s="708"/>
      <c r="T915" s="708"/>
      <c r="U915" s="708"/>
      <c r="V915" s="708"/>
      <c r="W915" s="708"/>
      <c r="X915" s="708"/>
      <c r="Y915" s="708"/>
      <c r="Z915" s="708"/>
      <c r="AA915" s="708"/>
      <c r="AB915" s="708"/>
      <c r="AC915" s="708"/>
      <c r="AD915" s="708"/>
      <c r="AE915" s="708"/>
    </row>
    <row r="916">
      <c r="A916" s="708"/>
      <c r="B916" s="708"/>
      <c r="C916" s="708"/>
      <c r="D916" s="708"/>
      <c r="E916" s="708"/>
      <c r="F916" s="708"/>
      <c r="G916" s="708"/>
      <c r="H916" s="708"/>
      <c r="I916" s="708"/>
      <c r="J916" s="708"/>
      <c r="K916" s="708"/>
      <c r="L916" s="708"/>
      <c r="M916" s="708"/>
      <c r="N916" s="708"/>
      <c r="O916" s="708"/>
      <c r="P916" s="708"/>
      <c r="Q916" s="708"/>
      <c r="R916" s="708"/>
      <c r="S916" s="708"/>
      <c r="T916" s="708"/>
      <c r="U916" s="708"/>
      <c r="V916" s="708"/>
      <c r="W916" s="708"/>
      <c r="X916" s="708"/>
      <c r="Y916" s="708"/>
      <c r="Z916" s="708"/>
      <c r="AA916" s="708"/>
      <c r="AB916" s="708"/>
      <c r="AC916" s="708"/>
      <c r="AD916" s="708"/>
      <c r="AE916" s="708"/>
    </row>
    <row r="917">
      <c r="A917" s="708"/>
      <c r="B917" s="708"/>
      <c r="C917" s="708"/>
      <c r="D917" s="708"/>
      <c r="E917" s="708"/>
      <c r="F917" s="708"/>
      <c r="G917" s="708"/>
      <c r="H917" s="708"/>
      <c r="I917" s="708"/>
      <c r="J917" s="708"/>
      <c r="K917" s="708"/>
      <c r="L917" s="708"/>
      <c r="M917" s="708"/>
      <c r="N917" s="708"/>
      <c r="O917" s="708"/>
      <c r="P917" s="708"/>
      <c r="Q917" s="708"/>
      <c r="R917" s="708"/>
      <c r="S917" s="708"/>
      <c r="T917" s="708"/>
      <c r="U917" s="708"/>
      <c r="V917" s="708"/>
      <c r="W917" s="708"/>
      <c r="X917" s="708"/>
      <c r="Y917" s="708"/>
      <c r="Z917" s="708"/>
      <c r="AA917" s="708"/>
      <c r="AB917" s="708"/>
      <c r="AC917" s="708"/>
      <c r="AD917" s="708"/>
      <c r="AE917" s="708"/>
    </row>
    <row r="918">
      <c r="A918" s="708"/>
      <c r="B918" s="708"/>
      <c r="C918" s="708"/>
      <c r="D918" s="708"/>
      <c r="E918" s="708"/>
      <c r="F918" s="708"/>
      <c r="G918" s="708"/>
      <c r="H918" s="708"/>
      <c r="I918" s="708"/>
      <c r="J918" s="708"/>
      <c r="K918" s="708"/>
      <c r="L918" s="708"/>
      <c r="M918" s="708"/>
      <c r="N918" s="708"/>
      <c r="O918" s="708"/>
      <c r="P918" s="708"/>
      <c r="Q918" s="708"/>
      <c r="R918" s="708"/>
      <c r="S918" s="708"/>
      <c r="T918" s="708"/>
      <c r="U918" s="708"/>
      <c r="V918" s="708"/>
      <c r="W918" s="708"/>
      <c r="X918" s="708"/>
      <c r="Y918" s="708"/>
      <c r="Z918" s="708"/>
      <c r="AA918" s="708"/>
      <c r="AB918" s="708"/>
      <c r="AC918" s="708"/>
      <c r="AD918" s="708"/>
      <c r="AE918" s="708"/>
    </row>
    <row r="919">
      <c r="A919" s="708"/>
      <c r="B919" s="708"/>
      <c r="C919" s="708"/>
      <c r="D919" s="708"/>
      <c r="E919" s="708"/>
      <c r="F919" s="708"/>
      <c r="G919" s="708"/>
      <c r="H919" s="708"/>
      <c r="I919" s="708"/>
      <c r="J919" s="708"/>
      <c r="K919" s="708"/>
      <c r="L919" s="708"/>
      <c r="M919" s="708"/>
      <c r="N919" s="708"/>
      <c r="O919" s="708"/>
      <c r="P919" s="708"/>
      <c r="Q919" s="708"/>
      <c r="R919" s="708"/>
      <c r="S919" s="708"/>
      <c r="T919" s="708"/>
      <c r="U919" s="708"/>
      <c r="V919" s="708"/>
      <c r="W919" s="708"/>
      <c r="X919" s="708"/>
      <c r="Y919" s="708"/>
      <c r="Z919" s="708"/>
      <c r="AA919" s="708"/>
      <c r="AB919" s="708"/>
      <c r="AC919" s="708"/>
      <c r="AD919" s="708"/>
      <c r="AE919" s="708"/>
    </row>
    <row r="920">
      <c r="A920" s="708"/>
      <c r="B920" s="708"/>
      <c r="C920" s="708"/>
      <c r="D920" s="708"/>
      <c r="E920" s="708"/>
      <c r="F920" s="708"/>
      <c r="G920" s="708"/>
      <c r="H920" s="708"/>
      <c r="I920" s="708"/>
      <c r="J920" s="708"/>
      <c r="K920" s="708"/>
      <c r="L920" s="708"/>
      <c r="M920" s="708"/>
      <c r="N920" s="708"/>
      <c r="O920" s="708"/>
      <c r="P920" s="708"/>
      <c r="Q920" s="708"/>
      <c r="R920" s="708"/>
      <c r="S920" s="708"/>
      <c r="T920" s="708"/>
      <c r="U920" s="708"/>
      <c r="V920" s="708"/>
      <c r="W920" s="708"/>
      <c r="X920" s="708"/>
      <c r="Y920" s="708"/>
      <c r="Z920" s="708"/>
      <c r="AA920" s="708"/>
      <c r="AB920" s="708"/>
      <c r="AC920" s="708"/>
      <c r="AD920" s="708"/>
      <c r="AE920" s="708"/>
    </row>
    <row r="921">
      <c r="A921" s="708"/>
      <c r="B921" s="708"/>
      <c r="C921" s="708"/>
      <c r="D921" s="708"/>
      <c r="E921" s="708"/>
      <c r="F921" s="708"/>
      <c r="G921" s="708"/>
      <c r="H921" s="708"/>
      <c r="I921" s="708"/>
      <c r="J921" s="708"/>
      <c r="K921" s="708"/>
      <c r="L921" s="708"/>
      <c r="M921" s="708"/>
      <c r="N921" s="708"/>
      <c r="O921" s="708"/>
      <c r="P921" s="708"/>
      <c r="Q921" s="708"/>
      <c r="R921" s="708"/>
      <c r="S921" s="708"/>
      <c r="T921" s="708"/>
      <c r="U921" s="708"/>
      <c r="V921" s="708"/>
      <c r="W921" s="708"/>
      <c r="X921" s="708"/>
      <c r="Y921" s="708"/>
      <c r="Z921" s="708"/>
      <c r="AA921" s="708"/>
      <c r="AB921" s="708"/>
      <c r="AC921" s="708"/>
      <c r="AD921" s="708"/>
      <c r="AE921" s="708"/>
    </row>
    <row r="922">
      <c r="A922" s="708"/>
      <c r="B922" s="708"/>
      <c r="C922" s="708"/>
      <c r="D922" s="708"/>
      <c r="E922" s="708"/>
      <c r="F922" s="708"/>
      <c r="G922" s="708"/>
      <c r="H922" s="708"/>
      <c r="I922" s="708"/>
      <c r="J922" s="708"/>
      <c r="K922" s="708"/>
      <c r="L922" s="708"/>
      <c r="M922" s="708"/>
      <c r="N922" s="708"/>
      <c r="O922" s="708"/>
      <c r="P922" s="708"/>
      <c r="Q922" s="708"/>
      <c r="R922" s="708"/>
      <c r="S922" s="708"/>
      <c r="T922" s="708"/>
      <c r="U922" s="708"/>
      <c r="V922" s="708"/>
      <c r="W922" s="708"/>
      <c r="X922" s="708"/>
      <c r="Y922" s="708"/>
      <c r="Z922" s="708"/>
      <c r="AA922" s="708"/>
      <c r="AB922" s="708"/>
      <c r="AC922" s="708"/>
      <c r="AD922" s="708"/>
      <c r="AE922" s="708"/>
    </row>
    <row r="923">
      <c r="A923" s="708"/>
      <c r="B923" s="708"/>
      <c r="C923" s="708"/>
      <c r="D923" s="708"/>
      <c r="E923" s="708"/>
      <c r="F923" s="708"/>
      <c r="G923" s="708"/>
      <c r="H923" s="708"/>
      <c r="I923" s="708"/>
      <c r="J923" s="708"/>
      <c r="K923" s="708"/>
      <c r="L923" s="708"/>
      <c r="M923" s="708"/>
      <c r="N923" s="708"/>
      <c r="O923" s="708"/>
      <c r="P923" s="708"/>
      <c r="Q923" s="708"/>
      <c r="R923" s="708"/>
      <c r="S923" s="708"/>
      <c r="T923" s="708"/>
      <c r="U923" s="708"/>
      <c r="V923" s="708"/>
      <c r="W923" s="708"/>
      <c r="X923" s="708"/>
      <c r="Y923" s="708"/>
      <c r="Z923" s="708"/>
      <c r="AA923" s="708"/>
      <c r="AB923" s="708"/>
      <c r="AC923" s="708"/>
      <c r="AD923" s="708"/>
      <c r="AE923" s="708"/>
    </row>
    <row r="924">
      <c r="A924" s="708"/>
      <c r="B924" s="708"/>
      <c r="C924" s="708"/>
      <c r="D924" s="708"/>
      <c r="E924" s="708"/>
      <c r="F924" s="708"/>
      <c r="G924" s="708"/>
      <c r="H924" s="708"/>
      <c r="I924" s="708"/>
      <c r="J924" s="708"/>
      <c r="K924" s="708"/>
      <c r="L924" s="708"/>
      <c r="M924" s="708"/>
      <c r="N924" s="708"/>
      <c r="O924" s="708"/>
      <c r="P924" s="708"/>
      <c r="Q924" s="708"/>
      <c r="R924" s="708"/>
      <c r="S924" s="708"/>
      <c r="T924" s="708"/>
      <c r="U924" s="708"/>
      <c r="V924" s="708"/>
      <c r="W924" s="708"/>
      <c r="X924" s="708"/>
      <c r="Y924" s="708"/>
      <c r="Z924" s="708"/>
      <c r="AA924" s="708"/>
      <c r="AB924" s="708"/>
      <c r="AC924" s="708"/>
      <c r="AD924" s="708"/>
      <c r="AE924" s="708"/>
    </row>
    <row r="925">
      <c r="A925" s="708"/>
      <c r="B925" s="708"/>
      <c r="C925" s="708"/>
      <c r="D925" s="708"/>
      <c r="E925" s="708"/>
      <c r="F925" s="708"/>
      <c r="G925" s="708"/>
      <c r="H925" s="708"/>
      <c r="I925" s="708"/>
      <c r="J925" s="708"/>
      <c r="K925" s="708"/>
      <c r="L925" s="708"/>
      <c r="M925" s="708"/>
      <c r="N925" s="708"/>
      <c r="O925" s="708"/>
      <c r="P925" s="708"/>
      <c r="Q925" s="708"/>
      <c r="R925" s="708"/>
      <c r="S925" s="708"/>
      <c r="T925" s="708"/>
      <c r="U925" s="708"/>
      <c r="V925" s="708"/>
      <c r="W925" s="708"/>
      <c r="X925" s="708"/>
      <c r="Y925" s="708"/>
      <c r="Z925" s="708"/>
      <c r="AA925" s="708"/>
      <c r="AB925" s="708"/>
      <c r="AC925" s="708"/>
      <c r="AD925" s="708"/>
      <c r="AE925" s="708"/>
    </row>
    <row r="926">
      <c r="A926" s="708"/>
      <c r="B926" s="708"/>
      <c r="C926" s="708"/>
      <c r="D926" s="708"/>
      <c r="E926" s="708"/>
      <c r="F926" s="708"/>
      <c r="G926" s="708"/>
      <c r="H926" s="708"/>
      <c r="I926" s="708"/>
      <c r="J926" s="708"/>
      <c r="K926" s="708"/>
      <c r="L926" s="708"/>
      <c r="M926" s="708"/>
      <c r="N926" s="708"/>
      <c r="O926" s="708"/>
      <c r="P926" s="708"/>
      <c r="Q926" s="708"/>
      <c r="R926" s="708"/>
      <c r="S926" s="708"/>
      <c r="T926" s="708"/>
      <c r="U926" s="708"/>
      <c r="V926" s="708"/>
      <c r="W926" s="708"/>
      <c r="X926" s="708"/>
      <c r="Y926" s="708"/>
      <c r="Z926" s="708"/>
      <c r="AA926" s="708"/>
      <c r="AB926" s="708"/>
      <c r="AC926" s="708"/>
      <c r="AD926" s="708"/>
      <c r="AE926" s="708"/>
    </row>
    <row r="927">
      <c r="A927" s="708"/>
      <c r="B927" s="708"/>
      <c r="C927" s="708"/>
      <c r="D927" s="708"/>
      <c r="E927" s="708"/>
      <c r="F927" s="708"/>
      <c r="G927" s="708"/>
      <c r="H927" s="708"/>
      <c r="I927" s="708"/>
      <c r="J927" s="708"/>
      <c r="K927" s="708"/>
      <c r="L927" s="708"/>
      <c r="M927" s="708"/>
      <c r="N927" s="708"/>
      <c r="O927" s="708"/>
      <c r="P927" s="708"/>
      <c r="Q927" s="708"/>
      <c r="R927" s="708"/>
      <c r="S927" s="708"/>
      <c r="T927" s="708"/>
      <c r="U927" s="708"/>
      <c r="V927" s="708"/>
      <c r="W927" s="708"/>
      <c r="X927" s="708"/>
      <c r="Y927" s="708"/>
      <c r="Z927" s="708"/>
      <c r="AA927" s="708"/>
      <c r="AB927" s="708"/>
      <c r="AC927" s="708"/>
      <c r="AD927" s="708"/>
      <c r="AE927" s="708"/>
    </row>
    <row r="928">
      <c r="A928" s="708"/>
      <c r="B928" s="708"/>
      <c r="C928" s="708"/>
      <c r="D928" s="708"/>
      <c r="E928" s="708"/>
      <c r="F928" s="708"/>
      <c r="G928" s="708"/>
      <c r="H928" s="708"/>
      <c r="I928" s="708"/>
      <c r="J928" s="708"/>
      <c r="K928" s="708"/>
      <c r="L928" s="708"/>
      <c r="M928" s="708"/>
      <c r="N928" s="708"/>
      <c r="O928" s="708"/>
      <c r="P928" s="708"/>
      <c r="Q928" s="708"/>
      <c r="R928" s="708"/>
      <c r="S928" s="708"/>
      <c r="T928" s="708"/>
      <c r="U928" s="708"/>
      <c r="V928" s="708"/>
      <c r="W928" s="708"/>
      <c r="X928" s="708"/>
      <c r="Y928" s="708"/>
      <c r="Z928" s="708"/>
      <c r="AA928" s="708"/>
      <c r="AB928" s="708"/>
      <c r="AC928" s="708"/>
      <c r="AD928" s="708"/>
      <c r="AE928" s="708"/>
    </row>
    <row r="929">
      <c r="A929" s="708"/>
      <c r="B929" s="708"/>
      <c r="C929" s="708"/>
      <c r="D929" s="708"/>
      <c r="E929" s="708"/>
      <c r="F929" s="708"/>
      <c r="G929" s="708"/>
      <c r="H929" s="708"/>
      <c r="I929" s="708"/>
      <c r="J929" s="708"/>
      <c r="K929" s="708"/>
      <c r="L929" s="708"/>
      <c r="M929" s="708"/>
      <c r="N929" s="708"/>
      <c r="O929" s="708"/>
      <c r="P929" s="708"/>
      <c r="Q929" s="708"/>
      <c r="R929" s="708"/>
      <c r="S929" s="708"/>
      <c r="T929" s="708"/>
      <c r="U929" s="708"/>
      <c r="V929" s="708"/>
      <c r="W929" s="708"/>
      <c r="X929" s="708"/>
      <c r="Y929" s="708"/>
      <c r="Z929" s="708"/>
      <c r="AA929" s="708"/>
      <c r="AB929" s="708"/>
      <c r="AC929" s="708"/>
      <c r="AD929" s="708"/>
      <c r="AE929" s="708"/>
    </row>
    <row r="930">
      <c r="A930" s="708"/>
      <c r="B930" s="708"/>
      <c r="C930" s="708"/>
      <c r="D930" s="708"/>
      <c r="E930" s="708"/>
      <c r="F930" s="708"/>
      <c r="G930" s="708"/>
      <c r="H930" s="708"/>
      <c r="I930" s="708"/>
      <c r="J930" s="708"/>
      <c r="K930" s="708"/>
      <c r="L930" s="708"/>
      <c r="M930" s="708"/>
      <c r="N930" s="708"/>
      <c r="O930" s="708"/>
      <c r="P930" s="708"/>
      <c r="Q930" s="708"/>
      <c r="R930" s="708"/>
      <c r="S930" s="708"/>
      <c r="T930" s="708"/>
      <c r="U930" s="708"/>
      <c r="V930" s="708"/>
      <c r="W930" s="708"/>
      <c r="X930" s="708"/>
      <c r="Y930" s="708"/>
      <c r="Z930" s="708"/>
      <c r="AA930" s="708"/>
      <c r="AB930" s="708"/>
      <c r="AC930" s="708"/>
      <c r="AD930" s="708"/>
      <c r="AE930" s="708"/>
    </row>
    <row r="931">
      <c r="A931" s="708"/>
      <c r="B931" s="708"/>
      <c r="C931" s="708"/>
      <c r="D931" s="708"/>
      <c r="E931" s="708"/>
      <c r="F931" s="708"/>
      <c r="G931" s="708"/>
      <c r="H931" s="708"/>
      <c r="I931" s="708"/>
      <c r="J931" s="708"/>
      <c r="K931" s="708"/>
      <c r="L931" s="708"/>
      <c r="M931" s="708"/>
      <c r="N931" s="708"/>
      <c r="O931" s="708"/>
      <c r="P931" s="708"/>
      <c r="Q931" s="708"/>
      <c r="R931" s="708"/>
      <c r="S931" s="708"/>
      <c r="T931" s="708"/>
      <c r="U931" s="708"/>
      <c r="V931" s="708"/>
      <c r="W931" s="708"/>
      <c r="X931" s="708"/>
      <c r="Y931" s="708"/>
      <c r="Z931" s="708"/>
      <c r="AA931" s="708"/>
      <c r="AB931" s="708"/>
      <c r="AC931" s="708"/>
      <c r="AD931" s="708"/>
      <c r="AE931" s="708"/>
    </row>
    <row r="932">
      <c r="A932" s="708"/>
      <c r="B932" s="708"/>
      <c r="C932" s="708"/>
      <c r="D932" s="708"/>
      <c r="E932" s="708"/>
      <c r="F932" s="708"/>
      <c r="G932" s="708"/>
      <c r="H932" s="708"/>
      <c r="I932" s="708"/>
      <c r="J932" s="708"/>
      <c r="K932" s="708"/>
      <c r="L932" s="708"/>
      <c r="M932" s="708"/>
      <c r="N932" s="708"/>
      <c r="O932" s="708"/>
      <c r="P932" s="708"/>
      <c r="Q932" s="708"/>
      <c r="R932" s="708"/>
      <c r="S932" s="708"/>
      <c r="T932" s="708"/>
      <c r="U932" s="708"/>
      <c r="V932" s="708"/>
      <c r="W932" s="708"/>
      <c r="X932" s="708"/>
      <c r="Y932" s="708"/>
      <c r="Z932" s="708"/>
      <c r="AA932" s="708"/>
      <c r="AB932" s="708"/>
      <c r="AC932" s="708"/>
      <c r="AD932" s="708"/>
      <c r="AE932" s="708"/>
    </row>
    <row r="933">
      <c r="A933" s="708"/>
      <c r="B933" s="708"/>
      <c r="C933" s="708"/>
      <c r="D933" s="708"/>
      <c r="E933" s="708"/>
      <c r="F933" s="708"/>
      <c r="G933" s="708"/>
      <c r="H933" s="708"/>
      <c r="I933" s="708"/>
      <c r="J933" s="708"/>
      <c r="K933" s="708"/>
      <c r="L933" s="708"/>
      <c r="M933" s="708"/>
      <c r="N933" s="708"/>
      <c r="O933" s="708"/>
      <c r="P933" s="708"/>
      <c r="Q933" s="708"/>
      <c r="R933" s="708"/>
      <c r="S933" s="708"/>
      <c r="T933" s="708"/>
      <c r="U933" s="708"/>
      <c r="V933" s="708"/>
      <c r="W933" s="708"/>
      <c r="X933" s="708"/>
      <c r="Y933" s="708"/>
      <c r="Z933" s="708"/>
      <c r="AA933" s="708"/>
      <c r="AB933" s="708"/>
      <c r="AC933" s="708"/>
      <c r="AD933" s="708"/>
      <c r="AE933" s="708"/>
    </row>
    <row r="934">
      <c r="A934" s="708"/>
      <c r="B934" s="708"/>
      <c r="C934" s="708"/>
      <c r="D934" s="708"/>
      <c r="E934" s="708"/>
      <c r="F934" s="708"/>
      <c r="G934" s="708"/>
      <c r="H934" s="708"/>
      <c r="I934" s="708"/>
      <c r="J934" s="708"/>
      <c r="K934" s="708"/>
      <c r="L934" s="708"/>
      <c r="M934" s="708"/>
      <c r="N934" s="708"/>
      <c r="O934" s="708"/>
      <c r="P934" s="708"/>
      <c r="Q934" s="708"/>
      <c r="R934" s="708"/>
      <c r="S934" s="708"/>
      <c r="T934" s="708"/>
      <c r="U934" s="708"/>
      <c r="V934" s="708"/>
      <c r="W934" s="708"/>
      <c r="X934" s="708"/>
      <c r="Y934" s="708"/>
      <c r="Z934" s="708"/>
      <c r="AA934" s="708"/>
      <c r="AB934" s="708"/>
      <c r="AC934" s="708"/>
      <c r="AD934" s="708"/>
      <c r="AE934" s="708"/>
    </row>
    <row r="935">
      <c r="A935" s="708"/>
      <c r="B935" s="708"/>
      <c r="C935" s="708"/>
      <c r="D935" s="708"/>
      <c r="E935" s="708"/>
      <c r="F935" s="708"/>
      <c r="G935" s="708"/>
      <c r="H935" s="708"/>
      <c r="I935" s="708"/>
      <c r="J935" s="708"/>
      <c r="K935" s="708"/>
      <c r="L935" s="708"/>
      <c r="M935" s="708"/>
      <c r="N935" s="708"/>
      <c r="O935" s="708"/>
      <c r="P935" s="708"/>
      <c r="Q935" s="708"/>
      <c r="R935" s="708"/>
      <c r="S935" s="708"/>
      <c r="T935" s="708"/>
      <c r="U935" s="708"/>
      <c r="V935" s="708"/>
      <c r="W935" s="708"/>
      <c r="X935" s="708"/>
      <c r="Y935" s="708"/>
      <c r="Z935" s="708"/>
      <c r="AA935" s="708"/>
      <c r="AB935" s="708"/>
      <c r="AC935" s="708"/>
      <c r="AD935" s="708"/>
      <c r="AE935" s="708"/>
    </row>
    <row r="936">
      <c r="A936" s="708"/>
      <c r="B936" s="708"/>
      <c r="C936" s="708"/>
      <c r="D936" s="708"/>
      <c r="E936" s="708"/>
      <c r="F936" s="708"/>
      <c r="G936" s="708"/>
      <c r="H936" s="708"/>
      <c r="I936" s="708"/>
      <c r="J936" s="708"/>
      <c r="K936" s="708"/>
      <c r="L936" s="708"/>
      <c r="M936" s="708"/>
      <c r="N936" s="708"/>
      <c r="O936" s="708"/>
      <c r="P936" s="708"/>
      <c r="Q936" s="708"/>
      <c r="R936" s="708"/>
      <c r="S936" s="708"/>
      <c r="T936" s="708"/>
      <c r="U936" s="708"/>
      <c r="V936" s="708"/>
      <c r="W936" s="708"/>
      <c r="X936" s="708"/>
      <c r="Y936" s="708"/>
      <c r="Z936" s="708"/>
      <c r="AA936" s="708"/>
      <c r="AB936" s="708"/>
      <c r="AC936" s="708"/>
      <c r="AD936" s="708"/>
      <c r="AE936" s="708"/>
    </row>
    <row r="937">
      <c r="A937" s="708"/>
      <c r="B937" s="708"/>
      <c r="C937" s="708"/>
      <c r="D937" s="708"/>
      <c r="E937" s="708"/>
      <c r="F937" s="708"/>
      <c r="G937" s="708"/>
      <c r="H937" s="708"/>
      <c r="I937" s="708"/>
      <c r="J937" s="708"/>
      <c r="K937" s="708"/>
      <c r="L937" s="708"/>
      <c r="M937" s="708"/>
      <c r="N937" s="708"/>
      <c r="O937" s="708"/>
      <c r="P937" s="708"/>
      <c r="Q937" s="708"/>
      <c r="R937" s="708"/>
      <c r="S937" s="708"/>
      <c r="T937" s="708"/>
      <c r="U937" s="708"/>
      <c r="V937" s="708"/>
      <c r="W937" s="708"/>
      <c r="X937" s="708"/>
      <c r="Y937" s="708"/>
      <c r="Z937" s="708"/>
      <c r="AA937" s="708"/>
      <c r="AB937" s="708"/>
      <c r="AC937" s="708"/>
      <c r="AD937" s="708"/>
      <c r="AE937" s="708"/>
    </row>
    <row r="938">
      <c r="A938" s="708"/>
      <c r="B938" s="708"/>
      <c r="C938" s="708"/>
      <c r="D938" s="708"/>
      <c r="E938" s="708"/>
      <c r="F938" s="708"/>
      <c r="G938" s="708"/>
      <c r="H938" s="708"/>
      <c r="I938" s="708"/>
      <c r="J938" s="708"/>
      <c r="K938" s="708"/>
      <c r="L938" s="708"/>
      <c r="M938" s="708"/>
      <c r="N938" s="708"/>
      <c r="O938" s="708"/>
      <c r="P938" s="708"/>
      <c r="Q938" s="708"/>
      <c r="R938" s="708"/>
      <c r="S938" s="708"/>
      <c r="T938" s="708"/>
      <c r="U938" s="708"/>
      <c r="V938" s="708"/>
      <c r="W938" s="708"/>
      <c r="X938" s="708"/>
      <c r="Y938" s="708"/>
      <c r="Z938" s="708"/>
      <c r="AA938" s="708"/>
      <c r="AB938" s="708"/>
      <c r="AC938" s="708"/>
      <c r="AD938" s="708"/>
      <c r="AE938" s="708"/>
    </row>
    <row r="939">
      <c r="A939" s="708"/>
      <c r="B939" s="708"/>
      <c r="C939" s="708"/>
      <c r="D939" s="708"/>
      <c r="E939" s="708"/>
      <c r="F939" s="708"/>
      <c r="G939" s="708"/>
      <c r="H939" s="708"/>
      <c r="I939" s="708"/>
      <c r="J939" s="708"/>
      <c r="K939" s="708"/>
      <c r="L939" s="708"/>
      <c r="M939" s="708"/>
      <c r="N939" s="708"/>
      <c r="O939" s="708"/>
      <c r="P939" s="708"/>
      <c r="Q939" s="708"/>
      <c r="R939" s="708"/>
      <c r="S939" s="708"/>
      <c r="T939" s="708"/>
      <c r="U939" s="708"/>
      <c r="V939" s="708"/>
      <c r="W939" s="708"/>
      <c r="X939" s="708"/>
      <c r="Y939" s="708"/>
      <c r="Z939" s="708"/>
      <c r="AA939" s="708"/>
      <c r="AB939" s="708"/>
      <c r="AC939" s="708"/>
      <c r="AD939" s="708"/>
      <c r="AE939" s="708"/>
    </row>
    <row r="940">
      <c r="A940" s="708"/>
      <c r="B940" s="708"/>
      <c r="C940" s="708"/>
      <c r="D940" s="708"/>
      <c r="E940" s="708"/>
      <c r="F940" s="708"/>
      <c r="G940" s="708"/>
      <c r="H940" s="708"/>
      <c r="I940" s="708"/>
      <c r="J940" s="708"/>
      <c r="K940" s="708"/>
      <c r="L940" s="708"/>
      <c r="M940" s="708"/>
      <c r="N940" s="708"/>
      <c r="O940" s="708"/>
      <c r="P940" s="708"/>
      <c r="Q940" s="708"/>
      <c r="R940" s="708"/>
      <c r="S940" s="708"/>
      <c r="T940" s="708"/>
      <c r="U940" s="708"/>
      <c r="V940" s="708"/>
      <c r="W940" s="708"/>
      <c r="X940" s="708"/>
      <c r="Y940" s="708"/>
      <c r="Z940" s="708"/>
      <c r="AA940" s="708"/>
      <c r="AB940" s="708"/>
      <c r="AC940" s="708"/>
      <c r="AD940" s="708"/>
      <c r="AE940" s="708"/>
    </row>
    <row r="941">
      <c r="A941" s="708"/>
      <c r="B941" s="708"/>
      <c r="C941" s="708"/>
      <c r="D941" s="708"/>
      <c r="E941" s="708"/>
      <c r="F941" s="708"/>
      <c r="G941" s="708"/>
      <c r="H941" s="708"/>
      <c r="I941" s="708"/>
      <c r="J941" s="708"/>
      <c r="K941" s="708"/>
      <c r="L941" s="708"/>
      <c r="M941" s="708"/>
      <c r="N941" s="708"/>
      <c r="O941" s="708"/>
      <c r="P941" s="708"/>
      <c r="Q941" s="708"/>
      <c r="R941" s="708"/>
      <c r="S941" s="708"/>
      <c r="T941" s="708"/>
      <c r="U941" s="708"/>
      <c r="V941" s="708"/>
      <c r="W941" s="708"/>
      <c r="X941" s="708"/>
      <c r="Y941" s="708"/>
      <c r="Z941" s="708"/>
      <c r="AA941" s="708"/>
      <c r="AB941" s="708"/>
      <c r="AC941" s="708"/>
      <c r="AD941" s="708"/>
      <c r="AE941" s="708"/>
    </row>
    <row r="942">
      <c r="A942" s="708"/>
      <c r="B942" s="708"/>
      <c r="C942" s="708"/>
      <c r="D942" s="708"/>
      <c r="E942" s="708"/>
      <c r="F942" s="708"/>
      <c r="G942" s="708"/>
      <c r="H942" s="708"/>
      <c r="I942" s="708"/>
      <c r="J942" s="708"/>
      <c r="K942" s="708"/>
      <c r="L942" s="708"/>
      <c r="M942" s="708"/>
      <c r="N942" s="708"/>
      <c r="O942" s="708"/>
      <c r="P942" s="708"/>
      <c r="Q942" s="708"/>
      <c r="R942" s="708"/>
      <c r="S942" s="708"/>
      <c r="T942" s="708"/>
      <c r="U942" s="708"/>
      <c r="V942" s="708"/>
      <c r="W942" s="708"/>
      <c r="X942" s="708"/>
      <c r="Y942" s="708"/>
      <c r="Z942" s="708"/>
      <c r="AA942" s="708"/>
      <c r="AB942" s="708"/>
      <c r="AC942" s="708"/>
      <c r="AD942" s="708"/>
      <c r="AE942" s="708"/>
    </row>
    <row r="943">
      <c r="A943" s="708"/>
      <c r="B943" s="708"/>
      <c r="C943" s="708"/>
      <c r="D943" s="708"/>
      <c r="E943" s="708"/>
      <c r="F943" s="708"/>
      <c r="G943" s="708"/>
      <c r="H943" s="708"/>
      <c r="I943" s="708"/>
      <c r="J943" s="708"/>
      <c r="K943" s="708"/>
      <c r="L943" s="708"/>
      <c r="M943" s="708"/>
      <c r="N943" s="708"/>
      <c r="O943" s="708"/>
      <c r="P943" s="708"/>
      <c r="Q943" s="708"/>
      <c r="R943" s="708"/>
      <c r="S943" s="708"/>
      <c r="T943" s="708"/>
      <c r="U943" s="708"/>
      <c r="V943" s="708"/>
      <c r="W943" s="708"/>
      <c r="X943" s="708"/>
      <c r="Y943" s="708"/>
      <c r="Z943" s="708"/>
      <c r="AA943" s="708"/>
      <c r="AB943" s="708"/>
      <c r="AC943" s="708"/>
      <c r="AD943" s="708"/>
      <c r="AE943" s="708"/>
    </row>
    <row r="944">
      <c r="A944" s="708"/>
      <c r="B944" s="708"/>
      <c r="C944" s="708"/>
      <c r="D944" s="708"/>
      <c r="E944" s="708"/>
      <c r="F944" s="708"/>
      <c r="G944" s="708"/>
      <c r="H944" s="708"/>
      <c r="I944" s="708"/>
      <c r="J944" s="708"/>
      <c r="K944" s="708"/>
      <c r="L944" s="708"/>
      <c r="M944" s="708"/>
      <c r="N944" s="708"/>
      <c r="O944" s="708"/>
      <c r="P944" s="708"/>
      <c r="Q944" s="708"/>
      <c r="R944" s="708"/>
      <c r="S944" s="708"/>
      <c r="T944" s="708"/>
      <c r="U944" s="708"/>
      <c r="V944" s="708"/>
      <c r="W944" s="708"/>
      <c r="X944" s="708"/>
      <c r="Y944" s="708"/>
      <c r="Z944" s="708"/>
      <c r="AA944" s="708"/>
      <c r="AB944" s="708"/>
      <c r="AC944" s="708"/>
      <c r="AD944" s="708"/>
      <c r="AE944" s="708"/>
    </row>
    <row r="945">
      <c r="A945" s="708"/>
      <c r="B945" s="708"/>
      <c r="C945" s="708"/>
      <c r="D945" s="708"/>
      <c r="E945" s="708"/>
      <c r="F945" s="708"/>
      <c r="G945" s="708"/>
      <c r="H945" s="708"/>
      <c r="I945" s="708"/>
      <c r="J945" s="708"/>
      <c r="K945" s="708"/>
      <c r="L945" s="708"/>
      <c r="M945" s="708"/>
      <c r="N945" s="708"/>
      <c r="O945" s="708"/>
      <c r="P945" s="708"/>
      <c r="Q945" s="708"/>
      <c r="R945" s="708"/>
      <c r="S945" s="708"/>
      <c r="T945" s="708"/>
      <c r="U945" s="708"/>
      <c r="V945" s="708"/>
      <c r="W945" s="708"/>
      <c r="X945" s="708"/>
      <c r="Y945" s="708"/>
      <c r="Z945" s="708"/>
      <c r="AA945" s="708"/>
      <c r="AB945" s="708"/>
      <c r="AC945" s="708"/>
      <c r="AD945" s="708"/>
      <c r="AE945" s="708"/>
    </row>
    <row r="946">
      <c r="A946" s="708"/>
      <c r="B946" s="708"/>
      <c r="C946" s="708"/>
      <c r="D946" s="708"/>
      <c r="E946" s="708"/>
      <c r="F946" s="708"/>
      <c r="G946" s="708"/>
      <c r="H946" s="708"/>
      <c r="I946" s="708"/>
      <c r="J946" s="708"/>
      <c r="K946" s="708"/>
      <c r="L946" s="708"/>
      <c r="M946" s="708"/>
      <c r="N946" s="708"/>
      <c r="O946" s="708"/>
      <c r="P946" s="708"/>
      <c r="Q946" s="708"/>
      <c r="R946" s="708"/>
      <c r="S946" s="708"/>
      <c r="T946" s="708"/>
      <c r="U946" s="708"/>
      <c r="V946" s="708"/>
      <c r="W946" s="708"/>
      <c r="X946" s="708"/>
      <c r="Y946" s="708"/>
      <c r="Z946" s="708"/>
      <c r="AA946" s="708"/>
      <c r="AB946" s="708"/>
      <c r="AC946" s="708"/>
      <c r="AD946" s="708"/>
      <c r="AE946" s="708"/>
    </row>
    <row r="947">
      <c r="A947" s="708"/>
      <c r="B947" s="708"/>
      <c r="C947" s="708"/>
      <c r="D947" s="708"/>
      <c r="E947" s="708"/>
      <c r="F947" s="708"/>
      <c r="G947" s="708"/>
      <c r="H947" s="708"/>
      <c r="I947" s="708"/>
      <c r="J947" s="708"/>
      <c r="K947" s="708"/>
      <c r="L947" s="708"/>
      <c r="M947" s="708"/>
      <c r="N947" s="708"/>
      <c r="O947" s="708"/>
      <c r="P947" s="708"/>
      <c r="Q947" s="708"/>
      <c r="R947" s="708"/>
      <c r="S947" s="708"/>
      <c r="T947" s="708"/>
      <c r="U947" s="708"/>
      <c r="V947" s="708"/>
      <c r="W947" s="708"/>
      <c r="X947" s="708"/>
      <c r="Y947" s="708"/>
      <c r="Z947" s="708"/>
      <c r="AA947" s="708"/>
      <c r="AB947" s="708"/>
      <c r="AC947" s="708"/>
      <c r="AD947" s="708"/>
      <c r="AE947" s="708"/>
    </row>
    <row r="948">
      <c r="A948" s="708"/>
      <c r="B948" s="708"/>
      <c r="C948" s="708"/>
      <c r="D948" s="708"/>
      <c r="E948" s="708"/>
      <c r="F948" s="708"/>
      <c r="G948" s="708"/>
      <c r="H948" s="708"/>
      <c r="I948" s="708"/>
      <c r="J948" s="708"/>
      <c r="K948" s="708"/>
      <c r="L948" s="708"/>
      <c r="M948" s="708"/>
      <c r="N948" s="708"/>
      <c r="O948" s="708"/>
      <c r="P948" s="708"/>
      <c r="Q948" s="708"/>
      <c r="R948" s="708"/>
      <c r="S948" s="708"/>
      <c r="T948" s="708"/>
      <c r="U948" s="708"/>
      <c r="V948" s="708"/>
      <c r="W948" s="708"/>
      <c r="X948" s="708"/>
      <c r="Y948" s="708"/>
      <c r="Z948" s="708"/>
      <c r="AA948" s="708"/>
      <c r="AB948" s="708"/>
      <c r="AC948" s="708"/>
      <c r="AD948" s="708"/>
      <c r="AE948" s="708"/>
    </row>
    <row r="949">
      <c r="A949" s="708"/>
      <c r="B949" s="708"/>
      <c r="C949" s="708"/>
      <c r="D949" s="708"/>
      <c r="E949" s="708"/>
      <c r="F949" s="708"/>
      <c r="G949" s="708"/>
      <c r="H949" s="708"/>
      <c r="I949" s="708"/>
      <c r="J949" s="708"/>
      <c r="K949" s="708"/>
      <c r="L949" s="708"/>
      <c r="M949" s="708"/>
      <c r="N949" s="708"/>
      <c r="O949" s="708"/>
      <c r="P949" s="708"/>
      <c r="Q949" s="708"/>
      <c r="R949" s="708"/>
      <c r="S949" s="708"/>
      <c r="T949" s="708"/>
      <c r="U949" s="708"/>
      <c r="V949" s="708"/>
      <c r="W949" s="708"/>
      <c r="X949" s="708"/>
      <c r="Y949" s="708"/>
      <c r="Z949" s="708"/>
      <c r="AA949" s="708"/>
      <c r="AB949" s="708"/>
      <c r="AC949" s="708"/>
      <c r="AD949" s="708"/>
      <c r="AE949" s="708"/>
    </row>
    <row r="950">
      <c r="A950" s="708"/>
      <c r="B950" s="708"/>
      <c r="C950" s="708"/>
      <c r="D950" s="708"/>
      <c r="E950" s="708"/>
      <c r="F950" s="708"/>
      <c r="G950" s="708"/>
      <c r="H950" s="708"/>
      <c r="I950" s="708"/>
      <c r="J950" s="708"/>
      <c r="K950" s="708"/>
      <c r="L950" s="708"/>
      <c r="M950" s="708"/>
      <c r="N950" s="708"/>
      <c r="O950" s="708"/>
      <c r="P950" s="708"/>
      <c r="Q950" s="708"/>
      <c r="R950" s="708"/>
      <c r="S950" s="708"/>
      <c r="T950" s="708"/>
      <c r="U950" s="708"/>
      <c r="V950" s="708"/>
      <c r="W950" s="708"/>
      <c r="X950" s="708"/>
      <c r="Y950" s="708"/>
      <c r="Z950" s="708"/>
      <c r="AA950" s="708"/>
      <c r="AB950" s="708"/>
      <c r="AC950" s="708"/>
      <c r="AD950" s="708"/>
      <c r="AE950" s="708"/>
    </row>
    <row r="951">
      <c r="A951" s="708"/>
      <c r="B951" s="708"/>
      <c r="C951" s="708"/>
      <c r="D951" s="708"/>
      <c r="E951" s="708"/>
      <c r="F951" s="708"/>
      <c r="G951" s="708"/>
      <c r="H951" s="708"/>
      <c r="I951" s="708"/>
      <c r="J951" s="708"/>
      <c r="K951" s="708"/>
      <c r="L951" s="708"/>
      <c r="M951" s="708"/>
      <c r="N951" s="708"/>
      <c r="O951" s="708"/>
      <c r="P951" s="708"/>
      <c r="Q951" s="708"/>
      <c r="R951" s="708"/>
      <c r="S951" s="708"/>
      <c r="T951" s="708"/>
      <c r="U951" s="708"/>
      <c r="V951" s="708"/>
      <c r="W951" s="708"/>
      <c r="X951" s="708"/>
      <c r="Y951" s="708"/>
      <c r="Z951" s="708"/>
      <c r="AA951" s="708"/>
      <c r="AB951" s="708"/>
      <c r="AC951" s="708"/>
      <c r="AD951" s="708"/>
      <c r="AE951" s="708"/>
    </row>
    <row r="952">
      <c r="A952" s="708"/>
      <c r="B952" s="708"/>
      <c r="C952" s="708"/>
      <c r="D952" s="708"/>
      <c r="E952" s="708"/>
      <c r="F952" s="708"/>
      <c r="G952" s="708"/>
      <c r="H952" s="708"/>
      <c r="I952" s="708"/>
      <c r="J952" s="708"/>
      <c r="K952" s="708"/>
      <c r="L952" s="708"/>
      <c r="M952" s="708"/>
      <c r="N952" s="708"/>
      <c r="O952" s="708"/>
      <c r="P952" s="708"/>
      <c r="Q952" s="708"/>
      <c r="R952" s="708"/>
      <c r="S952" s="708"/>
      <c r="T952" s="708"/>
      <c r="U952" s="708"/>
      <c r="V952" s="708"/>
      <c r="W952" s="708"/>
      <c r="X952" s="708"/>
      <c r="Y952" s="708"/>
      <c r="Z952" s="708"/>
      <c r="AA952" s="708"/>
      <c r="AB952" s="708"/>
      <c r="AC952" s="708"/>
      <c r="AD952" s="708"/>
      <c r="AE952" s="708"/>
    </row>
    <row r="953">
      <c r="A953" s="708"/>
      <c r="B953" s="708"/>
      <c r="C953" s="708"/>
      <c r="D953" s="708"/>
      <c r="E953" s="708"/>
      <c r="F953" s="708"/>
      <c r="G953" s="708"/>
      <c r="H953" s="708"/>
      <c r="I953" s="708"/>
      <c r="J953" s="708"/>
      <c r="K953" s="708"/>
      <c r="L953" s="708"/>
      <c r="M953" s="708"/>
      <c r="N953" s="708"/>
      <c r="O953" s="708"/>
      <c r="P953" s="708"/>
      <c r="Q953" s="708"/>
      <c r="R953" s="708"/>
      <c r="S953" s="708"/>
      <c r="T953" s="708"/>
      <c r="U953" s="708"/>
      <c r="V953" s="708"/>
      <c r="W953" s="708"/>
      <c r="X953" s="708"/>
      <c r="Y953" s="708"/>
      <c r="Z953" s="708"/>
      <c r="AA953" s="708"/>
      <c r="AB953" s="708"/>
      <c r="AC953" s="708"/>
      <c r="AD953" s="708"/>
      <c r="AE953" s="708"/>
    </row>
    <row r="954">
      <c r="A954" s="708"/>
      <c r="B954" s="708"/>
      <c r="C954" s="708"/>
      <c r="D954" s="708"/>
      <c r="E954" s="708"/>
      <c r="F954" s="708"/>
      <c r="G954" s="708"/>
      <c r="H954" s="708"/>
      <c r="I954" s="708"/>
      <c r="J954" s="708"/>
      <c r="K954" s="708"/>
      <c r="L954" s="708"/>
      <c r="M954" s="708"/>
      <c r="N954" s="708"/>
      <c r="O954" s="708"/>
      <c r="P954" s="708"/>
      <c r="Q954" s="708"/>
      <c r="R954" s="708"/>
      <c r="S954" s="708"/>
      <c r="T954" s="708"/>
      <c r="U954" s="708"/>
      <c r="V954" s="708"/>
      <c r="W954" s="708"/>
      <c r="X954" s="708"/>
      <c r="Y954" s="708"/>
      <c r="Z954" s="708"/>
      <c r="AA954" s="708"/>
      <c r="AB954" s="708"/>
      <c r="AC954" s="708"/>
      <c r="AD954" s="708"/>
      <c r="AE954" s="708"/>
    </row>
    <row r="955">
      <c r="A955" s="708"/>
      <c r="B955" s="708"/>
      <c r="C955" s="708"/>
      <c r="D955" s="708"/>
      <c r="E955" s="708"/>
      <c r="F955" s="708"/>
      <c r="G955" s="708"/>
      <c r="H955" s="708"/>
      <c r="I955" s="708"/>
      <c r="J955" s="708"/>
      <c r="K955" s="708"/>
      <c r="L955" s="708"/>
      <c r="M955" s="708"/>
      <c r="N955" s="708"/>
      <c r="O955" s="708"/>
      <c r="P955" s="708"/>
      <c r="Q955" s="708"/>
      <c r="R955" s="708"/>
      <c r="S955" s="708"/>
      <c r="T955" s="708"/>
      <c r="U955" s="708"/>
      <c r="V955" s="708"/>
      <c r="W955" s="708"/>
      <c r="X955" s="708"/>
      <c r="Y955" s="708"/>
      <c r="Z955" s="708"/>
      <c r="AA955" s="708"/>
      <c r="AB955" s="708"/>
      <c r="AC955" s="708"/>
      <c r="AD955" s="708"/>
      <c r="AE955" s="708"/>
    </row>
    <row r="956">
      <c r="A956" s="708"/>
      <c r="B956" s="708"/>
      <c r="C956" s="708"/>
      <c r="D956" s="708"/>
      <c r="E956" s="708"/>
      <c r="F956" s="708"/>
      <c r="G956" s="708"/>
      <c r="H956" s="708"/>
      <c r="I956" s="708"/>
      <c r="J956" s="708"/>
      <c r="K956" s="708"/>
      <c r="L956" s="708"/>
      <c r="M956" s="708"/>
      <c r="N956" s="708"/>
      <c r="O956" s="708"/>
      <c r="P956" s="708"/>
      <c r="Q956" s="708"/>
      <c r="R956" s="708"/>
      <c r="S956" s="708"/>
      <c r="T956" s="708"/>
      <c r="U956" s="708"/>
      <c r="V956" s="708"/>
      <c r="W956" s="708"/>
      <c r="X956" s="708"/>
      <c r="Y956" s="708"/>
      <c r="Z956" s="708"/>
      <c r="AA956" s="708"/>
      <c r="AB956" s="708"/>
      <c r="AC956" s="708"/>
      <c r="AD956" s="708"/>
      <c r="AE956" s="708"/>
    </row>
    <row r="957">
      <c r="A957" s="708"/>
      <c r="B957" s="708"/>
      <c r="C957" s="708"/>
      <c r="D957" s="708"/>
      <c r="E957" s="708"/>
      <c r="F957" s="708"/>
      <c r="G957" s="708"/>
      <c r="H957" s="708"/>
      <c r="I957" s="708"/>
      <c r="J957" s="708"/>
      <c r="K957" s="708"/>
      <c r="L957" s="708"/>
      <c r="M957" s="708"/>
      <c r="N957" s="708"/>
      <c r="O957" s="708"/>
      <c r="P957" s="708"/>
      <c r="Q957" s="708"/>
      <c r="R957" s="708"/>
      <c r="S957" s="708"/>
      <c r="T957" s="708"/>
      <c r="U957" s="708"/>
      <c r="V957" s="708"/>
      <c r="W957" s="708"/>
      <c r="X957" s="708"/>
      <c r="Y957" s="708"/>
      <c r="Z957" s="708"/>
      <c r="AA957" s="708"/>
      <c r="AB957" s="708"/>
      <c r="AC957" s="708"/>
      <c r="AD957" s="708"/>
      <c r="AE957" s="708"/>
    </row>
    <row r="958">
      <c r="A958" s="708"/>
      <c r="B958" s="708"/>
      <c r="C958" s="708"/>
      <c r="D958" s="708"/>
      <c r="E958" s="708"/>
      <c r="F958" s="708"/>
      <c r="G958" s="708"/>
      <c r="H958" s="708"/>
      <c r="I958" s="708"/>
      <c r="J958" s="708"/>
      <c r="K958" s="708"/>
      <c r="L958" s="708"/>
      <c r="M958" s="708"/>
      <c r="N958" s="708"/>
      <c r="O958" s="708"/>
      <c r="P958" s="708"/>
      <c r="Q958" s="708"/>
      <c r="R958" s="708"/>
      <c r="S958" s="708"/>
      <c r="T958" s="708"/>
      <c r="U958" s="708"/>
      <c r="V958" s="708"/>
      <c r="W958" s="708"/>
      <c r="X958" s="708"/>
      <c r="Y958" s="708"/>
      <c r="Z958" s="708"/>
      <c r="AA958" s="708"/>
      <c r="AB958" s="708"/>
      <c r="AC958" s="708"/>
      <c r="AD958" s="708"/>
      <c r="AE958" s="708"/>
    </row>
    <row r="959">
      <c r="A959" s="708"/>
      <c r="B959" s="708"/>
      <c r="C959" s="708"/>
      <c r="D959" s="708"/>
      <c r="E959" s="708"/>
      <c r="F959" s="708"/>
      <c r="G959" s="708"/>
      <c r="H959" s="708"/>
      <c r="I959" s="708"/>
      <c r="J959" s="708"/>
      <c r="K959" s="708"/>
      <c r="L959" s="708"/>
      <c r="M959" s="708"/>
      <c r="N959" s="708"/>
      <c r="O959" s="708"/>
      <c r="P959" s="708"/>
      <c r="Q959" s="708"/>
      <c r="R959" s="708"/>
      <c r="S959" s="708"/>
      <c r="T959" s="708"/>
      <c r="U959" s="708"/>
      <c r="V959" s="708"/>
      <c r="W959" s="708"/>
      <c r="X959" s="708"/>
      <c r="Y959" s="708"/>
      <c r="Z959" s="708"/>
      <c r="AA959" s="708"/>
      <c r="AB959" s="708"/>
      <c r="AC959" s="708"/>
      <c r="AD959" s="708"/>
      <c r="AE959" s="708"/>
    </row>
    <row r="960">
      <c r="A960" s="708"/>
      <c r="B960" s="708"/>
      <c r="C960" s="708"/>
      <c r="D960" s="708"/>
      <c r="E960" s="708"/>
      <c r="F960" s="708"/>
      <c r="G960" s="708"/>
      <c r="H960" s="708"/>
      <c r="I960" s="708"/>
      <c r="J960" s="708"/>
      <c r="K960" s="708"/>
      <c r="L960" s="708"/>
      <c r="M960" s="708"/>
      <c r="N960" s="708"/>
      <c r="O960" s="708"/>
      <c r="P960" s="708"/>
      <c r="Q960" s="708"/>
      <c r="R960" s="708"/>
      <c r="S960" s="708"/>
      <c r="T960" s="708"/>
      <c r="U960" s="708"/>
      <c r="V960" s="708"/>
      <c r="W960" s="708"/>
      <c r="X960" s="708"/>
      <c r="Y960" s="708"/>
      <c r="Z960" s="708"/>
      <c r="AA960" s="708"/>
      <c r="AB960" s="708"/>
      <c r="AC960" s="708"/>
      <c r="AD960" s="708"/>
      <c r="AE960" s="708"/>
    </row>
    <row r="961">
      <c r="A961" s="708"/>
      <c r="B961" s="708"/>
      <c r="C961" s="708"/>
      <c r="D961" s="708"/>
      <c r="E961" s="708"/>
      <c r="F961" s="708"/>
      <c r="G961" s="708"/>
      <c r="H961" s="708"/>
      <c r="I961" s="708"/>
      <c r="J961" s="708"/>
      <c r="K961" s="708"/>
      <c r="L961" s="708"/>
      <c r="M961" s="708"/>
      <c r="N961" s="708"/>
      <c r="O961" s="708"/>
      <c r="P961" s="708"/>
      <c r="Q961" s="708"/>
      <c r="R961" s="708"/>
      <c r="S961" s="708"/>
      <c r="T961" s="708"/>
      <c r="U961" s="708"/>
      <c r="V961" s="708"/>
      <c r="W961" s="708"/>
      <c r="X961" s="708"/>
      <c r="Y961" s="708"/>
      <c r="Z961" s="708"/>
      <c r="AA961" s="708"/>
      <c r="AB961" s="708"/>
      <c r="AC961" s="708"/>
      <c r="AD961" s="708"/>
      <c r="AE961" s="708"/>
    </row>
    <row r="962">
      <c r="A962" s="708"/>
      <c r="B962" s="708"/>
      <c r="C962" s="708"/>
      <c r="D962" s="708"/>
      <c r="E962" s="708"/>
      <c r="F962" s="708"/>
      <c r="G962" s="708"/>
      <c r="H962" s="708"/>
      <c r="I962" s="708"/>
      <c r="J962" s="708"/>
      <c r="K962" s="708"/>
      <c r="L962" s="708"/>
      <c r="M962" s="708"/>
      <c r="N962" s="708"/>
      <c r="O962" s="708"/>
      <c r="P962" s="708"/>
      <c r="Q962" s="708"/>
      <c r="R962" s="708"/>
      <c r="S962" s="708"/>
      <c r="T962" s="708"/>
      <c r="U962" s="708"/>
      <c r="V962" s="708"/>
      <c r="W962" s="708"/>
      <c r="X962" s="708"/>
      <c r="Y962" s="708"/>
      <c r="Z962" s="708"/>
      <c r="AA962" s="708"/>
      <c r="AB962" s="708"/>
      <c r="AC962" s="708"/>
      <c r="AD962" s="708"/>
      <c r="AE962" s="708"/>
    </row>
    <row r="963">
      <c r="A963" s="708"/>
      <c r="B963" s="708"/>
      <c r="C963" s="708"/>
      <c r="D963" s="708"/>
      <c r="E963" s="708"/>
      <c r="F963" s="708"/>
      <c r="G963" s="708"/>
      <c r="H963" s="708"/>
      <c r="I963" s="708"/>
      <c r="J963" s="708"/>
      <c r="K963" s="708"/>
      <c r="L963" s="708"/>
      <c r="M963" s="708"/>
      <c r="N963" s="708"/>
      <c r="O963" s="708"/>
      <c r="P963" s="708"/>
      <c r="Q963" s="708"/>
      <c r="R963" s="708"/>
      <c r="S963" s="708"/>
      <c r="T963" s="708"/>
      <c r="U963" s="708"/>
      <c r="V963" s="708"/>
      <c r="W963" s="708"/>
      <c r="X963" s="708"/>
      <c r="Y963" s="708"/>
      <c r="Z963" s="708"/>
      <c r="AA963" s="708"/>
      <c r="AB963" s="708"/>
      <c r="AC963" s="708"/>
      <c r="AD963" s="708"/>
      <c r="AE963" s="708"/>
    </row>
    <row r="964">
      <c r="A964" s="708"/>
      <c r="B964" s="708"/>
      <c r="C964" s="708"/>
      <c r="D964" s="708"/>
      <c r="E964" s="708"/>
      <c r="F964" s="708"/>
      <c r="G964" s="708"/>
      <c r="H964" s="708"/>
      <c r="I964" s="708"/>
      <c r="J964" s="708"/>
      <c r="K964" s="708"/>
      <c r="L964" s="708"/>
      <c r="M964" s="708"/>
      <c r="N964" s="708"/>
      <c r="O964" s="708"/>
      <c r="P964" s="708"/>
      <c r="Q964" s="708"/>
      <c r="R964" s="708"/>
      <c r="S964" s="708"/>
      <c r="T964" s="708"/>
      <c r="U964" s="708"/>
      <c r="V964" s="708"/>
      <c r="W964" s="708"/>
      <c r="X964" s="708"/>
      <c r="Y964" s="708"/>
      <c r="Z964" s="708"/>
      <c r="AA964" s="708"/>
      <c r="AB964" s="708"/>
      <c r="AC964" s="708"/>
      <c r="AD964" s="708"/>
      <c r="AE964" s="708"/>
    </row>
    <row r="965">
      <c r="A965" s="708"/>
      <c r="B965" s="708"/>
      <c r="C965" s="708"/>
      <c r="D965" s="708"/>
      <c r="E965" s="708"/>
      <c r="F965" s="708"/>
      <c r="G965" s="708"/>
      <c r="H965" s="708"/>
      <c r="I965" s="708"/>
      <c r="J965" s="708"/>
      <c r="K965" s="708"/>
      <c r="L965" s="708"/>
      <c r="M965" s="708"/>
      <c r="N965" s="708"/>
      <c r="O965" s="708"/>
      <c r="P965" s="708"/>
      <c r="Q965" s="708"/>
      <c r="R965" s="708"/>
      <c r="S965" s="708"/>
      <c r="T965" s="708"/>
      <c r="U965" s="708"/>
      <c r="V965" s="708"/>
      <c r="W965" s="708"/>
      <c r="X965" s="708"/>
      <c r="Y965" s="708"/>
      <c r="Z965" s="708"/>
      <c r="AA965" s="708"/>
      <c r="AB965" s="708"/>
      <c r="AC965" s="708"/>
      <c r="AD965" s="708"/>
      <c r="AE965" s="708"/>
    </row>
    <row r="966">
      <c r="A966" s="708"/>
      <c r="B966" s="708"/>
      <c r="C966" s="708"/>
      <c r="D966" s="708"/>
      <c r="E966" s="708"/>
      <c r="F966" s="708"/>
      <c r="G966" s="708"/>
      <c r="H966" s="708"/>
      <c r="I966" s="708"/>
      <c r="J966" s="708"/>
      <c r="K966" s="708"/>
      <c r="L966" s="708"/>
      <c r="M966" s="708"/>
      <c r="N966" s="708"/>
      <c r="O966" s="708"/>
      <c r="P966" s="708"/>
      <c r="Q966" s="708"/>
      <c r="R966" s="708"/>
      <c r="S966" s="708"/>
      <c r="T966" s="708"/>
      <c r="U966" s="708"/>
      <c r="V966" s="708"/>
      <c r="W966" s="708"/>
      <c r="X966" s="708"/>
      <c r="Y966" s="708"/>
      <c r="Z966" s="708"/>
      <c r="AA966" s="708"/>
      <c r="AB966" s="708"/>
      <c r="AC966" s="708"/>
      <c r="AD966" s="708"/>
      <c r="AE966" s="708"/>
    </row>
    <row r="967">
      <c r="A967" s="708"/>
      <c r="B967" s="708"/>
      <c r="C967" s="708"/>
      <c r="D967" s="708"/>
      <c r="E967" s="708"/>
      <c r="F967" s="708"/>
      <c r="G967" s="708"/>
      <c r="H967" s="708"/>
      <c r="I967" s="708"/>
      <c r="J967" s="708"/>
      <c r="K967" s="708"/>
      <c r="L967" s="708"/>
      <c r="M967" s="708"/>
      <c r="N967" s="708"/>
      <c r="O967" s="708"/>
      <c r="P967" s="708"/>
      <c r="Q967" s="708"/>
      <c r="R967" s="708"/>
      <c r="S967" s="708"/>
      <c r="T967" s="708"/>
      <c r="U967" s="708"/>
      <c r="V967" s="708"/>
      <c r="W967" s="708"/>
      <c r="X967" s="708"/>
      <c r="Y967" s="708"/>
      <c r="Z967" s="708"/>
      <c r="AA967" s="708"/>
      <c r="AB967" s="708"/>
      <c r="AC967" s="708"/>
      <c r="AD967" s="708"/>
      <c r="AE967" s="708"/>
    </row>
    <row r="968">
      <c r="A968" s="708"/>
      <c r="B968" s="708"/>
      <c r="C968" s="708"/>
      <c r="D968" s="708"/>
      <c r="E968" s="708"/>
      <c r="F968" s="708"/>
      <c r="G968" s="708"/>
      <c r="H968" s="708"/>
      <c r="I968" s="708"/>
      <c r="J968" s="708"/>
      <c r="K968" s="708"/>
      <c r="L968" s="708"/>
      <c r="M968" s="708"/>
      <c r="N968" s="708"/>
      <c r="O968" s="708"/>
      <c r="P968" s="708"/>
      <c r="Q968" s="708"/>
      <c r="R968" s="708"/>
      <c r="S968" s="708"/>
      <c r="T968" s="708"/>
      <c r="U968" s="708"/>
      <c r="V968" s="708"/>
      <c r="W968" s="708"/>
      <c r="X968" s="708"/>
      <c r="Y968" s="708"/>
      <c r="Z968" s="708"/>
      <c r="AA968" s="708"/>
      <c r="AB968" s="708"/>
      <c r="AC968" s="708"/>
      <c r="AD968" s="708"/>
      <c r="AE968" s="708"/>
    </row>
    <row r="969">
      <c r="A969" s="708"/>
      <c r="B969" s="708"/>
      <c r="C969" s="708"/>
      <c r="D969" s="708"/>
      <c r="E969" s="708"/>
      <c r="F969" s="708"/>
      <c r="G969" s="708"/>
      <c r="H969" s="708"/>
      <c r="I969" s="708"/>
      <c r="J969" s="708"/>
      <c r="K969" s="708"/>
      <c r="L969" s="708"/>
      <c r="M969" s="708"/>
      <c r="N969" s="708"/>
      <c r="O969" s="708"/>
      <c r="P969" s="708"/>
      <c r="Q969" s="708"/>
      <c r="R969" s="708"/>
      <c r="S969" s="708"/>
      <c r="T969" s="708"/>
      <c r="U969" s="708"/>
      <c r="V969" s="708"/>
      <c r="W969" s="708"/>
      <c r="X969" s="708"/>
      <c r="Y969" s="708"/>
      <c r="Z969" s="708"/>
      <c r="AA969" s="708"/>
      <c r="AB969" s="708"/>
      <c r="AC969" s="708"/>
      <c r="AD969" s="708"/>
      <c r="AE969" s="708"/>
    </row>
    <row r="970">
      <c r="A970" s="708"/>
      <c r="B970" s="708"/>
      <c r="C970" s="708"/>
      <c r="D970" s="708"/>
      <c r="E970" s="708"/>
      <c r="F970" s="708"/>
      <c r="G970" s="708"/>
      <c r="H970" s="708"/>
      <c r="I970" s="708"/>
      <c r="J970" s="708"/>
      <c r="K970" s="708"/>
      <c r="L970" s="708"/>
      <c r="M970" s="708"/>
      <c r="N970" s="708"/>
      <c r="O970" s="708"/>
      <c r="P970" s="708"/>
      <c r="Q970" s="708"/>
      <c r="R970" s="708"/>
      <c r="S970" s="708"/>
      <c r="T970" s="708"/>
      <c r="U970" s="708"/>
      <c r="V970" s="708"/>
      <c r="W970" s="708"/>
      <c r="X970" s="708"/>
      <c r="Y970" s="708"/>
      <c r="Z970" s="708"/>
      <c r="AA970" s="708"/>
      <c r="AB970" s="708"/>
      <c r="AC970" s="708"/>
      <c r="AD970" s="708"/>
      <c r="AE970" s="708"/>
    </row>
    <row r="971">
      <c r="A971" s="708"/>
      <c r="B971" s="708"/>
      <c r="C971" s="708"/>
      <c r="D971" s="708"/>
      <c r="E971" s="708"/>
      <c r="F971" s="708"/>
      <c r="G971" s="708"/>
      <c r="H971" s="708"/>
      <c r="I971" s="708"/>
      <c r="J971" s="708"/>
      <c r="K971" s="708"/>
      <c r="L971" s="708"/>
      <c r="M971" s="708"/>
      <c r="N971" s="708"/>
      <c r="O971" s="708"/>
      <c r="P971" s="708"/>
      <c r="Q971" s="708"/>
      <c r="R971" s="708"/>
      <c r="S971" s="708"/>
      <c r="T971" s="708"/>
      <c r="U971" s="708"/>
      <c r="V971" s="708"/>
      <c r="W971" s="708"/>
      <c r="X971" s="708"/>
      <c r="Y971" s="708"/>
      <c r="Z971" s="708"/>
      <c r="AA971" s="708"/>
      <c r="AB971" s="708"/>
      <c r="AC971" s="708"/>
      <c r="AD971" s="708"/>
      <c r="AE971" s="708"/>
    </row>
    <row r="972">
      <c r="A972" s="708"/>
      <c r="B972" s="708"/>
      <c r="C972" s="708"/>
      <c r="D972" s="708"/>
      <c r="E972" s="708"/>
      <c r="F972" s="708"/>
      <c r="G972" s="708"/>
      <c r="H972" s="708"/>
      <c r="I972" s="708"/>
      <c r="J972" s="708"/>
      <c r="K972" s="708"/>
      <c r="L972" s="708"/>
      <c r="M972" s="708"/>
      <c r="N972" s="708"/>
      <c r="O972" s="708"/>
      <c r="P972" s="708"/>
      <c r="Q972" s="708"/>
      <c r="R972" s="708"/>
      <c r="S972" s="708"/>
      <c r="T972" s="708"/>
      <c r="U972" s="708"/>
      <c r="V972" s="708"/>
      <c r="W972" s="708"/>
      <c r="X972" s="708"/>
      <c r="Y972" s="708"/>
      <c r="Z972" s="708"/>
      <c r="AA972" s="708"/>
      <c r="AB972" s="708"/>
      <c r="AC972" s="708"/>
      <c r="AD972" s="708"/>
      <c r="AE972" s="708"/>
    </row>
    <row r="973">
      <c r="A973" s="708"/>
      <c r="B973" s="708"/>
      <c r="C973" s="708"/>
      <c r="D973" s="708"/>
      <c r="E973" s="708"/>
      <c r="F973" s="708"/>
      <c r="G973" s="708"/>
      <c r="H973" s="708"/>
      <c r="I973" s="708"/>
      <c r="J973" s="708"/>
      <c r="K973" s="708"/>
      <c r="L973" s="708"/>
      <c r="M973" s="708"/>
      <c r="N973" s="708"/>
      <c r="O973" s="708"/>
      <c r="P973" s="708"/>
      <c r="Q973" s="708"/>
      <c r="R973" s="708"/>
      <c r="S973" s="708"/>
      <c r="T973" s="708"/>
      <c r="U973" s="708"/>
      <c r="V973" s="708"/>
      <c r="W973" s="708"/>
      <c r="X973" s="708"/>
      <c r="Y973" s="708"/>
      <c r="Z973" s="708"/>
      <c r="AA973" s="708"/>
      <c r="AB973" s="708"/>
      <c r="AC973" s="708"/>
      <c r="AD973" s="708"/>
      <c r="AE973" s="708"/>
    </row>
    <row r="974">
      <c r="A974" s="708"/>
      <c r="B974" s="708"/>
      <c r="C974" s="708"/>
      <c r="D974" s="708"/>
      <c r="E974" s="708"/>
      <c r="F974" s="708"/>
      <c r="G974" s="708"/>
      <c r="H974" s="708"/>
      <c r="I974" s="708"/>
      <c r="J974" s="708"/>
      <c r="K974" s="708"/>
      <c r="L974" s="708"/>
      <c r="M974" s="708"/>
      <c r="N974" s="708"/>
      <c r="O974" s="708"/>
      <c r="P974" s="708"/>
      <c r="Q974" s="708"/>
      <c r="R974" s="708"/>
      <c r="S974" s="708"/>
      <c r="T974" s="708"/>
      <c r="U974" s="708"/>
      <c r="V974" s="708"/>
      <c r="W974" s="708"/>
      <c r="X974" s="708"/>
      <c r="Y974" s="708"/>
      <c r="Z974" s="708"/>
      <c r="AA974" s="708"/>
      <c r="AB974" s="708"/>
      <c r="AC974" s="708"/>
      <c r="AD974" s="708"/>
      <c r="AE974" s="708"/>
    </row>
    <row r="975">
      <c r="A975" s="708"/>
      <c r="B975" s="708"/>
      <c r="C975" s="708"/>
      <c r="D975" s="708"/>
      <c r="E975" s="708"/>
      <c r="F975" s="708"/>
      <c r="G975" s="708"/>
      <c r="H975" s="708"/>
      <c r="I975" s="708"/>
      <c r="J975" s="708"/>
      <c r="K975" s="708"/>
      <c r="L975" s="708"/>
      <c r="M975" s="708"/>
      <c r="N975" s="708"/>
      <c r="O975" s="708"/>
      <c r="P975" s="708"/>
      <c r="Q975" s="708"/>
      <c r="R975" s="708"/>
      <c r="S975" s="708"/>
      <c r="T975" s="708"/>
      <c r="U975" s="708"/>
      <c r="V975" s="708"/>
      <c r="W975" s="708"/>
      <c r="X975" s="708"/>
      <c r="Y975" s="708"/>
      <c r="Z975" s="708"/>
      <c r="AA975" s="708"/>
      <c r="AB975" s="708"/>
      <c r="AC975" s="708"/>
      <c r="AD975" s="708"/>
      <c r="AE975" s="708"/>
    </row>
    <row r="976">
      <c r="A976" s="708"/>
      <c r="B976" s="708"/>
      <c r="C976" s="708"/>
      <c r="D976" s="708"/>
      <c r="E976" s="708"/>
      <c r="F976" s="708"/>
      <c r="G976" s="708"/>
      <c r="H976" s="708"/>
      <c r="I976" s="708"/>
      <c r="J976" s="708"/>
      <c r="K976" s="708"/>
      <c r="L976" s="708"/>
      <c r="M976" s="708"/>
      <c r="N976" s="708"/>
      <c r="O976" s="708"/>
      <c r="P976" s="708"/>
      <c r="Q976" s="708"/>
      <c r="R976" s="708"/>
      <c r="S976" s="708"/>
      <c r="T976" s="708"/>
      <c r="U976" s="708"/>
      <c r="V976" s="708"/>
      <c r="W976" s="708"/>
      <c r="X976" s="708"/>
      <c r="Y976" s="708"/>
      <c r="Z976" s="708"/>
      <c r="AA976" s="708"/>
      <c r="AB976" s="708"/>
      <c r="AC976" s="708"/>
      <c r="AD976" s="708"/>
      <c r="AE976" s="708"/>
    </row>
    <row r="977">
      <c r="A977" s="708"/>
      <c r="B977" s="708"/>
      <c r="C977" s="708"/>
      <c r="D977" s="708"/>
      <c r="E977" s="708"/>
      <c r="F977" s="708"/>
      <c r="G977" s="708"/>
      <c r="H977" s="708"/>
      <c r="I977" s="708"/>
      <c r="J977" s="708"/>
      <c r="K977" s="708"/>
      <c r="L977" s="708"/>
      <c r="M977" s="708"/>
      <c r="N977" s="708"/>
      <c r="O977" s="708"/>
      <c r="P977" s="708"/>
      <c r="Q977" s="708"/>
      <c r="R977" s="708"/>
      <c r="S977" s="708"/>
      <c r="T977" s="708"/>
      <c r="U977" s="708"/>
      <c r="V977" s="708"/>
      <c r="W977" s="708"/>
      <c r="X977" s="708"/>
      <c r="Y977" s="708"/>
      <c r="Z977" s="708"/>
      <c r="AA977" s="708"/>
      <c r="AB977" s="708"/>
      <c r="AC977" s="708"/>
      <c r="AD977" s="708"/>
      <c r="AE977" s="708"/>
    </row>
    <row r="978">
      <c r="A978" s="708"/>
      <c r="B978" s="708"/>
      <c r="C978" s="708"/>
      <c r="D978" s="708"/>
      <c r="E978" s="708"/>
      <c r="F978" s="708"/>
      <c r="G978" s="708"/>
      <c r="H978" s="708"/>
      <c r="I978" s="708"/>
      <c r="J978" s="708"/>
      <c r="K978" s="708"/>
      <c r="L978" s="708"/>
      <c r="M978" s="708"/>
      <c r="N978" s="708"/>
      <c r="O978" s="708"/>
      <c r="P978" s="708"/>
      <c r="Q978" s="708"/>
      <c r="R978" s="708"/>
      <c r="S978" s="708"/>
      <c r="T978" s="708"/>
      <c r="U978" s="708"/>
      <c r="V978" s="708"/>
      <c r="W978" s="708"/>
      <c r="X978" s="708"/>
      <c r="Y978" s="708"/>
      <c r="Z978" s="708"/>
      <c r="AA978" s="708"/>
      <c r="AB978" s="708"/>
      <c r="AC978" s="708"/>
      <c r="AD978" s="708"/>
      <c r="AE978" s="708"/>
    </row>
    <row r="979">
      <c r="A979" s="708"/>
      <c r="B979" s="708"/>
      <c r="C979" s="708"/>
      <c r="D979" s="708"/>
      <c r="E979" s="708"/>
      <c r="F979" s="708"/>
      <c r="G979" s="708"/>
      <c r="H979" s="708"/>
      <c r="I979" s="708"/>
      <c r="J979" s="708"/>
      <c r="K979" s="708"/>
      <c r="L979" s="708"/>
      <c r="M979" s="708"/>
      <c r="N979" s="708"/>
      <c r="O979" s="708"/>
      <c r="P979" s="708"/>
      <c r="Q979" s="708"/>
      <c r="R979" s="708"/>
      <c r="S979" s="708"/>
      <c r="T979" s="708"/>
      <c r="U979" s="708"/>
      <c r="V979" s="708"/>
      <c r="W979" s="708"/>
      <c r="X979" s="708"/>
      <c r="Y979" s="708"/>
      <c r="Z979" s="708"/>
      <c r="AA979" s="708"/>
      <c r="AB979" s="708"/>
      <c r="AC979" s="708"/>
      <c r="AD979" s="708"/>
      <c r="AE979" s="708"/>
    </row>
    <row r="980">
      <c r="A980" s="708"/>
      <c r="B980" s="708"/>
      <c r="C980" s="708"/>
      <c r="D980" s="708"/>
      <c r="E980" s="708"/>
      <c r="F980" s="708"/>
      <c r="G980" s="708"/>
      <c r="H980" s="708"/>
      <c r="I980" s="708"/>
      <c r="J980" s="708"/>
      <c r="K980" s="708"/>
      <c r="L980" s="708"/>
      <c r="M980" s="708"/>
      <c r="N980" s="708"/>
      <c r="O980" s="708"/>
      <c r="P980" s="708"/>
      <c r="Q980" s="708"/>
      <c r="R980" s="708"/>
      <c r="S980" s="708"/>
      <c r="T980" s="708"/>
      <c r="U980" s="708"/>
      <c r="V980" s="708"/>
      <c r="W980" s="708"/>
      <c r="X980" s="708"/>
      <c r="Y980" s="708"/>
      <c r="Z980" s="708"/>
      <c r="AA980" s="708"/>
      <c r="AB980" s="708"/>
      <c r="AC980" s="708"/>
      <c r="AD980" s="708"/>
      <c r="AE980" s="708"/>
    </row>
    <row r="981">
      <c r="A981" s="708"/>
      <c r="B981" s="708"/>
      <c r="C981" s="708"/>
      <c r="D981" s="708"/>
      <c r="E981" s="708"/>
      <c r="F981" s="708"/>
      <c r="G981" s="708"/>
      <c r="H981" s="708"/>
      <c r="I981" s="708"/>
      <c r="J981" s="708"/>
      <c r="K981" s="708"/>
      <c r="L981" s="708"/>
      <c r="M981" s="708"/>
      <c r="N981" s="708"/>
      <c r="O981" s="708"/>
      <c r="P981" s="708"/>
      <c r="Q981" s="708"/>
      <c r="R981" s="708"/>
      <c r="S981" s="708"/>
      <c r="T981" s="708"/>
      <c r="U981" s="708"/>
      <c r="V981" s="708"/>
      <c r="W981" s="708"/>
      <c r="X981" s="708"/>
      <c r="Y981" s="708"/>
      <c r="Z981" s="708"/>
      <c r="AA981" s="708"/>
      <c r="AB981" s="708"/>
      <c r="AC981" s="708"/>
      <c r="AD981" s="708"/>
      <c r="AE981" s="708"/>
    </row>
    <row r="982">
      <c r="A982" s="708"/>
      <c r="B982" s="708"/>
      <c r="C982" s="708"/>
      <c r="D982" s="708"/>
      <c r="E982" s="708"/>
      <c r="F982" s="708"/>
      <c r="G982" s="708"/>
      <c r="H982" s="708"/>
      <c r="I982" s="708"/>
      <c r="J982" s="708"/>
      <c r="K982" s="708"/>
      <c r="L982" s="708"/>
      <c r="M982" s="708"/>
      <c r="N982" s="708"/>
      <c r="O982" s="708"/>
      <c r="P982" s="708"/>
      <c r="Q982" s="708"/>
      <c r="R982" s="708"/>
      <c r="S982" s="708"/>
      <c r="T982" s="708"/>
      <c r="U982" s="708"/>
      <c r="V982" s="708"/>
      <c r="W982" s="708"/>
      <c r="X982" s="708"/>
      <c r="Y982" s="708"/>
      <c r="Z982" s="708"/>
      <c r="AA982" s="708"/>
      <c r="AB982" s="708"/>
      <c r="AC982" s="708"/>
      <c r="AD982" s="708"/>
      <c r="AE982" s="708"/>
    </row>
    <row r="983">
      <c r="A983" s="708"/>
      <c r="B983" s="708"/>
      <c r="C983" s="708"/>
      <c r="D983" s="708"/>
      <c r="E983" s="708"/>
      <c r="F983" s="708"/>
      <c r="G983" s="708"/>
      <c r="H983" s="708"/>
      <c r="I983" s="708"/>
      <c r="J983" s="708"/>
      <c r="K983" s="708"/>
      <c r="L983" s="708"/>
      <c r="M983" s="708"/>
      <c r="N983" s="708"/>
      <c r="O983" s="708"/>
      <c r="P983" s="708"/>
      <c r="Q983" s="708"/>
      <c r="R983" s="708"/>
      <c r="S983" s="708"/>
      <c r="T983" s="708"/>
      <c r="U983" s="708"/>
      <c r="V983" s="708"/>
      <c r="W983" s="708"/>
      <c r="X983" s="708"/>
      <c r="Y983" s="708"/>
      <c r="Z983" s="708"/>
      <c r="AA983" s="708"/>
      <c r="AB983" s="708"/>
      <c r="AC983" s="708"/>
      <c r="AD983" s="708"/>
      <c r="AE983" s="708"/>
    </row>
    <row r="984">
      <c r="A984" s="708"/>
      <c r="B984" s="708"/>
      <c r="C984" s="708"/>
      <c r="D984" s="708"/>
      <c r="E984" s="708"/>
      <c r="F984" s="708"/>
      <c r="G984" s="708"/>
      <c r="H984" s="708"/>
      <c r="I984" s="708"/>
      <c r="J984" s="708"/>
      <c r="K984" s="708"/>
      <c r="L984" s="708"/>
      <c r="M984" s="708"/>
      <c r="N984" s="708"/>
      <c r="O984" s="708"/>
      <c r="P984" s="708"/>
      <c r="Q984" s="708"/>
      <c r="R984" s="708"/>
      <c r="S984" s="708"/>
      <c r="T984" s="708"/>
      <c r="U984" s="708"/>
      <c r="V984" s="708"/>
      <c r="W984" s="708"/>
      <c r="X984" s="708"/>
      <c r="Y984" s="708"/>
      <c r="Z984" s="708"/>
      <c r="AA984" s="708"/>
      <c r="AB984" s="708"/>
      <c r="AC984" s="708"/>
      <c r="AD984" s="708"/>
      <c r="AE984" s="708"/>
    </row>
    <row r="985">
      <c r="A985" s="708"/>
      <c r="B985" s="708"/>
      <c r="C985" s="708"/>
      <c r="D985" s="708"/>
      <c r="E985" s="708"/>
      <c r="F985" s="708"/>
      <c r="G985" s="708"/>
      <c r="H985" s="708"/>
      <c r="I985" s="708"/>
      <c r="J985" s="708"/>
      <c r="K985" s="708"/>
      <c r="L985" s="708"/>
      <c r="M985" s="708"/>
      <c r="N985" s="708"/>
      <c r="O985" s="708"/>
      <c r="P985" s="708"/>
      <c r="Q985" s="708"/>
      <c r="R985" s="708"/>
      <c r="S985" s="708"/>
      <c r="T985" s="708"/>
      <c r="U985" s="708"/>
      <c r="V985" s="708"/>
      <c r="W985" s="708"/>
      <c r="X985" s="708"/>
      <c r="Y985" s="708"/>
      <c r="Z985" s="708"/>
      <c r="AA985" s="708"/>
      <c r="AB985" s="708"/>
      <c r="AC985" s="708"/>
      <c r="AD985" s="708"/>
      <c r="AE985" s="708"/>
    </row>
    <row r="986">
      <c r="A986" s="708"/>
      <c r="B986" s="708"/>
      <c r="C986" s="708"/>
      <c r="D986" s="708"/>
      <c r="E986" s="708"/>
      <c r="F986" s="708"/>
      <c r="G986" s="708"/>
      <c r="H986" s="708"/>
      <c r="I986" s="708"/>
      <c r="J986" s="708"/>
      <c r="K986" s="708"/>
      <c r="L986" s="708"/>
      <c r="M986" s="708"/>
      <c r="N986" s="708"/>
      <c r="O986" s="708"/>
      <c r="P986" s="708"/>
      <c r="Q986" s="708"/>
      <c r="R986" s="708"/>
      <c r="S986" s="708"/>
      <c r="T986" s="708"/>
      <c r="U986" s="708"/>
      <c r="V986" s="708"/>
      <c r="W986" s="708"/>
      <c r="X986" s="708"/>
      <c r="Y986" s="708"/>
      <c r="Z986" s="708"/>
      <c r="AA986" s="708"/>
      <c r="AB986" s="708"/>
      <c r="AC986" s="708"/>
      <c r="AD986" s="708"/>
      <c r="AE986" s="708"/>
    </row>
    <row r="987">
      <c r="A987" s="708"/>
      <c r="B987" s="708"/>
      <c r="C987" s="708"/>
      <c r="D987" s="708"/>
      <c r="E987" s="708"/>
      <c r="F987" s="708"/>
      <c r="G987" s="708"/>
      <c r="H987" s="708"/>
      <c r="I987" s="708"/>
      <c r="J987" s="708"/>
      <c r="K987" s="708"/>
      <c r="L987" s="708"/>
      <c r="M987" s="708"/>
      <c r="N987" s="708"/>
      <c r="O987" s="708"/>
      <c r="P987" s="708"/>
      <c r="Q987" s="708"/>
      <c r="R987" s="708"/>
      <c r="S987" s="708"/>
      <c r="T987" s="708"/>
      <c r="U987" s="708"/>
      <c r="V987" s="708"/>
      <c r="W987" s="708"/>
      <c r="X987" s="708"/>
      <c r="Y987" s="708"/>
      <c r="Z987" s="708"/>
      <c r="AA987" s="708"/>
      <c r="AB987" s="708"/>
      <c r="AC987" s="708"/>
      <c r="AD987" s="708"/>
      <c r="AE987" s="708"/>
    </row>
    <row r="988">
      <c r="A988" s="708"/>
      <c r="B988" s="708"/>
      <c r="C988" s="708"/>
      <c r="D988" s="708"/>
      <c r="E988" s="708"/>
      <c r="F988" s="708"/>
      <c r="G988" s="708"/>
      <c r="H988" s="708"/>
      <c r="I988" s="708"/>
      <c r="J988" s="708"/>
      <c r="K988" s="708"/>
      <c r="L988" s="708"/>
      <c r="M988" s="708"/>
      <c r="N988" s="708"/>
      <c r="O988" s="708"/>
      <c r="P988" s="708"/>
      <c r="Q988" s="708"/>
      <c r="R988" s="708"/>
      <c r="S988" s="708"/>
      <c r="T988" s="708"/>
      <c r="U988" s="708"/>
      <c r="V988" s="708"/>
      <c r="W988" s="708"/>
      <c r="X988" s="708"/>
      <c r="Y988" s="708"/>
      <c r="Z988" s="708"/>
      <c r="AA988" s="708"/>
      <c r="AB988" s="708"/>
      <c r="AC988" s="708"/>
      <c r="AD988" s="708"/>
      <c r="AE988" s="708"/>
    </row>
    <row r="989">
      <c r="A989" s="708"/>
      <c r="B989" s="708"/>
      <c r="C989" s="708"/>
      <c r="D989" s="708"/>
      <c r="E989" s="708"/>
      <c r="F989" s="708"/>
      <c r="G989" s="708"/>
      <c r="H989" s="708"/>
      <c r="I989" s="708"/>
      <c r="J989" s="708"/>
      <c r="K989" s="708"/>
      <c r="L989" s="708"/>
      <c r="M989" s="708"/>
      <c r="N989" s="708"/>
      <c r="O989" s="708"/>
      <c r="P989" s="708"/>
      <c r="Q989" s="708"/>
      <c r="R989" s="708"/>
      <c r="S989" s="708"/>
      <c r="T989" s="708"/>
      <c r="U989" s="708"/>
      <c r="V989" s="708"/>
      <c r="W989" s="708"/>
      <c r="X989" s="708"/>
      <c r="Y989" s="708"/>
      <c r="Z989" s="708"/>
      <c r="AA989" s="708"/>
      <c r="AB989" s="708"/>
      <c r="AC989" s="708"/>
      <c r="AD989" s="708"/>
      <c r="AE989" s="708"/>
    </row>
    <row r="990">
      <c r="A990" s="708"/>
      <c r="B990" s="708"/>
      <c r="C990" s="708"/>
      <c r="D990" s="708"/>
      <c r="E990" s="708"/>
      <c r="F990" s="708"/>
      <c r="G990" s="708"/>
      <c r="H990" s="708"/>
      <c r="I990" s="708"/>
      <c r="J990" s="708"/>
      <c r="K990" s="708"/>
      <c r="L990" s="708"/>
      <c r="M990" s="708"/>
      <c r="N990" s="708"/>
      <c r="O990" s="708"/>
      <c r="P990" s="708"/>
      <c r="Q990" s="708"/>
      <c r="R990" s="708"/>
      <c r="S990" s="708"/>
      <c r="T990" s="708"/>
      <c r="U990" s="708"/>
      <c r="V990" s="708"/>
      <c r="W990" s="708"/>
      <c r="X990" s="708"/>
      <c r="Y990" s="708"/>
      <c r="Z990" s="708"/>
      <c r="AA990" s="708"/>
      <c r="AB990" s="708"/>
      <c r="AC990" s="708"/>
      <c r="AD990" s="708"/>
      <c r="AE990" s="708"/>
    </row>
    <row r="991">
      <c r="A991" s="708"/>
      <c r="B991" s="708"/>
      <c r="C991" s="708"/>
      <c r="D991" s="708"/>
      <c r="E991" s="708"/>
      <c r="F991" s="708"/>
      <c r="G991" s="708"/>
      <c r="H991" s="708"/>
      <c r="I991" s="708"/>
      <c r="J991" s="708"/>
      <c r="K991" s="708"/>
      <c r="L991" s="708"/>
      <c r="M991" s="708"/>
      <c r="N991" s="708"/>
      <c r="O991" s="708"/>
      <c r="P991" s="708"/>
      <c r="Q991" s="708"/>
      <c r="R991" s="708"/>
      <c r="S991" s="708"/>
      <c r="T991" s="708"/>
      <c r="U991" s="708"/>
      <c r="V991" s="708"/>
      <c r="W991" s="708"/>
      <c r="X991" s="708"/>
      <c r="Y991" s="708"/>
      <c r="Z991" s="708"/>
      <c r="AA991" s="708"/>
      <c r="AB991" s="708"/>
      <c r="AC991" s="708"/>
      <c r="AD991" s="708"/>
      <c r="AE991" s="708"/>
    </row>
    <row r="992">
      <c r="A992" s="708"/>
      <c r="B992" s="708"/>
      <c r="C992" s="708"/>
      <c r="D992" s="708"/>
      <c r="E992" s="708"/>
      <c r="F992" s="708"/>
      <c r="G992" s="708"/>
      <c r="H992" s="708"/>
      <c r="I992" s="708"/>
      <c r="J992" s="708"/>
      <c r="K992" s="708"/>
      <c r="L992" s="708"/>
      <c r="M992" s="708"/>
      <c r="N992" s="708"/>
      <c r="O992" s="708"/>
      <c r="P992" s="708"/>
      <c r="Q992" s="708"/>
      <c r="R992" s="708"/>
      <c r="S992" s="708"/>
      <c r="T992" s="708"/>
      <c r="U992" s="708"/>
      <c r="V992" s="708"/>
      <c r="W992" s="708"/>
      <c r="X992" s="708"/>
      <c r="Y992" s="708"/>
      <c r="Z992" s="708"/>
      <c r="AA992" s="708"/>
      <c r="AB992" s="708"/>
      <c r="AC992" s="708"/>
      <c r="AD992" s="708"/>
      <c r="AE992" s="708"/>
    </row>
    <row r="993">
      <c r="A993" s="708"/>
      <c r="B993" s="708"/>
      <c r="C993" s="708"/>
      <c r="D993" s="708"/>
      <c r="E993" s="708"/>
      <c r="F993" s="708"/>
      <c r="G993" s="708"/>
      <c r="H993" s="708"/>
      <c r="I993" s="708"/>
      <c r="J993" s="708"/>
      <c r="K993" s="708"/>
      <c r="L993" s="708"/>
      <c r="M993" s="708"/>
      <c r="N993" s="708"/>
      <c r="O993" s="708"/>
      <c r="P993" s="708"/>
      <c r="Q993" s="708"/>
      <c r="R993" s="708"/>
      <c r="S993" s="708"/>
      <c r="T993" s="708"/>
      <c r="U993" s="708"/>
      <c r="V993" s="708"/>
      <c r="W993" s="708"/>
      <c r="X993" s="708"/>
      <c r="Y993" s="708"/>
      <c r="Z993" s="708"/>
      <c r="AA993" s="708"/>
      <c r="AB993" s="708"/>
      <c r="AC993" s="708"/>
      <c r="AD993" s="708"/>
      <c r="AE993" s="708"/>
    </row>
    <row r="994">
      <c r="A994" s="708"/>
      <c r="B994" s="708"/>
      <c r="C994" s="708"/>
      <c r="D994" s="708"/>
      <c r="E994" s="708"/>
      <c r="F994" s="708"/>
      <c r="G994" s="708"/>
      <c r="H994" s="708"/>
      <c r="I994" s="708"/>
      <c r="J994" s="708"/>
      <c r="K994" s="708"/>
      <c r="L994" s="708"/>
      <c r="M994" s="708"/>
      <c r="N994" s="708"/>
      <c r="O994" s="708"/>
      <c r="P994" s="708"/>
      <c r="Q994" s="708"/>
      <c r="R994" s="708"/>
      <c r="S994" s="708"/>
      <c r="T994" s="708"/>
      <c r="U994" s="708"/>
      <c r="V994" s="708"/>
      <c r="W994" s="708"/>
      <c r="X994" s="708"/>
      <c r="Y994" s="708"/>
      <c r="Z994" s="708"/>
      <c r="AA994" s="708"/>
      <c r="AB994" s="708"/>
      <c r="AC994" s="708"/>
      <c r="AD994" s="708"/>
      <c r="AE994" s="708"/>
    </row>
    <row r="995">
      <c r="A995" s="708"/>
      <c r="B995" s="708"/>
      <c r="C995" s="708"/>
      <c r="D995" s="708"/>
      <c r="E995" s="708"/>
      <c r="F995" s="708"/>
      <c r="G995" s="708"/>
      <c r="H995" s="708"/>
      <c r="I995" s="708"/>
      <c r="J995" s="708"/>
      <c r="K995" s="708"/>
      <c r="L995" s="708"/>
      <c r="M995" s="708"/>
      <c r="N995" s="708"/>
      <c r="O995" s="708"/>
      <c r="P995" s="708"/>
      <c r="Q995" s="708"/>
      <c r="R995" s="708"/>
      <c r="S995" s="708"/>
      <c r="T995" s="708"/>
      <c r="U995" s="708"/>
      <c r="V995" s="708"/>
      <c r="W995" s="708"/>
      <c r="X995" s="708"/>
      <c r="Y995" s="708"/>
      <c r="Z995" s="708"/>
      <c r="AA995" s="708"/>
      <c r="AB995" s="708"/>
      <c r="AC995" s="708"/>
      <c r="AD995" s="708"/>
      <c r="AE995" s="708"/>
    </row>
    <row r="996">
      <c r="A996" s="708"/>
      <c r="B996" s="708"/>
      <c r="C996" s="708"/>
      <c r="D996" s="708"/>
      <c r="E996" s="708"/>
      <c r="F996" s="708"/>
      <c r="G996" s="708"/>
      <c r="H996" s="708"/>
      <c r="I996" s="708"/>
      <c r="J996" s="708"/>
      <c r="K996" s="708"/>
      <c r="L996" s="708"/>
      <c r="M996" s="708"/>
      <c r="N996" s="708"/>
      <c r="O996" s="708"/>
      <c r="P996" s="708"/>
      <c r="Q996" s="708"/>
      <c r="R996" s="708"/>
      <c r="S996" s="708"/>
      <c r="T996" s="708"/>
      <c r="U996" s="708"/>
      <c r="V996" s="708"/>
      <c r="W996" s="708"/>
      <c r="X996" s="708"/>
      <c r="Y996" s="708"/>
      <c r="Z996" s="708"/>
      <c r="AA996" s="708"/>
      <c r="AB996" s="708"/>
      <c r="AC996" s="708"/>
      <c r="AD996" s="708"/>
      <c r="AE996" s="708"/>
    </row>
    <row r="997">
      <c r="A997" s="708"/>
      <c r="B997" s="708"/>
      <c r="C997" s="708"/>
      <c r="D997" s="708"/>
      <c r="E997" s="708"/>
      <c r="F997" s="708"/>
      <c r="G997" s="708"/>
      <c r="H997" s="708"/>
      <c r="I997" s="708"/>
      <c r="J997" s="708"/>
      <c r="K997" s="708"/>
      <c r="L997" s="708"/>
      <c r="M997" s="708"/>
      <c r="N997" s="708"/>
      <c r="O997" s="708"/>
      <c r="P997" s="708"/>
      <c r="Q997" s="708"/>
      <c r="R997" s="708"/>
      <c r="S997" s="708"/>
      <c r="T997" s="708"/>
      <c r="U997" s="708"/>
      <c r="V997" s="708"/>
      <c r="W997" s="708"/>
      <c r="X997" s="708"/>
      <c r="Y997" s="708"/>
      <c r="Z997" s="708"/>
      <c r="AA997" s="708"/>
      <c r="AB997" s="708"/>
      <c r="AC997" s="708"/>
      <c r="AD997" s="708"/>
      <c r="AE997" s="708"/>
    </row>
    <row r="998">
      <c r="A998" s="708"/>
      <c r="B998" s="708"/>
      <c r="C998" s="708"/>
      <c r="D998" s="708"/>
      <c r="E998" s="708"/>
      <c r="F998" s="708"/>
      <c r="G998" s="708"/>
      <c r="H998" s="708"/>
      <c r="I998" s="708"/>
      <c r="J998" s="708"/>
      <c r="K998" s="708"/>
      <c r="L998" s="708"/>
      <c r="M998" s="708"/>
      <c r="N998" s="708"/>
      <c r="O998" s="708"/>
      <c r="P998" s="708"/>
      <c r="Q998" s="708"/>
      <c r="R998" s="708"/>
      <c r="S998" s="708"/>
      <c r="T998" s="708"/>
      <c r="U998" s="708"/>
      <c r="V998" s="708"/>
      <c r="W998" s="708"/>
      <c r="X998" s="708"/>
      <c r="Y998" s="708"/>
      <c r="Z998" s="708"/>
      <c r="AA998" s="708"/>
      <c r="AB998" s="708"/>
      <c r="AC998" s="708"/>
      <c r="AD998" s="708"/>
      <c r="AE998" s="708"/>
    </row>
    <row r="999">
      <c r="A999" s="708"/>
      <c r="B999" s="708"/>
      <c r="C999" s="708"/>
      <c r="D999" s="708"/>
      <c r="E999" s="708"/>
      <c r="F999" s="708"/>
      <c r="G999" s="708"/>
      <c r="H999" s="708"/>
      <c r="I999" s="708"/>
      <c r="J999" s="708"/>
      <c r="K999" s="708"/>
      <c r="L999" s="708"/>
      <c r="M999" s="708"/>
      <c r="N999" s="708"/>
      <c r="O999" s="708"/>
      <c r="P999" s="708"/>
      <c r="Q999" s="708"/>
      <c r="R999" s="708"/>
      <c r="S999" s="708"/>
      <c r="T999" s="708"/>
      <c r="U999" s="708"/>
      <c r="V999" s="708"/>
      <c r="W999" s="708"/>
      <c r="X999" s="708"/>
      <c r="Y999" s="708"/>
      <c r="Z999" s="708"/>
      <c r="AA999" s="708"/>
      <c r="AB999" s="708"/>
      <c r="AC999" s="708"/>
      <c r="AD999" s="708"/>
      <c r="AE999" s="708"/>
    </row>
    <row r="1000">
      <c r="A1000" s="708"/>
      <c r="B1000" s="708"/>
      <c r="C1000" s="708"/>
      <c r="D1000" s="708"/>
      <c r="E1000" s="708"/>
      <c r="F1000" s="708"/>
      <c r="G1000" s="708"/>
      <c r="H1000" s="708"/>
      <c r="I1000" s="708"/>
      <c r="J1000" s="708"/>
      <c r="K1000" s="708"/>
      <c r="L1000" s="708"/>
      <c r="M1000" s="708"/>
      <c r="N1000" s="708"/>
      <c r="O1000" s="708"/>
      <c r="P1000" s="708"/>
      <c r="Q1000" s="708"/>
      <c r="R1000" s="708"/>
      <c r="S1000" s="708"/>
      <c r="T1000" s="708"/>
      <c r="U1000" s="708"/>
      <c r="V1000" s="708"/>
      <c r="W1000" s="708"/>
      <c r="X1000" s="708"/>
      <c r="Y1000" s="708"/>
      <c r="Z1000" s="708"/>
      <c r="AA1000" s="708"/>
      <c r="AB1000" s="708"/>
      <c r="AC1000" s="708"/>
      <c r="AD1000" s="708"/>
      <c r="AE1000" s="708"/>
    </row>
    <row r="1001">
      <c r="A1001" s="708"/>
      <c r="B1001" s="708"/>
      <c r="C1001" s="708"/>
      <c r="D1001" s="708"/>
      <c r="E1001" s="708"/>
      <c r="F1001" s="708"/>
      <c r="G1001" s="708"/>
      <c r="H1001" s="708"/>
      <c r="I1001" s="708"/>
      <c r="J1001" s="708"/>
      <c r="K1001" s="708"/>
      <c r="L1001" s="708"/>
      <c r="M1001" s="708"/>
      <c r="N1001" s="708"/>
      <c r="O1001" s="708"/>
      <c r="P1001" s="708"/>
      <c r="Q1001" s="708"/>
      <c r="R1001" s="708"/>
      <c r="S1001" s="708"/>
      <c r="T1001" s="708"/>
      <c r="U1001" s="708"/>
      <c r="V1001" s="708"/>
      <c r="W1001" s="708"/>
      <c r="X1001" s="708"/>
      <c r="Y1001" s="708"/>
      <c r="Z1001" s="708"/>
      <c r="AA1001" s="708"/>
      <c r="AB1001" s="708"/>
      <c r="AC1001" s="708"/>
      <c r="AD1001" s="708"/>
      <c r="AE1001" s="708"/>
    </row>
    <row r="1002">
      <c r="A1002" s="708"/>
      <c r="B1002" s="708"/>
      <c r="C1002" s="708"/>
      <c r="D1002" s="708"/>
      <c r="E1002" s="708"/>
      <c r="F1002" s="708"/>
      <c r="G1002" s="708"/>
      <c r="H1002" s="708"/>
      <c r="I1002" s="708"/>
      <c r="J1002" s="708"/>
      <c r="K1002" s="708"/>
      <c r="L1002" s="708"/>
      <c r="M1002" s="708"/>
      <c r="N1002" s="708"/>
      <c r="O1002" s="708"/>
      <c r="P1002" s="708"/>
      <c r="Q1002" s="708"/>
      <c r="R1002" s="708"/>
      <c r="S1002" s="708"/>
      <c r="T1002" s="708"/>
      <c r="U1002" s="708"/>
      <c r="V1002" s="708"/>
      <c r="W1002" s="708"/>
      <c r="X1002" s="708"/>
      <c r="Y1002" s="708"/>
      <c r="Z1002" s="708"/>
      <c r="AA1002" s="708"/>
      <c r="AB1002" s="708"/>
      <c r="AC1002" s="708"/>
      <c r="AD1002" s="708"/>
      <c r="AE1002" s="708"/>
    </row>
    <row r="1003">
      <c r="A1003" s="708"/>
      <c r="B1003" s="708"/>
      <c r="C1003" s="708"/>
      <c r="D1003" s="708"/>
      <c r="E1003" s="708"/>
      <c r="F1003" s="708"/>
      <c r="G1003" s="708"/>
      <c r="H1003" s="708"/>
      <c r="I1003" s="708"/>
      <c r="J1003" s="708"/>
      <c r="K1003" s="708"/>
      <c r="L1003" s="708"/>
      <c r="M1003" s="708"/>
      <c r="N1003" s="708"/>
      <c r="O1003" s="708"/>
      <c r="P1003" s="708"/>
      <c r="Q1003" s="708"/>
      <c r="R1003" s="708"/>
      <c r="S1003" s="708"/>
      <c r="T1003" s="708"/>
      <c r="U1003" s="708"/>
      <c r="V1003" s="708"/>
      <c r="W1003" s="708"/>
      <c r="X1003" s="708"/>
      <c r="Y1003" s="708"/>
      <c r="Z1003" s="708"/>
      <c r="AA1003" s="708"/>
      <c r="AB1003" s="708"/>
      <c r="AC1003" s="708"/>
      <c r="AD1003" s="708"/>
      <c r="AE1003" s="708"/>
    </row>
    <row r="1004">
      <c r="A1004" s="708"/>
      <c r="B1004" s="708"/>
      <c r="C1004" s="708"/>
      <c r="D1004" s="708"/>
      <c r="E1004" s="708"/>
      <c r="F1004" s="708"/>
      <c r="G1004" s="708"/>
      <c r="H1004" s="708"/>
      <c r="I1004" s="708"/>
      <c r="J1004" s="708"/>
      <c r="K1004" s="708"/>
      <c r="L1004" s="708"/>
      <c r="M1004" s="708"/>
      <c r="N1004" s="708"/>
      <c r="O1004" s="708"/>
      <c r="P1004" s="708"/>
      <c r="Q1004" s="708"/>
      <c r="R1004" s="708"/>
      <c r="S1004" s="708"/>
      <c r="T1004" s="708"/>
      <c r="U1004" s="708"/>
      <c r="V1004" s="708"/>
      <c r="W1004" s="708"/>
      <c r="X1004" s="708"/>
      <c r="Y1004" s="708"/>
      <c r="Z1004" s="708"/>
      <c r="AA1004" s="708"/>
      <c r="AB1004" s="708"/>
      <c r="AC1004" s="708"/>
      <c r="AD1004" s="708"/>
      <c r="AE1004" s="708"/>
    </row>
    <row r="1005">
      <c r="A1005" s="708"/>
      <c r="B1005" s="708"/>
      <c r="C1005" s="708"/>
      <c r="D1005" s="708"/>
      <c r="E1005" s="708"/>
      <c r="F1005" s="708"/>
      <c r="G1005" s="708"/>
      <c r="H1005" s="708"/>
      <c r="I1005" s="708"/>
      <c r="J1005" s="708"/>
      <c r="K1005" s="708"/>
      <c r="L1005" s="708"/>
      <c r="M1005" s="708"/>
      <c r="N1005" s="708"/>
      <c r="O1005" s="708"/>
      <c r="P1005" s="708"/>
      <c r="Q1005" s="708"/>
      <c r="R1005" s="708"/>
      <c r="S1005" s="708"/>
      <c r="T1005" s="708"/>
      <c r="U1005" s="708"/>
      <c r="V1005" s="708"/>
      <c r="W1005" s="708"/>
      <c r="X1005" s="708"/>
      <c r="Y1005" s="708"/>
      <c r="Z1005" s="708"/>
      <c r="AA1005" s="708"/>
      <c r="AB1005" s="708"/>
      <c r="AC1005" s="708"/>
      <c r="AD1005" s="708"/>
      <c r="AE1005" s="708"/>
    </row>
    <row r="1006">
      <c r="A1006" s="708"/>
      <c r="B1006" s="708"/>
      <c r="C1006" s="708"/>
      <c r="D1006" s="708"/>
      <c r="E1006" s="708"/>
      <c r="F1006" s="708"/>
      <c r="G1006" s="708"/>
      <c r="H1006" s="708"/>
      <c r="I1006" s="708"/>
      <c r="J1006" s="708"/>
      <c r="K1006" s="708"/>
      <c r="L1006" s="708"/>
      <c r="M1006" s="708"/>
      <c r="N1006" s="708"/>
      <c r="O1006" s="708"/>
      <c r="P1006" s="708"/>
      <c r="Q1006" s="708"/>
      <c r="R1006" s="708"/>
      <c r="S1006" s="708"/>
      <c r="T1006" s="708"/>
      <c r="U1006" s="708"/>
      <c r="V1006" s="708"/>
      <c r="W1006" s="708"/>
      <c r="X1006" s="708"/>
      <c r="Y1006" s="708"/>
      <c r="Z1006" s="708"/>
      <c r="AA1006" s="708"/>
      <c r="AB1006" s="708"/>
      <c r="AC1006" s="708"/>
      <c r="AD1006" s="708"/>
      <c r="AE1006" s="708"/>
    </row>
    <row r="1007">
      <c r="A1007" s="708"/>
      <c r="B1007" s="708"/>
      <c r="C1007" s="708"/>
      <c r="D1007" s="708"/>
      <c r="E1007" s="708"/>
      <c r="F1007" s="708"/>
      <c r="G1007" s="708"/>
      <c r="H1007" s="708"/>
      <c r="I1007" s="708"/>
      <c r="J1007" s="708"/>
      <c r="K1007" s="708"/>
      <c r="L1007" s="708"/>
      <c r="M1007" s="708"/>
      <c r="N1007" s="708"/>
      <c r="O1007" s="708"/>
      <c r="P1007" s="708"/>
      <c r="Q1007" s="708"/>
      <c r="R1007" s="708"/>
      <c r="S1007" s="708"/>
      <c r="T1007" s="708"/>
      <c r="U1007" s="708"/>
      <c r="V1007" s="708"/>
      <c r="W1007" s="708"/>
      <c r="X1007" s="708"/>
      <c r="Y1007" s="708"/>
      <c r="Z1007" s="708"/>
      <c r="AA1007" s="708"/>
      <c r="AB1007" s="708"/>
      <c r="AC1007" s="708"/>
      <c r="AD1007" s="708"/>
      <c r="AE1007" s="708"/>
    </row>
    <row r="1008">
      <c r="A1008" s="708"/>
      <c r="B1008" s="708"/>
      <c r="C1008" s="708"/>
      <c r="D1008" s="708"/>
      <c r="E1008" s="708"/>
      <c r="F1008" s="708"/>
      <c r="G1008" s="708"/>
      <c r="H1008" s="708"/>
      <c r="I1008" s="708"/>
      <c r="J1008" s="708"/>
      <c r="K1008" s="708"/>
      <c r="L1008" s="708"/>
      <c r="M1008" s="708"/>
      <c r="N1008" s="708"/>
      <c r="O1008" s="708"/>
      <c r="P1008" s="708"/>
      <c r="Q1008" s="708"/>
      <c r="R1008" s="708"/>
      <c r="S1008" s="708"/>
      <c r="T1008" s="708"/>
      <c r="U1008" s="708"/>
      <c r="V1008" s="708"/>
      <c r="W1008" s="708"/>
      <c r="X1008" s="708"/>
      <c r="Y1008" s="708"/>
      <c r="Z1008" s="708"/>
      <c r="AA1008" s="708"/>
      <c r="AB1008" s="708"/>
      <c r="AC1008" s="708"/>
      <c r="AD1008" s="708"/>
      <c r="AE1008" s="708"/>
    </row>
    <row r="1009">
      <c r="A1009" s="708"/>
      <c r="B1009" s="708"/>
      <c r="C1009" s="708"/>
      <c r="D1009" s="708"/>
      <c r="E1009" s="708"/>
      <c r="F1009" s="708"/>
      <c r="G1009" s="708"/>
      <c r="H1009" s="708"/>
      <c r="I1009" s="708"/>
      <c r="J1009" s="708"/>
      <c r="K1009" s="708"/>
      <c r="L1009" s="708"/>
      <c r="M1009" s="708"/>
      <c r="N1009" s="708"/>
      <c r="O1009" s="708"/>
      <c r="P1009" s="708"/>
      <c r="Q1009" s="708"/>
      <c r="R1009" s="708"/>
      <c r="S1009" s="708"/>
      <c r="T1009" s="708"/>
      <c r="U1009" s="708"/>
      <c r="V1009" s="708"/>
      <c r="W1009" s="708"/>
      <c r="X1009" s="708"/>
      <c r="Y1009" s="708"/>
      <c r="Z1009" s="708"/>
      <c r="AA1009" s="708"/>
      <c r="AB1009" s="708"/>
      <c r="AC1009" s="708"/>
      <c r="AD1009" s="708"/>
      <c r="AE1009" s="708"/>
    </row>
    <row r="1010">
      <c r="A1010" s="708"/>
      <c r="B1010" s="708"/>
      <c r="C1010" s="708"/>
      <c r="D1010" s="708"/>
      <c r="E1010" s="708"/>
      <c r="F1010" s="708"/>
      <c r="G1010" s="708"/>
      <c r="H1010" s="708"/>
      <c r="I1010" s="708"/>
      <c r="J1010" s="708"/>
      <c r="K1010" s="708"/>
      <c r="L1010" s="708"/>
      <c r="M1010" s="708"/>
      <c r="N1010" s="708"/>
      <c r="O1010" s="708"/>
      <c r="P1010" s="708"/>
      <c r="Q1010" s="708"/>
      <c r="R1010" s="708"/>
      <c r="S1010" s="708"/>
      <c r="T1010" s="708"/>
      <c r="U1010" s="708"/>
      <c r="V1010" s="708"/>
      <c r="W1010" s="708"/>
      <c r="X1010" s="708"/>
      <c r="Y1010" s="708"/>
      <c r="Z1010" s="708"/>
      <c r="AA1010" s="708"/>
      <c r="AB1010" s="708"/>
      <c r="AC1010" s="708"/>
      <c r="AD1010" s="708"/>
      <c r="AE1010" s="708"/>
    </row>
    <row r="1011">
      <c r="A1011" s="708"/>
      <c r="B1011" s="708"/>
      <c r="C1011" s="708"/>
      <c r="D1011" s="708"/>
      <c r="E1011" s="708"/>
      <c r="F1011" s="708"/>
      <c r="G1011" s="708"/>
      <c r="H1011" s="708"/>
      <c r="I1011" s="708"/>
      <c r="J1011" s="708"/>
      <c r="K1011" s="708"/>
      <c r="L1011" s="708"/>
      <c r="M1011" s="708"/>
      <c r="N1011" s="708"/>
      <c r="O1011" s="708"/>
      <c r="P1011" s="708"/>
      <c r="Q1011" s="708"/>
      <c r="R1011" s="708"/>
      <c r="S1011" s="708"/>
      <c r="T1011" s="708"/>
      <c r="U1011" s="708"/>
      <c r="V1011" s="708"/>
      <c r="W1011" s="708"/>
      <c r="X1011" s="708"/>
      <c r="Y1011" s="708"/>
      <c r="Z1011" s="708"/>
      <c r="AA1011" s="708"/>
      <c r="AB1011" s="708"/>
      <c r="AC1011" s="708"/>
      <c r="AD1011" s="708"/>
      <c r="AE1011" s="708"/>
    </row>
    <row r="1012">
      <c r="A1012" s="708"/>
      <c r="B1012" s="708"/>
      <c r="C1012" s="708"/>
      <c r="D1012" s="708"/>
      <c r="E1012" s="708"/>
      <c r="F1012" s="708"/>
      <c r="G1012" s="708"/>
      <c r="H1012" s="708"/>
      <c r="I1012" s="708"/>
      <c r="J1012" s="708"/>
      <c r="K1012" s="708"/>
      <c r="L1012" s="708"/>
      <c r="M1012" s="708"/>
      <c r="N1012" s="708"/>
      <c r="O1012" s="708"/>
      <c r="P1012" s="708"/>
      <c r="Q1012" s="708"/>
      <c r="R1012" s="708"/>
      <c r="S1012" s="708"/>
      <c r="T1012" s="708"/>
      <c r="U1012" s="708"/>
      <c r="V1012" s="708"/>
      <c r="W1012" s="708"/>
      <c r="X1012" s="708"/>
      <c r="Y1012" s="708"/>
      <c r="Z1012" s="708"/>
      <c r="AA1012" s="708"/>
      <c r="AB1012" s="708"/>
      <c r="AC1012" s="708"/>
      <c r="AD1012" s="708"/>
      <c r="AE1012" s="708"/>
    </row>
    <row r="1013">
      <c r="A1013" s="708"/>
      <c r="B1013" s="708"/>
      <c r="C1013" s="708"/>
      <c r="D1013" s="708"/>
      <c r="E1013" s="708"/>
      <c r="F1013" s="708"/>
      <c r="G1013" s="708"/>
      <c r="H1013" s="708"/>
      <c r="I1013" s="708"/>
      <c r="J1013" s="708"/>
      <c r="K1013" s="708"/>
      <c r="L1013" s="708"/>
      <c r="M1013" s="708"/>
      <c r="N1013" s="708"/>
      <c r="O1013" s="708"/>
      <c r="P1013" s="708"/>
      <c r="Q1013" s="708"/>
      <c r="R1013" s="708"/>
      <c r="S1013" s="708"/>
      <c r="T1013" s="708"/>
      <c r="U1013" s="708"/>
      <c r="V1013" s="708"/>
      <c r="W1013" s="708"/>
      <c r="X1013" s="708"/>
      <c r="Y1013" s="708"/>
      <c r="Z1013" s="708"/>
      <c r="AA1013" s="708"/>
      <c r="AB1013" s="708"/>
      <c r="AC1013" s="708"/>
      <c r="AD1013" s="708"/>
      <c r="AE1013" s="708"/>
    </row>
    <row r="1014">
      <c r="A1014" s="708"/>
      <c r="B1014" s="708"/>
      <c r="C1014" s="708"/>
      <c r="D1014" s="708"/>
      <c r="E1014" s="708"/>
      <c r="F1014" s="708"/>
      <c r="G1014" s="708"/>
      <c r="H1014" s="708"/>
      <c r="I1014" s="708"/>
      <c r="J1014" s="708"/>
      <c r="K1014" s="708"/>
      <c r="L1014" s="708"/>
      <c r="M1014" s="708"/>
      <c r="N1014" s="708"/>
      <c r="O1014" s="708"/>
      <c r="P1014" s="708"/>
      <c r="Q1014" s="708"/>
      <c r="R1014" s="708"/>
      <c r="S1014" s="708"/>
      <c r="T1014" s="708"/>
      <c r="U1014" s="708"/>
      <c r="V1014" s="708"/>
      <c r="W1014" s="708"/>
      <c r="X1014" s="708"/>
      <c r="Y1014" s="708"/>
      <c r="Z1014" s="708"/>
      <c r="AA1014" s="708"/>
      <c r="AB1014" s="708"/>
      <c r="AC1014" s="708"/>
      <c r="AD1014" s="708"/>
      <c r="AE1014" s="708"/>
    </row>
    <row r="1015">
      <c r="A1015" s="708"/>
      <c r="B1015" s="708"/>
      <c r="C1015" s="708"/>
      <c r="D1015" s="708"/>
      <c r="E1015" s="708"/>
      <c r="F1015" s="708"/>
      <c r="G1015" s="708"/>
      <c r="H1015" s="708"/>
      <c r="I1015" s="708"/>
      <c r="J1015" s="708"/>
      <c r="K1015" s="708"/>
      <c r="L1015" s="708"/>
      <c r="M1015" s="708"/>
      <c r="N1015" s="708"/>
      <c r="O1015" s="708"/>
      <c r="P1015" s="708"/>
      <c r="Q1015" s="708"/>
      <c r="R1015" s="708"/>
      <c r="S1015" s="708"/>
      <c r="T1015" s="708"/>
      <c r="U1015" s="708"/>
      <c r="V1015" s="708"/>
      <c r="W1015" s="708"/>
      <c r="X1015" s="708"/>
      <c r="Y1015" s="708"/>
      <c r="Z1015" s="708"/>
      <c r="AA1015" s="708"/>
      <c r="AB1015" s="708"/>
      <c r="AC1015" s="708"/>
      <c r="AD1015" s="708"/>
      <c r="AE1015" s="708"/>
    </row>
    <row r="1016">
      <c r="A1016" s="708"/>
      <c r="B1016" s="708"/>
      <c r="C1016" s="708"/>
      <c r="D1016" s="708"/>
      <c r="E1016" s="708"/>
      <c r="F1016" s="708"/>
      <c r="G1016" s="708"/>
      <c r="H1016" s="708"/>
      <c r="I1016" s="708"/>
      <c r="J1016" s="708"/>
      <c r="K1016" s="708"/>
      <c r="L1016" s="708"/>
      <c r="M1016" s="708"/>
      <c r="N1016" s="708"/>
      <c r="O1016" s="708"/>
      <c r="P1016" s="708"/>
      <c r="Q1016" s="708"/>
      <c r="R1016" s="708"/>
      <c r="S1016" s="708"/>
      <c r="T1016" s="708"/>
      <c r="U1016" s="708"/>
      <c r="V1016" s="708"/>
      <c r="W1016" s="708"/>
      <c r="X1016" s="708"/>
      <c r="Y1016" s="708"/>
      <c r="Z1016" s="708"/>
      <c r="AA1016" s="708"/>
      <c r="AB1016" s="708"/>
      <c r="AC1016" s="708"/>
      <c r="AD1016" s="708"/>
      <c r="AE1016" s="708"/>
    </row>
    <row r="1017">
      <c r="A1017" s="708"/>
      <c r="B1017" s="708"/>
      <c r="C1017" s="708"/>
      <c r="D1017" s="708"/>
      <c r="E1017" s="708"/>
      <c r="F1017" s="708"/>
      <c r="G1017" s="708"/>
      <c r="H1017" s="708"/>
      <c r="I1017" s="708"/>
      <c r="J1017" s="708"/>
      <c r="K1017" s="708"/>
      <c r="L1017" s="708"/>
      <c r="M1017" s="708"/>
      <c r="N1017" s="708"/>
      <c r="O1017" s="708"/>
      <c r="P1017" s="708"/>
      <c r="Q1017" s="708"/>
      <c r="R1017" s="708"/>
      <c r="S1017" s="708"/>
      <c r="T1017" s="708"/>
      <c r="U1017" s="708"/>
      <c r="V1017" s="708"/>
      <c r="W1017" s="708"/>
      <c r="X1017" s="708"/>
      <c r="Y1017" s="708"/>
      <c r="Z1017" s="708"/>
      <c r="AA1017" s="708"/>
      <c r="AB1017" s="708"/>
      <c r="AC1017" s="708"/>
      <c r="AD1017" s="708"/>
      <c r="AE1017" s="708"/>
    </row>
    <row r="1018">
      <c r="A1018" s="708"/>
      <c r="B1018" s="708"/>
      <c r="C1018" s="708"/>
      <c r="D1018" s="708"/>
      <c r="E1018" s="708"/>
      <c r="F1018" s="708"/>
      <c r="G1018" s="708"/>
      <c r="H1018" s="708"/>
      <c r="I1018" s="708"/>
      <c r="J1018" s="708"/>
      <c r="K1018" s="708"/>
      <c r="L1018" s="708"/>
      <c r="M1018" s="708"/>
      <c r="N1018" s="708"/>
      <c r="O1018" s="708"/>
      <c r="P1018" s="708"/>
      <c r="Q1018" s="708"/>
      <c r="R1018" s="708"/>
      <c r="S1018" s="708"/>
      <c r="T1018" s="708"/>
      <c r="U1018" s="708"/>
      <c r="V1018" s="708"/>
      <c r="W1018" s="708"/>
      <c r="X1018" s="708"/>
      <c r="Y1018" s="708"/>
      <c r="Z1018" s="708"/>
      <c r="AA1018" s="708"/>
      <c r="AB1018" s="708"/>
      <c r="AC1018" s="708"/>
      <c r="AD1018" s="708"/>
      <c r="AE1018" s="708"/>
    </row>
    <row r="1019">
      <c r="A1019" s="708"/>
      <c r="B1019" s="708"/>
      <c r="C1019" s="708"/>
      <c r="D1019" s="708"/>
      <c r="E1019" s="708"/>
      <c r="F1019" s="708"/>
      <c r="G1019" s="708"/>
      <c r="H1019" s="708"/>
      <c r="I1019" s="708"/>
      <c r="J1019" s="708"/>
      <c r="K1019" s="708"/>
      <c r="L1019" s="708"/>
      <c r="M1019" s="708"/>
      <c r="N1019" s="708"/>
      <c r="O1019" s="708"/>
      <c r="P1019" s="708"/>
      <c r="Q1019" s="708"/>
      <c r="R1019" s="708"/>
      <c r="S1019" s="708"/>
      <c r="T1019" s="708"/>
      <c r="U1019" s="708"/>
      <c r="V1019" s="708"/>
      <c r="W1019" s="708"/>
      <c r="X1019" s="708"/>
      <c r="Y1019" s="708"/>
      <c r="Z1019" s="708"/>
      <c r="AA1019" s="708"/>
      <c r="AB1019" s="708"/>
      <c r="AC1019" s="708"/>
      <c r="AD1019" s="708"/>
      <c r="AE1019" s="708"/>
    </row>
    <row r="1020">
      <c r="A1020" s="708"/>
      <c r="B1020" s="708"/>
      <c r="C1020" s="708"/>
      <c r="D1020" s="708"/>
      <c r="E1020" s="708"/>
      <c r="F1020" s="708"/>
      <c r="G1020" s="708"/>
      <c r="H1020" s="708"/>
      <c r="I1020" s="708"/>
      <c r="J1020" s="708"/>
      <c r="K1020" s="708"/>
      <c r="L1020" s="708"/>
      <c r="M1020" s="708"/>
      <c r="N1020" s="708"/>
      <c r="O1020" s="708"/>
      <c r="P1020" s="708"/>
      <c r="Q1020" s="708"/>
      <c r="R1020" s="708"/>
      <c r="S1020" s="708"/>
      <c r="T1020" s="708"/>
      <c r="U1020" s="708"/>
      <c r="V1020" s="708"/>
      <c r="W1020" s="708"/>
      <c r="X1020" s="708"/>
      <c r="Y1020" s="708"/>
      <c r="Z1020" s="708"/>
      <c r="AA1020" s="708"/>
      <c r="AB1020" s="708"/>
      <c r="AC1020" s="708"/>
      <c r="AD1020" s="708"/>
      <c r="AE1020" s="708"/>
    </row>
    <row r="1021">
      <c r="A1021" s="708"/>
      <c r="B1021" s="708"/>
      <c r="C1021" s="708"/>
      <c r="D1021" s="708"/>
      <c r="E1021" s="708"/>
      <c r="F1021" s="708"/>
      <c r="G1021" s="708"/>
      <c r="H1021" s="708"/>
      <c r="I1021" s="708"/>
      <c r="J1021" s="708"/>
      <c r="K1021" s="708"/>
      <c r="L1021" s="708"/>
      <c r="M1021" s="708"/>
      <c r="N1021" s="708"/>
      <c r="O1021" s="708"/>
      <c r="P1021" s="708"/>
      <c r="Q1021" s="708"/>
      <c r="R1021" s="708"/>
      <c r="S1021" s="708"/>
      <c r="T1021" s="708"/>
      <c r="U1021" s="708"/>
      <c r="V1021" s="708"/>
      <c r="W1021" s="708"/>
      <c r="X1021" s="708"/>
      <c r="Y1021" s="708"/>
      <c r="Z1021" s="708"/>
      <c r="AA1021" s="708"/>
      <c r="AB1021" s="708"/>
      <c r="AC1021" s="708"/>
      <c r="AD1021" s="708"/>
      <c r="AE1021" s="708"/>
    </row>
    <row r="1022">
      <c r="A1022" s="708"/>
      <c r="B1022" s="708"/>
      <c r="C1022" s="708"/>
      <c r="D1022" s="708"/>
      <c r="E1022" s="708"/>
      <c r="F1022" s="708"/>
      <c r="G1022" s="708"/>
      <c r="H1022" s="708"/>
      <c r="I1022" s="708"/>
      <c r="J1022" s="708"/>
      <c r="K1022" s="708"/>
      <c r="L1022" s="708"/>
      <c r="M1022" s="708"/>
      <c r="N1022" s="708"/>
      <c r="O1022" s="708"/>
      <c r="P1022" s="708"/>
      <c r="Q1022" s="708"/>
      <c r="R1022" s="708"/>
      <c r="S1022" s="708"/>
      <c r="T1022" s="708"/>
      <c r="U1022" s="708"/>
      <c r="V1022" s="708"/>
      <c r="W1022" s="708"/>
      <c r="X1022" s="708"/>
      <c r="Y1022" s="708"/>
      <c r="Z1022" s="708"/>
      <c r="AA1022" s="708"/>
      <c r="AB1022" s="708"/>
      <c r="AC1022" s="708"/>
      <c r="AD1022" s="708"/>
      <c r="AE1022" s="708"/>
    </row>
    <row r="1023">
      <c r="A1023" s="708"/>
      <c r="B1023" s="708"/>
      <c r="C1023" s="708"/>
      <c r="D1023" s="708"/>
      <c r="E1023" s="708"/>
      <c r="F1023" s="708"/>
      <c r="G1023" s="708"/>
      <c r="H1023" s="708"/>
      <c r="I1023" s="708"/>
      <c r="J1023" s="708"/>
      <c r="K1023" s="708"/>
      <c r="L1023" s="708"/>
      <c r="M1023" s="708"/>
      <c r="N1023" s="708"/>
      <c r="O1023" s="708"/>
      <c r="P1023" s="708"/>
      <c r="Q1023" s="708"/>
      <c r="R1023" s="708"/>
      <c r="S1023" s="708"/>
      <c r="T1023" s="708"/>
      <c r="U1023" s="708"/>
      <c r="V1023" s="708"/>
      <c r="W1023" s="708"/>
      <c r="X1023" s="708"/>
      <c r="Y1023" s="708"/>
      <c r="Z1023" s="708"/>
      <c r="AA1023" s="708"/>
      <c r="AB1023" s="708"/>
      <c r="AC1023" s="708"/>
      <c r="AD1023" s="708"/>
      <c r="AE1023" s="708"/>
    </row>
    <row r="1024">
      <c r="A1024" s="708"/>
      <c r="B1024" s="708"/>
      <c r="C1024" s="708"/>
      <c r="D1024" s="708"/>
      <c r="E1024" s="708"/>
      <c r="F1024" s="708"/>
      <c r="G1024" s="708"/>
      <c r="H1024" s="708"/>
      <c r="I1024" s="708"/>
      <c r="J1024" s="708"/>
      <c r="K1024" s="708"/>
      <c r="L1024" s="708"/>
      <c r="M1024" s="708"/>
      <c r="N1024" s="708"/>
      <c r="O1024" s="708"/>
      <c r="P1024" s="708"/>
      <c r="Q1024" s="708"/>
      <c r="R1024" s="708"/>
      <c r="S1024" s="708"/>
      <c r="T1024" s="708"/>
      <c r="U1024" s="708"/>
      <c r="V1024" s="708"/>
      <c r="W1024" s="708"/>
      <c r="X1024" s="708"/>
      <c r="Y1024" s="708"/>
      <c r="Z1024" s="708"/>
      <c r="AA1024" s="708"/>
      <c r="AB1024" s="708"/>
      <c r="AC1024" s="708"/>
      <c r="AD1024" s="708"/>
      <c r="AE1024" s="708"/>
    </row>
    <row r="1025">
      <c r="A1025" s="708"/>
      <c r="B1025" s="708"/>
      <c r="C1025" s="708"/>
      <c r="D1025" s="708"/>
      <c r="E1025" s="708"/>
      <c r="F1025" s="708"/>
      <c r="G1025" s="708"/>
      <c r="H1025" s="708"/>
      <c r="I1025" s="708"/>
      <c r="J1025" s="708"/>
      <c r="K1025" s="708"/>
      <c r="L1025" s="708"/>
      <c r="M1025" s="708"/>
      <c r="N1025" s="708"/>
      <c r="O1025" s="708"/>
      <c r="P1025" s="708"/>
      <c r="Q1025" s="708"/>
      <c r="R1025" s="708"/>
      <c r="S1025" s="708"/>
      <c r="T1025" s="708"/>
      <c r="U1025" s="708"/>
      <c r="V1025" s="708"/>
      <c r="W1025" s="708"/>
      <c r="X1025" s="708"/>
      <c r="Y1025" s="708"/>
      <c r="Z1025" s="708"/>
      <c r="AA1025" s="708"/>
      <c r="AB1025" s="708"/>
      <c r="AC1025" s="708"/>
      <c r="AD1025" s="708"/>
      <c r="AE1025" s="708"/>
    </row>
    <row r="1026">
      <c r="A1026" s="708"/>
      <c r="B1026" s="708"/>
      <c r="C1026" s="708"/>
      <c r="D1026" s="708"/>
      <c r="E1026" s="708"/>
      <c r="F1026" s="708"/>
      <c r="G1026" s="708"/>
      <c r="H1026" s="708"/>
      <c r="I1026" s="708"/>
      <c r="J1026" s="708"/>
      <c r="K1026" s="708"/>
      <c r="L1026" s="708"/>
      <c r="M1026" s="708"/>
      <c r="N1026" s="708"/>
      <c r="O1026" s="708"/>
      <c r="P1026" s="708"/>
      <c r="Q1026" s="708"/>
      <c r="R1026" s="708"/>
      <c r="S1026" s="708"/>
      <c r="T1026" s="708"/>
      <c r="U1026" s="708"/>
      <c r="V1026" s="708"/>
      <c r="W1026" s="708"/>
      <c r="X1026" s="708"/>
      <c r="Y1026" s="708"/>
      <c r="Z1026" s="708"/>
      <c r="AA1026" s="708"/>
      <c r="AB1026" s="708"/>
      <c r="AC1026" s="708"/>
      <c r="AD1026" s="708"/>
      <c r="AE1026" s="708"/>
    </row>
    <row r="1027">
      <c r="A1027" s="708"/>
      <c r="B1027" s="708"/>
      <c r="C1027" s="708"/>
      <c r="D1027" s="708"/>
      <c r="E1027" s="708"/>
      <c r="F1027" s="708"/>
      <c r="G1027" s="708"/>
      <c r="H1027" s="708"/>
      <c r="I1027" s="708"/>
      <c r="J1027" s="708"/>
      <c r="K1027" s="708"/>
      <c r="L1027" s="708"/>
      <c r="M1027" s="708"/>
      <c r="N1027" s="708"/>
      <c r="O1027" s="708"/>
      <c r="P1027" s="708"/>
      <c r="Q1027" s="708"/>
      <c r="R1027" s="708"/>
      <c r="S1027" s="708"/>
      <c r="T1027" s="708"/>
      <c r="U1027" s="708"/>
      <c r="V1027" s="708"/>
      <c r="W1027" s="708"/>
      <c r="X1027" s="708"/>
      <c r="Y1027" s="708"/>
      <c r="Z1027" s="708"/>
      <c r="AA1027" s="708"/>
      <c r="AB1027" s="708"/>
      <c r="AC1027" s="708"/>
      <c r="AD1027" s="708"/>
      <c r="AE1027" s="708"/>
    </row>
    <row r="1028">
      <c r="A1028" s="708"/>
      <c r="B1028" s="708"/>
      <c r="C1028" s="708"/>
      <c r="D1028" s="708"/>
      <c r="E1028" s="708"/>
      <c r="F1028" s="708"/>
      <c r="G1028" s="708"/>
      <c r="H1028" s="708"/>
      <c r="I1028" s="708"/>
      <c r="J1028" s="708"/>
      <c r="K1028" s="708"/>
      <c r="L1028" s="708"/>
      <c r="M1028" s="708"/>
      <c r="N1028" s="708"/>
      <c r="O1028" s="708"/>
      <c r="P1028" s="708"/>
      <c r="Q1028" s="708"/>
      <c r="R1028" s="708"/>
      <c r="S1028" s="708"/>
      <c r="T1028" s="708"/>
      <c r="U1028" s="708"/>
      <c r="V1028" s="708"/>
      <c r="W1028" s="708"/>
      <c r="X1028" s="708"/>
      <c r="Y1028" s="708"/>
      <c r="Z1028" s="708"/>
      <c r="AA1028" s="708"/>
      <c r="AB1028" s="708"/>
      <c r="AC1028" s="708"/>
      <c r="AD1028" s="708"/>
      <c r="AE1028" s="708"/>
    </row>
    <row r="1029">
      <c r="A1029" s="708"/>
      <c r="B1029" s="708"/>
      <c r="C1029" s="708"/>
      <c r="D1029" s="708"/>
      <c r="E1029" s="708"/>
      <c r="F1029" s="708"/>
      <c r="G1029" s="708"/>
      <c r="H1029" s="708"/>
      <c r="I1029" s="708"/>
      <c r="J1029" s="708"/>
      <c r="K1029" s="708"/>
      <c r="L1029" s="708"/>
      <c r="M1029" s="708"/>
      <c r="N1029" s="708"/>
      <c r="O1029" s="708"/>
      <c r="P1029" s="708"/>
      <c r="Q1029" s="708"/>
      <c r="R1029" s="708"/>
      <c r="S1029" s="708"/>
      <c r="T1029" s="708"/>
      <c r="U1029" s="708"/>
      <c r="V1029" s="708"/>
      <c r="W1029" s="708"/>
      <c r="X1029" s="708"/>
      <c r="Y1029" s="708"/>
      <c r="Z1029" s="708"/>
      <c r="AA1029" s="708"/>
      <c r="AB1029" s="708"/>
      <c r="AC1029" s="708"/>
      <c r="AD1029" s="708"/>
      <c r="AE1029" s="708"/>
    </row>
    <row r="1030">
      <c r="A1030" s="708"/>
      <c r="B1030" s="708"/>
      <c r="C1030" s="708"/>
      <c r="D1030" s="708"/>
      <c r="E1030" s="708"/>
      <c r="F1030" s="708"/>
      <c r="G1030" s="708"/>
      <c r="H1030" s="708"/>
      <c r="I1030" s="708"/>
      <c r="J1030" s="708"/>
      <c r="K1030" s="708"/>
      <c r="L1030" s="708"/>
      <c r="M1030" s="708"/>
      <c r="N1030" s="708"/>
      <c r="O1030" s="708"/>
      <c r="P1030" s="708"/>
      <c r="Q1030" s="708"/>
      <c r="R1030" s="708"/>
      <c r="S1030" s="708"/>
      <c r="T1030" s="708"/>
      <c r="U1030" s="708"/>
      <c r="V1030" s="708"/>
      <c r="W1030" s="708"/>
      <c r="X1030" s="708"/>
      <c r="Y1030" s="708"/>
      <c r="Z1030" s="708"/>
      <c r="AA1030" s="708"/>
      <c r="AB1030" s="708"/>
      <c r="AC1030" s="708"/>
      <c r="AD1030" s="708"/>
      <c r="AE1030" s="708"/>
    </row>
    <row r="1031">
      <c r="A1031" s="708"/>
      <c r="B1031" s="708"/>
      <c r="C1031" s="708"/>
      <c r="D1031" s="708"/>
      <c r="E1031" s="708"/>
      <c r="F1031" s="708"/>
      <c r="G1031" s="708"/>
      <c r="H1031" s="708"/>
      <c r="I1031" s="708"/>
      <c r="J1031" s="708"/>
      <c r="K1031" s="708"/>
      <c r="L1031" s="708"/>
      <c r="M1031" s="708"/>
      <c r="N1031" s="708"/>
      <c r="O1031" s="708"/>
      <c r="P1031" s="708"/>
      <c r="Q1031" s="708"/>
      <c r="R1031" s="708"/>
      <c r="S1031" s="708"/>
      <c r="T1031" s="708"/>
      <c r="U1031" s="708"/>
      <c r="V1031" s="708"/>
      <c r="W1031" s="708"/>
      <c r="X1031" s="708"/>
      <c r="Y1031" s="708"/>
      <c r="Z1031" s="708"/>
      <c r="AA1031" s="708"/>
      <c r="AB1031" s="708"/>
      <c r="AC1031" s="708"/>
      <c r="AD1031" s="708"/>
      <c r="AE1031" s="708"/>
    </row>
    <row r="1032">
      <c r="A1032" s="708"/>
      <c r="B1032" s="708"/>
      <c r="C1032" s="708"/>
      <c r="D1032" s="708"/>
      <c r="E1032" s="708"/>
      <c r="F1032" s="708"/>
      <c r="G1032" s="708"/>
      <c r="H1032" s="708"/>
      <c r="I1032" s="708"/>
      <c r="J1032" s="708"/>
      <c r="K1032" s="708"/>
      <c r="L1032" s="708"/>
      <c r="M1032" s="708"/>
      <c r="N1032" s="708"/>
      <c r="O1032" s="708"/>
      <c r="P1032" s="708"/>
      <c r="Q1032" s="708"/>
      <c r="R1032" s="708"/>
      <c r="S1032" s="708"/>
      <c r="T1032" s="708"/>
      <c r="U1032" s="708"/>
      <c r="V1032" s="708"/>
      <c r="W1032" s="708"/>
      <c r="X1032" s="708"/>
      <c r="Y1032" s="708"/>
      <c r="Z1032" s="708"/>
      <c r="AA1032" s="708"/>
      <c r="AB1032" s="708"/>
      <c r="AC1032" s="708"/>
      <c r="AD1032" s="708"/>
      <c r="AE1032" s="708"/>
    </row>
    <row r="1033">
      <c r="A1033" s="708"/>
      <c r="B1033" s="708"/>
      <c r="C1033" s="708"/>
      <c r="D1033" s="708"/>
      <c r="E1033" s="708"/>
      <c r="F1033" s="708"/>
      <c r="G1033" s="708"/>
      <c r="H1033" s="708"/>
      <c r="I1033" s="708"/>
      <c r="J1033" s="708"/>
      <c r="K1033" s="708"/>
      <c r="L1033" s="708"/>
      <c r="M1033" s="708"/>
      <c r="N1033" s="708"/>
      <c r="O1033" s="708"/>
      <c r="P1033" s="708"/>
      <c r="Q1033" s="708"/>
      <c r="R1033" s="708"/>
      <c r="S1033" s="708"/>
      <c r="T1033" s="708"/>
      <c r="U1033" s="708"/>
      <c r="V1033" s="708"/>
      <c r="W1033" s="708"/>
      <c r="X1033" s="708"/>
      <c r="Y1033" s="708"/>
      <c r="Z1033" s="708"/>
      <c r="AA1033" s="708"/>
      <c r="AB1033" s="708"/>
      <c r="AC1033" s="708"/>
      <c r="AD1033" s="708"/>
      <c r="AE1033" s="708"/>
    </row>
    <row r="1034">
      <c r="A1034" s="708"/>
      <c r="B1034" s="708"/>
      <c r="C1034" s="708"/>
      <c r="D1034" s="708"/>
      <c r="E1034" s="708"/>
      <c r="F1034" s="708"/>
      <c r="G1034" s="708"/>
      <c r="H1034" s="708"/>
      <c r="I1034" s="708"/>
      <c r="J1034" s="708"/>
      <c r="K1034" s="708"/>
      <c r="L1034" s="708"/>
      <c r="M1034" s="708"/>
      <c r="N1034" s="708"/>
      <c r="O1034" s="708"/>
      <c r="P1034" s="708"/>
      <c r="Q1034" s="708"/>
      <c r="R1034" s="708"/>
      <c r="S1034" s="708"/>
      <c r="T1034" s="708"/>
      <c r="U1034" s="708"/>
      <c r="V1034" s="708"/>
      <c r="W1034" s="708"/>
      <c r="X1034" s="708"/>
      <c r="Y1034" s="708"/>
      <c r="Z1034" s="708"/>
      <c r="AA1034" s="708"/>
      <c r="AB1034" s="708"/>
      <c r="AC1034" s="708"/>
      <c r="AD1034" s="708"/>
      <c r="AE1034" s="708"/>
    </row>
    <row r="1035">
      <c r="A1035" s="708"/>
      <c r="B1035" s="708"/>
      <c r="C1035" s="708"/>
      <c r="D1035" s="708"/>
      <c r="E1035" s="708"/>
      <c r="F1035" s="708"/>
      <c r="G1035" s="708"/>
      <c r="H1035" s="708"/>
      <c r="I1035" s="708"/>
      <c r="J1035" s="708"/>
      <c r="K1035" s="708"/>
      <c r="L1035" s="708"/>
      <c r="M1035" s="708"/>
      <c r="N1035" s="708"/>
      <c r="O1035" s="708"/>
      <c r="P1035" s="708"/>
      <c r="Q1035" s="708"/>
      <c r="R1035" s="708"/>
      <c r="S1035" s="708"/>
      <c r="T1035" s="708"/>
      <c r="U1035" s="708"/>
      <c r="V1035" s="708"/>
      <c r="W1035" s="708"/>
      <c r="X1035" s="708"/>
      <c r="Y1035" s="708"/>
      <c r="Z1035" s="708"/>
      <c r="AA1035" s="708"/>
      <c r="AB1035" s="708"/>
      <c r="AC1035" s="708"/>
      <c r="AD1035" s="708"/>
      <c r="AE1035" s="708"/>
    </row>
    <row r="1036">
      <c r="A1036" s="708"/>
      <c r="B1036" s="708"/>
      <c r="C1036" s="708"/>
      <c r="D1036" s="708"/>
      <c r="E1036" s="708"/>
      <c r="F1036" s="708"/>
      <c r="G1036" s="708"/>
      <c r="H1036" s="708"/>
      <c r="I1036" s="708"/>
      <c r="J1036" s="708"/>
      <c r="K1036" s="708"/>
      <c r="L1036" s="708"/>
      <c r="M1036" s="708"/>
      <c r="N1036" s="708"/>
      <c r="O1036" s="708"/>
      <c r="P1036" s="708"/>
      <c r="Q1036" s="708"/>
      <c r="R1036" s="708"/>
      <c r="S1036" s="708"/>
      <c r="T1036" s="708"/>
      <c r="U1036" s="708"/>
      <c r="V1036" s="708"/>
      <c r="W1036" s="708"/>
      <c r="X1036" s="708"/>
      <c r="Y1036" s="708"/>
      <c r="Z1036" s="708"/>
      <c r="AA1036" s="708"/>
      <c r="AB1036" s="708"/>
      <c r="AC1036" s="708"/>
      <c r="AD1036" s="708"/>
      <c r="AE1036" s="708"/>
    </row>
    <row r="1037">
      <c r="A1037" s="708"/>
      <c r="B1037" s="708"/>
      <c r="C1037" s="708"/>
      <c r="D1037" s="708"/>
      <c r="E1037" s="708"/>
      <c r="F1037" s="708"/>
      <c r="G1037" s="708"/>
      <c r="H1037" s="708"/>
      <c r="I1037" s="708"/>
      <c r="J1037" s="708"/>
      <c r="K1037" s="708"/>
      <c r="L1037" s="708"/>
      <c r="M1037" s="708"/>
      <c r="N1037" s="708"/>
      <c r="O1037" s="708"/>
      <c r="P1037" s="708"/>
      <c r="Q1037" s="708"/>
      <c r="R1037" s="708"/>
      <c r="S1037" s="708"/>
      <c r="T1037" s="708"/>
      <c r="U1037" s="708"/>
      <c r="V1037" s="708"/>
      <c r="W1037" s="708"/>
      <c r="X1037" s="708"/>
      <c r="Y1037" s="708"/>
      <c r="Z1037" s="708"/>
      <c r="AA1037" s="708"/>
      <c r="AB1037" s="708"/>
      <c r="AC1037" s="708"/>
      <c r="AD1037" s="708"/>
      <c r="AE1037" s="708"/>
    </row>
    <row r="1038">
      <c r="A1038" s="708"/>
      <c r="B1038" s="708"/>
      <c r="C1038" s="708"/>
      <c r="D1038" s="708"/>
      <c r="E1038" s="708"/>
      <c r="F1038" s="708"/>
      <c r="G1038" s="708"/>
      <c r="H1038" s="708"/>
      <c r="I1038" s="708"/>
      <c r="J1038" s="708"/>
      <c r="K1038" s="708"/>
      <c r="L1038" s="708"/>
      <c r="M1038" s="708"/>
      <c r="N1038" s="708"/>
      <c r="O1038" s="708"/>
      <c r="P1038" s="708"/>
      <c r="Q1038" s="708"/>
      <c r="R1038" s="708"/>
      <c r="S1038" s="708"/>
      <c r="T1038" s="708"/>
      <c r="U1038" s="708"/>
      <c r="V1038" s="708"/>
      <c r="W1038" s="708"/>
      <c r="X1038" s="708"/>
      <c r="Y1038" s="708"/>
      <c r="Z1038" s="708"/>
      <c r="AA1038" s="708"/>
      <c r="AB1038" s="708"/>
      <c r="AC1038" s="708"/>
      <c r="AD1038" s="708"/>
      <c r="AE1038" s="708"/>
    </row>
    <row r="1039">
      <c r="A1039" s="708"/>
      <c r="B1039" s="708"/>
      <c r="C1039" s="708"/>
      <c r="D1039" s="708"/>
      <c r="E1039" s="708"/>
      <c r="F1039" s="708"/>
      <c r="G1039" s="708"/>
      <c r="H1039" s="708"/>
      <c r="I1039" s="708"/>
      <c r="J1039" s="708"/>
      <c r="K1039" s="708"/>
      <c r="L1039" s="708"/>
      <c r="M1039" s="708"/>
      <c r="N1039" s="708"/>
      <c r="O1039" s="708"/>
      <c r="P1039" s="708"/>
      <c r="Q1039" s="708"/>
      <c r="R1039" s="708"/>
      <c r="S1039" s="708"/>
      <c r="T1039" s="708"/>
      <c r="U1039" s="708"/>
      <c r="V1039" s="708"/>
      <c r="W1039" s="708"/>
      <c r="X1039" s="708"/>
      <c r="Y1039" s="708"/>
      <c r="Z1039" s="708"/>
      <c r="AA1039" s="708"/>
      <c r="AB1039" s="708"/>
      <c r="AC1039" s="708"/>
      <c r="AD1039" s="708"/>
      <c r="AE1039" s="708"/>
    </row>
    <row r="1040">
      <c r="A1040" s="708"/>
      <c r="B1040" s="708"/>
      <c r="C1040" s="708"/>
      <c r="D1040" s="708"/>
      <c r="E1040" s="708"/>
      <c r="F1040" s="708"/>
      <c r="G1040" s="708"/>
      <c r="H1040" s="708"/>
      <c r="I1040" s="708"/>
      <c r="J1040" s="708"/>
      <c r="K1040" s="708"/>
      <c r="L1040" s="708"/>
      <c r="M1040" s="708"/>
      <c r="N1040" s="708"/>
      <c r="O1040" s="708"/>
      <c r="P1040" s="708"/>
      <c r="Q1040" s="708"/>
      <c r="R1040" s="708"/>
      <c r="S1040" s="708"/>
      <c r="T1040" s="708"/>
      <c r="U1040" s="708"/>
      <c r="V1040" s="708"/>
      <c r="W1040" s="708"/>
      <c r="X1040" s="708"/>
      <c r="Y1040" s="708"/>
      <c r="Z1040" s="708"/>
      <c r="AA1040" s="708"/>
      <c r="AB1040" s="708"/>
      <c r="AC1040" s="708"/>
      <c r="AD1040" s="708"/>
      <c r="AE1040" s="708"/>
    </row>
    <row r="1041">
      <c r="A1041" s="708"/>
      <c r="B1041" s="708"/>
      <c r="C1041" s="708"/>
      <c r="D1041" s="708"/>
      <c r="E1041" s="708"/>
      <c r="F1041" s="708"/>
      <c r="G1041" s="708"/>
      <c r="H1041" s="708"/>
      <c r="I1041" s="708"/>
      <c r="J1041" s="708"/>
      <c r="K1041" s="708"/>
      <c r="L1041" s="708"/>
      <c r="M1041" s="708"/>
      <c r="N1041" s="708"/>
      <c r="O1041" s="708"/>
      <c r="P1041" s="708"/>
      <c r="Q1041" s="708"/>
      <c r="R1041" s="708"/>
      <c r="S1041" s="708"/>
      <c r="T1041" s="708"/>
      <c r="U1041" s="708"/>
      <c r="V1041" s="708"/>
      <c r="W1041" s="708"/>
      <c r="X1041" s="708"/>
      <c r="Y1041" s="708"/>
      <c r="Z1041" s="708"/>
      <c r="AA1041" s="708"/>
      <c r="AB1041" s="708"/>
      <c r="AC1041" s="708"/>
      <c r="AD1041" s="708"/>
      <c r="AE1041" s="708"/>
    </row>
    <row r="1042">
      <c r="A1042" s="708"/>
      <c r="B1042" s="708"/>
      <c r="C1042" s="708"/>
      <c r="D1042" s="708"/>
      <c r="E1042" s="708"/>
      <c r="F1042" s="708"/>
      <c r="G1042" s="708"/>
      <c r="H1042" s="708"/>
      <c r="I1042" s="708"/>
      <c r="J1042" s="708"/>
      <c r="K1042" s="708"/>
      <c r="L1042" s="708"/>
      <c r="M1042" s="708"/>
      <c r="N1042" s="708"/>
      <c r="O1042" s="708"/>
      <c r="P1042" s="708"/>
      <c r="Q1042" s="708"/>
      <c r="R1042" s="708"/>
      <c r="S1042" s="708"/>
      <c r="T1042" s="708"/>
      <c r="U1042" s="708"/>
      <c r="V1042" s="708"/>
      <c r="W1042" s="708"/>
      <c r="X1042" s="708"/>
      <c r="Y1042" s="708"/>
      <c r="Z1042" s="708"/>
      <c r="AA1042" s="708"/>
      <c r="AB1042" s="708"/>
      <c r="AC1042" s="708"/>
      <c r="AD1042" s="708"/>
      <c r="AE1042" s="708"/>
    </row>
    <row r="1043">
      <c r="A1043" s="708"/>
      <c r="B1043" s="708"/>
      <c r="C1043" s="708"/>
      <c r="D1043" s="708"/>
      <c r="E1043" s="708"/>
      <c r="F1043" s="708"/>
      <c r="G1043" s="708"/>
      <c r="H1043" s="708"/>
      <c r="I1043" s="708"/>
      <c r="J1043" s="708"/>
      <c r="K1043" s="708"/>
      <c r="L1043" s="708"/>
      <c r="M1043" s="708"/>
      <c r="N1043" s="708"/>
      <c r="O1043" s="708"/>
      <c r="P1043" s="708"/>
      <c r="Q1043" s="708"/>
      <c r="R1043" s="708"/>
      <c r="S1043" s="708"/>
      <c r="T1043" s="708"/>
      <c r="U1043" s="708"/>
      <c r="V1043" s="708"/>
      <c r="W1043" s="708"/>
      <c r="X1043" s="708"/>
      <c r="Y1043" s="708"/>
      <c r="Z1043" s="708"/>
      <c r="AA1043" s="708"/>
      <c r="AB1043" s="708"/>
      <c r="AC1043" s="708"/>
      <c r="AD1043" s="708"/>
      <c r="AE1043" s="708"/>
    </row>
    <row r="1044">
      <c r="A1044" s="708"/>
      <c r="B1044" s="708"/>
      <c r="C1044" s="708"/>
      <c r="D1044" s="708"/>
      <c r="E1044" s="708"/>
      <c r="F1044" s="708"/>
      <c r="G1044" s="708"/>
      <c r="H1044" s="708"/>
      <c r="I1044" s="708"/>
      <c r="J1044" s="708"/>
      <c r="K1044" s="708"/>
      <c r="L1044" s="708"/>
      <c r="M1044" s="708"/>
      <c r="N1044" s="708"/>
      <c r="O1044" s="708"/>
      <c r="P1044" s="708"/>
      <c r="Q1044" s="708"/>
      <c r="R1044" s="708"/>
      <c r="S1044" s="708"/>
      <c r="T1044" s="708"/>
      <c r="U1044" s="708"/>
      <c r="V1044" s="708"/>
      <c r="W1044" s="708"/>
      <c r="X1044" s="708"/>
      <c r="Y1044" s="708"/>
      <c r="Z1044" s="708"/>
      <c r="AA1044" s="708"/>
      <c r="AB1044" s="708"/>
      <c r="AC1044" s="708"/>
      <c r="AD1044" s="708"/>
      <c r="AE1044" s="708"/>
    </row>
    <row r="1045">
      <c r="A1045" s="708"/>
      <c r="B1045" s="708"/>
      <c r="C1045" s="708"/>
      <c r="D1045" s="708"/>
      <c r="E1045" s="708"/>
      <c r="F1045" s="708"/>
      <c r="G1045" s="708"/>
      <c r="H1045" s="708"/>
      <c r="I1045" s="708"/>
      <c r="J1045" s="708"/>
      <c r="K1045" s="708"/>
      <c r="L1045" s="708"/>
      <c r="M1045" s="708"/>
      <c r="N1045" s="708"/>
      <c r="O1045" s="708"/>
      <c r="P1045" s="708"/>
      <c r="Q1045" s="708"/>
      <c r="R1045" s="708"/>
      <c r="S1045" s="708"/>
      <c r="T1045" s="708"/>
      <c r="U1045" s="708"/>
      <c r="V1045" s="708"/>
      <c r="W1045" s="708"/>
      <c r="X1045" s="708"/>
      <c r="Y1045" s="708"/>
      <c r="Z1045" s="708"/>
      <c r="AA1045" s="708"/>
      <c r="AB1045" s="708"/>
      <c r="AC1045" s="708"/>
      <c r="AD1045" s="708"/>
      <c r="AE1045" s="708"/>
    </row>
    <row r="1046">
      <c r="A1046" s="708"/>
      <c r="B1046" s="708"/>
      <c r="C1046" s="708"/>
      <c r="D1046" s="708"/>
      <c r="E1046" s="708"/>
      <c r="F1046" s="708"/>
      <c r="G1046" s="708"/>
      <c r="H1046" s="708"/>
      <c r="I1046" s="708"/>
      <c r="J1046" s="708"/>
      <c r="K1046" s="708"/>
      <c r="L1046" s="708"/>
      <c r="M1046" s="708"/>
      <c r="N1046" s="708"/>
      <c r="O1046" s="708"/>
      <c r="P1046" s="708"/>
      <c r="Q1046" s="708"/>
      <c r="R1046" s="708"/>
      <c r="S1046" s="708"/>
      <c r="T1046" s="708"/>
      <c r="U1046" s="708"/>
      <c r="V1046" s="708"/>
      <c r="W1046" s="708"/>
      <c r="X1046" s="708"/>
      <c r="Y1046" s="708"/>
      <c r="Z1046" s="708"/>
      <c r="AA1046" s="708"/>
      <c r="AB1046" s="708"/>
      <c r="AC1046" s="708"/>
      <c r="AD1046" s="708"/>
      <c r="AE1046" s="708"/>
    </row>
    <row r="1047">
      <c r="A1047" s="708"/>
      <c r="B1047" s="708"/>
      <c r="C1047" s="708"/>
      <c r="D1047" s="708"/>
      <c r="E1047" s="708"/>
      <c r="F1047" s="708"/>
      <c r="G1047" s="708"/>
      <c r="H1047" s="708"/>
      <c r="I1047" s="708"/>
      <c r="J1047" s="708"/>
      <c r="K1047" s="708"/>
      <c r="L1047" s="708"/>
      <c r="M1047" s="708"/>
      <c r="N1047" s="708"/>
      <c r="O1047" s="708"/>
      <c r="P1047" s="708"/>
      <c r="Q1047" s="708"/>
      <c r="R1047" s="708"/>
      <c r="S1047" s="708"/>
      <c r="T1047" s="708"/>
      <c r="U1047" s="708"/>
      <c r="V1047" s="708"/>
      <c r="W1047" s="708"/>
      <c r="X1047" s="708"/>
      <c r="Y1047" s="708"/>
      <c r="Z1047" s="708"/>
      <c r="AA1047" s="708"/>
      <c r="AB1047" s="708"/>
      <c r="AC1047" s="708"/>
      <c r="AD1047" s="708"/>
      <c r="AE1047" s="708"/>
    </row>
    <row r="1048">
      <c r="A1048" s="708"/>
      <c r="B1048" s="708"/>
      <c r="C1048" s="708"/>
      <c r="D1048" s="708"/>
      <c r="E1048" s="708"/>
      <c r="F1048" s="708"/>
      <c r="G1048" s="708"/>
      <c r="H1048" s="708"/>
      <c r="I1048" s="708"/>
      <c r="J1048" s="708"/>
      <c r="K1048" s="708"/>
      <c r="L1048" s="708"/>
      <c r="M1048" s="708"/>
      <c r="N1048" s="708"/>
      <c r="O1048" s="708"/>
      <c r="P1048" s="708"/>
      <c r="Q1048" s="708"/>
      <c r="R1048" s="708"/>
      <c r="S1048" s="708"/>
      <c r="T1048" s="708"/>
      <c r="U1048" s="708"/>
      <c r="V1048" s="708"/>
      <c r="W1048" s="708"/>
      <c r="X1048" s="708"/>
      <c r="Y1048" s="708"/>
      <c r="Z1048" s="708"/>
      <c r="AA1048" s="708"/>
      <c r="AB1048" s="708"/>
      <c r="AC1048" s="708"/>
      <c r="AD1048" s="708"/>
      <c r="AE1048" s="708"/>
    </row>
    <row r="1049">
      <c r="A1049" s="708"/>
      <c r="B1049" s="708"/>
      <c r="C1049" s="708"/>
      <c r="D1049" s="708"/>
      <c r="E1049" s="708"/>
      <c r="F1049" s="708"/>
      <c r="G1049" s="708"/>
      <c r="H1049" s="708"/>
      <c r="I1049" s="708"/>
      <c r="J1049" s="708"/>
      <c r="K1049" s="708"/>
      <c r="L1049" s="708"/>
      <c r="M1049" s="708"/>
      <c r="N1049" s="708"/>
      <c r="O1049" s="708"/>
      <c r="P1049" s="708"/>
      <c r="Q1049" s="708"/>
      <c r="R1049" s="708"/>
      <c r="S1049" s="708"/>
      <c r="T1049" s="708"/>
      <c r="U1049" s="708"/>
      <c r="V1049" s="708"/>
      <c r="W1049" s="708"/>
      <c r="X1049" s="708"/>
      <c r="Y1049" s="708"/>
      <c r="Z1049" s="708"/>
      <c r="AA1049" s="708"/>
      <c r="AB1049" s="708"/>
      <c r="AC1049" s="708"/>
      <c r="AD1049" s="708"/>
      <c r="AE1049" s="708"/>
    </row>
    <row r="1050">
      <c r="A1050" s="708"/>
      <c r="B1050" s="708"/>
      <c r="C1050" s="708"/>
      <c r="D1050" s="708"/>
      <c r="E1050" s="708"/>
      <c r="F1050" s="708"/>
      <c r="G1050" s="708"/>
      <c r="H1050" s="708"/>
      <c r="I1050" s="708"/>
      <c r="J1050" s="708"/>
      <c r="K1050" s="708"/>
      <c r="L1050" s="708"/>
      <c r="M1050" s="708"/>
      <c r="N1050" s="708"/>
      <c r="O1050" s="708"/>
      <c r="P1050" s="708"/>
      <c r="Q1050" s="708"/>
      <c r="R1050" s="708"/>
      <c r="S1050" s="708"/>
      <c r="T1050" s="708"/>
      <c r="U1050" s="708"/>
      <c r="V1050" s="708"/>
      <c r="W1050" s="708"/>
      <c r="X1050" s="708"/>
      <c r="Y1050" s="708"/>
      <c r="Z1050" s="708"/>
      <c r="AA1050" s="708"/>
      <c r="AB1050" s="708"/>
      <c r="AC1050" s="708"/>
      <c r="AD1050" s="708"/>
      <c r="AE1050" s="708"/>
    </row>
    <row r="1051">
      <c r="A1051" s="708"/>
      <c r="B1051" s="708"/>
      <c r="C1051" s="708"/>
      <c r="D1051" s="708"/>
      <c r="E1051" s="708"/>
      <c r="F1051" s="708"/>
      <c r="G1051" s="708"/>
      <c r="H1051" s="708"/>
      <c r="I1051" s="708"/>
      <c r="J1051" s="708"/>
      <c r="K1051" s="708"/>
      <c r="L1051" s="708"/>
      <c r="M1051" s="708"/>
      <c r="N1051" s="708"/>
      <c r="O1051" s="708"/>
      <c r="P1051" s="708"/>
      <c r="Q1051" s="708"/>
      <c r="R1051" s="708"/>
      <c r="S1051" s="708"/>
      <c r="T1051" s="708"/>
      <c r="U1051" s="708"/>
      <c r="V1051" s="708"/>
      <c r="W1051" s="708"/>
      <c r="X1051" s="708"/>
      <c r="Y1051" s="708"/>
      <c r="Z1051" s="708"/>
      <c r="AA1051" s="708"/>
      <c r="AB1051" s="708"/>
      <c r="AC1051" s="708"/>
      <c r="AD1051" s="708"/>
      <c r="AE1051" s="708"/>
    </row>
    <row r="1052">
      <c r="A1052" s="708"/>
      <c r="B1052" s="708"/>
      <c r="C1052" s="708"/>
      <c r="D1052" s="708"/>
      <c r="E1052" s="708"/>
      <c r="F1052" s="708"/>
      <c r="G1052" s="708"/>
      <c r="H1052" s="708"/>
      <c r="I1052" s="708"/>
      <c r="J1052" s="708"/>
      <c r="K1052" s="708"/>
      <c r="L1052" s="708"/>
      <c r="M1052" s="708"/>
      <c r="N1052" s="708"/>
      <c r="O1052" s="708"/>
      <c r="P1052" s="708"/>
      <c r="Q1052" s="708"/>
      <c r="R1052" s="708"/>
      <c r="S1052" s="708"/>
      <c r="T1052" s="708"/>
      <c r="U1052" s="708"/>
      <c r="V1052" s="708"/>
      <c r="W1052" s="708"/>
      <c r="X1052" s="708"/>
      <c r="Y1052" s="708"/>
      <c r="Z1052" s="708"/>
      <c r="AA1052" s="708"/>
      <c r="AB1052" s="708"/>
      <c r="AC1052" s="708"/>
      <c r="AD1052" s="708"/>
      <c r="AE1052" s="708"/>
    </row>
    <row r="1053">
      <c r="A1053" s="708"/>
      <c r="B1053" s="708"/>
      <c r="C1053" s="708"/>
      <c r="D1053" s="708"/>
      <c r="E1053" s="708"/>
      <c r="F1053" s="708"/>
      <c r="G1053" s="708"/>
      <c r="H1053" s="708"/>
      <c r="I1053" s="708"/>
      <c r="J1053" s="708"/>
      <c r="K1053" s="708"/>
      <c r="L1053" s="708"/>
      <c r="M1053" s="708"/>
      <c r="N1053" s="708"/>
      <c r="O1053" s="708"/>
      <c r="P1053" s="708"/>
      <c r="Q1053" s="708"/>
      <c r="R1053" s="708"/>
      <c r="S1053" s="708"/>
      <c r="T1053" s="708"/>
      <c r="U1053" s="708"/>
      <c r="V1053" s="708"/>
      <c r="W1053" s="708"/>
      <c r="X1053" s="708"/>
      <c r="Y1053" s="708"/>
      <c r="Z1053" s="708"/>
      <c r="AA1053" s="708"/>
      <c r="AB1053" s="708"/>
      <c r="AC1053" s="708"/>
      <c r="AD1053" s="708"/>
      <c r="AE1053" s="708"/>
    </row>
    <row r="1054">
      <c r="A1054" s="708"/>
      <c r="B1054" s="708"/>
      <c r="C1054" s="708"/>
      <c r="D1054" s="708"/>
      <c r="E1054" s="708"/>
      <c r="F1054" s="708"/>
      <c r="G1054" s="708"/>
      <c r="H1054" s="708"/>
      <c r="I1054" s="708"/>
      <c r="J1054" s="708"/>
      <c r="K1054" s="708"/>
      <c r="L1054" s="708"/>
      <c r="M1054" s="708"/>
      <c r="N1054" s="708"/>
      <c r="O1054" s="708"/>
      <c r="P1054" s="708"/>
      <c r="Q1054" s="708"/>
      <c r="R1054" s="708"/>
      <c r="S1054" s="708"/>
      <c r="T1054" s="708"/>
      <c r="U1054" s="708"/>
      <c r="V1054" s="708"/>
      <c r="W1054" s="708"/>
      <c r="X1054" s="708"/>
      <c r="Y1054" s="708"/>
      <c r="Z1054" s="708"/>
      <c r="AA1054" s="708"/>
      <c r="AB1054" s="708"/>
      <c r="AC1054" s="708"/>
      <c r="AD1054" s="708"/>
      <c r="AE1054" s="708"/>
    </row>
    <row r="1055">
      <c r="A1055" s="708"/>
      <c r="B1055" s="708"/>
      <c r="C1055" s="708"/>
      <c r="D1055" s="708"/>
      <c r="E1055" s="708"/>
      <c r="F1055" s="708"/>
      <c r="G1055" s="708"/>
      <c r="H1055" s="708"/>
      <c r="I1055" s="708"/>
      <c r="J1055" s="708"/>
      <c r="K1055" s="708"/>
      <c r="L1055" s="708"/>
      <c r="M1055" s="708"/>
      <c r="N1055" s="708"/>
      <c r="O1055" s="708"/>
      <c r="P1055" s="708"/>
      <c r="Q1055" s="708"/>
      <c r="R1055" s="708"/>
      <c r="S1055" s="708"/>
      <c r="T1055" s="708"/>
      <c r="U1055" s="708"/>
      <c r="V1055" s="708"/>
      <c r="W1055" s="708"/>
      <c r="X1055" s="708"/>
      <c r="Y1055" s="708"/>
      <c r="Z1055" s="708"/>
      <c r="AA1055" s="708"/>
      <c r="AB1055" s="708"/>
      <c r="AC1055" s="708"/>
      <c r="AD1055" s="708"/>
      <c r="AE1055" s="708"/>
    </row>
    <row r="1056">
      <c r="A1056" s="708"/>
      <c r="B1056" s="708"/>
      <c r="C1056" s="708"/>
      <c r="D1056" s="708"/>
      <c r="E1056" s="708"/>
      <c r="F1056" s="708"/>
      <c r="G1056" s="708"/>
      <c r="H1056" s="708"/>
      <c r="I1056" s="708"/>
      <c r="J1056" s="708"/>
      <c r="K1056" s="708"/>
      <c r="L1056" s="708"/>
      <c r="M1056" s="708"/>
      <c r="N1056" s="708"/>
      <c r="O1056" s="708"/>
      <c r="P1056" s="708"/>
      <c r="Q1056" s="708"/>
      <c r="R1056" s="708"/>
      <c r="S1056" s="708"/>
      <c r="T1056" s="708"/>
      <c r="U1056" s="708"/>
      <c r="V1056" s="708"/>
      <c r="W1056" s="708"/>
      <c r="X1056" s="708"/>
      <c r="Y1056" s="708"/>
      <c r="Z1056" s="708"/>
      <c r="AA1056" s="708"/>
      <c r="AB1056" s="708"/>
      <c r="AC1056" s="708"/>
      <c r="AD1056" s="708"/>
      <c r="AE1056" s="708"/>
    </row>
    <row r="1057">
      <c r="A1057" s="708"/>
      <c r="B1057" s="708"/>
      <c r="C1057" s="708"/>
      <c r="D1057" s="708"/>
      <c r="E1057" s="708"/>
      <c r="F1057" s="708"/>
      <c r="G1057" s="708"/>
      <c r="H1057" s="708"/>
      <c r="I1057" s="708"/>
      <c r="J1057" s="708"/>
      <c r="K1057" s="708"/>
      <c r="L1057" s="708"/>
      <c r="M1057" s="708"/>
      <c r="N1057" s="708"/>
      <c r="O1057" s="708"/>
      <c r="P1057" s="708"/>
      <c r="Q1057" s="708"/>
      <c r="R1057" s="708"/>
      <c r="S1057" s="708"/>
      <c r="T1057" s="708"/>
      <c r="U1057" s="708"/>
      <c r="V1057" s="708"/>
      <c r="W1057" s="708"/>
      <c r="X1057" s="708"/>
      <c r="Y1057" s="708"/>
      <c r="Z1057" s="708"/>
      <c r="AA1057" s="708"/>
      <c r="AB1057" s="708"/>
      <c r="AC1057" s="708"/>
      <c r="AD1057" s="708"/>
      <c r="AE1057" s="708"/>
    </row>
    <row r="1058">
      <c r="A1058" s="708"/>
      <c r="B1058" s="708"/>
      <c r="C1058" s="708"/>
      <c r="D1058" s="708"/>
      <c r="E1058" s="708"/>
      <c r="F1058" s="708"/>
      <c r="G1058" s="708"/>
      <c r="H1058" s="708"/>
      <c r="I1058" s="708"/>
      <c r="J1058" s="708"/>
      <c r="K1058" s="708"/>
      <c r="L1058" s="708"/>
      <c r="M1058" s="708"/>
      <c r="N1058" s="708"/>
      <c r="O1058" s="708"/>
      <c r="P1058" s="708"/>
      <c r="Q1058" s="708"/>
      <c r="R1058" s="708"/>
      <c r="S1058" s="708"/>
      <c r="T1058" s="708"/>
      <c r="U1058" s="708"/>
      <c r="V1058" s="708"/>
      <c r="W1058" s="708"/>
      <c r="X1058" s="708"/>
      <c r="Y1058" s="708"/>
      <c r="Z1058" s="708"/>
      <c r="AA1058" s="708"/>
      <c r="AB1058" s="708"/>
      <c r="AC1058" s="708"/>
      <c r="AD1058" s="708"/>
      <c r="AE1058" s="708"/>
    </row>
    <row r="1059">
      <c r="A1059" s="708"/>
      <c r="B1059" s="708"/>
      <c r="C1059" s="708"/>
      <c r="D1059" s="708"/>
      <c r="E1059" s="708"/>
      <c r="F1059" s="708"/>
      <c r="G1059" s="708"/>
      <c r="H1059" s="708"/>
      <c r="I1059" s="708"/>
      <c r="J1059" s="708"/>
      <c r="K1059" s="708"/>
      <c r="L1059" s="708"/>
      <c r="M1059" s="708"/>
      <c r="N1059" s="708"/>
      <c r="O1059" s="708"/>
      <c r="P1059" s="708"/>
      <c r="Q1059" s="708"/>
      <c r="R1059" s="708"/>
      <c r="S1059" s="708"/>
      <c r="T1059" s="708"/>
      <c r="U1059" s="708"/>
      <c r="V1059" s="708"/>
      <c r="W1059" s="708"/>
      <c r="X1059" s="708"/>
      <c r="Y1059" s="708"/>
      <c r="Z1059" s="708"/>
      <c r="AA1059" s="708"/>
      <c r="AB1059" s="708"/>
      <c r="AC1059" s="708"/>
      <c r="AD1059" s="708"/>
      <c r="AE1059" s="708"/>
    </row>
    <row r="1060">
      <c r="A1060" s="708"/>
      <c r="B1060" s="708"/>
      <c r="C1060" s="708"/>
      <c r="D1060" s="708"/>
      <c r="E1060" s="708"/>
      <c r="F1060" s="708"/>
      <c r="G1060" s="708"/>
      <c r="H1060" s="708"/>
      <c r="I1060" s="708"/>
      <c r="J1060" s="708"/>
      <c r="K1060" s="708"/>
      <c r="L1060" s="708"/>
      <c r="M1060" s="708"/>
      <c r="N1060" s="708"/>
      <c r="O1060" s="708"/>
      <c r="P1060" s="708"/>
      <c r="Q1060" s="708"/>
      <c r="R1060" s="708"/>
      <c r="S1060" s="708"/>
      <c r="T1060" s="708"/>
      <c r="U1060" s="708"/>
      <c r="V1060" s="708"/>
      <c r="W1060" s="708"/>
      <c r="X1060" s="708"/>
      <c r="Y1060" s="708"/>
      <c r="Z1060" s="708"/>
      <c r="AA1060" s="708"/>
      <c r="AB1060" s="708"/>
      <c r="AC1060" s="708"/>
      <c r="AD1060" s="708"/>
      <c r="AE1060" s="708"/>
    </row>
    <row r="1061">
      <c r="A1061" s="708"/>
      <c r="B1061" s="708"/>
      <c r="C1061" s="708"/>
      <c r="D1061" s="708"/>
      <c r="E1061" s="708"/>
      <c r="F1061" s="708"/>
      <c r="G1061" s="708"/>
      <c r="H1061" s="708"/>
      <c r="I1061" s="708"/>
      <c r="J1061" s="708"/>
      <c r="K1061" s="708"/>
      <c r="L1061" s="708"/>
      <c r="M1061" s="708"/>
      <c r="N1061" s="708"/>
      <c r="O1061" s="708"/>
      <c r="P1061" s="708"/>
      <c r="Q1061" s="708"/>
      <c r="R1061" s="708"/>
      <c r="S1061" s="708"/>
      <c r="T1061" s="708"/>
      <c r="U1061" s="708"/>
      <c r="V1061" s="708"/>
      <c r="W1061" s="708"/>
      <c r="X1061" s="708"/>
      <c r="Y1061" s="708"/>
      <c r="Z1061" s="708"/>
      <c r="AA1061" s="708"/>
      <c r="AB1061" s="708"/>
      <c r="AC1061" s="708"/>
      <c r="AD1061" s="708"/>
      <c r="AE1061" s="708"/>
    </row>
    <row r="1062">
      <c r="A1062" s="708"/>
      <c r="B1062" s="708"/>
      <c r="C1062" s="708"/>
      <c r="D1062" s="708"/>
      <c r="E1062" s="708"/>
      <c r="F1062" s="708"/>
      <c r="G1062" s="708"/>
      <c r="H1062" s="708"/>
      <c r="I1062" s="708"/>
      <c r="J1062" s="708"/>
      <c r="K1062" s="708"/>
      <c r="L1062" s="708"/>
      <c r="M1062" s="708"/>
      <c r="N1062" s="708"/>
      <c r="O1062" s="708"/>
      <c r="P1062" s="708"/>
      <c r="Q1062" s="708"/>
      <c r="R1062" s="708"/>
      <c r="S1062" s="708"/>
      <c r="T1062" s="708"/>
      <c r="U1062" s="708"/>
      <c r="V1062" s="708"/>
      <c r="W1062" s="708"/>
      <c r="X1062" s="708"/>
      <c r="Y1062" s="708"/>
      <c r="Z1062" s="708"/>
      <c r="AA1062" s="708"/>
      <c r="AB1062" s="708"/>
      <c r="AC1062" s="708"/>
      <c r="AD1062" s="708"/>
      <c r="AE1062" s="708"/>
    </row>
    <row r="1063">
      <c r="A1063" s="708"/>
      <c r="B1063" s="708"/>
      <c r="C1063" s="708"/>
      <c r="D1063" s="708"/>
      <c r="E1063" s="708"/>
      <c r="F1063" s="708"/>
      <c r="G1063" s="708"/>
      <c r="H1063" s="708"/>
      <c r="I1063" s="708"/>
      <c r="J1063" s="708"/>
      <c r="K1063" s="708"/>
      <c r="L1063" s="708"/>
      <c r="M1063" s="708"/>
      <c r="N1063" s="708"/>
      <c r="O1063" s="708"/>
      <c r="P1063" s="708"/>
      <c r="Q1063" s="708"/>
      <c r="R1063" s="708"/>
      <c r="S1063" s="708"/>
      <c r="T1063" s="708"/>
      <c r="U1063" s="708"/>
      <c r="V1063" s="708"/>
      <c r="W1063" s="708"/>
      <c r="X1063" s="708"/>
      <c r="Y1063" s="708"/>
      <c r="Z1063" s="708"/>
      <c r="AA1063" s="708"/>
      <c r="AB1063" s="708"/>
      <c r="AC1063" s="708"/>
      <c r="AD1063" s="708"/>
      <c r="AE1063" s="708"/>
    </row>
    <row r="1064">
      <c r="A1064" s="708"/>
      <c r="B1064" s="708"/>
      <c r="C1064" s="708"/>
      <c r="D1064" s="708"/>
      <c r="E1064" s="708"/>
      <c r="F1064" s="708"/>
      <c r="G1064" s="708"/>
      <c r="H1064" s="708"/>
      <c r="I1064" s="708"/>
      <c r="J1064" s="708"/>
      <c r="K1064" s="708"/>
      <c r="L1064" s="708"/>
      <c r="M1064" s="708"/>
      <c r="N1064" s="708"/>
      <c r="O1064" s="708"/>
      <c r="P1064" s="708"/>
      <c r="Q1064" s="708"/>
      <c r="R1064" s="708"/>
      <c r="S1064" s="708"/>
      <c r="T1064" s="708"/>
      <c r="U1064" s="708"/>
      <c r="V1064" s="708"/>
      <c r="W1064" s="708"/>
      <c r="X1064" s="708"/>
      <c r="Y1064" s="708"/>
      <c r="Z1064" s="708"/>
      <c r="AA1064" s="708"/>
      <c r="AB1064" s="708"/>
      <c r="AC1064" s="708"/>
      <c r="AD1064" s="708"/>
      <c r="AE1064" s="708"/>
    </row>
    <row r="1065">
      <c r="A1065" s="708"/>
      <c r="B1065" s="708"/>
      <c r="C1065" s="708"/>
      <c r="D1065" s="708"/>
      <c r="E1065" s="708"/>
      <c r="F1065" s="708"/>
      <c r="G1065" s="708"/>
      <c r="H1065" s="708"/>
      <c r="I1065" s="708"/>
      <c r="J1065" s="708"/>
      <c r="K1065" s="708"/>
      <c r="L1065" s="708"/>
      <c r="M1065" s="708"/>
      <c r="N1065" s="708"/>
      <c r="O1065" s="708"/>
      <c r="P1065" s="708"/>
      <c r="Q1065" s="708"/>
      <c r="R1065" s="708"/>
      <c r="S1065" s="708"/>
      <c r="T1065" s="708"/>
      <c r="U1065" s="708"/>
      <c r="V1065" s="708"/>
      <c r="W1065" s="708"/>
      <c r="X1065" s="708"/>
      <c r="Y1065" s="708"/>
      <c r="Z1065" s="708"/>
      <c r="AA1065" s="708"/>
      <c r="AB1065" s="708"/>
      <c r="AC1065" s="708"/>
      <c r="AD1065" s="708"/>
      <c r="AE1065" s="708"/>
    </row>
    <row r="1066">
      <c r="A1066" s="708"/>
      <c r="B1066" s="708"/>
      <c r="C1066" s="708"/>
      <c r="D1066" s="708"/>
      <c r="E1066" s="708"/>
      <c r="F1066" s="708"/>
      <c r="G1066" s="708"/>
      <c r="H1066" s="708"/>
      <c r="I1066" s="708"/>
      <c r="J1066" s="708"/>
      <c r="K1066" s="708"/>
      <c r="L1066" s="708"/>
      <c r="M1066" s="708"/>
      <c r="N1066" s="708"/>
      <c r="O1066" s="708"/>
      <c r="P1066" s="708"/>
      <c r="Q1066" s="708"/>
      <c r="R1066" s="708"/>
      <c r="S1066" s="708"/>
      <c r="T1066" s="708"/>
      <c r="U1066" s="708"/>
      <c r="V1066" s="708"/>
      <c r="W1066" s="708"/>
      <c r="X1066" s="708"/>
      <c r="Y1066" s="708"/>
      <c r="Z1066" s="708"/>
      <c r="AA1066" s="708"/>
      <c r="AB1066" s="708"/>
      <c r="AC1066" s="708"/>
      <c r="AD1066" s="708"/>
      <c r="AE1066" s="708"/>
    </row>
    <row r="1067">
      <c r="A1067" s="708"/>
      <c r="B1067" s="708"/>
      <c r="C1067" s="708"/>
      <c r="D1067" s="708"/>
      <c r="E1067" s="708"/>
      <c r="F1067" s="708"/>
      <c r="G1067" s="708"/>
      <c r="H1067" s="708"/>
      <c r="I1067" s="708"/>
      <c r="J1067" s="708"/>
      <c r="K1067" s="708"/>
      <c r="L1067" s="708"/>
      <c r="M1067" s="708"/>
      <c r="N1067" s="708"/>
      <c r="O1067" s="708"/>
      <c r="P1067" s="708"/>
      <c r="Q1067" s="708"/>
      <c r="R1067" s="708"/>
      <c r="S1067" s="708"/>
      <c r="T1067" s="708"/>
      <c r="U1067" s="708"/>
      <c r="V1067" s="708"/>
      <c r="W1067" s="708"/>
      <c r="X1067" s="708"/>
      <c r="Y1067" s="708"/>
      <c r="Z1067" s="708"/>
      <c r="AA1067" s="708"/>
      <c r="AB1067" s="708"/>
      <c r="AC1067" s="708"/>
      <c r="AD1067" s="708"/>
      <c r="AE1067" s="708"/>
    </row>
    <row r="1068">
      <c r="A1068" s="708"/>
      <c r="B1068" s="708"/>
      <c r="C1068" s="708"/>
      <c r="D1068" s="708"/>
      <c r="E1068" s="708"/>
      <c r="F1068" s="708"/>
      <c r="G1068" s="708"/>
      <c r="H1068" s="708"/>
      <c r="I1068" s="708"/>
      <c r="J1068" s="708"/>
      <c r="K1068" s="708"/>
      <c r="L1068" s="708"/>
      <c r="M1068" s="708"/>
      <c r="N1068" s="708"/>
      <c r="O1068" s="708"/>
      <c r="P1068" s="708"/>
      <c r="Q1068" s="708"/>
      <c r="R1068" s="708"/>
      <c r="S1068" s="708"/>
      <c r="T1068" s="708"/>
      <c r="U1068" s="708"/>
      <c r="V1068" s="708"/>
      <c r="W1068" s="708"/>
      <c r="X1068" s="708"/>
      <c r="Y1068" s="708"/>
      <c r="Z1068" s="708"/>
      <c r="AA1068" s="708"/>
      <c r="AB1068" s="708"/>
      <c r="AC1068" s="708"/>
      <c r="AD1068" s="708"/>
      <c r="AE1068" s="708"/>
    </row>
    <row r="1069">
      <c r="A1069" s="708"/>
      <c r="B1069" s="708"/>
      <c r="C1069" s="708"/>
      <c r="D1069" s="708"/>
      <c r="E1069" s="708"/>
      <c r="F1069" s="708"/>
      <c r="G1069" s="708"/>
      <c r="H1069" s="708"/>
      <c r="I1069" s="708"/>
      <c r="J1069" s="708"/>
      <c r="K1069" s="708"/>
      <c r="L1069" s="708"/>
      <c r="M1069" s="708"/>
      <c r="N1069" s="708"/>
      <c r="O1069" s="708"/>
      <c r="P1069" s="708"/>
      <c r="Q1069" s="708"/>
      <c r="R1069" s="708"/>
      <c r="S1069" s="708"/>
      <c r="T1069" s="708"/>
      <c r="U1069" s="708"/>
      <c r="V1069" s="708"/>
      <c r="W1069" s="708"/>
      <c r="X1069" s="708"/>
      <c r="Y1069" s="708"/>
      <c r="Z1069" s="708"/>
      <c r="AA1069" s="708"/>
      <c r="AB1069" s="708"/>
      <c r="AC1069" s="708"/>
      <c r="AD1069" s="708"/>
      <c r="AE1069" s="708"/>
    </row>
    <row r="1070">
      <c r="A1070" s="708"/>
      <c r="B1070" s="708"/>
      <c r="C1070" s="708"/>
      <c r="D1070" s="708"/>
      <c r="E1070" s="708"/>
      <c r="F1070" s="708"/>
      <c r="G1070" s="708"/>
      <c r="H1070" s="708"/>
      <c r="I1070" s="708"/>
      <c r="J1070" s="708"/>
      <c r="K1070" s="708"/>
      <c r="L1070" s="708"/>
      <c r="M1070" s="708"/>
      <c r="N1070" s="708"/>
      <c r="O1070" s="708"/>
      <c r="P1070" s="708"/>
      <c r="Q1070" s="708"/>
      <c r="R1070" s="708"/>
      <c r="S1070" s="708"/>
      <c r="T1070" s="708"/>
      <c r="U1070" s="708"/>
      <c r="V1070" s="708"/>
      <c r="W1070" s="708"/>
      <c r="X1070" s="708"/>
      <c r="Y1070" s="708"/>
      <c r="Z1070" s="708"/>
      <c r="AA1070" s="708"/>
      <c r="AB1070" s="708"/>
      <c r="AC1070" s="708"/>
      <c r="AD1070" s="708"/>
      <c r="AE1070" s="708"/>
    </row>
    <row r="1071">
      <c r="A1071" s="708"/>
      <c r="B1071" s="708"/>
      <c r="C1071" s="708"/>
      <c r="D1071" s="708"/>
      <c r="E1071" s="708"/>
      <c r="F1071" s="708"/>
      <c r="G1071" s="708"/>
      <c r="H1071" s="708"/>
      <c r="I1071" s="708"/>
      <c r="J1071" s="708"/>
      <c r="K1071" s="708"/>
      <c r="L1071" s="708"/>
      <c r="M1071" s="708"/>
      <c r="N1071" s="708"/>
      <c r="O1071" s="708"/>
      <c r="P1071" s="708"/>
      <c r="Q1071" s="708"/>
      <c r="R1071" s="708"/>
      <c r="S1071" s="708"/>
      <c r="T1071" s="708"/>
      <c r="U1071" s="708"/>
      <c r="V1071" s="708"/>
      <c r="W1071" s="708"/>
      <c r="X1071" s="708"/>
      <c r="Y1071" s="708"/>
      <c r="Z1071" s="708"/>
      <c r="AA1071" s="708"/>
      <c r="AB1071" s="708"/>
      <c r="AC1071" s="708"/>
      <c r="AD1071" s="708"/>
      <c r="AE1071" s="708"/>
    </row>
  </sheetData>
  <autoFilter ref="$A$14:$AE$563"/>
  <hyperlinks>
    <hyperlink r:id="rId1" ref="B214"/>
    <hyperlink r:id="rId2" ref="C214"/>
    <hyperlink r:id="rId3" ref="B216"/>
    <hyperlink r:id="rId4" ref="B234"/>
    <hyperlink r:id="rId5" ref="C234"/>
    <hyperlink r:id="rId6" ref="C271"/>
    <hyperlink r:id="rId7" ref="C272"/>
    <hyperlink r:id="rId8" ref="C280"/>
    <hyperlink r:id="rId9" ref="B326"/>
    <hyperlink r:id="rId10" ref="C326"/>
    <hyperlink r:id="rId11" ref="B331"/>
    <hyperlink r:id="rId12" ref="C331"/>
    <hyperlink r:id="rId13" ref="B356"/>
    <hyperlink r:id="rId14" ref="C356"/>
    <hyperlink r:id="rId15" ref="B421"/>
    <hyperlink r:id="rId16" ref="C421"/>
    <hyperlink r:id="rId17" ref="B422"/>
    <hyperlink r:id="rId18" ref="C422"/>
    <hyperlink r:id="rId19" ref="B426"/>
    <hyperlink r:id="rId20" ref="B474"/>
    <hyperlink r:id="rId21" ref="C474"/>
    <hyperlink r:id="rId22" ref="B483"/>
    <hyperlink r:id="rId23" ref="B565"/>
    <hyperlink r:id="rId24" ref="C565"/>
  </hyperlinks>
  <drawing r:id="rId25"/>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9.0"/>
    <col customWidth="1" min="2" max="2" width="11.33"/>
    <col customWidth="1" min="3" max="3" width="15.0"/>
    <col customWidth="1" min="4" max="4" width="26.0"/>
    <col customWidth="1" min="5" max="5" width="42.22"/>
    <col customWidth="1" min="6" max="6" width="26.78"/>
    <col customWidth="1" min="7" max="7" width="31.22"/>
    <col customWidth="1" min="8" max="13" width="15.0"/>
    <col customWidth="1" min="14" max="14" width="6.22"/>
    <col customWidth="1" min="15" max="16" width="15.0"/>
    <col customWidth="1" min="17" max="26" width="8.56"/>
  </cols>
  <sheetData>
    <row r="1" ht="12.75" customHeight="1">
      <c r="A1" s="755"/>
      <c r="Q1" s="755"/>
      <c r="R1" s="755"/>
      <c r="S1" s="755"/>
      <c r="T1" s="755"/>
      <c r="U1" s="755"/>
      <c r="V1" s="755"/>
      <c r="W1" s="755"/>
      <c r="X1" s="755"/>
      <c r="Y1" s="755"/>
      <c r="Z1" s="755"/>
    </row>
    <row r="2" ht="12.75" customHeight="1">
      <c r="A2" s="756" t="s">
        <v>235</v>
      </c>
      <c r="B2" s="756" t="s">
        <v>10524</v>
      </c>
      <c r="C2" s="756" t="s">
        <v>11827</v>
      </c>
      <c r="D2" s="756" t="s">
        <v>10493</v>
      </c>
      <c r="E2" s="756" t="s">
        <v>10494</v>
      </c>
      <c r="F2" s="756" t="s">
        <v>10526</v>
      </c>
      <c r="G2" s="756" t="s">
        <v>11833</v>
      </c>
      <c r="H2" s="756" t="s">
        <v>11834</v>
      </c>
      <c r="I2" s="756" t="s">
        <v>11835</v>
      </c>
      <c r="J2" s="756" t="s">
        <v>11829</v>
      </c>
      <c r="K2" s="756" t="s">
        <v>11830</v>
      </c>
      <c r="L2" s="756" t="s">
        <v>11831</v>
      </c>
      <c r="M2" s="756" t="s">
        <v>11832</v>
      </c>
      <c r="N2" s="756" t="s">
        <v>11836</v>
      </c>
      <c r="O2" s="756" t="s">
        <v>11837</v>
      </c>
      <c r="P2" s="756" t="s">
        <v>11799</v>
      </c>
      <c r="Q2" s="757"/>
      <c r="R2" s="757"/>
      <c r="S2" s="757"/>
      <c r="T2" s="757"/>
      <c r="U2" s="757"/>
      <c r="V2" s="757"/>
      <c r="W2" s="757"/>
      <c r="X2" s="757"/>
      <c r="Y2" s="757"/>
      <c r="Z2" s="757"/>
    </row>
    <row r="3" ht="12.75" customHeight="1">
      <c r="A3" s="758">
        <v>1.0</v>
      </c>
      <c r="B3" s="421" t="s">
        <v>5</v>
      </c>
      <c r="C3" s="421" t="s">
        <v>10528</v>
      </c>
      <c r="D3" s="421" t="s">
        <v>5</v>
      </c>
      <c r="E3" s="421" t="s">
        <v>10527</v>
      </c>
      <c r="F3" s="421" t="s">
        <v>11839</v>
      </c>
      <c r="G3" s="421" t="s">
        <v>5</v>
      </c>
      <c r="H3" s="421" t="s">
        <v>5</v>
      </c>
      <c r="I3" s="421" t="s">
        <v>5</v>
      </c>
      <c r="J3" s="421" t="s">
        <v>5</v>
      </c>
      <c r="K3" s="421" t="s">
        <v>5</v>
      </c>
      <c r="L3" s="421" t="s">
        <v>5</v>
      </c>
      <c r="M3" s="759" t="s">
        <v>5</v>
      </c>
      <c r="N3" s="760" t="s">
        <v>9265</v>
      </c>
      <c r="O3" s="759" t="s">
        <v>5</v>
      </c>
      <c r="P3" s="421" t="s">
        <v>11802</v>
      </c>
      <c r="Q3" s="757"/>
      <c r="R3" s="757"/>
      <c r="S3" s="757"/>
      <c r="T3" s="757"/>
      <c r="U3" s="757"/>
      <c r="V3" s="757"/>
      <c r="W3" s="757"/>
      <c r="X3" s="757"/>
      <c r="Y3" s="757"/>
      <c r="Z3" s="757"/>
    </row>
    <row r="4" ht="12.75" customHeight="1">
      <c r="A4" s="761">
        <v>2.0</v>
      </c>
      <c r="B4" s="169" t="s">
        <v>26</v>
      </c>
      <c r="C4" s="169" t="s">
        <v>25</v>
      </c>
      <c r="D4" s="169" t="s">
        <v>10527</v>
      </c>
      <c r="E4" s="169" t="s">
        <v>12575</v>
      </c>
      <c r="F4" s="169" t="s">
        <v>11840</v>
      </c>
      <c r="G4" s="169" t="s">
        <v>5</v>
      </c>
      <c r="H4" s="169" t="s">
        <v>5</v>
      </c>
      <c r="I4" s="169" t="s">
        <v>5</v>
      </c>
      <c r="J4" s="169" t="s">
        <v>5</v>
      </c>
      <c r="K4" s="169" t="s">
        <v>5</v>
      </c>
      <c r="L4" s="169" t="s">
        <v>5</v>
      </c>
      <c r="M4" s="762" t="s">
        <v>5</v>
      </c>
      <c r="N4" s="763" t="s">
        <v>9265</v>
      </c>
      <c r="O4" s="762" t="s">
        <v>5</v>
      </c>
      <c r="P4" s="169" t="s">
        <v>11802</v>
      </c>
      <c r="Q4" s="757"/>
      <c r="R4" s="757"/>
      <c r="S4" s="757"/>
      <c r="T4" s="757"/>
      <c r="U4" s="757"/>
      <c r="V4" s="757"/>
      <c r="W4" s="757"/>
      <c r="X4" s="757"/>
      <c r="Y4" s="757"/>
      <c r="Z4" s="757"/>
    </row>
    <row r="5" ht="12.75" customHeight="1">
      <c r="A5" s="761">
        <v>3.0</v>
      </c>
      <c r="B5" s="169" t="s">
        <v>11841</v>
      </c>
      <c r="C5" s="169" t="s">
        <v>10537</v>
      </c>
      <c r="D5" s="169" t="s">
        <v>453</v>
      </c>
      <c r="E5" s="169" t="s">
        <v>12576</v>
      </c>
      <c r="F5" s="169" t="s">
        <v>31</v>
      </c>
      <c r="G5" s="169" t="s">
        <v>11842</v>
      </c>
      <c r="H5" s="169" t="s">
        <v>5</v>
      </c>
      <c r="I5" s="169" t="s">
        <v>5</v>
      </c>
      <c r="J5" s="169" t="s">
        <v>5</v>
      </c>
      <c r="K5" s="169" t="s">
        <v>5</v>
      </c>
      <c r="L5" s="169" t="s">
        <v>5</v>
      </c>
      <c r="M5" s="762" t="s">
        <v>5</v>
      </c>
      <c r="N5" s="763" t="s">
        <v>9265</v>
      </c>
      <c r="O5" s="762" t="s">
        <v>5</v>
      </c>
      <c r="P5" s="169" t="s">
        <v>11802</v>
      </c>
      <c r="Q5" s="757"/>
      <c r="R5" s="757"/>
      <c r="S5" s="757"/>
      <c r="T5" s="757"/>
      <c r="U5" s="757"/>
      <c r="V5" s="757"/>
      <c r="W5" s="757"/>
      <c r="X5" s="757"/>
      <c r="Y5" s="757"/>
      <c r="Z5" s="757"/>
    </row>
    <row r="6" ht="12.75" customHeight="1">
      <c r="A6" s="761">
        <v>4.0</v>
      </c>
      <c r="B6" s="169" t="s">
        <v>11843</v>
      </c>
      <c r="C6" s="169"/>
      <c r="D6" s="169"/>
      <c r="E6" s="169"/>
      <c r="F6" s="169" t="s">
        <v>11844</v>
      </c>
      <c r="G6" s="169" t="s">
        <v>5</v>
      </c>
      <c r="H6" s="169" t="s">
        <v>5</v>
      </c>
      <c r="I6" s="169" t="s">
        <v>5</v>
      </c>
      <c r="J6" s="169" t="s">
        <v>5</v>
      </c>
      <c r="K6" s="169" t="s">
        <v>5</v>
      </c>
      <c r="L6" s="169" t="s">
        <v>5</v>
      </c>
      <c r="M6" s="762" t="s">
        <v>5</v>
      </c>
      <c r="N6" s="763" t="s">
        <v>9265</v>
      </c>
      <c r="O6" s="762" t="s">
        <v>5</v>
      </c>
      <c r="P6" s="169" t="s">
        <v>11802</v>
      </c>
      <c r="Q6" s="757"/>
      <c r="R6" s="757"/>
      <c r="S6" s="757"/>
      <c r="T6" s="757"/>
      <c r="U6" s="757"/>
      <c r="V6" s="757"/>
      <c r="W6" s="757"/>
      <c r="X6" s="757"/>
      <c r="Y6" s="757"/>
      <c r="Z6" s="757"/>
    </row>
    <row r="7" ht="12.75" customHeight="1">
      <c r="A7" s="761">
        <v>5.0</v>
      </c>
      <c r="B7" s="169" t="s">
        <v>11845</v>
      </c>
      <c r="C7" s="169"/>
      <c r="D7" s="169"/>
      <c r="E7" s="169"/>
      <c r="F7" s="169" t="s">
        <v>11844</v>
      </c>
      <c r="G7" s="169" t="s">
        <v>5</v>
      </c>
      <c r="H7" s="169" t="s">
        <v>5</v>
      </c>
      <c r="I7" s="169" t="s">
        <v>5</v>
      </c>
      <c r="J7" s="169" t="s">
        <v>5</v>
      </c>
      <c r="K7" s="169" t="s">
        <v>5</v>
      </c>
      <c r="L7" s="169" t="s">
        <v>5</v>
      </c>
      <c r="M7" s="762" t="s">
        <v>5</v>
      </c>
      <c r="N7" s="763" t="s">
        <v>9265</v>
      </c>
      <c r="O7" s="762" t="s">
        <v>5</v>
      </c>
      <c r="P7" s="169" t="s">
        <v>11802</v>
      </c>
      <c r="Q7" s="757"/>
      <c r="R7" s="757"/>
      <c r="S7" s="757"/>
      <c r="T7" s="757"/>
      <c r="U7" s="757"/>
      <c r="V7" s="757"/>
      <c r="W7" s="757"/>
      <c r="X7" s="757"/>
      <c r="Y7" s="757"/>
      <c r="Z7" s="757"/>
    </row>
    <row r="8" ht="12.75" customHeight="1">
      <c r="A8" s="761">
        <v>6.0</v>
      </c>
      <c r="B8" s="169" t="s">
        <v>11846</v>
      </c>
      <c r="C8" s="169"/>
      <c r="D8" s="169"/>
      <c r="E8" s="169"/>
      <c r="F8" s="169" t="s">
        <v>11844</v>
      </c>
      <c r="G8" s="169" t="s">
        <v>5</v>
      </c>
      <c r="H8" s="169" t="s">
        <v>5</v>
      </c>
      <c r="I8" s="169" t="s">
        <v>5</v>
      </c>
      <c r="J8" s="169" t="s">
        <v>5</v>
      </c>
      <c r="K8" s="169" t="s">
        <v>5</v>
      </c>
      <c r="L8" s="169" t="s">
        <v>5</v>
      </c>
      <c r="M8" s="762" t="s">
        <v>5</v>
      </c>
      <c r="N8" s="763" t="s">
        <v>9265</v>
      </c>
      <c r="O8" s="762" t="s">
        <v>5</v>
      </c>
      <c r="P8" s="169" t="s">
        <v>11802</v>
      </c>
      <c r="Q8" s="757"/>
      <c r="R8" s="757"/>
      <c r="S8" s="757"/>
      <c r="T8" s="757"/>
      <c r="U8" s="757"/>
      <c r="V8" s="757"/>
      <c r="W8" s="757"/>
      <c r="X8" s="757"/>
      <c r="Y8" s="757"/>
      <c r="Z8" s="757"/>
    </row>
    <row r="9" ht="12.75" customHeight="1">
      <c r="A9" s="761">
        <v>7.0</v>
      </c>
      <c r="B9" s="169" t="s">
        <v>6126</v>
      </c>
      <c r="C9" s="169"/>
      <c r="D9" s="169"/>
      <c r="E9" s="169"/>
      <c r="F9" s="169" t="s">
        <v>11844</v>
      </c>
      <c r="G9" s="169" t="s">
        <v>5</v>
      </c>
      <c r="H9" s="169" t="s">
        <v>5</v>
      </c>
      <c r="I9" s="169" t="s">
        <v>5</v>
      </c>
      <c r="J9" s="169" t="s">
        <v>5</v>
      </c>
      <c r="K9" s="169" t="s">
        <v>5</v>
      </c>
      <c r="L9" s="169" t="s">
        <v>5</v>
      </c>
      <c r="M9" s="762" t="s">
        <v>5</v>
      </c>
      <c r="N9" s="763" t="s">
        <v>9265</v>
      </c>
      <c r="O9" s="762" t="s">
        <v>5</v>
      </c>
      <c r="P9" s="169" t="s">
        <v>11802</v>
      </c>
      <c r="Q9" s="757"/>
      <c r="R9" s="757"/>
      <c r="S9" s="757"/>
      <c r="T9" s="757"/>
      <c r="U9" s="757"/>
      <c r="V9" s="757"/>
      <c r="W9" s="757"/>
      <c r="X9" s="757"/>
      <c r="Y9" s="757"/>
      <c r="Z9" s="757"/>
    </row>
    <row r="10" ht="12.75" customHeight="1">
      <c r="A10" s="761">
        <v>8.0</v>
      </c>
      <c r="B10" s="169" t="s">
        <v>11847</v>
      </c>
      <c r="C10" s="169"/>
      <c r="D10" s="169"/>
      <c r="E10" s="169"/>
      <c r="F10" s="169" t="s">
        <v>11844</v>
      </c>
      <c r="G10" s="169" t="s">
        <v>5</v>
      </c>
      <c r="H10" s="169" t="s">
        <v>5</v>
      </c>
      <c r="I10" s="169" t="s">
        <v>5</v>
      </c>
      <c r="J10" s="169" t="s">
        <v>5</v>
      </c>
      <c r="K10" s="169" t="s">
        <v>5</v>
      </c>
      <c r="L10" s="169" t="s">
        <v>5</v>
      </c>
      <c r="M10" s="762" t="s">
        <v>5</v>
      </c>
      <c r="N10" s="763" t="s">
        <v>9265</v>
      </c>
      <c r="O10" s="762" t="s">
        <v>5</v>
      </c>
      <c r="P10" s="169" t="s">
        <v>11802</v>
      </c>
      <c r="Q10" s="757"/>
      <c r="R10" s="757"/>
      <c r="S10" s="757"/>
      <c r="T10" s="757"/>
      <c r="U10" s="757"/>
      <c r="V10" s="757"/>
      <c r="W10" s="757"/>
      <c r="X10" s="757"/>
      <c r="Y10" s="757"/>
      <c r="Z10" s="757"/>
    </row>
    <row r="11" ht="12.75" customHeight="1">
      <c r="A11" s="761">
        <v>9.0</v>
      </c>
      <c r="B11" s="169" t="s">
        <v>11848</v>
      </c>
      <c r="C11" s="169"/>
      <c r="D11" s="169"/>
      <c r="E11" s="169"/>
      <c r="F11" s="169" t="s">
        <v>11844</v>
      </c>
      <c r="G11" s="169" t="s">
        <v>5</v>
      </c>
      <c r="H11" s="169" t="s">
        <v>5</v>
      </c>
      <c r="I11" s="169" t="s">
        <v>5</v>
      </c>
      <c r="J11" s="169" t="s">
        <v>5</v>
      </c>
      <c r="K11" s="169" t="s">
        <v>5</v>
      </c>
      <c r="L11" s="169" t="s">
        <v>5</v>
      </c>
      <c r="M11" s="762" t="s">
        <v>5</v>
      </c>
      <c r="N11" s="763" t="s">
        <v>9265</v>
      </c>
      <c r="O11" s="762" t="s">
        <v>5</v>
      </c>
      <c r="P11" s="169" t="s">
        <v>11802</v>
      </c>
      <c r="Q11" s="757"/>
      <c r="R11" s="757"/>
      <c r="S11" s="757"/>
      <c r="T11" s="757"/>
      <c r="U11" s="757"/>
      <c r="V11" s="757"/>
      <c r="W11" s="757"/>
      <c r="X11" s="757"/>
      <c r="Y11" s="757"/>
      <c r="Z11" s="757"/>
    </row>
    <row r="12" ht="12.75" customHeight="1">
      <c r="A12" s="761">
        <v>10.0</v>
      </c>
      <c r="B12" s="169" t="s">
        <v>623</v>
      </c>
      <c r="C12" s="169"/>
      <c r="D12" s="169"/>
      <c r="E12" s="169"/>
      <c r="F12" s="169" t="s">
        <v>11844</v>
      </c>
      <c r="G12" s="169" t="s">
        <v>5</v>
      </c>
      <c r="H12" s="169" t="s">
        <v>5</v>
      </c>
      <c r="I12" s="169" t="s">
        <v>11849</v>
      </c>
      <c r="J12" s="169" t="s">
        <v>5</v>
      </c>
      <c r="K12" s="169" t="s">
        <v>5</v>
      </c>
      <c r="L12" s="169" t="s">
        <v>5</v>
      </c>
      <c r="M12" s="762" t="s">
        <v>5</v>
      </c>
      <c r="N12" s="763" t="s">
        <v>9265</v>
      </c>
      <c r="O12" s="762" t="s">
        <v>5</v>
      </c>
      <c r="P12" s="169" t="s">
        <v>11802</v>
      </c>
      <c r="Q12" s="757"/>
      <c r="R12" s="757"/>
      <c r="S12" s="757"/>
      <c r="T12" s="757"/>
      <c r="U12" s="757"/>
      <c r="V12" s="757"/>
      <c r="W12" s="757"/>
      <c r="X12" s="757"/>
      <c r="Y12" s="757"/>
      <c r="Z12" s="757"/>
    </row>
    <row r="13" ht="12.75" customHeight="1">
      <c r="A13" s="761">
        <v>11.0</v>
      </c>
      <c r="B13" s="169" t="s">
        <v>5</v>
      </c>
      <c r="C13" s="169" t="s">
        <v>5357</v>
      </c>
      <c r="D13" s="169" t="s">
        <v>453</v>
      </c>
      <c r="E13" s="169" t="s">
        <v>12577</v>
      </c>
      <c r="F13" s="169" t="s">
        <v>11850</v>
      </c>
      <c r="G13" s="169" t="s">
        <v>5</v>
      </c>
      <c r="H13" s="169" t="s">
        <v>5</v>
      </c>
      <c r="I13" s="169" t="s">
        <v>5</v>
      </c>
      <c r="J13" s="169" t="s">
        <v>5</v>
      </c>
      <c r="K13" s="169" t="s">
        <v>5</v>
      </c>
      <c r="L13" s="169" t="s">
        <v>5</v>
      </c>
      <c r="M13" s="762" t="s">
        <v>5</v>
      </c>
      <c r="N13" s="763" t="s">
        <v>9265</v>
      </c>
      <c r="O13" s="762" t="s">
        <v>5</v>
      </c>
      <c r="P13" s="169" t="s">
        <v>11802</v>
      </c>
      <c r="Q13" s="757"/>
      <c r="R13" s="757"/>
      <c r="S13" s="757"/>
      <c r="T13" s="757"/>
      <c r="U13" s="757"/>
      <c r="V13" s="757"/>
      <c r="W13" s="757"/>
      <c r="X13" s="757"/>
      <c r="Y13" s="757"/>
      <c r="Z13" s="757"/>
    </row>
    <row r="14" ht="12.75" customHeight="1">
      <c r="A14" s="761">
        <v>12.0</v>
      </c>
      <c r="B14" s="169" t="s">
        <v>5</v>
      </c>
      <c r="C14" s="169" t="s">
        <v>10608</v>
      </c>
      <c r="D14" s="169" t="s">
        <v>453</v>
      </c>
      <c r="E14" s="169" t="s">
        <v>12578</v>
      </c>
      <c r="F14" s="169" t="s">
        <v>11850</v>
      </c>
      <c r="G14" s="169" t="s">
        <v>5</v>
      </c>
      <c r="H14" s="169" t="s">
        <v>5</v>
      </c>
      <c r="I14" s="169" t="s">
        <v>5</v>
      </c>
      <c r="J14" s="169" t="s">
        <v>5</v>
      </c>
      <c r="K14" s="169" t="s">
        <v>5</v>
      </c>
      <c r="L14" s="169" t="s">
        <v>5</v>
      </c>
      <c r="M14" s="762" t="s">
        <v>5</v>
      </c>
      <c r="N14" s="763" t="s">
        <v>9265</v>
      </c>
      <c r="O14" s="762" t="s">
        <v>5</v>
      </c>
      <c r="P14" s="169" t="s">
        <v>11802</v>
      </c>
      <c r="Q14" s="757"/>
      <c r="R14" s="757"/>
      <c r="S14" s="757"/>
      <c r="T14" s="757"/>
      <c r="U14" s="757"/>
      <c r="V14" s="757"/>
      <c r="W14" s="757"/>
      <c r="X14" s="757"/>
      <c r="Y14" s="757"/>
      <c r="Z14" s="757"/>
    </row>
    <row r="15" ht="12.75" customHeight="1">
      <c r="A15" s="761">
        <v>13.0</v>
      </c>
      <c r="B15" s="169" t="s">
        <v>5</v>
      </c>
      <c r="C15" s="169" t="s">
        <v>3164</v>
      </c>
      <c r="D15" s="169" t="s">
        <v>454</v>
      </c>
      <c r="E15" s="169" t="s">
        <v>12579</v>
      </c>
      <c r="F15" s="169" t="s">
        <v>11851</v>
      </c>
      <c r="G15" s="169" t="s">
        <v>5</v>
      </c>
      <c r="H15" s="169" t="s">
        <v>5</v>
      </c>
      <c r="I15" s="169" t="s">
        <v>5</v>
      </c>
      <c r="J15" s="169" t="s">
        <v>5</v>
      </c>
      <c r="K15" s="169" t="s">
        <v>5</v>
      </c>
      <c r="L15" s="169" t="s">
        <v>5</v>
      </c>
      <c r="M15" s="762" t="s">
        <v>5</v>
      </c>
      <c r="N15" s="763" t="s">
        <v>9265</v>
      </c>
      <c r="O15" s="762" t="s">
        <v>5</v>
      </c>
      <c r="P15" s="169" t="s">
        <v>11802</v>
      </c>
      <c r="Q15" s="757"/>
      <c r="R15" s="757"/>
      <c r="S15" s="757"/>
      <c r="T15" s="757"/>
      <c r="U15" s="757"/>
      <c r="V15" s="757"/>
      <c r="W15" s="757"/>
      <c r="X15" s="757"/>
      <c r="Y15" s="757"/>
      <c r="Z15" s="757"/>
    </row>
    <row r="16" ht="12.75" customHeight="1">
      <c r="A16" s="761">
        <v>14.0</v>
      </c>
      <c r="B16" s="169" t="s">
        <v>5</v>
      </c>
      <c r="C16" s="169" t="s">
        <v>10643</v>
      </c>
      <c r="D16" s="169" t="s">
        <v>454</v>
      </c>
      <c r="E16" s="169" t="s">
        <v>12580</v>
      </c>
      <c r="F16" s="169" t="s">
        <v>11844</v>
      </c>
      <c r="G16" s="169" t="s">
        <v>5</v>
      </c>
      <c r="H16" s="169" t="s">
        <v>5</v>
      </c>
      <c r="I16" s="169" t="s">
        <v>5</v>
      </c>
      <c r="J16" s="169" t="s">
        <v>5</v>
      </c>
      <c r="K16" s="169" t="s">
        <v>5</v>
      </c>
      <c r="L16" s="169" t="s">
        <v>5</v>
      </c>
      <c r="M16" s="762" t="s">
        <v>5</v>
      </c>
      <c r="N16" s="763" t="s">
        <v>9265</v>
      </c>
      <c r="O16" s="762" t="s">
        <v>5</v>
      </c>
      <c r="P16" s="169" t="s">
        <v>11802</v>
      </c>
      <c r="Q16" s="757"/>
      <c r="R16" s="757"/>
      <c r="S16" s="757"/>
      <c r="T16" s="757"/>
      <c r="U16" s="757"/>
      <c r="V16" s="757"/>
      <c r="W16" s="757"/>
      <c r="X16" s="757"/>
      <c r="Y16" s="757"/>
      <c r="Z16" s="757"/>
    </row>
    <row r="17" ht="12.75" customHeight="1">
      <c r="A17" s="761">
        <v>15.0</v>
      </c>
      <c r="B17" s="169" t="s">
        <v>5</v>
      </c>
      <c r="C17" s="169" t="s">
        <v>11853</v>
      </c>
      <c r="D17" s="169" t="s">
        <v>3048</v>
      </c>
      <c r="E17" s="169" t="s">
        <v>12581</v>
      </c>
      <c r="F17" s="169" t="s">
        <v>11851</v>
      </c>
      <c r="G17" s="169" t="s">
        <v>5</v>
      </c>
      <c r="H17" s="169" t="s">
        <v>5</v>
      </c>
      <c r="I17" s="169" t="s">
        <v>5</v>
      </c>
      <c r="J17" s="169" t="s">
        <v>5</v>
      </c>
      <c r="K17" s="169" t="s">
        <v>5</v>
      </c>
      <c r="L17" s="169" t="s">
        <v>5</v>
      </c>
      <c r="M17" s="762" t="s">
        <v>5</v>
      </c>
      <c r="N17" s="763" t="s">
        <v>9265</v>
      </c>
      <c r="O17" s="762" t="s">
        <v>5</v>
      </c>
      <c r="P17" s="169" t="s">
        <v>11802</v>
      </c>
      <c r="Q17" s="757"/>
      <c r="R17" s="757"/>
      <c r="S17" s="757"/>
      <c r="T17" s="757"/>
      <c r="U17" s="757"/>
      <c r="V17" s="757"/>
      <c r="W17" s="757"/>
      <c r="X17" s="757"/>
      <c r="Y17" s="757"/>
      <c r="Z17" s="757"/>
    </row>
    <row r="18" ht="12.75" customHeight="1">
      <c r="A18" s="761">
        <v>16.0</v>
      </c>
      <c r="B18" s="169" t="s">
        <v>5</v>
      </c>
      <c r="C18" s="169" t="s">
        <v>3049</v>
      </c>
      <c r="D18" s="169" t="s">
        <v>3048</v>
      </c>
      <c r="E18" s="169" t="s">
        <v>12582</v>
      </c>
      <c r="F18" s="169" t="s">
        <v>11851</v>
      </c>
      <c r="G18" s="169" t="s">
        <v>5</v>
      </c>
      <c r="H18" s="169" t="s">
        <v>5</v>
      </c>
      <c r="I18" s="169" t="s">
        <v>5</v>
      </c>
      <c r="J18" s="169" t="s">
        <v>5</v>
      </c>
      <c r="K18" s="169" t="s">
        <v>5</v>
      </c>
      <c r="L18" s="169" t="s">
        <v>5</v>
      </c>
      <c r="M18" s="762" t="s">
        <v>5</v>
      </c>
      <c r="N18" s="763" t="s">
        <v>9265</v>
      </c>
      <c r="O18" s="762" t="s">
        <v>5</v>
      </c>
      <c r="P18" s="169" t="s">
        <v>11802</v>
      </c>
      <c r="Q18" s="757"/>
      <c r="R18" s="757"/>
      <c r="S18" s="757"/>
      <c r="T18" s="757"/>
      <c r="U18" s="757"/>
      <c r="V18" s="757"/>
      <c r="W18" s="757"/>
      <c r="X18" s="757"/>
      <c r="Y18" s="757"/>
      <c r="Z18" s="757"/>
    </row>
    <row r="19" ht="12.75" customHeight="1">
      <c r="A19" s="761">
        <v>17.0</v>
      </c>
      <c r="B19" s="169" t="s">
        <v>5</v>
      </c>
      <c r="C19" s="169" t="s">
        <v>5410</v>
      </c>
      <c r="D19" s="169" t="s">
        <v>454</v>
      </c>
      <c r="E19" s="169" t="s">
        <v>12583</v>
      </c>
      <c r="F19" s="169" t="s">
        <v>11844</v>
      </c>
      <c r="G19" s="169" t="s">
        <v>5</v>
      </c>
      <c r="H19" s="169" t="s">
        <v>5</v>
      </c>
      <c r="I19" s="169" t="s">
        <v>5</v>
      </c>
      <c r="J19" s="169" t="s">
        <v>5</v>
      </c>
      <c r="K19" s="169" t="s">
        <v>5</v>
      </c>
      <c r="L19" s="169" t="s">
        <v>5</v>
      </c>
      <c r="M19" s="762" t="s">
        <v>5</v>
      </c>
      <c r="N19" s="763" t="s">
        <v>9265</v>
      </c>
      <c r="O19" s="762" t="s">
        <v>5</v>
      </c>
      <c r="P19" s="169" t="s">
        <v>11802</v>
      </c>
      <c r="Q19" s="757"/>
      <c r="R19" s="757"/>
      <c r="S19" s="757"/>
      <c r="T19" s="757"/>
      <c r="U19" s="757"/>
      <c r="V19" s="757"/>
      <c r="W19" s="757"/>
      <c r="X19" s="757"/>
      <c r="Y19" s="757"/>
      <c r="Z19" s="757"/>
    </row>
    <row r="20" ht="12.75" customHeight="1">
      <c r="A20" s="761">
        <v>18.0</v>
      </c>
      <c r="B20" s="169" t="s">
        <v>5</v>
      </c>
      <c r="C20" s="169" t="s">
        <v>5125</v>
      </c>
      <c r="D20" s="169" t="s">
        <v>4823</v>
      </c>
      <c r="E20" s="169" t="s">
        <v>12584</v>
      </c>
      <c r="F20" s="169" t="s">
        <v>11851</v>
      </c>
      <c r="G20" s="169" t="s">
        <v>5</v>
      </c>
      <c r="H20" s="169" t="s">
        <v>5</v>
      </c>
      <c r="I20" s="169" t="s">
        <v>5</v>
      </c>
      <c r="J20" s="169" t="s">
        <v>5</v>
      </c>
      <c r="K20" s="169" t="s">
        <v>5</v>
      </c>
      <c r="L20" s="169" t="s">
        <v>5</v>
      </c>
      <c r="M20" s="762" t="s">
        <v>5</v>
      </c>
      <c r="N20" s="763" t="s">
        <v>9265</v>
      </c>
      <c r="O20" s="762" t="s">
        <v>5</v>
      </c>
      <c r="P20" s="169" t="s">
        <v>11802</v>
      </c>
      <c r="Q20" s="757"/>
      <c r="R20" s="757"/>
      <c r="S20" s="757"/>
      <c r="T20" s="757"/>
      <c r="U20" s="757"/>
      <c r="V20" s="757"/>
      <c r="W20" s="757"/>
      <c r="X20" s="757"/>
      <c r="Y20" s="757"/>
      <c r="Z20" s="757"/>
    </row>
    <row r="21" ht="12.75" customHeight="1">
      <c r="A21" s="761">
        <v>19.0</v>
      </c>
      <c r="B21" s="169" t="s">
        <v>5</v>
      </c>
      <c r="C21" s="169" t="s">
        <v>5119</v>
      </c>
      <c r="D21" s="169" t="s">
        <v>4823</v>
      </c>
      <c r="E21" s="169" t="s">
        <v>12585</v>
      </c>
      <c r="F21" s="169" t="s">
        <v>11851</v>
      </c>
      <c r="G21" s="169" t="s">
        <v>5</v>
      </c>
      <c r="H21" s="169" t="s">
        <v>5</v>
      </c>
      <c r="I21" s="169" t="s">
        <v>5</v>
      </c>
      <c r="J21" s="169" t="s">
        <v>5</v>
      </c>
      <c r="K21" s="169" t="s">
        <v>5</v>
      </c>
      <c r="L21" s="169" t="s">
        <v>5</v>
      </c>
      <c r="M21" s="762" t="s">
        <v>5</v>
      </c>
      <c r="N21" s="763" t="s">
        <v>9265</v>
      </c>
      <c r="O21" s="762" t="s">
        <v>5</v>
      </c>
      <c r="P21" s="169" t="s">
        <v>11802</v>
      </c>
      <c r="Q21" s="757"/>
      <c r="R21" s="757"/>
      <c r="S21" s="757"/>
      <c r="T21" s="757"/>
      <c r="U21" s="757"/>
      <c r="V21" s="757"/>
      <c r="W21" s="757"/>
      <c r="X21" s="757"/>
      <c r="Y21" s="757"/>
      <c r="Z21" s="757"/>
    </row>
    <row r="22" ht="12.75" customHeight="1">
      <c r="A22" s="761">
        <v>20.0</v>
      </c>
      <c r="B22" s="169" t="s">
        <v>5</v>
      </c>
      <c r="C22" s="169" t="s">
        <v>4896</v>
      </c>
      <c r="D22" s="169" t="s">
        <v>4823</v>
      </c>
      <c r="E22" s="169" t="s">
        <v>12586</v>
      </c>
      <c r="F22" s="169" t="s">
        <v>11851</v>
      </c>
      <c r="G22" s="169" t="s">
        <v>5</v>
      </c>
      <c r="H22" s="169" t="s">
        <v>5</v>
      </c>
      <c r="I22" s="169" t="s">
        <v>5</v>
      </c>
      <c r="J22" s="169" t="s">
        <v>5</v>
      </c>
      <c r="K22" s="169" t="s">
        <v>5</v>
      </c>
      <c r="L22" s="169" t="s">
        <v>5</v>
      </c>
      <c r="M22" s="762" t="s">
        <v>5</v>
      </c>
      <c r="N22" s="763" t="s">
        <v>9265</v>
      </c>
      <c r="O22" s="762" t="s">
        <v>5</v>
      </c>
      <c r="P22" s="169" t="s">
        <v>11802</v>
      </c>
      <c r="Q22" s="757"/>
      <c r="R22" s="757"/>
      <c r="S22" s="757"/>
      <c r="T22" s="757"/>
      <c r="U22" s="757"/>
      <c r="V22" s="757"/>
      <c r="W22" s="757"/>
      <c r="X22" s="757"/>
      <c r="Y22" s="757"/>
      <c r="Z22" s="757"/>
    </row>
    <row r="23" ht="12.75" customHeight="1">
      <c r="A23" s="761">
        <v>21.0</v>
      </c>
      <c r="B23" s="169" t="s">
        <v>5</v>
      </c>
      <c r="C23" s="169" t="s">
        <v>4824</v>
      </c>
      <c r="D23" s="169" t="s">
        <v>4823</v>
      </c>
      <c r="E23" s="169" t="s">
        <v>12587</v>
      </c>
      <c r="F23" s="169" t="s">
        <v>11854</v>
      </c>
      <c r="G23" s="169" t="s">
        <v>5</v>
      </c>
      <c r="H23" s="169" t="s">
        <v>5</v>
      </c>
      <c r="I23" s="169" t="s">
        <v>11849</v>
      </c>
      <c r="J23" s="169" t="s">
        <v>5</v>
      </c>
      <c r="K23" s="169" t="s">
        <v>5</v>
      </c>
      <c r="L23" s="169" t="s">
        <v>5</v>
      </c>
      <c r="M23" s="762" t="s">
        <v>5</v>
      </c>
      <c r="N23" s="763" t="s">
        <v>9265</v>
      </c>
      <c r="O23" s="762" t="s">
        <v>5</v>
      </c>
      <c r="P23" s="169" t="s">
        <v>11802</v>
      </c>
      <c r="Q23" s="757"/>
      <c r="R23" s="757"/>
      <c r="S23" s="757"/>
      <c r="T23" s="757"/>
      <c r="U23" s="757"/>
      <c r="V23" s="757"/>
      <c r="W23" s="757"/>
      <c r="X23" s="757"/>
      <c r="Y23" s="757"/>
      <c r="Z23" s="757"/>
    </row>
    <row r="24" ht="12.75" customHeight="1">
      <c r="A24" s="761">
        <v>22.0</v>
      </c>
      <c r="B24" s="169" t="s">
        <v>5</v>
      </c>
      <c r="C24" s="169" t="s">
        <v>10666</v>
      </c>
      <c r="D24" s="169" t="s">
        <v>454</v>
      </c>
      <c r="E24" s="169" t="s">
        <v>12588</v>
      </c>
      <c r="F24" s="169" t="s">
        <v>11844</v>
      </c>
      <c r="G24" s="169" t="s">
        <v>5</v>
      </c>
      <c r="H24" s="169" t="s">
        <v>5</v>
      </c>
      <c r="I24" s="169" t="s">
        <v>5</v>
      </c>
      <c r="J24" s="169" t="s">
        <v>5</v>
      </c>
      <c r="K24" s="169" t="s">
        <v>5</v>
      </c>
      <c r="L24" s="169" t="s">
        <v>5</v>
      </c>
      <c r="M24" s="762" t="s">
        <v>5</v>
      </c>
      <c r="N24" s="763" t="s">
        <v>9265</v>
      </c>
      <c r="O24" s="762" t="s">
        <v>5</v>
      </c>
      <c r="P24" s="169" t="s">
        <v>11802</v>
      </c>
      <c r="Q24" s="757"/>
      <c r="R24" s="757"/>
      <c r="S24" s="757"/>
      <c r="T24" s="757"/>
      <c r="U24" s="757"/>
      <c r="V24" s="757"/>
      <c r="W24" s="757"/>
      <c r="X24" s="757"/>
      <c r="Y24" s="757"/>
      <c r="Z24" s="757"/>
    </row>
    <row r="25" ht="12.75" customHeight="1">
      <c r="A25" s="761">
        <v>23.0</v>
      </c>
      <c r="B25" s="169" t="s">
        <v>5</v>
      </c>
      <c r="C25" s="169" t="s">
        <v>2904</v>
      </c>
      <c r="D25" s="169" t="s">
        <v>2903</v>
      </c>
      <c r="E25" s="169" t="s">
        <v>12589</v>
      </c>
      <c r="F25" s="169" t="s">
        <v>11851</v>
      </c>
      <c r="G25" s="169" t="s">
        <v>5</v>
      </c>
      <c r="H25" s="169" t="s">
        <v>5</v>
      </c>
      <c r="I25" s="169" t="s">
        <v>5</v>
      </c>
      <c r="J25" s="169" t="s">
        <v>5</v>
      </c>
      <c r="K25" s="169" t="s">
        <v>5</v>
      </c>
      <c r="L25" s="169" t="s">
        <v>5</v>
      </c>
      <c r="M25" s="762" t="s">
        <v>5</v>
      </c>
      <c r="N25" s="763" t="s">
        <v>9265</v>
      </c>
      <c r="O25" s="762" t="s">
        <v>5</v>
      </c>
      <c r="P25" s="169" t="s">
        <v>11802</v>
      </c>
      <c r="Q25" s="757"/>
      <c r="R25" s="757"/>
      <c r="S25" s="757"/>
      <c r="T25" s="757"/>
      <c r="U25" s="757"/>
      <c r="V25" s="757"/>
      <c r="W25" s="757"/>
      <c r="X25" s="757"/>
      <c r="Y25" s="757"/>
      <c r="Z25" s="757"/>
    </row>
    <row r="26" ht="12.75" customHeight="1">
      <c r="A26" s="761">
        <v>24.0</v>
      </c>
      <c r="B26" s="169" t="s">
        <v>5</v>
      </c>
      <c r="C26" s="169" t="s">
        <v>4954</v>
      </c>
      <c r="D26" s="169" t="s">
        <v>2903</v>
      </c>
      <c r="E26" s="169" t="s">
        <v>12590</v>
      </c>
      <c r="F26" s="169" t="s">
        <v>11851</v>
      </c>
      <c r="G26" s="169" t="s">
        <v>5</v>
      </c>
      <c r="H26" s="169" t="s">
        <v>5</v>
      </c>
      <c r="I26" s="169" t="s">
        <v>5</v>
      </c>
      <c r="J26" s="169" t="s">
        <v>5</v>
      </c>
      <c r="K26" s="169" t="s">
        <v>5</v>
      </c>
      <c r="L26" s="169" t="s">
        <v>5</v>
      </c>
      <c r="M26" s="762" t="s">
        <v>5</v>
      </c>
      <c r="N26" s="763" t="s">
        <v>9265</v>
      </c>
      <c r="O26" s="762" t="s">
        <v>5</v>
      </c>
      <c r="P26" s="169" t="s">
        <v>11802</v>
      </c>
      <c r="Q26" s="757"/>
      <c r="R26" s="757"/>
      <c r="S26" s="757"/>
      <c r="T26" s="757"/>
      <c r="U26" s="757"/>
      <c r="V26" s="757"/>
      <c r="W26" s="757"/>
      <c r="X26" s="757"/>
      <c r="Y26" s="757"/>
      <c r="Z26" s="757"/>
    </row>
    <row r="27" ht="12.75" customHeight="1">
      <c r="A27" s="761">
        <v>25.0</v>
      </c>
      <c r="B27" s="169" t="s">
        <v>5</v>
      </c>
      <c r="C27" s="169" t="s">
        <v>10656</v>
      </c>
      <c r="D27" s="169" t="s">
        <v>454</v>
      </c>
      <c r="E27" s="169" t="s">
        <v>12591</v>
      </c>
      <c r="F27" s="169" t="s">
        <v>11844</v>
      </c>
      <c r="G27" s="169" t="s">
        <v>5</v>
      </c>
      <c r="H27" s="169" t="s">
        <v>5</v>
      </c>
      <c r="I27" s="169" t="s">
        <v>5</v>
      </c>
      <c r="J27" s="169" t="s">
        <v>5</v>
      </c>
      <c r="K27" s="169" t="s">
        <v>5</v>
      </c>
      <c r="L27" s="169" t="s">
        <v>5</v>
      </c>
      <c r="M27" s="762" t="s">
        <v>5</v>
      </c>
      <c r="N27" s="763" t="s">
        <v>9265</v>
      </c>
      <c r="O27" s="762" t="s">
        <v>5</v>
      </c>
      <c r="P27" s="169" t="s">
        <v>11802</v>
      </c>
      <c r="Q27" s="757"/>
      <c r="R27" s="757"/>
      <c r="S27" s="757"/>
      <c r="T27" s="757"/>
      <c r="U27" s="757"/>
      <c r="V27" s="757"/>
      <c r="W27" s="757"/>
      <c r="X27" s="757"/>
      <c r="Y27" s="757"/>
      <c r="Z27" s="757"/>
    </row>
    <row r="28" ht="12.75" customHeight="1">
      <c r="A28" s="761">
        <v>26.0</v>
      </c>
      <c r="B28" s="169" t="s">
        <v>5</v>
      </c>
      <c r="C28" s="169" t="s">
        <v>5600</v>
      </c>
      <c r="D28" s="169" t="s">
        <v>5599</v>
      </c>
      <c r="E28" s="169" t="s">
        <v>12592</v>
      </c>
      <c r="F28" s="169" t="s">
        <v>11851</v>
      </c>
      <c r="G28" s="169" t="s">
        <v>5</v>
      </c>
      <c r="H28" s="169" t="s">
        <v>5</v>
      </c>
      <c r="I28" s="169" t="s">
        <v>5</v>
      </c>
      <c r="J28" s="169" t="s">
        <v>5</v>
      </c>
      <c r="K28" s="169" t="s">
        <v>5</v>
      </c>
      <c r="L28" s="169" t="s">
        <v>5</v>
      </c>
      <c r="M28" s="762" t="s">
        <v>5</v>
      </c>
      <c r="N28" s="763" t="s">
        <v>9265</v>
      </c>
      <c r="O28" s="762" t="s">
        <v>5</v>
      </c>
      <c r="P28" s="169" t="s">
        <v>11802</v>
      </c>
      <c r="Q28" s="757"/>
      <c r="R28" s="757"/>
      <c r="S28" s="757"/>
      <c r="T28" s="757"/>
      <c r="U28" s="757"/>
      <c r="V28" s="757"/>
      <c r="W28" s="757"/>
      <c r="X28" s="757"/>
      <c r="Y28" s="757"/>
      <c r="Z28" s="757"/>
    </row>
    <row r="29" ht="12.75" customHeight="1">
      <c r="A29" s="761">
        <v>27.0</v>
      </c>
      <c r="B29" s="169" t="s">
        <v>5</v>
      </c>
      <c r="C29" s="169" t="s">
        <v>11856</v>
      </c>
      <c r="D29" s="169" t="s">
        <v>5599</v>
      </c>
      <c r="E29" s="169" t="s">
        <v>12593</v>
      </c>
      <c r="F29" s="169" t="s">
        <v>11851</v>
      </c>
      <c r="G29" s="169" t="s">
        <v>5</v>
      </c>
      <c r="H29" s="169" t="s">
        <v>5</v>
      </c>
      <c r="I29" s="169" t="s">
        <v>5</v>
      </c>
      <c r="J29" s="169" t="s">
        <v>5</v>
      </c>
      <c r="K29" s="169" t="s">
        <v>5</v>
      </c>
      <c r="L29" s="169" t="s">
        <v>5</v>
      </c>
      <c r="M29" s="762" t="s">
        <v>5</v>
      </c>
      <c r="N29" s="763" t="s">
        <v>9265</v>
      </c>
      <c r="O29" s="762" t="s">
        <v>5</v>
      </c>
      <c r="P29" s="169" t="s">
        <v>11802</v>
      </c>
      <c r="Q29" s="757"/>
      <c r="R29" s="757"/>
      <c r="S29" s="757"/>
      <c r="T29" s="757"/>
      <c r="U29" s="757"/>
      <c r="V29" s="757"/>
      <c r="W29" s="757"/>
      <c r="X29" s="757"/>
      <c r="Y29" s="757"/>
      <c r="Z29" s="757"/>
    </row>
    <row r="30" ht="12.75" customHeight="1">
      <c r="A30" s="761">
        <v>28.0</v>
      </c>
      <c r="B30" s="169" t="s">
        <v>5</v>
      </c>
      <c r="C30" s="169" t="s">
        <v>4778</v>
      </c>
      <c r="D30" s="169" t="s">
        <v>454</v>
      </c>
      <c r="E30" s="169" t="s">
        <v>12594</v>
      </c>
      <c r="F30" s="169" t="s">
        <v>11844</v>
      </c>
      <c r="G30" s="169" t="s">
        <v>5</v>
      </c>
      <c r="H30" s="169" t="s">
        <v>5</v>
      </c>
      <c r="I30" s="169" t="s">
        <v>5</v>
      </c>
      <c r="J30" s="169" t="s">
        <v>5</v>
      </c>
      <c r="K30" s="169" t="s">
        <v>5</v>
      </c>
      <c r="L30" s="169" t="s">
        <v>5</v>
      </c>
      <c r="M30" s="762" t="s">
        <v>5</v>
      </c>
      <c r="N30" s="763" t="s">
        <v>9265</v>
      </c>
      <c r="O30" s="762" t="s">
        <v>5</v>
      </c>
      <c r="P30" s="169" t="s">
        <v>11802</v>
      </c>
      <c r="Q30" s="757"/>
      <c r="R30" s="757"/>
      <c r="S30" s="757"/>
      <c r="T30" s="757"/>
      <c r="U30" s="757"/>
      <c r="V30" s="757"/>
      <c r="W30" s="757"/>
      <c r="X30" s="757"/>
      <c r="Y30" s="757"/>
      <c r="Z30" s="757"/>
    </row>
    <row r="31" ht="12.75" customHeight="1">
      <c r="A31" s="761">
        <v>29.0</v>
      </c>
      <c r="B31" s="169" t="s">
        <v>5</v>
      </c>
      <c r="C31" s="169" t="s">
        <v>5507</v>
      </c>
      <c r="D31" s="169" t="s">
        <v>4777</v>
      </c>
      <c r="E31" s="169" t="s">
        <v>12595</v>
      </c>
      <c r="F31" s="169" t="s">
        <v>11851</v>
      </c>
      <c r="G31" s="169" t="s">
        <v>5</v>
      </c>
      <c r="H31" s="169" t="s">
        <v>5</v>
      </c>
      <c r="I31" s="169" t="s">
        <v>5</v>
      </c>
      <c r="J31" s="169" t="s">
        <v>5</v>
      </c>
      <c r="K31" s="169" t="s">
        <v>5</v>
      </c>
      <c r="L31" s="169" t="s">
        <v>5</v>
      </c>
      <c r="M31" s="762" t="s">
        <v>5</v>
      </c>
      <c r="N31" s="763" t="s">
        <v>9265</v>
      </c>
      <c r="O31" s="762" t="s">
        <v>5</v>
      </c>
      <c r="P31" s="169" t="s">
        <v>11802</v>
      </c>
      <c r="Q31" s="757"/>
      <c r="R31" s="757"/>
      <c r="S31" s="757"/>
      <c r="T31" s="757"/>
      <c r="U31" s="757"/>
      <c r="V31" s="757"/>
      <c r="W31" s="757"/>
      <c r="X31" s="757"/>
      <c r="Y31" s="757"/>
      <c r="Z31" s="757"/>
    </row>
    <row r="32" ht="12.75" customHeight="1">
      <c r="A32" s="761">
        <v>30.0</v>
      </c>
      <c r="B32" s="169" t="s">
        <v>5</v>
      </c>
      <c r="C32" s="169" t="s">
        <v>5706</v>
      </c>
      <c r="D32" s="169" t="s">
        <v>4777</v>
      </c>
      <c r="E32" s="169" t="s">
        <v>12596</v>
      </c>
      <c r="F32" s="169" t="s">
        <v>11851</v>
      </c>
      <c r="G32" s="169" t="s">
        <v>5</v>
      </c>
      <c r="H32" s="169" t="s">
        <v>5</v>
      </c>
      <c r="I32" s="169" t="s">
        <v>5</v>
      </c>
      <c r="J32" s="169" t="s">
        <v>5</v>
      </c>
      <c r="K32" s="169" t="s">
        <v>5</v>
      </c>
      <c r="L32" s="169" t="s">
        <v>5</v>
      </c>
      <c r="M32" s="762" t="s">
        <v>5</v>
      </c>
      <c r="N32" s="763" t="s">
        <v>9265</v>
      </c>
      <c r="O32" s="762" t="s">
        <v>5</v>
      </c>
      <c r="P32" s="169" t="s">
        <v>11802</v>
      </c>
      <c r="Q32" s="757"/>
      <c r="R32" s="757"/>
      <c r="S32" s="757"/>
      <c r="T32" s="757"/>
      <c r="U32" s="757"/>
      <c r="V32" s="757"/>
      <c r="W32" s="757"/>
      <c r="X32" s="757"/>
      <c r="Y32" s="757"/>
      <c r="Z32" s="757"/>
    </row>
    <row r="33" ht="12.75" customHeight="1">
      <c r="A33" s="761">
        <v>31.0</v>
      </c>
      <c r="B33" s="169" t="s">
        <v>5</v>
      </c>
      <c r="C33" s="169" t="s">
        <v>5735</v>
      </c>
      <c r="D33" s="169" t="s">
        <v>4777</v>
      </c>
      <c r="E33" s="169" t="s">
        <v>12597</v>
      </c>
      <c r="F33" s="169" t="s">
        <v>11851</v>
      </c>
      <c r="G33" s="169" t="s">
        <v>5</v>
      </c>
      <c r="H33" s="169" t="s">
        <v>5</v>
      </c>
      <c r="I33" s="169" t="s">
        <v>5</v>
      </c>
      <c r="J33" s="169" t="s">
        <v>5</v>
      </c>
      <c r="K33" s="169" t="s">
        <v>5</v>
      </c>
      <c r="L33" s="169" t="s">
        <v>5</v>
      </c>
      <c r="M33" s="762" t="s">
        <v>5</v>
      </c>
      <c r="N33" s="763" t="s">
        <v>9265</v>
      </c>
      <c r="O33" s="762" t="s">
        <v>5</v>
      </c>
      <c r="P33" s="169" t="s">
        <v>11802</v>
      </c>
      <c r="Q33" s="757"/>
      <c r="R33" s="757"/>
      <c r="S33" s="757"/>
      <c r="T33" s="757"/>
      <c r="U33" s="757"/>
      <c r="V33" s="757"/>
      <c r="W33" s="757"/>
      <c r="X33" s="757"/>
      <c r="Y33" s="757"/>
      <c r="Z33" s="757"/>
    </row>
    <row r="34" ht="12.75" customHeight="1">
      <c r="A34" s="761">
        <v>32.0</v>
      </c>
      <c r="B34" s="169" t="s">
        <v>5</v>
      </c>
      <c r="C34" s="169" t="s">
        <v>5297</v>
      </c>
      <c r="D34" s="169" t="s">
        <v>454</v>
      </c>
      <c r="E34" s="169" t="s">
        <v>12598</v>
      </c>
      <c r="F34" s="169" t="s">
        <v>11844</v>
      </c>
      <c r="G34" s="169" t="s">
        <v>5</v>
      </c>
      <c r="H34" s="169" t="s">
        <v>5</v>
      </c>
      <c r="I34" s="169" t="s">
        <v>5</v>
      </c>
      <c r="J34" s="169" t="s">
        <v>5</v>
      </c>
      <c r="K34" s="169" t="s">
        <v>5</v>
      </c>
      <c r="L34" s="169" t="s">
        <v>5</v>
      </c>
      <c r="M34" s="762" t="s">
        <v>5</v>
      </c>
      <c r="N34" s="763" t="s">
        <v>9265</v>
      </c>
      <c r="O34" s="762" t="s">
        <v>5</v>
      </c>
      <c r="P34" s="169" t="s">
        <v>11802</v>
      </c>
      <c r="Q34" s="757"/>
      <c r="R34" s="757"/>
      <c r="S34" s="757"/>
      <c r="T34" s="757"/>
      <c r="U34" s="757"/>
      <c r="V34" s="757"/>
      <c r="W34" s="757"/>
      <c r="X34" s="757"/>
      <c r="Y34" s="757"/>
      <c r="Z34" s="757"/>
    </row>
    <row r="35" ht="12.75" customHeight="1">
      <c r="A35" s="761">
        <v>33.0</v>
      </c>
      <c r="B35" s="169" t="s">
        <v>5</v>
      </c>
      <c r="C35" s="169" t="s">
        <v>2677</v>
      </c>
      <c r="D35" s="169" t="s">
        <v>2676</v>
      </c>
      <c r="E35" s="169" t="s">
        <v>12599</v>
      </c>
      <c r="F35" s="169" t="s">
        <v>11851</v>
      </c>
      <c r="G35" s="169" t="s">
        <v>5</v>
      </c>
      <c r="H35" s="169" t="s">
        <v>5</v>
      </c>
      <c r="I35" s="169" t="s">
        <v>5</v>
      </c>
      <c r="J35" s="169" t="s">
        <v>5</v>
      </c>
      <c r="K35" s="169" t="s">
        <v>5</v>
      </c>
      <c r="L35" s="169" t="s">
        <v>5</v>
      </c>
      <c r="M35" s="762" t="s">
        <v>5</v>
      </c>
      <c r="N35" s="763" t="s">
        <v>9265</v>
      </c>
      <c r="O35" s="762" t="s">
        <v>5</v>
      </c>
      <c r="P35" s="169" t="s">
        <v>11802</v>
      </c>
      <c r="Q35" s="757"/>
      <c r="R35" s="757"/>
      <c r="S35" s="757"/>
      <c r="T35" s="757"/>
      <c r="U35" s="757"/>
      <c r="V35" s="757"/>
      <c r="W35" s="757"/>
      <c r="X35" s="757"/>
      <c r="Y35" s="757"/>
      <c r="Z35" s="757"/>
    </row>
    <row r="36" ht="12.75" customHeight="1">
      <c r="A36" s="761">
        <v>34.0</v>
      </c>
      <c r="B36" s="169" t="s">
        <v>5</v>
      </c>
      <c r="C36" s="169" t="s">
        <v>5174</v>
      </c>
      <c r="D36" s="169" t="s">
        <v>2676</v>
      </c>
      <c r="E36" s="169" t="s">
        <v>12600</v>
      </c>
      <c r="F36" s="169" t="s">
        <v>11851</v>
      </c>
      <c r="G36" s="169" t="s">
        <v>5</v>
      </c>
      <c r="H36" s="169" t="s">
        <v>5</v>
      </c>
      <c r="I36" s="169" t="s">
        <v>5</v>
      </c>
      <c r="J36" s="169" t="s">
        <v>5</v>
      </c>
      <c r="K36" s="169" t="s">
        <v>5</v>
      </c>
      <c r="L36" s="169" t="s">
        <v>5</v>
      </c>
      <c r="M36" s="762" t="s">
        <v>5</v>
      </c>
      <c r="N36" s="763" t="s">
        <v>9265</v>
      </c>
      <c r="O36" s="762" t="s">
        <v>5</v>
      </c>
      <c r="P36" s="169" t="s">
        <v>11802</v>
      </c>
      <c r="Q36" s="757"/>
      <c r="R36" s="757"/>
      <c r="S36" s="757"/>
      <c r="T36" s="757"/>
      <c r="U36" s="757"/>
      <c r="V36" s="757"/>
      <c r="W36" s="757"/>
      <c r="X36" s="757"/>
      <c r="Y36" s="757"/>
      <c r="Z36" s="757"/>
    </row>
    <row r="37" ht="12.75" customHeight="1">
      <c r="A37" s="761">
        <v>35.0</v>
      </c>
      <c r="B37" s="169" t="s">
        <v>5</v>
      </c>
      <c r="C37" s="169" t="s">
        <v>10619</v>
      </c>
      <c r="D37" s="169" t="s">
        <v>454</v>
      </c>
      <c r="E37" s="169" t="s">
        <v>12601</v>
      </c>
      <c r="F37" s="169" t="s">
        <v>11844</v>
      </c>
      <c r="G37" s="169" t="s">
        <v>5</v>
      </c>
      <c r="H37" s="169" t="s">
        <v>5</v>
      </c>
      <c r="I37" s="169" t="s">
        <v>5</v>
      </c>
      <c r="J37" s="169" t="s">
        <v>5</v>
      </c>
      <c r="K37" s="169" t="s">
        <v>5</v>
      </c>
      <c r="L37" s="169" t="s">
        <v>5</v>
      </c>
      <c r="M37" s="762" t="s">
        <v>5</v>
      </c>
      <c r="N37" s="763" t="s">
        <v>9265</v>
      </c>
      <c r="O37" s="762" t="s">
        <v>5</v>
      </c>
      <c r="P37" s="169" t="s">
        <v>11802</v>
      </c>
      <c r="Q37" s="757"/>
      <c r="R37" s="757"/>
      <c r="S37" s="757"/>
      <c r="T37" s="757"/>
      <c r="U37" s="757"/>
      <c r="V37" s="757"/>
      <c r="W37" s="757"/>
      <c r="X37" s="757"/>
      <c r="Y37" s="757"/>
      <c r="Z37" s="757"/>
    </row>
    <row r="38" ht="12.75" customHeight="1">
      <c r="A38" s="761">
        <v>36.0</v>
      </c>
      <c r="B38" s="169" t="s">
        <v>5</v>
      </c>
      <c r="C38" s="169" t="s">
        <v>3218</v>
      </c>
      <c r="D38" s="169" t="s">
        <v>3217</v>
      </c>
      <c r="E38" s="169" t="s">
        <v>12602</v>
      </c>
      <c r="F38" s="169" t="s">
        <v>11851</v>
      </c>
      <c r="G38" s="169" t="s">
        <v>5</v>
      </c>
      <c r="H38" s="169" t="s">
        <v>5</v>
      </c>
      <c r="I38" s="169" t="s">
        <v>5</v>
      </c>
      <c r="J38" s="169" t="s">
        <v>5</v>
      </c>
      <c r="K38" s="169" t="s">
        <v>5</v>
      </c>
      <c r="L38" s="169" t="s">
        <v>5</v>
      </c>
      <c r="M38" s="762" t="s">
        <v>5</v>
      </c>
      <c r="N38" s="763" t="s">
        <v>9265</v>
      </c>
      <c r="O38" s="762" t="s">
        <v>5</v>
      </c>
      <c r="P38" s="169" t="s">
        <v>11802</v>
      </c>
      <c r="Q38" s="757"/>
      <c r="R38" s="757"/>
      <c r="S38" s="757"/>
      <c r="T38" s="757"/>
      <c r="U38" s="757"/>
      <c r="V38" s="757"/>
      <c r="W38" s="757"/>
      <c r="X38" s="757"/>
      <c r="Y38" s="757"/>
      <c r="Z38" s="757"/>
    </row>
    <row r="39" ht="12.75" customHeight="1">
      <c r="A39" s="761">
        <v>37.0</v>
      </c>
      <c r="B39" s="169" t="s">
        <v>5</v>
      </c>
      <c r="C39" s="169" t="s">
        <v>4992</v>
      </c>
      <c r="D39" s="169" t="s">
        <v>3217</v>
      </c>
      <c r="E39" s="169" t="s">
        <v>12603</v>
      </c>
      <c r="F39" s="169" t="s">
        <v>11851</v>
      </c>
      <c r="G39" s="169" t="s">
        <v>5</v>
      </c>
      <c r="H39" s="169" t="s">
        <v>5</v>
      </c>
      <c r="I39" s="169" t="s">
        <v>5</v>
      </c>
      <c r="J39" s="169" t="s">
        <v>5</v>
      </c>
      <c r="K39" s="169" t="s">
        <v>5</v>
      </c>
      <c r="L39" s="169" t="s">
        <v>5</v>
      </c>
      <c r="M39" s="762" t="s">
        <v>5</v>
      </c>
      <c r="N39" s="763" t="s">
        <v>9265</v>
      </c>
      <c r="O39" s="762" t="s">
        <v>5</v>
      </c>
      <c r="P39" s="169" t="s">
        <v>11802</v>
      </c>
      <c r="Q39" s="757"/>
      <c r="R39" s="757"/>
      <c r="S39" s="757"/>
      <c r="T39" s="757"/>
      <c r="U39" s="757"/>
      <c r="V39" s="757"/>
      <c r="W39" s="757"/>
      <c r="X39" s="757"/>
      <c r="Y39" s="757"/>
      <c r="Z39" s="757"/>
    </row>
    <row r="40" ht="12.75" customHeight="1">
      <c r="A40" s="761">
        <v>38.0</v>
      </c>
      <c r="B40" s="169" t="s">
        <v>5</v>
      </c>
      <c r="C40" s="169" t="s">
        <v>10686</v>
      </c>
      <c r="D40" s="169" t="s">
        <v>454</v>
      </c>
      <c r="E40" s="169" t="s">
        <v>12604</v>
      </c>
      <c r="F40" s="169" t="s">
        <v>11844</v>
      </c>
      <c r="G40" s="169" t="s">
        <v>5</v>
      </c>
      <c r="H40" s="169" t="s">
        <v>5</v>
      </c>
      <c r="I40" s="169" t="s">
        <v>5</v>
      </c>
      <c r="J40" s="169" t="s">
        <v>5</v>
      </c>
      <c r="K40" s="169" t="s">
        <v>5</v>
      </c>
      <c r="L40" s="169" t="s">
        <v>5</v>
      </c>
      <c r="M40" s="762" t="s">
        <v>5</v>
      </c>
      <c r="N40" s="763" t="s">
        <v>9265</v>
      </c>
      <c r="O40" s="762" t="s">
        <v>5</v>
      </c>
      <c r="P40" s="169" t="s">
        <v>11802</v>
      </c>
      <c r="Q40" s="757"/>
      <c r="R40" s="757"/>
      <c r="S40" s="757"/>
      <c r="T40" s="757"/>
      <c r="U40" s="757"/>
      <c r="V40" s="757"/>
      <c r="W40" s="757"/>
      <c r="X40" s="757"/>
      <c r="Y40" s="757"/>
      <c r="Z40" s="757"/>
    </row>
    <row r="41" ht="12.75" customHeight="1">
      <c r="A41" s="761">
        <v>39.0</v>
      </c>
      <c r="B41" s="169" t="s">
        <v>5</v>
      </c>
      <c r="C41" s="169" t="s">
        <v>3379</v>
      </c>
      <c r="D41" s="169" t="s">
        <v>3378</v>
      </c>
      <c r="E41" s="169" t="s">
        <v>12605</v>
      </c>
      <c r="F41" s="169" t="s">
        <v>11851</v>
      </c>
      <c r="G41" s="169" t="s">
        <v>5</v>
      </c>
      <c r="H41" s="169" t="s">
        <v>5</v>
      </c>
      <c r="I41" s="169" t="s">
        <v>5</v>
      </c>
      <c r="J41" s="169" t="s">
        <v>5</v>
      </c>
      <c r="K41" s="169" t="s">
        <v>5</v>
      </c>
      <c r="L41" s="169" t="s">
        <v>5</v>
      </c>
      <c r="M41" s="762" t="s">
        <v>5</v>
      </c>
      <c r="N41" s="763" t="s">
        <v>9265</v>
      </c>
      <c r="O41" s="762" t="s">
        <v>5</v>
      </c>
      <c r="P41" s="169" t="s">
        <v>11802</v>
      </c>
      <c r="Q41" s="757"/>
      <c r="R41" s="757"/>
      <c r="S41" s="757"/>
      <c r="T41" s="757"/>
      <c r="U41" s="757"/>
      <c r="V41" s="757"/>
      <c r="W41" s="757"/>
      <c r="X41" s="757"/>
      <c r="Y41" s="757"/>
      <c r="Z41" s="757"/>
    </row>
    <row r="42" ht="12.75" customHeight="1">
      <c r="A42" s="761">
        <v>40.0</v>
      </c>
      <c r="B42" s="169" t="s">
        <v>5</v>
      </c>
      <c r="C42" s="169" t="s">
        <v>4421</v>
      </c>
      <c r="D42" s="169" t="s">
        <v>3378</v>
      </c>
      <c r="E42" s="169" t="s">
        <v>12606</v>
      </c>
      <c r="F42" s="169" t="s">
        <v>11851</v>
      </c>
      <c r="G42" s="169" t="s">
        <v>5</v>
      </c>
      <c r="H42" s="169" t="s">
        <v>5</v>
      </c>
      <c r="I42" s="169" t="s">
        <v>5</v>
      </c>
      <c r="J42" s="169" t="s">
        <v>5</v>
      </c>
      <c r="K42" s="169" t="s">
        <v>5</v>
      </c>
      <c r="L42" s="169" t="s">
        <v>5</v>
      </c>
      <c r="M42" s="762" t="s">
        <v>5</v>
      </c>
      <c r="N42" s="763" t="s">
        <v>9265</v>
      </c>
      <c r="O42" s="762" t="s">
        <v>5</v>
      </c>
      <c r="P42" s="169" t="s">
        <v>11802</v>
      </c>
      <c r="Q42" s="757"/>
      <c r="R42" s="757"/>
      <c r="S42" s="757"/>
      <c r="T42" s="757"/>
      <c r="U42" s="757"/>
      <c r="V42" s="757"/>
      <c r="W42" s="757"/>
      <c r="X42" s="757"/>
      <c r="Y42" s="757"/>
      <c r="Z42" s="757"/>
    </row>
    <row r="43" ht="12.75" customHeight="1">
      <c r="A43" s="761">
        <v>41.0</v>
      </c>
      <c r="B43" s="169" t="s">
        <v>5</v>
      </c>
      <c r="C43" s="169" t="s">
        <v>10651</v>
      </c>
      <c r="D43" s="169" t="s">
        <v>454</v>
      </c>
      <c r="E43" s="169" t="s">
        <v>12607</v>
      </c>
      <c r="F43" s="169" t="s">
        <v>11844</v>
      </c>
      <c r="G43" s="169" t="s">
        <v>5</v>
      </c>
      <c r="H43" s="169" t="s">
        <v>5</v>
      </c>
      <c r="I43" s="169" t="s">
        <v>5</v>
      </c>
      <c r="J43" s="169" t="s">
        <v>5</v>
      </c>
      <c r="K43" s="169" t="s">
        <v>5</v>
      </c>
      <c r="L43" s="169" t="s">
        <v>5</v>
      </c>
      <c r="M43" s="762" t="s">
        <v>5</v>
      </c>
      <c r="N43" s="763" t="s">
        <v>9265</v>
      </c>
      <c r="O43" s="762" t="s">
        <v>5</v>
      </c>
      <c r="P43" s="169" t="s">
        <v>11802</v>
      </c>
      <c r="Q43" s="757"/>
      <c r="R43" s="757"/>
      <c r="S43" s="757"/>
      <c r="T43" s="757"/>
      <c r="U43" s="757"/>
      <c r="V43" s="757"/>
      <c r="W43" s="757"/>
      <c r="X43" s="757"/>
      <c r="Y43" s="757"/>
      <c r="Z43" s="757"/>
    </row>
    <row r="44" ht="12.75" customHeight="1">
      <c r="A44" s="761">
        <v>42.0</v>
      </c>
      <c r="B44" s="169" t="s">
        <v>5</v>
      </c>
      <c r="C44" s="169" t="s">
        <v>3189</v>
      </c>
      <c r="D44" s="169" t="s">
        <v>3188</v>
      </c>
      <c r="E44" s="169" t="s">
        <v>12608</v>
      </c>
      <c r="F44" s="169" t="s">
        <v>11851</v>
      </c>
      <c r="G44" s="169" t="s">
        <v>5</v>
      </c>
      <c r="H44" s="169" t="s">
        <v>5</v>
      </c>
      <c r="I44" s="169" t="s">
        <v>5</v>
      </c>
      <c r="J44" s="169" t="s">
        <v>5</v>
      </c>
      <c r="K44" s="169" t="s">
        <v>5</v>
      </c>
      <c r="L44" s="169" t="s">
        <v>5</v>
      </c>
      <c r="M44" s="762" t="s">
        <v>5</v>
      </c>
      <c r="N44" s="763" t="s">
        <v>9265</v>
      </c>
      <c r="O44" s="762" t="s">
        <v>5</v>
      </c>
      <c r="P44" s="169" t="s">
        <v>11802</v>
      </c>
      <c r="Q44" s="757"/>
      <c r="R44" s="757"/>
      <c r="S44" s="757"/>
      <c r="T44" s="757"/>
      <c r="U44" s="757"/>
      <c r="V44" s="757"/>
      <c r="W44" s="757"/>
      <c r="X44" s="757"/>
      <c r="Y44" s="757"/>
      <c r="Z44" s="757"/>
    </row>
    <row r="45" ht="12.75" customHeight="1">
      <c r="A45" s="761">
        <v>43.0</v>
      </c>
      <c r="B45" s="169" t="s">
        <v>5</v>
      </c>
      <c r="C45" s="169" t="s">
        <v>3420</v>
      </c>
      <c r="D45" s="169" t="s">
        <v>3188</v>
      </c>
      <c r="E45" s="169" t="s">
        <v>12609</v>
      </c>
      <c r="F45" s="169" t="s">
        <v>11851</v>
      </c>
      <c r="G45" s="169" t="s">
        <v>5</v>
      </c>
      <c r="H45" s="169" t="s">
        <v>5</v>
      </c>
      <c r="I45" s="169" t="s">
        <v>5</v>
      </c>
      <c r="J45" s="169" t="s">
        <v>5</v>
      </c>
      <c r="K45" s="169" t="s">
        <v>5</v>
      </c>
      <c r="L45" s="169" t="s">
        <v>5</v>
      </c>
      <c r="M45" s="762" t="s">
        <v>5</v>
      </c>
      <c r="N45" s="763" t="s">
        <v>9265</v>
      </c>
      <c r="O45" s="762" t="s">
        <v>5</v>
      </c>
      <c r="P45" s="169" t="s">
        <v>11802</v>
      </c>
      <c r="Q45" s="757"/>
      <c r="R45" s="757"/>
      <c r="S45" s="757"/>
      <c r="T45" s="757"/>
      <c r="U45" s="757"/>
      <c r="V45" s="757"/>
      <c r="W45" s="757"/>
      <c r="X45" s="757"/>
      <c r="Y45" s="757"/>
      <c r="Z45" s="757"/>
    </row>
    <row r="46" ht="12.75" customHeight="1">
      <c r="A46" s="761">
        <v>44.0</v>
      </c>
      <c r="B46" s="169" t="s">
        <v>5</v>
      </c>
      <c r="C46" s="169" t="s">
        <v>11858</v>
      </c>
      <c r="D46" s="169" t="s">
        <v>3188</v>
      </c>
      <c r="E46" s="169" t="s">
        <v>12610</v>
      </c>
      <c r="F46" s="169" t="s">
        <v>11844</v>
      </c>
      <c r="G46" s="169" t="s">
        <v>5</v>
      </c>
      <c r="H46" s="169" t="s">
        <v>5</v>
      </c>
      <c r="I46" s="169" t="s">
        <v>11849</v>
      </c>
      <c r="J46" s="169" t="s">
        <v>5</v>
      </c>
      <c r="K46" s="169" t="s">
        <v>5</v>
      </c>
      <c r="L46" s="169" t="s">
        <v>5</v>
      </c>
      <c r="M46" s="762">
        <v>45376.0</v>
      </c>
      <c r="N46" s="763" t="s">
        <v>9265</v>
      </c>
      <c r="O46" s="762" t="s">
        <v>5</v>
      </c>
      <c r="P46" s="169" t="s">
        <v>11802</v>
      </c>
      <c r="Q46" s="757"/>
      <c r="R46" s="757"/>
      <c r="S46" s="757"/>
      <c r="T46" s="757"/>
      <c r="U46" s="757"/>
      <c r="V46" s="757"/>
      <c r="W46" s="757"/>
      <c r="X46" s="757"/>
      <c r="Y46" s="757"/>
      <c r="Z46" s="757"/>
    </row>
    <row r="47" ht="12.75" customHeight="1">
      <c r="A47" s="761">
        <v>45.0</v>
      </c>
      <c r="B47" s="169" t="s">
        <v>5</v>
      </c>
      <c r="C47" s="169" t="s">
        <v>3570</v>
      </c>
      <c r="D47" s="169" t="s">
        <v>454</v>
      </c>
      <c r="E47" s="169" t="s">
        <v>12611</v>
      </c>
      <c r="F47" s="169" t="s">
        <v>11844</v>
      </c>
      <c r="G47" s="169" t="s">
        <v>5</v>
      </c>
      <c r="H47" s="169" t="s">
        <v>5</v>
      </c>
      <c r="I47" s="169" t="s">
        <v>5</v>
      </c>
      <c r="J47" s="169" t="s">
        <v>5</v>
      </c>
      <c r="K47" s="169" t="s">
        <v>5</v>
      </c>
      <c r="L47" s="169" t="s">
        <v>5</v>
      </c>
      <c r="M47" s="762" t="s">
        <v>5</v>
      </c>
      <c r="N47" s="763" t="s">
        <v>9265</v>
      </c>
      <c r="O47" s="762" t="s">
        <v>5</v>
      </c>
      <c r="P47" s="169" t="s">
        <v>11802</v>
      </c>
      <c r="Q47" s="757"/>
      <c r="R47" s="757"/>
      <c r="S47" s="757"/>
      <c r="T47" s="757"/>
      <c r="U47" s="757"/>
      <c r="V47" s="757"/>
      <c r="W47" s="757"/>
      <c r="X47" s="757"/>
      <c r="Y47" s="757"/>
      <c r="Z47" s="757"/>
    </row>
    <row r="48" ht="12.75" customHeight="1">
      <c r="A48" s="761">
        <v>46.0</v>
      </c>
      <c r="B48" s="169" t="s">
        <v>5</v>
      </c>
      <c r="C48" s="169" t="s">
        <v>10678</v>
      </c>
      <c r="D48" s="169" t="s">
        <v>454</v>
      </c>
      <c r="E48" s="169" t="s">
        <v>12612</v>
      </c>
      <c r="F48" s="169" t="s">
        <v>11844</v>
      </c>
      <c r="G48" s="169" t="s">
        <v>5</v>
      </c>
      <c r="H48" s="169" t="s">
        <v>5</v>
      </c>
      <c r="I48" s="169" t="s">
        <v>5</v>
      </c>
      <c r="J48" s="169" t="s">
        <v>5</v>
      </c>
      <c r="K48" s="169" t="s">
        <v>5</v>
      </c>
      <c r="L48" s="169" t="s">
        <v>5</v>
      </c>
      <c r="M48" s="762" t="s">
        <v>5</v>
      </c>
      <c r="N48" s="763" t="s">
        <v>9265</v>
      </c>
      <c r="O48" s="762" t="s">
        <v>5</v>
      </c>
      <c r="P48" s="169" t="s">
        <v>11802</v>
      </c>
      <c r="Q48" s="757"/>
      <c r="R48" s="757"/>
      <c r="S48" s="757"/>
      <c r="T48" s="757"/>
      <c r="U48" s="757"/>
      <c r="V48" s="757"/>
      <c r="W48" s="757"/>
      <c r="X48" s="757"/>
      <c r="Y48" s="757"/>
      <c r="Z48" s="757"/>
    </row>
    <row r="49" ht="12.75" customHeight="1">
      <c r="A49" s="761">
        <v>47.0</v>
      </c>
      <c r="B49" s="169" t="s">
        <v>5</v>
      </c>
      <c r="C49" s="169" t="s">
        <v>2670</v>
      </c>
      <c r="D49" s="169" t="s">
        <v>2669</v>
      </c>
      <c r="E49" s="169" t="s">
        <v>12613</v>
      </c>
      <c r="F49" s="169" t="s">
        <v>11851</v>
      </c>
      <c r="G49" s="169" t="s">
        <v>5</v>
      </c>
      <c r="H49" s="169" t="s">
        <v>5</v>
      </c>
      <c r="I49" s="169" t="s">
        <v>5</v>
      </c>
      <c r="J49" s="169" t="s">
        <v>5</v>
      </c>
      <c r="K49" s="169" t="s">
        <v>5</v>
      </c>
      <c r="L49" s="169" t="s">
        <v>5</v>
      </c>
      <c r="M49" s="762" t="s">
        <v>5</v>
      </c>
      <c r="N49" s="763" t="s">
        <v>9265</v>
      </c>
      <c r="O49" s="762" t="s">
        <v>5</v>
      </c>
      <c r="P49" s="169" t="s">
        <v>11802</v>
      </c>
      <c r="Q49" s="757"/>
      <c r="R49" s="757"/>
      <c r="S49" s="757"/>
      <c r="T49" s="757"/>
      <c r="U49" s="757"/>
      <c r="V49" s="757"/>
      <c r="W49" s="757"/>
      <c r="X49" s="757"/>
      <c r="Y49" s="757"/>
      <c r="Z49" s="757"/>
    </row>
    <row r="50" ht="12.75" customHeight="1">
      <c r="A50" s="761">
        <v>48.0</v>
      </c>
      <c r="B50" s="169" t="s">
        <v>5</v>
      </c>
      <c r="C50" s="169" t="s">
        <v>11860</v>
      </c>
      <c r="D50" s="169" t="s">
        <v>2669</v>
      </c>
      <c r="E50" s="169" t="s">
        <v>12614</v>
      </c>
      <c r="F50" s="169" t="s">
        <v>11851</v>
      </c>
      <c r="G50" s="169" t="s">
        <v>5</v>
      </c>
      <c r="H50" s="169" t="s">
        <v>5</v>
      </c>
      <c r="I50" s="169" t="s">
        <v>5</v>
      </c>
      <c r="J50" s="169" t="s">
        <v>5</v>
      </c>
      <c r="K50" s="169" t="s">
        <v>5</v>
      </c>
      <c r="L50" s="169" t="s">
        <v>5</v>
      </c>
      <c r="M50" s="762" t="s">
        <v>5</v>
      </c>
      <c r="N50" s="763" t="s">
        <v>9265</v>
      </c>
      <c r="O50" s="762" t="s">
        <v>5</v>
      </c>
      <c r="P50" s="169" t="s">
        <v>11802</v>
      </c>
      <c r="Q50" s="757"/>
      <c r="R50" s="757"/>
      <c r="S50" s="757"/>
      <c r="T50" s="757"/>
      <c r="U50" s="757"/>
      <c r="V50" s="757"/>
      <c r="W50" s="757"/>
      <c r="X50" s="757"/>
      <c r="Y50" s="757"/>
      <c r="Z50" s="757"/>
    </row>
    <row r="51" ht="12.75" customHeight="1">
      <c r="A51" s="761">
        <v>49.0</v>
      </c>
      <c r="B51" s="169" t="s">
        <v>5</v>
      </c>
      <c r="C51" s="169" t="s">
        <v>6003</v>
      </c>
      <c r="D51" s="169" t="s">
        <v>2669</v>
      </c>
      <c r="E51" s="169" t="s">
        <v>12615</v>
      </c>
      <c r="F51" s="169" t="s">
        <v>11851</v>
      </c>
      <c r="G51" s="169" t="s">
        <v>5</v>
      </c>
      <c r="H51" s="169" t="s">
        <v>5</v>
      </c>
      <c r="I51" s="169" t="s">
        <v>5</v>
      </c>
      <c r="J51" s="169" t="s">
        <v>5</v>
      </c>
      <c r="K51" s="169" t="s">
        <v>5</v>
      </c>
      <c r="L51" s="169" t="s">
        <v>5</v>
      </c>
      <c r="M51" s="762" t="s">
        <v>5</v>
      </c>
      <c r="N51" s="763" t="s">
        <v>9265</v>
      </c>
      <c r="O51" s="762" t="s">
        <v>5</v>
      </c>
      <c r="P51" s="169" t="s">
        <v>11802</v>
      </c>
      <c r="Q51" s="757"/>
      <c r="R51" s="757"/>
      <c r="S51" s="757"/>
      <c r="T51" s="757"/>
      <c r="U51" s="757"/>
      <c r="V51" s="757"/>
      <c r="W51" s="757"/>
      <c r="X51" s="757"/>
      <c r="Y51" s="757"/>
      <c r="Z51" s="757"/>
    </row>
    <row r="52" ht="12.75" customHeight="1">
      <c r="A52" s="761">
        <v>50.0</v>
      </c>
      <c r="B52" s="169" t="s">
        <v>5</v>
      </c>
      <c r="C52" s="169" t="s">
        <v>10624</v>
      </c>
      <c r="D52" s="169" t="s">
        <v>454</v>
      </c>
      <c r="E52" s="169" t="s">
        <v>12616</v>
      </c>
      <c r="F52" s="169" t="s">
        <v>11844</v>
      </c>
      <c r="G52" s="169" t="s">
        <v>5</v>
      </c>
      <c r="H52" s="169" t="s">
        <v>5</v>
      </c>
      <c r="I52" s="169" t="s">
        <v>5</v>
      </c>
      <c r="J52" s="169" t="s">
        <v>5</v>
      </c>
      <c r="K52" s="169" t="s">
        <v>5</v>
      </c>
      <c r="L52" s="169" t="s">
        <v>5</v>
      </c>
      <c r="M52" s="762" t="s">
        <v>5</v>
      </c>
      <c r="N52" s="763" t="s">
        <v>9265</v>
      </c>
      <c r="O52" s="762" t="s">
        <v>5</v>
      </c>
      <c r="P52" s="169" t="s">
        <v>11802</v>
      </c>
      <c r="Q52" s="757"/>
      <c r="R52" s="757"/>
      <c r="S52" s="757"/>
      <c r="T52" s="757"/>
      <c r="U52" s="757"/>
      <c r="V52" s="757"/>
      <c r="W52" s="757"/>
      <c r="X52" s="757"/>
      <c r="Y52" s="757"/>
      <c r="Z52" s="757"/>
    </row>
    <row r="53" ht="12.75" customHeight="1">
      <c r="A53" s="761">
        <v>51.0</v>
      </c>
      <c r="B53" s="169" t="s">
        <v>5</v>
      </c>
      <c r="C53" s="169" t="s">
        <v>10215</v>
      </c>
      <c r="D53" s="169" t="s">
        <v>3604</v>
      </c>
      <c r="E53" s="169" t="s">
        <v>12617</v>
      </c>
      <c r="F53" s="169" t="s">
        <v>11851</v>
      </c>
      <c r="G53" s="169" t="s">
        <v>5</v>
      </c>
      <c r="H53" s="169" t="s">
        <v>5</v>
      </c>
      <c r="I53" s="169" t="s">
        <v>5</v>
      </c>
      <c r="J53" s="169" t="s">
        <v>5</v>
      </c>
      <c r="K53" s="169" t="s">
        <v>5</v>
      </c>
      <c r="L53" s="169" t="s">
        <v>5</v>
      </c>
      <c r="M53" s="762" t="s">
        <v>5</v>
      </c>
      <c r="N53" s="763" t="s">
        <v>9265</v>
      </c>
      <c r="O53" s="762" t="s">
        <v>5</v>
      </c>
      <c r="P53" s="169" t="s">
        <v>11802</v>
      </c>
      <c r="Q53" s="757"/>
      <c r="R53" s="757"/>
      <c r="S53" s="757"/>
      <c r="T53" s="757"/>
      <c r="U53" s="757"/>
      <c r="V53" s="757"/>
      <c r="W53" s="757"/>
      <c r="X53" s="757"/>
      <c r="Y53" s="757"/>
      <c r="Z53" s="757"/>
    </row>
    <row r="54" ht="12.75" customHeight="1">
      <c r="A54" s="761">
        <v>52.0</v>
      </c>
      <c r="B54" s="169" t="s">
        <v>5</v>
      </c>
      <c r="C54" s="169" t="s">
        <v>3605</v>
      </c>
      <c r="D54" s="169" t="s">
        <v>3604</v>
      </c>
      <c r="E54" s="169" t="s">
        <v>12618</v>
      </c>
      <c r="F54" s="169" t="s">
        <v>11851</v>
      </c>
      <c r="G54" s="169" t="s">
        <v>5</v>
      </c>
      <c r="H54" s="169" t="s">
        <v>5</v>
      </c>
      <c r="I54" s="169" t="s">
        <v>5</v>
      </c>
      <c r="J54" s="169" t="s">
        <v>5</v>
      </c>
      <c r="K54" s="169" t="s">
        <v>5</v>
      </c>
      <c r="L54" s="169" t="s">
        <v>5</v>
      </c>
      <c r="M54" s="762" t="s">
        <v>5</v>
      </c>
      <c r="N54" s="763" t="s">
        <v>9265</v>
      </c>
      <c r="O54" s="762" t="s">
        <v>5</v>
      </c>
      <c r="P54" s="169" t="s">
        <v>11802</v>
      </c>
      <c r="Q54" s="757"/>
      <c r="R54" s="757"/>
      <c r="S54" s="757"/>
      <c r="T54" s="757"/>
      <c r="U54" s="757"/>
      <c r="V54" s="757"/>
      <c r="W54" s="757"/>
      <c r="X54" s="757"/>
      <c r="Y54" s="757"/>
      <c r="Z54" s="757"/>
    </row>
    <row r="55" ht="12.75" customHeight="1">
      <c r="A55" s="761">
        <v>53.0</v>
      </c>
      <c r="B55" s="169" t="s">
        <v>5</v>
      </c>
      <c r="C55" s="169" t="s">
        <v>4672</v>
      </c>
      <c r="D55" s="169" t="s">
        <v>454</v>
      </c>
      <c r="E55" s="169" t="s">
        <v>12619</v>
      </c>
      <c r="F55" s="169" t="s">
        <v>11844</v>
      </c>
      <c r="G55" s="169" t="s">
        <v>5</v>
      </c>
      <c r="H55" s="169" t="s">
        <v>5</v>
      </c>
      <c r="I55" s="169" t="s">
        <v>5</v>
      </c>
      <c r="J55" s="169" t="s">
        <v>5</v>
      </c>
      <c r="K55" s="169" t="s">
        <v>5</v>
      </c>
      <c r="L55" s="169" t="s">
        <v>5</v>
      </c>
      <c r="M55" s="762" t="s">
        <v>5</v>
      </c>
      <c r="N55" s="763" t="s">
        <v>9265</v>
      </c>
      <c r="O55" s="762" t="s">
        <v>5</v>
      </c>
      <c r="P55" s="169" t="s">
        <v>11802</v>
      </c>
      <c r="Q55" s="757"/>
      <c r="R55" s="757"/>
      <c r="S55" s="757"/>
      <c r="T55" s="757"/>
      <c r="U55" s="757"/>
      <c r="V55" s="757"/>
      <c r="W55" s="757"/>
      <c r="X55" s="757"/>
      <c r="Y55" s="757"/>
      <c r="Z55" s="757"/>
    </row>
    <row r="56" ht="12.75" customHeight="1">
      <c r="A56" s="761">
        <v>54.0</v>
      </c>
      <c r="B56" s="169" t="s">
        <v>5</v>
      </c>
      <c r="C56" s="169" t="s">
        <v>10638</v>
      </c>
      <c r="D56" s="169" t="s">
        <v>454</v>
      </c>
      <c r="E56" s="169" t="s">
        <v>12620</v>
      </c>
      <c r="F56" s="169" t="s">
        <v>11844</v>
      </c>
      <c r="G56" s="169" t="s">
        <v>5</v>
      </c>
      <c r="H56" s="169" t="s">
        <v>5</v>
      </c>
      <c r="I56" s="169" t="s">
        <v>5</v>
      </c>
      <c r="J56" s="169" t="s">
        <v>5</v>
      </c>
      <c r="K56" s="169" t="s">
        <v>5</v>
      </c>
      <c r="L56" s="169" t="s">
        <v>5</v>
      </c>
      <c r="M56" s="762" t="s">
        <v>5</v>
      </c>
      <c r="N56" s="763" t="s">
        <v>9265</v>
      </c>
      <c r="O56" s="762" t="s">
        <v>5</v>
      </c>
      <c r="P56" s="169" t="s">
        <v>11802</v>
      </c>
      <c r="Q56" s="757"/>
      <c r="R56" s="757"/>
      <c r="S56" s="757"/>
      <c r="T56" s="757"/>
      <c r="U56" s="757"/>
      <c r="V56" s="757"/>
      <c r="W56" s="757"/>
      <c r="X56" s="757"/>
      <c r="Y56" s="757"/>
      <c r="Z56" s="757"/>
    </row>
    <row r="57" ht="12.75" customHeight="1">
      <c r="A57" s="761">
        <v>55.0</v>
      </c>
      <c r="B57" s="169" t="s">
        <v>5</v>
      </c>
      <c r="C57" s="169" t="s">
        <v>5605</v>
      </c>
      <c r="D57" s="169" t="s">
        <v>5107</v>
      </c>
      <c r="E57" s="169" t="s">
        <v>12621</v>
      </c>
      <c r="F57" s="169" t="s">
        <v>11851</v>
      </c>
      <c r="G57" s="169" t="s">
        <v>5</v>
      </c>
      <c r="H57" s="169" t="s">
        <v>5</v>
      </c>
      <c r="I57" s="169" t="s">
        <v>5</v>
      </c>
      <c r="J57" s="169" t="s">
        <v>5</v>
      </c>
      <c r="K57" s="169" t="s">
        <v>5</v>
      </c>
      <c r="L57" s="169" t="s">
        <v>5</v>
      </c>
      <c r="M57" s="762" t="s">
        <v>5</v>
      </c>
      <c r="N57" s="763" t="s">
        <v>9265</v>
      </c>
      <c r="O57" s="762" t="s">
        <v>5</v>
      </c>
      <c r="P57" s="169" t="s">
        <v>11802</v>
      </c>
      <c r="Q57" s="757"/>
      <c r="R57" s="757"/>
      <c r="S57" s="757"/>
      <c r="T57" s="757"/>
      <c r="U57" s="757"/>
      <c r="V57" s="757"/>
      <c r="W57" s="757"/>
      <c r="X57" s="757"/>
      <c r="Y57" s="757"/>
      <c r="Z57" s="757"/>
    </row>
    <row r="58" ht="12.75" customHeight="1">
      <c r="A58" s="761">
        <v>56.0</v>
      </c>
      <c r="B58" s="169" t="s">
        <v>5</v>
      </c>
      <c r="C58" s="169" t="s">
        <v>5108</v>
      </c>
      <c r="D58" s="169" t="s">
        <v>5107</v>
      </c>
      <c r="E58" s="169" t="s">
        <v>12622</v>
      </c>
      <c r="F58" s="169" t="s">
        <v>11851</v>
      </c>
      <c r="G58" s="169" t="s">
        <v>5</v>
      </c>
      <c r="H58" s="169" t="s">
        <v>5</v>
      </c>
      <c r="I58" s="169" t="s">
        <v>5</v>
      </c>
      <c r="J58" s="169" t="s">
        <v>5</v>
      </c>
      <c r="K58" s="169" t="s">
        <v>5</v>
      </c>
      <c r="L58" s="169" t="s">
        <v>5</v>
      </c>
      <c r="M58" s="762" t="s">
        <v>5</v>
      </c>
      <c r="N58" s="763" t="s">
        <v>9265</v>
      </c>
      <c r="O58" s="762" t="s">
        <v>5</v>
      </c>
      <c r="P58" s="169" t="s">
        <v>11802</v>
      </c>
      <c r="Q58" s="757"/>
      <c r="R58" s="757"/>
      <c r="S58" s="757"/>
      <c r="T58" s="757"/>
      <c r="U58" s="757"/>
      <c r="V58" s="757"/>
      <c r="W58" s="757"/>
      <c r="X58" s="757"/>
      <c r="Y58" s="757"/>
      <c r="Z58" s="757"/>
    </row>
    <row r="59" ht="12.75" customHeight="1">
      <c r="A59" s="761">
        <v>57.0</v>
      </c>
      <c r="B59" s="169" t="s">
        <v>5</v>
      </c>
      <c r="C59" s="169" t="s">
        <v>10629</v>
      </c>
      <c r="D59" s="169" t="s">
        <v>454</v>
      </c>
      <c r="E59" s="169" t="s">
        <v>12623</v>
      </c>
      <c r="F59" s="169" t="s">
        <v>11844</v>
      </c>
      <c r="G59" s="169" t="s">
        <v>5</v>
      </c>
      <c r="H59" s="169" t="s">
        <v>5</v>
      </c>
      <c r="I59" s="169" t="s">
        <v>5</v>
      </c>
      <c r="J59" s="169" t="s">
        <v>5</v>
      </c>
      <c r="K59" s="169" t="s">
        <v>5</v>
      </c>
      <c r="L59" s="169" t="s">
        <v>5</v>
      </c>
      <c r="M59" s="762" t="s">
        <v>5</v>
      </c>
      <c r="N59" s="763" t="s">
        <v>9265</v>
      </c>
      <c r="O59" s="762" t="s">
        <v>5</v>
      </c>
      <c r="P59" s="169" t="s">
        <v>11802</v>
      </c>
      <c r="Q59" s="757"/>
      <c r="R59" s="757"/>
      <c r="S59" s="757"/>
      <c r="T59" s="757"/>
      <c r="U59" s="757"/>
      <c r="V59" s="757"/>
      <c r="W59" s="757"/>
      <c r="X59" s="757"/>
      <c r="Y59" s="757"/>
      <c r="Z59" s="757"/>
    </row>
    <row r="60" ht="12.75" customHeight="1">
      <c r="A60" s="761">
        <v>58.0</v>
      </c>
      <c r="B60" s="169" t="s">
        <v>5</v>
      </c>
      <c r="C60" s="169" t="s">
        <v>3042</v>
      </c>
      <c r="D60" s="169" t="s">
        <v>3041</v>
      </c>
      <c r="E60" s="169" t="s">
        <v>12624</v>
      </c>
      <c r="F60" s="169" t="s">
        <v>11851</v>
      </c>
      <c r="G60" s="169" t="s">
        <v>5</v>
      </c>
      <c r="H60" s="169" t="s">
        <v>5</v>
      </c>
      <c r="I60" s="169" t="s">
        <v>5</v>
      </c>
      <c r="J60" s="169" t="s">
        <v>5</v>
      </c>
      <c r="K60" s="169" t="s">
        <v>5</v>
      </c>
      <c r="L60" s="169" t="s">
        <v>5</v>
      </c>
      <c r="M60" s="762" t="s">
        <v>5</v>
      </c>
      <c r="N60" s="763" t="s">
        <v>9265</v>
      </c>
      <c r="O60" s="762" t="s">
        <v>5</v>
      </c>
      <c r="P60" s="169" t="s">
        <v>11802</v>
      </c>
      <c r="Q60" s="757"/>
      <c r="R60" s="757"/>
      <c r="S60" s="757"/>
      <c r="T60" s="757"/>
      <c r="U60" s="757"/>
      <c r="V60" s="757"/>
      <c r="W60" s="757"/>
      <c r="X60" s="757"/>
      <c r="Y60" s="757"/>
      <c r="Z60" s="757"/>
    </row>
    <row r="61" ht="12.75" customHeight="1">
      <c r="A61" s="761">
        <v>59.0</v>
      </c>
      <c r="B61" s="169" t="s">
        <v>5</v>
      </c>
      <c r="C61" s="169" t="s">
        <v>5748</v>
      </c>
      <c r="D61" s="169" t="s">
        <v>3041</v>
      </c>
      <c r="E61" s="169" t="s">
        <v>12625</v>
      </c>
      <c r="F61" s="169" t="s">
        <v>11851</v>
      </c>
      <c r="G61" s="169" t="s">
        <v>5</v>
      </c>
      <c r="H61" s="169" t="s">
        <v>5</v>
      </c>
      <c r="I61" s="169" t="s">
        <v>5</v>
      </c>
      <c r="J61" s="169" t="s">
        <v>5</v>
      </c>
      <c r="K61" s="169" t="s">
        <v>5</v>
      </c>
      <c r="L61" s="169" t="s">
        <v>5</v>
      </c>
      <c r="M61" s="762" t="s">
        <v>5</v>
      </c>
      <c r="N61" s="763" t="s">
        <v>9265</v>
      </c>
      <c r="O61" s="762" t="s">
        <v>5</v>
      </c>
      <c r="P61" s="169" t="s">
        <v>11802</v>
      </c>
      <c r="Q61" s="757"/>
      <c r="R61" s="757"/>
      <c r="S61" s="757"/>
      <c r="T61" s="757"/>
      <c r="U61" s="757"/>
      <c r="V61" s="757"/>
      <c r="W61" s="757"/>
      <c r="X61" s="757"/>
      <c r="Y61" s="757"/>
      <c r="Z61" s="757"/>
    </row>
    <row r="62" ht="12.75" customHeight="1">
      <c r="A62" s="761">
        <v>60.0</v>
      </c>
      <c r="B62" s="169" t="s">
        <v>5</v>
      </c>
      <c r="C62" s="169" t="s">
        <v>5025</v>
      </c>
      <c r="D62" s="169" t="s">
        <v>454</v>
      </c>
      <c r="E62" s="169" t="s">
        <v>12626</v>
      </c>
      <c r="F62" s="169" t="s">
        <v>11844</v>
      </c>
      <c r="G62" s="169" t="s">
        <v>5</v>
      </c>
      <c r="H62" s="169" t="s">
        <v>5</v>
      </c>
      <c r="I62" s="169" t="s">
        <v>5</v>
      </c>
      <c r="J62" s="169" t="s">
        <v>5</v>
      </c>
      <c r="K62" s="169" t="s">
        <v>5</v>
      </c>
      <c r="L62" s="169" t="s">
        <v>5</v>
      </c>
      <c r="M62" s="762" t="s">
        <v>5</v>
      </c>
      <c r="N62" s="763" t="s">
        <v>9265</v>
      </c>
      <c r="O62" s="762" t="s">
        <v>5</v>
      </c>
      <c r="P62" s="169" t="s">
        <v>11802</v>
      </c>
      <c r="Q62" s="757"/>
      <c r="R62" s="757"/>
      <c r="S62" s="757"/>
      <c r="T62" s="757"/>
      <c r="U62" s="757"/>
      <c r="V62" s="757"/>
      <c r="W62" s="757"/>
      <c r="X62" s="757"/>
      <c r="Y62" s="757"/>
      <c r="Z62" s="757"/>
    </row>
    <row r="63" ht="12.75" customHeight="1">
      <c r="A63" s="761">
        <v>61.0</v>
      </c>
      <c r="B63" s="169" t="s">
        <v>5</v>
      </c>
      <c r="C63" s="169" t="s">
        <v>2683</v>
      </c>
      <c r="D63" s="169" t="s">
        <v>2682</v>
      </c>
      <c r="E63" s="169" t="s">
        <v>12627</v>
      </c>
      <c r="F63" s="169" t="s">
        <v>11851</v>
      </c>
      <c r="G63" s="169" t="s">
        <v>5</v>
      </c>
      <c r="H63" s="169" t="s">
        <v>5</v>
      </c>
      <c r="I63" s="169" t="s">
        <v>5</v>
      </c>
      <c r="J63" s="169" t="s">
        <v>5</v>
      </c>
      <c r="K63" s="169" t="s">
        <v>5</v>
      </c>
      <c r="L63" s="169" t="s">
        <v>5</v>
      </c>
      <c r="M63" s="762" t="s">
        <v>5</v>
      </c>
      <c r="N63" s="763" t="s">
        <v>9265</v>
      </c>
      <c r="O63" s="762" t="s">
        <v>5</v>
      </c>
      <c r="P63" s="169" t="s">
        <v>11802</v>
      </c>
      <c r="Q63" s="757"/>
      <c r="R63" s="757"/>
      <c r="S63" s="757"/>
      <c r="T63" s="757"/>
      <c r="U63" s="757"/>
      <c r="V63" s="757"/>
      <c r="W63" s="757"/>
      <c r="X63" s="757"/>
      <c r="Y63" s="757"/>
      <c r="Z63" s="757"/>
    </row>
    <row r="64" ht="12.75" customHeight="1">
      <c r="A64" s="761">
        <v>62.0</v>
      </c>
      <c r="B64" s="169" t="s">
        <v>5</v>
      </c>
      <c r="C64" s="169" t="s">
        <v>5493</v>
      </c>
      <c r="D64" s="169" t="s">
        <v>2682</v>
      </c>
      <c r="E64" s="169" t="s">
        <v>12628</v>
      </c>
      <c r="F64" s="169" t="s">
        <v>11851</v>
      </c>
      <c r="G64" s="169" t="s">
        <v>5</v>
      </c>
      <c r="H64" s="169" t="s">
        <v>5</v>
      </c>
      <c r="I64" s="169" t="s">
        <v>5</v>
      </c>
      <c r="J64" s="169" t="s">
        <v>5</v>
      </c>
      <c r="K64" s="169" t="s">
        <v>5</v>
      </c>
      <c r="L64" s="169" t="s">
        <v>5</v>
      </c>
      <c r="M64" s="762" t="s">
        <v>5</v>
      </c>
      <c r="N64" s="763" t="s">
        <v>9265</v>
      </c>
      <c r="O64" s="762" t="s">
        <v>5</v>
      </c>
      <c r="P64" s="169" t="s">
        <v>11802</v>
      </c>
      <c r="Q64" s="757"/>
      <c r="R64" s="757"/>
      <c r="S64" s="757"/>
      <c r="T64" s="757"/>
      <c r="U64" s="757"/>
      <c r="V64" s="757"/>
      <c r="W64" s="757"/>
      <c r="X64" s="757"/>
      <c r="Y64" s="757"/>
      <c r="Z64" s="757"/>
    </row>
    <row r="65" ht="12.75" customHeight="1">
      <c r="A65" s="761">
        <v>63.0</v>
      </c>
      <c r="B65" s="169" t="s">
        <v>5</v>
      </c>
      <c r="C65" s="169" t="s">
        <v>4918</v>
      </c>
      <c r="D65" s="169" t="s">
        <v>454</v>
      </c>
      <c r="E65" s="169" t="s">
        <v>12629</v>
      </c>
      <c r="F65" s="169" t="s">
        <v>11851</v>
      </c>
      <c r="G65" s="169" t="s">
        <v>5</v>
      </c>
      <c r="H65" s="169" t="s">
        <v>5</v>
      </c>
      <c r="I65" s="169" t="s">
        <v>5</v>
      </c>
      <c r="J65" s="169" t="s">
        <v>5</v>
      </c>
      <c r="K65" s="169" t="s">
        <v>5</v>
      </c>
      <c r="L65" s="169" t="s">
        <v>5</v>
      </c>
      <c r="M65" s="762" t="s">
        <v>5</v>
      </c>
      <c r="N65" s="763" t="s">
        <v>9265</v>
      </c>
      <c r="O65" s="762" t="s">
        <v>5</v>
      </c>
      <c r="P65" s="169" t="s">
        <v>11802</v>
      </c>
      <c r="Q65" s="757"/>
      <c r="R65" s="757"/>
      <c r="S65" s="757"/>
      <c r="T65" s="757"/>
      <c r="U65" s="757"/>
      <c r="V65" s="757"/>
      <c r="W65" s="757"/>
      <c r="X65" s="757"/>
      <c r="Y65" s="757"/>
      <c r="Z65" s="757"/>
    </row>
    <row r="66" ht="12.75" customHeight="1">
      <c r="A66" s="761">
        <v>64.0</v>
      </c>
      <c r="B66" s="169" t="s">
        <v>5</v>
      </c>
      <c r="C66" s="169" t="s">
        <v>10692</v>
      </c>
      <c r="D66" s="169" t="s">
        <v>454</v>
      </c>
      <c r="E66" s="169" t="s">
        <v>12630</v>
      </c>
      <c r="F66" s="169" t="s">
        <v>11844</v>
      </c>
      <c r="G66" s="169" t="s">
        <v>5</v>
      </c>
      <c r="H66" s="169" t="s">
        <v>5</v>
      </c>
      <c r="I66" s="169" t="s">
        <v>11849</v>
      </c>
      <c r="J66" s="169" t="s">
        <v>5</v>
      </c>
      <c r="K66" s="169" t="s">
        <v>5</v>
      </c>
      <c r="L66" s="169" t="s">
        <v>5</v>
      </c>
      <c r="M66" s="762" t="s">
        <v>5</v>
      </c>
      <c r="N66" s="763" t="s">
        <v>9265</v>
      </c>
      <c r="O66" s="762" t="s">
        <v>5</v>
      </c>
      <c r="P66" s="169" t="s">
        <v>11802</v>
      </c>
      <c r="Q66" s="757"/>
      <c r="R66" s="757"/>
      <c r="S66" s="757"/>
      <c r="T66" s="757"/>
      <c r="U66" s="757"/>
      <c r="V66" s="757"/>
      <c r="W66" s="757"/>
      <c r="X66" s="757"/>
      <c r="Y66" s="757"/>
      <c r="Z66" s="757"/>
    </row>
    <row r="67" ht="12.75" customHeight="1">
      <c r="A67" s="761">
        <v>65.0</v>
      </c>
      <c r="B67" s="169" t="s">
        <v>5</v>
      </c>
      <c r="C67" s="169" t="s">
        <v>4598</v>
      </c>
      <c r="D67" s="169" t="s">
        <v>4597</v>
      </c>
      <c r="E67" s="169" t="s">
        <v>12631</v>
      </c>
      <c r="F67" s="169" t="s">
        <v>11854</v>
      </c>
      <c r="G67" s="169" t="s">
        <v>5</v>
      </c>
      <c r="H67" s="169" t="s">
        <v>5</v>
      </c>
      <c r="I67" s="169" t="s">
        <v>11849</v>
      </c>
      <c r="J67" s="169" t="s">
        <v>5</v>
      </c>
      <c r="K67" s="169" t="s">
        <v>5</v>
      </c>
      <c r="L67" s="169" t="s">
        <v>5</v>
      </c>
      <c r="M67" s="762" t="s">
        <v>5</v>
      </c>
      <c r="N67" s="763" t="s">
        <v>9265</v>
      </c>
      <c r="O67" s="762" t="s">
        <v>5</v>
      </c>
      <c r="P67" s="169" t="s">
        <v>11802</v>
      </c>
      <c r="Q67" s="757"/>
      <c r="R67" s="757"/>
      <c r="S67" s="757"/>
      <c r="T67" s="757"/>
      <c r="U67" s="757"/>
      <c r="V67" s="757"/>
      <c r="W67" s="757"/>
      <c r="X67" s="757"/>
      <c r="Y67" s="757"/>
      <c r="Z67" s="757"/>
    </row>
    <row r="68" ht="12.75" customHeight="1">
      <c r="A68" s="761">
        <v>66.0</v>
      </c>
      <c r="B68" s="169" t="s">
        <v>5</v>
      </c>
      <c r="C68" s="169" t="s">
        <v>6640</v>
      </c>
      <c r="D68" s="169" t="s">
        <v>4597</v>
      </c>
      <c r="E68" s="169" t="s">
        <v>12632</v>
      </c>
      <c r="F68" s="169" t="s">
        <v>11854</v>
      </c>
      <c r="G68" s="169" t="s">
        <v>5</v>
      </c>
      <c r="H68" s="169" t="s">
        <v>5</v>
      </c>
      <c r="I68" s="169" t="s">
        <v>11849</v>
      </c>
      <c r="J68" s="169" t="s">
        <v>5</v>
      </c>
      <c r="K68" s="169" t="s">
        <v>5</v>
      </c>
      <c r="L68" s="169" t="s">
        <v>5</v>
      </c>
      <c r="M68" s="762" t="s">
        <v>5</v>
      </c>
      <c r="N68" s="763" t="s">
        <v>9265</v>
      </c>
      <c r="O68" s="762" t="s">
        <v>5</v>
      </c>
      <c r="P68" s="169" t="s">
        <v>11802</v>
      </c>
      <c r="Q68" s="757"/>
      <c r="R68" s="757"/>
      <c r="S68" s="757"/>
      <c r="T68" s="757"/>
      <c r="U68" s="757"/>
      <c r="V68" s="757"/>
      <c r="W68" s="757"/>
      <c r="X68" s="757"/>
      <c r="Y68" s="757"/>
      <c r="Z68" s="757"/>
    </row>
    <row r="69" ht="12.75" customHeight="1">
      <c r="A69" s="761">
        <v>67.0</v>
      </c>
      <c r="B69" s="169" t="s">
        <v>5</v>
      </c>
      <c r="C69" s="169" t="s">
        <v>10698</v>
      </c>
      <c r="D69" s="169" t="s">
        <v>454</v>
      </c>
      <c r="E69" s="169" t="s">
        <v>12633</v>
      </c>
      <c r="F69" s="169" t="s">
        <v>11844</v>
      </c>
      <c r="G69" s="169" t="s">
        <v>5</v>
      </c>
      <c r="H69" s="169" t="s">
        <v>5</v>
      </c>
      <c r="I69" s="169" t="s">
        <v>11849</v>
      </c>
      <c r="J69" s="169" t="s">
        <v>5</v>
      </c>
      <c r="K69" s="169" t="s">
        <v>5</v>
      </c>
      <c r="L69" s="169" t="s">
        <v>5</v>
      </c>
      <c r="M69" s="762" t="s">
        <v>5</v>
      </c>
      <c r="N69" s="763" t="s">
        <v>9265</v>
      </c>
      <c r="O69" s="762" t="s">
        <v>5</v>
      </c>
      <c r="P69" s="169" t="s">
        <v>11802</v>
      </c>
      <c r="Q69" s="757"/>
      <c r="R69" s="757"/>
      <c r="S69" s="757"/>
      <c r="T69" s="757"/>
      <c r="U69" s="757"/>
      <c r="V69" s="757"/>
      <c r="W69" s="757"/>
      <c r="X69" s="757"/>
      <c r="Y69" s="757"/>
      <c r="Z69" s="757"/>
    </row>
    <row r="70" ht="12.75" customHeight="1">
      <c r="A70" s="761">
        <v>68.0</v>
      </c>
      <c r="B70" s="169" t="s">
        <v>5</v>
      </c>
      <c r="C70" s="169" t="s">
        <v>6810</v>
      </c>
      <c r="D70" s="169" t="s">
        <v>5228</v>
      </c>
      <c r="E70" s="169" t="s">
        <v>12634</v>
      </c>
      <c r="F70" s="169" t="s">
        <v>11854</v>
      </c>
      <c r="G70" s="169" t="s">
        <v>5</v>
      </c>
      <c r="H70" s="169" t="s">
        <v>5</v>
      </c>
      <c r="I70" s="169" t="s">
        <v>11849</v>
      </c>
      <c r="J70" s="169" t="s">
        <v>5</v>
      </c>
      <c r="K70" s="169" t="s">
        <v>5</v>
      </c>
      <c r="L70" s="169" t="s">
        <v>5</v>
      </c>
      <c r="M70" s="762" t="s">
        <v>5</v>
      </c>
      <c r="N70" s="763" t="s">
        <v>9265</v>
      </c>
      <c r="O70" s="762" t="s">
        <v>5</v>
      </c>
      <c r="P70" s="169" t="s">
        <v>11802</v>
      </c>
      <c r="Q70" s="757"/>
      <c r="R70" s="757"/>
      <c r="S70" s="757"/>
      <c r="T70" s="757"/>
      <c r="U70" s="757"/>
      <c r="V70" s="757"/>
      <c r="W70" s="757"/>
      <c r="X70" s="757"/>
      <c r="Y70" s="757"/>
      <c r="Z70" s="757"/>
    </row>
    <row r="71" ht="12.75" customHeight="1">
      <c r="A71" s="761">
        <v>69.0</v>
      </c>
      <c r="B71" s="169" t="s">
        <v>5</v>
      </c>
      <c r="C71" s="169" t="s">
        <v>5229</v>
      </c>
      <c r="D71" s="169" t="s">
        <v>5228</v>
      </c>
      <c r="E71" s="169" t="s">
        <v>12635</v>
      </c>
      <c r="F71" s="169" t="s">
        <v>11854</v>
      </c>
      <c r="G71" s="169" t="s">
        <v>5</v>
      </c>
      <c r="H71" s="169" t="s">
        <v>5</v>
      </c>
      <c r="I71" s="169" t="s">
        <v>11849</v>
      </c>
      <c r="J71" s="169" t="s">
        <v>5</v>
      </c>
      <c r="K71" s="169" t="s">
        <v>5</v>
      </c>
      <c r="L71" s="169" t="s">
        <v>5</v>
      </c>
      <c r="M71" s="762" t="s">
        <v>5</v>
      </c>
      <c r="N71" s="763" t="s">
        <v>9265</v>
      </c>
      <c r="O71" s="762" t="s">
        <v>5</v>
      </c>
      <c r="P71" s="169" t="s">
        <v>11802</v>
      </c>
      <c r="Q71" s="757"/>
      <c r="R71" s="757"/>
      <c r="S71" s="757"/>
      <c r="T71" s="757"/>
      <c r="U71" s="757"/>
      <c r="V71" s="757"/>
      <c r="W71" s="757"/>
      <c r="X71" s="757"/>
      <c r="Y71" s="757"/>
      <c r="Z71" s="757"/>
    </row>
    <row r="72" ht="12.75" customHeight="1">
      <c r="A72" s="761">
        <v>70.0</v>
      </c>
      <c r="B72" s="169" t="s">
        <v>5</v>
      </c>
      <c r="C72" s="169" t="s">
        <v>10704</v>
      </c>
      <c r="D72" s="169" t="s">
        <v>454</v>
      </c>
      <c r="E72" s="169" t="s">
        <v>12636</v>
      </c>
      <c r="F72" s="169" t="s">
        <v>11844</v>
      </c>
      <c r="G72" s="169" t="s">
        <v>5</v>
      </c>
      <c r="H72" s="169" t="s">
        <v>5</v>
      </c>
      <c r="I72" s="169" t="s">
        <v>11849</v>
      </c>
      <c r="J72" s="169" t="s">
        <v>5</v>
      </c>
      <c r="K72" s="169" t="s">
        <v>5</v>
      </c>
      <c r="L72" s="169" t="s">
        <v>5</v>
      </c>
      <c r="M72" s="762">
        <v>45407.0</v>
      </c>
      <c r="N72" s="763" t="s">
        <v>9265</v>
      </c>
      <c r="O72" s="762" t="s">
        <v>5</v>
      </c>
      <c r="P72" s="169" t="s">
        <v>11802</v>
      </c>
      <c r="Q72" s="757"/>
      <c r="R72" s="757"/>
      <c r="S72" s="757"/>
      <c r="T72" s="757"/>
      <c r="U72" s="757"/>
      <c r="V72" s="757"/>
      <c r="W72" s="757"/>
      <c r="X72" s="757"/>
      <c r="Y72" s="757"/>
      <c r="Z72" s="757"/>
    </row>
    <row r="73" ht="12.75" customHeight="1">
      <c r="A73" s="761">
        <v>71.0</v>
      </c>
      <c r="B73" s="169" t="s">
        <v>5</v>
      </c>
      <c r="C73" s="169" t="s">
        <v>475</v>
      </c>
      <c r="D73" s="169" t="s">
        <v>474</v>
      </c>
      <c r="E73" s="169" t="s">
        <v>12637</v>
      </c>
      <c r="F73" s="169" t="s">
        <v>11854</v>
      </c>
      <c r="G73" s="169" t="s">
        <v>5</v>
      </c>
      <c r="H73" s="169" t="s">
        <v>5</v>
      </c>
      <c r="I73" s="169" t="s">
        <v>11849</v>
      </c>
      <c r="J73" s="169" t="s">
        <v>5</v>
      </c>
      <c r="K73" s="169" t="s">
        <v>5</v>
      </c>
      <c r="L73" s="169" t="s">
        <v>5</v>
      </c>
      <c r="M73" s="762">
        <v>45407.0</v>
      </c>
      <c r="N73" s="763" t="s">
        <v>9265</v>
      </c>
      <c r="O73" s="762" t="s">
        <v>5</v>
      </c>
      <c r="P73" s="169" t="s">
        <v>11802</v>
      </c>
      <c r="Q73" s="757"/>
      <c r="R73" s="757"/>
      <c r="S73" s="757"/>
      <c r="T73" s="757"/>
      <c r="U73" s="757"/>
      <c r="V73" s="757"/>
      <c r="W73" s="757"/>
      <c r="X73" s="757"/>
      <c r="Y73" s="757"/>
      <c r="Z73" s="757"/>
    </row>
    <row r="74" ht="12.75" customHeight="1">
      <c r="A74" s="761">
        <v>72.0</v>
      </c>
      <c r="B74" s="169" t="s">
        <v>5</v>
      </c>
      <c r="C74" s="169" t="s">
        <v>484</v>
      </c>
      <c r="D74" s="169" t="s">
        <v>474</v>
      </c>
      <c r="E74" s="169" t="s">
        <v>12638</v>
      </c>
      <c r="F74" s="169" t="s">
        <v>11854</v>
      </c>
      <c r="G74" s="169" t="s">
        <v>5</v>
      </c>
      <c r="H74" s="169" t="s">
        <v>5</v>
      </c>
      <c r="I74" s="169" t="s">
        <v>11849</v>
      </c>
      <c r="J74" s="169" t="s">
        <v>5</v>
      </c>
      <c r="K74" s="169" t="s">
        <v>5</v>
      </c>
      <c r="L74" s="169" t="s">
        <v>5</v>
      </c>
      <c r="M74" s="762">
        <v>45407.0</v>
      </c>
      <c r="N74" s="763" t="s">
        <v>9265</v>
      </c>
      <c r="O74" s="762" t="s">
        <v>5</v>
      </c>
      <c r="P74" s="169" t="s">
        <v>11802</v>
      </c>
      <c r="Q74" s="757"/>
      <c r="R74" s="757"/>
      <c r="S74" s="757"/>
      <c r="T74" s="757"/>
      <c r="U74" s="757"/>
      <c r="V74" s="757"/>
      <c r="W74" s="757"/>
      <c r="X74" s="757"/>
      <c r="Y74" s="757"/>
      <c r="Z74" s="757"/>
    </row>
    <row r="75" ht="12.75" customHeight="1">
      <c r="A75" s="761">
        <v>73.0</v>
      </c>
      <c r="B75" s="169" t="s">
        <v>5</v>
      </c>
      <c r="C75" s="169" t="s">
        <v>10614</v>
      </c>
      <c r="D75" s="169" t="s">
        <v>454</v>
      </c>
      <c r="E75" s="169" t="s">
        <v>12639</v>
      </c>
      <c r="F75" s="169" t="s">
        <v>11844</v>
      </c>
      <c r="G75" s="169" t="s">
        <v>5</v>
      </c>
      <c r="H75" s="169" t="s">
        <v>5</v>
      </c>
      <c r="I75" s="169" t="s">
        <v>11849</v>
      </c>
      <c r="J75" s="169" t="s">
        <v>5</v>
      </c>
      <c r="K75" s="169" t="s">
        <v>5</v>
      </c>
      <c r="L75" s="169" t="s">
        <v>5</v>
      </c>
      <c r="M75" s="762">
        <v>45407.0</v>
      </c>
      <c r="N75" s="763" t="s">
        <v>9265</v>
      </c>
      <c r="O75" s="762" t="s">
        <v>5</v>
      </c>
      <c r="P75" s="169" t="s">
        <v>11802</v>
      </c>
      <c r="Q75" s="757"/>
      <c r="R75" s="757"/>
      <c r="S75" s="757"/>
      <c r="T75" s="757"/>
      <c r="U75" s="757"/>
      <c r="V75" s="757"/>
      <c r="W75" s="757"/>
      <c r="X75" s="757"/>
      <c r="Y75" s="757"/>
      <c r="Z75" s="757"/>
    </row>
    <row r="76" ht="12.75" customHeight="1">
      <c r="A76" s="761">
        <v>74.0</v>
      </c>
      <c r="B76" s="169" t="s">
        <v>5</v>
      </c>
      <c r="C76" s="169" t="s">
        <v>464</v>
      </c>
      <c r="D76" s="169" t="s">
        <v>58</v>
      </c>
      <c r="E76" s="169" t="s">
        <v>12640</v>
      </c>
      <c r="F76" s="169" t="s">
        <v>11854</v>
      </c>
      <c r="G76" s="169" t="s">
        <v>5</v>
      </c>
      <c r="H76" s="169" t="s">
        <v>5</v>
      </c>
      <c r="I76" s="169" t="s">
        <v>11849</v>
      </c>
      <c r="J76" s="169" t="s">
        <v>5</v>
      </c>
      <c r="K76" s="169" t="s">
        <v>5</v>
      </c>
      <c r="L76" s="169" t="s">
        <v>5</v>
      </c>
      <c r="M76" s="762">
        <v>45407.0</v>
      </c>
      <c r="N76" s="763" t="s">
        <v>9265</v>
      </c>
      <c r="O76" s="762" t="s">
        <v>5</v>
      </c>
      <c r="P76" s="169" t="s">
        <v>11802</v>
      </c>
      <c r="Q76" s="757"/>
      <c r="R76" s="757"/>
      <c r="S76" s="757"/>
      <c r="T76" s="757"/>
      <c r="U76" s="757"/>
      <c r="V76" s="757"/>
      <c r="W76" s="757"/>
      <c r="X76" s="757"/>
      <c r="Y76" s="757"/>
      <c r="Z76" s="757"/>
    </row>
    <row r="77" ht="12.75" customHeight="1">
      <c r="A77" s="761">
        <v>75.0</v>
      </c>
      <c r="B77" s="169" t="s">
        <v>5</v>
      </c>
      <c r="C77" s="169" t="s">
        <v>455</v>
      </c>
      <c r="D77" s="169" t="s">
        <v>58</v>
      </c>
      <c r="E77" s="169" t="s">
        <v>12641</v>
      </c>
      <c r="F77" s="169" t="s">
        <v>11854</v>
      </c>
      <c r="G77" s="169" t="s">
        <v>5</v>
      </c>
      <c r="H77" s="169" t="s">
        <v>5</v>
      </c>
      <c r="I77" s="169" t="s">
        <v>11849</v>
      </c>
      <c r="J77" s="169" t="s">
        <v>5</v>
      </c>
      <c r="K77" s="169" t="s">
        <v>5</v>
      </c>
      <c r="L77" s="169" t="s">
        <v>5</v>
      </c>
      <c r="M77" s="762">
        <v>45407.0</v>
      </c>
      <c r="N77" s="763" t="s">
        <v>9265</v>
      </c>
      <c r="O77" s="762" t="s">
        <v>5</v>
      </c>
      <c r="P77" s="169" t="s">
        <v>11802</v>
      </c>
      <c r="Q77" s="757"/>
      <c r="R77" s="757"/>
      <c r="S77" s="757"/>
      <c r="T77" s="757"/>
      <c r="U77" s="757"/>
      <c r="V77" s="757"/>
      <c r="W77" s="757"/>
      <c r="X77" s="757"/>
      <c r="Y77" s="757"/>
      <c r="Z77" s="757"/>
    </row>
    <row r="78" ht="12.75" customHeight="1">
      <c r="A78" s="761">
        <v>76.0</v>
      </c>
      <c r="B78" s="169" t="s">
        <v>5</v>
      </c>
      <c r="C78" s="169" t="s">
        <v>10709</v>
      </c>
      <c r="D78" s="169" t="s">
        <v>453</v>
      </c>
      <c r="E78" s="169" t="s">
        <v>12642</v>
      </c>
      <c r="F78" s="169" t="s">
        <v>11850</v>
      </c>
      <c r="G78" s="169" t="s">
        <v>5</v>
      </c>
      <c r="H78" s="169" t="s">
        <v>5</v>
      </c>
      <c r="I78" s="169" t="s">
        <v>5</v>
      </c>
      <c r="J78" s="169" t="s">
        <v>5</v>
      </c>
      <c r="K78" s="169" t="s">
        <v>5</v>
      </c>
      <c r="L78" s="169" t="s">
        <v>5</v>
      </c>
      <c r="M78" s="762" t="s">
        <v>5</v>
      </c>
      <c r="N78" s="763" t="s">
        <v>9265</v>
      </c>
      <c r="O78" s="762" t="s">
        <v>5</v>
      </c>
      <c r="P78" s="169" t="s">
        <v>11802</v>
      </c>
      <c r="Q78" s="757"/>
      <c r="R78" s="757"/>
      <c r="S78" s="757"/>
      <c r="T78" s="757"/>
      <c r="U78" s="757"/>
      <c r="V78" s="757"/>
      <c r="W78" s="757"/>
      <c r="X78" s="757"/>
      <c r="Y78" s="757"/>
      <c r="Z78" s="757"/>
    </row>
    <row r="79" ht="12.75" customHeight="1">
      <c r="A79" s="761">
        <v>77.0</v>
      </c>
      <c r="B79" s="169" t="s">
        <v>5</v>
      </c>
      <c r="C79" s="169" t="s">
        <v>10432</v>
      </c>
      <c r="D79" s="169" t="s">
        <v>607</v>
      </c>
      <c r="E79" s="169" t="s">
        <v>12643</v>
      </c>
      <c r="F79" s="169" t="s">
        <v>11844</v>
      </c>
      <c r="G79" s="169" t="s">
        <v>5</v>
      </c>
      <c r="H79" s="169" t="s">
        <v>5</v>
      </c>
      <c r="I79" s="169" t="s">
        <v>5</v>
      </c>
      <c r="J79" s="169" t="s">
        <v>5</v>
      </c>
      <c r="K79" s="169" t="s">
        <v>5</v>
      </c>
      <c r="L79" s="169" t="s">
        <v>5</v>
      </c>
      <c r="M79" s="762" t="s">
        <v>5</v>
      </c>
      <c r="N79" s="763" t="s">
        <v>9265</v>
      </c>
      <c r="O79" s="762" t="s">
        <v>5</v>
      </c>
      <c r="P79" s="169" t="s">
        <v>11802</v>
      </c>
      <c r="Q79" s="757"/>
      <c r="R79" s="757"/>
      <c r="S79" s="757"/>
      <c r="T79" s="757"/>
      <c r="U79" s="757"/>
      <c r="V79" s="757"/>
      <c r="W79" s="757"/>
      <c r="X79" s="757"/>
      <c r="Y79" s="757"/>
      <c r="Z79" s="757"/>
    </row>
    <row r="80" ht="12.75" customHeight="1">
      <c r="A80" s="761">
        <v>78.0</v>
      </c>
      <c r="B80" s="169" t="s">
        <v>5</v>
      </c>
      <c r="C80" s="169" t="s">
        <v>3248</v>
      </c>
      <c r="D80" s="169" t="s">
        <v>3247</v>
      </c>
      <c r="E80" s="169" t="s">
        <v>12644</v>
      </c>
      <c r="F80" s="169" t="s">
        <v>11851</v>
      </c>
      <c r="G80" s="169" t="s">
        <v>5</v>
      </c>
      <c r="H80" s="169" t="s">
        <v>5</v>
      </c>
      <c r="I80" s="169" t="s">
        <v>5</v>
      </c>
      <c r="J80" s="169" t="s">
        <v>5</v>
      </c>
      <c r="K80" s="169" t="s">
        <v>5</v>
      </c>
      <c r="L80" s="169" t="s">
        <v>5</v>
      </c>
      <c r="M80" s="762" t="s">
        <v>5</v>
      </c>
      <c r="N80" s="763" t="s">
        <v>9265</v>
      </c>
      <c r="O80" s="762" t="s">
        <v>5</v>
      </c>
      <c r="P80" s="169" t="s">
        <v>11802</v>
      </c>
      <c r="Q80" s="757"/>
      <c r="R80" s="757"/>
      <c r="S80" s="757"/>
      <c r="T80" s="757"/>
      <c r="U80" s="757"/>
      <c r="V80" s="757"/>
      <c r="W80" s="757"/>
      <c r="X80" s="757"/>
      <c r="Y80" s="757"/>
      <c r="Z80" s="757"/>
    </row>
    <row r="81" ht="12.75" customHeight="1">
      <c r="A81" s="761">
        <v>79.0</v>
      </c>
      <c r="B81" s="169" t="s">
        <v>5</v>
      </c>
      <c r="C81" s="169" t="s">
        <v>3389</v>
      </c>
      <c r="D81" s="169" t="s">
        <v>3247</v>
      </c>
      <c r="E81" s="169" t="s">
        <v>12645</v>
      </c>
      <c r="F81" s="169" t="s">
        <v>11851</v>
      </c>
      <c r="G81" s="169" t="s">
        <v>5</v>
      </c>
      <c r="H81" s="169" t="s">
        <v>5</v>
      </c>
      <c r="I81" s="169" t="s">
        <v>5</v>
      </c>
      <c r="J81" s="169" t="s">
        <v>5</v>
      </c>
      <c r="K81" s="169" t="s">
        <v>5</v>
      </c>
      <c r="L81" s="169" t="s">
        <v>5</v>
      </c>
      <c r="M81" s="762" t="s">
        <v>5</v>
      </c>
      <c r="N81" s="763" t="s">
        <v>9265</v>
      </c>
      <c r="O81" s="762" t="s">
        <v>5</v>
      </c>
      <c r="P81" s="169" t="s">
        <v>11802</v>
      </c>
      <c r="Q81" s="757"/>
      <c r="R81" s="757"/>
      <c r="S81" s="757"/>
      <c r="T81" s="757"/>
      <c r="U81" s="757"/>
      <c r="V81" s="757"/>
      <c r="W81" s="757"/>
      <c r="X81" s="757"/>
      <c r="Y81" s="757"/>
      <c r="Z81" s="757"/>
    </row>
    <row r="82" ht="12.75" customHeight="1">
      <c r="A82" s="761">
        <v>80.0</v>
      </c>
      <c r="B82" s="169" t="s">
        <v>5</v>
      </c>
      <c r="C82" s="169" t="s">
        <v>10717</v>
      </c>
      <c r="D82" s="169" t="s">
        <v>607</v>
      </c>
      <c r="E82" s="169" t="s">
        <v>12646</v>
      </c>
      <c r="F82" s="169" t="s">
        <v>11844</v>
      </c>
      <c r="G82" s="169" t="s">
        <v>5</v>
      </c>
      <c r="H82" s="169" t="s">
        <v>5</v>
      </c>
      <c r="I82" s="169" t="s">
        <v>5</v>
      </c>
      <c r="J82" s="169" t="s">
        <v>5</v>
      </c>
      <c r="K82" s="169" t="s">
        <v>5</v>
      </c>
      <c r="L82" s="169" t="s">
        <v>5</v>
      </c>
      <c r="M82" s="762" t="s">
        <v>5</v>
      </c>
      <c r="N82" s="763" t="s">
        <v>9265</v>
      </c>
      <c r="O82" s="762" t="s">
        <v>5</v>
      </c>
      <c r="P82" s="169" t="s">
        <v>11802</v>
      </c>
      <c r="Q82" s="757"/>
      <c r="R82" s="757"/>
      <c r="S82" s="757"/>
      <c r="T82" s="757"/>
      <c r="U82" s="757"/>
      <c r="V82" s="757"/>
      <c r="W82" s="757"/>
      <c r="X82" s="757"/>
      <c r="Y82" s="757"/>
      <c r="Z82" s="757"/>
    </row>
    <row r="83" ht="12.75" customHeight="1">
      <c r="A83" s="761">
        <v>81.0</v>
      </c>
      <c r="B83" s="169" t="s">
        <v>5</v>
      </c>
      <c r="C83" s="169" t="s">
        <v>5010</v>
      </c>
      <c r="D83" s="169" t="s">
        <v>5009</v>
      </c>
      <c r="E83" s="169" t="s">
        <v>12647</v>
      </c>
      <c r="F83" s="169" t="s">
        <v>11851</v>
      </c>
      <c r="G83" s="169" t="s">
        <v>5</v>
      </c>
      <c r="H83" s="169" t="s">
        <v>5</v>
      </c>
      <c r="I83" s="169" t="s">
        <v>5</v>
      </c>
      <c r="J83" s="169" t="s">
        <v>5</v>
      </c>
      <c r="K83" s="169" t="s">
        <v>5</v>
      </c>
      <c r="L83" s="169" t="s">
        <v>5</v>
      </c>
      <c r="M83" s="762" t="s">
        <v>5</v>
      </c>
      <c r="N83" s="763" t="s">
        <v>9265</v>
      </c>
      <c r="O83" s="762" t="s">
        <v>5</v>
      </c>
      <c r="P83" s="169" t="s">
        <v>11802</v>
      </c>
      <c r="Q83" s="757"/>
      <c r="R83" s="757"/>
      <c r="S83" s="757"/>
      <c r="T83" s="757"/>
      <c r="U83" s="757"/>
      <c r="V83" s="757"/>
      <c r="W83" s="757"/>
      <c r="X83" s="757"/>
      <c r="Y83" s="757"/>
      <c r="Z83" s="757"/>
    </row>
    <row r="84" ht="12.75" customHeight="1">
      <c r="A84" s="761">
        <v>82.0</v>
      </c>
      <c r="B84" s="169" t="s">
        <v>5</v>
      </c>
      <c r="C84" s="169" t="s">
        <v>10048</v>
      </c>
      <c r="D84" s="169" t="s">
        <v>5009</v>
      </c>
      <c r="E84" s="169" t="s">
        <v>12648</v>
      </c>
      <c r="F84" s="169" t="s">
        <v>11851</v>
      </c>
      <c r="G84" s="169" t="s">
        <v>5</v>
      </c>
      <c r="H84" s="169" t="s">
        <v>5</v>
      </c>
      <c r="I84" s="169" t="s">
        <v>5</v>
      </c>
      <c r="J84" s="169" t="s">
        <v>5</v>
      </c>
      <c r="K84" s="169" t="s">
        <v>5</v>
      </c>
      <c r="L84" s="169" t="s">
        <v>5</v>
      </c>
      <c r="M84" s="762" t="s">
        <v>5</v>
      </c>
      <c r="N84" s="763" t="s">
        <v>9265</v>
      </c>
      <c r="O84" s="762" t="s">
        <v>5</v>
      </c>
      <c r="P84" s="169" t="s">
        <v>11802</v>
      </c>
      <c r="Q84" s="757"/>
      <c r="R84" s="757"/>
      <c r="S84" s="757"/>
      <c r="T84" s="757"/>
      <c r="U84" s="757"/>
      <c r="V84" s="757"/>
      <c r="W84" s="757"/>
      <c r="X84" s="757"/>
      <c r="Y84" s="757"/>
      <c r="Z84" s="757"/>
    </row>
    <row r="85" ht="12.75" customHeight="1">
      <c r="A85" s="761">
        <v>83.0</v>
      </c>
      <c r="B85" s="169" t="s">
        <v>5</v>
      </c>
      <c r="C85" s="169" t="s">
        <v>5429</v>
      </c>
      <c r="D85" s="169" t="s">
        <v>607</v>
      </c>
      <c r="E85" s="169" t="s">
        <v>12649</v>
      </c>
      <c r="F85" s="169" t="s">
        <v>11844</v>
      </c>
      <c r="G85" s="169" t="s">
        <v>5</v>
      </c>
      <c r="H85" s="169" t="s">
        <v>5</v>
      </c>
      <c r="I85" s="169" t="s">
        <v>5</v>
      </c>
      <c r="J85" s="169" t="s">
        <v>5</v>
      </c>
      <c r="K85" s="169" t="s">
        <v>5</v>
      </c>
      <c r="L85" s="169" t="s">
        <v>5</v>
      </c>
      <c r="M85" s="762" t="s">
        <v>5</v>
      </c>
      <c r="N85" s="763" t="s">
        <v>9265</v>
      </c>
      <c r="O85" s="762" t="s">
        <v>5</v>
      </c>
      <c r="P85" s="169" t="s">
        <v>11802</v>
      </c>
      <c r="Q85" s="757"/>
      <c r="R85" s="757"/>
      <c r="S85" s="757"/>
      <c r="T85" s="757"/>
      <c r="U85" s="757"/>
      <c r="V85" s="757"/>
      <c r="W85" s="757"/>
      <c r="X85" s="757"/>
      <c r="Y85" s="757"/>
      <c r="Z85" s="757"/>
    </row>
    <row r="86" ht="12.75" customHeight="1">
      <c r="A86" s="761">
        <v>84.0</v>
      </c>
      <c r="B86" s="169" t="s">
        <v>5</v>
      </c>
      <c r="C86" s="169" t="s">
        <v>4381</v>
      </c>
      <c r="D86" s="169" t="s">
        <v>4380</v>
      </c>
      <c r="E86" s="169" t="s">
        <v>12650</v>
      </c>
      <c r="F86" s="169" t="s">
        <v>11851</v>
      </c>
      <c r="G86" s="169" t="s">
        <v>5</v>
      </c>
      <c r="H86" s="169" t="s">
        <v>5</v>
      </c>
      <c r="I86" s="169" t="s">
        <v>5</v>
      </c>
      <c r="J86" s="169" t="s">
        <v>5</v>
      </c>
      <c r="K86" s="169" t="s">
        <v>5</v>
      </c>
      <c r="L86" s="169" t="s">
        <v>5</v>
      </c>
      <c r="M86" s="762" t="s">
        <v>5</v>
      </c>
      <c r="N86" s="763" t="s">
        <v>9265</v>
      </c>
      <c r="O86" s="762" t="s">
        <v>5</v>
      </c>
      <c r="P86" s="169" t="s">
        <v>11802</v>
      </c>
      <c r="Q86" s="757"/>
      <c r="R86" s="757"/>
      <c r="S86" s="757"/>
      <c r="T86" s="757"/>
      <c r="U86" s="757"/>
      <c r="V86" s="757"/>
      <c r="W86" s="757"/>
      <c r="X86" s="757"/>
      <c r="Y86" s="757"/>
      <c r="Z86" s="757"/>
    </row>
    <row r="87" ht="12.75" customHeight="1">
      <c r="A87" s="761">
        <v>85.0</v>
      </c>
      <c r="B87" s="169" t="s">
        <v>5</v>
      </c>
      <c r="C87" s="169" t="s">
        <v>5621</v>
      </c>
      <c r="D87" s="169" t="s">
        <v>4380</v>
      </c>
      <c r="E87" s="169" t="s">
        <v>12651</v>
      </c>
      <c r="F87" s="169" t="s">
        <v>11851</v>
      </c>
      <c r="G87" s="169" t="s">
        <v>5</v>
      </c>
      <c r="H87" s="169" t="s">
        <v>5</v>
      </c>
      <c r="I87" s="169" t="s">
        <v>5</v>
      </c>
      <c r="J87" s="169" t="s">
        <v>5</v>
      </c>
      <c r="K87" s="169" t="s">
        <v>5</v>
      </c>
      <c r="L87" s="169" t="s">
        <v>5</v>
      </c>
      <c r="M87" s="762" t="s">
        <v>5</v>
      </c>
      <c r="N87" s="763" t="s">
        <v>9265</v>
      </c>
      <c r="O87" s="762" t="s">
        <v>5</v>
      </c>
      <c r="P87" s="169" t="s">
        <v>11802</v>
      </c>
      <c r="Q87" s="757"/>
      <c r="R87" s="757"/>
      <c r="S87" s="757"/>
      <c r="T87" s="757"/>
      <c r="U87" s="757"/>
      <c r="V87" s="757"/>
      <c r="W87" s="757"/>
      <c r="X87" s="757"/>
      <c r="Y87" s="757"/>
      <c r="Z87" s="757"/>
    </row>
    <row r="88" ht="12.75" customHeight="1">
      <c r="A88" s="761">
        <v>86.0</v>
      </c>
      <c r="B88" s="169" t="s">
        <v>5</v>
      </c>
      <c r="C88" s="169" t="s">
        <v>10752</v>
      </c>
      <c r="D88" s="169" t="s">
        <v>607</v>
      </c>
      <c r="E88" s="169" t="s">
        <v>12652</v>
      </c>
      <c r="F88" s="169" t="s">
        <v>11844</v>
      </c>
      <c r="G88" s="169" t="s">
        <v>5</v>
      </c>
      <c r="H88" s="169" t="s">
        <v>5</v>
      </c>
      <c r="I88" s="169" t="s">
        <v>5</v>
      </c>
      <c r="J88" s="169" t="s">
        <v>5</v>
      </c>
      <c r="K88" s="169" t="s">
        <v>5</v>
      </c>
      <c r="L88" s="169" t="s">
        <v>5</v>
      </c>
      <c r="M88" s="762" t="s">
        <v>5</v>
      </c>
      <c r="N88" s="763" t="s">
        <v>9265</v>
      </c>
      <c r="O88" s="762" t="s">
        <v>5</v>
      </c>
      <c r="P88" s="169" t="s">
        <v>11802</v>
      </c>
      <c r="Q88" s="757"/>
      <c r="R88" s="757"/>
      <c r="S88" s="757"/>
      <c r="T88" s="757"/>
      <c r="U88" s="757"/>
      <c r="V88" s="757"/>
      <c r="W88" s="757"/>
      <c r="X88" s="757"/>
      <c r="Y88" s="757"/>
      <c r="Z88" s="757"/>
    </row>
    <row r="89" ht="12.75" customHeight="1">
      <c r="A89" s="761">
        <v>87.0</v>
      </c>
      <c r="B89" s="169" t="s">
        <v>5</v>
      </c>
      <c r="C89" s="169" t="s">
        <v>3426</v>
      </c>
      <c r="D89" s="169" t="s">
        <v>608</v>
      </c>
      <c r="E89" s="169" t="s">
        <v>12653</v>
      </c>
      <c r="F89" s="169" t="s">
        <v>11851</v>
      </c>
      <c r="G89" s="169" t="s">
        <v>5</v>
      </c>
      <c r="H89" s="169" t="s">
        <v>5</v>
      </c>
      <c r="I89" s="169" t="s">
        <v>5</v>
      </c>
      <c r="J89" s="169" t="s">
        <v>5</v>
      </c>
      <c r="K89" s="169" t="s">
        <v>5</v>
      </c>
      <c r="L89" s="169" t="s">
        <v>5</v>
      </c>
      <c r="M89" s="762" t="s">
        <v>5</v>
      </c>
      <c r="N89" s="763" t="s">
        <v>9265</v>
      </c>
      <c r="O89" s="762" t="s">
        <v>5</v>
      </c>
      <c r="P89" s="169" t="s">
        <v>11802</v>
      </c>
      <c r="Q89" s="757"/>
      <c r="R89" s="757"/>
      <c r="S89" s="757"/>
      <c r="T89" s="757"/>
      <c r="U89" s="757"/>
      <c r="V89" s="757"/>
      <c r="W89" s="757"/>
      <c r="X89" s="757"/>
      <c r="Y89" s="757"/>
      <c r="Z89" s="757"/>
    </row>
    <row r="90" ht="12.75" customHeight="1">
      <c r="A90" s="761">
        <v>88.0</v>
      </c>
      <c r="B90" s="169" t="s">
        <v>5</v>
      </c>
      <c r="C90" s="169" t="s">
        <v>609</v>
      </c>
      <c r="D90" s="169" t="s">
        <v>608</v>
      </c>
      <c r="E90" s="169" t="s">
        <v>12654</v>
      </c>
      <c r="F90" s="169" t="s">
        <v>11851</v>
      </c>
      <c r="G90" s="169" t="s">
        <v>5</v>
      </c>
      <c r="H90" s="169" t="s">
        <v>5</v>
      </c>
      <c r="I90" s="169" t="s">
        <v>5</v>
      </c>
      <c r="J90" s="169" t="s">
        <v>5</v>
      </c>
      <c r="K90" s="169" t="s">
        <v>5</v>
      </c>
      <c r="L90" s="169" t="s">
        <v>5</v>
      </c>
      <c r="M90" s="762" t="s">
        <v>5</v>
      </c>
      <c r="N90" s="763" t="s">
        <v>9265</v>
      </c>
      <c r="O90" s="762" t="s">
        <v>5</v>
      </c>
      <c r="P90" s="169" t="s">
        <v>11802</v>
      </c>
      <c r="Q90" s="757"/>
      <c r="R90" s="757"/>
      <c r="S90" s="757"/>
      <c r="T90" s="757"/>
      <c r="U90" s="757"/>
      <c r="V90" s="757"/>
      <c r="W90" s="757"/>
      <c r="X90" s="757"/>
      <c r="Y90" s="757"/>
      <c r="Z90" s="757"/>
    </row>
    <row r="91" ht="12.75" customHeight="1">
      <c r="A91" s="761">
        <v>89.0</v>
      </c>
      <c r="B91" s="169" t="s">
        <v>5</v>
      </c>
      <c r="C91" s="169" t="s">
        <v>10744</v>
      </c>
      <c r="D91" s="169" t="s">
        <v>607</v>
      </c>
      <c r="E91" s="169" t="s">
        <v>12655</v>
      </c>
      <c r="F91" s="169" t="s">
        <v>11844</v>
      </c>
      <c r="G91" s="169" t="s">
        <v>5</v>
      </c>
      <c r="H91" s="169" t="s">
        <v>5</v>
      </c>
      <c r="I91" s="169" t="s">
        <v>5</v>
      </c>
      <c r="J91" s="169" t="s">
        <v>5</v>
      </c>
      <c r="K91" s="169" t="s">
        <v>5</v>
      </c>
      <c r="L91" s="169" t="s">
        <v>5</v>
      </c>
      <c r="M91" s="762" t="s">
        <v>5</v>
      </c>
      <c r="N91" s="763" t="s">
        <v>9265</v>
      </c>
      <c r="O91" s="762" t="s">
        <v>5</v>
      </c>
      <c r="P91" s="169" t="s">
        <v>11802</v>
      </c>
      <c r="Q91" s="757"/>
      <c r="R91" s="757"/>
      <c r="S91" s="757"/>
      <c r="T91" s="757"/>
      <c r="U91" s="757"/>
      <c r="V91" s="757"/>
      <c r="W91" s="757"/>
      <c r="X91" s="757"/>
      <c r="Y91" s="757"/>
      <c r="Z91" s="757"/>
    </row>
    <row r="92" ht="12.75" customHeight="1">
      <c r="A92" s="761">
        <v>90.0</v>
      </c>
      <c r="B92" s="169" t="s">
        <v>5</v>
      </c>
      <c r="C92" s="169" t="s">
        <v>11862</v>
      </c>
      <c r="D92" s="169" t="s">
        <v>4856</v>
      </c>
      <c r="E92" s="169" t="s">
        <v>12656</v>
      </c>
      <c r="F92" s="169" t="s">
        <v>11851</v>
      </c>
      <c r="G92" s="169" t="s">
        <v>5</v>
      </c>
      <c r="H92" s="169" t="s">
        <v>5</v>
      </c>
      <c r="I92" s="169" t="s">
        <v>5</v>
      </c>
      <c r="J92" s="169" t="s">
        <v>5</v>
      </c>
      <c r="K92" s="169" t="s">
        <v>5</v>
      </c>
      <c r="L92" s="169" t="s">
        <v>5</v>
      </c>
      <c r="M92" s="762" t="s">
        <v>5</v>
      </c>
      <c r="N92" s="763" t="s">
        <v>9265</v>
      </c>
      <c r="O92" s="762" t="s">
        <v>5</v>
      </c>
      <c r="P92" s="169" t="s">
        <v>11802</v>
      </c>
      <c r="Q92" s="757"/>
      <c r="R92" s="757"/>
      <c r="S92" s="757"/>
      <c r="T92" s="757"/>
      <c r="U92" s="757"/>
      <c r="V92" s="757"/>
      <c r="W92" s="757"/>
      <c r="X92" s="757"/>
      <c r="Y92" s="757"/>
      <c r="Z92" s="757"/>
    </row>
    <row r="93" ht="12.75" customHeight="1">
      <c r="A93" s="761">
        <v>91.0</v>
      </c>
      <c r="B93" s="169" t="s">
        <v>5</v>
      </c>
      <c r="C93" s="169" t="s">
        <v>4857</v>
      </c>
      <c r="D93" s="169" t="s">
        <v>4856</v>
      </c>
      <c r="E93" s="169" t="s">
        <v>12657</v>
      </c>
      <c r="F93" s="169" t="s">
        <v>11851</v>
      </c>
      <c r="G93" s="169" t="s">
        <v>5</v>
      </c>
      <c r="H93" s="169" t="s">
        <v>5</v>
      </c>
      <c r="I93" s="169" t="s">
        <v>5</v>
      </c>
      <c r="J93" s="169" t="s">
        <v>5</v>
      </c>
      <c r="K93" s="169" t="s">
        <v>5</v>
      </c>
      <c r="L93" s="169" t="s">
        <v>5</v>
      </c>
      <c r="M93" s="762" t="s">
        <v>5</v>
      </c>
      <c r="N93" s="763" t="s">
        <v>9265</v>
      </c>
      <c r="O93" s="762" t="s">
        <v>5</v>
      </c>
      <c r="P93" s="169" t="s">
        <v>11802</v>
      </c>
      <c r="Q93" s="757"/>
      <c r="R93" s="757"/>
      <c r="S93" s="757"/>
      <c r="T93" s="757"/>
      <c r="U93" s="757"/>
      <c r="V93" s="757"/>
      <c r="W93" s="757"/>
      <c r="X93" s="757"/>
      <c r="Y93" s="757"/>
      <c r="Z93" s="757"/>
    </row>
    <row r="94" ht="12.75" customHeight="1">
      <c r="A94" s="761">
        <v>92.0</v>
      </c>
      <c r="B94" s="169" t="s">
        <v>5</v>
      </c>
      <c r="C94" s="169" t="s">
        <v>10739</v>
      </c>
      <c r="D94" s="169" t="s">
        <v>607</v>
      </c>
      <c r="E94" s="169" t="s">
        <v>12658</v>
      </c>
      <c r="F94" s="169" t="s">
        <v>11844</v>
      </c>
      <c r="G94" s="169" t="s">
        <v>5</v>
      </c>
      <c r="H94" s="169" t="s">
        <v>5</v>
      </c>
      <c r="I94" s="169" t="s">
        <v>5</v>
      </c>
      <c r="J94" s="169" t="s">
        <v>5</v>
      </c>
      <c r="K94" s="169" t="s">
        <v>5</v>
      </c>
      <c r="L94" s="169" t="s">
        <v>5</v>
      </c>
      <c r="M94" s="762" t="s">
        <v>5</v>
      </c>
      <c r="N94" s="763" t="s">
        <v>9265</v>
      </c>
      <c r="O94" s="762" t="s">
        <v>5</v>
      </c>
      <c r="P94" s="169" t="s">
        <v>11802</v>
      </c>
      <c r="Q94" s="757"/>
      <c r="R94" s="757"/>
      <c r="S94" s="757"/>
      <c r="T94" s="757"/>
      <c r="U94" s="757"/>
      <c r="V94" s="757"/>
      <c r="W94" s="757"/>
      <c r="X94" s="757"/>
      <c r="Y94" s="757"/>
      <c r="Z94" s="757"/>
    </row>
    <row r="95" ht="12.75" customHeight="1">
      <c r="A95" s="761">
        <v>93.0</v>
      </c>
      <c r="B95" s="169" t="s">
        <v>5</v>
      </c>
      <c r="C95" s="169" t="s">
        <v>5627</v>
      </c>
      <c r="D95" s="169" t="s">
        <v>5626</v>
      </c>
      <c r="E95" s="169" t="s">
        <v>12659</v>
      </c>
      <c r="F95" s="169" t="s">
        <v>11851</v>
      </c>
      <c r="G95" s="169" t="s">
        <v>5</v>
      </c>
      <c r="H95" s="169" t="s">
        <v>5</v>
      </c>
      <c r="I95" s="169" t="s">
        <v>5</v>
      </c>
      <c r="J95" s="169" t="s">
        <v>5</v>
      </c>
      <c r="K95" s="169" t="s">
        <v>5</v>
      </c>
      <c r="L95" s="169" t="s">
        <v>5</v>
      </c>
      <c r="M95" s="762" t="s">
        <v>5</v>
      </c>
      <c r="N95" s="763" t="s">
        <v>9265</v>
      </c>
      <c r="O95" s="762" t="s">
        <v>5</v>
      </c>
      <c r="P95" s="169" t="s">
        <v>11802</v>
      </c>
      <c r="Q95" s="757"/>
      <c r="R95" s="757"/>
      <c r="S95" s="757"/>
      <c r="T95" s="757"/>
      <c r="U95" s="757"/>
      <c r="V95" s="757"/>
      <c r="W95" s="757"/>
      <c r="X95" s="757"/>
      <c r="Y95" s="757"/>
      <c r="Z95" s="757"/>
    </row>
    <row r="96" ht="12.75" customHeight="1">
      <c r="A96" s="761">
        <v>94.0</v>
      </c>
      <c r="B96" s="169" t="s">
        <v>5</v>
      </c>
      <c r="C96" s="169" t="s">
        <v>11864</v>
      </c>
      <c r="D96" s="169" t="s">
        <v>5626</v>
      </c>
      <c r="E96" s="169" t="s">
        <v>12660</v>
      </c>
      <c r="F96" s="169" t="s">
        <v>11851</v>
      </c>
      <c r="G96" s="169" t="s">
        <v>5</v>
      </c>
      <c r="H96" s="169" t="s">
        <v>5</v>
      </c>
      <c r="I96" s="169" t="s">
        <v>5</v>
      </c>
      <c r="J96" s="169" t="s">
        <v>5</v>
      </c>
      <c r="K96" s="169" t="s">
        <v>5</v>
      </c>
      <c r="L96" s="169" t="s">
        <v>5</v>
      </c>
      <c r="M96" s="762" t="s">
        <v>5</v>
      </c>
      <c r="N96" s="763" t="s">
        <v>9265</v>
      </c>
      <c r="O96" s="762" t="s">
        <v>5</v>
      </c>
      <c r="P96" s="169" t="s">
        <v>11802</v>
      </c>
      <c r="Q96" s="757"/>
      <c r="R96" s="757"/>
      <c r="S96" s="757"/>
      <c r="T96" s="757"/>
      <c r="U96" s="757"/>
      <c r="V96" s="757"/>
      <c r="W96" s="757"/>
      <c r="X96" s="757"/>
      <c r="Y96" s="757"/>
      <c r="Z96" s="757"/>
    </row>
    <row r="97" ht="12.75" customHeight="1">
      <c r="A97" s="761">
        <v>95.0</v>
      </c>
      <c r="B97" s="169" t="s">
        <v>5</v>
      </c>
      <c r="C97" s="169" t="s">
        <v>6094</v>
      </c>
      <c r="D97" s="169" t="s">
        <v>5626</v>
      </c>
      <c r="E97" s="169" t="s">
        <v>12661</v>
      </c>
      <c r="F97" s="169" t="s">
        <v>11851</v>
      </c>
      <c r="G97" s="169" t="s">
        <v>5</v>
      </c>
      <c r="H97" s="169" t="s">
        <v>5</v>
      </c>
      <c r="I97" s="169" t="s">
        <v>5</v>
      </c>
      <c r="J97" s="169" t="s">
        <v>5</v>
      </c>
      <c r="K97" s="169" t="s">
        <v>5</v>
      </c>
      <c r="L97" s="169" t="s">
        <v>5</v>
      </c>
      <c r="M97" s="762" t="s">
        <v>5</v>
      </c>
      <c r="N97" s="763" t="s">
        <v>9265</v>
      </c>
      <c r="O97" s="762" t="s">
        <v>5</v>
      </c>
      <c r="P97" s="169" t="s">
        <v>11802</v>
      </c>
      <c r="Q97" s="757"/>
      <c r="R97" s="757"/>
      <c r="S97" s="757"/>
      <c r="T97" s="757"/>
      <c r="U97" s="757"/>
      <c r="V97" s="757"/>
      <c r="W97" s="757"/>
      <c r="X97" s="757"/>
      <c r="Y97" s="757"/>
      <c r="Z97" s="757"/>
    </row>
    <row r="98" ht="12.75" customHeight="1">
      <c r="A98" s="761">
        <v>96.0</v>
      </c>
      <c r="B98" s="169" t="s">
        <v>5</v>
      </c>
      <c r="C98" s="169" t="s">
        <v>10712</v>
      </c>
      <c r="D98" s="169" t="s">
        <v>607</v>
      </c>
      <c r="E98" s="169" t="s">
        <v>12662</v>
      </c>
      <c r="F98" s="169" t="s">
        <v>11844</v>
      </c>
      <c r="G98" s="169" t="s">
        <v>5</v>
      </c>
      <c r="H98" s="169" t="s">
        <v>5</v>
      </c>
      <c r="I98" s="169" t="s">
        <v>5</v>
      </c>
      <c r="J98" s="169" t="s">
        <v>5</v>
      </c>
      <c r="K98" s="169" t="s">
        <v>5</v>
      </c>
      <c r="L98" s="169" t="s">
        <v>5</v>
      </c>
      <c r="M98" s="762" t="s">
        <v>5</v>
      </c>
      <c r="N98" s="763" t="s">
        <v>9265</v>
      </c>
      <c r="O98" s="762" t="s">
        <v>5</v>
      </c>
      <c r="P98" s="169" t="s">
        <v>11802</v>
      </c>
      <c r="Q98" s="757"/>
      <c r="R98" s="757"/>
      <c r="S98" s="757"/>
      <c r="T98" s="757"/>
      <c r="U98" s="757"/>
      <c r="V98" s="757"/>
      <c r="W98" s="757"/>
      <c r="X98" s="757"/>
      <c r="Y98" s="757"/>
      <c r="Z98" s="757"/>
    </row>
    <row r="99" ht="12.75" customHeight="1">
      <c r="A99" s="761">
        <v>97.0</v>
      </c>
      <c r="B99" s="169" t="s">
        <v>5</v>
      </c>
      <c r="C99" s="169" t="s">
        <v>4416</v>
      </c>
      <c r="D99" s="169" t="s">
        <v>4415</v>
      </c>
      <c r="E99" s="169" t="s">
        <v>12663</v>
      </c>
      <c r="F99" s="169" t="s">
        <v>11851</v>
      </c>
      <c r="G99" s="169" t="s">
        <v>5</v>
      </c>
      <c r="H99" s="169" t="s">
        <v>5</v>
      </c>
      <c r="I99" s="169" t="s">
        <v>5</v>
      </c>
      <c r="J99" s="169" t="s">
        <v>5</v>
      </c>
      <c r="K99" s="169" t="s">
        <v>5</v>
      </c>
      <c r="L99" s="169" t="s">
        <v>5</v>
      </c>
      <c r="M99" s="762" t="s">
        <v>5</v>
      </c>
      <c r="N99" s="763" t="s">
        <v>9265</v>
      </c>
      <c r="O99" s="762" t="s">
        <v>5</v>
      </c>
      <c r="P99" s="169" t="s">
        <v>11802</v>
      </c>
      <c r="Q99" s="757"/>
      <c r="R99" s="757"/>
      <c r="S99" s="757"/>
      <c r="T99" s="757"/>
      <c r="U99" s="757"/>
      <c r="V99" s="757"/>
      <c r="W99" s="757"/>
      <c r="X99" s="757"/>
      <c r="Y99" s="757"/>
      <c r="Z99" s="757"/>
    </row>
    <row r="100" ht="12.75" customHeight="1">
      <c r="A100" s="761">
        <v>98.0</v>
      </c>
      <c r="B100" s="169" t="s">
        <v>5</v>
      </c>
      <c r="C100" s="169" t="s">
        <v>6182</v>
      </c>
      <c r="D100" s="169" t="s">
        <v>4415</v>
      </c>
      <c r="E100" s="169" t="s">
        <v>12664</v>
      </c>
      <c r="F100" s="169" t="s">
        <v>11851</v>
      </c>
      <c r="G100" s="169" t="s">
        <v>5</v>
      </c>
      <c r="H100" s="169" t="s">
        <v>5</v>
      </c>
      <c r="I100" s="169" t="s">
        <v>5</v>
      </c>
      <c r="J100" s="169" t="s">
        <v>5</v>
      </c>
      <c r="K100" s="169" t="s">
        <v>5</v>
      </c>
      <c r="L100" s="169" t="s">
        <v>5</v>
      </c>
      <c r="M100" s="762" t="s">
        <v>5</v>
      </c>
      <c r="N100" s="763" t="s">
        <v>9265</v>
      </c>
      <c r="O100" s="762" t="s">
        <v>5</v>
      </c>
      <c r="P100" s="169" t="s">
        <v>11802</v>
      </c>
      <c r="Q100" s="757"/>
      <c r="R100" s="757"/>
      <c r="S100" s="757"/>
      <c r="T100" s="757"/>
      <c r="U100" s="757"/>
      <c r="V100" s="757"/>
      <c r="W100" s="757"/>
      <c r="X100" s="757"/>
      <c r="Y100" s="757"/>
      <c r="Z100" s="757"/>
    </row>
    <row r="101" ht="12.75" customHeight="1">
      <c r="A101" s="761">
        <v>99.0</v>
      </c>
      <c r="B101" s="169" t="s">
        <v>5</v>
      </c>
      <c r="C101" s="169" t="s">
        <v>10731</v>
      </c>
      <c r="D101" s="169" t="s">
        <v>607</v>
      </c>
      <c r="E101" s="169" t="s">
        <v>12665</v>
      </c>
      <c r="F101" s="169" t="s">
        <v>11844</v>
      </c>
      <c r="G101" s="169" t="s">
        <v>5</v>
      </c>
      <c r="H101" s="169" t="s">
        <v>5</v>
      </c>
      <c r="I101" s="169" t="s">
        <v>5</v>
      </c>
      <c r="J101" s="169" t="s">
        <v>5</v>
      </c>
      <c r="K101" s="169" t="s">
        <v>5</v>
      </c>
      <c r="L101" s="169" t="s">
        <v>5</v>
      </c>
      <c r="M101" s="762" t="s">
        <v>5</v>
      </c>
      <c r="N101" s="763" t="s">
        <v>9265</v>
      </c>
      <c r="O101" s="762" t="s">
        <v>5</v>
      </c>
      <c r="P101" s="169" t="s">
        <v>11802</v>
      </c>
      <c r="Q101" s="757"/>
      <c r="R101" s="757"/>
      <c r="S101" s="757"/>
      <c r="T101" s="757"/>
      <c r="U101" s="757"/>
      <c r="V101" s="757"/>
      <c r="W101" s="757"/>
      <c r="X101" s="757"/>
      <c r="Y101" s="757"/>
      <c r="Z101" s="757"/>
    </row>
    <row r="102" ht="12.75" customHeight="1">
      <c r="A102" s="761">
        <v>100.0</v>
      </c>
      <c r="B102" s="169" t="s">
        <v>5</v>
      </c>
      <c r="C102" s="169" t="s">
        <v>4928</v>
      </c>
      <c r="D102" s="169" t="s">
        <v>4927</v>
      </c>
      <c r="E102" s="169" t="s">
        <v>12666</v>
      </c>
      <c r="F102" s="169" t="s">
        <v>11851</v>
      </c>
      <c r="G102" s="169" t="s">
        <v>5</v>
      </c>
      <c r="H102" s="169" t="s">
        <v>5</v>
      </c>
      <c r="I102" s="169" t="s">
        <v>5</v>
      </c>
      <c r="J102" s="169" t="s">
        <v>5</v>
      </c>
      <c r="K102" s="169" t="s">
        <v>5</v>
      </c>
      <c r="L102" s="169" t="s">
        <v>5</v>
      </c>
      <c r="M102" s="762" t="s">
        <v>5</v>
      </c>
      <c r="N102" s="763" t="s">
        <v>9265</v>
      </c>
      <c r="O102" s="762" t="s">
        <v>5</v>
      </c>
      <c r="P102" s="169" t="s">
        <v>11802</v>
      </c>
      <c r="Q102" s="757"/>
      <c r="R102" s="757"/>
      <c r="S102" s="757"/>
      <c r="T102" s="757"/>
      <c r="U102" s="757"/>
      <c r="V102" s="757"/>
      <c r="W102" s="757"/>
      <c r="X102" s="757"/>
      <c r="Y102" s="757"/>
      <c r="Z102" s="757"/>
    </row>
    <row r="103" ht="12.75" customHeight="1">
      <c r="A103" s="761">
        <v>101.0</v>
      </c>
      <c r="B103" s="169" t="s">
        <v>5</v>
      </c>
      <c r="C103" s="169" t="s">
        <v>11866</v>
      </c>
      <c r="D103" s="169" t="s">
        <v>4927</v>
      </c>
      <c r="E103" s="169" t="s">
        <v>12667</v>
      </c>
      <c r="F103" s="169" t="s">
        <v>11851</v>
      </c>
      <c r="G103" s="169" t="s">
        <v>5</v>
      </c>
      <c r="H103" s="169" t="s">
        <v>5</v>
      </c>
      <c r="I103" s="169" t="s">
        <v>5</v>
      </c>
      <c r="J103" s="169" t="s">
        <v>5</v>
      </c>
      <c r="K103" s="169" t="s">
        <v>5</v>
      </c>
      <c r="L103" s="169" t="s">
        <v>5</v>
      </c>
      <c r="M103" s="762" t="s">
        <v>5</v>
      </c>
      <c r="N103" s="763" t="s">
        <v>9265</v>
      </c>
      <c r="O103" s="762" t="s">
        <v>5</v>
      </c>
      <c r="P103" s="169" t="s">
        <v>11802</v>
      </c>
      <c r="Q103" s="757"/>
      <c r="R103" s="757"/>
      <c r="S103" s="757"/>
      <c r="T103" s="757"/>
      <c r="U103" s="757"/>
      <c r="V103" s="757"/>
      <c r="W103" s="757"/>
      <c r="X103" s="757"/>
      <c r="Y103" s="757"/>
      <c r="Z103" s="757"/>
    </row>
    <row r="104" ht="12.75" customHeight="1">
      <c r="A104" s="761">
        <v>102.0</v>
      </c>
      <c r="B104" s="169" t="s">
        <v>5</v>
      </c>
      <c r="C104" s="169" t="s">
        <v>10726</v>
      </c>
      <c r="D104" s="169" t="s">
        <v>607</v>
      </c>
      <c r="E104" s="169" t="s">
        <v>12668</v>
      </c>
      <c r="F104" s="169" t="s">
        <v>11844</v>
      </c>
      <c r="G104" s="169" t="s">
        <v>5</v>
      </c>
      <c r="H104" s="169" t="s">
        <v>5</v>
      </c>
      <c r="I104" s="169" t="s">
        <v>5</v>
      </c>
      <c r="J104" s="169" t="s">
        <v>5</v>
      </c>
      <c r="K104" s="169" t="s">
        <v>5</v>
      </c>
      <c r="L104" s="169" t="s">
        <v>5</v>
      </c>
      <c r="M104" s="762" t="s">
        <v>5</v>
      </c>
      <c r="N104" s="763" t="s">
        <v>9265</v>
      </c>
      <c r="O104" s="762" t="s">
        <v>5</v>
      </c>
      <c r="P104" s="169" t="s">
        <v>11802</v>
      </c>
      <c r="Q104" s="757"/>
      <c r="R104" s="757"/>
      <c r="S104" s="757"/>
      <c r="T104" s="757"/>
      <c r="U104" s="757"/>
      <c r="V104" s="757"/>
      <c r="W104" s="757"/>
      <c r="X104" s="757"/>
      <c r="Y104" s="757"/>
      <c r="Z104" s="757"/>
    </row>
    <row r="105" ht="12.75" customHeight="1">
      <c r="A105" s="761">
        <v>103.0</v>
      </c>
      <c r="B105" s="169" t="s">
        <v>5</v>
      </c>
      <c r="C105" s="169" t="s">
        <v>2698</v>
      </c>
      <c r="D105" s="169" t="s">
        <v>2697</v>
      </c>
      <c r="E105" s="169" t="s">
        <v>12669</v>
      </c>
      <c r="F105" s="169" t="s">
        <v>11851</v>
      </c>
      <c r="G105" s="169" t="s">
        <v>5</v>
      </c>
      <c r="H105" s="169" t="s">
        <v>5</v>
      </c>
      <c r="I105" s="169" t="s">
        <v>5</v>
      </c>
      <c r="J105" s="169" t="s">
        <v>5</v>
      </c>
      <c r="K105" s="169" t="s">
        <v>5</v>
      </c>
      <c r="L105" s="169" t="s">
        <v>5</v>
      </c>
      <c r="M105" s="762" t="s">
        <v>5</v>
      </c>
      <c r="N105" s="763" t="s">
        <v>9265</v>
      </c>
      <c r="O105" s="762" t="s">
        <v>5</v>
      </c>
      <c r="P105" s="169" t="s">
        <v>11802</v>
      </c>
      <c r="Q105" s="757"/>
      <c r="R105" s="757"/>
      <c r="S105" s="757"/>
      <c r="T105" s="757"/>
      <c r="U105" s="757"/>
      <c r="V105" s="757"/>
      <c r="W105" s="757"/>
      <c r="X105" s="757"/>
      <c r="Y105" s="757"/>
      <c r="Z105" s="757"/>
    </row>
    <row r="106" ht="12.75" customHeight="1">
      <c r="A106" s="761">
        <v>104.0</v>
      </c>
      <c r="B106" s="169" t="s">
        <v>5</v>
      </c>
      <c r="C106" s="169" t="s">
        <v>4447</v>
      </c>
      <c r="D106" s="169" t="s">
        <v>2697</v>
      </c>
      <c r="E106" s="169" t="s">
        <v>12670</v>
      </c>
      <c r="F106" s="169" t="s">
        <v>11851</v>
      </c>
      <c r="G106" s="169" t="s">
        <v>5</v>
      </c>
      <c r="H106" s="169" t="s">
        <v>5</v>
      </c>
      <c r="I106" s="169" t="s">
        <v>5</v>
      </c>
      <c r="J106" s="169" t="s">
        <v>5</v>
      </c>
      <c r="K106" s="169" t="s">
        <v>5</v>
      </c>
      <c r="L106" s="169" t="s">
        <v>5</v>
      </c>
      <c r="M106" s="762" t="s">
        <v>5</v>
      </c>
      <c r="N106" s="763" t="s">
        <v>9265</v>
      </c>
      <c r="O106" s="762" t="s">
        <v>5</v>
      </c>
      <c r="P106" s="169" t="s">
        <v>11802</v>
      </c>
      <c r="Q106" s="757"/>
      <c r="R106" s="757"/>
      <c r="S106" s="757"/>
      <c r="T106" s="757"/>
      <c r="U106" s="757"/>
      <c r="V106" s="757"/>
      <c r="W106" s="757"/>
      <c r="X106" s="757"/>
      <c r="Y106" s="757"/>
      <c r="Z106" s="757"/>
    </row>
    <row r="107" ht="12.75" customHeight="1">
      <c r="A107" s="761">
        <v>105.0</v>
      </c>
      <c r="B107" s="169" t="s">
        <v>5</v>
      </c>
      <c r="C107" s="169" t="s">
        <v>11868</v>
      </c>
      <c r="D107" s="169" t="s">
        <v>607</v>
      </c>
      <c r="E107" s="169" t="s">
        <v>12671</v>
      </c>
      <c r="F107" s="169" t="s">
        <v>11844</v>
      </c>
      <c r="G107" s="169" t="s">
        <v>5</v>
      </c>
      <c r="H107" s="169" t="s">
        <v>5</v>
      </c>
      <c r="I107" s="169" t="s">
        <v>5</v>
      </c>
      <c r="J107" s="169" t="s">
        <v>5</v>
      </c>
      <c r="K107" s="169" t="s">
        <v>5</v>
      </c>
      <c r="L107" s="169" t="s">
        <v>5</v>
      </c>
      <c r="M107" s="762" t="s">
        <v>5</v>
      </c>
      <c r="N107" s="763" t="s">
        <v>9265</v>
      </c>
      <c r="O107" s="762" t="s">
        <v>5</v>
      </c>
      <c r="P107" s="169" t="s">
        <v>11802</v>
      </c>
      <c r="Q107" s="757"/>
      <c r="R107" s="757"/>
      <c r="S107" s="757"/>
      <c r="T107" s="757"/>
      <c r="U107" s="757"/>
      <c r="V107" s="757"/>
      <c r="W107" s="757"/>
      <c r="X107" s="757"/>
      <c r="Y107" s="757"/>
      <c r="Z107" s="757"/>
    </row>
    <row r="108" ht="12.75" customHeight="1">
      <c r="A108" s="761">
        <v>106.0</v>
      </c>
      <c r="B108" s="169" t="s">
        <v>5</v>
      </c>
      <c r="C108" s="169" t="s">
        <v>11870</v>
      </c>
      <c r="D108" s="169" t="s">
        <v>11867</v>
      </c>
      <c r="E108" s="169" t="s">
        <v>12672</v>
      </c>
      <c r="F108" s="169" t="s">
        <v>11851</v>
      </c>
      <c r="G108" s="169" t="s">
        <v>5</v>
      </c>
      <c r="H108" s="169" t="s">
        <v>5</v>
      </c>
      <c r="I108" s="169" t="s">
        <v>5</v>
      </c>
      <c r="J108" s="169" t="s">
        <v>5</v>
      </c>
      <c r="K108" s="169" t="s">
        <v>5</v>
      </c>
      <c r="L108" s="169" t="s">
        <v>5</v>
      </c>
      <c r="M108" s="762" t="s">
        <v>5</v>
      </c>
      <c r="N108" s="763" t="s">
        <v>9265</v>
      </c>
      <c r="O108" s="762" t="s">
        <v>5</v>
      </c>
      <c r="P108" s="169" t="s">
        <v>11802</v>
      </c>
      <c r="Q108" s="757"/>
      <c r="R108" s="757"/>
      <c r="S108" s="757"/>
      <c r="T108" s="757"/>
      <c r="U108" s="757"/>
      <c r="V108" s="757"/>
      <c r="W108" s="757"/>
      <c r="X108" s="757"/>
      <c r="Y108" s="757"/>
      <c r="Z108" s="757"/>
    </row>
    <row r="109" ht="12.75" customHeight="1">
      <c r="A109" s="761">
        <v>107.0</v>
      </c>
      <c r="B109" s="169" t="s">
        <v>5</v>
      </c>
      <c r="C109" s="169" t="s">
        <v>11872</v>
      </c>
      <c r="D109" s="169" t="s">
        <v>11867</v>
      </c>
      <c r="E109" s="169" t="s">
        <v>12673</v>
      </c>
      <c r="F109" s="169" t="s">
        <v>11851</v>
      </c>
      <c r="G109" s="169" t="s">
        <v>5</v>
      </c>
      <c r="H109" s="169" t="s">
        <v>5</v>
      </c>
      <c r="I109" s="169" t="s">
        <v>5</v>
      </c>
      <c r="J109" s="169" t="s">
        <v>5</v>
      </c>
      <c r="K109" s="169" t="s">
        <v>5</v>
      </c>
      <c r="L109" s="169" t="s">
        <v>5</v>
      </c>
      <c r="M109" s="762" t="s">
        <v>5</v>
      </c>
      <c r="N109" s="763" t="s">
        <v>9265</v>
      </c>
      <c r="O109" s="762" t="s">
        <v>5</v>
      </c>
      <c r="P109" s="169" t="s">
        <v>11802</v>
      </c>
      <c r="Q109" s="757"/>
      <c r="R109" s="757"/>
      <c r="S109" s="757"/>
      <c r="T109" s="757"/>
      <c r="U109" s="757"/>
      <c r="V109" s="757"/>
      <c r="W109" s="757"/>
      <c r="X109" s="757"/>
      <c r="Y109" s="757"/>
      <c r="Z109" s="757"/>
    </row>
    <row r="110" ht="12.75" customHeight="1">
      <c r="A110" s="761">
        <v>108.0</v>
      </c>
      <c r="B110" s="169" t="s">
        <v>5</v>
      </c>
      <c r="C110" s="169" t="s">
        <v>4997</v>
      </c>
      <c r="D110" s="169" t="s">
        <v>607</v>
      </c>
      <c r="E110" s="169" t="s">
        <v>12674</v>
      </c>
      <c r="F110" s="169" t="s">
        <v>11844</v>
      </c>
      <c r="G110" s="169" t="s">
        <v>5</v>
      </c>
      <c r="H110" s="169" t="s">
        <v>5</v>
      </c>
      <c r="I110" s="169" t="s">
        <v>5</v>
      </c>
      <c r="J110" s="169" t="s">
        <v>5</v>
      </c>
      <c r="K110" s="169" t="s">
        <v>5</v>
      </c>
      <c r="L110" s="169" t="s">
        <v>5</v>
      </c>
      <c r="M110" s="762" t="s">
        <v>5</v>
      </c>
      <c r="N110" s="763" t="s">
        <v>9265</v>
      </c>
      <c r="O110" s="762" t="s">
        <v>5</v>
      </c>
      <c r="P110" s="169" t="s">
        <v>11802</v>
      </c>
      <c r="Q110" s="757"/>
      <c r="R110" s="757"/>
      <c r="S110" s="757"/>
      <c r="T110" s="757"/>
      <c r="U110" s="757"/>
      <c r="V110" s="757"/>
      <c r="W110" s="757"/>
      <c r="X110" s="757"/>
      <c r="Y110" s="757"/>
      <c r="Z110" s="757"/>
    </row>
    <row r="111" ht="12.75" customHeight="1">
      <c r="A111" s="761">
        <v>109.0</v>
      </c>
      <c r="B111" s="169" t="s">
        <v>5</v>
      </c>
      <c r="C111" s="169" t="s">
        <v>4698</v>
      </c>
      <c r="D111" s="169" t="s">
        <v>607</v>
      </c>
      <c r="E111" s="169" t="s">
        <v>12675</v>
      </c>
      <c r="F111" s="169" t="s">
        <v>11844</v>
      </c>
      <c r="G111" s="169" t="s">
        <v>5</v>
      </c>
      <c r="H111" s="169" t="s">
        <v>5</v>
      </c>
      <c r="I111" s="169" t="s">
        <v>5</v>
      </c>
      <c r="J111" s="169" t="s">
        <v>5</v>
      </c>
      <c r="K111" s="169" t="s">
        <v>5</v>
      </c>
      <c r="L111" s="169" t="s">
        <v>5</v>
      </c>
      <c r="M111" s="762" t="s">
        <v>5</v>
      </c>
      <c r="N111" s="763" t="s">
        <v>9265</v>
      </c>
      <c r="O111" s="762" t="s">
        <v>5</v>
      </c>
      <c r="P111" s="169" t="s">
        <v>11802</v>
      </c>
      <c r="Q111" s="757"/>
      <c r="R111" s="757"/>
      <c r="S111" s="757"/>
      <c r="T111" s="757"/>
      <c r="U111" s="757"/>
      <c r="V111" s="757"/>
      <c r="W111" s="757"/>
      <c r="X111" s="757"/>
      <c r="Y111" s="757"/>
      <c r="Z111" s="757"/>
    </row>
    <row r="112" ht="12.75" customHeight="1">
      <c r="A112" s="761">
        <v>110.0</v>
      </c>
      <c r="B112" s="169" t="s">
        <v>5</v>
      </c>
      <c r="C112" s="169" t="s">
        <v>3036</v>
      </c>
      <c r="D112" s="169" t="s">
        <v>3035</v>
      </c>
      <c r="E112" s="169" t="s">
        <v>12676</v>
      </c>
      <c r="F112" s="169" t="s">
        <v>11851</v>
      </c>
      <c r="G112" s="169" t="s">
        <v>5</v>
      </c>
      <c r="H112" s="169" t="s">
        <v>5</v>
      </c>
      <c r="I112" s="169" t="s">
        <v>5</v>
      </c>
      <c r="J112" s="169" t="s">
        <v>5</v>
      </c>
      <c r="K112" s="169" t="s">
        <v>5</v>
      </c>
      <c r="L112" s="169" t="s">
        <v>5</v>
      </c>
      <c r="M112" s="762" t="s">
        <v>5</v>
      </c>
      <c r="N112" s="763" t="s">
        <v>9265</v>
      </c>
      <c r="O112" s="762" t="s">
        <v>5</v>
      </c>
      <c r="P112" s="169" t="s">
        <v>11802</v>
      </c>
      <c r="Q112" s="757"/>
      <c r="R112" s="757"/>
      <c r="S112" s="757"/>
      <c r="T112" s="757"/>
      <c r="U112" s="757"/>
      <c r="V112" s="757"/>
      <c r="W112" s="757"/>
      <c r="X112" s="757"/>
      <c r="Y112" s="757"/>
      <c r="Z112" s="757"/>
    </row>
    <row r="113" ht="12.75" customHeight="1">
      <c r="A113" s="761">
        <v>111.0</v>
      </c>
      <c r="B113" s="169" t="s">
        <v>5</v>
      </c>
      <c r="C113" s="169" t="s">
        <v>5500</v>
      </c>
      <c r="D113" s="169" t="s">
        <v>3035</v>
      </c>
      <c r="E113" s="169" t="s">
        <v>12677</v>
      </c>
      <c r="F113" s="169" t="s">
        <v>11851</v>
      </c>
      <c r="G113" s="169" t="s">
        <v>5</v>
      </c>
      <c r="H113" s="169" t="s">
        <v>5</v>
      </c>
      <c r="I113" s="169" t="s">
        <v>5</v>
      </c>
      <c r="J113" s="169" t="s">
        <v>5</v>
      </c>
      <c r="K113" s="169" t="s">
        <v>5</v>
      </c>
      <c r="L113" s="169" t="s">
        <v>5</v>
      </c>
      <c r="M113" s="762" t="s">
        <v>5</v>
      </c>
      <c r="N113" s="763" t="s">
        <v>9265</v>
      </c>
      <c r="O113" s="762" t="s">
        <v>5</v>
      </c>
      <c r="P113" s="169" t="s">
        <v>11802</v>
      </c>
      <c r="Q113" s="757"/>
      <c r="R113" s="757"/>
      <c r="S113" s="757"/>
      <c r="T113" s="757"/>
      <c r="U113" s="757"/>
      <c r="V113" s="757"/>
      <c r="W113" s="757"/>
      <c r="X113" s="757"/>
      <c r="Y113" s="757"/>
      <c r="Z113" s="757"/>
    </row>
    <row r="114" ht="12.75" customHeight="1">
      <c r="A114" s="761">
        <v>112.0</v>
      </c>
      <c r="B114" s="169" t="s">
        <v>5</v>
      </c>
      <c r="C114" s="169" t="s">
        <v>5208</v>
      </c>
      <c r="D114" s="169" t="s">
        <v>607</v>
      </c>
      <c r="E114" s="169" t="s">
        <v>12678</v>
      </c>
      <c r="F114" s="169" t="s">
        <v>11851</v>
      </c>
      <c r="G114" s="169" t="s">
        <v>5</v>
      </c>
      <c r="H114" s="169" t="s">
        <v>5</v>
      </c>
      <c r="I114" s="169" t="s">
        <v>5</v>
      </c>
      <c r="J114" s="169" t="s">
        <v>5</v>
      </c>
      <c r="K114" s="169" t="s">
        <v>5</v>
      </c>
      <c r="L114" s="169" t="s">
        <v>5</v>
      </c>
      <c r="M114" s="762" t="s">
        <v>5</v>
      </c>
      <c r="N114" s="763" t="s">
        <v>9265</v>
      </c>
      <c r="O114" s="762" t="s">
        <v>5</v>
      </c>
      <c r="P114" s="169" t="s">
        <v>11802</v>
      </c>
      <c r="Q114" s="757"/>
      <c r="R114" s="757"/>
      <c r="S114" s="757"/>
      <c r="T114" s="757"/>
      <c r="U114" s="757"/>
      <c r="V114" s="757"/>
      <c r="W114" s="757"/>
      <c r="X114" s="757"/>
      <c r="Y114" s="757"/>
      <c r="Z114" s="757"/>
    </row>
    <row r="115" ht="12.75" customHeight="1">
      <c r="A115" s="761">
        <v>113.0</v>
      </c>
      <c r="B115" s="169" t="s">
        <v>5</v>
      </c>
      <c r="C115" s="169" t="s">
        <v>10758</v>
      </c>
      <c r="D115" s="169" t="s">
        <v>607</v>
      </c>
      <c r="E115" s="169" t="s">
        <v>12679</v>
      </c>
      <c r="F115" s="169" t="s">
        <v>11844</v>
      </c>
      <c r="G115" s="169" t="s">
        <v>5</v>
      </c>
      <c r="H115" s="169" t="s">
        <v>5</v>
      </c>
      <c r="I115" s="169" t="s">
        <v>11849</v>
      </c>
      <c r="J115" s="169" t="s">
        <v>5</v>
      </c>
      <c r="K115" s="169" t="s">
        <v>5</v>
      </c>
      <c r="L115" s="169" t="s">
        <v>5</v>
      </c>
      <c r="M115" s="762" t="s">
        <v>5</v>
      </c>
      <c r="N115" s="763" t="s">
        <v>9265</v>
      </c>
      <c r="O115" s="762" t="s">
        <v>5</v>
      </c>
      <c r="P115" s="169" t="s">
        <v>11802</v>
      </c>
      <c r="Q115" s="757"/>
      <c r="R115" s="757"/>
      <c r="S115" s="757"/>
      <c r="T115" s="757"/>
      <c r="U115" s="757"/>
      <c r="V115" s="757"/>
      <c r="W115" s="757"/>
      <c r="X115" s="757"/>
      <c r="Y115" s="757"/>
      <c r="Z115" s="757"/>
    </row>
    <row r="116" ht="12.75" customHeight="1">
      <c r="A116" s="761">
        <v>114.0</v>
      </c>
      <c r="B116" s="169" t="s">
        <v>5</v>
      </c>
      <c r="C116" s="169" t="s">
        <v>11874</v>
      </c>
      <c r="D116" s="169" t="s">
        <v>6890</v>
      </c>
      <c r="E116" s="169" t="s">
        <v>12680</v>
      </c>
      <c r="F116" s="169" t="s">
        <v>11854</v>
      </c>
      <c r="G116" s="169" t="s">
        <v>5</v>
      </c>
      <c r="H116" s="169" t="s">
        <v>5</v>
      </c>
      <c r="I116" s="169" t="s">
        <v>11849</v>
      </c>
      <c r="J116" s="169" t="s">
        <v>5</v>
      </c>
      <c r="K116" s="169" t="s">
        <v>5</v>
      </c>
      <c r="L116" s="169" t="s">
        <v>5</v>
      </c>
      <c r="M116" s="762" t="s">
        <v>5</v>
      </c>
      <c r="N116" s="763" t="s">
        <v>9265</v>
      </c>
      <c r="O116" s="762" t="s">
        <v>5</v>
      </c>
      <c r="P116" s="169" t="s">
        <v>11802</v>
      </c>
      <c r="Q116" s="757"/>
      <c r="R116" s="757"/>
      <c r="S116" s="757"/>
      <c r="T116" s="757"/>
      <c r="U116" s="757"/>
      <c r="V116" s="757"/>
      <c r="W116" s="757"/>
      <c r="X116" s="757"/>
      <c r="Y116" s="757"/>
      <c r="Z116" s="757"/>
    </row>
    <row r="117" ht="12.75" customHeight="1">
      <c r="A117" s="761">
        <v>115.0</v>
      </c>
      <c r="B117" s="169" t="s">
        <v>5</v>
      </c>
      <c r="C117" s="169" t="s">
        <v>6891</v>
      </c>
      <c r="D117" s="169" t="s">
        <v>6890</v>
      </c>
      <c r="E117" s="169" t="s">
        <v>12681</v>
      </c>
      <c r="F117" s="169" t="s">
        <v>11854</v>
      </c>
      <c r="G117" s="169" t="s">
        <v>5</v>
      </c>
      <c r="H117" s="169" t="s">
        <v>5</v>
      </c>
      <c r="I117" s="169" t="s">
        <v>11849</v>
      </c>
      <c r="J117" s="169" t="s">
        <v>5</v>
      </c>
      <c r="K117" s="169" t="s">
        <v>5</v>
      </c>
      <c r="L117" s="169" t="s">
        <v>5</v>
      </c>
      <c r="M117" s="762" t="s">
        <v>5</v>
      </c>
      <c r="N117" s="763" t="s">
        <v>9265</v>
      </c>
      <c r="O117" s="762" t="s">
        <v>5</v>
      </c>
      <c r="P117" s="169" t="s">
        <v>11802</v>
      </c>
      <c r="Q117" s="757"/>
      <c r="R117" s="757"/>
      <c r="S117" s="757"/>
      <c r="T117" s="757"/>
      <c r="U117" s="757"/>
      <c r="V117" s="757"/>
      <c r="W117" s="757"/>
      <c r="X117" s="757"/>
      <c r="Y117" s="757"/>
      <c r="Z117" s="757"/>
    </row>
    <row r="118" ht="12.75" customHeight="1">
      <c r="A118" s="761">
        <v>116.0</v>
      </c>
      <c r="B118" s="169" t="s">
        <v>5</v>
      </c>
      <c r="C118" s="169" t="s">
        <v>10766</v>
      </c>
      <c r="D118" s="169" t="s">
        <v>453</v>
      </c>
      <c r="E118" s="169" t="s">
        <v>12682</v>
      </c>
      <c r="F118" s="169" t="s">
        <v>11850</v>
      </c>
      <c r="G118" s="169" t="s">
        <v>5</v>
      </c>
      <c r="H118" s="169" t="s">
        <v>5</v>
      </c>
      <c r="I118" s="169" t="s">
        <v>5</v>
      </c>
      <c r="J118" s="169" t="s">
        <v>5</v>
      </c>
      <c r="K118" s="169" t="s">
        <v>5</v>
      </c>
      <c r="L118" s="169" t="s">
        <v>5</v>
      </c>
      <c r="M118" s="762" t="s">
        <v>5</v>
      </c>
      <c r="N118" s="763" t="s">
        <v>9265</v>
      </c>
      <c r="O118" s="762" t="s">
        <v>5</v>
      </c>
      <c r="P118" s="169" t="s">
        <v>11802</v>
      </c>
      <c r="Q118" s="757"/>
      <c r="R118" s="757"/>
      <c r="S118" s="757"/>
      <c r="T118" s="757"/>
      <c r="U118" s="757"/>
      <c r="V118" s="757"/>
      <c r="W118" s="757"/>
      <c r="X118" s="757"/>
      <c r="Y118" s="757"/>
      <c r="Z118" s="757"/>
    </row>
    <row r="119" ht="12.75" customHeight="1">
      <c r="A119" s="761">
        <v>117.0</v>
      </c>
      <c r="B119" s="169" t="s">
        <v>5</v>
      </c>
      <c r="C119" s="169" t="s">
        <v>6522</v>
      </c>
      <c r="D119" s="169" t="s">
        <v>566</v>
      </c>
      <c r="E119" s="169" t="s">
        <v>12683</v>
      </c>
      <c r="F119" s="169" t="s">
        <v>11844</v>
      </c>
      <c r="G119" s="169" t="s">
        <v>5</v>
      </c>
      <c r="H119" s="169" t="s">
        <v>5</v>
      </c>
      <c r="I119" s="169" t="s">
        <v>5</v>
      </c>
      <c r="J119" s="169" t="s">
        <v>5</v>
      </c>
      <c r="K119" s="169" t="s">
        <v>5</v>
      </c>
      <c r="L119" s="169" t="s">
        <v>5</v>
      </c>
      <c r="M119" s="762" t="s">
        <v>5</v>
      </c>
      <c r="N119" s="763" t="s">
        <v>9265</v>
      </c>
      <c r="O119" s="762" t="s">
        <v>5</v>
      </c>
      <c r="P119" s="169" t="s">
        <v>11802</v>
      </c>
      <c r="Q119" s="757"/>
      <c r="R119" s="757"/>
      <c r="S119" s="757"/>
      <c r="T119" s="757"/>
      <c r="U119" s="757"/>
      <c r="V119" s="757"/>
      <c r="W119" s="757"/>
      <c r="X119" s="757"/>
      <c r="Y119" s="757"/>
      <c r="Z119" s="757"/>
    </row>
    <row r="120" ht="12.75" customHeight="1">
      <c r="A120" s="761">
        <v>118.0</v>
      </c>
      <c r="B120" s="169" t="s">
        <v>5</v>
      </c>
      <c r="C120" s="169" t="s">
        <v>6485</v>
      </c>
      <c r="D120" s="169" t="s">
        <v>6383</v>
      </c>
      <c r="E120" s="169" t="s">
        <v>12684</v>
      </c>
      <c r="F120" s="169" t="s">
        <v>11851</v>
      </c>
      <c r="G120" s="169" t="s">
        <v>5</v>
      </c>
      <c r="H120" s="169" t="s">
        <v>5</v>
      </c>
      <c r="I120" s="169" t="s">
        <v>5</v>
      </c>
      <c r="J120" s="169" t="s">
        <v>5</v>
      </c>
      <c r="K120" s="169" t="s">
        <v>5</v>
      </c>
      <c r="L120" s="169" t="s">
        <v>5</v>
      </c>
      <c r="M120" s="762" t="s">
        <v>5</v>
      </c>
      <c r="N120" s="763" t="s">
        <v>9265</v>
      </c>
      <c r="O120" s="762" t="s">
        <v>5</v>
      </c>
      <c r="P120" s="169" t="s">
        <v>11802</v>
      </c>
      <c r="Q120" s="757"/>
      <c r="R120" s="757"/>
      <c r="S120" s="757"/>
      <c r="T120" s="757"/>
      <c r="U120" s="757"/>
      <c r="V120" s="757"/>
      <c r="W120" s="757"/>
      <c r="X120" s="757"/>
      <c r="Y120" s="757"/>
      <c r="Z120" s="757"/>
    </row>
    <row r="121" ht="12.75" customHeight="1">
      <c r="A121" s="761">
        <v>119.0</v>
      </c>
      <c r="B121" s="169" t="s">
        <v>5</v>
      </c>
      <c r="C121" s="169" t="s">
        <v>6384</v>
      </c>
      <c r="D121" s="169" t="s">
        <v>6383</v>
      </c>
      <c r="E121" s="169" t="s">
        <v>12685</v>
      </c>
      <c r="F121" s="169" t="s">
        <v>11851</v>
      </c>
      <c r="G121" s="169" t="s">
        <v>5</v>
      </c>
      <c r="H121" s="169" t="s">
        <v>5</v>
      </c>
      <c r="I121" s="169" t="s">
        <v>5</v>
      </c>
      <c r="J121" s="169" t="s">
        <v>5</v>
      </c>
      <c r="K121" s="169" t="s">
        <v>5</v>
      </c>
      <c r="L121" s="169" t="s">
        <v>5</v>
      </c>
      <c r="M121" s="762" t="s">
        <v>5</v>
      </c>
      <c r="N121" s="763" t="s">
        <v>9265</v>
      </c>
      <c r="O121" s="762" t="s">
        <v>5</v>
      </c>
      <c r="P121" s="169" t="s">
        <v>11802</v>
      </c>
      <c r="Q121" s="757"/>
      <c r="R121" s="757"/>
      <c r="S121" s="757"/>
      <c r="T121" s="757"/>
      <c r="U121" s="757"/>
      <c r="V121" s="757"/>
      <c r="W121" s="757"/>
      <c r="X121" s="757"/>
      <c r="Y121" s="757"/>
      <c r="Z121" s="757"/>
    </row>
    <row r="122" ht="12.75" customHeight="1">
      <c r="A122" s="761">
        <v>120.0</v>
      </c>
      <c r="B122" s="169" t="s">
        <v>5</v>
      </c>
      <c r="C122" s="169" t="s">
        <v>10770</v>
      </c>
      <c r="D122" s="169" t="s">
        <v>566</v>
      </c>
      <c r="E122" s="169" t="s">
        <v>12686</v>
      </c>
      <c r="F122" s="169" t="s">
        <v>11844</v>
      </c>
      <c r="G122" s="169" t="s">
        <v>5</v>
      </c>
      <c r="H122" s="169" t="s">
        <v>5</v>
      </c>
      <c r="I122" s="169" t="s">
        <v>5</v>
      </c>
      <c r="J122" s="169" t="s">
        <v>5</v>
      </c>
      <c r="K122" s="169" t="s">
        <v>5</v>
      </c>
      <c r="L122" s="169" t="s">
        <v>5</v>
      </c>
      <c r="M122" s="762" t="s">
        <v>5</v>
      </c>
      <c r="N122" s="763" t="s">
        <v>9265</v>
      </c>
      <c r="O122" s="762" t="s">
        <v>5</v>
      </c>
      <c r="P122" s="169" t="s">
        <v>11802</v>
      </c>
      <c r="Q122" s="757"/>
      <c r="R122" s="757"/>
      <c r="S122" s="757"/>
      <c r="T122" s="757"/>
      <c r="U122" s="757"/>
      <c r="V122" s="757"/>
      <c r="W122" s="757"/>
      <c r="X122" s="757"/>
      <c r="Y122" s="757"/>
      <c r="Z122" s="757"/>
    </row>
    <row r="123" ht="12.75" customHeight="1">
      <c r="A123" s="761">
        <v>121.0</v>
      </c>
      <c r="B123" s="169" t="s">
        <v>5</v>
      </c>
      <c r="C123" s="169" t="s">
        <v>2894</v>
      </c>
      <c r="D123" s="169" t="s">
        <v>2888</v>
      </c>
      <c r="E123" s="169" t="s">
        <v>12687</v>
      </c>
      <c r="F123" s="169" t="s">
        <v>11851</v>
      </c>
      <c r="G123" s="169" t="s">
        <v>5</v>
      </c>
      <c r="H123" s="169" t="s">
        <v>5</v>
      </c>
      <c r="I123" s="169" t="s">
        <v>5</v>
      </c>
      <c r="J123" s="169" t="s">
        <v>5</v>
      </c>
      <c r="K123" s="169" t="s">
        <v>5</v>
      </c>
      <c r="L123" s="169" t="s">
        <v>5</v>
      </c>
      <c r="M123" s="762" t="s">
        <v>5</v>
      </c>
      <c r="N123" s="763" t="s">
        <v>9265</v>
      </c>
      <c r="O123" s="762" t="s">
        <v>5</v>
      </c>
      <c r="P123" s="169" t="s">
        <v>11802</v>
      </c>
      <c r="Q123" s="757"/>
      <c r="R123" s="757"/>
      <c r="S123" s="757"/>
      <c r="T123" s="757"/>
      <c r="U123" s="757"/>
      <c r="V123" s="757"/>
      <c r="W123" s="757"/>
      <c r="X123" s="757"/>
      <c r="Y123" s="757"/>
      <c r="Z123" s="757"/>
    </row>
    <row r="124" ht="12.75" customHeight="1">
      <c r="A124" s="761">
        <v>122.0</v>
      </c>
      <c r="B124" s="169" t="s">
        <v>5</v>
      </c>
      <c r="C124" s="169" t="s">
        <v>4467</v>
      </c>
      <c r="D124" s="169" t="s">
        <v>2888</v>
      </c>
      <c r="E124" s="169" t="s">
        <v>12688</v>
      </c>
      <c r="F124" s="169" t="s">
        <v>11851</v>
      </c>
      <c r="G124" s="169" t="s">
        <v>5</v>
      </c>
      <c r="H124" s="169" t="s">
        <v>5</v>
      </c>
      <c r="I124" s="169" t="s">
        <v>5</v>
      </c>
      <c r="J124" s="169" t="s">
        <v>5</v>
      </c>
      <c r="K124" s="169" t="s">
        <v>5</v>
      </c>
      <c r="L124" s="169" t="s">
        <v>5</v>
      </c>
      <c r="M124" s="762" t="s">
        <v>5</v>
      </c>
      <c r="N124" s="763" t="s">
        <v>9265</v>
      </c>
      <c r="O124" s="762" t="s">
        <v>5</v>
      </c>
      <c r="P124" s="169" t="s">
        <v>11802</v>
      </c>
      <c r="Q124" s="757"/>
      <c r="R124" s="757"/>
      <c r="S124" s="757"/>
      <c r="T124" s="757"/>
      <c r="U124" s="757"/>
      <c r="V124" s="757"/>
      <c r="W124" s="757"/>
      <c r="X124" s="757"/>
      <c r="Y124" s="757"/>
      <c r="Z124" s="757"/>
    </row>
    <row r="125" ht="12.75" customHeight="1">
      <c r="A125" s="761">
        <v>123.0</v>
      </c>
      <c r="B125" s="169" t="s">
        <v>5</v>
      </c>
      <c r="C125" s="169" t="s">
        <v>2889</v>
      </c>
      <c r="D125" s="169" t="s">
        <v>2888</v>
      </c>
      <c r="E125" s="169" t="s">
        <v>12689</v>
      </c>
      <c r="F125" s="169" t="s">
        <v>11851</v>
      </c>
      <c r="G125" s="169" t="s">
        <v>5</v>
      </c>
      <c r="H125" s="169" t="s">
        <v>5</v>
      </c>
      <c r="I125" s="169" t="s">
        <v>5</v>
      </c>
      <c r="J125" s="169" t="s">
        <v>5</v>
      </c>
      <c r="K125" s="169" t="s">
        <v>5</v>
      </c>
      <c r="L125" s="169" t="s">
        <v>5</v>
      </c>
      <c r="M125" s="762" t="s">
        <v>5</v>
      </c>
      <c r="N125" s="763" t="s">
        <v>9265</v>
      </c>
      <c r="O125" s="762" t="s">
        <v>5</v>
      </c>
      <c r="P125" s="169" t="s">
        <v>11802</v>
      </c>
      <c r="Q125" s="757"/>
      <c r="R125" s="757"/>
      <c r="S125" s="757"/>
      <c r="T125" s="757"/>
      <c r="U125" s="757"/>
      <c r="V125" s="757"/>
      <c r="W125" s="757"/>
      <c r="X125" s="757"/>
      <c r="Y125" s="757"/>
      <c r="Z125" s="757"/>
    </row>
    <row r="126" ht="12.75" customHeight="1">
      <c r="A126" s="761">
        <v>124.0</v>
      </c>
      <c r="B126" s="169" t="s">
        <v>5</v>
      </c>
      <c r="C126" s="169" t="s">
        <v>10776</v>
      </c>
      <c r="D126" s="169" t="s">
        <v>566</v>
      </c>
      <c r="E126" s="169" t="s">
        <v>12690</v>
      </c>
      <c r="F126" s="169" t="s">
        <v>11844</v>
      </c>
      <c r="G126" s="169" t="s">
        <v>5</v>
      </c>
      <c r="H126" s="169" t="s">
        <v>5</v>
      </c>
      <c r="I126" s="169" t="s">
        <v>5</v>
      </c>
      <c r="J126" s="169" t="s">
        <v>5</v>
      </c>
      <c r="K126" s="169" t="s">
        <v>5</v>
      </c>
      <c r="L126" s="169" t="s">
        <v>5</v>
      </c>
      <c r="M126" s="762" t="s">
        <v>5</v>
      </c>
      <c r="N126" s="763" t="s">
        <v>9265</v>
      </c>
      <c r="O126" s="762" t="s">
        <v>5</v>
      </c>
      <c r="P126" s="169" t="s">
        <v>11802</v>
      </c>
      <c r="Q126" s="757"/>
      <c r="R126" s="757"/>
      <c r="S126" s="757"/>
      <c r="T126" s="757"/>
      <c r="U126" s="757"/>
      <c r="V126" s="757"/>
      <c r="W126" s="757"/>
      <c r="X126" s="757"/>
      <c r="Y126" s="757"/>
      <c r="Z126" s="757"/>
    </row>
    <row r="127" ht="12.75" customHeight="1">
      <c r="A127" s="761">
        <v>125.0</v>
      </c>
      <c r="B127" s="169" t="s">
        <v>5</v>
      </c>
      <c r="C127" s="169" t="s">
        <v>2652</v>
      </c>
      <c r="D127" s="169" t="s">
        <v>567</v>
      </c>
      <c r="E127" s="169" t="s">
        <v>12691</v>
      </c>
      <c r="F127" s="169" t="s">
        <v>11851</v>
      </c>
      <c r="G127" s="169" t="s">
        <v>5</v>
      </c>
      <c r="H127" s="169" t="s">
        <v>5</v>
      </c>
      <c r="I127" s="169" t="s">
        <v>5</v>
      </c>
      <c r="J127" s="169" t="s">
        <v>5</v>
      </c>
      <c r="K127" s="169" t="s">
        <v>5</v>
      </c>
      <c r="L127" s="169" t="s">
        <v>5</v>
      </c>
      <c r="M127" s="762" t="s">
        <v>5</v>
      </c>
      <c r="N127" s="763" t="s">
        <v>9265</v>
      </c>
      <c r="O127" s="762" t="s">
        <v>5</v>
      </c>
      <c r="P127" s="169" t="s">
        <v>11802</v>
      </c>
      <c r="Q127" s="757"/>
      <c r="R127" s="757"/>
      <c r="S127" s="757"/>
      <c r="T127" s="757"/>
      <c r="U127" s="757"/>
      <c r="V127" s="757"/>
      <c r="W127" s="757"/>
      <c r="X127" s="757"/>
      <c r="Y127" s="757"/>
      <c r="Z127" s="757"/>
    </row>
    <row r="128" ht="12.75" customHeight="1">
      <c r="A128" s="761">
        <v>126.0</v>
      </c>
      <c r="B128" s="169" t="s">
        <v>5</v>
      </c>
      <c r="C128" s="169" t="s">
        <v>568</v>
      </c>
      <c r="D128" s="169" t="s">
        <v>567</v>
      </c>
      <c r="E128" s="169" t="s">
        <v>12692</v>
      </c>
      <c r="F128" s="169" t="s">
        <v>11851</v>
      </c>
      <c r="G128" s="169" t="s">
        <v>5</v>
      </c>
      <c r="H128" s="169" t="s">
        <v>5</v>
      </c>
      <c r="I128" s="169" t="s">
        <v>5</v>
      </c>
      <c r="J128" s="169" t="s">
        <v>5</v>
      </c>
      <c r="K128" s="169" t="s">
        <v>5</v>
      </c>
      <c r="L128" s="169" t="s">
        <v>5</v>
      </c>
      <c r="M128" s="762" t="s">
        <v>5</v>
      </c>
      <c r="N128" s="763" t="s">
        <v>9265</v>
      </c>
      <c r="O128" s="762" t="s">
        <v>5</v>
      </c>
      <c r="P128" s="169" t="s">
        <v>11802</v>
      </c>
      <c r="Q128" s="757"/>
      <c r="R128" s="757"/>
      <c r="S128" s="757"/>
      <c r="T128" s="757"/>
      <c r="U128" s="757"/>
      <c r="V128" s="757"/>
      <c r="W128" s="757"/>
      <c r="X128" s="757"/>
      <c r="Y128" s="757"/>
      <c r="Z128" s="757"/>
    </row>
    <row r="129" ht="12.75" customHeight="1">
      <c r="A129" s="761">
        <v>127.0</v>
      </c>
      <c r="B129" s="169" t="s">
        <v>5</v>
      </c>
      <c r="C129" s="169" t="s">
        <v>10076</v>
      </c>
      <c r="D129" s="169" t="s">
        <v>567</v>
      </c>
      <c r="E129" s="169" t="s">
        <v>12693</v>
      </c>
      <c r="F129" s="169" t="s">
        <v>11851</v>
      </c>
      <c r="G129" s="169" t="s">
        <v>5</v>
      </c>
      <c r="H129" s="169" t="s">
        <v>5</v>
      </c>
      <c r="I129" s="169" t="s">
        <v>5</v>
      </c>
      <c r="J129" s="169" t="s">
        <v>5</v>
      </c>
      <c r="K129" s="169" t="s">
        <v>5</v>
      </c>
      <c r="L129" s="169" t="s">
        <v>5</v>
      </c>
      <c r="M129" s="762" t="s">
        <v>5</v>
      </c>
      <c r="N129" s="763" t="s">
        <v>9265</v>
      </c>
      <c r="O129" s="762" t="s">
        <v>5</v>
      </c>
      <c r="P129" s="169" t="s">
        <v>11802</v>
      </c>
      <c r="Q129" s="757"/>
      <c r="R129" s="757"/>
      <c r="S129" s="757"/>
      <c r="T129" s="757"/>
      <c r="U129" s="757"/>
      <c r="V129" s="757"/>
      <c r="W129" s="757"/>
      <c r="X129" s="757"/>
      <c r="Y129" s="757"/>
      <c r="Z129" s="757"/>
    </row>
    <row r="130" ht="12.75" customHeight="1">
      <c r="A130" s="761">
        <v>128.0</v>
      </c>
      <c r="B130" s="169" t="s">
        <v>5</v>
      </c>
      <c r="C130" s="169" t="s">
        <v>10335</v>
      </c>
      <c r="D130" s="169" t="s">
        <v>566</v>
      </c>
      <c r="E130" s="169" t="s">
        <v>12694</v>
      </c>
      <c r="F130" s="169" t="s">
        <v>11844</v>
      </c>
      <c r="G130" s="169" t="s">
        <v>5</v>
      </c>
      <c r="H130" s="169" t="s">
        <v>5</v>
      </c>
      <c r="I130" s="169" t="s">
        <v>5</v>
      </c>
      <c r="J130" s="169" t="s">
        <v>5</v>
      </c>
      <c r="K130" s="169" t="s">
        <v>5</v>
      </c>
      <c r="L130" s="169" t="s">
        <v>5</v>
      </c>
      <c r="M130" s="762" t="s">
        <v>5</v>
      </c>
      <c r="N130" s="763" t="s">
        <v>9265</v>
      </c>
      <c r="O130" s="762" t="s">
        <v>5</v>
      </c>
      <c r="P130" s="169" t="s">
        <v>11802</v>
      </c>
      <c r="Q130" s="757"/>
      <c r="R130" s="757"/>
      <c r="S130" s="757"/>
      <c r="T130" s="757"/>
      <c r="U130" s="757"/>
      <c r="V130" s="757"/>
      <c r="W130" s="757"/>
      <c r="X130" s="757"/>
      <c r="Y130" s="757"/>
      <c r="Z130" s="757"/>
    </row>
    <row r="131" ht="12.75" customHeight="1">
      <c r="A131" s="761">
        <v>129.0</v>
      </c>
      <c r="B131" s="169" t="s">
        <v>5</v>
      </c>
      <c r="C131" s="169" t="s">
        <v>6546</v>
      </c>
      <c r="D131" s="169" t="s">
        <v>566</v>
      </c>
      <c r="E131" s="169" t="s">
        <v>12695</v>
      </c>
      <c r="F131" s="169" t="s">
        <v>11851</v>
      </c>
      <c r="G131" s="169" t="s">
        <v>5</v>
      </c>
      <c r="H131" s="169" t="s">
        <v>5</v>
      </c>
      <c r="I131" s="169" t="s">
        <v>5</v>
      </c>
      <c r="J131" s="169" t="s">
        <v>5</v>
      </c>
      <c r="K131" s="169" t="s">
        <v>5</v>
      </c>
      <c r="L131" s="169" t="s">
        <v>5</v>
      </c>
      <c r="M131" s="762" t="s">
        <v>5</v>
      </c>
      <c r="N131" s="763" t="s">
        <v>9265</v>
      </c>
      <c r="O131" s="762" t="s">
        <v>5</v>
      </c>
      <c r="P131" s="169" t="s">
        <v>11802</v>
      </c>
      <c r="Q131" s="757"/>
      <c r="R131" s="757"/>
      <c r="S131" s="757"/>
      <c r="T131" s="757"/>
      <c r="U131" s="757"/>
      <c r="V131" s="757"/>
      <c r="W131" s="757"/>
      <c r="X131" s="757"/>
      <c r="Y131" s="757"/>
      <c r="Z131" s="757"/>
    </row>
    <row r="132" ht="12.75" customHeight="1">
      <c r="A132" s="761">
        <v>130.0</v>
      </c>
      <c r="B132" s="169" t="s">
        <v>5</v>
      </c>
      <c r="C132" s="169" t="s">
        <v>10787</v>
      </c>
      <c r="D132" s="169" t="s">
        <v>453</v>
      </c>
      <c r="E132" s="169" t="s">
        <v>12696</v>
      </c>
      <c r="F132" s="169" t="s">
        <v>11850</v>
      </c>
      <c r="G132" s="169" t="s">
        <v>5</v>
      </c>
      <c r="H132" s="169" t="s">
        <v>5</v>
      </c>
      <c r="I132" s="169" t="s">
        <v>5</v>
      </c>
      <c r="J132" s="169" t="s">
        <v>5</v>
      </c>
      <c r="K132" s="169" t="s">
        <v>5</v>
      </c>
      <c r="L132" s="169" t="s">
        <v>5</v>
      </c>
      <c r="M132" s="762" t="s">
        <v>5</v>
      </c>
      <c r="N132" s="763" t="s">
        <v>9265</v>
      </c>
      <c r="O132" s="762" t="s">
        <v>5</v>
      </c>
      <c r="P132" s="169" t="s">
        <v>11802</v>
      </c>
      <c r="Q132" s="757"/>
      <c r="R132" s="757"/>
      <c r="S132" s="757"/>
      <c r="T132" s="757"/>
      <c r="U132" s="757"/>
      <c r="V132" s="757"/>
      <c r="W132" s="757"/>
      <c r="X132" s="757"/>
      <c r="Y132" s="757"/>
      <c r="Z132" s="757"/>
    </row>
    <row r="133" ht="12.75" customHeight="1">
      <c r="A133" s="761">
        <v>131.0</v>
      </c>
      <c r="B133" s="169" t="s">
        <v>5</v>
      </c>
      <c r="C133" s="169" t="s">
        <v>11876</v>
      </c>
      <c r="D133" s="169" t="s">
        <v>555</v>
      </c>
      <c r="E133" s="169" t="s">
        <v>12697</v>
      </c>
      <c r="F133" s="169" t="s">
        <v>11844</v>
      </c>
      <c r="G133" s="169" t="s">
        <v>5</v>
      </c>
      <c r="H133" s="169" t="s">
        <v>5</v>
      </c>
      <c r="I133" s="169" t="s">
        <v>5</v>
      </c>
      <c r="J133" s="169" t="s">
        <v>5</v>
      </c>
      <c r="K133" s="169" t="s">
        <v>5</v>
      </c>
      <c r="L133" s="169" t="s">
        <v>5</v>
      </c>
      <c r="M133" s="762" t="s">
        <v>5</v>
      </c>
      <c r="N133" s="763" t="s">
        <v>9265</v>
      </c>
      <c r="O133" s="762" t="s">
        <v>5</v>
      </c>
      <c r="P133" s="169" t="s">
        <v>11802</v>
      </c>
      <c r="Q133" s="757"/>
      <c r="R133" s="757"/>
      <c r="S133" s="757"/>
      <c r="T133" s="757"/>
      <c r="U133" s="757"/>
      <c r="V133" s="757"/>
      <c r="W133" s="757"/>
      <c r="X133" s="757"/>
      <c r="Y133" s="757"/>
      <c r="Z133" s="757"/>
    </row>
    <row r="134" ht="12.75" customHeight="1">
      <c r="A134" s="761">
        <v>132.0</v>
      </c>
      <c r="B134" s="169" t="s">
        <v>5</v>
      </c>
      <c r="C134" s="169" t="s">
        <v>5189</v>
      </c>
      <c r="D134" s="169" t="s">
        <v>555</v>
      </c>
      <c r="E134" s="169" t="s">
        <v>12698</v>
      </c>
      <c r="F134" s="169" t="s">
        <v>11844</v>
      </c>
      <c r="G134" s="169" t="s">
        <v>5</v>
      </c>
      <c r="H134" s="169" t="s">
        <v>5</v>
      </c>
      <c r="I134" s="169" t="s">
        <v>5</v>
      </c>
      <c r="J134" s="169" t="s">
        <v>5</v>
      </c>
      <c r="K134" s="169" t="s">
        <v>5</v>
      </c>
      <c r="L134" s="169" t="s">
        <v>5</v>
      </c>
      <c r="M134" s="762" t="s">
        <v>5</v>
      </c>
      <c r="N134" s="763" t="s">
        <v>9265</v>
      </c>
      <c r="O134" s="762" t="s">
        <v>5</v>
      </c>
      <c r="P134" s="169" t="s">
        <v>11802</v>
      </c>
      <c r="Q134" s="757"/>
      <c r="R134" s="757"/>
      <c r="S134" s="757"/>
      <c r="T134" s="757"/>
      <c r="U134" s="757"/>
      <c r="V134" s="757"/>
      <c r="W134" s="757"/>
      <c r="X134" s="757"/>
      <c r="Y134" s="757"/>
      <c r="Z134" s="757"/>
    </row>
    <row r="135" ht="12.75" customHeight="1">
      <c r="A135" s="761">
        <v>133.0</v>
      </c>
      <c r="B135" s="169" t="s">
        <v>5</v>
      </c>
      <c r="C135" s="169" t="s">
        <v>3293</v>
      </c>
      <c r="D135" s="169" t="s">
        <v>556</v>
      </c>
      <c r="E135" s="169" t="s">
        <v>12699</v>
      </c>
      <c r="F135" s="169" t="s">
        <v>11851</v>
      </c>
      <c r="G135" s="169" t="s">
        <v>5</v>
      </c>
      <c r="H135" s="169" t="s">
        <v>5</v>
      </c>
      <c r="I135" s="169" t="s">
        <v>5</v>
      </c>
      <c r="J135" s="169" t="s">
        <v>5</v>
      </c>
      <c r="K135" s="169" t="s">
        <v>5</v>
      </c>
      <c r="L135" s="169" t="s">
        <v>5</v>
      </c>
      <c r="M135" s="762" t="s">
        <v>5</v>
      </c>
      <c r="N135" s="763" t="s">
        <v>9265</v>
      </c>
      <c r="O135" s="762" t="s">
        <v>5</v>
      </c>
      <c r="P135" s="169" t="s">
        <v>11802</v>
      </c>
      <c r="Q135" s="757"/>
      <c r="R135" s="757"/>
      <c r="S135" s="757"/>
      <c r="T135" s="757"/>
      <c r="U135" s="757"/>
      <c r="V135" s="757"/>
      <c r="W135" s="757"/>
      <c r="X135" s="757"/>
      <c r="Y135" s="757"/>
      <c r="Z135" s="757"/>
    </row>
    <row r="136" ht="12.75" customHeight="1">
      <c r="A136" s="761">
        <v>134.0</v>
      </c>
      <c r="B136" s="169" t="s">
        <v>5</v>
      </c>
      <c r="C136" s="169" t="s">
        <v>4493</v>
      </c>
      <c r="D136" s="169" t="s">
        <v>556</v>
      </c>
      <c r="E136" s="169" t="s">
        <v>12700</v>
      </c>
      <c r="F136" s="169" t="s">
        <v>11851</v>
      </c>
      <c r="G136" s="169" t="s">
        <v>5</v>
      </c>
      <c r="H136" s="169" t="s">
        <v>5</v>
      </c>
      <c r="I136" s="169" t="s">
        <v>5</v>
      </c>
      <c r="J136" s="169" t="s">
        <v>5</v>
      </c>
      <c r="K136" s="169" t="s">
        <v>5</v>
      </c>
      <c r="L136" s="169" t="s">
        <v>5</v>
      </c>
      <c r="M136" s="762" t="s">
        <v>5</v>
      </c>
      <c r="N136" s="763" t="s">
        <v>9265</v>
      </c>
      <c r="O136" s="762" t="s">
        <v>5</v>
      </c>
      <c r="P136" s="169" t="s">
        <v>11802</v>
      </c>
      <c r="Q136" s="757"/>
      <c r="R136" s="757"/>
      <c r="S136" s="757"/>
      <c r="T136" s="757"/>
      <c r="U136" s="757"/>
      <c r="V136" s="757"/>
      <c r="W136" s="757"/>
      <c r="X136" s="757"/>
      <c r="Y136" s="757"/>
      <c r="Z136" s="757"/>
    </row>
    <row r="137" ht="12.75" customHeight="1">
      <c r="A137" s="761">
        <v>135.0</v>
      </c>
      <c r="B137" s="169" t="s">
        <v>5</v>
      </c>
      <c r="C137" s="169" t="s">
        <v>617</v>
      </c>
      <c r="D137" s="169" t="s">
        <v>556</v>
      </c>
      <c r="E137" s="169" t="s">
        <v>12701</v>
      </c>
      <c r="F137" s="169" t="s">
        <v>11851</v>
      </c>
      <c r="G137" s="169" t="s">
        <v>5</v>
      </c>
      <c r="H137" s="169" t="s">
        <v>5</v>
      </c>
      <c r="I137" s="169" t="s">
        <v>11849</v>
      </c>
      <c r="J137" s="169" t="s">
        <v>5</v>
      </c>
      <c r="K137" s="169" t="s">
        <v>5</v>
      </c>
      <c r="L137" s="169" t="s">
        <v>5</v>
      </c>
      <c r="M137" s="762" t="s">
        <v>5</v>
      </c>
      <c r="N137" s="763" t="s">
        <v>9265</v>
      </c>
      <c r="O137" s="762" t="s">
        <v>5</v>
      </c>
      <c r="P137" s="169" t="s">
        <v>11802</v>
      </c>
      <c r="Q137" s="757"/>
      <c r="R137" s="757"/>
      <c r="S137" s="757"/>
      <c r="T137" s="757"/>
      <c r="U137" s="757"/>
      <c r="V137" s="757"/>
      <c r="W137" s="757"/>
      <c r="X137" s="757"/>
      <c r="Y137" s="757"/>
      <c r="Z137" s="757"/>
    </row>
    <row r="138" ht="12.75" customHeight="1">
      <c r="A138" s="761">
        <v>136.0</v>
      </c>
      <c r="B138" s="169" t="s">
        <v>5</v>
      </c>
      <c r="C138" s="169" t="s">
        <v>557</v>
      </c>
      <c r="D138" s="169" t="s">
        <v>556</v>
      </c>
      <c r="E138" s="169" t="s">
        <v>12702</v>
      </c>
      <c r="F138" s="169" t="s">
        <v>11851</v>
      </c>
      <c r="G138" s="169" t="s">
        <v>5</v>
      </c>
      <c r="H138" s="169" t="s">
        <v>5</v>
      </c>
      <c r="I138" s="169" t="s">
        <v>5</v>
      </c>
      <c r="J138" s="169" t="s">
        <v>5</v>
      </c>
      <c r="K138" s="169" t="s">
        <v>5</v>
      </c>
      <c r="L138" s="169" t="s">
        <v>5</v>
      </c>
      <c r="M138" s="762" t="s">
        <v>5</v>
      </c>
      <c r="N138" s="763" t="s">
        <v>9265</v>
      </c>
      <c r="O138" s="762" t="s">
        <v>5</v>
      </c>
      <c r="P138" s="169" t="s">
        <v>11802</v>
      </c>
      <c r="Q138" s="757"/>
      <c r="R138" s="757"/>
      <c r="S138" s="757"/>
      <c r="T138" s="757"/>
      <c r="U138" s="757"/>
      <c r="V138" s="757"/>
      <c r="W138" s="757"/>
      <c r="X138" s="757"/>
      <c r="Y138" s="757"/>
      <c r="Z138" s="757"/>
    </row>
    <row r="139" ht="12.75" customHeight="1">
      <c r="A139" s="761">
        <v>137.0</v>
      </c>
      <c r="B139" s="169" t="s">
        <v>5</v>
      </c>
      <c r="C139" s="169" t="s">
        <v>3056</v>
      </c>
      <c r="D139" s="169" t="s">
        <v>556</v>
      </c>
      <c r="E139" s="169" t="s">
        <v>12703</v>
      </c>
      <c r="F139" s="169" t="s">
        <v>11851</v>
      </c>
      <c r="G139" s="169" t="s">
        <v>5</v>
      </c>
      <c r="H139" s="169" t="s">
        <v>5</v>
      </c>
      <c r="I139" s="169" t="s">
        <v>5</v>
      </c>
      <c r="J139" s="169" t="s">
        <v>5</v>
      </c>
      <c r="K139" s="169" t="s">
        <v>5</v>
      </c>
      <c r="L139" s="169" t="s">
        <v>5</v>
      </c>
      <c r="M139" s="762" t="s">
        <v>5</v>
      </c>
      <c r="N139" s="763" t="s">
        <v>9265</v>
      </c>
      <c r="O139" s="762" t="s">
        <v>5</v>
      </c>
      <c r="P139" s="169" t="s">
        <v>11802</v>
      </c>
      <c r="Q139" s="757"/>
      <c r="R139" s="757"/>
      <c r="S139" s="757"/>
      <c r="T139" s="757"/>
      <c r="U139" s="757"/>
      <c r="V139" s="757"/>
      <c r="W139" s="757"/>
      <c r="X139" s="757"/>
      <c r="Y139" s="757"/>
      <c r="Z139" s="757"/>
    </row>
    <row r="140" ht="12.75" customHeight="1">
      <c r="A140" s="761">
        <v>138.0</v>
      </c>
      <c r="B140" s="169" t="s">
        <v>5</v>
      </c>
      <c r="C140" s="169" t="s">
        <v>2996</v>
      </c>
      <c r="D140" s="169" t="s">
        <v>556</v>
      </c>
      <c r="E140" s="169" t="s">
        <v>12704</v>
      </c>
      <c r="F140" s="169" t="s">
        <v>11851</v>
      </c>
      <c r="G140" s="169" t="s">
        <v>5</v>
      </c>
      <c r="H140" s="169" t="s">
        <v>5</v>
      </c>
      <c r="I140" s="169" t="s">
        <v>11849</v>
      </c>
      <c r="J140" s="169" t="s">
        <v>5</v>
      </c>
      <c r="K140" s="169" t="s">
        <v>5</v>
      </c>
      <c r="L140" s="169" t="s">
        <v>5</v>
      </c>
      <c r="M140" s="762" t="s">
        <v>5</v>
      </c>
      <c r="N140" s="763" t="s">
        <v>9265</v>
      </c>
      <c r="O140" s="762" t="s">
        <v>5</v>
      </c>
      <c r="P140" s="169" t="s">
        <v>11802</v>
      </c>
      <c r="Q140" s="757"/>
      <c r="R140" s="757"/>
      <c r="S140" s="757"/>
      <c r="T140" s="757"/>
      <c r="U140" s="757"/>
      <c r="V140" s="757"/>
      <c r="W140" s="757"/>
      <c r="X140" s="757"/>
      <c r="Y140" s="757"/>
      <c r="Z140" s="757"/>
    </row>
    <row r="141" ht="12.75" customHeight="1">
      <c r="A141" s="761">
        <v>139.0</v>
      </c>
      <c r="B141" s="169" t="s">
        <v>5</v>
      </c>
      <c r="C141" s="169" t="s">
        <v>5195</v>
      </c>
      <c r="D141" s="169" t="s">
        <v>555</v>
      </c>
      <c r="E141" s="169" t="s">
        <v>12705</v>
      </c>
      <c r="F141" s="169" t="s">
        <v>11851</v>
      </c>
      <c r="G141" s="169" t="s">
        <v>5</v>
      </c>
      <c r="H141" s="169" t="s">
        <v>5</v>
      </c>
      <c r="I141" s="169" t="s">
        <v>5</v>
      </c>
      <c r="J141" s="169" t="s">
        <v>5</v>
      </c>
      <c r="K141" s="169" t="s">
        <v>5</v>
      </c>
      <c r="L141" s="169" t="s">
        <v>5</v>
      </c>
      <c r="M141" s="762" t="s">
        <v>5</v>
      </c>
      <c r="N141" s="763" t="s">
        <v>9265</v>
      </c>
      <c r="O141" s="762" t="s">
        <v>5</v>
      </c>
      <c r="P141" s="169" t="s">
        <v>11802</v>
      </c>
      <c r="Q141" s="757"/>
      <c r="R141" s="757"/>
      <c r="S141" s="757"/>
      <c r="T141" s="757"/>
      <c r="U141" s="757"/>
      <c r="V141" s="757"/>
      <c r="W141" s="757"/>
      <c r="X141" s="757"/>
      <c r="Y141" s="757"/>
      <c r="Z141" s="757"/>
    </row>
    <row r="142" ht="12.75" customHeight="1">
      <c r="A142" s="761">
        <v>140.0</v>
      </c>
      <c r="B142" s="169" t="s">
        <v>5</v>
      </c>
      <c r="C142" s="169" t="s">
        <v>10583</v>
      </c>
      <c r="D142" s="169" t="s">
        <v>453</v>
      </c>
      <c r="E142" s="169" t="s">
        <v>12706</v>
      </c>
      <c r="F142" s="169" t="s">
        <v>11850</v>
      </c>
      <c r="G142" s="169" t="s">
        <v>5</v>
      </c>
      <c r="H142" s="169" t="s">
        <v>5</v>
      </c>
      <c r="I142" s="169" t="s">
        <v>5</v>
      </c>
      <c r="J142" s="169" t="s">
        <v>5</v>
      </c>
      <c r="K142" s="169" t="s">
        <v>5</v>
      </c>
      <c r="L142" s="169" t="s">
        <v>5</v>
      </c>
      <c r="M142" s="762" t="s">
        <v>5</v>
      </c>
      <c r="N142" s="763" t="s">
        <v>9265</v>
      </c>
      <c r="O142" s="762" t="s">
        <v>5</v>
      </c>
      <c r="P142" s="169" t="s">
        <v>11802</v>
      </c>
      <c r="Q142" s="757"/>
      <c r="R142" s="757"/>
      <c r="S142" s="757"/>
      <c r="T142" s="757"/>
      <c r="U142" s="757"/>
      <c r="V142" s="757"/>
      <c r="W142" s="757"/>
      <c r="X142" s="757"/>
      <c r="Y142" s="757"/>
      <c r="Z142" s="757"/>
    </row>
    <row r="143" ht="12.75" customHeight="1">
      <c r="A143" s="761">
        <v>141.0</v>
      </c>
      <c r="B143" s="169" t="s">
        <v>5</v>
      </c>
      <c r="C143" s="169" t="s">
        <v>6947</v>
      </c>
      <c r="D143" s="169" t="s">
        <v>52</v>
      </c>
      <c r="E143" s="169" t="s">
        <v>12707</v>
      </c>
      <c r="F143" s="169" t="s">
        <v>11844</v>
      </c>
      <c r="G143" s="169" t="s">
        <v>5</v>
      </c>
      <c r="H143" s="169" t="s">
        <v>5</v>
      </c>
      <c r="I143" s="169" t="s">
        <v>5</v>
      </c>
      <c r="J143" s="169" t="s">
        <v>5</v>
      </c>
      <c r="K143" s="169" t="s">
        <v>5</v>
      </c>
      <c r="L143" s="169" t="s">
        <v>5</v>
      </c>
      <c r="M143" s="762" t="s">
        <v>5</v>
      </c>
      <c r="N143" s="763" t="s">
        <v>9265</v>
      </c>
      <c r="O143" s="762" t="s">
        <v>5</v>
      </c>
      <c r="P143" s="169" t="s">
        <v>11802</v>
      </c>
      <c r="Q143" s="757"/>
      <c r="R143" s="757"/>
      <c r="S143" s="757"/>
      <c r="T143" s="757"/>
      <c r="U143" s="757"/>
      <c r="V143" s="757"/>
      <c r="W143" s="757"/>
      <c r="X143" s="757"/>
      <c r="Y143" s="757"/>
      <c r="Z143" s="757"/>
    </row>
    <row r="144" ht="12.75" customHeight="1">
      <c r="A144" s="761">
        <v>142.0</v>
      </c>
      <c r="B144" s="169" t="s">
        <v>5</v>
      </c>
      <c r="C144" s="169" t="s">
        <v>3267</v>
      </c>
      <c r="D144" s="169" t="s">
        <v>52</v>
      </c>
      <c r="E144" s="169" t="s">
        <v>12708</v>
      </c>
      <c r="F144" s="169" t="s">
        <v>11844</v>
      </c>
      <c r="G144" s="169" t="s">
        <v>5</v>
      </c>
      <c r="H144" s="169" t="s">
        <v>5</v>
      </c>
      <c r="I144" s="169" t="s">
        <v>5</v>
      </c>
      <c r="J144" s="169" t="s">
        <v>5</v>
      </c>
      <c r="K144" s="169" t="s">
        <v>5</v>
      </c>
      <c r="L144" s="169" t="s">
        <v>5</v>
      </c>
      <c r="M144" s="762" t="s">
        <v>5</v>
      </c>
      <c r="N144" s="763" t="s">
        <v>9265</v>
      </c>
      <c r="O144" s="762" t="s">
        <v>5</v>
      </c>
      <c r="P144" s="169" t="s">
        <v>11802</v>
      </c>
      <c r="Q144" s="757"/>
      <c r="R144" s="757"/>
      <c r="S144" s="757"/>
      <c r="T144" s="757"/>
      <c r="U144" s="757"/>
      <c r="V144" s="757"/>
      <c r="W144" s="757"/>
      <c r="X144" s="757"/>
      <c r="Y144" s="757"/>
      <c r="Z144" s="757"/>
    </row>
    <row r="145" ht="12.75" customHeight="1">
      <c r="A145" s="761">
        <v>143.0</v>
      </c>
      <c r="B145" s="169" t="s">
        <v>5</v>
      </c>
      <c r="C145" s="169" t="s">
        <v>9468</v>
      </c>
      <c r="D145" s="169" t="s">
        <v>638</v>
      </c>
      <c r="E145" s="169" t="s">
        <v>12709</v>
      </c>
      <c r="F145" s="169" t="s">
        <v>11851</v>
      </c>
      <c r="G145" s="169" t="s">
        <v>5</v>
      </c>
      <c r="H145" s="169" t="s">
        <v>5</v>
      </c>
      <c r="I145" s="169" t="s">
        <v>5</v>
      </c>
      <c r="J145" s="169" t="s">
        <v>5</v>
      </c>
      <c r="K145" s="169" t="s">
        <v>5</v>
      </c>
      <c r="L145" s="169" t="s">
        <v>5</v>
      </c>
      <c r="M145" s="762" t="s">
        <v>5</v>
      </c>
      <c r="N145" s="763" t="s">
        <v>9265</v>
      </c>
      <c r="O145" s="762" t="s">
        <v>5</v>
      </c>
      <c r="P145" s="169" t="s">
        <v>11802</v>
      </c>
      <c r="Q145" s="757"/>
      <c r="R145" s="757"/>
      <c r="S145" s="757"/>
      <c r="T145" s="757"/>
      <c r="U145" s="757"/>
      <c r="V145" s="757"/>
      <c r="W145" s="757"/>
      <c r="X145" s="757"/>
      <c r="Y145" s="757"/>
      <c r="Z145" s="757"/>
    </row>
    <row r="146" ht="12.75" customHeight="1">
      <c r="A146" s="761">
        <v>144.0</v>
      </c>
      <c r="B146" s="169" t="s">
        <v>5</v>
      </c>
      <c r="C146" s="169" t="s">
        <v>639</v>
      </c>
      <c r="D146" s="169" t="s">
        <v>638</v>
      </c>
      <c r="E146" s="169" t="s">
        <v>12710</v>
      </c>
      <c r="F146" s="169" t="s">
        <v>11851</v>
      </c>
      <c r="G146" s="169" t="s">
        <v>5</v>
      </c>
      <c r="H146" s="169" t="s">
        <v>5</v>
      </c>
      <c r="I146" s="169" t="s">
        <v>5</v>
      </c>
      <c r="J146" s="169" t="s">
        <v>5</v>
      </c>
      <c r="K146" s="169" t="s">
        <v>5</v>
      </c>
      <c r="L146" s="169" t="s">
        <v>5</v>
      </c>
      <c r="M146" s="762" t="s">
        <v>5</v>
      </c>
      <c r="N146" s="763" t="s">
        <v>9265</v>
      </c>
      <c r="O146" s="762" t="s">
        <v>5</v>
      </c>
      <c r="P146" s="169" t="s">
        <v>11802</v>
      </c>
      <c r="Q146" s="757"/>
      <c r="R146" s="757"/>
      <c r="S146" s="757"/>
      <c r="T146" s="757"/>
      <c r="U146" s="757"/>
      <c r="V146" s="757"/>
      <c r="W146" s="757"/>
      <c r="X146" s="757"/>
      <c r="Y146" s="757"/>
      <c r="Z146" s="757"/>
    </row>
    <row r="147" ht="12.75" customHeight="1">
      <c r="A147" s="761">
        <v>145.0</v>
      </c>
      <c r="B147" s="169" t="s">
        <v>5</v>
      </c>
      <c r="C147" s="169" t="s">
        <v>2875</v>
      </c>
      <c r="D147" s="169" t="s">
        <v>52</v>
      </c>
      <c r="E147" s="169" t="s">
        <v>12711</v>
      </c>
      <c r="F147" s="169" t="s">
        <v>11844</v>
      </c>
      <c r="G147" s="169" t="s">
        <v>5</v>
      </c>
      <c r="H147" s="169" t="s">
        <v>5</v>
      </c>
      <c r="I147" s="169" t="s">
        <v>5</v>
      </c>
      <c r="J147" s="169" t="s">
        <v>5</v>
      </c>
      <c r="K147" s="169" t="s">
        <v>5</v>
      </c>
      <c r="L147" s="169" t="s">
        <v>5</v>
      </c>
      <c r="M147" s="762" t="s">
        <v>5</v>
      </c>
      <c r="N147" s="763" t="s">
        <v>9265</v>
      </c>
      <c r="O147" s="762" t="s">
        <v>5</v>
      </c>
      <c r="P147" s="169" t="s">
        <v>11802</v>
      </c>
      <c r="Q147" s="757"/>
      <c r="R147" s="757"/>
      <c r="S147" s="757"/>
      <c r="T147" s="757"/>
      <c r="U147" s="757"/>
      <c r="V147" s="757"/>
      <c r="W147" s="757"/>
      <c r="X147" s="757"/>
      <c r="Y147" s="757"/>
      <c r="Z147" s="757"/>
    </row>
    <row r="148" ht="12.75" customHeight="1">
      <c r="A148" s="761">
        <v>146.0</v>
      </c>
      <c r="B148" s="169" t="s">
        <v>5</v>
      </c>
      <c r="C148" s="169" t="s">
        <v>11878</v>
      </c>
      <c r="D148" s="169" t="s">
        <v>52</v>
      </c>
      <c r="E148" s="169" t="s">
        <v>12712</v>
      </c>
      <c r="F148" s="169" t="s">
        <v>11851</v>
      </c>
      <c r="G148" s="169" t="s">
        <v>5</v>
      </c>
      <c r="H148" s="169" t="s">
        <v>5</v>
      </c>
      <c r="I148" s="169" t="s">
        <v>5</v>
      </c>
      <c r="J148" s="169" t="s">
        <v>5</v>
      </c>
      <c r="K148" s="169" t="s">
        <v>5</v>
      </c>
      <c r="L148" s="169" t="s">
        <v>5</v>
      </c>
      <c r="M148" s="762" t="s">
        <v>5</v>
      </c>
      <c r="N148" s="763" t="s">
        <v>9265</v>
      </c>
      <c r="O148" s="762" t="s">
        <v>5</v>
      </c>
      <c r="P148" s="169" t="s">
        <v>11802</v>
      </c>
      <c r="Q148" s="757"/>
      <c r="R148" s="757"/>
      <c r="S148" s="757"/>
      <c r="T148" s="757"/>
      <c r="U148" s="757"/>
      <c r="V148" s="757"/>
      <c r="W148" s="757"/>
      <c r="X148" s="757"/>
      <c r="Y148" s="757"/>
      <c r="Z148" s="757"/>
    </row>
    <row r="149" ht="12.75" customHeight="1">
      <c r="A149" s="761">
        <v>147.0</v>
      </c>
      <c r="B149" s="169" t="s">
        <v>5</v>
      </c>
      <c r="C149" s="169" t="s">
        <v>3550</v>
      </c>
      <c r="D149" s="169" t="s">
        <v>52</v>
      </c>
      <c r="E149" s="169" t="s">
        <v>12713</v>
      </c>
      <c r="F149" s="169" t="s">
        <v>11844</v>
      </c>
      <c r="G149" s="169" t="s">
        <v>5</v>
      </c>
      <c r="H149" s="169" t="s">
        <v>5</v>
      </c>
      <c r="I149" s="169" t="s">
        <v>11849</v>
      </c>
      <c r="J149" s="169" t="s">
        <v>5</v>
      </c>
      <c r="K149" s="169" t="s">
        <v>5</v>
      </c>
      <c r="L149" s="169" t="s">
        <v>5</v>
      </c>
      <c r="M149" s="762" t="s">
        <v>5</v>
      </c>
      <c r="N149" s="763" t="s">
        <v>9265</v>
      </c>
      <c r="O149" s="762" t="s">
        <v>5</v>
      </c>
      <c r="P149" s="169" t="s">
        <v>11802</v>
      </c>
      <c r="Q149" s="757"/>
      <c r="R149" s="757"/>
      <c r="S149" s="757"/>
      <c r="T149" s="757"/>
      <c r="U149" s="757"/>
      <c r="V149" s="757"/>
      <c r="W149" s="757"/>
      <c r="X149" s="757"/>
      <c r="Y149" s="757"/>
      <c r="Z149" s="757"/>
    </row>
    <row r="150" ht="12.75" customHeight="1">
      <c r="A150" s="761">
        <v>148.0</v>
      </c>
      <c r="B150" s="169" t="s">
        <v>5</v>
      </c>
      <c r="C150" s="169" t="s">
        <v>10596</v>
      </c>
      <c r="D150" s="169" t="s">
        <v>52</v>
      </c>
      <c r="E150" s="169" t="s">
        <v>12714</v>
      </c>
      <c r="F150" s="169" t="s">
        <v>11844</v>
      </c>
      <c r="G150" s="169" t="s">
        <v>5</v>
      </c>
      <c r="H150" s="169" t="s">
        <v>5</v>
      </c>
      <c r="I150" s="169" t="s">
        <v>11849</v>
      </c>
      <c r="J150" s="169" t="s">
        <v>5</v>
      </c>
      <c r="K150" s="169" t="s">
        <v>5</v>
      </c>
      <c r="L150" s="169" t="s">
        <v>5</v>
      </c>
      <c r="M150" s="762">
        <v>45407.0</v>
      </c>
      <c r="N150" s="763" t="s">
        <v>9265</v>
      </c>
      <c r="O150" s="762" t="s">
        <v>5</v>
      </c>
      <c r="P150" s="169" t="s">
        <v>11802</v>
      </c>
      <c r="Q150" s="757"/>
      <c r="R150" s="757"/>
      <c r="S150" s="757"/>
      <c r="T150" s="757"/>
      <c r="U150" s="757"/>
      <c r="V150" s="757"/>
      <c r="W150" s="757"/>
      <c r="X150" s="757"/>
      <c r="Y150" s="757"/>
      <c r="Z150" s="757"/>
    </row>
    <row r="151" ht="12.75" customHeight="1">
      <c r="A151" s="761">
        <v>149.0</v>
      </c>
      <c r="B151" s="169" t="s">
        <v>5</v>
      </c>
      <c r="C151" s="169" t="s">
        <v>10600</v>
      </c>
      <c r="D151" s="169" t="s">
        <v>10597</v>
      </c>
      <c r="E151" s="169" t="s">
        <v>12715</v>
      </c>
      <c r="F151" s="169" t="s">
        <v>11854</v>
      </c>
      <c r="G151" s="169" t="s">
        <v>5</v>
      </c>
      <c r="H151" s="169" t="s">
        <v>5</v>
      </c>
      <c r="I151" s="169" t="s">
        <v>11849</v>
      </c>
      <c r="J151" s="169" t="s">
        <v>5</v>
      </c>
      <c r="K151" s="169" t="s">
        <v>5</v>
      </c>
      <c r="L151" s="169" t="s">
        <v>5</v>
      </c>
      <c r="M151" s="762">
        <v>45407.0</v>
      </c>
      <c r="N151" s="763" t="s">
        <v>9265</v>
      </c>
      <c r="O151" s="762" t="s">
        <v>5</v>
      </c>
      <c r="P151" s="169" t="s">
        <v>11802</v>
      </c>
      <c r="Q151" s="757"/>
      <c r="R151" s="757"/>
      <c r="S151" s="757"/>
      <c r="T151" s="757"/>
      <c r="U151" s="757"/>
      <c r="V151" s="757"/>
      <c r="W151" s="757"/>
      <c r="X151" s="757"/>
      <c r="Y151" s="757"/>
      <c r="Z151" s="757"/>
    </row>
    <row r="152" ht="12.75" customHeight="1">
      <c r="A152" s="761">
        <v>150.0</v>
      </c>
      <c r="B152" s="169" t="s">
        <v>5</v>
      </c>
      <c r="C152" s="169" t="s">
        <v>10603</v>
      </c>
      <c r="D152" s="169" t="s">
        <v>10597</v>
      </c>
      <c r="E152" s="169" t="s">
        <v>12716</v>
      </c>
      <c r="F152" s="169" t="s">
        <v>11854</v>
      </c>
      <c r="G152" s="169" t="s">
        <v>5</v>
      </c>
      <c r="H152" s="169" t="s">
        <v>5</v>
      </c>
      <c r="I152" s="169" t="s">
        <v>11849</v>
      </c>
      <c r="J152" s="169" t="s">
        <v>5</v>
      </c>
      <c r="K152" s="169" t="s">
        <v>5</v>
      </c>
      <c r="L152" s="169" t="s">
        <v>5</v>
      </c>
      <c r="M152" s="762">
        <v>45407.0</v>
      </c>
      <c r="N152" s="763" t="s">
        <v>9265</v>
      </c>
      <c r="O152" s="762" t="s">
        <v>5</v>
      </c>
      <c r="P152" s="169" t="s">
        <v>11802</v>
      </c>
      <c r="Q152" s="757"/>
      <c r="R152" s="757"/>
      <c r="S152" s="757"/>
      <c r="T152" s="757"/>
      <c r="U152" s="757"/>
      <c r="V152" s="757"/>
      <c r="W152" s="757"/>
      <c r="X152" s="757"/>
      <c r="Y152" s="757"/>
      <c r="Z152" s="757"/>
    </row>
    <row r="153" ht="12.75" customHeight="1">
      <c r="A153" s="761">
        <v>151.0</v>
      </c>
      <c r="B153" s="169" t="s">
        <v>5</v>
      </c>
      <c r="C153" s="169" t="s">
        <v>10606</v>
      </c>
      <c r="D153" s="169" t="s">
        <v>10597</v>
      </c>
      <c r="E153" s="169" t="s">
        <v>12717</v>
      </c>
      <c r="F153" s="169" t="s">
        <v>11854</v>
      </c>
      <c r="G153" s="169" t="s">
        <v>5</v>
      </c>
      <c r="H153" s="169" t="s">
        <v>5</v>
      </c>
      <c r="I153" s="169" t="s">
        <v>11849</v>
      </c>
      <c r="J153" s="169" t="s">
        <v>5</v>
      </c>
      <c r="K153" s="169" t="s">
        <v>5</v>
      </c>
      <c r="L153" s="169" t="s">
        <v>5</v>
      </c>
      <c r="M153" s="762">
        <v>45407.0</v>
      </c>
      <c r="N153" s="763" t="s">
        <v>9265</v>
      </c>
      <c r="O153" s="762" t="s">
        <v>5</v>
      </c>
      <c r="P153" s="169" t="s">
        <v>11802</v>
      </c>
      <c r="Q153" s="757"/>
      <c r="R153" s="757"/>
      <c r="S153" s="757"/>
      <c r="T153" s="757"/>
      <c r="U153" s="757"/>
      <c r="V153" s="757"/>
      <c r="W153" s="757"/>
      <c r="X153" s="757"/>
      <c r="Y153" s="757"/>
      <c r="Z153" s="757"/>
    </row>
    <row r="154" ht="12.75" customHeight="1">
      <c r="A154" s="761">
        <v>152.0</v>
      </c>
      <c r="B154" s="169" t="s">
        <v>5</v>
      </c>
      <c r="C154" s="169" t="s">
        <v>4881</v>
      </c>
      <c r="D154" s="169" t="s">
        <v>453</v>
      </c>
      <c r="E154" s="169" t="s">
        <v>12718</v>
      </c>
      <c r="F154" s="169" t="s">
        <v>11850</v>
      </c>
      <c r="G154" s="169" t="s">
        <v>5</v>
      </c>
      <c r="H154" s="169" t="s">
        <v>5</v>
      </c>
      <c r="I154" s="169" t="s">
        <v>5</v>
      </c>
      <c r="J154" s="169" t="s">
        <v>5</v>
      </c>
      <c r="K154" s="169" t="s">
        <v>5</v>
      </c>
      <c r="L154" s="169" t="s">
        <v>5</v>
      </c>
      <c r="M154" s="762" t="s">
        <v>5</v>
      </c>
      <c r="N154" s="763" t="s">
        <v>9265</v>
      </c>
      <c r="O154" s="762" t="s">
        <v>5</v>
      </c>
      <c r="P154" s="169" t="s">
        <v>11802</v>
      </c>
      <c r="Q154" s="757"/>
      <c r="R154" s="757"/>
      <c r="S154" s="757"/>
      <c r="T154" s="757"/>
      <c r="U154" s="757"/>
      <c r="V154" s="757"/>
      <c r="W154" s="757"/>
      <c r="X154" s="757"/>
      <c r="Y154" s="757"/>
      <c r="Z154" s="757"/>
    </row>
    <row r="155" ht="12.75" customHeight="1">
      <c r="A155" s="761">
        <v>153.0</v>
      </c>
      <c r="B155" s="169" t="s">
        <v>5</v>
      </c>
      <c r="C155" s="169" t="s">
        <v>10554</v>
      </c>
      <c r="D155" s="169" t="s">
        <v>453</v>
      </c>
      <c r="E155" s="169" t="s">
        <v>12719</v>
      </c>
      <c r="F155" s="169" t="s">
        <v>11850</v>
      </c>
      <c r="G155" s="169" t="s">
        <v>5</v>
      </c>
      <c r="H155" s="169" t="s">
        <v>5</v>
      </c>
      <c r="I155" s="169" t="s">
        <v>5</v>
      </c>
      <c r="J155" s="169" t="s">
        <v>5</v>
      </c>
      <c r="K155" s="169" t="s">
        <v>5</v>
      </c>
      <c r="L155" s="169" t="s">
        <v>5</v>
      </c>
      <c r="M155" s="762" t="s">
        <v>5</v>
      </c>
      <c r="N155" s="763" t="s">
        <v>9265</v>
      </c>
      <c r="O155" s="762" t="s">
        <v>5</v>
      </c>
      <c r="P155" s="169" t="s">
        <v>11802</v>
      </c>
      <c r="Q155" s="757"/>
      <c r="R155" s="757"/>
      <c r="S155" s="757"/>
      <c r="T155" s="757"/>
      <c r="U155" s="757"/>
      <c r="V155" s="757"/>
      <c r="W155" s="757"/>
      <c r="X155" s="757"/>
      <c r="Y155" s="757"/>
      <c r="Z155" s="757"/>
    </row>
    <row r="156" ht="12.75" customHeight="1">
      <c r="A156" s="761">
        <v>154.0</v>
      </c>
      <c r="B156" s="169" t="s">
        <v>5</v>
      </c>
      <c r="C156" s="169" t="s">
        <v>10558</v>
      </c>
      <c r="D156" s="169" t="s">
        <v>47</v>
      </c>
      <c r="E156" s="169" t="s">
        <v>12720</v>
      </c>
      <c r="F156" s="169" t="s">
        <v>11844</v>
      </c>
      <c r="G156" s="169" t="s">
        <v>5</v>
      </c>
      <c r="H156" s="169" t="s">
        <v>5</v>
      </c>
      <c r="I156" s="169" t="s">
        <v>5</v>
      </c>
      <c r="J156" s="169" t="s">
        <v>5</v>
      </c>
      <c r="K156" s="169" t="s">
        <v>5</v>
      </c>
      <c r="L156" s="169" t="s">
        <v>5</v>
      </c>
      <c r="M156" s="762" t="s">
        <v>5</v>
      </c>
      <c r="N156" s="763" t="s">
        <v>9265</v>
      </c>
      <c r="O156" s="762" t="s">
        <v>5</v>
      </c>
      <c r="P156" s="169" t="s">
        <v>11802</v>
      </c>
      <c r="Q156" s="757"/>
      <c r="R156" s="757"/>
      <c r="S156" s="757"/>
      <c r="T156" s="757"/>
      <c r="U156" s="757"/>
      <c r="V156" s="757"/>
      <c r="W156" s="757"/>
      <c r="X156" s="757"/>
      <c r="Y156" s="757"/>
      <c r="Z156" s="757"/>
    </row>
    <row r="157" ht="12.75" customHeight="1">
      <c r="A157" s="761">
        <v>155.0</v>
      </c>
      <c r="B157" s="169" t="s">
        <v>5</v>
      </c>
      <c r="C157" s="169" t="s">
        <v>5137</v>
      </c>
      <c r="D157" s="169" t="s">
        <v>3397</v>
      </c>
      <c r="E157" s="169" t="s">
        <v>12721</v>
      </c>
      <c r="F157" s="169" t="s">
        <v>11851</v>
      </c>
      <c r="G157" s="169" t="s">
        <v>5</v>
      </c>
      <c r="H157" s="169" t="s">
        <v>5</v>
      </c>
      <c r="I157" s="169" t="s">
        <v>5</v>
      </c>
      <c r="J157" s="169" t="s">
        <v>5</v>
      </c>
      <c r="K157" s="169" t="s">
        <v>5</v>
      </c>
      <c r="L157" s="169" t="s">
        <v>5</v>
      </c>
      <c r="M157" s="762" t="s">
        <v>5</v>
      </c>
      <c r="N157" s="763" t="s">
        <v>9265</v>
      </c>
      <c r="O157" s="762" t="s">
        <v>5</v>
      </c>
      <c r="P157" s="169" t="s">
        <v>11802</v>
      </c>
      <c r="Q157" s="757"/>
      <c r="R157" s="757"/>
      <c r="S157" s="757"/>
      <c r="T157" s="757"/>
      <c r="U157" s="757"/>
      <c r="V157" s="757"/>
      <c r="W157" s="757"/>
      <c r="X157" s="757"/>
      <c r="Y157" s="757"/>
      <c r="Z157" s="757"/>
    </row>
    <row r="158" ht="12.75" customHeight="1">
      <c r="A158" s="761">
        <v>156.0</v>
      </c>
      <c r="B158" s="169" t="s">
        <v>5</v>
      </c>
      <c r="C158" s="169" t="s">
        <v>4870</v>
      </c>
      <c r="D158" s="169" t="s">
        <v>3397</v>
      </c>
      <c r="E158" s="169" t="s">
        <v>12722</v>
      </c>
      <c r="F158" s="169" t="s">
        <v>11851</v>
      </c>
      <c r="G158" s="169" t="s">
        <v>5</v>
      </c>
      <c r="H158" s="169" t="s">
        <v>5</v>
      </c>
      <c r="I158" s="169" t="s">
        <v>5</v>
      </c>
      <c r="J158" s="169" t="s">
        <v>5</v>
      </c>
      <c r="K158" s="169" t="s">
        <v>5</v>
      </c>
      <c r="L158" s="169" t="s">
        <v>5</v>
      </c>
      <c r="M158" s="762" t="s">
        <v>5</v>
      </c>
      <c r="N158" s="763" t="s">
        <v>9265</v>
      </c>
      <c r="O158" s="762" t="s">
        <v>5</v>
      </c>
      <c r="P158" s="169" t="s">
        <v>11802</v>
      </c>
      <c r="Q158" s="757"/>
      <c r="R158" s="757"/>
      <c r="S158" s="757"/>
      <c r="T158" s="757"/>
      <c r="U158" s="757"/>
      <c r="V158" s="757"/>
      <c r="W158" s="757"/>
      <c r="X158" s="757"/>
      <c r="Y158" s="757"/>
      <c r="Z158" s="757"/>
    </row>
    <row r="159" ht="12.75" customHeight="1">
      <c r="A159" s="761">
        <v>157.0</v>
      </c>
      <c r="B159" s="169" t="s">
        <v>5</v>
      </c>
      <c r="C159" s="169" t="s">
        <v>3398</v>
      </c>
      <c r="D159" s="169" t="s">
        <v>3397</v>
      </c>
      <c r="E159" s="169" t="s">
        <v>12723</v>
      </c>
      <c r="F159" s="169" t="s">
        <v>11851</v>
      </c>
      <c r="G159" s="169" t="s">
        <v>5</v>
      </c>
      <c r="H159" s="169" t="s">
        <v>5</v>
      </c>
      <c r="I159" s="169" t="s">
        <v>5</v>
      </c>
      <c r="J159" s="169" t="s">
        <v>5</v>
      </c>
      <c r="K159" s="169" t="s">
        <v>5</v>
      </c>
      <c r="L159" s="169" t="s">
        <v>5</v>
      </c>
      <c r="M159" s="762" t="s">
        <v>5</v>
      </c>
      <c r="N159" s="763" t="s">
        <v>9265</v>
      </c>
      <c r="O159" s="762" t="s">
        <v>5</v>
      </c>
      <c r="P159" s="169" t="s">
        <v>11802</v>
      </c>
      <c r="Q159" s="757"/>
      <c r="R159" s="757"/>
      <c r="S159" s="757"/>
      <c r="T159" s="757"/>
      <c r="U159" s="757"/>
      <c r="V159" s="757"/>
      <c r="W159" s="757"/>
      <c r="X159" s="757"/>
      <c r="Y159" s="757"/>
      <c r="Z159" s="757"/>
    </row>
    <row r="160" ht="12.75" customHeight="1">
      <c r="A160" s="761">
        <v>158.0</v>
      </c>
      <c r="B160" s="169" t="s">
        <v>5</v>
      </c>
      <c r="C160" s="169" t="s">
        <v>3620</v>
      </c>
      <c r="D160" s="169" t="s">
        <v>3397</v>
      </c>
      <c r="E160" s="169" t="s">
        <v>12724</v>
      </c>
      <c r="F160" s="169" t="s">
        <v>11854</v>
      </c>
      <c r="G160" s="169" t="s">
        <v>5</v>
      </c>
      <c r="H160" s="169" t="s">
        <v>5</v>
      </c>
      <c r="I160" s="169" t="s">
        <v>11849</v>
      </c>
      <c r="J160" s="169" t="s">
        <v>5</v>
      </c>
      <c r="K160" s="169" t="s">
        <v>5</v>
      </c>
      <c r="L160" s="169" t="s">
        <v>5</v>
      </c>
      <c r="M160" s="762" t="s">
        <v>5</v>
      </c>
      <c r="N160" s="763" t="s">
        <v>9265</v>
      </c>
      <c r="O160" s="762" t="s">
        <v>5</v>
      </c>
      <c r="P160" s="169" t="s">
        <v>11802</v>
      </c>
      <c r="Q160" s="757"/>
      <c r="R160" s="757"/>
      <c r="S160" s="757"/>
      <c r="T160" s="757"/>
      <c r="U160" s="757"/>
      <c r="V160" s="757"/>
      <c r="W160" s="757"/>
      <c r="X160" s="757"/>
      <c r="Y160" s="757"/>
      <c r="Z160" s="757"/>
    </row>
    <row r="161" ht="12.75" customHeight="1">
      <c r="A161" s="761">
        <v>159.0</v>
      </c>
      <c r="B161" s="169" t="s">
        <v>5</v>
      </c>
      <c r="C161" s="169" t="s">
        <v>6309</v>
      </c>
      <c r="D161" s="169" t="s">
        <v>47</v>
      </c>
      <c r="E161" s="169" t="s">
        <v>12725</v>
      </c>
      <c r="F161" s="169" t="s">
        <v>11844</v>
      </c>
      <c r="G161" s="169" t="s">
        <v>5</v>
      </c>
      <c r="H161" s="169" t="s">
        <v>5</v>
      </c>
      <c r="I161" s="169" t="s">
        <v>5</v>
      </c>
      <c r="J161" s="169" t="s">
        <v>5</v>
      </c>
      <c r="K161" s="169" t="s">
        <v>5</v>
      </c>
      <c r="L161" s="169" t="s">
        <v>5</v>
      </c>
      <c r="M161" s="762" t="s">
        <v>5</v>
      </c>
      <c r="N161" s="763" t="s">
        <v>9265</v>
      </c>
      <c r="O161" s="762" t="s">
        <v>5</v>
      </c>
      <c r="P161" s="169" t="s">
        <v>11802</v>
      </c>
      <c r="Q161" s="757"/>
      <c r="R161" s="757"/>
      <c r="S161" s="757"/>
      <c r="T161" s="757"/>
      <c r="U161" s="757"/>
      <c r="V161" s="757"/>
      <c r="W161" s="757"/>
      <c r="X161" s="757"/>
      <c r="Y161" s="757"/>
      <c r="Z161" s="757"/>
    </row>
    <row r="162" ht="12.75" customHeight="1">
      <c r="A162" s="761">
        <v>160.0</v>
      </c>
      <c r="B162" s="169" t="s">
        <v>5</v>
      </c>
      <c r="C162" s="169" t="s">
        <v>10575</v>
      </c>
      <c r="D162" s="169" t="s">
        <v>47</v>
      </c>
      <c r="E162" s="169" t="s">
        <v>12726</v>
      </c>
      <c r="F162" s="169" t="s">
        <v>11844</v>
      </c>
      <c r="G162" s="169" t="s">
        <v>5</v>
      </c>
      <c r="H162" s="169" t="s">
        <v>5</v>
      </c>
      <c r="I162" s="169" t="s">
        <v>5</v>
      </c>
      <c r="J162" s="169" t="s">
        <v>5</v>
      </c>
      <c r="K162" s="169" t="s">
        <v>5</v>
      </c>
      <c r="L162" s="169" t="s">
        <v>5</v>
      </c>
      <c r="M162" s="762" t="s">
        <v>5</v>
      </c>
      <c r="N162" s="763" t="s">
        <v>9265</v>
      </c>
      <c r="O162" s="762" t="s">
        <v>5</v>
      </c>
      <c r="P162" s="169" t="s">
        <v>11802</v>
      </c>
      <c r="Q162" s="757"/>
      <c r="R162" s="757"/>
      <c r="S162" s="757"/>
      <c r="T162" s="757"/>
      <c r="U162" s="757"/>
      <c r="V162" s="757"/>
      <c r="W162" s="757"/>
      <c r="X162" s="757"/>
      <c r="Y162" s="757"/>
      <c r="Z162" s="757"/>
    </row>
    <row r="163" ht="12.75" customHeight="1">
      <c r="A163" s="761">
        <v>161.0</v>
      </c>
      <c r="B163" s="169" t="s">
        <v>5</v>
      </c>
      <c r="C163" s="169" t="s">
        <v>4865</v>
      </c>
      <c r="D163" s="169" t="s">
        <v>4502</v>
      </c>
      <c r="E163" s="169" t="s">
        <v>12727</v>
      </c>
      <c r="F163" s="169" t="s">
        <v>11851</v>
      </c>
      <c r="G163" s="169" t="s">
        <v>5</v>
      </c>
      <c r="H163" s="169" t="s">
        <v>5</v>
      </c>
      <c r="I163" s="169" t="s">
        <v>5</v>
      </c>
      <c r="J163" s="169" t="s">
        <v>5</v>
      </c>
      <c r="K163" s="169" t="s">
        <v>5</v>
      </c>
      <c r="L163" s="169" t="s">
        <v>5</v>
      </c>
      <c r="M163" s="762" t="s">
        <v>5</v>
      </c>
      <c r="N163" s="763" t="s">
        <v>9265</v>
      </c>
      <c r="O163" s="762" t="s">
        <v>5</v>
      </c>
      <c r="P163" s="169" t="s">
        <v>11802</v>
      </c>
      <c r="Q163" s="757"/>
      <c r="R163" s="757"/>
      <c r="S163" s="757"/>
      <c r="T163" s="757"/>
      <c r="U163" s="757"/>
      <c r="V163" s="757"/>
      <c r="W163" s="757"/>
      <c r="X163" s="757"/>
      <c r="Y163" s="757"/>
      <c r="Z163" s="757"/>
    </row>
    <row r="164" ht="12.75" customHeight="1">
      <c r="A164" s="761">
        <v>162.0</v>
      </c>
      <c r="B164" s="169" t="s">
        <v>5</v>
      </c>
      <c r="C164" s="169" t="s">
        <v>11880</v>
      </c>
      <c r="D164" s="169" t="s">
        <v>4502</v>
      </c>
      <c r="E164" s="169" t="s">
        <v>12728</v>
      </c>
      <c r="F164" s="169" t="s">
        <v>11851</v>
      </c>
      <c r="G164" s="169" t="s">
        <v>5</v>
      </c>
      <c r="H164" s="169" t="s">
        <v>5</v>
      </c>
      <c r="I164" s="169" t="s">
        <v>5</v>
      </c>
      <c r="J164" s="169" t="s">
        <v>5</v>
      </c>
      <c r="K164" s="169" t="s">
        <v>5</v>
      </c>
      <c r="L164" s="169" t="s">
        <v>5</v>
      </c>
      <c r="M164" s="762" t="s">
        <v>5</v>
      </c>
      <c r="N164" s="763" t="s">
        <v>9265</v>
      </c>
      <c r="O164" s="762" t="s">
        <v>5</v>
      </c>
      <c r="P164" s="169" t="s">
        <v>11802</v>
      </c>
      <c r="Q164" s="757"/>
      <c r="R164" s="757"/>
      <c r="S164" s="757"/>
      <c r="T164" s="757"/>
      <c r="U164" s="757"/>
      <c r="V164" s="757"/>
      <c r="W164" s="757"/>
      <c r="X164" s="757"/>
      <c r="Y164" s="757"/>
      <c r="Z164" s="757"/>
    </row>
    <row r="165" ht="12.75" customHeight="1">
      <c r="A165" s="761">
        <v>163.0</v>
      </c>
      <c r="B165" s="169" t="s">
        <v>5</v>
      </c>
      <c r="C165" s="169" t="s">
        <v>4503</v>
      </c>
      <c r="D165" s="169" t="s">
        <v>4502</v>
      </c>
      <c r="E165" s="169" t="s">
        <v>12729</v>
      </c>
      <c r="F165" s="169" t="s">
        <v>11851</v>
      </c>
      <c r="G165" s="169" t="s">
        <v>5</v>
      </c>
      <c r="H165" s="169" t="s">
        <v>5</v>
      </c>
      <c r="I165" s="169" t="s">
        <v>5</v>
      </c>
      <c r="J165" s="169" t="s">
        <v>5</v>
      </c>
      <c r="K165" s="169" t="s">
        <v>5</v>
      </c>
      <c r="L165" s="169" t="s">
        <v>5</v>
      </c>
      <c r="M165" s="762" t="s">
        <v>5</v>
      </c>
      <c r="N165" s="763" t="s">
        <v>9265</v>
      </c>
      <c r="O165" s="762" t="s">
        <v>5</v>
      </c>
      <c r="P165" s="169" t="s">
        <v>11802</v>
      </c>
      <c r="Q165" s="757"/>
      <c r="R165" s="757"/>
      <c r="S165" s="757"/>
      <c r="T165" s="757"/>
      <c r="U165" s="757"/>
      <c r="V165" s="757"/>
      <c r="W165" s="757"/>
      <c r="X165" s="757"/>
      <c r="Y165" s="757"/>
      <c r="Z165" s="757"/>
    </row>
    <row r="166" ht="12.75" customHeight="1">
      <c r="A166" s="761">
        <v>164.0</v>
      </c>
      <c r="B166" s="169" t="s">
        <v>5</v>
      </c>
      <c r="C166" s="169" t="s">
        <v>10570</v>
      </c>
      <c r="D166" s="169" t="s">
        <v>47</v>
      </c>
      <c r="E166" s="169" t="s">
        <v>12730</v>
      </c>
      <c r="F166" s="169" t="s">
        <v>11844</v>
      </c>
      <c r="G166" s="169" t="s">
        <v>5</v>
      </c>
      <c r="H166" s="169" t="s">
        <v>5</v>
      </c>
      <c r="I166" s="169" t="s">
        <v>5</v>
      </c>
      <c r="J166" s="169" t="s">
        <v>5</v>
      </c>
      <c r="K166" s="169" t="s">
        <v>5</v>
      </c>
      <c r="L166" s="169" t="s">
        <v>5</v>
      </c>
      <c r="M166" s="762" t="s">
        <v>5</v>
      </c>
      <c r="N166" s="763" t="s">
        <v>9265</v>
      </c>
      <c r="O166" s="762" t="s">
        <v>5</v>
      </c>
      <c r="P166" s="169" t="s">
        <v>11802</v>
      </c>
      <c r="Q166" s="757"/>
      <c r="R166" s="757"/>
      <c r="S166" s="757"/>
      <c r="T166" s="757"/>
      <c r="U166" s="757"/>
      <c r="V166" s="757"/>
      <c r="W166" s="757"/>
      <c r="X166" s="757"/>
      <c r="Y166" s="757"/>
      <c r="Z166" s="757"/>
    </row>
    <row r="167" ht="12.75" customHeight="1">
      <c r="A167" s="761">
        <v>165.0</v>
      </c>
      <c r="B167" s="169" t="s">
        <v>5</v>
      </c>
      <c r="C167" s="169" t="s">
        <v>4837</v>
      </c>
      <c r="D167" s="169" t="s">
        <v>4765</v>
      </c>
      <c r="E167" s="169" t="s">
        <v>12731</v>
      </c>
      <c r="F167" s="169" t="s">
        <v>11851</v>
      </c>
      <c r="G167" s="169" t="s">
        <v>5</v>
      </c>
      <c r="H167" s="169" t="s">
        <v>5</v>
      </c>
      <c r="I167" s="169" t="s">
        <v>5</v>
      </c>
      <c r="J167" s="169" t="s">
        <v>5</v>
      </c>
      <c r="K167" s="169" t="s">
        <v>5</v>
      </c>
      <c r="L167" s="169" t="s">
        <v>5</v>
      </c>
      <c r="M167" s="762" t="s">
        <v>5</v>
      </c>
      <c r="N167" s="763" t="s">
        <v>9265</v>
      </c>
      <c r="O167" s="762" t="s">
        <v>5</v>
      </c>
      <c r="P167" s="169" t="s">
        <v>11802</v>
      </c>
      <c r="Q167" s="757"/>
      <c r="R167" s="757"/>
      <c r="S167" s="757"/>
      <c r="T167" s="757"/>
      <c r="U167" s="757"/>
      <c r="V167" s="757"/>
      <c r="W167" s="757"/>
      <c r="X167" s="757"/>
      <c r="Y167" s="757"/>
      <c r="Z167" s="757"/>
    </row>
    <row r="168" ht="12.75" customHeight="1">
      <c r="A168" s="761">
        <v>166.0</v>
      </c>
      <c r="B168" s="169" t="s">
        <v>5</v>
      </c>
      <c r="C168" s="169" t="s">
        <v>4766</v>
      </c>
      <c r="D168" s="169" t="s">
        <v>4765</v>
      </c>
      <c r="E168" s="169" t="s">
        <v>12732</v>
      </c>
      <c r="F168" s="169" t="s">
        <v>11851</v>
      </c>
      <c r="G168" s="169" t="s">
        <v>5</v>
      </c>
      <c r="H168" s="169" t="s">
        <v>5</v>
      </c>
      <c r="I168" s="169" t="s">
        <v>5</v>
      </c>
      <c r="J168" s="169" t="s">
        <v>5</v>
      </c>
      <c r="K168" s="169" t="s">
        <v>5</v>
      </c>
      <c r="L168" s="169" t="s">
        <v>5</v>
      </c>
      <c r="M168" s="762" t="s">
        <v>5</v>
      </c>
      <c r="N168" s="763" t="s">
        <v>9265</v>
      </c>
      <c r="O168" s="762" t="s">
        <v>5</v>
      </c>
      <c r="P168" s="169" t="s">
        <v>11802</v>
      </c>
      <c r="Q168" s="757"/>
      <c r="R168" s="757"/>
      <c r="S168" s="757"/>
      <c r="T168" s="757"/>
      <c r="U168" s="757"/>
      <c r="V168" s="757"/>
      <c r="W168" s="757"/>
      <c r="X168" s="757"/>
      <c r="Y168" s="757"/>
      <c r="Z168" s="757"/>
    </row>
    <row r="169" ht="12.75" customHeight="1">
      <c r="A169" s="761">
        <v>167.0</v>
      </c>
      <c r="B169" s="169" t="s">
        <v>5</v>
      </c>
      <c r="C169" s="169" t="s">
        <v>11882</v>
      </c>
      <c r="D169" s="169" t="s">
        <v>4765</v>
      </c>
      <c r="E169" s="169" t="s">
        <v>12733</v>
      </c>
      <c r="F169" s="169" t="s">
        <v>11851</v>
      </c>
      <c r="G169" s="169" t="s">
        <v>5</v>
      </c>
      <c r="H169" s="169" t="s">
        <v>5</v>
      </c>
      <c r="I169" s="169" t="s">
        <v>5</v>
      </c>
      <c r="J169" s="169" t="s">
        <v>5</v>
      </c>
      <c r="K169" s="169" t="s">
        <v>5</v>
      </c>
      <c r="L169" s="169" t="s">
        <v>5</v>
      </c>
      <c r="M169" s="762" t="s">
        <v>5</v>
      </c>
      <c r="N169" s="763" t="s">
        <v>9265</v>
      </c>
      <c r="O169" s="762" t="s">
        <v>5</v>
      </c>
      <c r="P169" s="169" t="s">
        <v>11802</v>
      </c>
      <c r="Q169" s="757"/>
      <c r="R169" s="757"/>
      <c r="S169" s="757"/>
      <c r="T169" s="757"/>
      <c r="U169" s="757"/>
      <c r="V169" s="757"/>
      <c r="W169" s="757"/>
      <c r="X169" s="757"/>
      <c r="Y169" s="757"/>
      <c r="Z169" s="757"/>
    </row>
    <row r="170" ht="12.75" customHeight="1">
      <c r="A170" s="761">
        <v>168.0</v>
      </c>
      <c r="B170" s="169" t="s">
        <v>5</v>
      </c>
      <c r="C170" s="169" t="s">
        <v>11884</v>
      </c>
      <c r="D170" s="169" t="s">
        <v>4765</v>
      </c>
      <c r="E170" s="169" t="s">
        <v>12734</v>
      </c>
      <c r="F170" s="169" t="s">
        <v>11851</v>
      </c>
      <c r="G170" s="169" t="s">
        <v>5</v>
      </c>
      <c r="H170" s="169" t="s">
        <v>5</v>
      </c>
      <c r="I170" s="169" t="s">
        <v>5</v>
      </c>
      <c r="J170" s="169" t="s">
        <v>5</v>
      </c>
      <c r="K170" s="169" t="s">
        <v>5</v>
      </c>
      <c r="L170" s="169" t="s">
        <v>5</v>
      </c>
      <c r="M170" s="762" t="s">
        <v>5</v>
      </c>
      <c r="N170" s="763" t="s">
        <v>9265</v>
      </c>
      <c r="O170" s="762" t="s">
        <v>5</v>
      </c>
      <c r="P170" s="169" t="s">
        <v>11802</v>
      </c>
      <c r="Q170" s="757"/>
      <c r="R170" s="757"/>
      <c r="S170" s="757"/>
      <c r="T170" s="757"/>
      <c r="U170" s="757"/>
      <c r="V170" s="757"/>
      <c r="W170" s="757"/>
      <c r="X170" s="757"/>
      <c r="Y170" s="757"/>
      <c r="Z170" s="757"/>
    </row>
    <row r="171" ht="12.75" customHeight="1">
      <c r="A171" s="761">
        <v>169.0</v>
      </c>
      <c r="B171" s="169" t="s">
        <v>5</v>
      </c>
      <c r="C171" s="169" t="s">
        <v>11886</v>
      </c>
      <c r="D171" s="169" t="s">
        <v>4765</v>
      </c>
      <c r="E171" s="169" t="s">
        <v>12735</v>
      </c>
      <c r="F171" s="169" t="s">
        <v>11851</v>
      </c>
      <c r="G171" s="169" t="s">
        <v>5</v>
      </c>
      <c r="H171" s="169" t="s">
        <v>5</v>
      </c>
      <c r="I171" s="169" t="s">
        <v>5</v>
      </c>
      <c r="J171" s="169" t="s">
        <v>5</v>
      </c>
      <c r="K171" s="169" t="s">
        <v>5</v>
      </c>
      <c r="L171" s="169" t="s">
        <v>5</v>
      </c>
      <c r="M171" s="762" t="s">
        <v>5</v>
      </c>
      <c r="N171" s="763" t="s">
        <v>9265</v>
      </c>
      <c r="O171" s="762" t="s">
        <v>5</v>
      </c>
      <c r="P171" s="169" t="s">
        <v>11802</v>
      </c>
      <c r="Q171" s="757"/>
      <c r="R171" s="757"/>
      <c r="S171" s="757"/>
      <c r="T171" s="757"/>
      <c r="U171" s="757"/>
      <c r="V171" s="757"/>
      <c r="W171" s="757"/>
      <c r="X171" s="757"/>
      <c r="Y171" s="757"/>
      <c r="Z171" s="757"/>
    </row>
    <row r="172" ht="12.75" customHeight="1">
      <c r="A172" s="761">
        <v>170.0</v>
      </c>
      <c r="B172" s="169" t="s">
        <v>5</v>
      </c>
      <c r="C172" s="169" t="s">
        <v>11888</v>
      </c>
      <c r="D172" s="169" t="s">
        <v>4765</v>
      </c>
      <c r="E172" s="169" t="s">
        <v>12736</v>
      </c>
      <c r="F172" s="169" t="s">
        <v>11851</v>
      </c>
      <c r="G172" s="169" t="s">
        <v>5</v>
      </c>
      <c r="H172" s="169" t="s">
        <v>5</v>
      </c>
      <c r="I172" s="169" t="s">
        <v>5</v>
      </c>
      <c r="J172" s="169" t="s">
        <v>5</v>
      </c>
      <c r="K172" s="169" t="s">
        <v>5</v>
      </c>
      <c r="L172" s="169" t="s">
        <v>5</v>
      </c>
      <c r="M172" s="762" t="s">
        <v>5</v>
      </c>
      <c r="N172" s="763" t="s">
        <v>9265</v>
      </c>
      <c r="O172" s="762" t="s">
        <v>5</v>
      </c>
      <c r="P172" s="169" t="s">
        <v>11802</v>
      </c>
      <c r="Q172" s="757"/>
      <c r="R172" s="757"/>
      <c r="S172" s="757"/>
      <c r="T172" s="757"/>
      <c r="U172" s="757"/>
      <c r="V172" s="757"/>
      <c r="W172" s="757"/>
      <c r="X172" s="757"/>
      <c r="Y172" s="757"/>
      <c r="Z172" s="757"/>
    </row>
    <row r="173" ht="12.75" customHeight="1">
      <c r="A173" s="761">
        <v>171.0</v>
      </c>
      <c r="B173" s="169" t="s">
        <v>5</v>
      </c>
      <c r="C173" s="169" t="s">
        <v>5039</v>
      </c>
      <c r="D173" s="169" t="s">
        <v>47</v>
      </c>
      <c r="E173" s="169" t="s">
        <v>12737</v>
      </c>
      <c r="F173" s="169" t="s">
        <v>11851</v>
      </c>
      <c r="G173" s="169" t="s">
        <v>5</v>
      </c>
      <c r="H173" s="169" t="s">
        <v>5</v>
      </c>
      <c r="I173" s="169" t="s">
        <v>5</v>
      </c>
      <c r="J173" s="169" t="s">
        <v>5</v>
      </c>
      <c r="K173" s="169" t="s">
        <v>5</v>
      </c>
      <c r="L173" s="169" t="s">
        <v>5</v>
      </c>
      <c r="M173" s="762" t="s">
        <v>5</v>
      </c>
      <c r="N173" s="763" t="s">
        <v>9265</v>
      </c>
      <c r="O173" s="762" t="s">
        <v>5</v>
      </c>
      <c r="P173" s="169" t="s">
        <v>11802</v>
      </c>
      <c r="Q173" s="757"/>
      <c r="R173" s="757"/>
      <c r="S173" s="757"/>
      <c r="T173" s="757"/>
      <c r="U173" s="757"/>
      <c r="V173" s="757"/>
      <c r="W173" s="757"/>
      <c r="X173" s="757"/>
      <c r="Y173" s="757"/>
      <c r="Z173" s="757"/>
    </row>
    <row r="174" ht="12.75" customHeight="1">
      <c r="A174" s="761">
        <v>172.0</v>
      </c>
      <c r="B174" s="169" t="s">
        <v>5</v>
      </c>
      <c r="C174" s="169" t="s">
        <v>4509</v>
      </c>
      <c r="D174" s="169" t="s">
        <v>47</v>
      </c>
      <c r="E174" s="169" t="s">
        <v>12738</v>
      </c>
      <c r="F174" s="169" t="s">
        <v>11844</v>
      </c>
      <c r="G174" s="169" t="s">
        <v>5</v>
      </c>
      <c r="H174" s="169" t="s">
        <v>5</v>
      </c>
      <c r="I174" s="169" t="s">
        <v>11849</v>
      </c>
      <c r="J174" s="169" t="s">
        <v>5</v>
      </c>
      <c r="K174" s="169" t="s">
        <v>5</v>
      </c>
      <c r="L174" s="169" t="s">
        <v>5</v>
      </c>
      <c r="M174" s="762" t="s">
        <v>5</v>
      </c>
      <c r="N174" s="763" t="s">
        <v>9265</v>
      </c>
      <c r="O174" s="762" t="s">
        <v>5</v>
      </c>
      <c r="P174" s="169" t="s">
        <v>11802</v>
      </c>
      <c r="Q174" s="757"/>
      <c r="R174" s="757"/>
      <c r="S174" s="757"/>
      <c r="T174" s="757"/>
      <c r="U174" s="757"/>
      <c r="V174" s="757"/>
      <c r="W174" s="757"/>
      <c r="X174" s="757"/>
      <c r="Y174" s="757"/>
      <c r="Z174" s="757"/>
    </row>
    <row r="175" ht="12.75" customHeight="1">
      <c r="A175" s="761">
        <v>173.0</v>
      </c>
      <c r="B175" s="169" t="s">
        <v>5</v>
      </c>
      <c r="C175" s="169" t="s">
        <v>5283</v>
      </c>
      <c r="D175" s="169" t="s">
        <v>4508</v>
      </c>
      <c r="E175" s="169" t="s">
        <v>12739</v>
      </c>
      <c r="F175" s="169" t="s">
        <v>11854</v>
      </c>
      <c r="G175" s="169" t="s">
        <v>5</v>
      </c>
      <c r="H175" s="169" t="s">
        <v>5</v>
      </c>
      <c r="I175" s="169" t="s">
        <v>11849</v>
      </c>
      <c r="J175" s="169" t="s">
        <v>5</v>
      </c>
      <c r="K175" s="169" t="s">
        <v>5</v>
      </c>
      <c r="L175" s="169" t="s">
        <v>5</v>
      </c>
      <c r="M175" s="762" t="s">
        <v>5</v>
      </c>
      <c r="N175" s="763" t="s">
        <v>9265</v>
      </c>
      <c r="O175" s="762" t="s">
        <v>5</v>
      </c>
      <c r="P175" s="169" t="s">
        <v>11802</v>
      </c>
      <c r="Q175" s="757"/>
      <c r="R175" s="757"/>
      <c r="S175" s="757"/>
      <c r="T175" s="757"/>
      <c r="U175" s="757"/>
      <c r="V175" s="757"/>
      <c r="W175" s="757"/>
      <c r="X175" s="757"/>
      <c r="Y175" s="757"/>
      <c r="Z175" s="757"/>
    </row>
    <row r="176" ht="12.75" customHeight="1">
      <c r="A176" s="761">
        <v>174.0</v>
      </c>
      <c r="B176" s="169" t="s">
        <v>5</v>
      </c>
      <c r="C176" s="169" t="s">
        <v>11890</v>
      </c>
      <c r="D176" s="169" t="s">
        <v>4508</v>
      </c>
      <c r="E176" s="169" t="s">
        <v>12740</v>
      </c>
      <c r="F176" s="169" t="s">
        <v>11854</v>
      </c>
      <c r="G176" s="169" t="s">
        <v>5</v>
      </c>
      <c r="H176" s="169" t="s">
        <v>5</v>
      </c>
      <c r="I176" s="169" t="s">
        <v>11849</v>
      </c>
      <c r="J176" s="169" t="s">
        <v>5</v>
      </c>
      <c r="K176" s="169" t="s">
        <v>5</v>
      </c>
      <c r="L176" s="169" t="s">
        <v>5</v>
      </c>
      <c r="M176" s="762" t="s">
        <v>5</v>
      </c>
      <c r="N176" s="763" t="s">
        <v>9265</v>
      </c>
      <c r="O176" s="762" t="s">
        <v>5</v>
      </c>
      <c r="P176" s="169" t="s">
        <v>11802</v>
      </c>
      <c r="Q176" s="757"/>
      <c r="R176" s="757"/>
      <c r="S176" s="757"/>
      <c r="T176" s="757"/>
      <c r="U176" s="757"/>
      <c r="V176" s="757"/>
      <c r="W176" s="757"/>
      <c r="X176" s="757"/>
      <c r="Y176" s="757"/>
      <c r="Z176" s="757"/>
    </row>
    <row r="177" ht="12.75" customHeight="1">
      <c r="A177" s="761">
        <v>175.0</v>
      </c>
      <c r="B177" s="169" t="s">
        <v>5</v>
      </c>
      <c r="C177" s="169" t="s">
        <v>10569</v>
      </c>
      <c r="D177" s="169" t="s">
        <v>4508</v>
      </c>
      <c r="E177" s="169" t="s">
        <v>12741</v>
      </c>
      <c r="F177" s="169" t="s">
        <v>11854</v>
      </c>
      <c r="G177" s="169" t="s">
        <v>5</v>
      </c>
      <c r="H177" s="169" t="s">
        <v>5</v>
      </c>
      <c r="I177" s="169" t="s">
        <v>11849</v>
      </c>
      <c r="J177" s="169" t="s">
        <v>5</v>
      </c>
      <c r="K177" s="169" t="s">
        <v>5</v>
      </c>
      <c r="L177" s="169" t="s">
        <v>5</v>
      </c>
      <c r="M177" s="762" t="s">
        <v>5</v>
      </c>
      <c r="N177" s="763" t="s">
        <v>9265</v>
      </c>
      <c r="O177" s="762" t="s">
        <v>5</v>
      </c>
      <c r="P177" s="169" t="s">
        <v>11802</v>
      </c>
      <c r="Q177" s="757"/>
      <c r="R177" s="757"/>
      <c r="S177" s="757"/>
      <c r="T177" s="757"/>
      <c r="U177" s="757"/>
      <c r="V177" s="757"/>
      <c r="W177" s="757"/>
      <c r="X177" s="757"/>
      <c r="Y177" s="757"/>
      <c r="Z177" s="757"/>
    </row>
    <row r="178" ht="12.75" customHeight="1">
      <c r="A178" s="761">
        <v>176.0</v>
      </c>
      <c r="B178" s="169" t="s">
        <v>5</v>
      </c>
      <c r="C178" s="169" t="s">
        <v>10800</v>
      </c>
      <c r="D178" s="169" t="s">
        <v>453</v>
      </c>
      <c r="E178" s="169" t="s">
        <v>12742</v>
      </c>
      <c r="F178" s="169" t="s">
        <v>11850</v>
      </c>
      <c r="G178" s="169" t="s">
        <v>5</v>
      </c>
      <c r="H178" s="169" t="s">
        <v>5</v>
      </c>
      <c r="I178" s="169" t="s">
        <v>5</v>
      </c>
      <c r="J178" s="169" t="s">
        <v>5</v>
      </c>
      <c r="K178" s="169" t="s">
        <v>5</v>
      </c>
      <c r="L178" s="169" t="s">
        <v>5</v>
      </c>
      <c r="M178" s="762" t="s">
        <v>5</v>
      </c>
      <c r="N178" s="763" t="s">
        <v>9265</v>
      </c>
      <c r="O178" s="762" t="s">
        <v>5</v>
      </c>
      <c r="P178" s="169" t="s">
        <v>11802</v>
      </c>
      <c r="Q178" s="757"/>
      <c r="R178" s="757"/>
      <c r="S178" s="757"/>
      <c r="T178" s="757"/>
      <c r="U178" s="757"/>
      <c r="V178" s="757"/>
      <c r="W178" s="757"/>
      <c r="X178" s="757"/>
      <c r="Y178" s="757"/>
      <c r="Z178" s="757"/>
    </row>
    <row r="179" ht="12.75" customHeight="1">
      <c r="A179" s="761">
        <v>177.0</v>
      </c>
      <c r="B179" s="169" t="s">
        <v>5</v>
      </c>
      <c r="C179" s="169" t="s">
        <v>5728</v>
      </c>
      <c r="D179" s="169" t="s">
        <v>4330</v>
      </c>
      <c r="E179" s="169" t="s">
        <v>12743</v>
      </c>
      <c r="F179" s="169" t="s">
        <v>11844</v>
      </c>
      <c r="G179" s="169" t="s">
        <v>5</v>
      </c>
      <c r="H179" s="169" t="s">
        <v>5</v>
      </c>
      <c r="I179" s="169" t="s">
        <v>5</v>
      </c>
      <c r="J179" s="169" t="s">
        <v>5</v>
      </c>
      <c r="K179" s="169" t="s">
        <v>5</v>
      </c>
      <c r="L179" s="169" t="s">
        <v>5</v>
      </c>
      <c r="M179" s="762" t="s">
        <v>5</v>
      </c>
      <c r="N179" s="763" t="s">
        <v>9265</v>
      </c>
      <c r="O179" s="762" t="s">
        <v>5</v>
      </c>
      <c r="P179" s="169" t="s">
        <v>11802</v>
      </c>
      <c r="Q179" s="757"/>
      <c r="R179" s="757"/>
      <c r="S179" s="757"/>
      <c r="T179" s="757"/>
      <c r="U179" s="757"/>
      <c r="V179" s="757"/>
      <c r="W179" s="757"/>
      <c r="X179" s="757"/>
      <c r="Y179" s="757"/>
      <c r="Z179" s="757"/>
    </row>
    <row r="180" ht="12.75" customHeight="1">
      <c r="A180" s="761">
        <v>178.0</v>
      </c>
      <c r="B180" s="169" t="s">
        <v>5</v>
      </c>
      <c r="C180" s="169" t="s">
        <v>4332</v>
      </c>
      <c r="D180" s="169" t="s">
        <v>4331</v>
      </c>
      <c r="E180" s="169" t="s">
        <v>12744</v>
      </c>
      <c r="F180" s="169" t="s">
        <v>11851</v>
      </c>
      <c r="G180" s="169" t="s">
        <v>5</v>
      </c>
      <c r="H180" s="169" t="s">
        <v>5</v>
      </c>
      <c r="I180" s="169" t="s">
        <v>5</v>
      </c>
      <c r="J180" s="169" t="s">
        <v>5</v>
      </c>
      <c r="K180" s="169" t="s">
        <v>5</v>
      </c>
      <c r="L180" s="169" t="s">
        <v>5</v>
      </c>
      <c r="M180" s="762" t="s">
        <v>5</v>
      </c>
      <c r="N180" s="763" t="s">
        <v>9265</v>
      </c>
      <c r="O180" s="762" t="s">
        <v>5</v>
      </c>
      <c r="P180" s="169" t="s">
        <v>11802</v>
      </c>
      <c r="Q180" s="757"/>
      <c r="R180" s="757"/>
      <c r="S180" s="757"/>
      <c r="T180" s="757"/>
      <c r="U180" s="757"/>
      <c r="V180" s="757"/>
      <c r="W180" s="757"/>
      <c r="X180" s="757"/>
      <c r="Y180" s="757"/>
      <c r="Z180" s="757"/>
    </row>
    <row r="181" ht="12.75" customHeight="1">
      <c r="A181" s="761">
        <v>179.0</v>
      </c>
      <c r="B181" s="169" t="s">
        <v>5</v>
      </c>
      <c r="C181" s="169" t="s">
        <v>4984</v>
      </c>
      <c r="D181" s="169" t="s">
        <v>4331</v>
      </c>
      <c r="E181" s="169" t="s">
        <v>12745</v>
      </c>
      <c r="F181" s="169" t="s">
        <v>11851</v>
      </c>
      <c r="G181" s="169" t="s">
        <v>5</v>
      </c>
      <c r="H181" s="169" t="s">
        <v>5</v>
      </c>
      <c r="I181" s="169" t="s">
        <v>5</v>
      </c>
      <c r="J181" s="169" t="s">
        <v>5</v>
      </c>
      <c r="K181" s="169" t="s">
        <v>5</v>
      </c>
      <c r="L181" s="169" t="s">
        <v>5</v>
      </c>
      <c r="M181" s="762" t="s">
        <v>5</v>
      </c>
      <c r="N181" s="763" t="s">
        <v>9265</v>
      </c>
      <c r="O181" s="762" t="s">
        <v>5</v>
      </c>
      <c r="P181" s="169" t="s">
        <v>11802</v>
      </c>
      <c r="Q181" s="757"/>
      <c r="R181" s="757"/>
      <c r="S181" s="757"/>
      <c r="T181" s="757"/>
      <c r="U181" s="757"/>
      <c r="V181" s="757"/>
      <c r="W181" s="757"/>
      <c r="X181" s="757"/>
      <c r="Y181" s="757"/>
      <c r="Z181" s="757"/>
    </row>
    <row r="182" ht="12.75" customHeight="1">
      <c r="A182" s="761">
        <v>180.0</v>
      </c>
      <c r="B182" s="169" t="s">
        <v>5</v>
      </c>
      <c r="C182" s="169" t="s">
        <v>11892</v>
      </c>
      <c r="D182" s="169" t="s">
        <v>4330</v>
      </c>
      <c r="E182" s="169" t="s">
        <v>12746</v>
      </c>
      <c r="F182" s="169" t="s">
        <v>11844</v>
      </c>
      <c r="G182" s="169" t="s">
        <v>5</v>
      </c>
      <c r="H182" s="169" t="s">
        <v>5</v>
      </c>
      <c r="I182" s="169" t="s">
        <v>5</v>
      </c>
      <c r="J182" s="169" t="s">
        <v>5</v>
      </c>
      <c r="K182" s="169" t="s">
        <v>5</v>
      </c>
      <c r="L182" s="169" t="s">
        <v>5</v>
      </c>
      <c r="M182" s="762" t="s">
        <v>5</v>
      </c>
      <c r="N182" s="763" t="s">
        <v>9265</v>
      </c>
      <c r="O182" s="762" t="s">
        <v>5</v>
      </c>
      <c r="P182" s="169" t="s">
        <v>11802</v>
      </c>
      <c r="Q182" s="757"/>
      <c r="R182" s="757"/>
      <c r="S182" s="757"/>
      <c r="T182" s="757"/>
      <c r="U182" s="757"/>
      <c r="V182" s="757"/>
      <c r="W182" s="757"/>
      <c r="X182" s="757"/>
      <c r="Y182" s="757"/>
      <c r="Z182" s="757"/>
    </row>
    <row r="183" ht="12.75" customHeight="1">
      <c r="A183" s="761">
        <v>181.0</v>
      </c>
      <c r="B183" s="169" t="s">
        <v>5</v>
      </c>
      <c r="C183" s="169" t="s">
        <v>11894</v>
      </c>
      <c r="D183" s="169" t="s">
        <v>4330</v>
      </c>
      <c r="E183" s="169" t="s">
        <v>12747</v>
      </c>
      <c r="F183" s="169" t="s">
        <v>11851</v>
      </c>
      <c r="G183" s="169" t="s">
        <v>5</v>
      </c>
      <c r="H183" s="169" t="s">
        <v>5</v>
      </c>
      <c r="I183" s="169" t="s">
        <v>5</v>
      </c>
      <c r="J183" s="169" t="s">
        <v>5</v>
      </c>
      <c r="K183" s="169" t="s">
        <v>5</v>
      </c>
      <c r="L183" s="169" t="s">
        <v>5</v>
      </c>
      <c r="M183" s="762" t="s">
        <v>5</v>
      </c>
      <c r="N183" s="763" t="s">
        <v>9265</v>
      </c>
      <c r="O183" s="762" t="s">
        <v>5</v>
      </c>
      <c r="P183" s="169" t="s">
        <v>11802</v>
      </c>
      <c r="Q183" s="757"/>
      <c r="R183" s="757"/>
      <c r="S183" s="757"/>
      <c r="T183" s="757"/>
      <c r="U183" s="757"/>
      <c r="V183" s="757"/>
      <c r="W183" s="757"/>
      <c r="X183" s="757"/>
      <c r="Y183" s="757"/>
      <c r="Z183" s="757"/>
    </row>
    <row r="184" ht="12.75" customHeight="1">
      <c r="A184" s="761">
        <v>182.0</v>
      </c>
      <c r="B184" s="169" t="s">
        <v>5</v>
      </c>
      <c r="C184" s="169" t="s">
        <v>10808</v>
      </c>
      <c r="D184" s="169" t="s">
        <v>453</v>
      </c>
      <c r="E184" s="169" t="s">
        <v>12748</v>
      </c>
      <c r="F184" s="169" t="s">
        <v>11850</v>
      </c>
      <c r="G184" s="169" t="s">
        <v>5</v>
      </c>
      <c r="H184" s="169" t="s">
        <v>5</v>
      </c>
      <c r="I184" s="169" t="s">
        <v>5</v>
      </c>
      <c r="J184" s="169" t="s">
        <v>5</v>
      </c>
      <c r="K184" s="169" t="s">
        <v>5</v>
      </c>
      <c r="L184" s="169" t="s">
        <v>5</v>
      </c>
      <c r="M184" s="762" t="s">
        <v>5</v>
      </c>
      <c r="N184" s="763" t="s">
        <v>9265</v>
      </c>
      <c r="O184" s="762" t="s">
        <v>5</v>
      </c>
      <c r="P184" s="169" t="s">
        <v>11802</v>
      </c>
      <c r="Q184" s="757"/>
      <c r="R184" s="757"/>
      <c r="S184" s="757"/>
      <c r="T184" s="757"/>
      <c r="U184" s="757"/>
      <c r="V184" s="757"/>
      <c r="W184" s="757"/>
      <c r="X184" s="757"/>
      <c r="Y184" s="757"/>
      <c r="Z184" s="757"/>
    </row>
    <row r="185" ht="12.75" customHeight="1">
      <c r="A185" s="761">
        <v>183.0</v>
      </c>
      <c r="B185" s="169" t="s">
        <v>5</v>
      </c>
      <c r="C185" s="169" t="s">
        <v>11896</v>
      </c>
      <c r="D185" s="169" t="s">
        <v>2835</v>
      </c>
      <c r="E185" s="169" t="s">
        <v>12749</v>
      </c>
      <c r="F185" s="169" t="s">
        <v>11844</v>
      </c>
      <c r="G185" s="169" t="s">
        <v>5</v>
      </c>
      <c r="H185" s="169" t="s">
        <v>5</v>
      </c>
      <c r="I185" s="169" t="s">
        <v>5</v>
      </c>
      <c r="J185" s="169" t="s">
        <v>5</v>
      </c>
      <c r="K185" s="169" t="s">
        <v>5</v>
      </c>
      <c r="L185" s="169" t="s">
        <v>5</v>
      </c>
      <c r="M185" s="762" t="s">
        <v>5</v>
      </c>
      <c r="N185" s="763" t="s">
        <v>9265</v>
      </c>
      <c r="O185" s="762" t="s">
        <v>5</v>
      </c>
      <c r="P185" s="169" t="s">
        <v>11802</v>
      </c>
      <c r="Q185" s="757"/>
      <c r="R185" s="757"/>
      <c r="S185" s="757"/>
      <c r="T185" s="757"/>
      <c r="U185" s="757"/>
      <c r="V185" s="757"/>
      <c r="W185" s="757"/>
      <c r="X185" s="757"/>
      <c r="Y185" s="757"/>
      <c r="Z185" s="757"/>
    </row>
    <row r="186" ht="12.75" customHeight="1">
      <c r="A186" s="761">
        <v>184.0</v>
      </c>
      <c r="B186" s="169" t="s">
        <v>5</v>
      </c>
      <c r="C186" s="169" t="s">
        <v>10816</v>
      </c>
      <c r="D186" s="169" t="s">
        <v>2835</v>
      </c>
      <c r="E186" s="169" t="s">
        <v>12750</v>
      </c>
      <c r="F186" s="169" t="s">
        <v>11844</v>
      </c>
      <c r="G186" s="169" t="s">
        <v>5</v>
      </c>
      <c r="H186" s="169" t="s">
        <v>5</v>
      </c>
      <c r="I186" s="169" t="s">
        <v>5</v>
      </c>
      <c r="J186" s="169" t="s">
        <v>5</v>
      </c>
      <c r="K186" s="169" t="s">
        <v>5</v>
      </c>
      <c r="L186" s="169" t="s">
        <v>5</v>
      </c>
      <c r="M186" s="762" t="s">
        <v>5</v>
      </c>
      <c r="N186" s="763" t="s">
        <v>9265</v>
      </c>
      <c r="O186" s="762" t="s">
        <v>5</v>
      </c>
      <c r="P186" s="169" t="s">
        <v>11802</v>
      </c>
      <c r="Q186" s="757"/>
      <c r="R186" s="757"/>
      <c r="S186" s="757"/>
      <c r="T186" s="757"/>
      <c r="U186" s="757"/>
      <c r="V186" s="757"/>
      <c r="W186" s="757"/>
      <c r="X186" s="757"/>
      <c r="Y186" s="757"/>
      <c r="Z186" s="757"/>
    </row>
    <row r="187" ht="12.75" customHeight="1">
      <c r="A187" s="761">
        <v>185.0</v>
      </c>
      <c r="B187" s="169" t="s">
        <v>5</v>
      </c>
      <c r="C187" s="169" t="s">
        <v>4613</v>
      </c>
      <c r="D187" s="169" t="s">
        <v>4612</v>
      </c>
      <c r="E187" s="169" t="s">
        <v>12751</v>
      </c>
      <c r="F187" s="169" t="s">
        <v>11851</v>
      </c>
      <c r="G187" s="169" t="s">
        <v>5</v>
      </c>
      <c r="H187" s="169" t="s">
        <v>5</v>
      </c>
      <c r="I187" s="169" t="s">
        <v>5</v>
      </c>
      <c r="J187" s="169" t="s">
        <v>5</v>
      </c>
      <c r="K187" s="169" t="s">
        <v>5</v>
      </c>
      <c r="L187" s="169" t="s">
        <v>5</v>
      </c>
      <c r="M187" s="762" t="s">
        <v>5</v>
      </c>
      <c r="N187" s="763" t="s">
        <v>9265</v>
      </c>
      <c r="O187" s="762" t="s">
        <v>5</v>
      </c>
      <c r="P187" s="169" t="s">
        <v>11802</v>
      </c>
      <c r="Q187" s="757"/>
      <c r="R187" s="757"/>
      <c r="S187" s="757"/>
      <c r="T187" s="757"/>
      <c r="U187" s="757"/>
      <c r="V187" s="757"/>
      <c r="W187" s="757"/>
      <c r="X187" s="757"/>
      <c r="Y187" s="757"/>
      <c r="Z187" s="757"/>
    </row>
    <row r="188" ht="12.75" customHeight="1">
      <c r="A188" s="761">
        <v>186.0</v>
      </c>
      <c r="B188" s="169" t="s">
        <v>5</v>
      </c>
      <c r="C188" s="169" t="s">
        <v>5092</v>
      </c>
      <c r="D188" s="169" t="s">
        <v>4612</v>
      </c>
      <c r="E188" s="169" t="s">
        <v>12752</v>
      </c>
      <c r="F188" s="169" t="s">
        <v>11851</v>
      </c>
      <c r="G188" s="169" t="s">
        <v>5</v>
      </c>
      <c r="H188" s="169" t="s">
        <v>5</v>
      </c>
      <c r="I188" s="169" t="s">
        <v>5</v>
      </c>
      <c r="J188" s="169" t="s">
        <v>5</v>
      </c>
      <c r="K188" s="169" t="s">
        <v>5</v>
      </c>
      <c r="L188" s="169" t="s">
        <v>5</v>
      </c>
      <c r="M188" s="762" t="s">
        <v>5</v>
      </c>
      <c r="N188" s="763" t="s">
        <v>9265</v>
      </c>
      <c r="O188" s="762" t="s">
        <v>5</v>
      </c>
      <c r="P188" s="169" t="s">
        <v>11802</v>
      </c>
      <c r="Q188" s="757"/>
      <c r="R188" s="757"/>
      <c r="S188" s="757"/>
      <c r="T188" s="757"/>
      <c r="U188" s="757"/>
      <c r="V188" s="757"/>
      <c r="W188" s="757"/>
      <c r="X188" s="757"/>
      <c r="Y188" s="757"/>
      <c r="Z188" s="757"/>
    </row>
    <row r="189" ht="12.75" customHeight="1">
      <c r="A189" s="761">
        <v>187.0</v>
      </c>
      <c r="B189" s="169" t="s">
        <v>5</v>
      </c>
      <c r="C189" s="169" t="s">
        <v>11898</v>
      </c>
      <c r="D189" s="169" t="s">
        <v>4612</v>
      </c>
      <c r="E189" s="169" t="s">
        <v>12753</v>
      </c>
      <c r="F189" s="169" t="s">
        <v>11851</v>
      </c>
      <c r="G189" s="169" t="s">
        <v>5</v>
      </c>
      <c r="H189" s="169" t="s">
        <v>5</v>
      </c>
      <c r="I189" s="169" t="s">
        <v>5</v>
      </c>
      <c r="J189" s="169" t="s">
        <v>5</v>
      </c>
      <c r="K189" s="169" t="s">
        <v>5</v>
      </c>
      <c r="L189" s="169" t="s">
        <v>5</v>
      </c>
      <c r="M189" s="762" t="s">
        <v>5</v>
      </c>
      <c r="N189" s="763" t="s">
        <v>9265</v>
      </c>
      <c r="O189" s="762" t="s">
        <v>5</v>
      </c>
      <c r="P189" s="169" t="s">
        <v>11802</v>
      </c>
      <c r="Q189" s="757"/>
      <c r="R189" s="757"/>
      <c r="S189" s="757"/>
      <c r="T189" s="757"/>
      <c r="U189" s="757"/>
      <c r="V189" s="757"/>
      <c r="W189" s="757"/>
      <c r="X189" s="757"/>
      <c r="Y189" s="757"/>
      <c r="Z189" s="757"/>
    </row>
    <row r="190" ht="12.75" customHeight="1">
      <c r="A190" s="761">
        <v>188.0</v>
      </c>
      <c r="B190" s="169" t="s">
        <v>5</v>
      </c>
      <c r="C190" s="169" t="s">
        <v>10811</v>
      </c>
      <c r="D190" s="169" t="s">
        <v>2835</v>
      </c>
      <c r="E190" s="169" t="s">
        <v>12754</v>
      </c>
      <c r="F190" s="169" t="s">
        <v>11844</v>
      </c>
      <c r="G190" s="169" t="s">
        <v>5</v>
      </c>
      <c r="H190" s="169" t="s">
        <v>5</v>
      </c>
      <c r="I190" s="169" t="s">
        <v>5</v>
      </c>
      <c r="J190" s="169" t="s">
        <v>5</v>
      </c>
      <c r="K190" s="169" t="s">
        <v>5</v>
      </c>
      <c r="L190" s="169" t="s">
        <v>5</v>
      </c>
      <c r="M190" s="762" t="s">
        <v>5</v>
      </c>
      <c r="N190" s="763" t="s">
        <v>9265</v>
      </c>
      <c r="O190" s="762" t="s">
        <v>5</v>
      </c>
      <c r="P190" s="169" t="s">
        <v>11802</v>
      </c>
      <c r="Q190" s="757"/>
      <c r="R190" s="757"/>
      <c r="S190" s="757"/>
      <c r="T190" s="757"/>
      <c r="U190" s="757"/>
      <c r="V190" s="757"/>
      <c r="W190" s="757"/>
      <c r="X190" s="757"/>
      <c r="Y190" s="757"/>
      <c r="Z190" s="757"/>
    </row>
    <row r="191" ht="12.75" customHeight="1">
      <c r="A191" s="761">
        <v>189.0</v>
      </c>
      <c r="B191" s="169" t="s">
        <v>5</v>
      </c>
      <c r="C191" s="169" t="s">
        <v>3565</v>
      </c>
      <c r="D191" s="169" t="s">
        <v>3564</v>
      </c>
      <c r="E191" s="169" t="s">
        <v>12755</v>
      </c>
      <c r="F191" s="169" t="s">
        <v>11851</v>
      </c>
      <c r="G191" s="169" t="s">
        <v>5</v>
      </c>
      <c r="H191" s="169" t="s">
        <v>5</v>
      </c>
      <c r="I191" s="169" t="s">
        <v>5</v>
      </c>
      <c r="J191" s="169" t="s">
        <v>5</v>
      </c>
      <c r="K191" s="169" t="s">
        <v>5</v>
      </c>
      <c r="L191" s="169" t="s">
        <v>5</v>
      </c>
      <c r="M191" s="762" t="s">
        <v>5</v>
      </c>
      <c r="N191" s="763" t="s">
        <v>9265</v>
      </c>
      <c r="O191" s="762" t="s">
        <v>5</v>
      </c>
      <c r="P191" s="169" t="s">
        <v>11802</v>
      </c>
      <c r="Q191" s="757"/>
      <c r="R191" s="757"/>
      <c r="S191" s="757"/>
      <c r="T191" s="757"/>
      <c r="U191" s="757"/>
      <c r="V191" s="757"/>
      <c r="W191" s="757"/>
      <c r="X191" s="757"/>
      <c r="Y191" s="757"/>
      <c r="Z191" s="757"/>
    </row>
    <row r="192" ht="12.75" customHeight="1">
      <c r="A192" s="761">
        <v>190.0</v>
      </c>
      <c r="B192" s="169" t="s">
        <v>5</v>
      </c>
      <c r="C192" s="169" t="s">
        <v>5388</v>
      </c>
      <c r="D192" s="169" t="s">
        <v>3564</v>
      </c>
      <c r="E192" s="169" t="s">
        <v>12756</v>
      </c>
      <c r="F192" s="169" t="s">
        <v>11851</v>
      </c>
      <c r="G192" s="169" t="s">
        <v>5</v>
      </c>
      <c r="H192" s="169" t="s">
        <v>5</v>
      </c>
      <c r="I192" s="169" t="s">
        <v>5</v>
      </c>
      <c r="J192" s="169" t="s">
        <v>5</v>
      </c>
      <c r="K192" s="169" t="s">
        <v>5</v>
      </c>
      <c r="L192" s="169" t="s">
        <v>5</v>
      </c>
      <c r="M192" s="762" t="s">
        <v>5</v>
      </c>
      <c r="N192" s="763" t="s">
        <v>9265</v>
      </c>
      <c r="O192" s="762" t="s">
        <v>5</v>
      </c>
      <c r="P192" s="169" t="s">
        <v>11802</v>
      </c>
      <c r="Q192" s="757"/>
      <c r="R192" s="757"/>
      <c r="S192" s="757"/>
      <c r="T192" s="757"/>
      <c r="U192" s="757"/>
      <c r="V192" s="757"/>
      <c r="W192" s="757"/>
      <c r="X192" s="757"/>
      <c r="Y192" s="757"/>
      <c r="Z192" s="757"/>
    </row>
    <row r="193" ht="12.75" customHeight="1">
      <c r="A193" s="761">
        <v>191.0</v>
      </c>
      <c r="B193" s="169" t="s">
        <v>5</v>
      </c>
      <c r="C193" s="169" t="s">
        <v>11900</v>
      </c>
      <c r="D193" s="169" t="s">
        <v>3564</v>
      </c>
      <c r="E193" s="169" t="s">
        <v>12757</v>
      </c>
      <c r="F193" s="169" t="s">
        <v>11844</v>
      </c>
      <c r="G193" s="169" t="s">
        <v>5</v>
      </c>
      <c r="H193" s="169" t="s">
        <v>5</v>
      </c>
      <c r="I193" s="169" t="s">
        <v>11849</v>
      </c>
      <c r="J193" s="169" t="s">
        <v>5</v>
      </c>
      <c r="K193" s="169" t="s">
        <v>5</v>
      </c>
      <c r="L193" s="169" t="s">
        <v>5</v>
      </c>
      <c r="M193" s="762">
        <v>45376.0</v>
      </c>
      <c r="N193" s="763" t="s">
        <v>9265</v>
      </c>
      <c r="O193" s="762" t="s">
        <v>5</v>
      </c>
      <c r="P193" s="169" t="s">
        <v>11802</v>
      </c>
      <c r="Q193" s="757"/>
      <c r="R193" s="757"/>
      <c r="S193" s="757"/>
      <c r="T193" s="757"/>
      <c r="U193" s="757"/>
      <c r="V193" s="757"/>
      <c r="W193" s="757"/>
      <c r="X193" s="757"/>
      <c r="Y193" s="757"/>
      <c r="Z193" s="757"/>
    </row>
    <row r="194" ht="12.75" customHeight="1">
      <c r="A194" s="761">
        <v>192.0</v>
      </c>
      <c r="B194" s="169" t="s">
        <v>5</v>
      </c>
      <c r="C194" s="169" t="s">
        <v>11902</v>
      </c>
      <c r="D194" s="169" t="s">
        <v>2835</v>
      </c>
      <c r="E194" s="169" t="s">
        <v>12758</v>
      </c>
      <c r="F194" s="169" t="s">
        <v>11851</v>
      </c>
      <c r="G194" s="169" t="s">
        <v>5</v>
      </c>
      <c r="H194" s="169" t="s">
        <v>5</v>
      </c>
      <c r="I194" s="169" t="s">
        <v>5</v>
      </c>
      <c r="J194" s="169" t="s">
        <v>5</v>
      </c>
      <c r="K194" s="169" t="s">
        <v>5</v>
      </c>
      <c r="L194" s="169" t="s">
        <v>5</v>
      </c>
      <c r="M194" s="762" t="s">
        <v>5</v>
      </c>
      <c r="N194" s="763" t="s">
        <v>9265</v>
      </c>
      <c r="O194" s="762" t="s">
        <v>5</v>
      </c>
      <c r="P194" s="169" t="s">
        <v>11802</v>
      </c>
      <c r="Q194" s="757"/>
      <c r="R194" s="757"/>
      <c r="S194" s="757"/>
      <c r="T194" s="757"/>
      <c r="U194" s="757"/>
      <c r="V194" s="757"/>
      <c r="W194" s="757"/>
      <c r="X194" s="757"/>
      <c r="Y194" s="757"/>
      <c r="Z194" s="757"/>
    </row>
    <row r="195" ht="12.75" customHeight="1">
      <c r="A195" s="761">
        <v>193.0</v>
      </c>
      <c r="B195" s="169" t="s">
        <v>5</v>
      </c>
      <c r="C195" s="169" t="s">
        <v>10821</v>
      </c>
      <c r="D195" s="169" t="s">
        <v>2835</v>
      </c>
      <c r="E195" s="169" t="s">
        <v>12759</v>
      </c>
      <c r="F195" s="169" t="s">
        <v>11844</v>
      </c>
      <c r="G195" s="169" t="s">
        <v>5</v>
      </c>
      <c r="H195" s="169" t="s">
        <v>5</v>
      </c>
      <c r="I195" s="169" t="s">
        <v>11849</v>
      </c>
      <c r="J195" s="169" t="s">
        <v>5</v>
      </c>
      <c r="K195" s="169" t="s">
        <v>5</v>
      </c>
      <c r="L195" s="169" t="s">
        <v>5</v>
      </c>
      <c r="M195" s="762" t="s">
        <v>5</v>
      </c>
      <c r="N195" s="763" t="s">
        <v>9265</v>
      </c>
      <c r="O195" s="762" t="s">
        <v>5</v>
      </c>
      <c r="P195" s="169" t="s">
        <v>11802</v>
      </c>
      <c r="Q195" s="757"/>
      <c r="R195" s="757"/>
      <c r="S195" s="757"/>
      <c r="T195" s="757"/>
      <c r="U195" s="757"/>
      <c r="V195" s="757"/>
      <c r="W195" s="757"/>
      <c r="X195" s="757"/>
      <c r="Y195" s="757"/>
      <c r="Z195" s="757"/>
    </row>
    <row r="196" ht="12.75" customHeight="1">
      <c r="A196" s="761">
        <v>194.0</v>
      </c>
      <c r="B196" s="169" t="s">
        <v>5</v>
      </c>
      <c r="C196" s="169" t="s">
        <v>2837</v>
      </c>
      <c r="D196" s="169" t="s">
        <v>2836</v>
      </c>
      <c r="E196" s="169" t="s">
        <v>12760</v>
      </c>
      <c r="F196" s="169" t="s">
        <v>11854</v>
      </c>
      <c r="G196" s="169" t="s">
        <v>5</v>
      </c>
      <c r="H196" s="169" t="s">
        <v>5</v>
      </c>
      <c r="I196" s="169" t="s">
        <v>11849</v>
      </c>
      <c r="J196" s="169" t="s">
        <v>5</v>
      </c>
      <c r="K196" s="169" t="s">
        <v>5</v>
      </c>
      <c r="L196" s="169" t="s">
        <v>5</v>
      </c>
      <c r="M196" s="762" t="s">
        <v>5</v>
      </c>
      <c r="N196" s="763" t="s">
        <v>9265</v>
      </c>
      <c r="O196" s="762" t="s">
        <v>5</v>
      </c>
      <c r="P196" s="169" t="s">
        <v>11802</v>
      </c>
      <c r="Q196" s="757"/>
      <c r="R196" s="757"/>
      <c r="S196" s="757"/>
      <c r="T196" s="757"/>
      <c r="U196" s="757"/>
      <c r="V196" s="757"/>
      <c r="W196" s="757"/>
      <c r="X196" s="757"/>
      <c r="Y196" s="757"/>
      <c r="Z196" s="757"/>
    </row>
    <row r="197" ht="12.75" customHeight="1">
      <c r="A197" s="761">
        <v>195.0</v>
      </c>
      <c r="B197" s="169" t="s">
        <v>5</v>
      </c>
      <c r="C197" s="169" t="s">
        <v>11904</v>
      </c>
      <c r="D197" s="169" t="s">
        <v>2836</v>
      </c>
      <c r="E197" s="169" t="s">
        <v>12761</v>
      </c>
      <c r="F197" s="169" t="s">
        <v>11854</v>
      </c>
      <c r="G197" s="169" t="s">
        <v>5</v>
      </c>
      <c r="H197" s="169" t="s">
        <v>5</v>
      </c>
      <c r="I197" s="169" t="s">
        <v>11849</v>
      </c>
      <c r="J197" s="169" t="s">
        <v>5</v>
      </c>
      <c r="K197" s="169" t="s">
        <v>5</v>
      </c>
      <c r="L197" s="169" t="s">
        <v>5</v>
      </c>
      <c r="M197" s="762" t="s">
        <v>5</v>
      </c>
      <c r="N197" s="763" t="s">
        <v>9265</v>
      </c>
      <c r="O197" s="762" t="s">
        <v>5</v>
      </c>
      <c r="P197" s="169" t="s">
        <v>11802</v>
      </c>
      <c r="Q197" s="757"/>
      <c r="R197" s="757"/>
      <c r="S197" s="757"/>
      <c r="T197" s="757"/>
      <c r="U197" s="757"/>
      <c r="V197" s="757"/>
      <c r="W197" s="757"/>
      <c r="X197" s="757"/>
      <c r="Y197" s="757"/>
      <c r="Z197" s="757"/>
    </row>
    <row r="198" ht="12.75" customHeight="1">
      <c r="A198" s="761">
        <v>196.0</v>
      </c>
      <c r="B198" s="169" t="s">
        <v>5</v>
      </c>
      <c r="C198" s="169" t="s">
        <v>2842</v>
      </c>
      <c r="D198" s="169" t="s">
        <v>453</v>
      </c>
      <c r="E198" s="169" t="s">
        <v>12762</v>
      </c>
      <c r="F198" s="169" t="s">
        <v>11850</v>
      </c>
      <c r="G198" s="169" t="s">
        <v>5</v>
      </c>
      <c r="H198" s="169" t="s">
        <v>5</v>
      </c>
      <c r="I198" s="169" t="s">
        <v>5</v>
      </c>
      <c r="J198" s="169" t="s">
        <v>5</v>
      </c>
      <c r="K198" s="169" t="s">
        <v>5</v>
      </c>
      <c r="L198" s="169" t="s">
        <v>5</v>
      </c>
      <c r="M198" s="762" t="s">
        <v>5</v>
      </c>
      <c r="N198" s="763" t="s">
        <v>9265</v>
      </c>
      <c r="O198" s="762" t="s">
        <v>5</v>
      </c>
      <c r="P198" s="169" t="s">
        <v>11802</v>
      </c>
      <c r="Q198" s="757"/>
      <c r="R198" s="757"/>
      <c r="S198" s="757"/>
      <c r="T198" s="757"/>
      <c r="U198" s="757"/>
      <c r="V198" s="757"/>
      <c r="W198" s="757"/>
      <c r="X198" s="757"/>
      <c r="Y198" s="757"/>
      <c r="Z198" s="757"/>
    </row>
    <row r="199" ht="12.75" customHeight="1">
      <c r="A199" s="761">
        <v>197.0</v>
      </c>
      <c r="B199" s="169" t="s">
        <v>5</v>
      </c>
      <c r="C199" s="169" t="s">
        <v>4969</v>
      </c>
      <c r="D199" s="169" t="s">
        <v>453</v>
      </c>
      <c r="E199" s="169" t="s">
        <v>12763</v>
      </c>
      <c r="F199" s="169" t="s">
        <v>11850</v>
      </c>
      <c r="G199" s="169" t="s">
        <v>5</v>
      </c>
      <c r="H199" s="169" t="s">
        <v>5</v>
      </c>
      <c r="I199" s="169" t="s">
        <v>5</v>
      </c>
      <c r="J199" s="169" t="s">
        <v>5</v>
      </c>
      <c r="K199" s="169" t="s">
        <v>5</v>
      </c>
      <c r="L199" s="169" t="s">
        <v>5</v>
      </c>
      <c r="M199" s="762" t="s">
        <v>5</v>
      </c>
      <c r="N199" s="763" t="s">
        <v>9265</v>
      </c>
      <c r="O199" s="762" t="s">
        <v>5</v>
      </c>
      <c r="P199" s="169" t="s">
        <v>11802</v>
      </c>
      <c r="Q199" s="757"/>
      <c r="R199" s="757"/>
      <c r="S199" s="757"/>
      <c r="T199" s="757"/>
      <c r="U199" s="757"/>
      <c r="V199" s="757"/>
      <c r="W199" s="757"/>
      <c r="X199" s="757"/>
      <c r="Y199" s="757"/>
      <c r="Z199" s="757"/>
    </row>
    <row r="200" ht="12.75" customHeight="1">
      <c r="A200" s="761">
        <v>198.0</v>
      </c>
      <c r="B200" s="169" t="s">
        <v>5</v>
      </c>
      <c r="C200" s="169" t="s">
        <v>10825</v>
      </c>
      <c r="D200" s="169" t="s">
        <v>453</v>
      </c>
      <c r="E200" s="169" t="s">
        <v>12764</v>
      </c>
      <c r="F200" s="169" t="s">
        <v>11850</v>
      </c>
      <c r="G200" s="169" t="s">
        <v>5</v>
      </c>
      <c r="H200" s="169" t="s">
        <v>5</v>
      </c>
      <c r="I200" s="169" t="s">
        <v>5</v>
      </c>
      <c r="J200" s="169" t="s">
        <v>5</v>
      </c>
      <c r="K200" s="169" t="s">
        <v>5</v>
      </c>
      <c r="L200" s="169" t="s">
        <v>5</v>
      </c>
      <c r="M200" s="762" t="s">
        <v>5</v>
      </c>
      <c r="N200" s="763" t="s">
        <v>9265</v>
      </c>
      <c r="O200" s="762" t="s">
        <v>5</v>
      </c>
      <c r="P200" s="169" t="s">
        <v>11802</v>
      </c>
      <c r="Q200" s="757"/>
      <c r="R200" s="757"/>
      <c r="S200" s="757"/>
      <c r="T200" s="757"/>
      <c r="U200" s="757"/>
      <c r="V200" s="757"/>
      <c r="W200" s="757"/>
      <c r="X200" s="757"/>
      <c r="Y200" s="757"/>
      <c r="Z200" s="757"/>
    </row>
    <row r="201" ht="12.75" customHeight="1">
      <c r="A201" s="761">
        <v>199.0</v>
      </c>
      <c r="B201" s="169" t="s">
        <v>5</v>
      </c>
      <c r="C201" s="169" t="s">
        <v>11906</v>
      </c>
      <c r="D201" s="169" t="s">
        <v>6077</v>
      </c>
      <c r="E201" s="169" t="s">
        <v>12765</v>
      </c>
      <c r="F201" s="169" t="s">
        <v>11844</v>
      </c>
      <c r="G201" s="169" t="s">
        <v>5</v>
      </c>
      <c r="H201" s="169" t="s">
        <v>5</v>
      </c>
      <c r="I201" s="169" t="s">
        <v>5</v>
      </c>
      <c r="J201" s="169" t="s">
        <v>5</v>
      </c>
      <c r="K201" s="169" t="s">
        <v>5</v>
      </c>
      <c r="L201" s="169" t="s">
        <v>5</v>
      </c>
      <c r="M201" s="762" t="s">
        <v>5</v>
      </c>
      <c r="N201" s="763" t="s">
        <v>9265</v>
      </c>
      <c r="O201" s="762" t="s">
        <v>5</v>
      </c>
      <c r="P201" s="169" t="s">
        <v>11802</v>
      </c>
      <c r="Q201" s="757"/>
      <c r="R201" s="757"/>
      <c r="S201" s="757"/>
      <c r="T201" s="757"/>
      <c r="U201" s="757"/>
      <c r="V201" s="757"/>
      <c r="W201" s="757"/>
      <c r="X201" s="757"/>
      <c r="Y201" s="757"/>
      <c r="Z201" s="757"/>
    </row>
    <row r="202" ht="12.75" customHeight="1">
      <c r="A202" s="761">
        <v>200.0</v>
      </c>
      <c r="B202" s="169" t="s">
        <v>5</v>
      </c>
      <c r="C202" s="169" t="s">
        <v>11908</v>
      </c>
      <c r="D202" s="169" t="s">
        <v>6077</v>
      </c>
      <c r="E202" s="169" t="s">
        <v>12766</v>
      </c>
      <c r="F202" s="169" t="s">
        <v>11844</v>
      </c>
      <c r="G202" s="169" t="s">
        <v>5</v>
      </c>
      <c r="H202" s="169" t="s">
        <v>5</v>
      </c>
      <c r="I202" s="169" t="s">
        <v>5</v>
      </c>
      <c r="J202" s="169" t="s">
        <v>5</v>
      </c>
      <c r="K202" s="169" t="s">
        <v>5</v>
      </c>
      <c r="L202" s="169" t="s">
        <v>5</v>
      </c>
      <c r="M202" s="762" t="s">
        <v>5</v>
      </c>
      <c r="N202" s="763" t="s">
        <v>9265</v>
      </c>
      <c r="O202" s="762" t="s">
        <v>5</v>
      </c>
      <c r="P202" s="169" t="s">
        <v>11802</v>
      </c>
      <c r="Q202" s="757"/>
      <c r="R202" s="757"/>
      <c r="S202" s="757"/>
      <c r="T202" s="757"/>
      <c r="U202" s="757"/>
      <c r="V202" s="757"/>
      <c r="W202" s="757"/>
      <c r="X202" s="757"/>
      <c r="Y202" s="757"/>
      <c r="Z202" s="757"/>
    </row>
    <row r="203" ht="12.75" customHeight="1">
      <c r="A203" s="761">
        <v>201.0</v>
      </c>
      <c r="B203" s="169" t="s">
        <v>5</v>
      </c>
      <c r="C203" s="169" t="s">
        <v>11910</v>
      </c>
      <c r="D203" s="169" t="s">
        <v>11907</v>
      </c>
      <c r="E203" s="169" t="s">
        <v>12767</v>
      </c>
      <c r="F203" s="169" t="s">
        <v>11851</v>
      </c>
      <c r="G203" s="169" t="s">
        <v>5</v>
      </c>
      <c r="H203" s="169" t="s">
        <v>5</v>
      </c>
      <c r="I203" s="169" t="s">
        <v>5</v>
      </c>
      <c r="J203" s="169" t="s">
        <v>5</v>
      </c>
      <c r="K203" s="169" t="s">
        <v>5</v>
      </c>
      <c r="L203" s="169" t="s">
        <v>5</v>
      </c>
      <c r="M203" s="762" t="s">
        <v>5</v>
      </c>
      <c r="N203" s="763" t="s">
        <v>9265</v>
      </c>
      <c r="O203" s="762" t="s">
        <v>5</v>
      </c>
      <c r="P203" s="169" t="s">
        <v>11802</v>
      </c>
      <c r="Q203" s="757"/>
      <c r="R203" s="757"/>
      <c r="S203" s="757"/>
      <c r="T203" s="757"/>
      <c r="U203" s="757"/>
      <c r="V203" s="757"/>
      <c r="W203" s="757"/>
      <c r="X203" s="757"/>
      <c r="Y203" s="757"/>
      <c r="Z203" s="757"/>
    </row>
    <row r="204" ht="12.75" customHeight="1">
      <c r="A204" s="761">
        <v>202.0</v>
      </c>
      <c r="B204" s="169" t="s">
        <v>5</v>
      </c>
      <c r="C204" s="169" t="s">
        <v>11912</v>
      </c>
      <c r="D204" s="169" t="s">
        <v>11907</v>
      </c>
      <c r="E204" s="169" t="s">
        <v>12768</v>
      </c>
      <c r="F204" s="169" t="s">
        <v>11851</v>
      </c>
      <c r="G204" s="169" t="s">
        <v>5</v>
      </c>
      <c r="H204" s="169" t="s">
        <v>5</v>
      </c>
      <c r="I204" s="169" t="s">
        <v>5</v>
      </c>
      <c r="J204" s="169" t="s">
        <v>5</v>
      </c>
      <c r="K204" s="169" t="s">
        <v>5</v>
      </c>
      <c r="L204" s="169" t="s">
        <v>5</v>
      </c>
      <c r="M204" s="762" t="s">
        <v>5</v>
      </c>
      <c r="N204" s="763" t="s">
        <v>9265</v>
      </c>
      <c r="O204" s="762" t="s">
        <v>5</v>
      </c>
      <c r="P204" s="169" t="s">
        <v>11802</v>
      </c>
      <c r="Q204" s="757"/>
      <c r="R204" s="757"/>
      <c r="S204" s="757"/>
      <c r="T204" s="757"/>
      <c r="U204" s="757"/>
      <c r="V204" s="757"/>
      <c r="W204" s="757"/>
      <c r="X204" s="757"/>
      <c r="Y204" s="757"/>
      <c r="Z204" s="757"/>
    </row>
    <row r="205" ht="12.75" customHeight="1">
      <c r="A205" s="761">
        <v>203.0</v>
      </c>
      <c r="B205" s="169" t="s">
        <v>5</v>
      </c>
      <c r="C205" s="169" t="s">
        <v>10827</v>
      </c>
      <c r="D205" s="169" t="s">
        <v>6077</v>
      </c>
      <c r="E205" s="169" t="s">
        <v>12769</v>
      </c>
      <c r="F205" s="169" t="s">
        <v>11844</v>
      </c>
      <c r="G205" s="169" t="s">
        <v>5</v>
      </c>
      <c r="H205" s="169" t="s">
        <v>5</v>
      </c>
      <c r="I205" s="169" t="s">
        <v>5</v>
      </c>
      <c r="J205" s="169" t="s">
        <v>5</v>
      </c>
      <c r="K205" s="169" t="s">
        <v>5</v>
      </c>
      <c r="L205" s="169" t="s">
        <v>5</v>
      </c>
      <c r="M205" s="762" t="s">
        <v>5</v>
      </c>
      <c r="N205" s="763" t="s">
        <v>9265</v>
      </c>
      <c r="O205" s="762" t="s">
        <v>5</v>
      </c>
      <c r="P205" s="169" t="s">
        <v>11802</v>
      </c>
      <c r="Q205" s="757"/>
      <c r="R205" s="757"/>
      <c r="S205" s="757"/>
      <c r="T205" s="757"/>
      <c r="U205" s="757"/>
      <c r="V205" s="757"/>
      <c r="W205" s="757"/>
      <c r="X205" s="757"/>
      <c r="Y205" s="757"/>
      <c r="Z205" s="757"/>
    </row>
    <row r="206" ht="12.75" customHeight="1">
      <c r="A206" s="761">
        <v>204.0</v>
      </c>
      <c r="B206" s="169" t="s">
        <v>5</v>
      </c>
      <c r="C206" s="169" t="s">
        <v>11914</v>
      </c>
      <c r="D206" s="169" t="s">
        <v>6078</v>
      </c>
      <c r="E206" s="169" t="s">
        <v>12770</v>
      </c>
      <c r="F206" s="169" t="s">
        <v>11851</v>
      </c>
      <c r="G206" s="169" t="s">
        <v>5</v>
      </c>
      <c r="H206" s="169" t="s">
        <v>5</v>
      </c>
      <c r="I206" s="169" t="s">
        <v>5</v>
      </c>
      <c r="J206" s="169" t="s">
        <v>5</v>
      </c>
      <c r="K206" s="169" t="s">
        <v>5</v>
      </c>
      <c r="L206" s="169" t="s">
        <v>5</v>
      </c>
      <c r="M206" s="762" t="s">
        <v>5</v>
      </c>
      <c r="N206" s="763" t="s">
        <v>9265</v>
      </c>
      <c r="O206" s="762" t="s">
        <v>5</v>
      </c>
      <c r="P206" s="169" t="s">
        <v>11802</v>
      </c>
      <c r="Q206" s="757"/>
      <c r="R206" s="757"/>
      <c r="S206" s="757"/>
      <c r="T206" s="757"/>
      <c r="U206" s="757"/>
      <c r="V206" s="757"/>
      <c r="W206" s="757"/>
      <c r="X206" s="757"/>
      <c r="Y206" s="757"/>
      <c r="Z206" s="757"/>
    </row>
    <row r="207" ht="12.75" customHeight="1">
      <c r="A207" s="761">
        <v>205.0</v>
      </c>
      <c r="B207" s="169" t="s">
        <v>5</v>
      </c>
      <c r="C207" s="169" t="s">
        <v>6079</v>
      </c>
      <c r="D207" s="169" t="s">
        <v>6078</v>
      </c>
      <c r="E207" s="169" t="s">
        <v>12771</v>
      </c>
      <c r="F207" s="169" t="s">
        <v>11851</v>
      </c>
      <c r="G207" s="169" t="s">
        <v>5</v>
      </c>
      <c r="H207" s="169" t="s">
        <v>5</v>
      </c>
      <c r="I207" s="169" t="s">
        <v>5</v>
      </c>
      <c r="J207" s="169" t="s">
        <v>5</v>
      </c>
      <c r="K207" s="169" t="s">
        <v>5</v>
      </c>
      <c r="L207" s="169" t="s">
        <v>5</v>
      </c>
      <c r="M207" s="762" t="s">
        <v>5</v>
      </c>
      <c r="N207" s="763" t="s">
        <v>9265</v>
      </c>
      <c r="O207" s="762" t="s">
        <v>5</v>
      </c>
      <c r="P207" s="169" t="s">
        <v>11802</v>
      </c>
      <c r="Q207" s="757"/>
      <c r="R207" s="757"/>
      <c r="S207" s="757"/>
      <c r="T207" s="757"/>
      <c r="U207" s="757"/>
      <c r="V207" s="757"/>
      <c r="W207" s="757"/>
      <c r="X207" s="757"/>
      <c r="Y207" s="757"/>
      <c r="Z207" s="757"/>
    </row>
    <row r="208" ht="12.75" customHeight="1">
      <c r="A208" s="758">
        <v>206.0</v>
      </c>
      <c r="B208" s="421" t="s">
        <v>11915</v>
      </c>
      <c r="C208" s="421" t="s">
        <v>76</v>
      </c>
      <c r="D208" s="421" t="s">
        <v>10527</v>
      </c>
      <c r="E208" s="421" t="s">
        <v>12772</v>
      </c>
      <c r="F208" s="421" t="s">
        <v>11916</v>
      </c>
      <c r="G208" s="421" t="s">
        <v>11917</v>
      </c>
      <c r="H208" s="421" t="s">
        <v>5</v>
      </c>
      <c r="I208" s="421" t="s">
        <v>11918</v>
      </c>
      <c r="J208" s="421" t="s">
        <v>5</v>
      </c>
      <c r="K208" s="421" t="s">
        <v>5</v>
      </c>
      <c r="L208" s="421" t="s">
        <v>5</v>
      </c>
      <c r="M208" s="759" t="s">
        <v>5</v>
      </c>
      <c r="N208" s="760" t="s">
        <v>9265</v>
      </c>
      <c r="O208" s="759" t="s">
        <v>5</v>
      </c>
      <c r="P208" s="421" t="s">
        <v>11802</v>
      </c>
      <c r="Q208" s="757"/>
      <c r="R208" s="757"/>
      <c r="S208" s="757"/>
      <c r="T208" s="757"/>
      <c r="U208" s="757"/>
      <c r="V208" s="757"/>
      <c r="W208" s="757"/>
      <c r="X208" s="757"/>
      <c r="Y208" s="757"/>
      <c r="Z208" s="757"/>
    </row>
    <row r="209" ht="12.75" customHeight="1">
      <c r="A209" s="758">
        <v>207.0</v>
      </c>
      <c r="B209" s="421" t="s">
        <v>11919</v>
      </c>
      <c r="C209" s="421" t="s">
        <v>9986</v>
      </c>
      <c r="D209" s="421" t="s">
        <v>576</v>
      </c>
      <c r="E209" s="421" t="s">
        <v>12773</v>
      </c>
      <c r="F209" s="421" t="s">
        <v>11844</v>
      </c>
      <c r="G209" s="421" t="s">
        <v>5</v>
      </c>
      <c r="H209" s="421" t="s">
        <v>5</v>
      </c>
      <c r="I209" s="421" t="s">
        <v>5</v>
      </c>
      <c r="J209" s="421" t="s">
        <v>5</v>
      </c>
      <c r="K209" s="421" t="s">
        <v>5</v>
      </c>
      <c r="L209" s="421" t="s">
        <v>5</v>
      </c>
      <c r="M209" s="759" t="s">
        <v>5</v>
      </c>
      <c r="N209" s="760" t="s">
        <v>9265</v>
      </c>
      <c r="O209" s="759" t="s">
        <v>5</v>
      </c>
      <c r="P209" s="421" t="s">
        <v>11802</v>
      </c>
      <c r="Q209" s="757"/>
      <c r="R209" s="757"/>
      <c r="S209" s="757"/>
      <c r="T209" s="757"/>
      <c r="U209" s="757"/>
      <c r="V209" s="757"/>
      <c r="W209" s="757"/>
      <c r="X209" s="757"/>
      <c r="Y209" s="757"/>
      <c r="Z209" s="757"/>
    </row>
    <row r="210" ht="12.75" customHeight="1">
      <c r="A210" s="758">
        <v>208.0</v>
      </c>
      <c r="B210" s="421" t="s">
        <v>11920</v>
      </c>
      <c r="C210" s="421" t="s">
        <v>8156</v>
      </c>
      <c r="D210" s="421" t="s">
        <v>576</v>
      </c>
      <c r="E210" s="421" t="s">
        <v>12774</v>
      </c>
      <c r="F210" s="421" t="s">
        <v>11844</v>
      </c>
      <c r="G210" s="421" t="s">
        <v>5</v>
      </c>
      <c r="H210" s="421" t="s">
        <v>5</v>
      </c>
      <c r="I210" s="421" t="s">
        <v>5</v>
      </c>
      <c r="J210" s="421" t="s">
        <v>5</v>
      </c>
      <c r="K210" s="421" t="s">
        <v>5</v>
      </c>
      <c r="L210" s="421" t="s">
        <v>5</v>
      </c>
      <c r="M210" s="759" t="s">
        <v>5</v>
      </c>
      <c r="N210" s="760" t="s">
        <v>9265</v>
      </c>
      <c r="O210" s="759" t="s">
        <v>5</v>
      </c>
      <c r="P210" s="421" t="s">
        <v>11802</v>
      </c>
      <c r="Q210" s="757"/>
      <c r="R210" s="757"/>
      <c r="S210" s="757"/>
      <c r="T210" s="757"/>
      <c r="U210" s="757"/>
      <c r="V210" s="757"/>
      <c r="W210" s="757"/>
      <c r="X210" s="757"/>
      <c r="Y210" s="757"/>
      <c r="Z210" s="757"/>
    </row>
    <row r="211" ht="12.75" customHeight="1">
      <c r="A211" s="758">
        <v>209.0</v>
      </c>
      <c r="B211" s="421" t="s">
        <v>11921</v>
      </c>
      <c r="C211" s="421" t="s">
        <v>3240</v>
      </c>
      <c r="D211" s="421" t="s">
        <v>12775</v>
      </c>
      <c r="E211" s="421" t="s">
        <v>12776</v>
      </c>
      <c r="F211" s="421" t="s">
        <v>11851</v>
      </c>
      <c r="G211" s="421" t="s">
        <v>5</v>
      </c>
      <c r="H211" s="421" t="s">
        <v>5</v>
      </c>
      <c r="I211" s="421" t="s">
        <v>5</v>
      </c>
      <c r="J211" s="421" t="s">
        <v>5</v>
      </c>
      <c r="K211" s="421" t="s">
        <v>5</v>
      </c>
      <c r="L211" s="421" t="s">
        <v>5</v>
      </c>
      <c r="M211" s="759" t="s">
        <v>5</v>
      </c>
      <c r="N211" s="760" t="s">
        <v>9265</v>
      </c>
      <c r="O211" s="759" t="s">
        <v>5</v>
      </c>
      <c r="P211" s="421" t="s">
        <v>11802</v>
      </c>
      <c r="Q211" s="757"/>
      <c r="R211" s="757"/>
      <c r="S211" s="757"/>
      <c r="T211" s="757"/>
      <c r="U211" s="757"/>
      <c r="V211" s="757"/>
      <c r="W211" s="757"/>
      <c r="X211" s="757"/>
      <c r="Y211" s="757"/>
      <c r="Z211" s="757"/>
    </row>
    <row r="212" ht="12.75" customHeight="1">
      <c r="A212" s="758">
        <v>210.0</v>
      </c>
      <c r="B212" s="421" t="s">
        <v>11922</v>
      </c>
      <c r="C212" s="421" t="s">
        <v>7406</v>
      </c>
      <c r="D212" s="421" t="s">
        <v>12775</v>
      </c>
      <c r="E212" s="421" t="s">
        <v>12777</v>
      </c>
      <c r="F212" s="421" t="s">
        <v>11851</v>
      </c>
      <c r="G212" s="421" t="s">
        <v>5</v>
      </c>
      <c r="H212" s="421" t="s">
        <v>5</v>
      </c>
      <c r="I212" s="421" t="s">
        <v>5</v>
      </c>
      <c r="J212" s="421" t="s">
        <v>5</v>
      </c>
      <c r="K212" s="421" t="s">
        <v>5</v>
      </c>
      <c r="L212" s="421" t="s">
        <v>5</v>
      </c>
      <c r="M212" s="759" t="s">
        <v>5</v>
      </c>
      <c r="N212" s="760" t="s">
        <v>9265</v>
      </c>
      <c r="O212" s="759" t="s">
        <v>5</v>
      </c>
      <c r="P212" s="421" t="s">
        <v>11802</v>
      </c>
      <c r="Q212" s="757"/>
      <c r="R212" s="757"/>
      <c r="S212" s="757"/>
      <c r="T212" s="757"/>
      <c r="U212" s="757"/>
      <c r="V212" s="757"/>
      <c r="W212" s="757"/>
      <c r="X212" s="757"/>
      <c r="Y212" s="757"/>
      <c r="Z212" s="757"/>
    </row>
    <row r="213" ht="12.75" customHeight="1">
      <c r="A213" s="758">
        <v>211.0</v>
      </c>
      <c r="B213" s="421" t="s">
        <v>11923</v>
      </c>
      <c r="C213" s="421" t="s">
        <v>8233</v>
      </c>
      <c r="D213" s="421" t="s">
        <v>576</v>
      </c>
      <c r="E213" s="421" t="s">
        <v>12778</v>
      </c>
      <c r="F213" s="421" t="s">
        <v>11844</v>
      </c>
      <c r="G213" s="421" t="s">
        <v>5</v>
      </c>
      <c r="H213" s="421" t="s">
        <v>5</v>
      </c>
      <c r="I213" s="421" t="s">
        <v>5</v>
      </c>
      <c r="J213" s="421" t="s">
        <v>5</v>
      </c>
      <c r="K213" s="421" t="s">
        <v>5</v>
      </c>
      <c r="L213" s="421" t="s">
        <v>5</v>
      </c>
      <c r="M213" s="759" t="s">
        <v>5</v>
      </c>
      <c r="N213" s="760" t="s">
        <v>9265</v>
      </c>
      <c r="O213" s="759" t="s">
        <v>5</v>
      </c>
      <c r="P213" s="421" t="s">
        <v>11802</v>
      </c>
      <c r="Q213" s="757"/>
      <c r="R213" s="757"/>
      <c r="S213" s="757"/>
      <c r="T213" s="757"/>
      <c r="U213" s="757"/>
      <c r="V213" s="757"/>
      <c r="W213" s="757"/>
      <c r="X213" s="757"/>
      <c r="Y213" s="757"/>
      <c r="Z213" s="757"/>
    </row>
    <row r="214" ht="12.75" customHeight="1">
      <c r="A214" s="758">
        <v>212.0</v>
      </c>
      <c r="B214" s="421" t="s">
        <v>11924</v>
      </c>
      <c r="C214" s="421" t="s">
        <v>4302</v>
      </c>
      <c r="D214" s="421" t="s">
        <v>2817</v>
      </c>
      <c r="E214" s="421" t="s">
        <v>12779</v>
      </c>
      <c r="F214" s="421" t="s">
        <v>11851</v>
      </c>
      <c r="G214" s="421" t="s">
        <v>5</v>
      </c>
      <c r="H214" s="421" t="s">
        <v>5</v>
      </c>
      <c r="I214" s="421" t="s">
        <v>5</v>
      </c>
      <c r="J214" s="421" t="s">
        <v>5</v>
      </c>
      <c r="K214" s="421" t="s">
        <v>5</v>
      </c>
      <c r="L214" s="421" t="s">
        <v>5</v>
      </c>
      <c r="M214" s="759" t="s">
        <v>5</v>
      </c>
      <c r="N214" s="760" t="s">
        <v>9265</v>
      </c>
      <c r="O214" s="759" t="s">
        <v>5</v>
      </c>
      <c r="P214" s="421" t="s">
        <v>11802</v>
      </c>
      <c r="Q214" s="757"/>
      <c r="R214" s="757"/>
      <c r="S214" s="757"/>
      <c r="T214" s="757"/>
      <c r="U214" s="757"/>
      <c r="V214" s="757"/>
      <c r="W214" s="757"/>
      <c r="X214" s="757"/>
      <c r="Y214" s="757"/>
      <c r="Z214" s="757"/>
    </row>
    <row r="215" ht="12.75" customHeight="1">
      <c r="A215" s="758">
        <v>213.0</v>
      </c>
      <c r="B215" s="421" t="s">
        <v>11925</v>
      </c>
      <c r="C215" s="421" t="s">
        <v>7471</v>
      </c>
      <c r="D215" s="421" t="s">
        <v>2817</v>
      </c>
      <c r="E215" s="421" t="s">
        <v>12780</v>
      </c>
      <c r="F215" s="421" t="s">
        <v>11851</v>
      </c>
      <c r="G215" s="421" t="s">
        <v>5</v>
      </c>
      <c r="H215" s="421" t="s">
        <v>5</v>
      </c>
      <c r="I215" s="421" t="s">
        <v>5</v>
      </c>
      <c r="J215" s="421" t="s">
        <v>5</v>
      </c>
      <c r="K215" s="421" t="s">
        <v>5</v>
      </c>
      <c r="L215" s="421" t="s">
        <v>5</v>
      </c>
      <c r="M215" s="759" t="s">
        <v>5</v>
      </c>
      <c r="N215" s="760" t="s">
        <v>9265</v>
      </c>
      <c r="O215" s="759" t="s">
        <v>5</v>
      </c>
      <c r="P215" s="421" t="s">
        <v>11802</v>
      </c>
      <c r="Q215" s="757"/>
      <c r="R215" s="757"/>
      <c r="S215" s="757"/>
      <c r="T215" s="757"/>
      <c r="U215" s="757"/>
      <c r="V215" s="757"/>
      <c r="W215" s="757"/>
      <c r="X215" s="757"/>
      <c r="Y215" s="757"/>
      <c r="Z215" s="757"/>
    </row>
    <row r="216" ht="12.75" customHeight="1">
      <c r="A216" s="758">
        <v>214.0</v>
      </c>
      <c r="B216" s="421" t="s">
        <v>11926</v>
      </c>
      <c r="C216" s="421" t="s">
        <v>2818</v>
      </c>
      <c r="D216" s="421" t="s">
        <v>2817</v>
      </c>
      <c r="E216" s="421" t="s">
        <v>12781</v>
      </c>
      <c r="F216" s="421" t="s">
        <v>11851</v>
      </c>
      <c r="G216" s="421" t="s">
        <v>5</v>
      </c>
      <c r="H216" s="421" t="s">
        <v>5</v>
      </c>
      <c r="I216" s="421" t="s">
        <v>5</v>
      </c>
      <c r="J216" s="421" t="s">
        <v>5</v>
      </c>
      <c r="K216" s="421" t="s">
        <v>5</v>
      </c>
      <c r="L216" s="421" t="s">
        <v>5</v>
      </c>
      <c r="M216" s="759" t="s">
        <v>5</v>
      </c>
      <c r="N216" s="760" t="s">
        <v>9265</v>
      </c>
      <c r="O216" s="759" t="s">
        <v>5</v>
      </c>
      <c r="P216" s="421" t="s">
        <v>11802</v>
      </c>
      <c r="Q216" s="757"/>
      <c r="R216" s="757"/>
      <c r="S216" s="757"/>
      <c r="T216" s="757"/>
      <c r="U216" s="757"/>
      <c r="V216" s="757"/>
      <c r="W216" s="757"/>
      <c r="X216" s="757"/>
      <c r="Y216" s="757"/>
      <c r="Z216" s="757"/>
    </row>
    <row r="217" ht="12.75" customHeight="1">
      <c r="A217" s="758">
        <v>215.0</v>
      </c>
      <c r="B217" s="421" t="s">
        <v>11927</v>
      </c>
      <c r="C217" s="421" t="s">
        <v>4653</v>
      </c>
      <c r="D217" s="421" t="s">
        <v>2817</v>
      </c>
      <c r="E217" s="421" t="s">
        <v>12782</v>
      </c>
      <c r="F217" s="421" t="s">
        <v>11851</v>
      </c>
      <c r="G217" s="421" t="s">
        <v>5</v>
      </c>
      <c r="H217" s="421" t="s">
        <v>5</v>
      </c>
      <c r="I217" s="421" t="s">
        <v>5</v>
      </c>
      <c r="J217" s="421" t="s">
        <v>5</v>
      </c>
      <c r="K217" s="421" t="s">
        <v>5</v>
      </c>
      <c r="L217" s="421" t="s">
        <v>5</v>
      </c>
      <c r="M217" s="759" t="s">
        <v>5</v>
      </c>
      <c r="N217" s="760" t="s">
        <v>9265</v>
      </c>
      <c r="O217" s="759" t="s">
        <v>5</v>
      </c>
      <c r="P217" s="421" t="s">
        <v>11802</v>
      </c>
      <c r="Q217" s="757"/>
      <c r="R217" s="757"/>
      <c r="S217" s="757"/>
      <c r="T217" s="757"/>
      <c r="U217" s="757"/>
      <c r="V217" s="757"/>
      <c r="W217" s="757"/>
      <c r="X217" s="757"/>
      <c r="Y217" s="757"/>
      <c r="Z217" s="757"/>
    </row>
    <row r="218" ht="12.75" customHeight="1">
      <c r="A218" s="758">
        <v>216.0</v>
      </c>
      <c r="B218" s="421" t="s">
        <v>11928</v>
      </c>
      <c r="C218" s="421" t="s">
        <v>2849</v>
      </c>
      <c r="D218" s="421" t="s">
        <v>2817</v>
      </c>
      <c r="E218" s="421" t="s">
        <v>12783</v>
      </c>
      <c r="F218" s="421" t="s">
        <v>11851</v>
      </c>
      <c r="G218" s="421" t="s">
        <v>5</v>
      </c>
      <c r="H218" s="421" t="s">
        <v>5</v>
      </c>
      <c r="I218" s="421" t="s">
        <v>11918</v>
      </c>
      <c r="J218" s="421" t="s">
        <v>5</v>
      </c>
      <c r="K218" s="421" t="s">
        <v>5</v>
      </c>
      <c r="L218" s="421" t="s">
        <v>5</v>
      </c>
      <c r="M218" s="759" t="s">
        <v>5</v>
      </c>
      <c r="N218" s="760" t="s">
        <v>9265</v>
      </c>
      <c r="O218" s="759" t="s">
        <v>5</v>
      </c>
      <c r="P218" s="421" t="s">
        <v>11802</v>
      </c>
      <c r="Q218" s="757"/>
      <c r="R218" s="757"/>
      <c r="S218" s="757"/>
      <c r="T218" s="757"/>
      <c r="U218" s="757"/>
      <c r="V218" s="757"/>
      <c r="W218" s="757"/>
      <c r="X218" s="757"/>
      <c r="Y218" s="757"/>
      <c r="Z218" s="757"/>
    </row>
    <row r="219" ht="12.75" customHeight="1">
      <c r="A219" s="758">
        <v>217.0</v>
      </c>
      <c r="B219" s="421" t="s">
        <v>11929</v>
      </c>
      <c r="C219" s="421" t="s">
        <v>11931</v>
      </c>
      <c r="D219" s="421" t="s">
        <v>2817</v>
      </c>
      <c r="E219" s="421" t="s">
        <v>12784</v>
      </c>
      <c r="F219" s="421" t="s">
        <v>11851</v>
      </c>
      <c r="G219" s="421" t="s">
        <v>5</v>
      </c>
      <c r="H219" s="421" t="s">
        <v>5</v>
      </c>
      <c r="I219" s="421" t="s">
        <v>11918</v>
      </c>
      <c r="J219" s="421" t="s">
        <v>5</v>
      </c>
      <c r="K219" s="421" t="s">
        <v>5</v>
      </c>
      <c r="L219" s="421" t="s">
        <v>5</v>
      </c>
      <c r="M219" s="759" t="s">
        <v>5</v>
      </c>
      <c r="N219" s="760" t="s">
        <v>9265</v>
      </c>
      <c r="O219" s="759" t="s">
        <v>5</v>
      </c>
      <c r="P219" s="421" t="s">
        <v>11802</v>
      </c>
      <c r="Q219" s="757"/>
      <c r="R219" s="757"/>
      <c r="S219" s="757"/>
      <c r="T219" s="757"/>
      <c r="U219" s="757"/>
      <c r="V219" s="757"/>
      <c r="W219" s="757"/>
      <c r="X219" s="757"/>
      <c r="Y219" s="757"/>
      <c r="Z219" s="757"/>
    </row>
    <row r="220" ht="12.75" customHeight="1">
      <c r="A220" s="758">
        <v>218.0</v>
      </c>
      <c r="B220" s="421" t="s">
        <v>11932</v>
      </c>
      <c r="C220" s="421" t="s">
        <v>8080</v>
      </c>
      <c r="D220" s="421" t="s">
        <v>576</v>
      </c>
      <c r="E220" s="421" t="s">
        <v>12785</v>
      </c>
      <c r="F220" s="421" t="s">
        <v>11844</v>
      </c>
      <c r="G220" s="421" t="s">
        <v>5</v>
      </c>
      <c r="H220" s="421" t="s">
        <v>5</v>
      </c>
      <c r="I220" s="421" t="s">
        <v>5</v>
      </c>
      <c r="J220" s="421" t="s">
        <v>5</v>
      </c>
      <c r="K220" s="421" t="s">
        <v>5</v>
      </c>
      <c r="L220" s="421" t="s">
        <v>5</v>
      </c>
      <c r="M220" s="759" t="s">
        <v>5</v>
      </c>
      <c r="N220" s="760" t="s">
        <v>9265</v>
      </c>
      <c r="O220" s="759" t="s">
        <v>5</v>
      </c>
      <c r="P220" s="421" t="s">
        <v>11802</v>
      </c>
      <c r="Q220" s="757"/>
      <c r="R220" s="757"/>
      <c r="S220" s="757"/>
      <c r="T220" s="757"/>
      <c r="U220" s="757"/>
      <c r="V220" s="757"/>
      <c r="W220" s="757"/>
      <c r="X220" s="757"/>
      <c r="Y220" s="757"/>
      <c r="Z220" s="757"/>
    </row>
    <row r="221" ht="12.75" customHeight="1">
      <c r="A221" s="758">
        <v>219.0</v>
      </c>
      <c r="B221" s="421" t="s">
        <v>11933</v>
      </c>
      <c r="C221" s="421" t="s">
        <v>3326</v>
      </c>
      <c r="D221" s="421" t="s">
        <v>577</v>
      </c>
      <c r="E221" s="421" t="s">
        <v>12786</v>
      </c>
      <c r="F221" s="421" t="s">
        <v>11851</v>
      </c>
      <c r="G221" s="421" t="s">
        <v>5</v>
      </c>
      <c r="H221" s="421" t="s">
        <v>5</v>
      </c>
      <c r="I221" s="421" t="s">
        <v>5</v>
      </c>
      <c r="J221" s="421" t="s">
        <v>5</v>
      </c>
      <c r="K221" s="421" t="s">
        <v>5</v>
      </c>
      <c r="L221" s="421" t="s">
        <v>5</v>
      </c>
      <c r="M221" s="759" t="s">
        <v>5</v>
      </c>
      <c r="N221" s="760" t="s">
        <v>9265</v>
      </c>
      <c r="O221" s="759" t="s">
        <v>5</v>
      </c>
      <c r="P221" s="421" t="s">
        <v>11802</v>
      </c>
      <c r="Q221" s="757"/>
      <c r="R221" s="757"/>
      <c r="S221" s="757"/>
      <c r="T221" s="757"/>
      <c r="U221" s="757"/>
      <c r="V221" s="757"/>
      <c r="W221" s="757"/>
      <c r="X221" s="757"/>
      <c r="Y221" s="757"/>
      <c r="Z221" s="757"/>
    </row>
    <row r="222" ht="12.75" customHeight="1">
      <c r="A222" s="758">
        <v>220.0</v>
      </c>
      <c r="B222" s="421" t="s">
        <v>11934</v>
      </c>
      <c r="C222" s="421" t="s">
        <v>11936</v>
      </c>
      <c r="D222" s="421" t="s">
        <v>577</v>
      </c>
      <c r="E222" s="421" t="s">
        <v>12787</v>
      </c>
      <c r="F222" s="421" t="s">
        <v>11851</v>
      </c>
      <c r="G222" s="421" t="s">
        <v>5</v>
      </c>
      <c r="H222" s="421" t="s">
        <v>5</v>
      </c>
      <c r="I222" s="421" t="s">
        <v>5</v>
      </c>
      <c r="J222" s="421" t="s">
        <v>5</v>
      </c>
      <c r="K222" s="421" t="s">
        <v>5</v>
      </c>
      <c r="L222" s="421" t="s">
        <v>5</v>
      </c>
      <c r="M222" s="759" t="s">
        <v>5</v>
      </c>
      <c r="N222" s="760" t="s">
        <v>9265</v>
      </c>
      <c r="O222" s="759" t="s">
        <v>5</v>
      </c>
      <c r="P222" s="421" t="s">
        <v>11802</v>
      </c>
      <c r="Q222" s="757"/>
      <c r="R222" s="757"/>
      <c r="S222" s="757"/>
      <c r="T222" s="757"/>
      <c r="U222" s="757"/>
      <c r="V222" s="757"/>
      <c r="W222" s="757"/>
      <c r="X222" s="757"/>
      <c r="Y222" s="757"/>
      <c r="Z222" s="757"/>
    </row>
    <row r="223" ht="12.75" customHeight="1">
      <c r="A223" s="758">
        <v>221.0</v>
      </c>
      <c r="B223" s="421" t="s">
        <v>11937</v>
      </c>
      <c r="C223" s="421" t="s">
        <v>578</v>
      </c>
      <c r="D223" s="421" t="s">
        <v>577</v>
      </c>
      <c r="E223" s="421" t="s">
        <v>12788</v>
      </c>
      <c r="F223" s="421" t="s">
        <v>11851</v>
      </c>
      <c r="G223" s="421" t="s">
        <v>5</v>
      </c>
      <c r="H223" s="421" t="s">
        <v>5</v>
      </c>
      <c r="I223" s="421" t="s">
        <v>5</v>
      </c>
      <c r="J223" s="421" t="s">
        <v>5</v>
      </c>
      <c r="K223" s="421" t="s">
        <v>5</v>
      </c>
      <c r="L223" s="421" t="s">
        <v>5</v>
      </c>
      <c r="M223" s="759" t="s">
        <v>5</v>
      </c>
      <c r="N223" s="760" t="s">
        <v>9265</v>
      </c>
      <c r="O223" s="759" t="s">
        <v>5</v>
      </c>
      <c r="P223" s="421" t="s">
        <v>11802</v>
      </c>
      <c r="Q223" s="757"/>
      <c r="R223" s="757"/>
      <c r="S223" s="757"/>
      <c r="T223" s="757"/>
      <c r="U223" s="757"/>
      <c r="V223" s="757"/>
      <c r="W223" s="757"/>
      <c r="X223" s="757"/>
      <c r="Y223" s="757"/>
      <c r="Z223" s="757"/>
    </row>
    <row r="224" ht="12.75" customHeight="1">
      <c r="A224" s="758">
        <v>222.0</v>
      </c>
      <c r="B224" s="421" t="s">
        <v>11938</v>
      </c>
      <c r="C224" s="421" t="s">
        <v>3028</v>
      </c>
      <c r="D224" s="421" t="s">
        <v>577</v>
      </c>
      <c r="E224" s="421" t="s">
        <v>12789</v>
      </c>
      <c r="F224" s="421" t="s">
        <v>11851</v>
      </c>
      <c r="G224" s="421" t="s">
        <v>5</v>
      </c>
      <c r="H224" s="421" t="s">
        <v>5</v>
      </c>
      <c r="I224" s="421" t="s">
        <v>5</v>
      </c>
      <c r="J224" s="421" t="s">
        <v>5</v>
      </c>
      <c r="K224" s="421" t="s">
        <v>5</v>
      </c>
      <c r="L224" s="421" t="s">
        <v>5</v>
      </c>
      <c r="M224" s="759" t="s">
        <v>5</v>
      </c>
      <c r="N224" s="760" t="s">
        <v>9265</v>
      </c>
      <c r="O224" s="759" t="s">
        <v>5</v>
      </c>
      <c r="P224" s="421" t="s">
        <v>11802</v>
      </c>
      <c r="Q224" s="757"/>
      <c r="R224" s="757"/>
      <c r="S224" s="757"/>
      <c r="T224" s="757"/>
      <c r="U224" s="757"/>
      <c r="V224" s="757"/>
      <c r="W224" s="757"/>
      <c r="X224" s="757"/>
      <c r="Y224" s="757"/>
      <c r="Z224" s="757"/>
    </row>
    <row r="225" ht="12.75" customHeight="1">
      <c r="A225" s="758">
        <v>223.0</v>
      </c>
      <c r="B225" s="421" t="s">
        <v>11939</v>
      </c>
      <c r="C225" s="421" t="s">
        <v>3314</v>
      </c>
      <c r="D225" s="421" t="s">
        <v>577</v>
      </c>
      <c r="E225" s="421" t="s">
        <v>12790</v>
      </c>
      <c r="F225" s="421" t="s">
        <v>11851</v>
      </c>
      <c r="G225" s="421" t="s">
        <v>5</v>
      </c>
      <c r="H225" s="421" t="s">
        <v>5</v>
      </c>
      <c r="I225" s="421" t="s">
        <v>5</v>
      </c>
      <c r="J225" s="421" t="s">
        <v>5</v>
      </c>
      <c r="K225" s="421" t="s">
        <v>5</v>
      </c>
      <c r="L225" s="421" t="s">
        <v>5</v>
      </c>
      <c r="M225" s="759" t="s">
        <v>5</v>
      </c>
      <c r="N225" s="760" t="s">
        <v>9265</v>
      </c>
      <c r="O225" s="759" t="s">
        <v>5</v>
      </c>
      <c r="P225" s="421" t="s">
        <v>11802</v>
      </c>
      <c r="Q225" s="757"/>
      <c r="R225" s="757"/>
      <c r="S225" s="757"/>
      <c r="T225" s="757"/>
      <c r="U225" s="757"/>
      <c r="V225" s="757"/>
      <c r="W225" s="757"/>
      <c r="X225" s="757"/>
      <c r="Y225" s="757"/>
      <c r="Z225" s="757"/>
    </row>
    <row r="226" ht="12.75" customHeight="1">
      <c r="A226" s="758">
        <v>224.0</v>
      </c>
      <c r="B226" s="421" t="s">
        <v>11940</v>
      </c>
      <c r="C226" s="421" t="s">
        <v>8204</v>
      </c>
      <c r="D226" s="421" t="s">
        <v>576</v>
      </c>
      <c r="E226" s="421" t="s">
        <v>12791</v>
      </c>
      <c r="F226" s="421" t="s">
        <v>11844</v>
      </c>
      <c r="G226" s="421" t="s">
        <v>5</v>
      </c>
      <c r="H226" s="421" t="s">
        <v>5</v>
      </c>
      <c r="I226" s="421" t="s">
        <v>5</v>
      </c>
      <c r="J226" s="421" t="s">
        <v>5</v>
      </c>
      <c r="K226" s="421" t="s">
        <v>5</v>
      </c>
      <c r="L226" s="421" t="s">
        <v>5</v>
      </c>
      <c r="M226" s="759" t="s">
        <v>5</v>
      </c>
      <c r="N226" s="760" t="s">
        <v>9265</v>
      </c>
      <c r="O226" s="759" t="s">
        <v>5</v>
      </c>
      <c r="P226" s="421" t="s">
        <v>11802</v>
      </c>
      <c r="Q226" s="757"/>
      <c r="R226" s="757"/>
      <c r="S226" s="757"/>
      <c r="T226" s="757"/>
      <c r="U226" s="757"/>
      <c r="V226" s="757"/>
      <c r="W226" s="757"/>
      <c r="X226" s="757"/>
      <c r="Y226" s="757"/>
      <c r="Z226" s="757"/>
    </row>
    <row r="227" ht="12.75" customHeight="1">
      <c r="A227" s="758">
        <v>225.0</v>
      </c>
      <c r="B227" s="421" t="s">
        <v>11941</v>
      </c>
      <c r="C227" s="421" t="s">
        <v>4720</v>
      </c>
      <c r="D227" s="421" t="s">
        <v>3431</v>
      </c>
      <c r="E227" s="421" t="s">
        <v>12792</v>
      </c>
      <c r="F227" s="421" t="s">
        <v>11851</v>
      </c>
      <c r="G227" s="421" t="s">
        <v>5</v>
      </c>
      <c r="H227" s="421" t="s">
        <v>5</v>
      </c>
      <c r="I227" s="421" t="s">
        <v>11918</v>
      </c>
      <c r="J227" s="421" t="s">
        <v>5</v>
      </c>
      <c r="K227" s="421" t="s">
        <v>5</v>
      </c>
      <c r="L227" s="421" t="s">
        <v>5</v>
      </c>
      <c r="M227" s="759" t="s">
        <v>5</v>
      </c>
      <c r="N227" s="760" t="s">
        <v>9265</v>
      </c>
      <c r="O227" s="759" t="s">
        <v>5</v>
      </c>
      <c r="P227" s="421" t="s">
        <v>11802</v>
      </c>
      <c r="Q227" s="757"/>
      <c r="R227" s="757"/>
      <c r="S227" s="757"/>
      <c r="T227" s="757"/>
      <c r="U227" s="757"/>
      <c r="V227" s="757"/>
      <c r="W227" s="757"/>
      <c r="X227" s="757"/>
      <c r="Y227" s="757"/>
      <c r="Z227" s="757"/>
    </row>
    <row r="228" ht="12.75" customHeight="1">
      <c r="A228" s="758">
        <v>226.0</v>
      </c>
      <c r="B228" s="421" t="s">
        <v>11942</v>
      </c>
      <c r="C228" s="421" t="s">
        <v>3432</v>
      </c>
      <c r="D228" s="421" t="s">
        <v>3431</v>
      </c>
      <c r="E228" s="421" t="s">
        <v>12793</v>
      </c>
      <c r="F228" s="421" t="s">
        <v>11851</v>
      </c>
      <c r="G228" s="421" t="s">
        <v>5</v>
      </c>
      <c r="H228" s="421" t="s">
        <v>5</v>
      </c>
      <c r="I228" s="421" t="s">
        <v>11918</v>
      </c>
      <c r="J228" s="421" t="s">
        <v>5</v>
      </c>
      <c r="K228" s="421" t="s">
        <v>5</v>
      </c>
      <c r="L228" s="421" t="s">
        <v>5</v>
      </c>
      <c r="M228" s="759" t="s">
        <v>5</v>
      </c>
      <c r="N228" s="760" t="s">
        <v>9265</v>
      </c>
      <c r="O228" s="759" t="s">
        <v>5</v>
      </c>
      <c r="P228" s="421" t="s">
        <v>11802</v>
      </c>
      <c r="Q228" s="757"/>
      <c r="R228" s="757"/>
      <c r="S228" s="757"/>
      <c r="T228" s="757"/>
      <c r="U228" s="757"/>
      <c r="V228" s="757"/>
      <c r="W228" s="757"/>
      <c r="X228" s="757"/>
      <c r="Y228" s="757"/>
      <c r="Z228" s="757"/>
    </row>
    <row r="229" ht="12.75" customHeight="1">
      <c r="A229" s="758">
        <v>227.0</v>
      </c>
      <c r="B229" s="421" t="s">
        <v>11943</v>
      </c>
      <c r="C229" s="421" t="s">
        <v>7335</v>
      </c>
      <c r="D229" s="421" t="s">
        <v>576</v>
      </c>
      <c r="E229" s="421" t="s">
        <v>12794</v>
      </c>
      <c r="F229" s="421" t="s">
        <v>11844</v>
      </c>
      <c r="G229" s="421" t="s">
        <v>11944</v>
      </c>
      <c r="H229" s="421" t="s">
        <v>5</v>
      </c>
      <c r="I229" s="421" t="s">
        <v>5</v>
      </c>
      <c r="J229" s="421" t="s">
        <v>5</v>
      </c>
      <c r="K229" s="421" t="s">
        <v>5</v>
      </c>
      <c r="L229" s="421" t="s">
        <v>5</v>
      </c>
      <c r="M229" s="759" t="s">
        <v>5</v>
      </c>
      <c r="N229" s="760" t="s">
        <v>9265</v>
      </c>
      <c r="O229" s="759" t="s">
        <v>5</v>
      </c>
      <c r="P229" s="421" t="s">
        <v>11802</v>
      </c>
      <c r="Q229" s="757"/>
      <c r="R229" s="757"/>
      <c r="S229" s="757"/>
      <c r="T229" s="757"/>
      <c r="U229" s="757"/>
      <c r="V229" s="757"/>
      <c r="W229" s="757"/>
      <c r="X229" s="757"/>
      <c r="Y229" s="757"/>
      <c r="Z229" s="757"/>
    </row>
    <row r="230" ht="12.75" customHeight="1">
      <c r="A230" s="758">
        <v>228.0</v>
      </c>
      <c r="B230" s="421" t="s">
        <v>11945</v>
      </c>
      <c r="C230" s="421" t="s">
        <v>9760</v>
      </c>
      <c r="D230" s="421" t="s">
        <v>576</v>
      </c>
      <c r="E230" s="421" t="s">
        <v>12795</v>
      </c>
      <c r="F230" s="421" t="s">
        <v>11844</v>
      </c>
      <c r="G230" s="421" t="s">
        <v>5</v>
      </c>
      <c r="H230" s="421" t="s">
        <v>5</v>
      </c>
      <c r="I230" s="421" t="s">
        <v>11918</v>
      </c>
      <c r="J230" s="421" t="s">
        <v>5</v>
      </c>
      <c r="K230" s="421" t="s">
        <v>5</v>
      </c>
      <c r="L230" s="421" t="s">
        <v>5</v>
      </c>
      <c r="M230" s="759" t="s">
        <v>5</v>
      </c>
      <c r="N230" s="760" t="s">
        <v>9265</v>
      </c>
      <c r="O230" s="759" t="s">
        <v>5</v>
      </c>
      <c r="P230" s="421" t="s">
        <v>11802</v>
      </c>
      <c r="Q230" s="757"/>
      <c r="R230" s="757"/>
      <c r="S230" s="757"/>
      <c r="T230" s="757"/>
      <c r="U230" s="757"/>
      <c r="V230" s="757"/>
      <c r="W230" s="757"/>
      <c r="X230" s="757"/>
      <c r="Y230" s="757"/>
      <c r="Z230" s="757"/>
    </row>
    <row r="231" ht="12.75" customHeight="1">
      <c r="A231" s="758">
        <v>229.0</v>
      </c>
      <c r="B231" s="421" t="s">
        <v>11946</v>
      </c>
      <c r="C231" s="421" t="s">
        <v>2935</v>
      </c>
      <c r="D231" s="421" t="s">
        <v>2934</v>
      </c>
      <c r="E231" s="421" t="s">
        <v>12796</v>
      </c>
      <c r="F231" s="421" t="s">
        <v>11854</v>
      </c>
      <c r="G231" s="421" t="s">
        <v>5</v>
      </c>
      <c r="H231" s="421" t="s">
        <v>5</v>
      </c>
      <c r="I231" s="421" t="s">
        <v>11918</v>
      </c>
      <c r="J231" s="421" t="s">
        <v>5</v>
      </c>
      <c r="K231" s="421" t="s">
        <v>5</v>
      </c>
      <c r="L231" s="421" t="s">
        <v>5</v>
      </c>
      <c r="M231" s="759" t="s">
        <v>5</v>
      </c>
      <c r="N231" s="760" t="s">
        <v>9265</v>
      </c>
      <c r="O231" s="759" t="s">
        <v>5</v>
      </c>
      <c r="P231" s="421" t="s">
        <v>11802</v>
      </c>
      <c r="Q231" s="757"/>
      <c r="R231" s="757"/>
      <c r="S231" s="757"/>
      <c r="T231" s="757"/>
      <c r="U231" s="757"/>
      <c r="V231" s="757"/>
      <c r="W231" s="757"/>
      <c r="X231" s="757"/>
      <c r="Y231" s="757"/>
      <c r="Z231" s="757"/>
    </row>
    <row r="232" ht="12.75" customHeight="1">
      <c r="A232" s="758">
        <v>230.0</v>
      </c>
      <c r="B232" s="421" t="s">
        <v>11947</v>
      </c>
      <c r="C232" s="421" t="s">
        <v>3599</v>
      </c>
      <c r="D232" s="421" t="s">
        <v>2934</v>
      </c>
      <c r="E232" s="421" t="s">
        <v>12797</v>
      </c>
      <c r="F232" s="421" t="s">
        <v>11854</v>
      </c>
      <c r="G232" s="421" t="s">
        <v>5</v>
      </c>
      <c r="H232" s="421" t="s">
        <v>5</v>
      </c>
      <c r="I232" s="421" t="s">
        <v>11918</v>
      </c>
      <c r="J232" s="421" t="s">
        <v>5</v>
      </c>
      <c r="K232" s="421" t="s">
        <v>5</v>
      </c>
      <c r="L232" s="421" t="s">
        <v>5</v>
      </c>
      <c r="M232" s="759" t="s">
        <v>5</v>
      </c>
      <c r="N232" s="760" t="s">
        <v>9265</v>
      </c>
      <c r="O232" s="759" t="s">
        <v>5</v>
      </c>
      <c r="P232" s="421" t="s">
        <v>11802</v>
      </c>
      <c r="Q232" s="757"/>
      <c r="R232" s="757"/>
      <c r="S232" s="757"/>
      <c r="T232" s="757"/>
      <c r="U232" s="757"/>
      <c r="V232" s="757"/>
      <c r="W232" s="757"/>
      <c r="X232" s="757"/>
      <c r="Y232" s="757"/>
      <c r="Z232" s="757"/>
    </row>
    <row r="233" ht="12.75" customHeight="1">
      <c r="A233" s="758">
        <v>231.0</v>
      </c>
      <c r="B233" s="421" t="s">
        <v>11948</v>
      </c>
      <c r="C233" s="421" t="s">
        <v>3442</v>
      </c>
      <c r="D233" s="421" t="s">
        <v>576</v>
      </c>
      <c r="E233" s="421" t="s">
        <v>12798</v>
      </c>
      <c r="F233" s="421" t="s">
        <v>11844</v>
      </c>
      <c r="G233" s="421" t="s">
        <v>5</v>
      </c>
      <c r="H233" s="421" t="s">
        <v>5</v>
      </c>
      <c r="I233" s="421" t="s">
        <v>11918</v>
      </c>
      <c r="J233" s="421" t="s">
        <v>5</v>
      </c>
      <c r="K233" s="421" t="s">
        <v>5</v>
      </c>
      <c r="L233" s="421" t="s">
        <v>5</v>
      </c>
      <c r="M233" s="759" t="s">
        <v>5</v>
      </c>
      <c r="N233" s="760" t="s">
        <v>9265</v>
      </c>
      <c r="O233" s="759" t="s">
        <v>5</v>
      </c>
      <c r="P233" s="421" t="s">
        <v>11802</v>
      </c>
      <c r="Q233" s="757"/>
      <c r="R233" s="757"/>
      <c r="S233" s="757"/>
      <c r="T233" s="757"/>
      <c r="U233" s="757"/>
      <c r="V233" s="757"/>
      <c r="W233" s="757"/>
      <c r="X233" s="757"/>
      <c r="Y233" s="757"/>
      <c r="Z233" s="757"/>
    </row>
    <row r="234" ht="12.75" customHeight="1">
      <c r="A234" s="758">
        <v>232.0</v>
      </c>
      <c r="B234" s="421" t="s">
        <v>11949</v>
      </c>
      <c r="C234" s="421" t="s">
        <v>3300</v>
      </c>
      <c r="D234" s="421" t="s">
        <v>3299</v>
      </c>
      <c r="E234" s="421" t="s">
        <v>12799</v>
      </c>
      <c r="F234" s="421" t="s">
        <v>11854</v>
      </c>
      <c r="G234" s="421" t="s">
        <v>5</v>
      </c>
      <c r="H234" s="421" t="s">
        <v>5</v>
      </c>
      <c r="I234" s="421" t="s">
        <v>11918</v>
      </c>
      <c r="J234" s="421" t="s">
        <v>5</v>
      </c>
      <c r="K234" s="421" t="s">
        <v>5</v>
      </c>
      <c r="L234" s="421" t="s">
        <v>5</v>
      </c>
      <c r="M234" s="759" t="s">
        <v>5</v>
      </c>
      <c r="N234" s="760" t="s">
        <v>9265</v>
      </c>
      <c r="O234" s="759" t="s">
        <v>5</v>
      </c>
      <c r="P234" s="421" t="s">
        <v>11802</v>
      </c>
      <c r="Q234" s="757"/>
      <c r="R234" s="757"/>
      <c r="S234" s="757"/>
      <c r="T234" s="757"/>
      <c r="U234" s="757"/>
      <c r="V234" s="757"/>
      <c r="W234" s="757"/>
      <c r="X234" s="757"/>
      <c r="Y234" s="757"/>
      <c r="Z234" s="757"/>
    </row>
    <row r="235" ht="12.75" customHeight="1">
      <c r="A235" s="758">
        <v>233.0</v>
      </c>
      <c r="B235" s="421" t="s">
        <v>11950</v>
      </c>
      <c r="C235" s="421" t="s">
        <v>3448</v>
      </c>
      <c r="D235" s="421" t="s">
        <v>3299</v>
      </c>
      <c r="E235" s="421" t="s">
        <v>12800</v>
      </c>
      <c r="F235" s="421" t="s">
        <v>11854</v>
      </c>
      <c r="G235" s="421" t="s">
        <v>5</v>
      </c>
      <c r="H235" s="421" t="s">
        <v>5</v>
      </c>
      <c r="I235" s="421" t="s">
        <v>11918</v>
      </c>
      <c r="J235" s="421" t="s">
        <v>5</v>
      </c>
      <c r="K235" s="421" t="s">
        <v>5</v>
      </c>
      <c r="L235" s="421" t="s">
        <v>5</v>
      </c>
      <c r="M235" s="759" t="s">
        <v>5</v>
      </c>
      <c r="N235" s="760" t="s">
        <v>9265</v>
      </c>
      <c r="O235" s="759" t="s">
        <v>5</v>
      </c>
      <c r="P235" s="421" t="s">
        <v>11802</v>
      </c>
      <c r="Q235" s="757"/>
      <c r="R235" s="757"/>
      <c r="S235" s="757"/>
      <c r="T235" s="757"/>
      <c r="U235" s="757"/>
      <c r="V235" s="757"/>
      <c r="W235" s="757"/>
      <c r="X235" s="757"/>
      <c r="Y235" s="757"/>
      <c r="Z235" s="757"/>
    </row>
    <row r="236" ht="12.75" customHeight="1">
      <c r="A236" s="758">
        <v>234.0</v>
      </c>
      <c r="B236" s="421" t="s">
        <v>11951</v>
      </c>
      <c r="C236" s="421" t="s">
        <v>8196</v>
      </c>
      <c r="D236" s="421" t="s">
        <v>576</v>
      </c>
      <c r="E236" s="421" t="s">
        <v>12801</v>
      </c>
      <c r="F236" s="421" t="s">
        <v>11844</v>
      </c>
      <c r="G236" s="421" t="s">
        <v>5</v>
      </c>
      <c r="H236" s="421" t="s">
        <v>5</v>
      </c>
      <c r="I236" s="421" t="s">
        <v>11918</v>
      </c>
      <c r="J236" s="421" t="s">
        <v>5</v>
      </c>
      <c r="K236" s="421" t="s">
        <v>5</v>
      </c>
      <c r="L236" s="421" t="s">
        <v>5</v>
      </c>
      <c r="M236" s="759" t="s">
        <v>5</v>
      </c>
      <c r="N236" s="760" t="s">
        <v>9265</v>
      </c>
      <c r="O236" s="759" t="s">
        <v>5</v>
      </c>
      <c r="P236" s="421" t="s">
        <v>11802</v>
      </c>
      <c r="Q236" s="757"/>
      <c r="R236" s="757"/>
      <c r="S236" s="757"/>
      <c r="T236" s="757"/>
      <c r="U236" s="757"/>
      <c r="V236" s="757"/>
      <c r="W236" s="757"/>
      <c r="X236" s="757"/>
      <c r="Y236" s="757"/>
      <c r="Z236" s="757"/>
    </row>
    <row r="237" ht="12.75" customHeight="1">
      <c r="A237" s="758">
        <v>235.0</v>
      </c>
      <c r="B237" s="421" t="s">
        <v>11952</v>
      </c>
      <c r="C237" s="421" t="s">
        <v>7513</v>
      </c>
      <c r="D237" s="421" t="s">
        <v>3257</v>
      </c>
      <c r="E237" s="421" t="s">
        <v>12802</v>
      </c>
      <c r="F237" s="421" t="s">
        <v>11854</v>
      </c>
      <c r="G237" s="421" t="s">
        <v>5</v>
      </c>
      <c r="H237" s="421" t="s">
        <v>5</v>
      </c>
      <c r="I237" s="421" t="s">
        <v>11918</v>
      </c>
      <c r="J237" s="421" t="s">
        <v>5</v>
      </c>
      <c r="K237" s="421" t="s">
        <v>5</v>
      </c>
      <c r="L237" s="421" t="s">
        <v>5</v>
      </c>
      <c r="M237" s="759" t="s">
        <v>5</v>
      </c>
      <c r="N237" s="760" t="s">
        <v>9265</v>
      </c>
      <c r="O237" s="759" t="s">
        <v>5</v>
      </c>
      <c r="P237" s="421" t="s">
        <v>11802</v>
      </c>
      <c r="Q237" s="757"/>
      <c r="R237" s="757"/>
      <c r="S237" s="757"/>
      <c r="T237" s="757"/>
      <c r="U237" s="757"/>
      <c r="V237" s="757"/>
      <c r="W237" s="757"/>
      <c r="X237" s="757"/>
      <c r="Y237" s="757"/>
      <c r="Z237" s="757"/>
    </row>
    <row r="238" ht="12.75" customHeight="1">
      <c r="A238" s="758">
        <v>236.0</v>
      </c>
      <c r="B238" s="421" t="s">
        <v>11953</v>
      </c>
      <c r="C238" s="421" t="s">
        <v>3258</v>
      </c>
      <c r="D238" s="421" t="s">
        <v>3257</v>
      </c>
      <c r="E238" s="421" t="s">
        <v>12803</v>
      </c>
      <c r="F238" s="421" t="s">
        <v>11854</v>
      </c>
      <c r="G238" s="421" t="s">
        <v>5</v>
      </c>
      <c r="H238" s="421" t="s">
        <v>5</v>
      </c>
      <c r="I238" s="421" t="s">
        <v>11918</v>
      </c>
      <c r="J238" s="421" t="s">
        <v>5</v>
      </c>
      <c r="K238" s="421" t="s">
        <v>5</v>
      </c>
      <c r="L238" s="421" t="s">
        <v>5</v>
      </c>
      <c r="M238" s="759" t="s">
        <v>5</v>
      </c>
      <c r="N238" s="760" t="s">
        <v>9265</v>
      </c>
      <c r="O238" s="759" t="s">
        <v>5</v>
      </c>
      <c r="P238" s="421" t="s">
        <v>11802</v>
      </c>
      <c r="Q238" s="757"/>
      <c r="R238" s="757"/>
      <c r="S238" s="757"/>
      <c r="T238" s="757"/>
      <c r="U238" s="757"/>
      <c r="V238" s="757"/>
      <c r="W238" s="757"/>
      <c r="X238" s="757"/>
      <c r="Y238" s="757"/>
      <c r="Z238" s="757"/>
    </row>
    <row r="239" ht="12.75" customHeight="1">
      <c r="A239" s="758">
        <v>237.0</v>
      </c>
      <c r="B239" s="421" t="s">
        <v>11954</v>
      </c>
      <c r="C239" s="421" t="s">
        <v>188</v>
      </c>
      <c r="D239" s="421" t="s">
        <v>10527</v>
      </c>
      <c r="E239" s="421" t="s">
        <v>12804</v>
      </c>
      <c r="F239" s="421" t="s">
        <v>11916</v>
      </c>
      <c r="G239" s="421" t="s">
        <v>5</v>
      </c>
      <c r="H239" s="421" t="s">
        <v>5</v>
      </c>
      <c r="I239" s="421" t="s">
        <v>11955</v>
      </c>
      <c r="J239" s="421" t="s">
        <v>5</v>
      </c>
      <c r="K239" s="421" t="s">
        <v>5</v>
      </c>
      <c r="L239" s="421" t="s">
        <v>5</v>
      </c>
      <c r="M239" s="759" t="s">
        <v>5</v>
      </c>
      <c r="N239" s="760" t="s">
        <v>9265</v>
      </c>
      <c r="O239" s="759" t="s">
        <v>5</v>
      </c>
      <c r="P239" s="421" t="s">
        <v>11802</v>
      </c>
      <c r="Q239" s="757"/>
      <c r="R239" s="757"/>
      <c r="S239" s="757"/>
      <c r="T239" s="757"/>
      <c r="U239" s="757"/>
      <c r="V239" s="757"/>
      <c r="W239" s="757"/>
      <c r="X239" s="757"/>
      <c r="Y239" s="757"/>
      <c r="Z239" s="757"/>
    </row>
    <row r="240" ht="12.75" customHeight="1">
      <c r="A240" s="758">
        <v>238.0</v>
      </c>
      <c r="B240" s="421" t="s">
        <v>11956</v>
      </c>
      <c r="C240" s="421" t="s">
        <v>9748</v>
      </c>
      <c r="D240" s="421" t="s">
        <v>303</v>
      </c>
      <c r="E240" s="421" t="s">
        <v>12805</v>
      </c>
      <c r="F240" s="421" t="s">
        <v>11844</v>
      </c>
      <c r="G240" s="421" t="s">
        <v>5</v>
      </c>
      <c r="H240" s="421" t="s">
        <v>5</v>
      </c>
      <c r="I240" s="421" t="s">
        <v>5</v>
      </c>
      <c r="J240" s="421" t="s">
        <v>5</v>
      </c>
      <c r="K240" s="421" t="s">
        <v>5</v>
      </c>
      <c r="L240" s="421" t="s">
        <v>5</v>
      </c>
      <c r="M240" s="759" t="s">
        <v>5</v>
      </c>
      <c r="N240" s="760" t="s">
        <v>9265</v>
      </c>
      <c r="O240" s="759" t="s">
        <v>5</v>
      </c>
      <c r="P240" s="421" t="s">
        <v>11802</v>
      </c>
      <c r="Q240" s="757"/>
      <c r="R240" s="757"/>
      <c r="S240" s="757"/>
      <c r="T240" s="757"/>
      <c r="U240" s="757"/>
      <c r="V240" s="757"/>
      <c r="W240" s="757"/>
      <c r="X240" s="757"/>
      <c r="Y240" s="757"/>
      <c r="Z240" s="757"/>
    </row>
    <row r="241" ht="12.75" customHeight="1">
      <c r="A241" s="758">
        <v>239.0</v>
      </c>
      <c r="B241" s="421" t="s">
        <v>11957</v>
      </c>
      <c r="C241" s="421" t="s">
        <v>9890</v>
      </c>
      <c r="D241" s="421" t="s">
        <v>303</v>
      </c>
      <c r="E241" s="421" t="s">
        <v>12806</v>
      </c>
      <c r="F241" s="421" t="s">
        <v>11844</v>
      </c>
      <c r="G241" s="421" t="s">
        <v>11958</v>
      </c>
      <c r="H241" s="421" t="s">
        <v>5</v>
      </c>
      <c r="I241" s="421" t="s">
        <v>5</v>
      </c>
      <c r="J241" s="421" t="s">
        <v>5</v>
      </c>
      <c r="K241" s="421" t="s">
        <v>5</v>
      </c>
      <c r="L241" s="421" t="s">
        <v>5</v>
      </c>
      <c r="M241" s="759" t="s">
        <v>5</v>
      </c>
      <c r="N241" s="760" t="s">
        <v>9265</v>
      </c>
      <c r="O241" s="759" t="s">
        <v>5</v>
      </c>
      <c r="P241" s="421" t="s">
        <v>11802</v>
      </c>
      <c r="Q241" s="757"/>
      <c r="R241" s="757"/>
      <c r="S241" s="757"/>
      <c r="T241" s="757"/>
      <c r="U241" s="757"/>
      <c r="V241" s="757"/>
      <c r="W241" s="757"/>
      <c r="X241" s="757"/>
      <c r="Y241" s="757"/>
      <c r="Z241" s="757"/>
    </row>
    <row r="242" ht="12.75" customHeight="1">
      <c r="A242" s="758">
        <v>240.0</v>
      </c>
      <c r="B242" s="421" t="s">
        <v>11959</v>
      </c>
      <c r="C242" s="421" t="s">
        <v>11960</v>
      </c>
      <c r="D242" s="421" t="s">
        <v>303</v>
      </c>
      <c r="E242" s="421" t="s">
        <v>12807</v>
      </c>
      <c r="F242" s="421" t="s">
        <v>11844</v>
      </c>
      <c r="G242" s="421" t="s">
        <v>11958</v>
      </c>
      <c r="H242" s="421" t="s">
        <v>5</v>
      </c>
      <c r="I242" s="421" t="s">
        <v>5</v>
      </c>
      <c r="J242" s="421" t="s">
        <v>5</v>
      </c>
      <c r="K242" s="421" t="s">
        <v>5</v>
      </c>
      <c r="L242" s="421" t="s">
        <v>5</v>
      </c>
      <c r="M242" s="759" t="s">
        <v>5</v>
      </c>
      <c r="N242" s="760" t="s">
        <v>9265</v>
      </c>
      <c r="O242" s="759" t="s">
        <v>5</v>
      </c>
      <c r="P242" s="421" t="s">
        <v>11802</v>
      </c>
      <c r="Q242" s="757"/>
      <c r="R242" s="757"/>
      <c r="S242" s="757"/>
      <c r="T242" s="757"/>
      <c r="U242" s="757"/>
      <c r="V242" s="757"/>
      <c r="W242" s="757"/>
      <c r="X242" s="757"/>
      <c r="Y242" s="757"/>
      <c r="Z242" s="757"/>
    </row>
    <row r="243" ht="12.75" customHeight="1">
      <c r="A243" s="758">
        <v>241.0</v>
      </c>
      <c r="B243" s="421" t="s">
        <v>11961</v>
      </c>
      <c r="C243" s="421" t="s">
        <v>7220</v>
      </c>
      <c r="D243" s="421" t="s">
        <v>303</v>
      </c>
      <c r="E243" s="421" t="s">
        <v>12808</v>
      </c>
      <c r="F243" s="421" t="s">
        <v>11844</v>
      </c>
      <c r="G243" s="421" t="s">
        <v>11962</v>
      </c>
      <c r="H243" s="421" t="s">
        <v>5</v>
      </c>
      <c r="I243" s="421" t="s">
        <v>5</v>
      </c>
      <c r="J243" s="421" t="s">
        <v>5</v>
      </c>
      <c r="K243" s="421" t="s">
        <v>5</v>
      </c>
      <c r="L243" s="421" t="s">
        <v>5</v>
      </c>
      <c r="M243" s="759" t="s">
        <v>5</v>
      </c>
      <c r="N243" s="760" t="s">
        <v>9265</v>
      </c>
      <c r="O243" s="759" t="s">
        <v>5</v>
      </c>
      <c r="P243" s="421" t="s">
        <v>11802</v>
      </c>
      <c r="Q243" s="757"/>
      <c r="R243" s="757"/>
      <c r="S243" s="757"/>
      <c r="T243" s="757"/>
      <c r="U243" s="757"/>
      <c r="V243" s="757"/>
      <c r="W243" s="757"/>
      <c r="X243" s="757"/>
      <c r="Y243" s="757"/>
      <c r="Z243" s="757"/>
    </row>
    <row r="244" ht="12.75" customHeight="1">
      <c r="A244" s="758">
        <v>242.0</v>
      </c>
      <c r="B244" s="421" t="s">
        <v>11963</v>
      </c>
      <c r="C244" s="421" t="s">
        <v>2868</v>
      </c>
      <c r="D244" s="421" t="s">
        <v>303</v>
      </c>
      <c r="E244" s="421" t="s">
        <v>12794</v>
      </c>
      <c r="F244" s="421" t="s">
        <v>11844</v>
      </c>
      <c r="G244" s="421" t="s">
        <v>11964</v>
      </c>
      <c r="H244" s="421" t="s">
        <v>5</v>
      </c>
      <c r="I244" s="421" t="s">
        <v>5</v>
      </c>
      <c r="J244" s="421" t="s">
        <v>5</v>
      </c>
      <c r="K244" s="421" t="s">
        <v>5</v>
      </c>
      <c r="L244" s="421" t="s">
        <v>5</v>
      </c>
      <c r="M244" s="759" t="s">
        <v>5</v>
      </c>
      <c r="N244" s="760" t="s">
        <v>9265</v>
      </c>
      <c r="O244" s="759" t="s">
        <v>5</v>
      </c>
      <c r="P244" s="421" t="s">
        <v>11802</v>
      </c>
      <c r="Q244" s="757"/>
      <c r="R244" s="757"/>
      <c r="S244" s="757"/>
      <c r="T244" s="757"/>
      <c r="U244" s="757"/>
      <c r="V244" s="757"/>
      <c r="W244" s="757"/>
      <c r="X244" s="757"/>
      <c r="Y244" s="757"/>
      <c r="Z244" s="757"/>
    </row>
    <row r="245" ht="12.75" customHeight="1">
      <c r="A245" s="758">
        <v>243.0</v>
      </c>
      <c r="B245" s="421" t="s">
        <v>11965</v>
      </c>
      <c r="C245" s="421" t="s">
        <v>304</v>
      </c>
      <c r="D245" s="421" t="s">
        <v>303</v>
      </c>
      <c r="E245" s="421" t="s">
        <v>12809</v>
      </c>
      <c r="F245" s="421" t="s">
        <v>11844</v>
      </c>
      <c r="G245" s="421" t="s">
        <v>11966</v>
      </c>
      <c r="H245" s="421" t="s">
        <v>5</v>
      </c>
      <c r="I245" s="421" t="s">
        <v>5</v>
      </c>
      <c r="J245" s="421" t="s">
        <v>5</v>
      </c>
      <c r="K245" s="421" t="s">
        <v>5</v>
      </c>
      <c r="L245" s="421" t="s">
        <v>5</v>
      </c>
      <c r="M245" s="759" t="s">
        <v>5</v>
      </c>
      <c r="N245" s="760" t="s">
        <v>9265</v>
      </c>
      <c r="O245" s="759" t="s">
        <v>5</v>
      </c>
      <c r="P245" s="421" t="s">
        <v>11802</v>
      </c>
      <c r="Q245" s="757"/>
      <c r="R245" s="757"/>
      <c r="S245" s="757"/>
      <c r="T245" s="757"/>
      <c r="U245" s="757"/>
      <c r="V245" s="757"/>
      <c r="W245" s="757"/>
      <c r="X245" s="757"/>
      <c r="Y245" s="757"/>
      <c r="Z245" s="757"/>
    </row>
    <row r="246" ht="12.75" customHeight="1">
      <c r="A246" s="758">
        <v>244.0</v>
      </c>
      <c r="B246" s="421" t="s">
        <v>11967</v>
      </c>
      <c r="C246" s="421" t="s">
        <v>7265</v>
      </c>
      <c r="D246" s="421" t="s">
        <v>303</v>
      </c>
      <c r="E246" s="421" t="s">
        <v>12810</v>
      </c>
      <c r="F246" s="421" t="s">
        <v>11844</v>
      </c>
      <c r="G246" s="421" t="s">
        <v>5</v>
      </c>
      <c r="H246" s="421" t="s">
        <v>5</v>
      </c>
      <c r="I246" s="421" t="s">
        <v>5</v>
      </c>
      <c r="J246" s="421" t="s">
        <v>5</v>
      </c>
      <c r="K246" s="421" t="s">
        <v>5</v>
      </c>
      <c r="L246" s="421" t="s">
        <v>5</v>
      </c>
      <c r="M246" s="759" t="s">
        <v>5</v>
      </c>
      <c r="N246" s="760" t="s">
        <v>9265</v>
      </c>
      <c r="O246" s="759" t="s">
        <v>5</v>
      </c>
      <c r="P246" s="421" t="s">
        <v>11802</v>
      </c>
      <c r="Q246" s="757"/>
      <c r="R246" s="757"/>
      <c r="S246" s="757"/>
      <c r="T246" s="757"/>
      <c r="U246" s="757"/>
      <c r="V246" s="757"/>
      <c r="W246" s="757"/>
      <c r="X246" s="757"/>
      <c r="Y246" s="757"/>
      <c r="Z246" s="757"/>
    </row>
    <row r="247" ht="12.75" customHeight="1">
      <c r="A247" s="758">
        <v>245.0</v>
      </c>
      <c r="B247" s="421" t="s">
        <v>11968</v>
      </c>
      <c r="C247" s="421" t="s">
        <v>2979</v>
      </c>
      <c r="D247" s="421" t="s">
        <v>303</v>
      </c>
      <c r="E247" s="421" t="s">
        <v>12811</v>
      </c>
      <c r="F247" s="421" t="s">
        <v>11844</v>
      </c>
      <c r="G247" s="421" t="s">
        <v>5</v>
      </c>
      <c r="H247" s="421" t="s">
        <v>5</v>
      </c>
      <c r="I247" s="421" t="s">
        <v>11969</v>
      </c>
      <c r="J247" s="421" t="s">
        <v>5</v>
      </c>
      <c r="K247" s="421" t="s">
        <v>5</v>
      </c>
      <c r="L247" s="421" t="s">
        <v>5</v>
      </c>
      <c r="M247" s="759" t="s">
        <v>5</v>
      </c>
      <c r="N247" s="760" t="s">
        <v>9265</v>
      </c>
      <c r="O247" s="759" t="s">
        <v>5</v>
      </c>
      <c r="P247" s="421" t="s">
        <v>11802</v>
      </c>
      <c r="Q247" s="757"/>
      <c r="R247" s="757"/>
      <c r="S247" s="757"/>
      <c r="T247" s="757"/>
      <c r="U247" s="757"/>
      <c r="V247" s="757"/>
      <c r="W247" s="757"/>
      <c r="X247" s="757"/>
      <c r="Y247" s="757"/>
      <c r="Z247" s="757"/>
    </row>
    <row r="248" ht="12.75" customHeight="1">
      <c r="A248" s="758">
        <v>246.0</v>
      </c>
      <c r="B248" s="421" t="s">
        <v>11970</v>
      </c>
      <c r="C248" s="421" t="s">
        <v>11388</v>
      </c>
      <c r="D248" s="421" t="s">
        <v>303</v>
      </c>
      <c r="E248" s="421" t="s">
        <v>11389</v>
      </c>
      <c r="F248" s="421" t="s">
        <v>11971</v>
      </c>
      <c r="G248" s="421" t="s">
        <v>5</v>
      </c>
      <c r="H248" s="421" t="s">
        <v>5</v>
      </c>
      <c r="I248" s="421" t="s">
        <v>11969</v>
      </c>
      <c r="J248" s="421" t="s">
        <v>5</v>
      </c>
      <c r="K248" s="421" t="s">
        <v>5</v>
      </c>
      <c r="L248" s="421" t="s">
        <v>5</v>
      </c>
      <c r="M248" s="759" t="s">
        <v>5</v>
      </c>
      <c r="N248" s="760" t="s">
        <v>9265</v>
      </c>
      <c r="O248" s="759" t="s">
        <v>5</v>
      </c>
      <c r="P248" s="421" t="s">
        <v>11802</v>
      </c>
      <c r="Q248" s="757"/>
      <c r="R248" s="757"/>
      <c r="S248" s="757"/>
      <c r="T248" s="757"/>
      <c r="U248" s="757"/>
      <c r="V248" s="757"/>
      <c r="W248" s="757"/>
      <c r="X248" s="757"/>
      <c r="Y248" s="757"/>
      <c r="Z248" s="757"/>
    </row>
    <row r="249" ht="12.75" customHeight="1">
      <c r="A249" s="758">
        <v>247.0</v>
      </c>
      <c r="B249" s="421" t="s">
        <v>11972</v>
      </c>
      <c r="C249" s="421" t="s">
        <v>9787</v>
      </c>
      <c r="D249" s="421" t="s">
        <v>3877</v>
      </c>
      <c r="E249" s="421" t="s">
        <v>12812</v>
      </c>
      <c r="F249" s="421" t="s">
        <v>11851</v>
      </c>
      <c r="G249" s="421" t="s">
        <v>5</v>
      </c>
      <c r="H249" s="421" t="s">
        <v>5</v>
      </c>
      <c r="I249" s="421" t="s">
        <v>5</v>
      </c>
      <c r="J249" s="421" t="s">
        <v>5</v>
      </c>
      <c r="K249" s="421" t="s">
        <v>5</v>
      </c>
      <c r="L249" s="421" t="s">
        <v>5</v>
      </c>
      <c r="M249" s="759" t="s">
        <v>5</v>
      </c>
      <c r="N249" s="760" t="s">
        <v>9265</v>
      </c>
      <c r="O249" s="759" t="s">
        <v>5</v>
      </c>
      <c r="P249" s="421" t="s">
        <v>11802</v>
      </c>
      <c r="Q249" s="757"/>
      <c r="R249" s="757"/>
      <c r="S249" s="757"/>
      <c r="T249" s="757"/>
      <c r="U249" s="757"/>
      <c r="V249" s="757"/>
      <c r="W249" s="757"/>
      <c r="X249" s="757"/>
      <c r="Y249" s="757"/>
      <c r="Z249" s="757"/>
    </row>
    <row r="250" ht="12.75" customHeight="1">
      <c r="A250" s="758">
        <v>248.0</v>
      </c>
      <c r="B250" s="421" t="s">
        <v>11970</v>
      </c>
      <c r="C250" s="421" t="s">
        <v>3878</v>
      </c>
      <c r="D250" s="421" t="s">
        <v>3877</v>
      </c>
      <c r="E250" s="421" t="s">
        <v>12813</v>
      </c>
      <c r="F250" s="421" t="s">
        <v>11844</v>
      </c>
      <c r="G250" s="421" t="s">
        <v>5</v>
      </c>
      <c r="H250" s="421" t="s">
        <v>5</v>
      </c>
      <c r="I250" s="421" t="s">
        <v>5</v>
      </c>
      <c r="J250" s="421" t="s">
        <v>5</v>
      </c>
      <c r="K250" s="421" t="s">
        <v>5</v>
      </c>
      <c r="L250" s="421" t="s">
        <v>5</v>
      </c>
      <c r="M250" s="759" t="s">
        <v>5</v>
      </c>
      <c r="N250" s="760" t="s">
        <v>9265</v>
      </c>
      <c r="O250" s="759" t="s">
        <v>5</v>
      </c>
      <c r="P250" s="421" t="s">
        <v>11802</v>
      </c>
      <c r="Q250" s="757"/>
      <c r="R250" s="757"/>
      <c r="S250" s="757"/>
      <c r="T250" s="757"/>
      <c r="U250" s="757"/>
      <c r="V250" s="757"/>
      <c r="W250" s="757"/>
      <c r="X250" s="757"/>
      <c r="Y250" s="757"/>
      <c r="Z250" s="757"/>
    </row>
    <row r="251" ht="12.75" customHeight="1">
      <c r="A251" s="758">
        <v>249.0</v>
      </c>
      <c r="B251" s="421" t="s">
        <v>11973</v>
      </c>
      <c r="C251" s="421" t="s">
        <v>4387</v>
      </c>
      <c r="D251" s="421" t="s">
        <v>303</v>
      </c>
      <c r="E251" s="421" t="s">
        <v>12814</v>
      </c>
      <c r="F251" s="421" t="s">
        <v>11844</v>
      </c>
      <c r="G251" s="421" t="s">
        <v>11974</v>
      </c>
      <c r="H251" s="421" t="s">
        <v>5</v>
      </c>
      <c r="I251" s="421" t="s">
        <v>11969</v>
      </c>
      <c r="J251" s="421" t="s">
        <v>5</v>
      </c>
      <c r="K251" s="421" t="s">
        <v>5</v>
      </c>
      <c r="L251" s="421" t="s">
        <v>5</v>
      </c>
      <c r="M251" s="759" t="s">
        <v>5</v>
      </c>
      <c r="N251" s="760" t="s">
        <v>9265</v>
      </c>
      <c r="O251" s="759" t="s">
        <v>5</v>
      </c>
      <c r="P251" s="421" t="s">
        <v>11802</v>
      </c>
      <c r="Q251" s="757"/>
      <c r="R251" s="757"/>
      <c r="S251" s="757"/>
      <c r="T251" s="757"/>
      <c r="U251" s="757"/>
      <c r="V251" s="757"/>
      <c r="W251" s="757"/>
      <c r="X251" s="757"/>
      <c r="Y251" s="757"/>
      <c r="Z251" s="757"/>
    </row>
    <row r="252" ht="12.75" customHeight="1">
      <c r="A252" s="758">
        <v>250.0</v>
      </c>
      <c r="B252" s="421" t="s">
        <v>11975</v>
      </c>
      <c r="C252" s="421" t="s">
        <v>4395</v>
      </c>
      <c r="D252" s="421" t="s">
        <v>303</v>
      </c>
      <c r="E252" s="421" t="s">
        <v>12815</v>
      </c>
      <c r="F252" s="421" t="s">
        <v>11844</v>
      </c>
      <c r="G252" s="421" t="s">
        <v>11976</v>
      </c>
      <c r="H252" s="421" t="s">
        <v>5</v>
      </c>
      <c r="I252" s="421" t="s">
        <v>5</v>
      </c>
      <c r="J252" s="421" t="s">
        <v>5</v>
      </c>
      <c r="K252" s="421" t="s">
        <v>5</v>
      </c>
      <c r="L252" s="421" t="s">
        <v>5</v>
      </c>
      <c r="M252" s="759" t="s">
        <v>5</v>
      </c>
      <c r="N252" s="760" t="s">
        <v>9265</v>
      </c>
      <c r="O252" s="759" t="s">
        <v>5</v>
      </c>
      <c r="P252" s="421" t="s">
        <v>11802</v>
      </c>
      <c r="Q252" s="757"/>
      <c r="R252" s="757"/>
      <c r="S252" s="757"/>
      <c r="T252" s="757"/>
      <c r="U252" s="757"/>
      <c r="V252" s="757"/>
      <c r="W252" s="757"/>
      <c r="X252" s="757"/>
      <c r="Y252" s="757"/>
      <c r="Z252" s="757"/>
    </row>
    <row r="253" ht="12.75" customHeight="1">
      <c r="A253" s="758">
        <v>251.0</v>
      </c>
      <c r="B253" s="421" t="s">
        <v>11977</v>
      </c>
      <c r="C253" s="421" t="s">
        <v>3014</v>
      </c>
      <c r="D253" s="421" t="s">
        <v>303</v>
      </c>
      <c r="E253" s="421" t="s">
        <v>12816</v>
      </c>
      <c r="F253" s="421" t="s">
        <v>11844</v>
      </c>
      <c r="G253" s="421" t="s">
        <v>11958</v>
      </c>
      <c r="H253" s="421" t="s">
        <v>5</v>
      </c>
      <c r="I253" s="421" t="s">
        <v>5</v>
      </c>
      <c r="J253" s="421" t="s">
        <v>5</v>
      </c>
      <c r="K253" s="421" t="s">
        <v>5</v>
      </c>
      <c r="L253" s="421" t="s">
        <v>5</v>
      </c>
      <c r="M253" s="759" t="s">
        <v>5</v>
      </c>
      <c r="N253" s="760" t="s">
        <v>9265</v>
      </c>
      <c r="O253" s="759" t="s">
        <v>5</v>
      </c>
      <c r="P253" s="421" t="s">
        <v>11802</v>
      </c>
      <c r="Q253" s="757"/>
      <c r="R253" s="757"/>
      <c r="S253" s="757"/>
      <c r="T253" s="757"/>
      <c r="U253" s="757"/>
      <c r="V253" s="757"/>
      <c r="W253" s="757"/>
      <c r="X253" s="757"/>
      <c r="Y253" s="757"/>
      <c r="Z253" s="757"/>
    </row>
    <row r="254" ht="12.75" customHeight="1">
      <c r="A254" s="758">
        <v>252.0</v>
      </c>
      <c r="B254" s="421" t="s">
        <v>11978</v>
      </c>
      <c r="C254" s="421" t="s">
        <v>600</v>
      </c>
      <c r="D254" s="421" t="s">
        <v>36</v>
      </c>
      <c r="E254" s="421" t="s">
        <v>12817</v>
      </c>
      <c r="F254" s="421" t="s">
        <v>11854</v>
      </c>
      <c r="G254" s="421" t="s">
        <v>5</v>
      </c>
      <c r="H254" s="421" t="s">
        <v>5</v>
      </c>
      <c r="I254" s="421" t="s">
        <v>11918</v>
      </c>
      <c r="J254" s="421" t="s">
        <v>5</v>
      </c>
      <c r="K254" s="421" t="s">
        <v>5</v>
      </c>
      <c r="L254" s="421" t="s">
        <v>5</v>
      </c>
      <c r="M254" s="759" t="s">
        <v>5</v>
      </c>
      <c r="N254" s="760" t="s">
        <v>9265</v>
      </c>
      <c r="O254" s="759" t="s">
        <v>5</v>
      </c>
      <c r="P254" s="421" t="s">
        <v>11802</v>
      </c>
      <c r="Q254" s="757"/>
      <c r="R254" s="757"/>
      <c r="S254" s="757"/>
      <c r="T254" s="757"/>
      <c r="U254" s="757"/>
      <c r="V254" s="757"/>
      <c r="W254" s="757"/>
      <c r="X254" s="757"/>
      <c r="Y254" s="757"/>
      <c r="Z254" s="757"/>
    </row>
    <row r="255" ht="12.75" customHeight="1">
      <c r="A255" s="758">
        <v>253.0</v>
      </c>
      <c r="B255" s="421" t="s">
        <v>11979</v>
      </c>
      <c r="C255" s="421" t="s">
        <v>9692</v>
      </c>
      <c r="D255" s="421" t="s">
        <v>303</v>
      </c>
      <c r="E255" s="421" t="s">
        <v>12818</v>
      </c>
      <c r="F255" s="421" t="s">
        <v>11844</v>
      </c>
      <c r="G255" s="421" t="s">
        <v>5</v>
      </c>
      <c r="H255" s="421" t="s">
        <v>5</v>
      </c>
      <c r="I255" s="421" t="s">
        <v>5</v>
      </c>
      <c r="J255" s="421" t="s">
        <v>5</v>
      </c>
      <c r="K255" s="421" t="s">
        <v>5</v>
      </c>
      <c r="L255" s="421" t="s">
        <v>5</v>
      </c>
      <c r="M255" s="759" t="s">
        <v>5</v>
      </c>
      <c r="N255" s="760" t="s">
        <v>9265</v>
      </c>
      <c r="O255" s="759" t="s">
        <v>5</v>
      </c>
      <c r="P255" s="421" t="s">
        <v>11802</v>
      </c>
      <c r="Q255" s="757"/>
      <c r="R255" s="757"/>
      <c r="S255" s="757"/>
      <c r="T255" s="757"/>
      <c r="U255" s="757"/>
      <c r="V255" s="757"/>
      <c r="W255" s="757"/>
      <c r="X255" s="757"/>
      <c r="Y255" s="757"/>
      <c r="Z255" s="757"/>
    </row>
    <row r="256" ht="12.75" customHeight="1">
      <c r="A256" s="758">
        <v>254.0</v>
      </c>
      <c r="B256" s="421" t="s">
        <v>11980</v>
      </c>
      <c r="C256" s="421" t="s">
        <v>9307</v>
      </c>
      <c r="D256" s="421" t="s">
        <v>303</v>
      </c>
      <c r="E256" s="421" t="s">
        <v>12819</v>
      </c>
      <c r="F256" s="421" t="s">
        <v>11844</v>
      </c>
      <c r="G256" s="421" t="s">
        <v>5</v>
      </c>
      <c r="H256" s="421" t="s">
        <v>5</v>
      </c>
      <c r="I256" s="421" t="s">
        <v>5</v>
      </c>
      <c r="J256" s="421" t="s">
        <v>5</v>
      </c>
      <c r="K256" s="421" t="s">
        <v>5</v>
      </c>
      <c r="L256" s="421" t="s">
        <v>5</v>
      </c>
      <c r="M256" s="759" t="s">
        <v>5</v>
      </c>
      <c r="N256" s="760" t="s">
        <v>9265</v>
      </c>
      <c r="O256" s="759" t="s">
        <v>5</v>
      </c>
      <c r="P256" s="421" t="s">
        <v>11802</v>
      </c>
      <c r="Q256" s="757"/>
      <c r="R256" s="757"/>
      <c r="S256" s="757"/>
      <c r="T256" s="757"/>
      <c r="U256" s="757"/>
      <c r="V256" s="757"/>
      <c r="W256" s="757"/>
      <c r="X256" s="757"/>
      <c r="Y256" s="757"/>
      <c r="Z256" s="757"/>
    </row>
    <row r="257" ht="12.75" customHeight="1">
      <c r="A257" s="758">
        <v>255.0</v>
      </c>
      <c r="B257" s="421" t="s">
        <v>9755</v>
      </c>
      <c r="C257" s="421" t="s">
        <v>9755</v>
      </c>
      <c r="D257" s="421" t="s">
        <v>303</v>
      </c>
      <c r="E257" s="421" t="s">
        <v>12820</v>
      </c>
      <c r="F257" s="421" t="s">
        <v>11844</v>
      </c>
      <c r="G257" s="421" t="s">
        <v>5</v>
      </c>
      <c r="H257" s="421" t="s">
        <v>5</v>
      </c>
      <c r="I257" s="421" t="s">
        <v>5</v>
      </c>
      <c r="J257" s="421" t="s">
        <v>5</v>
      </c>
      <c r="K257" s="421" t="s">
        <v>5</v>
      </c>
      <c r="L257" s="421" t="s">
        <v>5</v>
      </c>
      <c r="M257" s="759" t="s">
        <v>5</v>
      </c>
      <c r="N257" s="760" t="s">
        <v>9265</v>
      </c>
      <c r="O257" s="759" t="s">
        <v>5</v>
      </c>
      <c r="P257" s="421" t="s">
        <v>11802</v>
      </c>
      <c r="Q257" s="757"/>
      <c r="R257" s="757"/>
      <c r="S257" s="757"/>
      <c r="T257" s="757"/>
      <c r="U257" s="757"/>
      <c r="V257" s="757"/>
      <c r="W257" s="757"/>
      <c r="X257" s="757"/>
      <c r="Y257" s="757"/>
      <c r="Z257" s="757"/>
    </row>
    <row r="258" ht="12.75" customHeight="1">
      <c r="A258" s="758">
        <v>256.0</v>
      </c>
      <c r="B258" s="421" t="s">
        <v>11981</v>
      </c>
      <c r="C258" s="421" t="s">
        <v>11981</v>
      </c>
      <c r="D258" s="421" t="s">
        <v>303</v>
      </c>
      <c r="E258" s="421" t="s">
        <v>12821</v>
      </c>
      <c r="F258" s="421" t="s">
        <v>11844</v>
      </c>
      <c r="G258" s="421" t="s">
        <v>5</v>
      </c>
      <c r="H258" s="421" t="s">
        <v>5</v>
      </c>
      <c r="I258" s="421" t="s">
        <v>5</v>
      </c>
      <c r="J258" s="421" t="s">
        <v>5</v>
      </c>
      <c r="K258" s="421" t="s">
        <v>5</v>
      </c>
      <c r="L258" s="421" t="s">
        <v>5</v>
      </c>
      <c r="M258" s="759" t="s">
        <v>5</v>
      </c>
      <c r="N258" s="760" t="s">
        <v>9265</v>
      </c>
      <c r="O258" s="759" t="s">
        <v>5</v>
      </c>
      <c r="P258" s="421" t="s">
        <v>11802</v>
      </c>
      <c r="Q258" s="757"/>
      <c r="R258" s="757"/>
      <c r="S258" s="757"/>
      <c r="T258" s="757"/>
      <c r="U258" s="757"/>
      <c r="V258" s="757"/>
      <c r="W258" s="757"/>
      <c r="X258" s="757"/>
      <c r="Y258" s="757"/>
      <c r="Z258" s="757"/>
    </row>
    <row r="259" ht="12.75" customHeight="1">
      <c r="A259" s="758">
        <v>257.0</v>
      </c>
      <c r="B259" s="421" t="s">
        <v>11983</v>
      </c>
      <c r="C259" s="421" t="s">
        <v>11983</v>
      </c>
      <c r="D259" s="421" t="s">
        <v>303</v>
      </c>
      <c r="E259" s="421" t="s">
        <v>12822</v>
      </c>
      <c r="F259" s="421" t="s">
        <v>11844</v>
      </c>
      <c r="G259" s="421" t="s">
        <v>5</v>
      </c>
      <c r="H259" s="421" t="s">
        <v>5</v>
      </c>
      <c r="I259" s="421" t="s">
        <v>5</v>
      </c>
      <c r="J259" s="421" t="s">
        <v>5</v>
      </c>
      <c r="K259" s="421" t="s">
        <v>5</v>
      </c>
      <c r="L259" s="421" t="s">
        <v>5</v>
      </c>
      <c r="M259" s="759" t="s">
        <v>5</v>
      </c>
      <c r="N259" s="760" t="s">
        <v>9265</v>
      </c>
      <c r="O259" s="759" t="s">
        <v>5</v>
      </c>
      <c r="P259" s="421" t="s">
        <v>11802</v>
      </c>
      <c r="Q259" s="757"/>
      <c r="R259" s="757"/>
      <c r="S259" s="757"/>
      <c r="T259" s="757"/>
      <c r="U259" s="757"/>
      <c r="V259" s="757"/>
      <c r="W259" s="757"/>
      <c r="X259" s="757"/>
      <c r="Y259" s="757"/>
      <c r="Z259" s="757"/>
    </row>
    <row r="260" ht="12.75" customHeight="1">
      <c r="A260" s="758">
        <v>258.0</v>
      </c>
      <c r="B260" s="421" t="s">
        <v>11985</v>
      </c>
      <c r="C260" s="421" t="s">
        <v>2710</v>
      </c>
      <c r="D260" s="421" t="s">
        <v>303</v>
      </c>
      <c r="E260" s="421" t="s">
        <v>12823</v>
      </c>
      <c r="F260" s="421" t="s">
        <v>11850</v>
      </c>
      <c r="G260" s="421" t="s">
        <v>5</v>
      </c>
      <c r="H260" s="421" t="s">
        <v>5</v>
      </c>
      <c r="I260" s="421" t="s">
        <v>11969</v>
      </c>
      <c r="J260" s="421" t="s">
        <v>5</v>
      </c>
      <c r="K260" s="421" t="s">
        <v>5</v>
      </c>
      <c r="L260" s="421" t="s">
        <v>5</v>
      </c>
      <c r="M260" s="759" t="s">
        <v>5</v>
      </c>
      <c r="N260" s="760" t="s">
        <v>9265</v>
      </c>
      <c r="O260" s="759" t="s">
        <v>5</v>
      </c>
      <c r="P260" s="421" t="s">
        <v>11802</v>
      </c>
      <c r="Q260" s="757"/>
      <c r="R260" s="757"/>
      <c r="S260" s="757"/>
      <c r="T260" s="757"/>
      <c r="U260" s="757"/>
      <c r="V260" s="757"/>
      <c r="W260" s="757"/>
      <c r="X260" s="757"/>
      <c r="Y260" s="757"/>
      <c r="Z260" s="757"/>
    </row>
    <row r="261" ht="12.75" customHeight="1">
      <c r="A261" s="758">
        <v>259.0</v>
      </c>
      <c r="B261" s="421" t="s">
        <v>11985</v>
      </c>
      <c r="C261" s="421" t="s">
        <v>11140</v>
      </c>
      <c r="D261" s="421" t="s">
        <v>335</v>
      </c>
      <c r="E261" s="421" t="s">
        <v>12824</v>
      </c>
      <c r="F261" s="421" t="s">
        <v>11844</v>
      </c>
      <c r="G261" s="421" t="s">
        <v>5</v>
      </c>
      <c r="H261" s="421" t="s">
        <v>5</v>
      </c>
      <c r="I261" s="421" t="s">
        <v>11969</v>
      </c>
      <c r="J261" s="421" t="s">
        <v>5</v>
      </c>
      <c r="K261" s="421" t="s">
        <v>5</v>
      </c>
      <c r="L261" s="421" t="s">
        <v>5</v>
      </c>
      <c r="M261" s="759" t="s">
        <v>5</v>
      </c>
      <c r="N261" s="760" t="s">
        <v>9265</v>
      </c>
      <c r="O261" s="759" t="s">
        <v>5</v>
      </c>
      <c r="P261" s="421" t="s">
        <v>11802</v>
      </c>
      <c r="Q261" s="757"/>
      <c r="R261" s="757"/>
      <c r="S261" s="757"/>
      <c r="T261" s="757"/>
      <c r="U261" s="757"/>
      <c r="V261" s="757"/>
      <c r="W261" s="757"/>
      <c r="X261" s="757"/>
      <c r="Y261" s="757"/>
      <c r="Z261" s="757"/>
    </row>
    <row r="262" ht="12.75" customHeight="1">
      <c r="A262" s="758">
        <v>260.0</v>
      </c>
      <c r="B262" s="421" t="s">
        <v>11985</v>
      </c>
      <c r="C262" s="421" t="s">
        <v>2551</v>
      </c>
      <c r="D262" s="421" t="s">
        <v>2499</v>
      </c>
      <c r="E262" s="421" t="s">
        <v>12825</v>
      </c>
      <c r="F262" s="421" t="s">
        <v>11844</v>
      </c>
      <c r="G262" s="421" t="s">
        <v>5</v>
      </c>
      <c r="H262" s="421" t="s">
        <v>5</v>
      </c>
      <c r="I262" s="421" t="s">
        <v>11969</v>
      </c>
      <c r="J262" s="421" t="s">
        <v>5</v>
      </c>
      <c r="K262" s="421" t="s">
        <v>5</v>
      </c>
      <c r="L262" s="421" t="s">
        <v>5</v>
      </c>
      <c r="M262" s="759" t="s">
        <v>5</v>
      </c>
      <c r="N262" s="760" t="s">
        <v>9265</v>
      </c>
      <c r="O262" s="759" t="s">
        <v>5</v>
      </c>
      <c r="P262" s="421" t="s">
        <v>11802</v>
      </c>
      <c r="Q262" s="757"/>
      <c r="R262" s="757"/>
      <c r="S262" s="757"/>
      <c r="T262" s="757"/>
      <c r="U262" s="757"/>
      <c r="V262" s="757"/>
      <c r="W262" s="757"/>
      <c r="X262" s="757"/>
      <c r="Y262" s="757"/>
      <c r="Z262" s="757"/>
    </row>
    <row r="263" ht="12.75" customHeight="1">
      <c r="A263" s="758">
        <v>261.0</v>
      </c>
      <c r="B263" s="421" t="s">
        <v>11985</v>
      </c>
      <c r="C263" s="421" t="s">
        <v>2500</v>
      </c>
      <c r="D263" s="421" t="s">
        <v>2499</v>
      </c>
      <c r="E263" s="421" t="s">
        <v>12826</v>
      </c>
      <c r="F263" s="421" t="s">
        <v>11844</v>
      </c>
      <c r="G263" s="421" t="s">
        <v>5</v>
      </c>
      <c r="H263" s="421" t="s">
        <v>5</v>
      </c>
      <c r="I263" s="421" t="s">
        <v>11969</v>
      </c>
      <c r="J263" s="421" t="s">
        <v>5</v>
      </c>
      <c r="K263" s="421" t="s">
        <v>5</v>
      </c>
      <c r="L263" s="421" t="s">
        <v>5</v>
      </c>
      <c r="M263" s="759" t="s">
        <v>5</v>
      </c>
      <c r="N263" s="760" t="s">
        <v>9265</v>
      </c>
      <c r="O263" s="759" t="s">
        <v>5</v>
      </c>
      <c r="P263" s="421" t="s">
        <v>11802</v>
      </c>
      <c r="Q263" s="757"/>
      <c r="R263" s="757"/>
      <c r="S263" s="757"/>
      <c r="T263" s="757"/>
      <c r="U263" s="757"/>
      <c r="V263" s="757"/>
      <c r="W263" s="757"/>
      <c r="X263" s="757"/>
      <c r="Y263" s="757"/>
      <c r="Z263" s="757"/>
    </row>
    <row r="264" ht="12.75" customHeight="1">
      <c r="A264" s="758">
        <v>262.0</v>
      </c>
      <c r="B264" s="421" t="s">
        <v>11986</v>
      </c>
      <c r="C264" s="421" t="s">
        <v>3341</v>
      </c>
      <c r="D264" s="421" t="s">
        <v>2499</v>
      </c>
      <c r="E264" s="421" t="s">
        <v>12827</v>
      </c>
      <c r="F264" s="421" t="s">
        <v>11854</v>
      </c>
      <c r="G264" s="421" t="s">
        <v>5</v>
      </c>
      <c r="H264" s="421" t="s">
        <v>5</v>
      </c>
      <c r="I264" s="421" t="s">
        <v>11918</v>
      </c>
      <c r="J264" s="421" t="s">
        <v>5</v>
      </c>
      <c r="K264" s="421" t="s">
        <v>5</v>
      </c>
      <c r="L264" s="421" t="s">
        <v>5</v>
      </c>
      <c r="M264" s="759" t="s">
        <v>5</v>
      </c>
      <c r="N264" s="760" t="s">
        <v>9265</v>
      </c>
      <c r="O264" s="759" t="s">
        <v>5</v>
      </c>
      <c r="P264" s="421" t="s">
        <v>11802</v>
      </c>
      <c r="Q264" s="757"/>
      <c r="R264" s="757"/>
      <c r="S264" s="757"/>
      <c r="T264" s="757"/>
      <c r="U264" s="757"/>
      <c r="V264" s="757"/>
      <c r="W264" s="757"/>
      <c r="X264" s="757"/>
      <c r="Y264" s="757"/>
      <c r="Z264" s="757"/>
    </row>
    <row r="265" ht="12.75" customHeight="1">
      <c r="A265" s="758">
        <v>263.0</v>
      </c>
      <c r="B265" s="421" t="s">
        <v>11987</v>
      </c>
      <c r="C265" s="421" t="s">
        <v>11988</v>
      </c>
      <c r="D265" s="421" t="s">
        <v>335</v>
      </c>
      <c r="E265" s="421" t="s">
        <v>12828</v>
      </c>
      <c r="F265" s="421" t="s">
        <v>11844</v>
      </c>
      <c r="G265" s="421" t="s">
        <v>5</v>
      </c>
      <c r="H265" s="421" t="s">
        <v>5</v>
      </c>
      <c r="I265" s="421" t="s">
        <v>11969</v>
      </c>
      <c r="J265" s="421" t="s">
        <v>5</v>
      </c>
      <c r="K265" s="421" t="s">
        <v>5</v>
      </c>
      <c r="L265" s="421" t="s">
        <v>5</v>
      </c>
      <c r="M265" s="759" t="s">
        <v>5</v>
      </c>
      <c r="N265" s="760" t="s">
        <v>9265</v>
      </c>
      <c r="O265" s="759" t="s">
        <v>5</v>
      </c>
      <c r="P265" s="421" t="s">
        <v>11802</v>
      </c>
      <c r="Q265" s="757"/>
      <c r="R265" s="757"/>
      <c r="S265" s="757"/>
      <c r="T265" s="757"/>
      <c r="U265" s="757"/>
      <c r="V265" s="757"/>
      <c r="W265" s="757"/>
      <c r="X265" s="757"/>
      <c r="Y265" s="757"/>
      <c r="Z265" s="757"/>
    </row>
    <row r="266" ht="12.75" customHeight="1">
      <c r="A266" s="758">
        <v>264.0</v>
      </c>
      <c r="B266" s="421" t="s">
        <v>11985</v>
      </c>
      <c r="C266" s="421" t="s">
        <v>2511</v>
      </c>
      <c r="D266" s="421" t="s">
        <v>2510</v>
      </c>
      <c r="E266" s="421" t="s">
        <v>12829</v>
      </c>
      <c r="F266" s="421" t="s">
        <v>11844</v>
      </c>
      <c r="G266" s="421" t="s">
        <v>5</v>
      </c>
      <c r="H266" s="421" t="s">
        <v>5</v>
      </c>
      <c r="I266" s="421" t="s">
        <v>11969</v>
      </c>
      <c r="J266" s="421" t="s">
        <v>5</v>
      </c>
      <c r="K266" s="421" t="s">
        <v>5</v>
      </c>
      <c r="L266" s="421" t="s">
        <v>5</v>
      </c>
      <c r="M266" s="759" t="s">
        <v>5</v>
      </c>
      <c r="N266" s="760" t="s">
        <v>9265</v>
      </c>
      <c r="O266" s="759" t="s">
        <v>5</v>
      </c>
      <c r="P266" s="421" t="s">
        <v>11802</v>
      </c>
      <c r="Q266" s="757"/>
      <c r="R266" s="757"/>
      <c r="S266" s="757"/>
      <c r="T266" s="757"/>
      <c r="U266" s="757"/>
      <c r="V266" s="757"/>
      <c r="W266" s="757"/>
      <c r="X266" s="757"/>
      <c r="Y266" s="757"/>
      <c r="Z266" s="757"/>
    </row>
    <row r="267" ht="12.75" customHeight="1">
      <c r="A267" s="758">
        <v>265.0</v>
      </c>
      <c r="B267" s="421" t="s">
        <v>11989</v>
      </c>
      <c r="C267" s="421" t="s">
        <v>11991</v>
      </c>
      <c r="D267" s="421" t="s">
        <v>2510</v>
      </c>
      <c r="E267" s="421" t="s">
        <v>12830</v>
      </c>
      <c r="F267" s="421" t="s">
        <v>11854</v>
      </c>
      <c r="G267" s="421" t="s">
        <v>5</v>
      </c>
      <c r="H267" s="421" t="s">
        <v>5</v>
      </c>
      <c r="I267" s="421" t="s">
        <v>11955</v>
      </c>
      <c r="J267" s="421" t="s">
        <v>5</v>
      </c>
      <c r="K267" s="421" t="s">
        <v>5</v>
      </c>
      <c r="L267" s="421" t="s">
        <v>5</v>
      </c>
      <c r="M267" s="759" t="s">
        <v>5</v>
      </c>
      <c r="N267" s="760" t="s">
        <v>9265</v>
      </c>
      <c r="O267" s="759" t="s">
        <v>5</v>
      </c>
      <c r="P267" s="421" t="s">
        <v>11802</v>
      </c>
      <c r="Q267" s="757"/>
      <c r="R267" s="757"/>
      <c r="S267" s="757"/>
      <c r="T267" s="757"/>
      <c r="U267" s="757"/>
      <c r="V267" s="757"/>
      <c r="W267" s="757"/>
      <c r="X267" s="757"/>
      <c r="Y267" s="757"/>
      <c r="Z267" s="757"/>
    </row>
    <row r="268" ht="12.75" customHeight="1">
      <c r="A268" s="758">
        <v>266.0</v>
      </c>
      <c r="B268" s="421" t="s">
        <v>11992</v>
      </c>
      <c r="C268" s="421" t="s">
        <v>11150</v>
      </c>
      <c r="D268" s="421" t="s">
        <v>335</v>
      </c>
      <c r="E268" s="421" t="s">
        <v>12831</v>
      </c>
      <c r="F268" s="421" t="s">
        <v>11844</v>
      </c>
      <c r="G268" s="421" t="s">
        <v>5</v>
      </c>
      <c r="H268" s="421" t="s">
        <v>5</v>
      </c>
      <c r="I268" s="421" t="s">
        <v>11969</v>
      </c>
      <c r="J268" s="421" t="s">
        <v>5</v>
      </c>
      <c r="K268" s="421" t="s">
        <v>5</v>
      </c>
      <c r="L268" s="421" t="s">
        <v>5</v>
      </c>
      <c r="M268" s="759" t="s">
        <v>5</v>
      </c>
      <c r="N268" s="760" t="s">
        <v>9265</v>
      </c>
      <c r="O268" s="759" t="s">
        <v>5</v>
      </c>
      <c r="P268" s="421" t="s">
        <v>11802</v>
      </c>
      <c r="Q268" s="757"/>
      <c r="R268" s="757"/>
      <c r="S268" s="757"/>
      <c r="T268" s="757"/>
      <c r="U268" s="757"/>
      <c r="V268" s="757"/>
      <c r="W268" s="757"/>
      <c r="X268" s="757"/>
      <c r="Y268" s="757"/>
      <c r="Z268" s="757"/>
    </row>
    <row r="269" ht="12.75" customHeight="1">
      <c r="A269" s="758">
        <v>267.0</v>
      </c>
      <c r="B269" s="421" t="s">
        <v>11985</v>
      </c>
      <c r="C269" s="421" t="s">
        <v>1964</v>
      </c>
      <c r="D269" s="421" t="s">
        <v>1963</v>
      </c>
      <c r="E269" s="421" t="s">
        <v>12832</v>
      </c>
      <c r="F269" s="421" t="s">
        <v>11844</v>
      </c>
      <c r="G269" s="421" t="s">
        <v>5</v>
      </c>
      <c r="H269" s="421" t="s">
        <v>5</v>
      </c>
      <c r="I269" s="421" t="s">
        <v>11969</v>
      </c>
      <c r="J269" s="421" t="s">
        <v>5</v>
      </c>
      <c r="K269" s="421" t="s">
        <v>5</v>
      </c>
      <c r="L269" s="421" t="s">
        <v>5</v>
      </c>
      <c r="M269" s="759" t="s">
        <v>5</v>
      </c>
      <c r="N269" s="760" t="s">
        <v>9265</v>
      </c>
      <c r="O269" s="759" t="s">
        <v>5</v>
      </c>
      <c r="P269" s="421" t="s">
        <v>11802</v>
      </c>
      <c r="Q269" s="757"/>
      <c r="R269" s="757"/>
      <c r="S269" s="757"/>
      <c r="T269" s="757"/>
      <c r="U269" s="757"/>
      <c r="V269" s="757"/>
      <c r="W269" s="757"/>
      <c r="X269" s="757"/>
      <c r="Y269" s="757"/>
      <c r="Z269" s="757"/>
    </row>
    <row r="270" ht="12.75" customHeight="1">
      <c r="A270" s="758">
        <v>268.0</v>
      </c>
      <c r="B270" s="421" t="s">
        <v>11993</v>
      </c>
      <c r="C270" s="421" t="s">
        <v>4790</v>
      </c>
      <c r="D270" s="421" t="s">
        <v>1963</v>
      </c>
      <c r="E270" s="421" t="s">
        <v>12833</v>
      </c>
      <c r="F270" s="421" t="s">
        <v>11854</v>
      </c>
      <c r="G270" s="421" t="s">
        <v>5</v>
      </c>
      <c r="H270" s="421" t="s">
        <v>5</v>
      </c>
      <c r="I270" s="421" t="s">
        <v>11955</v>
      </c>
      <c r="J270" s="421" t="s">
        <v>5</v>
      </c>
      <c r="K270" s="421" t="s">
        <v>5</v>
      </c>
      <c r="L270" s="421" t="s">
        <v>5</v>
      </c>
      <c r="M270" s="759" t="s">
        <v>5</v>
      </c>
      <c r="N270" s="760" t="s">
        <v>9265</v>
      </c>
      <c r="O270" s="759" t="s">
        <v>5</v>
      </c>
      <c r="P270" s="421" t="s">
        <v>11802</v>
      </c>
      <c r="Q270" s="757"/>
      <c r="R270" s="757"/>
      <c r="S270" s="757"/>
      <c r="T270" s="757"/>
      <c r="U270" s="757"/>
      <c r="V270" s="757"/>
      <c r="W270" s="757"/>
      <c r="X270" s="757"/>
      <c r="Y270" s="757"/>
      <c r="Z270" s="757"/>
    </row>
    <row r="271" ht="12.75" customHeight="1">
      <c r="A271" s="758">
        <v>269.0</v>
      </c>
      <c r="B271" s="421" t="s">
        <v>11994</v>
      </c>
      <c r="C271" s="421" t="s">
        <v>12834</v>
      </c>
      <c r="D271" s="421" t="s">
        <v>335</v>
      </c>
      <c r="E271" s="421" t="s">
        <v>12835</v>
      </c>
      <c r="F271" s="421" t="s">
        <v>11844</v>
      </c>
      <c r="G271" s="421" t="s">
        <v>5</v>
      </c>
      <c r="H271" s="421" t="s">
        <v>5</v>
      </c>
      <c r="I271" s="421" t="s">
        <v>11918</v>
      </c>
      <c r="J271" s="421" t="s">
        <v>5</v>
      </c>
      <c r="K271" s="421" t="s">
        <v>5</v>
      </c>
      <c r="L271" s="421" t="s">
        <v>5</v>
      </c>
      <c r="M271" s="759" t="s">
        <v>5</v>
      </c>
      <c r="N271" s="760" t="s">
        <v>9265</v>
      </c>
      <c r="O271" s="759" t="s">
        <v>5</v>
      </c>
      <c r="P271" s="421" t="s">
        <v>11802</v>
      </c>
      <c r="Q271" s="757"/>
      <c r="R271" s="757"/>
      <c r="S271" s="757"/>
      <c r="T271" s="757"/>
      <c r="U271" s="757"/>
      <c r="V271" s="757"/>
      <c r="W271" s="757"/>
      <c r="X271" s="757"/>
      <c r="Y271" s="757"/>
      <c r="Z271" s="757"/>
    </row>
    <row r="272" ht="12.75" customHeight="1">
      <c r="A272" s="758">
        <v>270.0</v>
      </c>
      <c r="B272" s="421" t="s">
        <v>11996</v>
      </c>
      <c r="C272" s="421" t="s">
        <v>12836</v>
      </c>
      <c r="D272" s="421" t="s">
        <v>336</v>
      </c>
      <c r="E272" s="421" t="s">
        <v>12837</v>
      </c>
      <c r="F272" s="421" t="s">
        <v>11854</v>
      </c>
      <c r="G272" s="421" t="s">
        <v>5</v>
      </c>
      <c r="H272" s="421" t="s">
        <v>5</v>
      </c>
      <c r="I272" s="421" t="s">
        <v>11918</v>
      </c>
      <c r="J272" s="421" t="s">
        <v>5</v>
      </c>
      <c r="K272" s="421" t="s">
        <v>5</v>
      </c>
      <c r="L272" s="421" t="s">
        <v>5</v>
      </c>
      <c r="M272" s="759" t="s">
        <v>5</v>
      </c>
      <c r="N272" s="760" t="s">
        <v>9265</v>
      </c>
      <c r="O272" s="759" t="s">
        <v>5</v>
      </c>
      <c r="P272" s="421" t="s">
        <v>11802</v>
      </c>
      <c r="Q272" s="757"/>
      <c r="R272" s="757"/>
      <c r="S272" s="757"/>
      <c r="T272" s="757"/>
      <c r="U272" s="757"/>
      <c r="V272" s="757"/>
      <c r="W272" s="757"/>
      <c r="X272" s="757"/>
      <c r="Y272" s="757"/>
      <c r="Z272" s="757"/>
    </row>
    <row r="273" ht="12.75" customHeight="1">
      <c r="A273" s="758">
        <v>271.0</v>
      </c>
      <c r="B273" s="421" t="s">
        <v>11997</v>
      </c>
      <c r="C273" s="421" t="s">
        <v>12838</v>
      </c>
      <c r="D273" s="421" t="s">
        <v>336</v>
      </c>
      <c r="E273" s="421" t="s">
        <v>12839</v>
      </c>
      <c r="F273" s="421" t="s">
        <v>11854</v>
      </c>
      <c r="G273" s="421" t="s">
        <v>5</v>
      </c>
      <c r="H273" s="421" t="s">
        <v>5</v>
      </c>
      <c r="I273" s="421" t="s">
        <v>11918</v>
      </c>
      <c r="J273" s="421" t="s">
        <v>5</v>
      </c>
      <c r="K273" s="421" t="s">
        <v>5</v>
      </c>
      <c r="L273" s="421" t="s">
        <v>5</v>
      </c>
      <c r="M273" s="759" t="s">
        <v>5</v>
      </c>
      <c r="N273" s="760" t="s">
        <v>9265</v>
      </c>
      <c r="O273" s="759" t="s">
        <v>5</v>
      </c>
      <c r="P273" s="421" t="s">
        <v>11802</v>
      </c>
      <c r="Q273" s="757"/>
      <c r="R273" s="757"/>
      <c r="S273" s="757"/>
      <c r="T273" s="757"/>
      <c r="U273" s="757"/>
      <c r="V273" s="757"/>
      <c r="W273" s="757"/>
      <c r="X273" s="757"/>
      <c r="Y273" s="757"/>
      <c r="Z273" s="757"/>
    </row>
    <row r="274" ht="12.75" customHeight="1">
      <c r="A274" s="758">
        <v>272.0</v>
      </c>
      <c r="B274" s="421" t="s">
        <v>11998</v>
      </c>
      <c r="C274" s="421" t="s">
        <v>12840</v>
      </c>
      <c r="D274" s="421" t="s">
        <v>336</v>
      </c>
      <c r="E274" s="421" t="s">
        <v>12841</v>
      </c>
      <c r="F274" s="421" t="s">
        <v>11854</v>
      </c>
      <c r="G274" s="421" t="s">
        <v>5</v>
      </c>
      <c r="H274" s="421" t="s">
        <v>5</v>
      </c>
      <c r="I274" s="421" t="s">
        <v>11918</v>
      </c>
      <c r="J274" s="421" t="s">
        <v>5</v>
      </c>
      <c r="K274" s="421" t="s">
        <v>5</v>
      </c>
      <c r="L274" s="421" t="s">
        <v>5</v>
      </c>
      <c r="M274" s="759" t="s">
        <v>5</v>
      </c>
      <c r="N274" s="760" t="s">
        <v>9265</v>
      </c>
      <c r="O274" s="759" t="s">
        <v>5</v>
      </c>
      <c r="P274" s="421" t="s">
        <v>11802</v>
      </c>
      <c r="Q274" s="757"/>
      <c r="R274" s="757"/>
      <c r="S274" s="757"/>
      <c r="T274" s="757"/>
      <c r="U274" s="757"/>
      <c r="V274" s="757"/>
      <c r="W274" s="757"/>
      <c r="X274" s="757"/>
      <c r="Y274" s="757"/>
      <c r="Z274" s="757"/>
    </row>
    <row r="275" ht="12.75" customHeight="1">
      <c r="A275" s="758">
        <v>273.0</v>
      </c>
      <c r="B275" s="421" t="s">
        <v>11999</v>
      </c>
      <c r="C275" s="421" t="s">
        <v>12842</v>
      </c>
      <c r="D275" s="421" t="s">
        <v>336</v>
      </c>
      <c r="E275" s="421" t="s">
        <v>12843</v>
      </c>
      <c r="F275" s="421" t="s">
        <v>11854</v>
      </c>
      <c r="G275" s="421" t="s">
        <v>5</v>
      </c>
      <c r="H275" s="421" t="s">
        <v>5</v>
      </c>
      <c r="I275" s="421" t="s">
        <v>11918</v>
      </c>
      <c r="J275" s="421" t="s">
        <v>5</v>
      </c>
      <c r="K275" s="421" t="s">
        <v>5</v>
      </c>
      <c r="L275" s="421" t="s">
        <v>5</v>
      </c>
      <c r="M275" s="759" t="s">
        <v>5</v>
      </c>
      <c r="N275" s="760" t="s">
        <v>9265</v>
      </c>
      <c r="O275" s="759" t="s">
        <v>5</v>
      </c>
      <c r="P275" s="421" t="s">
        <v>11802</v>
      </c>
      <c r="Q275" s="757"/>
      <c r="R275" s="757"/>
      <c r="S275" s="757"/>
      <c r="T275" s="757"/>
      <c r="U275" s="757"/>
      <c r="V275" s="757"/>
      <c r="W275" s="757"/>
      <c r="X275" s="757"/>
      <c r="Y275" s="757"/>
      <c r="Z275" s="757"/>
    </row>
    <row r="276" ht="12.75" customHeight="1">
      <c r="A276" s="758">
        <v>274.0</v>
      </c>
      <c r="B276" s="421" t="s">
        <v>12000</v>
      </c>
      <c r="C276" s="421" t="s">
        <v>12844</v>
      </c>
      <c r="D276" s="421" t="s">
        <v>336</v>
      </c>
      <c r="E276" s="421" t="s">
        <v>12845</v>
      </c>
      <c r="F276" s="421" t="s">
        <v>11854</v>
      </c>
      <c r="G276" s="421" t="s">
        <v>5</v>
      </c>
      <c r="H276" s="421" t="s">
        <v>5</v>
      </c>
      <c r="I276" s="421" t="s">
        <v>11918</v>
      </c>
      <c r="J276" s="421" t="s">
        <v>5</v>
      </c>
      <c r="K276" s="421" t="s">
        <v>5</v>
      </c>
      <c r="L276" s="421" t="s">
        <v>5</v>
      </c>
      <c r="M276" s="759" t="s">
        <v>5</v>
      </c>
      <c r="N276" s="760" t="s">
        <v>9265</v>
      </c>
      <c r="O276" s="759" t="s">
        <v>5</v>
      </c>
      <c r="P276" s="421" t="s">
        <v>11802</v>
      </c>
      <c r="Q276" s="757"/>
      <c r="R276" s="757"/>
      <c r="S276" s="757"/>
      <c r="T276" s="757"/>
      <c r="U276" s="757"/>
      <c r="V276" s="757"/>
      <c r="W276" s="757"/>
      <c r="X276" s="757"/>
      <c r="Y276" s="757"/>
      <c r="Z276" s="757"/>
    </row>
    <row r="277" ht="12.75" customHeight="1">
      <c r="A277" s="758">
        <v>275.0</v>
      </c>
      <c r="B277" s="421" t="s">
        <v>12001</v>
      </c>
      <c r="C277" s="421" t="s">
        <v>12846</v>
      </c>
      <c r="D277" s="421" t="s">
        <v>336</v>
      </c>
      <c r="E277" s="421" t="s">
        <v>12847</v>
      </c>
      <c r="F277" s="421" t="s">
        <v>11854</v>
      </c>
      <c r="G277" s="421" t="s">
        <v>5</v>
      </c>
      <c r="H277" s="421" t="s">
        <v>5</v>
      </c>
      <c r="I277" s="421" t="s">
        <v>11918</v>
      </c>
      <c r="J277" s="421" t="s">
        <v>5</v>
      </c>
      <c r="K277" s="421" t="s">
        <v>5</v>
      </c>
      <c r="L277" s="421" t="s">
        <v>5</v>
      </c>
      <c r="M277" s="759" t="s">
        <v>5</v>
      </c>
      <c r="N277" s="760" t="s">
        <v>9265</v>
      </c>
      <c r="O277" s="759" t="s">
        <v>5</v>
      </c>
      <c r="P277" s="421" t="s">
        <v>11802</v>
      </c>
      <c r="Q277" s="757"/>
      <c r="R277" s="757"/>
      <c r="S277" s="757"/>
      <c r="T277" s="757"/>
      <c r="U277" s="757"/>
      <c r="V277" s="757"/>
      <c r="W277" s="757"/>
      <c r="X277" s="757"/>
      <c r="Y277" s="757"/>
      <c r="Z277" s="757"/>
    </row>
    <row r="278" ht="12.75" customHeight="1">
      <c r="A278" s="758">
        <v>276.0</v>
      </c>
      <c r="B278" s="421" t="s">
        <v>12004</v>
      </c>
      <c r="C278" s="421" t="s">
        <v>12848</v>
      </c>
      <c r="D278" s="421" t="s">
        <v>336</v>
      </c>
      <c r="E278" s="421" t="s">
        <v>12849</v>
      </c>
      <c r="F278" s="421" t="s">
        <v>11854</v>
      </c>
      <c r="G278" s="421" t="s">
        <v>5</v>
      </c>
      <c r="H278" s="421" t="s">
        <v>5</v>
      </c>
      <c r="I278" s="421" t="s">
        <v>11918</v>
      </c>
      <c r="J278" s="421" t="s">
        <v>5</v>
      </c>
      <c r="K278" s="421" t="s">
        <v>5</v>
      </c>
      <c r="L278" s="421" t="s">
        <v>5</v>
      </c>
      <c r="M278" s="759" t="s">
        <v>5</v>
      </c>
      <c r="N278" s="760" t="s">
        <v>9265</v>
      </c>
      <c r="O278" s="759" t="s">
        <v>5</v>
      </c>
      <c r="P278" s="421" t="s">
        <v>11802</v>
      </c>
      <c r="Q278" s="757"/>
      <c r="R278" s="757"/>
      <c r="S278" s="757"/>
      <c r="T278" s="757"/>
      <c r="U278" s="757"/>
      <c r="V278" s="757"/>
      <c r="W278" s="757"/>
      <c r="X278" s="757"/>
      <c r="Y278" s="757"/>
      <c r="Z278" s="757"/>
    </row>
    <row r="279" ht="12.75" customHeight="1">
      <c r="A279" s="758">
        <v>277.0</v>
      </c>
      <c r="B279" s="421" t="s">
        <v>12005</v>
      </c>
      <c r="C279" s="421" t="s">
        <v>12850</v>
      </c>
      <c r="D279" s="421" t="s">
        <v>335</v>
      </c>
      <c r="E279" s="421" t="s">
        <v>12851</v>
      </c>
      <c r="F279" s="421" t="s">
        <v>11844</v>
      </c>
      <c r="G279" s="421" t="s">
        <v>5</v>
      </c>
      <c r="H279" s="421" t="s">
        <v>5</v>
      </c>
      <c r="I279" s="421" t="s">
        <v>11918</v>
      </c>
      <c r="J279" s="421" t="s">
        <v>5</v>
      </c>
      <c r="K279" s="421" t="s">
        <v>5</v>
      </c>
      <c r="L279" s="421" t="s">
        <v>5</v>
      </c>
      <c r="M279" s="759" t="s">
        <v>5</v>
      </c>
      <c r="N279" s="760" t="s">
        <v>9265</v>
      </c>
      <c r="O279" s="759" t="s">
        <v>5</v>
      </c>
      <c r="P279" s="421" t="s">
        <v>11802</v>
      </c>
      <c r="Q279" s="757"/>
      <c r="R279" s="757"/>
      <c r="S279" s="757"/>
      <c r="T279" s="757"/>
      <c r="U279" s="757"/>
      <c r="V279" s="757"/>
      <c r="W279" s="757"/>
      <c r="X279" s="757"/>
      <c r="Y279" s="757"/>
      <c r="Z279" s="757"/>
    </row>
    <row r="280" ht="12.75" customHeight="1">
      <c r="A280" s="758">
        <v>278.0</v>
      </c>
      <c r="B280" s="421" t="s">
        <v>12007</v>
      </c>
      <c r="C280" s="421" t="s">
        <v>12852</v>
      </c>
      <c r="D280" s="421" t="s">
        <v>2079</v>
      </c>
      <c r="E280" s="421" t="s">
        <v>12853</v>
      </c>
      <c r="F280" s="421" t="s">
        <v>11854</v>
      </c>
      <c r="G280" s="421" t="s">
        <v>5</v>
      </c>
      <c r="H280" s="421" t="s">
        <v>5</v>
      </c>
      <c r="I280" s="421" t="s">
        <v>11918</v>
      </c>
      <c r="J280" s="421" t="s">
        <v>5</v>
      </c>
      <c r="K280" s="421" t="s">
        <v>5</v>
      </c>
      <c r="L280" s="421" t="s">
        <v>5</v>
      </c>
      <c r="M280" s="759" t="s">
        <v>5</v>
      </c>
      <c r="N280" s="760" t="s">
        <v>9265</v>
      </c>
      <c r="O280" s="759" t="s">
        <v>5</v>
      </c>
      <c r="P280" s="421" t="s">
        <v>11802</v>
      </c>
      <c r="Q280" s="757"/>
      <c r="R280" s="757"/>
      <c r="S280" s="757"/>
      <c r="T280" s="757"/>
      <c r="U280" s="757"/>
      <c r="V280" s="757"/>
      <c r="W280" s="757"/>
      <c r="X280" s="757"/>
      <c r="Y280" s="757"/>
      <c r="Z280" s="757"/>
    </row>
    <row r="281" ht="12.75" customHeight="1">
      <c r="A281" s="758">
        <v>279.0</v>
      </c>
      <c r="B281" s="421" t="s">
        <v>12008</v>
      </c>
      <c r="C281" s="421" t="s">
        <v>12854</v>
      </c>
      <c r="D281" s="421" t="s">
        <v>2079</v>
      </c>
      <c r="E281" s="421" t="s">
        <v>12855</v>
      </c>
      <c r="F281" s="421" t="s">
        <v>11854</v>
      </c>
      <c r="G281" s="421" t="s">
        <v>5</v>
      </c>
      <c r="H281" s="421" t="s">
        <v>5</v>
      </c>
      <c r="I281" s="421" t="s">
        <v>11918</v>
      </c>
      <c r="J281" s="421" t="s">
        <v>5</v>
      </c>
      <c r="K281" s="421" t="s">
        <v>5</v>
      </c>
      <c r="L281" s="421" t="s">
        <v>5</v>
      </c>
      <c r="M281" s="759" t="s">
        <v>5</v>
      </c>
      <c r="N281" s="760" t="s">
        <v>9265</v>
      </c>
      <c r="O281" s="759" t="s">
        <v>5</v>
      </c>
      <c r="P281" s="421" t="s">
        <v>11802</v>
      </c>
      <c r="Q281" s="757"/>
      <c r="R281" s="757"/>
      <c r="S281" s="757"/>
      <c r="T281" s="757"/>
      <c r="U281" s="757"/>
      <c r="V281" s="757"/>
      <c r="W281" s="757"/>
      <c r="X281" s="757"/>
      <c r="Y281" s="757"/>
      <c r="Z281" s="757"/>
    </row>
    <row r="282" ht="12.75" customHeight="1">
      <c r="A282" s="758">
        <v>280.0</v>
      </c>
      <c r="B282" s="421" t="s">
        <v>12011</v>
      </c>
      <c r="C282" s="421" t="s">
        <v>12856</v>
      </c>
      <c r="D282" s="421" t="s">
        <v>2079</v>
      </c>
      <c r="E282" s="421" t="s">
        <v>12857</v>
      </c>
      <c r="F282" s="421" t="s">
        <v>11854</v>
      </c>
      <c r="G282" s="421" t="s">
        <v>5</v>
      </c>
      <c r="H282" s="421" t="s">
        <v>5</v>
      </c>
      <c r="I282" s="421" t="s">
        <v>11918</v>
      </c>
      <c r="J282" s="421" t="s">
        <v>5</v>
      </c>
      <c r="K282" s="421" t="s">
        <v>5</v>
      </c>
      <c r="L282" s="421" t="s">
        <v>5</v>
      </c>
      <c r="M282" s="759" t="s">
        <v>5</v>
      </c>
      <c r="N282" s="760" t="s">
        <v>9265</v>
      </c>
      <c r="O282" s="759" t="s">
        <v>5</v>
      </c>
      <c r="P282" s="421" t="s">
        <v>11802</v>
      </c>
      <c r="Q282" s="757"/>
      <c r="R282" s="757"/>
      <c r="S282" s="757"/>
      <c r="T282" s="757"/>
      <c r="U282" s="757"/>
      <c r="V282" s="757"/>
      <c r="W282" s="757"/>
      <c r="X282" s="757"/>
      <c r="Y282" s="757"/>
      <c r="Z282" s="757"/>
    </row>
    <row r="283" ht="12.75" customHeight="1">
      <c r="A283" s="758">
        <v>281.0</v>
      </c>
      <c r="B283" s="421" t="s">
        <v>12012</v>
      </c>
      <c r="C283" s="421" t="s">
        <v>12858</v>
      </c>
      <c r="D283" s="421" t="s">
        <v>2079</v>
      </c>
      <c r="E283" s="421" t="s">
        <v>12859</v>
      </c>
      <c r="F283" s="421" t="s">
        <v>11854</v>
      </c>
      <c r="G283" s="421" t="s">
        <v>5</v>
      </c>
      <c r="H283" s="421" t="s">
        <v>5</v>
      </c>
      <c r="I283" s="421" t="s">
        <v>11918</v>
      </c>
      <c r="J283" s="421" t="s">
        <v>5</v>
      </c>
      <c r="K283" s="421" t="s">
        <v>5</v>
      </c>
      <c r="L283" s="421" t="s">
        <v>5</v>
      </c>
      <c r="M283" s="759" t="s">
        <v>5</v>
      </c>
      <c r="N283" s="760" t="s">
        <v>9265</v>
      </c>
      <c r="O283" s="759" t="s">
        <v>5</v>
      </c>
      <c r="P283" s="421" t="s">
        <v>11802</v>
      </c>
      <c r="Q283" s="757"/>
      <c r="R283" s="757"/>
      <c r="S283" s="757"/>
      <c r="T283" s="757"/>
      <c r="U283" s="757"/>
      <c r="V283" s="757"/>
      <c r="W283" s="757"/>
      <c r="X283" s="757"/>
      <c r="Y283" s="757"/>
      <c r="Z283" s="757"/>
    </row>
    <row r="284" ht="12.75" customHeight="1">
      <c r="A284" s="758">
        <v>282.0</v>
      </c>
      <c r="B284" s="421" t="s">
        <v>12015</v>
      </c>
      <c r="C284" s="421" t="s">
        <v>9390</v>
      </c>
      <c r="D284" s="421" t="s">
        <v>335</v>
      </c>
      <c r="E284" s="421" t="s">
        <v>12860</v>
      </c>
      <c r="F284" s="421" t="s">
        <v>11844</v>
      </c>
      <c r="G284" s="421" t="s">
        <v>5</v>
      </c>
      <c r="H284" s="421" t="s">
        <v>5</v>
      </c>
      <c r="I284" s="421" t="s">
        <v>11969</v>
      </c>
      <c r="J284" s="421" t="s">
        <v>5</v>
      </c>
      <c r="K284" s="421" t="s">
        <v>5</v>
      </c>
      <c r="L284" s="421" t="s">
        <v>5</v>
      </c>
      <c r="M284" s="759" t="s">
        <v>5</v>
      </c>
      <c r="N284" s="760" t="s">
        <v>9265</v>
      </c>
      <c r="O284" s="759" t="s">
        <v>5</v>
      </c>
      <c r="P284" s="421" t="s">
        <v>11802</v>
      </c>
      <c r="Q284" s="757"/>
      <c r="R284" s="757"/>
      <c r="S284" s="757"/>
      <c r="T284" s="757"/>
      <c r="U284" s="757"/>
      <c r="V284" s="757"/>
      <c r="W284" s="757"/>
      <c r="X284" s="757"/>
      <c r="Y284" s="757"/>
      <c r="Z284" s="757"/>
    </row>
    <row r="285" ht="12.75" customHeight="1">
      <c r="A285" s="758">
        <v>283.0</v>
      </c>
      <c r="B285" s="421" t="s">
        <v>11985</v>
      </c>
      <c r="C285" s="421" t="s">
        <v>12016</v>
      </c>
      <c r="D285" s="421" t="s">
        <v>335</v>
      </c>
      <c r="E285" s="421" t="s">
        <v>12861</v>
      </c>
      <c r="F285" s="421" t="s">
        <v>11844</v>
      </c>
      <c r="G285" s="421" t="s">
        <v>5</v>
      </c>
      <c r="H285" s="421" t="s">
        <v>5</v>
      </c>
      <c r="I285" s="421" t="s">
        <v>11969</v>
      </c>
      <c r="J285" s="421" t="s">
        <v>5</v>
      </c>
      <c r="K285" s="421" t="s">
        <v>5</v>
      </c>
      <c r="L285" s="421" t="s">
        <v>5</v>
      </c>
      <c r="M285" s="759" t="s">
        <v>5</v>
      </c>
      <c r="N285" s="760" t="s">
        <v>9265</v>
      </c>
      <c r="O285" s="759" t="s">
        <v>5</v>
      </c>
      <c r="P285" s="421" t="s">
        <v>11802</v>
      </c>
      <c r="Q285" s="757"/>
      <c r="R285" s="757"/>
      <c r="S285" s="757"/>
      <c r="T285" s="757"/>
      <c r="U285" s="757"/>
      <c r="V285" s="757"/>
      <c r="W285" s="757"/>
      <c r="X285" s="757"/>
      <c r="Y285" s="757"/>
      <c r="Z285" s="757"/>
    </row>
    <row r="286" ht="12.75" customHeight="1">
      <c r="A286" s="758">
        <v>284.0</v>
      </c>
      <c r="B286" s="421" t="s">
        <v>11985</v>
      </c>
      <c r="C286" s="421" t="s">
        <v>2609</v>
      </c>
      <c r="D286" s="421" t="s">
        <v>2608</v>
      </c>
      <c r="E286" s="421" t="s">
        <v>12862</v>
      </c>
      <c r="F286" s="421" t="s">
        <v>11844</v>
      </c>
      <c r="G286" s="421" t="s">
        <v>5</v>
      </c>
      <c r="H286" s="421" t="s">
        <v>5</v>
      </c>
      <c r="I286" s="421" t="s">
        <v>11969</v>
      </c>
      <c r="J286" s="421" t="s">
        <v>5</v>
      </c>
      <c r="K286" s="421" t="s">
        <v>5</v>
      </c>
      <c r="L286" s="421" t="s">
        <v>5</v>
      </c>
      <c r="M286" s="759" t="s">
        <v>5</v>
      </c>
      <c r="N286" s="760" t="s">
        <v>9265</v>
      </c>
      <c r="O286" s="759" t="s">
        <v>5</v>
      </c>
      <c r="P286" s="421" t="s">
        <v>11802</v>
      </c>
      <c r="Q286" s="757"/>
      <c r="R286" s="757"/>
      <c r="S286" s="757"/>
      <c r="T286" s="757"/>
      <c r="U286" s="757"/>
      <c r="V286" s="757"/>
      <c r="W286" s="757"/>
      <c r="X286" s="757"/>
      <c r="Y286" s="757"/>
      <c r="Z286" s="757"/>
    </row>
    <row r="287" ht="12.75" customHeight="1">
      <c r="A287" s="758">
        <v>285.0</v>
      </c>
      <c r="B287" s="421" t="s">
        <v>12017</v>
      </c>
      <c r="C287" s="421" t="s">
        <v>9436</v>
      </c>
      <c r="D287" s="421" t="s">
        <v>2608</v>
      </c>
      <c r="E287" s="421" t="s">
        <v>12863</v>
      </c>
      <c r="F287" s="421" t="s">
        <v>11854</v>
      </c>
      <c r="G287" s="421" t="s">
        <v>5</v>
      </c>
      <c r="H287" s="421" t="s">
        <v>5</v>
      </c>
      <c r="I287" s="421" t="s">
        <v>11955</v>
      </c>
      <c r="J287" s="421" t="s">
        <v>5</v>
      </c>
      <c r="K287" s="421" t="s">
        <v>5</v>
      </c>
      <c r="L287" s="421" t="s">
        <v>5</v>
      </c>
      <c r="M287" s="759" t="s">
        <v>5</v>
      </c>
      <c r="N287" s="760" t="s">
        <v>9265</v>
      </c>
      <c r="O287" s="759" t="s">
        <v>5</v>
      </c>
      <c r="P287" s="421" t="s">
        <v>11802</v>
      </c>
      <c r="Q287" s="757"/>
      <c r="R287" s="757"/>
      <c r="S287" s="757"/>
      <c r="T287" s="757"/>
      <c r="U287" s="757"/>
      <c r="V287" s="757"/>
      <c r="W287" s="757"/>
      <c r="X287" s="757"/>
      <c r="Y287" s="757"/>
      <c r="Z287" s="757"/>
    </row>
    <row r="288" ht="12.75" customHeight="1">
      <c r="A288" s="758">
        <v>286.0</v>
      </c>
      <c r="B288" s="421" t="s">
        <v>12018</v>
      </c>
      <c r="C288" s="421" t="s">
        <v>2630</v>
      </c>
      <c r="D288" s="421" t="s">
        <v>335</v>
      </c>
      <c r="E288" s="421" t="s">
        <v>12864</v>
      </c>
      <c r="F288" s="421" t="s">
        <v>11844</v>
      </c>
      <c r="G288" s="421" t="s">
        <v>5</v>
      </c>
      <c r="H288" s="421" t="s">
        <v>5</v>
      </c>
      <c r="I288" s="421" t="s">
        <v>11969</v>
      </c>
      <c r="J288" s="421" t="s">
        <v>5</v>
      </c>
      <c r="K288" s="421" t="s">
        <v>5</v>
      </c>
      <c r="L288" s="421" t="s">
        <v>5</v>
      </c>
      <c r="M288" s="759" t="s">
        <v>5</v>
      </c>
      <c r="N288" s="760" t="s">
        <v>9265</v>
      </c>
      <c r="O288" s="759" t="s">
        <v>5</v>
      </c>
      <c r="P288" s="421" t="s">
        <v>11802</v>
      </c>
      <c r="Q288" s="757"/>
      <c r="R288" s="757"/>
      <c r="S288" s="757"/>
      <c r="T288" s="757"/>
      <c r="U288" s="757"/>
      <c r="V288" s="757"/>
      <c r="W288" s="757"/>
      <c r="X288" s="757"/>
      <c r="Y288" s="757"/>
      <c r="Z288" s="757"/>
    </row>
    <row r="289" ht="12.75" customHeight="1">
      <c r="A289" s="758">
        <v>287.0</v>
      </c>
      <c r="B289" s="421" t="s">
        <v>5</v>
      </c>
      <c r="C289" s="421" t="s">
        <v>11164</v>
      </c>
      <c r="D289" s="421" t="s">
        <v>335</v>
      </c>
      <c r="E289" s="421" t="s">
        <v>12865</v>
      </c>
      <c r="F289" s="421" t="s">
        <v>11854</v>
      </c>
      <c r="G289" s="421" t="s">
        <v>5</v>
      </c>
      <c r="H289" s="421" t="s">
        <v>5</v>
      </c>
      <c r="I289" s="421" t="s">
        <v>11969</v>
      </c>
      <c r="J289" s="421" t="s">
        <v>5</v>
      </c>
      <c r="K289" s="421" t="s">
        <v>5</v>
      </c>
      <c r="L289" s="421" t="s">
        <v>5</v>
      </c>
      <c r="M289" s="759" t="s">
        <v>5</v>
      </c>
      <c r="N289" s="760" t="s">
        <v>9265</v>
      </c>
      <c r="O289" s="759" t="s">
        <v>5</v>
      </c>
      <c r="P289" s="421" t="s">
        <v>11802</v>
      </c>
      <c r="Q289" s="757"/>
      <c r="R289" s="757"/>
      <c r="S289" s="757"/>
      <c r="T289" s="757"/>
      <c r="U289" s="757"/>
      <c r="V289" s="757"/>
      <c r="W289" s="757"/>
      <c r="X289" s="757"/>
      <c r="Y289" s="757"/>
      <c r="Z289" s="757"/>
    </row>
    <row r="290" ht="12.75" customHeight="1">
      <c r="A290" s="758">
        <v>288.0</v>
      </c>
      <c r="B290" s="421" t="s">
        <v>12020</v>
      </c>
      <c r="C290" s="421" t="s">
        <v>9861</v>
      </c>
      <c r="D290" s="421" t="s">
        <v>303</v>
      </c>
      <c r="E290" s="421" t="s">
        <v>12866</v>
      </c>
      <c r="F290" s="421" t="s">
        <v>11844</v>
      </c>
      <c r="G290" s="421" t="s">
        <v>5</v>
      </c>
      <c r="H290" s="421" t="s">
        <v>5</v>
      </c>
      <c r="I290" s="421" t="s">
        <v>11918</v>
      </c>
      <c r="J290" s="421" t="s">
        <v>5</v>
      </c>
      <c r="K290" s="421" t="s">
        <v>5</v>
      </c>
      <c r="L290" s="421" t="s">
        <v>5</v>
      </c>
      <c r="M290" s="759" t="s">
        <v>5</v>
      </c>
      <c r="N290" s="760" t="s">
        <v>9265</v>
      </c>
      <c r="O290" s="759" t="s">
        <v>5</v>
      </c>
      <c r="P290" s="421" t="s">
        <v>11802</v>
      </c>
      <c r="Q290" s="757"/>
      <c r="R290" s="757"/>
      <c r="S290" s="757"/>
      <c r="T290" s="757"/>
      <c r="U290" s="757"/>
      <c r="V290" s="757"/>
      <c r="W290" s="757"/>
      <c r="X290" s="757"/>
      <c r="Y290" s="757"/>
      <c r="Z290" s="757"/>
    </row>
    <row r="291" ht="12.75" customHeight="1">
      <c r="A291" s="758">
        <v>289.0</v>
      </c>
      <c r="B291" s="421" t="s">
        <v>12021</v>
      </c>
      <c r="C291" s="421" t="s">
        <v>7382</v>
      </c>
      <c r="D291" s="421" t="s">
        <v>221</v>
      </c>
      <c r="E291" s="421" t="s">
        <v>12867</v>
      </c>
      <c r="F291" s="421" t="s">
        <v>11854</v>
      </c>
      <c r="G291" s="421" t="s">
        <v>5</v>
      </c>
      <c r="H291" s="421" t="s">
        <v>5</v>
      </c>
      <c r="I291" s="421" t="s">
        <v>11918</v>
      </c>
      <c r="J291" s="421" t="s">
        <v>5</v>
      </c>
      <c r="K291" s="421" t="s">
        <v>5</v>
      </c>
      <c r="L291" s="421" t="s">
        <v>5</v>
      </c>
      <c r="M291" s="759" t="s">
        <v>5</v>
      </c>
      <c r="N291" s="760" t="s">
        <v>9265</v>
      </c>
      <c r="O291" s="759" t="s">
        <v>5</v>
      </c>
      <c r="P291" s="421" t="s">
        <v>11802</v>
      </c>
      <c r="Q291" s="757"/>
      <c r="R291" s="757"/>
      <c r="S291" s="757"/>
      <c r="T291" s="757"/>
      <c r="U291" s="757"/>
      <c r="V291" s="757"/>
      <c r="W291" s="757"/>
      <c r="X291" s="757"/>
      <c r="Y291" s="757"/>
      <c r="Z291" s="757"/>
    </row>
    <row r="292" ht="12.75" customHeight="1">
      <c r="A292" s="758">
        <v>290.0</v>
      </c>
      <c r="B292" s="421" t="s">
        <v>12022</v>
      </c>
      <c r="C292" s="421" t="s">
        <v>12024</v>
      </c>
      <c r="D292" s="421" t="s">
        <v>221</v>
      </c>
      <c r="E292" s="421" t="s">
        <v>12868</v>
      </c>
      <c r="F292" s="421" t="s">
        <v>11854</v>
      </c>
      <c r="G292" s="421" t="s">
        <v>5</v>
      </c>
      <c r="H292" s="421" t="s">
        <v>5</v>
      </c>
      <c r="I292" s="421" t="s">
        <v>11918</v>
      </c>
      <c r="J292" s="421" t="s">
        <v>5</v>
      </c>
      <c r="K292" s="421" t="s">
        <v>5</v>
      </c>
      <c r="L292" s="421" t="s">
        <v>5</v>
      </c>
      <c r="M292" s="759" t="s">
        <v>5</v>
      </c>
      <c r="N292" s="760" t="s">
        <v>9265</v>
      </c>
      <c r="O292" s="759" t="s">
        <v>5</v>
      </c>
      <c r="P292" s="421" t="s">
        <v>11802</v>
      </c>
      <c r="Q292" s="757"/>
      <c r="R292" s="757"/>
      <c r="S292" s="757"/>
      <c r="T292" s="757"/>
      <c r="U292" s="757"/>
      <c r="V292" s="757"/>
      <c r="W292" s="757"/>
      <c r="X292" s="757"/>
      <c r="Y292" s="757"/>
      <c r="Z292" s="757"/>
    </row>
    <row r="293" ht="12.75" customHeight="1">
      <c r="A293" s="758">
        <v>291.0</v>
      </c>
      <c r="B293" s="421" t="s">
        <v>12025</v>
      </c>
      <c r="C293" s="421" t="s">
        <v>2972</v>
      </c>
      <c r="D293" s="421" t="s">
        <v>303</v>
      </c>
      <c r="E293" s="421" t="s">
        <v>12869</v>
      </c>
      <c r="F293" s="421" t="s">
        <v>11850</v>
      </c>
      <c r="G293" s="421" t="s">
        <v>5</v>
      </c>
      <c r="H293" s="421" t="s">
        <v>5</v>
      </c>
      <c r="I293" s="421" t="s">
        <v>11969</v>
      </c>
      <c r="J293" s="421" t="s">
        <v>5</v>
      </c>
      <c r="K293" s="421" t="s">
        <v>5</v>
      </c>
      <c r="L293" s="421" t="s">
        <v>5</v>
      </c>
      <c r="M293" s="759" t="s">
        <v>5</v>
      </c>
      <c r="N293" s="760" t="s">
        <v>9265</v>
      </c>
      <c r="O293" s="759" t="s">
        <v>5</v>
      </c>
      <c r="P293" s="421" t="s">
        <v>11802</v>
      </c>
      <c r="Q293" s="757"/>
      <c r="R293" s="757"/>
      <c r="S293" s="757"/>
      <c r="T293" s="757"/>
      <c r="U293" s="757"/>
      <c r="V293" s="757"/>
      <c r="W293" s="757"/>
      <c r="X293" s="757"/>
      <c r="Y293" s="757"/>
      <c r="Z293" s="757"/>
    </row>
    <row r="294" ht="12.75" customHeight="1">
      <c r="A294" s="758">
        <v>292.0</v>
      </c>
      <c r="B294" s="421" t="s">
        <v>12026</v>
      </c>
      <c r="C294" s="421" t="s">
        <v>9508</v>
      </c>
      <c r="D294" s="421" t="s">
        <v>303</v>
      </c>
      <c r="E294" s="421" t="s">
        <v>12870</v>
      </c>
      <c r="F294" s="421" t="s">
        <v>11844</v>
      </c>
      <c r="G294" s="421" t="s">
        <v>5</v>
      </c>
      <c r="H294" s="421" t="s">
        <v>5</v>
      </c>
      <c r="I294" s="421" t="s">
        <v>11969</v>
      </c>
      <c r="J294" s="421" t="s">
        <v>5</v>
      </c>
      <c r="K294" s="421" t="s">
        <v>5</v>
      </c>
      <c r="L294" s="421" t="s">
        <v>5</v>
      </c>
      <c r="M294" s="759" t="s">
        <v>5</v>
      </c>
      <c r="N294" s="760" t="s">
        <v>9265</v>
      </c>
      <c r="O294" s="759" t="s">
        <v>5</v>
      </c>
      <c r="P294" s="421" t="s">
        <v>11802</v>
      </c>
      <c r="Q294" s="757"/>
      <c r="R294" s="757"/>
      <c r="S294" s="757"/>
      <c r="T294" s="757"/>
      <c r="U294" s="757"/>
      <c r="V294" s="757"/>
      <c r="W294" s="757"/>
      <c r="X294" s="757"/>
      <c r="Y294" s="757"/>
      <c r="Z294" s="757"/>
    </row>
    <row r="295" ht="12.75" customHeight="1">
      <c r="A295" s="758">
        <v>293.0</v>
      </c>
      <c r="B295" s="421" t="s">
        <v>11120</v>
      </c>
      <c r="C295" s="421" t="s">
        <v>7135</v>
      </c>
      <c r="D295" s="421" t="s">
        <v>303</v>
      </c>
      <c r="E295" s="421" t="s">
        <v>12871</v>
      </c>
      <c r="F295" s="421" t="s">
        <v>11850</v>
      </c>
      <c r="G295" s="421" t="s">
        <v>5</v>
      </c>
      <c r="H295" s="421" t="s">
        <v>5</v>
      </c>
      <c r="I295" s="421" t="s">
        <v>11918</v>
      </c>
      <c r="J295" s="421" t="s">
        <v>5</v>
      </c>
      <c r="K295" s="421" t="s">
        <v>5</v>
      </c>
      <c r="L295" s="421" t="s">
        <v>5</v>
      </c>
      <c r="M295" s="759" t="s">
        <v>5</v>
      </c>
      <c r="N295" s="760" t="s">
        <v>9265</v>
      </c>
      <c r="O295" s="759" t="s">
        <v>5</v>
      </c>
      <c r="P295" s="421" t="s">
        <v>11802</v>
      </c>
      <c r="Q295" s="757"/>
      <c r="R295" s="757"/>
      <c r="S295" s="757"/>
      <c r="T295" s="757"/>
      <c r="U295" s="757"/>
      <c r="V295" s="757"/>
      <c r="W295" s="757"/>
      <c r="X295" s="757"/>
      <c r="Y295" s="757"/>
      <c r="Z295" s="757"/>
    </row>
    <row r="296" ht="12.75" customHeight="1">
      <c r="A296" s="758">
        <v>294.0</v>
      </c>
      <c r="B296" s="421" t="s">
        <v>12027</v>
      </c>
      <c r="C296" s="421" t="s">
        <v>205</v>
      </c>
      <c r="D296" s="421" t="s">
        <v>10527</v>
      </c>
      <c r="E296" s="421" t="s">
        <v>12872</v>
      </c>
      <c r="F296" s="421" t="s">
        <v>11840</v>
      </c>
      <c r="G296" s="421" t="s">
        <v>5</v>
      </c>
      <c r="H296" s="421" t="s">
        <v>5</v>
      </c>
      <c r="I296" s="421" t="s">
        <v>5</v>
      </c>
      <c r="J296" s="421" t="s">
        <v>5</v>
      </c>
      <c r="K296" s="421" t="s">
        <v>5</v>
      </c>
      <c r="L296" s="421" t="s">
        <v>5</v>
      </c>
      <c r="M296" s="759" t="s">
        <v>5</v>
      </c>
      <c r="N296" s="760" t="s">
        <v>9265</v>
      </c>
      <c r="O296" s="759" t="s">
        <v>5</v>
      </c>
      <c r="P296" s="421" t="s">
        <v>11802</v>
      </c>
      <c r="Q296" s="757"/>
      <c r="R296" s="757"/>
      <c r="S296" s="757"/>
      <c r="T296" s="757"/>
      <c r="U296" s="757"/>
      <c r="V296" s="757"/>
      <c r="W296" s="757"/>
      <c r="X296" s="757"/>
      <c r="Y296" s="757"/>
      <c r="Z296" s="757"/>
    </row>
    <row r="297" ht="12.75" customHeight="1">
      <c r="A297" s="758">
        <v>295.0</v>
      </c>
      <c r="B297" s="421" t="s">
        <v>12028</v>
      </c>
      <c r="C297" s="421" t="s">
        <v>7551</v>
      </c>
      <c r="D297" s="421" t="s">
        <v>346</v>
      </c>
      <c r="E297" s="421" t="s">
        <v>12805</v>
      </c>
      <c r="F297" s="421" t="s">
        <v>11844</v>
      </c>
      <c r="G297" s="421" t="s">
        <v>5</v>
      </c>
      <c r="H297" s="421" t="s">
        <v>5</v>
      </c>
      <c r="I297" s="421" t="s">
        <v>5</v>
      </c>
      <c r="J297" s="421" t="s">
        <v>5</v>
      </c>
      <c r="K297" s="421" t="s">
        <v>5</v>
      </c>
      <c r="L297" s="421" t="s">
        <v>5</v>
      </c>
      <c r="M297" s="759" t="s">
        <v>5</v>
      </c>
      <c r="N297" s="760" t="s">
        <v>9265</v>
      </c>
      <c r="O297" s="759" t="s">
        <v>5</v>
      </c>
      <c r="P297" s="421" t="s">
        <v>11802</v>
      </c>
      <c r="Q297" s="757"/>
      <c r="R297" s="757"/>
      <c r="S297" s="757"/>
      <c r="T297" s="757"/>
      <c r="U297" s="757"/>
      <c r="V297" s="757"/>
      <c r="W297" s="757"/>
      <c r="X297" s="757"/>
      <c r="Y297" s="757"/>
      <c r="Z297" s="757"/>
    </row>
    <row r="298" ht="12.75" customHeight="1">
      <c r="A298" s="758">
        <v>296.0</v>
      </c>
      <c r="B298" s="421" t="s">
        <v>12029</v>
      </c>
      <c r="C298" s="421" t="s">
        <v>8341</v>
      </c>
      <c r="D298" s="421" t="s">
        <v>346</v>
      </c>
      <c r="E298" s="421" t="s">
        <v>12873</v>
      </c>
      <c r="F298" s="421" t="s">
        <v>11844</v>
      </c>
      <c r="G298" s="421" t="s">
        <v>12030</v>
      </c>
      <c r="H298" s="421" t="s">
        <v>5</v>
      </c>
      <c r="I298" s="421" t="s">
        <v>5</v>
      </c>
      <c r="J298" s="421" t="s">
        <v>5</v>
      </c>
      <c r="K298" s="421" t="s">
        <v>5</v>
      </c>
      <c r="L298" s="421" t="s">
        <v>5</v>
      </c>
      <c r="M298" s="759" t="s">
        <v>5</v>
      </c>
      <c r="N298" s="760" t="s">
        <v>9265</v>
      </c>
      <c r="O298" s="759" t="s">
        <v>5</v>
      </c>
      <c r="P298" s="421" t="s">
        <v>11802</v>
      </c>
      <c r="Q298" s="757"/>
      <c r="R298" s="757"/>
      <c r="S298" s="757"/>
      <c r="T298" s="757"/>
      <c r="U298" s="757"/>
      <c r="V298" s="757"/>
      <c r="W298" s="757"/>
      <c r="X298" s="757"/>
      <c r="Y298" s="757"/>
      <c r="Z298" s="757"/>
    </row>
    <row r="299" ht="12.75" customHeight="1">
      <c r="A299" s="758">
        <v>297.0</v>
      </c>
      <c r="B299" s="421" t="s">
        <v>12031</v>
      </c>
      <c r="C299" s="421" t="s">
        <v>7593</v>
      </c>
      <c r="D299" s="421" t="s">
        <v>346</v>
      </c>
      <c r="E299" s="421" t="s">
        <v>12816</v>
      </c>
      <c r="F299" s="421" t="s">
        <v>11844</v>
      </c>
      <c r="G299" s="421" t="s">
        <v>12032</v>
      </c>
      <c r="H299" s="421" t="s">
        <v>5</v>
      </c>
      <c r="I299" s="421" t="s">
        <v>5</v>
      </c>
      <c r="J299" s="421" t="s">
        <v>5</v>
      </c>
      <c r="K299" s="421" t="s">
        <v>5</v>
      </c>
      <c r="L299" s="421" t="s">
        <v>5</v>
      </c>
      <c r="M299" s="759" t="s">
        <v>5</v>
      </c>
      <c r="N299" s="760" t="s">
        <v>9265</v>
      </c>
      <c r="O299" s="759" t="s">
        <v>5</v>
      </c>
      <c r="P299" s="421" t="s">
        <v>11802</v>
      </c>
      <c r="Q299" s="757"/>
      <c r="R299" s="757"/>
      <c r="S299" s="757"/>
      <c r="T299" s="757"/>
      <c r="U299" s="757"/>
      <c r="V299" s="757"/>
      <c r="W299" s="757"/>
      <c r="X299" s="757"/>
      <c r="Y299" s="757"/>
      <c r="Z299" s="757"/>
    </row>
    <row r="300" ht="12.75" customHeight="1">
      <c r="A300" s="758">
        <v>298.0</v>
      </c>
      <c r="B300" s="421" t="s">
        <v>12033</v>
      </c>
      <c r="C300" s="421" t="s">
        <v>347</v>
      </c>
      <c r="D300" s="421" t="s">
        <v>346</v>
      </c>
      <c r="E300" s="421" t="s">
        <v>12874</v>
      </c>
      <c r="F300" s="421" t="s">
        <v>11844</v>
      </c>
      <c r="G300" s="421" t="s">
        <v>12032</v>
      </c>
      <c r="H300" s="421" t="s">
        <v>5</v>
      </c>
      <c r="I300" s="421" t="s">
        <v>5</v>
      </c>
      <c r="J300" s="421" t="s">
        <v>5</v>
      </c>
      <c r="K300" s="421" t="s">
        <v>5</v>
      </c>
      <c r="L300" s="421" t="s">
        <v>5</v>
      </c>
      <c r="M300" s="759" t="s">
        <v>5</v>
      </c>
      <c r="N300" s="760" t="s">
        <v>9265</v>
      </c>
      <c r="O300" s="759" t="s">
        <v>5</v>
      </c>
      <c r="P300" s="421" t="s">
        <v>11802</v>
      </c>
      <c r="Q300" s="757"/>
      <c r="R300" s="757"/>
      <c r="S300" s="757"/>
      <c r="T300" s="757"/>
      <c r="U300" s="757"/>
      <c r="V300" s="757"/>
      <c r="W300" s="757"/>
      <c r="X300" s="757"/>
      <c r="Y300" s="757"/>
      <c r="Z300" s="757"/>
    </row>
    <row r="301" ht="12.75" customHeight="1">
      <c r="A301" s="758">
        <v>299.0</v>
      </c>
      <c r="B301" s="421" t="s">
        <v>12034</v>
      </c>
      <c r="C301" s="421" t="s">
        <v>3272</v>
      </c>
      <c r="D301" s="421" t="s">
        <v>346</v>
      </c>
      <c r="E301" s="421" t="s">
        <v>12875</v>
      </c>
      <c r="F301" s="421" t="s">
        <v>11844</v>
      </c>
      <c r="G301" s="421" t="s">
        <v>5</v>
      </c>
      <c r="H301" s="421" t="s">
        <v>5</v>
      </c>
      <c r="I301" s="421" t="s">
        <v>5</v>
      </c>
      <c r="J301" s="421" t="s">
        <v>5</v>
      </c>
      <c r="K301" s="421" t="s">
        <v>5</v>
      </c>
      <c r="L301" s="421" t="s">
        <v>5</v>
      </c>
      <c r="M301" s="759" t="s">
        <v>5</v>
      </c>
      <c r="N301" s="760" t="s">
        <v>9265</v>
      </c>
      <c r="O301" s="759" t="s">
        <v>5</v>
      </c>
      <c r="P301" s="421" t="s">
        <v>11802</v>
      </c>
      <c r="Q301" s="757"/>
      <c r="R301" s="757"/>
      <c r="S301" s="757"/>
      <c r="T301" s="757"/>
      <c r="U301" s="757"/>
      <c r="V301" s="757"/>
      <c r="W301" s="757"/>
      <c r="X301" s="757"/>
      <c r="Y301" s="757"/>
      <c r="Z301" s="757"/>
    </row>
    <row r="302" ht="12.75" customHeight="1">
      <c r="A302" s="758">
        <v>300.0</v>
      </c>
      <c r="B302" s="421" t="s">
        <v>12035</v>
      </c>
      <c r="C302" s="421" t="s">
        <v>4694</v>
      </c>
      <c r="D302" s="421" t="s">
        <v>346</v>
      </c>
      <c r="E302" s="421" t="s">
        <v>12794</v>
      </c>
      <c r="F302" s="421" t="s">
        <v>11844</v>
      </c>
      <c r="G302" s="421" t="s">
        <v>12036</v>
      </c>
      <c r="H302" s="421" t="s">
        <v>5</v>
      </c>
      <c r="I302" s="421" t="s">
        <v>11969</v>
      </c>
      <c r="J302" s="421" t="s">
        <v>5</v>
      </c>
      <c r="K302" s="421" t="s">
        <v>5</v>
      </c>
      <c r="L302" s="421" t="s">
        <v>5</v>
      </c>
      <c r="M302" s="759" t="s">
        <v>5</v>
      </c>
      <c r="N302" s="760" t="s">
        <v>9265</v>
      </c>
      <c r="O302" s="759" t="s">
        <v>5</v>
      </c>
      <c r="P302" s="421" t="s">
        <v>11802</v>
      </c>
      <c r="Q302" s="757"/>
      <c r="R302" s="757"/>
      <c r="S302" s="757"/>
      <c r="T302" s="757"/>
      <c r="U302" s="757"/>
      <c r="V302" s="757"/>
      <c r="W302" s="757"/>
      <c r="X302" s="757"/>
      <c r="Y302" s="757"/>
      <c r="Z302" s="757"/>
    </row>
    <row r="303" ht="12.75" customHeight="1">
      <c r="A303" s="758">
        <v>301.0</v>
      </c>
      <c r="B303" s="421" t="s">
        <v>12037</v>
      </c>
      <c r="C303" s="421" t="s">
        <v>12039</v>
      </c>
      <c r="D303" s="421" t="s">
        <v>2463</v>
      </c>
      <c r="E303" s="421" t="s">
        <v>12876</v>
      </c>
      <c r="F303" s="421" t="s">
        <v>11851</v>
      </c>
      <c r="G303" s="421" t="s">
        <v>12040</v>
      </c>
      <c r="H303" s="421" t="s">
        <v>5</v>
      </c>
      <c r="I303" s="421" t="s">
        <v>5</v>
      </c>
      <c r="J303" s="421" t="s">
        <v>5</v>
      </c>
      <c r="K303" s="421" t="s">
        <v>5</v>
      </c>
      <c r="L303" s="421" t="s">
        <v>5</v>
      </c>
      <c r="M303" s="759" t="s">
        <v>5</v>
      </c>
      <c r="N303" s="760" t="s">
        <v>9265</v>
      </c>
      <c r="O303" s="759" t="s">
        <v>5</v>
      </c>
      <c r="P303" s="421" t="s">
        <v>11802</v>
      </c>
      <c r="Q303" s="757"/>
      <c r="R303" s="757"/>
      <c r="S303" s="757"/>
      <c r="T303" s="757"/>
      <c r="U303" s="757"/>
      <c r="V303" s="757"/>
      <c r="W303" s="757"/>
      <c r="X303" s="757"/>
      <c r="Y303" s="757"/>
      <c r="Z303" s="757"/>
    </row>
    <row r="304" ht="12.75" customHeight="1">
      <c r="A304" s="758">
        <v>302.0</v>
      </c>
      <c r="B304" s="421" t="s">
        <v>12041</v>
      </c>
      <c r="C304" s="421" t="s">
        <v>12043</v>
      </c>
      <c r="D304" s="421" t="s">
        <v>346</v>
      </c>
      <c r="E304" s="421" t="s">
        <v>12877</v>
      </c>
      <c r="F304" s="421" t="s">
        <v>11844</v>
      </c>
      <c r="G304" s="421" t="s">
        <v>5</v>
      </c>
      <c r="H304" s="421" t="s">
        <v>5</v>
      </c>
      <c r="I304" s="421" t="s">
        <v>5</v>
      </c>
      <c r="J304" s="421" t="s">
        <v>5</v>
      </c>
      <c r="K304" s="421" t="s">
        <v>5</v>
      </c>
      <c r="L304" s="421" t="s">
        <v>5</v>
      </c>
      <c r="M304" s="759" t="s">
        <v>5</v>
      </c>
      <c r="N304" s="760" t="s">
        <v>9265</v>
      </c>
      <c r="O304" s="759" t="s">
        <v>5</v>
      </c>
      <c r="P304" s="421" t="s">
        <v>11802</v>
      </c>
      <c r="Q304" s="757"/>
      <c r="R304" s="757"/>
      <c r="S304" s="757"/>
      <c r="T304" s="757"/>
      <c r="U304" s="757"/>
      <c r="V304" s="757"/>
      <c r="W304" s="757"/>
      <c r="X304" s="757"/>
      <c r="Y304" s="757"/>
      <c r="Z304" s="757"/>
    </row>
    <row r="305" ht="12.75" customHeight="1">
      <c r="A305" s="758">
        <v>303.0</v>
      </c>
      <c r="B305" s="421" t="s">
        <v>12044</v>
      </c>
      <c r="C305" s="421" t="s">
        <v>1210</v>
      </c>
      <c r="D305" s="421" t="s">
        <v>346</v>
      </c>
      <c r="E305" s="421" t="s">
        <v>12878</v>
      </c>
      <c r="F305" s="421" t="s">
        <v>11844</v>
      </c>
      <c r="G305" s="421" t="s">
        <v>5</v>
      </c>
      <c r="H305" s="421" t="s">
        <v>5</v>
      </c>
      <c r="I305" s="421" t="s">
        <v>5</v>
      </c>
      <c r="J305" s="421" t="s">
        <v>5</v>
      </c>
      <c r="K305" s="421" t="s">
        <v>5</v>
      </c>
      <c r="L305" s="421" t="s">
        <v>5</v>
      </c>
      <c r="M305" s="759" t="s">
        <v>5</v>
      </c>
      <c r="N305" s="760" t="s">
        <v>9265</v>
      </c>
      <c r="O305" s="759" t="s">
        <v>5</v>
      </c>
      <c r="P305" s="421" t="s">
        <v>11802</v>
      </c>
      <c r="Q305" s="757"/>
      <c r="R305" s="757"/>
      <c r="S305" s="757"/>
      <c r="T305" s="757"/>
      <c r="U305" s="757"/>
      <c r="V305" s="757"/>
      <c r="W305" s="757"/>
      <c r="X305" s="757"/>
      <c r="Y305" s="757"/>
      <c r="Z305" s="757"/>
    </row>
    <row r="306" ht="12.75" customHeight="1">
      <c r="A306" s="758">
        <v>304.0</v>
      </c>
      <c r="B306" s="421" t="s">
        <v>12045</v>
      </c>
      <c r="C306" s="421" t="s">
        <v>12047</v>
      </c>
      <c r="D306" s="421" t="s">
        <v>346</v>
      </c>
      <c r="E306" s="421" t="s">
        <v>12879</v>
      </c>
      <c r="F306" s="421" t="s">
        <v>11850</v>
      </c>
      <c r="G306" s="421" t="s">
        <v>5</v>
      </c>
      <c r="H306" s="421" t="s">
        <v>5</v>
      </c>
      <c r="I306" s="421" t="s">
        <v>5</v>
      </c>
      <c r="J306" s="421" t="s">
        <v>5</v>
      </c>
      <c r="K306" s="421" t="s">
        <v>5</v>
      </c>
      <c r="L306" s="421" t="s">
        <v>5</v>
      </c>
      <c r="M306" s="759" t="s">
        <v>5</v>
      </c>
      <c r="N306" s="760" t="s">
        <v>9265</v>
      </c>
      <c r="O306" s="759" t="s">
        <v>5</v>
      </c>
      <c r="P306" s="421" t="s">
        <v>11802</v>
      </c>
      <c r="Q306" s="757"/>
      <c r="R306" s="757"/>
      <c r="S306" s="757"/>
      <c r="T306" s="757"/>
      <c r="U306" s="757"/>
      <c r="V306" s="757"/>
      <c r="W306" s="757"/>
      <c r="X306" s="757"/>
      <c r="Y306" s="757"/>
      <c r="Z306" s="757"/>
    </row>
    <row r="307" ht="12.75" customHeight="1">
      <c r="A307" s="758">
        <v>305.0</v>
      </c>
      <c r="B307" s="421" t="s">
        <v>12048</v>
      </c>
      <c r="C307" s="421" t="s">
        <v>12050</v>
      </c>
      <c r="D307" s="421" t="s">
        <v>12046</v>
      </c>
      <c r="E307" s="421" t="s">
        <v>12880</v>
      </c>
      <c r="F307" s="421" t="s">
        <v>11850</v>
      </c>
      <c r="G307" s="421" t="s">
        <v>5</v>
      </c>
      <c r="H307" s="421" t="s">
        <v>5</v>
      </c>
      <c r="I307" s="421" t="s">
        <v>5</v>
      </c>
      <c r="J307" s="421" t="s">
        <v>5</v>
      </c>
      <c r="K307" s="421" t="s">
        <v>5</v>
      </c>
      <c r="L307" s="421" t="s">
        <v>5</v>
      </c>
      <c r="M307" s="759" t="s">
        <v>5</v>
      </c>
      <c r="N307" s="760" t="s">
        <v>9265</v>
      </c>
      <c r="O307" s="759" t="s">
        <v>5</v>
      </c>
      <c r="P307" s="421" t="s">
        <v>11802</v>
      </c>
      <c r="Q307" s="757"/>
      <c r="R307" s="757"/>
      <c r="S307" s="757"/>
      <c r="T307" s="757"/>
      <c r="U307" s="757"/>
      <c r="V307" s="757"/>
      <c r="W307" s="757"/>
      <c r="X307" s="757"/>
      <c r="Y307" s="757"/>
      <c r="Z307" s="757"/>
    </row>
    <row r="308" ht="12.75" customHeight="1">
      <c r="A308" s="758">
        <v>306.0</v>
      </c>
      <c r="B308" s="421" t="s">
        <v>12051</v>
      </c>
      <c r="C308" s="421" t="s">
        <v>12053</v>
      </c>
      <c r="D308" s="421" t="s">
        <v>12046</v>
      </c>
      <c r="E308" s="421" t="s">
        <v>12881</v>
      </c>
      <c r="F308" s="421" t="s">
        <v>11850</v>
      </c>
      <c r="G308" s="421" t="s">
        <v>5</v>
      </c>
      <c r="H308" s="421" t="s">
        <v>5</v>
      </c>
      <c r="I308" s="421" t="s">
        <v>5</v>
      </c>
      <c r="J308" s="421" t="s">
        <v>5</v>
      </c>
      <c r="K308" s="421" t="s">
        <v>5</v>
      </c>
      <c r="L308" s="421" t="s">
        <v>5</v>
      </c>
      <c r="M308" s="759" t="s">
        <v>5</v>
      </c>
      <c r="N308" s="760" t="s">
        <v>9265</v>
      </c>
      <c r="O308" s="759" t="s">
        <v>5</v>
      </c>
      <c r="P308" s="421" t="s">
        <v>11802</v>
      </c>
      <c r="Q308" s="757"/>
      <c r="R308" s="757"/>
      <c r="S308" s="757"/>
      <c r="T308" s="757"/>
      <c r="U308" s="757"/>
      <c r="V308" s="757"/>
      <c r="W308" s="757"/>
      <c r="X308" s="757"/>
      <c r="Y308" s="757"/>
      <c r="Z308" s="757"/>
    </row>
    <row r="309" ht="12.75" customHeight="1">
      <c r="A309" s="758">
        <v>307.0</v>
      </c>
      <c r="B309" s="421" t="s">
        <v>12051</v>
      </c>
      <c r="C309" s="421" t="s">
        <v>12055</v>
      </c>
      <c r="D309" s="421" t="s">
        <v>12046</v>
      </c>
      <c r="E309" s="421" t="s">
        <v>12882</v>
      </c>
      <c r="F309" s="421" t="s">
        <v>11850</v>
      </c>
      <c r="G309" s="421" t="s">
        <v>5</v>
      </c>
      <c r="H309" s="421" t="s">
        <v>5</v>
      </c>
      <c r="I309" s="421" t="s">
        <v>5</v>
      </c>
      <c r="J309" s="421" t="s">
        <v>5</v>
      </c>
      <c r="K309" s="421" t="s">
        <v>5</v>
      </c>
      <c r="L309" s="421" t="s">
        <v>5</v>
      </c>
      <c r="M309" s="759" t="s">
        <v>5</v>
      </c>
      <c r="N309" s="760" t="s">
        <v>9265</v>
      </c>
      <c r="O309" s="759" t="s">
        <v>5</v>
      </c>
      <c r="P309" s="421" t="s">
        <v>11802</v>
      </c>
      <c r="Q309" s="757"/>
      <c r="R309" s="757"/>
      <c r="S309" s="757"/>
      <c r="T309" s="757"/>
      <c r="U309" s="757"/>
      <c r="V309" s="757"/>
      <c r="W309" s="757"/>
      <c r="X309" s="757"/>
      <c r="Y309" s="757"/>
      <c r="Z309" s="757"/>
    </row>
    <row r="310" ht="12.75" customHeight="1">
      <c r="A310" s="758">
        <v>308.0</v>
      </c>
      <c r="B310" s="421" t="s">
        <v>12056</v>
      </c>
      <c r="C310" s="421" t="s">
        <v>12058</v>
      </c>
      <c r="D310" s="421" t="s">
        <v>12046</v>
      </c>
      <c r="E310" s="421" t="s">
        <v>12883</v>
      </c>
      <c r="F310" s="421" t="s">
        <v>11850</v>
      </c>
      <c r="G310" s="421" t="s">
        <v>5</v>
      </c>
      <c r="H310" s="421" t="s">
        <v>5</v>
      </c>
      <c r="I310" s="421" t="s">
        <v>5</v>
      </c>
      <c r="J310" s="421" t="s">
        <v>5</v>
      </c>
      <c r="K310" s="421" t="s">
        <v>5</v>
      </c>
      <c r="L310" s="421" t="s">
        <v>5</v>
      </c>
      <c r="M310" s="759" t="s">
        <v>5</v>
      </c>
      <c r="N310" s="760" t="s">
        <v>9265</v>
      </c>
      <c r="O310" s="759" t="s">
        <v>5</v>
      </c>
      <c r="P310" s="421" t="s">
        <v>11802</v>
      </c>
      <c r="Q310" s="757"/>
      <c r="R310" s="757"/>
      <c r="S310" s="757"/>
      <c r="T310" s="757"/>
      <c r="U310" s="757"/>
      <c r="V310" s="757"/>
      <c r="W310" s="757"/>
      <c r="X310" s="757"/>
      <c r="Y310" s="757"/>
      <c r="Z310" s="757"/>
    </row>
    <row r="311" ht="12.75" customHeight="1">
      <c r="A311" s="758">
        <v>309.0</v>
      </c>
      <c r="B311" s="421" t="s">
        <v>12059</v>
      </c>
      <c r="C311" s="421" t="s">
        <v>12061</v>
      </c>
      <c r="D311" s="421" t="s">
        <v>12046</v>
      </c>
      <c r="E311" s="421" t="s">
        <v>12884</v>
      </c>
      <c r="F311" s="421" t="s">
        <v>11850</v>
      </c>
      <c r="G311" s="421" t="s">
        <v>5</v>
      </c>
      <c r="H311" s="421" t="s">
        <v>5</v>
      </c>
      <c r="I311" s="421" t="s">
        <v>5</v>
      </c>
      <c r="J311" s="421" t="s">
        <v>5</v>
      </c>
      <c r="K311" s="421" t="s">
        <v>5</v>
      </c>
      <c r="L311" s="421" t="s">
        <v>5</v>
      </c>
      <c r="M311" s="759" t="s">
        <v>5</v>
      </c>
      <c r="N311" s="760" t="s">
        <v>9265</v>
      </c>
      <c r="O311" s="759" t="s">
        <v>5</v>
      </c>
      <c r="P311" s="421" t="s">
        <v>11802</v>
      </c>
      <c r="Q311" s="757"/>
      <c r="R311" s="757"/>
      <c r="S311" s="757"/>
      <c r="T311" s="757"/>
      <c r="U311" s="757"/>
      <c r="V311" s="757"/>
      <c r="W311" s="757"/>
      <c r="X311" s="757"/>
      <c r="Y311" s="757"/>
      <c r="Z311" s="757"/>
    </row>
    <row r="312" ht="12.75" customHeight="1">
      <c r="A312" s="758">
        <v>310.0</v>
      </c>
      <c r="B312" s="421" t="s">
        <v>12062</v>
      </c>
      <c r="C312" s="421" t="s">
        <v>12064</v>
      </c>
      <c r="D312" s="421" t="s">
        <v>12046</v>
      </c>
      <c r="E312" s="421" t="s">
        <v>12885</v>
      </c>
      <c r="F312" s="421" t="s">
        <v>11850</v>
      </c>
      <c r="G312" s="421" t="s">
        <v>5</v>
      </c>
      <c r="H312" s="421" t="s">
        <v>5</v>
      </c>
      <c r="I312" s="421" t="s">
        <v>5</v>
      </c>
      <c r="J312" s="421" t="s">
        <v>5</v>
      </c>
      <c r="K312" s="421" t="s">
        <v>5</v>
      </c>
      <c r="L312" s="421" t="s">
        <v>5</v>
      </c>
      <c r="M312" s="759" t="s">
        <v>5</v>
      </c>
      <c r="N312" s="760" t="s">
        <v>9265</v>
      </c>
      <c r="O312" s="759" t="s">
        <v>5</v>
      </c>
      <c r="P312" s="421" t="s">
        <v>11802</v>
      </c>
      <c r="Q312" s="757"/>
      <c r="R312" s="757"/>
      <c r="S312" s="757"/>
      <c r="T312" s="757"/>
      <c r="U312" s="757"/>
      <c r="V312" s="757"/>
      <c r="W312" s="757"/>
      <c r="X312" s="757"/>
      <c r="Y312" s="757"/>
      <c r="Z312" s="757"/>
    </row>
    <row r="313" ht="12.75" customHeight="1">
      <c r="A313" s="758">
        <v>311.0</v>
      </c>
      <c r="B313" s="421" t="s">
        <v>12065</v>
      </c>
      <c r="C313" s="421" t="s">
        <v>12066</v>
      </c>
      <c r="D313" s="421" t="s">
        <v>12046</v>
      </c>
      <c r="E313" s="421" t="s">
        <v>12886</v>
      </c>
      <c r="F313" s="421" t="s">
        <v>11850</v>
      </c>
      <c r="G313" s="421" t="s">
        <v>5</v>
      </c>
      <c r="H313" s="421" t="s">
        <v>5</v>
      </c>
      <c r="I313" s="421" t="s">
        <v>5</v>
      </c>
      <c r="J313" s="421" t="s">
        <v>5</v>
      </c>
      <c r="K313" s="421" t="s">
        <v>5</v>
      </c>
      <c r="L313" s="421" t="s">
        <v>5</v>
      </c>
      <c r="M313" s="759" t="s">
        <v>5</v>
      </c>
      <c r="N313" s="760" t="s">
        <v>9265</v>
      </c>
      <c r="O313" s="759" t="s">
        <v>5</v>
      </c>
      <c r="P313" s="421" t="s">
        <v>11802</v>
      </c>
      <c r="Q313" s="757"/>
      <c r="R313" s="757"/>
      <c r="S313" s="757"/>
      <c r="T313" s="757"/>
      <c r="U313" s="757"/>
      <c r="V313" s="757"/>
      <c r="W313" s="757"/>
      <c r="X313" s="757"/>
      <c r="Y313" s="757"/>
      <c r="Z313" s="757"/>
    </row>
    <row r="314" ht="12.75" customHeight="1">
      <c r="A314" s="758">
        <v>312.0</v>
      </c>
      <c r="B314" s="421" t="s">
        <v>12067</v>
      </c>
      <c r="C314" s="421" t="s">
        <v>12068</v>
      </c>
      <c r="D314" s="421" t="s">
        <v>12046</v>
      </c>
      <c r="E314" s="421" t="s">
        <v>12887</v>
      </c>
      <c r="F314" s="421" t="s">
        <v>11850</v>
      </c>
      <c r="G314" s="421" t="s">
        <v>5</v>
      </c>
      <c r="H314" s="421" t="s">
        <v>5</v>
      </c>
      <c r="I314" s="421" t="s">
        <v>5</v>
      </c>
      <c r="J314" s="421" t="s">
        <v>5</v>
      </c>
      <c r="K314" s="421" t="s">
        <v>5</v>
      </c>
      <c r="L314" s="421" t="s">
        <v>5</v>
      </c>
      <c r="M314" s="759" t="s">
        <v>5</v>
      </c>
      <c r="N314" s="760" t="s">
        <v>9265</v>
      </c>
      <c r="O314" s="759" t="s">
        <v>5</v>
      </c>
      <c r="P314" s="421" t="s">
        <v>11802</v>
      </c>
      <c r="Q314" s="757"/>
      <c r="R314" s="757"/>
      <c r="S314" s="757"/>
      <c r="T314" s="757"/>
      <c r="U314" s="757"/>
      <c r="V314" s="757"/>
      <c r="W314" s="757"/>
      <c r="X314" s="757"/>
      <c r="Y314" s="757"/>
      <c r="Z314" s="757"/>
    </row>
    <row r="315" ht="12.75" customHeight="1">
      <c r="A315" s="758">
        <v>313.0</v>
      </c>
      <c r="B315" s="421" t="s">
        <v>12069</v>
      </c>
      <c r="C315" s="421" t="s">
        <v>11004</v>
      </c>
      <c r="D315" s="421" t="s">
        <v>346</v>
      </c>
      <c r="E315" s="421" t="s">
        <v>12888</v>
      </c>
      <c r="F315" s="421" t="s">
        <v>11850</v>
      </c>
      <c r="G315" s="421" t="s">
        <v>5</v>
      </c>
      <c r="H315" s="421" t="s">
        <v>5</v>
      </c>
      <c r="I315" s="421" t="s">
        <v>5</v>
      </c>
      <c r="J315" s="421" t="s">
        <v>5</v>
      </c>
      <c r="K315" s="421" t="s">
        <v>5</v>
      </c>
      <c r="L315" s="421" t="s">
        <v>5</v>
      </c>
      <c r="M315" s="759" t="s">
        <v>5</v>
      </c>
      <c r="N315" s="760" t="s">
        <v>9265</v>
      </c>
      <c r="O315" s="759" t="s">
        <v>5</v>
      </c>
      <c r="P315" s="421" t="s">
        <v>11802</v>
      </c>
      <c r="Q315" s="757"/>
      <c r="R315" s="757"/>
      <c r="S315" s="757"/>
      <c r="T315" s="757"/>
      <c r="U315" s="757"/>
      <c r="V315" s="757"/>
      <c r="W315" s="757"/>
      <c r="X315" s="757"/>
      <c r="Y315" s="757"/>
      <c r="Z315" s="757"/>
    </row>
    <row r="316" ht="12.75" customHeight="1">
      <c r="A316" s="758">
        <v>314.0</v>
      </c>
      <c r="B316" s="421" t="s">
        <v>12070</v>
      </c>
      <c r="C316" s="421" t="s">
        <v>9647</v>
      </c>
      <c r="D316" s="421" t="s">
        <v>112</v>
      </c>
      <c r="E316" s="421" t="s">
        <v>12889</v>
      </c>
      <c r="F316" s="421" t="s">
        <v>11844</v>
      </c>
      <c r="G316" s="421" t="s">
        <v>5</v>
      </c>
      <c r="H316" s="421" t="s">
        <v>5</v>
      </c>
      <c r="I316" s="421" t="s">
        <v>5</v>
      </c>
      <c r="J316" s="421" t="s">
        <v>5</v>
      </c>
      <c r="K316" s="421" t="s">
        <v>5</v>
      </c>
      <c r="L316" s="421" t="s">
        <v>5</v>
      </c>
      <c r="M316" s="759" t="s">
        <v>5</v>
      </c>
      <c r="N316" s="760" t="s">
        <v>9265</v>
      </c>
      <c r="O316" s="759" t="s">
        <v>5</v>
      </c>
      <c r="P316" s="421" t="s">
        <v>11802</v>
      </c>
      <c r="Q316" s="757"/>
      <c r="R316" s="757"/>
      <c r="S316" s="757"/>
      <c r="T316" s="757"/>
      <c r="U316" s="757"/>
      <c r="V316" s="757"/>
      <c r="W316" s="757"/>
      <c r="X316" s="757"/>
      <c r="Y316" s="757"/>
      <c r="Z316" s="757"/>
    </row>
    <row r="317" ht="12.75" customHeight="1">
      <c r="A317" s="758">
        <v>315.0</v>
      </c>
      <c r="B317" s="421" t="s">
        <v>12071</v>
      </c>
      <c r="C317" s="421" t="s">
        <v>12073</v>
      </c>
      <c r="D317" s="421" t="s">
        <v>112</v>
      </c>
      <c r="E317" s="421" t="s">
        <v>12890</v>
      </c>
      <c r="F317" s="421" t="s">
        <v>11844</v>
      </c>
      <c r="G317" s="421" t="s">
        <v>5</v>
      </c>
      <c r="H317" s="421" t="s">
        <v>5</v>
      </c>
      <c r="I317" s="421" t="s">
        <v>5</v>
      </c>
      <c r="J317" s="421" t="s">
        <v>5</v>
      </c>
      <c r="K317" s="421" t="s">
        <v>5</v>
      </c>
      <c r="L317" s="421" t="s">
        <v>5</v>
      </c>
      <c r="M317" s="759" t="s">
        <v>5</v>
      </c>
      <c r="N317" s="760" t="s">
        <v>9265</v>
      </c>
      <c r="O317" s="759" t="s">
        <v>5</v>
      </c>
      <c r="P317" s="421" t="s">
        <v>11802</v>
      </c>
      <c r="Q317" s="757"/>
      <c r="R317" s="757"/>
      <c r="S317" s="757"/>
      <c r="T317" s="757"/>
      <c r="U317" s="757"/>
      <c r="V317" s="757"/>
      <c r="W317" s="757"/>
      <c r="X317" s="757"/>
      <c r="Y317" s="757"/>
      <c r="Z317" s="757"/>
    </row>
    <row r="318" ht="12.75" customHeight="1">
      <c r="A318" s="758">
        <v>316.0</v>
      </c>
      <c r="B318" s="421" t="s">
        <v>12074</v>
      </c>
      <c r="C318" s="421" t="s">
        <v>12076</v>
      </c>
      <c r="D318" s="421" t="s">
        <v>112</v>
      </c>
      <c r="E318" s="421" t="s">
        <v>12891</v>
      </c>
      <c r="F318" s="421" t="s">
        <v>11844</v>
      </c>
      <c r="G318" s="421" t="s">
        <v>5</v>
      </c>
      <c r="H318" s="421" t="s">
        <v>5</v>
      </c>
      <c r="I318" s="421" t="s">
        <v>5</v>
      </c>
      <c r="J318" s="421" t="s">
        <v>5</v>
      </c>
      <c r="K318" s="421" t="s">
        <v>5</v>
      </c>
      <c r="L318" s="421" t="s">
        <v>5</v>
      </c>
      <c r="M318" s="759" t="s">
        <v>5</v>
      </c>
      <c r="N318" s="760" t="s">
        <v>9265</v>
      </c>
      <c r="O318" s="759" t="s">
        <v>5</v>
      </c>
      <c r="P318" s="421" t="s">
        <v>11802</v>
      </c>
      <c r="Q318" s="757"/>
      <c r="R318" s="757"/>
      <c r="S318" s="757"/>
      <c r="T318" s="757"/>
      <c r="U318" s="757"/>
      <c r="V318" s="757"/>
      <c r="W318" s="757"/>
      <c r="X318" s="757"/>
      <c r="Y318" s="757"/>
      <c r="Z318" s="757"/>
    </row>
    <row r="319" ht="12.75" customHeight="1">
      <c r="A319" s="758">
        <v>317.0</v>
      </c>
      <c r="B319" s="421" t="s">
        <v>12069</v>
      </c>
      <c r="C319" s="421" t="s">
        <v>1261</v>
      </c>
      <c r="D319" s="421" t="s">
        <v>112</v>
      </c>
      <c r="E319" s="421" t="s">
        <v>12892</v>
      </c>
      <c r="F319" s="421" t="s">
        <v>11844</v>
      </c>
      <c r="G319" s="421" t="s">
        <v>5</v>
      </c>
      <c r="H319" s="421" t="s">
        <v>5</v>
      </c>
      <c r="I319" s="421" t="s">
        <v>5</v>
      </c>
      <c r="J319" s="421" t="s">
        <v>5</v>
      </c>
      <c r="K319" s="421" t="s">
        <v>5</v>
      </c>
      <c r="L319" s="421" t="s">
        <v>5</v>
      </c>
      <c r="M319" s="759" t="s">
        <v>5</v>
      </c>
      <c r="N319" s="760" t="s">
        <v>9265</v>
      </c>
      <c r="O319" s="759" t="s">
        <v>5</v>
      </c>
      <c r="P319" s="421" t="s">
        <v>11802</v>
      </c>
      <c r="Q319" s="757"/>
      <c r="R319" s="757"/>
      <c r="S319" s="757"/>
      <c r="T319" s="757"/>
      <c r="U319" s="757"/>
      <c r="V319" s="757"/>
      <c r="W319" s="757"/>
      <c r="X319" s="757"/>
      <c r="Y319" s="757"/>
      <c r="Z319" s="757"/>
    </row>
    <row r="320" ht="12.75" customHeight="1">
      <c r="A320" s="758">
        <v>318.0</v>
      </c>
      <c r="B320" s="421" t="s">
        <v>12077</v>
      </c>
      <c r="C320" s="421" t="s">
        <v>12078</v>
      </c>
      <c r="D320" s="421" t="s">
        <v>112</v>
      </c>
      <c r="E320" s="421" t="s">
        <v>12893</v>
      </c>
      <c r="F320" s="421" t="s">
        <v>11844</v>
      </c>
      <c r="G320" s="421" t="s">
        <v>5</v>
      </c>
      <c r="H320" s="421" t="s">
        <v>5</v>
      </c>
      <c r="I320" s="421" t="s">
        <v>5</v>
      </c>
      <c r="J320" s="421" t="s">
        <v>5</v>
      </c>
      <c r="K320" s="421" t="s">
        <v>5</v>
      </c>
      <c r="L320" s="421" t="s">
        <v>5</v>
      </c>
      <c r="M320" s="759" t="s">
        <v>5</v>
      </c>
      <c r="N320" s="760" t="s">
        <v>9265</v>
      </c>
      <c r="O320" s="759" t="s">
        <v>5</v>
      </c>
      <c r="P320" s="421" t="s">
        <v>11802</v>
      </c>
      <c r="Q320" s="757"/>
      <c r="R320" s="757"/>
      <c r="S320" s="757"/>
      <c r="T320" s="757"/>
      <c r="U320" s="757"/>
      <c r="V320" s="757"/>
      <c r="W320" s="757"/>
      <c r="X320" s="757"/>
      <c r="Y320" s="757"/>
      <c r="Z320" s="757"/>
    </row>
    <row r="321" ht="12.75" customHeight="1">
      <c r="A321" s="758">
        <v>319.0</v>
      </c>
      <c r="B321" s="421" t="s">
        <v>12069</v>
      </c>
      <c r="C321" s="421" t="s">
        <v>391</v>
      </c>
      <c r="D321" s="421" t="s">
        <v>112</v>
      </c>
      <c r="E321" s="421" t="s">
        <v>12894</v>
      </c>
      <c r="F321" s="421" t="s">
        <v>11844</v>
      </c>
      <c r="G321" s="421" t="s">
        <v>5</v>
      </c>
      <c r="H321" s="421" t="s">
        <v>5</v>
      </c>
      <c r="I321" s="421" t="s">
        <v>5</v>
      </c>
      <c r="J321" s="421" t="s">
        <v>5</v>
      </c>
      <c r="K321" s="421" t="s">
        <v>5</v>
      </c>
      <c r="L321" s="421" t="s">
        <v>5</v>
      </c>
      <c r="M321" s="759" t="s">
        <v>5</v>
      </c>
      <c r="N321" s="760" t="s">
        <v>9265</v>
      </c>
      <c r="O321" s="759" t="s">
        <v>5</v>
      </c>
      <c r="P321" s="421" t="s">
        <v>11802</v>
      </c>
      <c r="Q321" s="757"/>
      <c r="R321" s="757"/>
      <c r="S321" s="757"/>
      <c r="T321" s="757"/>
      <c r="U321" s="757"/>
      <c r="V321" s="757"/>
      <c r="W321" s="757"/>
      <c r="X321" s="757"/>
      <c r="Y321" s="757"/>
      <c r="Z321" s="757"/>
    </row>
    <row r="322" ht="12.75" customHeight="1">
      <c r="A322" s="758">
        <v>320.0</v>
      </c>
      <c r="B322" s="421" t="s">
        <v>12069</v>
      </c>
      <c r="C322" s="421" t="s">
        <v>404</v>
      </c>
      <c r="D322" s="421" t="s">
        <v>112</v>
      </c>
      <c r="E322" s="421" t="s">
        <v>12895</v>
      </c>
      <c r="F322" s="421" t="s">
        <v>11844</v>
      </c>
      <c r="G322" s="421" t="s">
        <v>5</v>
      </c>
      <c r="H322" s="421" t="s">
        <v>5</v>
      </c>
      <c r="I322" s="421" t="s">
        <v>5</v>
      </c>
      <c r="J322" s="421" t="s">
        <v>5</v>
      </c>
      <c r="K322" s="421" t="s">
        <v>5</v>
      </c>
      <c r="L322" s="421" t="s">
        <v>5</v>
      </c>
      <c r="M322" s="759" t="s">
        <v>5</v>
      </c>
      <c r="N322" s="760" t="s">
        <v>9265</v>
      </c>
      <c r="O322" s="759" t="s">
        <v>5</v>
      </c>
      <c r="P322" s="421" t="s">
        <v>11802</v>
      </c>
      <c r="Q322" s="757"/>
      <c r="R322" s="757"/>
      <c r="S322" s="757"/>
      <c r="T322" s="757"/>
      <c r="U322" s="757"/>
      <c r="V322" s="757"/>
      <c r="W322" s="757"/>
      <c r="X322" s="757"/>
      <c r="Y322" s="757"/>
      <c r="Z322" s="757"/>
    </row>
    <row r="323" ht="12.75" customHeight="1">
      <c r="A323" s="758">
        <v>321.0</v>
      </c>
      <c r="B323" s="421" t="s">
        <v>12069</v>
      </c>
      <c r="C323" s="421" t="s">
        <v>1131</v>
      </c>
      <c r="D323" s="421" t="s">
        <v>112</v>
      </c>
      <c r="E323" s="421" t="s">
        <v>12896</v>
      </c>
      <c r="F323" s="421" t="s">
        <v>11844</v>
      </c>
      <c r="G323" s="421" t="s">
        <v>5</v>
      </c>
      <c r="H323" s="421" t="s">
        <v>5</v>
      </c>
      <c r="I323" s="421" t="s">
        <v>5</v>
      </c>
      <c r="J323" s="421" t="s">
        <v>5</v>
      </c>
      <c r="K323" s="421" t="s">
        <v>5</v>
      </c>
      <c r="L323" s="421" t="s">
        <v>5</v>
      </c>
      <c r="M323" s="759" t="s">
        <v>5</v>
      </c>
      <c r="N323" s="760" t="s">
        <v>9265</v>
      </c>
      <c r="O323" s="759" t="s">
        <v>5</v>
      </c>
      <c r="P323" s="421" t="s">
        <v>11802</v>
      </c>
      <c r="Q323" s="757"/>
      <c r="R323" s="757"/>
      <c r="S323" s="757"/>
      <c r="T323" s="757"/>
      <c r="U323" s="757"/>
      <c r="V323" s="757"/>
      <c r="W323" s="757"/>
      <c r="X323" s="757"/>
      <c r="Y323" s="757"/>
      <c r="Z323" s="757"/>
    </row>
    <row r="324" ht="12.75" customHeight="1">
      <c r="A324" s="758">
        <v>322.0</v>
      </c>
      <c r="B324" s="421" t="s">
        <v>12079</v>
      </c>
      <c r="C324" s="421" t="s">
        <v>12080</v>
      </c>
      <c r="D324" s="421" t="s">
        <v>112</v>
      </c>
      <c r="E324" s="421" t="s">
        <v>12897</v>
      </c>
      <c r="F324" s="421" t="s">
        <v>11844</v>
      </c>
      <c r="G324" s="421" t="s">
        <v>5</v>
      </c>
      <c r="H324" s="421" t="s">
        <v>5</v>
      </c>
      <c r="I324" s="421" t="s">
        <v>5</v>
      </c>
      <c r="J324" s="421" t="s">
        <v>5</v>
      </c>
      <c r="K324" s="421" t="s">
        <v>5</v>
      </c>
      <c r="L324" s="421" t="s">
        <v>5</v>
      </c>
      <c r="M324" s="759" t="s">
        <v>5</v>
      </c>
      <c r="N324" s="760" t="s">
        <v>9265</v>
      </c>
      <c r="O324" s="759" t="s">
        <v>5</v>
      </c>
      <c r="P324" s="421" t="s">
        <v>11802</v>
      </c>
      <c r="Q324" s="757"/>
      <c r="R324" s="757"/>
      <c r="S324" s="757"/>
      <c r="T324" s="757"/>
      <c r="U324" s="757"/>
      <c r="V324" s="757"/>
      <c r="W324" s="757"/>
      <c r="X324" s="757"/>
      <c r="Y324" s="757"/>
      <c r="Z324" s="757"/>
    </row>
    <row r="325" ht="12.75" customHeight="1">
      <c r="A325" s="758">
        <v>323.0</v>
      </c>
      <c r="B325" s="421" t="s">
        <v>12069</v>
      </c>
      <c r="C325" s="421" t="s">
        <v>1140</v>
      </c>
      <c r="D325" s="421" t="s">
        <v>112</v>
      </c>
      <c r="E325" s="421" t="s">
        <v>12898</v>
      </c>
      <c r="F325" s="421" t="s">
        <v>11844</v>
      </c>
      <c r="G325" s="421" t="s">
        <v>5</v>
      </c>
      <c r="H325" s="421" t="s">
        <v>5</v>
      </c>
      <c r="I325" s="421" t="s">
        <v>5</v>
      </c>
      <c r="J325" s="421" t="s">
        <v>5</v>
      </c>
      <c r="K325" s="421" t="s">
        <v>5</v>
      </c>
      <c r="L325" s="421" t="s">
        <v>5</v>
      </c>
      <c r="M325" s="759" t="s">
        <v>5</v>
      </c>
      <c r="N325" s="760" t="s">
        <v>9265</v>
      </c>
      <c r="O325" s="759" t="s">
        <v>5</v>
      </c>
      <c r="P325" s="421" t="s">
        <v>11802</v>
      </c>
      <c r="Q325" s="757"/>
      <c r="R325" s="757"/>
      <c r="S325" s="757"/>
      <c r="T325" s="757"/>
      <c r="U325" s="757"/>
      <c r="V325" s="757"/>
      <c r="W325" s="757"/>
      <c r="X325" s="757"/>
      <c r="Y325" s="757"/>
      <c r="Z325" s="757"/>
    </row>
    <row r="326" ht="12.75" customHeight="1">
      <c r="A326" s="758">
        <v>324.0</v>
      </c>
      <c r="B326" s="421" t="s">
        <v>12069</v>
      </c>
      <c r="C326" s="421" t="s">
        <v>398</v>
      </c>
      <c r="D326" s="421" t="s">
        <v>112</v>
      </c>
      <c r="E326" s="421" t="s">
        <v>12899</v>
      </c>
      <c r="F326" s="421" t="s">
        <v>11844</v>
      </c>
      <c r="G326" s="421" t="s">
        <v>5</v>
      </c>
      <c r="H326" s="421" t="s">
        <v>5</v>
      </c>
      <c r="I326" s="421" t="s">
        <v>5</v>
      </c>
      <c r="J326" s="421" t="s">
        <v>5</v>
      </c>
      <c r="K326" s="421" t="s">
        <v>5</v>
      </c>
      <c r="L326" s="421" t="s">
        <v>5</v>
      </c>
      <c r="M326" s="759" t="s">
        <v>5</v>
      </c>
      <c r="N326" s="760" t="s">
        <v>9265</v>
      </c>
      <c r="O326" s="759" t="s">
        <v>5</v>
      </c>
      <c r="P326" s="421" t="s">
        <v>11802</v>
      </c>
      <c r="Q326" s="757"/>
      <c r="R326" s="757"/>
      <c r="S326" s="757"/>
      <c r="T326" s="757"/>
      <c r="U326" s="757"/>
      <c r="V326" s="757"/>
      <c r="W326" s="757"/>
      <c r="X326" s="757"/>
      <c r="Y326" s="757"/>
      <c r="Z326" s="757"/>
    </row>
    <row r="327" ht="12.75" customHeight="1">
      <c r="A327" s="758">
        <v>325.0</v>
      </c>
      <c r="B327" s="421" t="s">
        <v>12081</v>
      </c>
      <c r="C327" s="421" t="s">
        <v>11173</v>
      </c>
      <c r="D327" s="421" t="s">
        <v>346</v>
      </c>
      <c r="E327" s="421" t="s">
        <v>12900</v>
      </c>
      <c r="F327" s="421" t="s">
        <v>11850</v>
      </c>
      <c r="G327" s="421" t="s">
        <v>5</v>
      </c>
      <c r="H327" s="421" t="s">
        <v>5</v>
      </c>
      <c r="I327" s="421" t="s">
        <v>5</v>
      </c>
      <c r="J327" s="421" t="s">
        <v>5</v>
      </c>
      <c r="K327" s="421" t="s">
        <v>5</v>
      </c>
      <c r="L327" s="421" t="s">
        <v>5</v>
      </c>
      <c r="M327" s="759" t="s">
        <v>5</v>
      </c>
      <c r="N327" s="760" t="s">
        <v>9265</v>
      </c>
      <c r="O327" s="759" t="s">
        <v>5</v>
      </c>
      <c r="P327" s="421" t="s">
        <v>11802</v>
      </c>
      <c r="Q327" s="757"/>
      <c r="R327" s="757"/>
      <c r="S327" s="757"/>
      <c r="T327" s="757"/>
      <c r="U327" s="757"/>
      <c r="V327" s="757"/>
      <c r="W327" s="757"/>
      <c r="X327" s="757"/>
      <c r="Y327" s="757"/>
      <c r="Z327" s="757"/>
    </row>
    <row r="328" ht="12.75" customHeight="1">
      <c r="A328" s="758">
        <v>326.0</v>
      </c>
      <c r="B328" s="421" t="s">
        <v>12082</v>
      </c>
      <c r="C328" s="421" t="s">
        <v>7285</v>
      </c>
      <c r="D328" s="421" t="s">
        <v>275</v>
      </c>
      <c r="E328" s="421" t="s">
        <v>12901</v>
      </c>
      <c r="F328" s="421" t="s">
        <v>11844</v>
      </c>
      <c r="G328" s="421" t="s">
        <v>5</v>
      </c>
      <c r="H328" s="421" t="s">
        <v>5</v>
      </c>
      <c r="I328" s="421" t="s">
        <v>5</v>
      </c>
      <c r="J328" s="421" t="s">
        <v>5</v>
      </c>
      <c r="K328" s="421" t="s">
        <v>5</v>
      </c>
      <c r="L328" s="421" t="s">
        <v>5</v>
      </c>
      <c r="M328" s="759" t="s">
        <v>5</v>
      </c>
      <c r="N328" s="760" t="s">
        <v>9265</v>
      </c>
      <c r="O328" s="759" t="s">
        <v>5</v>
      </c>
      <c r="P328" s="421" t="s">
        <v>11802</v>
      </c>
      <c r="Q328" s="757"/>
      <c r="R328" s="757"/>
      <c r="S328" s="757"/>
      <c r="T328" s="757"/>
      <c r="U328" s="757"/>
      <c r="V328" s="757"/>
      <c r="W328" s="757"/>
      <c r="X328" s="757"/>
      <c r="Y328" s="757"/>
      <c r="Z328" s="757"/>
    </row>
    <row r="329" ht="12.75" customHeight="1">
      <c r="A329" s="758">
        <v>327.0</v>
      </c>
      <c r="B329" s="421" t="s">
        <v>12083</v>
      </c>
      <c r="C329" s="421" t="s">
        <v>12084</v>
      </c>
      <c r="D329" s="421" t="s">
        <v>275</v>
      </c>
      <c r="E329" s="421" t="s">
        <v>12902</v>
      </c>
      <c r="F329" s="421" t="s">
        <v>11844</v>
      </c>
      <c r="G329" s="421" t="s">
        <v>5</v>
      </c>
      <c r="H329" s="421" t="s">
        <v>5</v>
      </c>
      <c r="I329" s="421" t="s">
        <v>5</v>
      </c>
      <c r="J329" s="421" t="s">
        <v>5</v>
      </c>
      <c r="K329" s="421" t="s">
        <v>5</v>
      </c>
      <c r="L329" s="421" t="s">
        <v>5</v>
      </c>
      <c r="M329" s="759" t="s">
        <v>5</v>
      </c>
      <c r="N329" s="760" t="s">
        <v>9265</v>
      </c>
      <c r="O329" s="759" t="s">
        <v>5</v>
      </c>
      <c r="P329" s="421" t="s">
        <v>11802</v>
      </c>
      <c r="Q329" s="757"/>
      <c r="R329" s="757"/>
      <c r="S329" s="757"/>
      <c r="T329" s="757"/>
      <c r="U329" s="757"/>
      <c r="V329" s="757"/>
      <c r="W329" s="757"/>
      <c r="X329" s="757"/>
      <c r="Y329" s="757"/>
      <c r="Z329" s="757"/>
    </row>
    <row r="330" ht="12.75" customHeight="1">
      <c r="A330" s="758">
        <v>328.0</v>
      </c>
      <c r="B330" s="421" t="s">
        <v>12085</v>
      </c>
      <c r="C330" s="421" t="s">
        <v>12087</v>
      </c>
      <c r="D330" s="421" t="s">
        <v>12042</v>
      </c>
      <c r="E330" s="421" t="s">
        <v>12903</v>
      </c>
      <c r="F330" s="421" t="s">
        <v>11851</v>
      </c>
      <c r="G330" s="421" t="s">
        <v>5</v>
      </c>
      <c r="H330" s="421" t="s">
        <v>5</v>
      </c>
      <c r="I330" s="421" t="s">
        <v>5</v>
      </c>
      <c r="J330" s="421" t="s">
        <v>5</v>
      </c>
      <c r="K330" s="421" t="s">
        <v>5</v>
      </c>
      <c r="L330" s="421" t="s">
        <v>5</v>
      </c>
      <c r="M330" s="759" t="s">
        <v>5</v>
      </c>
      <c r="N330" s="760" t="s">
        <v>9265</v>
      </c>
      <c r="O330" s="759" t="s">
        <v>5</v>
      </c>
      <c r="P330" s="421" t="s">
        <v>11802</v>
      </c>
      <c r="Q330" s="757"/>
      <c r="R330" s="757"/>
      <c r="S330" s="757"/>
      <c r="T330" s="757"/>
      <c r="U330" s="757"/>
      <c r="V330" s="757"/>
      <c r="W330" s="757"/>
      <c r="X330" s="757"/>
      <c r="Y330" s="757"/>
      <c r="Z330" s="757"/>
    </row>
    <row r="331" ht="12.75" customHeight="1">
      <c r="A331" s="758">
        <v>329.0</v>
      </c>
      <c r="B331" s="421" t="s">
        <v>12088</v>
      </c>
      <c r="C331" s="421" t="s">
        <v>12090</v>
      </c>
      <c r="D331" s="421" t="s">
        <v>12042</v>
      </c>
      <c r="E331" s="421" t="s">
        <v>12904</v>
      </c>
      <c r="F331" s="421" t="s">
        <v>11851</v>
      </c>
      <c r="G331" s="421" t="s">
        <v>5</v>
      </c>
      <c r="H331" s="421" t="s">
        <v>5</v>
      </c>
      <c r="I331" s="421" t="s">
        <v>5</v>
      </c>
      <c r="J331" s="421" t="s">
        <v>5</v>
      </c>
      <c r="K331" s="421" t="s">
        <v>5</v>
      </c>
      <c r="L331" s="421" t="s">
        <v>5</v>
      </c>
      <c r="M331" s="759" t="s">
        <v>5</v>
      </c>
      <c r="N331" s="760" t="s">
        <v>9265</v>
      </c>
      <c r="O331" s="759" t="s">
        <v>5</v>
      </c>
      <c r="P331" s="421" t="s">
        <v>11802</v>
      </c>
      <c r="Q331" s="757"/>
      <c r="R331" s="757"/>
      <c r="S331" s="757"/>
      <c r="T331" s="757"/>
      <c r="U331" s="757"/>
      <c r="V331" s="757"/>
      <c r="W331" s="757"/>
      <c r="X331" s="757"/>
      <c r="Y331" s="757"/>
      <c r="Z331" s="757"/>
    </row>
    <row r="332" ht="12.75" customHeight="1">
      <c r="A332" s="758">
        <v>330.0</v>
      </c>
      <c r="B332" s="421" t="s">
        <v>12091</v>
      </c>
      <c r="C332" s="421" t="s">
        <v>12093</v>
      </c>
      <c r="D332" s="421" t="s">
        <v>12042</v>
      </c>
      <c r="E332" s="421" t="s">
        <v>12905</v>
      </c>
      <c r="F332" s="421" t="s">
        <v>11851</v>
      </c>
      <c r="G332" s="421" t="s">
        <v>5</v>
      </c>
      <c r="H332" s="421" t="s">
        <v>5</v>
      </c>
      <c r="I332" s="421" t="s">
        <v>5</v>
      </c>
      <c r="J332" s="421" t="s">
        <v>5</v>
      </c>
      <c r="K332" s="421" t="s">
        <v>5</v>
      </c>
      <c r="L332" s="421" t="s">
        <v>5</v>
      </c>
      <c r="M332" s="759" t="s">
        <v>5</v>
      </c>
      <c r="N332" s="760" t="s">
        <v>9265</v>
      </c>
      <c r="O332" s="759" t="s">
        <v>5</v>
      </c>
      <c r="P332" s="421" t="s">
        <v>11802</v>
      </c>
      <c r="Q332" s="757"/>
      <c r="R332" s="757"/>
      <c r="S332" s="757"/>
      <c r="T332" s="757"/>
      <c r="U332" s="757"/>
      <c r="V332" s="757"/>
      <c r="W332" s="757"/>
      <c r="X332" s="757"/>
      <c r="Y332" s="757"/>
      <c r="Z332" s="757"/>
    </row>
    <row r="333" ht="12.75" customHeight="1">
      <c r="A333" s="758">
        <v>331.0</v>
      </c>
      <c r="B333" s="421" t="s">
        <v>12094</v>
      </c>
      <c r="C333" s="421" t="s">
        <v>12096</v>
      </c>
      <c r="D333" s="421" t="s">
        <v>12042</v>
      </c>
      <c r="E333" s="421" t="s">
        <v>12906</v>
      </c>
      <c r="F333" s="421" t="s">
        <v>11851</v>
      </c>
      <c r="G333" s="421" t="s">
        <v>5</v>
      </c>
      <c r="H333" s="421" t="s">
        <v>5</v>
      </c>
      <c r="I333" s="421" t="s">
        <v>5</v>
      </c>
      <c r="J333" s="421" t="s">
        <v>5</v>
      </c>
      <c r="K333" s="421" t="s">
        <v>5</v>
      </c>
      <c r="L333" s="421" t="s">
        <v>5</v>
      </c>
      <c r="M333" s="759" t="s">
        <v>5</v>
      </c>
      <c r="N333" s="760" t="s">
        <v>9265</v>
      </c>
      <c r="O333" s="759" t="s">
        <v>5</v>
      </c>
      <c r="P333" s="421" t="s">
        <v>11802</v>
      </c>
      <c r="Q333" s="757"/>
      <c r="R333" s="757"/>
      <c r="S333" s="757"/>
      <c r="T333" s="757"/>
      <c r="U333" s="757"/>
      <c r="V333" s="757"/>
      <c r="W333" s="757"/>
      <c r="X333" s="757"/>
      <c r="Y333" s="757"/>
      <c r="Z333" s="757"/>
    </row>
    <row r="334" ht="12.75" customHeight="1">
      <c r="A334" s="758">
        <v>332.0</v>
      </c>
      <c r="B334" s="421" t="s">
        <v>12097</v>
      </c>
      <c r="C334" s="421" t="s">
        <v>3975</v>
      </c>
      <c r="D334" s="421" t="s">
        <v>275</v>
      </c>
      <c r="E334" s="421" t="s">
        <v>12907</v>
      </c>
      <c r="F334" s="421" t="s">
        <v>11844</v>
      </c>
      <c r="G334" s="421" t="s">
        <v>5</v>
      </c>
      <c r="H334" s="421" t="s">
        <v>5</v>
      </c>
      <c r="I334" s="421" t="s">
        <v>11969</v>
      </c>
      <c r="J334" s="421" t="s">
        <v>5</v>
      </c>
      <c r="K334" s="421" t="s">
        <v>5</v>
      </c>
      <c r="L334" s="421" t="s">
        <v>5</v>
      </c>
      <c r="M334" s="759" t="s">
        <v>5</v>
      </c>
      <c r="N334" s="760" t="s">
        <v>9265</v>
      </c>
      <c r="O334" s="759" t="s">
        <v>5</v>
      </c>
      <c r="P334" s="421" t="s">
        <v>11802</v>
      </c>
      <c r="Q334" s="757"/>
      <c r="R334" s="757"/>
      <c r="S334" s="757"/>
      <c r="T334" s="757"/>
      <c r="U334" s="757"/>
      <c r="V334" s="757"/>
      <c r="W334" s="757"/>
      <c r="X334" s="757"/>
      <c r="Y334" s="757"/>
      <c r="Z334" s="757"/>
    </row>
    <row r="335" ht="12.75" customHeight="1">
      <c r="A335" s="758">
        <v>333.0</v>
      </c>
      <c r="B335" s="421" t="s">
        <v>12081</v>
      </c>
      <c r="C335" s="421" t="s">
        <v>1089</v>
      </c>
      <c r="D335" s="421" t="s">
        <v>1067</v>
      </c>
      <c r="E335" s="421" t="s">
        <v>12908</v>
      </c>
      <c r="F335" s="421" t="s">
        <v>11851</v>
      </c>
      <c r="G335" s="421" t="s">
        <v>5</v>
      </c>
      <c r="H335" s="421" t="s">
        <v>5</v>
      </c>
      <c r="I335" s="421" t="s">
        <v>11969</v>
      </c>
      <c r="J335" s="421" t="s">
        <v>5</v>
      </c>
      <c r="K335" s="421" t="s">
        <v>5</v>
      </c>
      <c r="L335" s="421" t="s">
        <v>5</v>
      </c>
      <c r="M335" s="759" t="s">
        <v>5</v>
      </c>
      <c r="N335" s="760" t="s">
        <v>9265</v>
      </c>
      <c r="O335" s="759" t="s">
        <v>5</v>
      </c>
      <c r="P335" s="421" t="s">
        <v>11802</v>
      </c>
      <c r="Q335" s="757"/>
      <c r="R335" s="757"/>
      <c r="S335" s="757"/>
      <c r="T335" s="757"/>
      <c r="U335" s="757"/>
      <c r="V335" s="757"/>
      <c r="W335" s="757"/>
      <c r="X335" s="757"/>
      <c r="Y335" s="757"/>
      <c r="Z335" s="757"/>
    </row>
    <row r="336" ht="12.75" customHeight="1">
      <c r="A336" s="758">
        <v>334.0</v>
      </c>
      <c r="B336" s="421" t="s">
        <v>12081</v>
      </c>
      <c r="C336" s="421" t="s">
        <v>4006</v>
      </c>
      <c r="D336" s="421" t="s">
        <v>1067</v>
      </c>
      <c r="E336" s="421" t="s">
        <v>12909</v>
      </c>
      <c r="F336" s="421" t="s">
        <v>11851</v>
      </c>
      <c r="G336" s="421" t="s">
        <v>5</v>
      </c>
      <c r="H336" s="421" t="s">
        <v>5</v>
      </c>
      <c r="I336" s="421" t="s">
        <v>11969</v>
      </c>
      <c r="J336" s="421" t="s">
        <v>5</v>
      </c>
      <c r="K336" s="421" t="s">
        <v>5</v>
      </c>
      <c r="L336" s="421" t="s">
        <v>5</v>
      </c>
      <c r="M336" s="759" t="s">
        <v>5</v>
      </c>
      <c r="N336" s="760" t="s">
        <v>9265</v>
      </c>
      <c r="O336" s="759" t="s">
        <v>5</v>
      </c>
      <c r="P336" s="421" t="s">
        <v>11802</v>
      </c>
      <c r="Q336" s="757"/>
      <c r="R336" s="757"/>
      <c r="S336" s="757"/>
      <c r="T336" s="757"/>
      <c r="U336" s="757"/>
      <c r="V336" s="757"/>
      <c r="W336" s="757"/>
      <c r="X336" s="757"/>
      <c r="Y336" s="757"/>
      <c r="Z336" s="757"/>
    </row>
    <row r="337" ht="12.75" customHeight="1">
      <c r="A337" s="758">
        <v>335.0</v>
      </c>
      <c r="B337" s="421" t="s">
        <v>12081</v>
      </c>
      <c r="C337" s="421" t="s">
        <v>1068</v>
      </c>
      <c r="D337" s="421" t="s">
        <v>1067</v>
      </c>
      <c r="E337" s="421" t="s">
        <v>12910</v>
      </c>
      <c r="F337" s="421" t="s">
        <v>11851</v>
      </c>
      <c r="G337" s="421" t="s">
        <v>5</v>
      </c>
      <c r="H337" s="421" t="s">
        <v>5</v>
      </c>
      <c r="I337" s="421" t="s">
        <v>11969</v>
      </c>
      <c r="J337" s="421" t="s">
        <v>5</v>
      </c>
      <c r="K337" s="421" t="s">
        <v>5</v>
      </c>
      <c r="L337" s="421" t="s">
        <v>5</v>
      </c>
      <c r="M337" s="759" t="s">
        <v>5</v>
      </c>
      <c r="N337" s="760" t="s">
        <v>9265</v>
      </c>
      <c r="O337" s="759" t="s">
        <v>5</v>
      </c>
      <c r="P337" s="421" t="s">
        <v>11802</v>
      </c>
      <c r="Q337" s="757"/>
      <c r="R337" s="757"/>
      <c r="S337" s="757"/>
      <c r="T337" s="757"/>
      <c r="U337" s="757"/>
      <c r="V337" s="757"/>
      <c r="W337" s="757"/>
      <c r="X337" s="757"/>
      <c r="Y337" s="757"/>
      <c r="Z337" s="757"/>
    </row>
    <row r="338" ht="12.75" customHeight="1">
      <c r="A338" s="758">
        <v>336.0</v>
      </c>
      <c r="B338" s="421" t="s">
        <v>12081</v>
      </c>
      <c r="C338" s="421" t="s">
        <v>1096</v>
      </c>
      <c r="D338" s="421" t="s">
        <v>1067</v>
      </c>
      <c r="E338" s="421" t="s">
        <v>12911</v>
      </c>
      <c r="F338" s="421" t="s">
        <v>11851</v>
      </c>
      <c r="G338" s="421" t="s">
        <v>5</v>
      </c>
      <c r="H338" s="421" t="s">
        <v>5</v>
      </c>
      <c r="I338" s="421" t="s">
        <v>11969</v>
      </c>
      <c r="J338" s="421" t="s">
        <v>5</v>
      </c>
      <c r="K338" s="421" t="s">
        <v>5</v>
      </c>
      <c r="L338" s="421" t="s">
        <v>5</v>
      </c>
      <c r="M338" s="759" t="s">
        <v>5</v>
      </c>
      <c r="N338" s="760" t="s">
        <v>9265</v>
      </c>
      <c r="O338" s="759" t="s">
        <v>5</v>
      </c>
      <c r="P338" s="421" t="s">
        <v>11802</v>
      </c>
      <c r="Q338" s="757"/>
      <c r="R338" s="757"/>
      <c r="S338" s="757"/>
      <c r="T338" s="757"/>
      <c r="U338" s="757"/>
      <c r="V338" s="757"/>
      <c r="W338" s="757"/>
      <c r="X338" s="757"/>
      <c r="Y338" s="757"/>
      <c r="Z338" s="757"/>
    </row>
    <row r="339" ht="12.75" customHeight="1">
      <c r="A339" s="758">
        <v>337.0</v>
      </c>
      <c r="B339" s="421" t="s">
        <v>12081</v>
      </c>
      <c r="C339" s="421" t="s">
        <v>1113</v>
      </c>
      <c r="D339" s="421" t="s">
        <v>1067</v>
      </c>
      <c r="E339" s="421" t="s">
        <v>12912</v>
      </c>
      <c r="F339" s="421" t="s">
        <v>11851</v>
      </c>
      <c r="G339" s="421" t="s">
        <v>5</v>
      </c>
      <c r="H339" s="421" t="s">
        <v>5</v>
      </c>
      <c r="I339" s="421" t="s">
        <v>11969</v>
      </c>
      <c r="J339" s="421" t="s">
        <v>5</v>
      </c>
      <c r="K339" s="421" t="s">
        <v>5</v>
      </c>
      <c r="L339" s="421" t="s">
        <v>5</v>
      </c>
      <c r="M339" s="759" t="s">
        <v>5</v>
      </c>
      <c r="N339" s="760" t="s">
        <v>9265</v>
      </c>
      <c r="O339" s="759" t="s">
        <v>5</v>
      </c>
      <c r="P339" s="421" t="s">
        <v>11802</v>
      </c>
      <c r="Q339" s="757"/>
      <c r="R339" s="757"/>
      <c r="S339" s="757"/>
      <c r="T339" s="757"/>
      <c r="U339" s="757"/>
      <c r="V339" s="757"/>
      <c r="W339" s="757"/>
      <c r="X339" s="757"/>
      <c r="Y339" s="757"/>
      <c r="Z339" s="757"/>
    </row>
    <row r="340" ht="12.75" customHeight="1">
      <c r="A340" s="758">
        <v>338.0</v>
      </c>
      <c r="B340" s="421" t="s">
        <v>12081</v>
      </c>
      <c r="C340" s="421" t="s">
        <v>519</v>
      </c>
      <c r="D340" s="421" t="s">
        <v>275</v>
      </c>
      <c r="E340" s="421" t="s">
        <v>12913</v>
      </c>
      <c r="F340" s="421" t="s">
        <v>11844</v>
      </c>
      <c r="G340" s="421" t="s">
        <v>5</v>
      </c>
      <c r="H340" s="421" t="s">
        <v>5</v>
      </c>
      <c r="I340" s="421" t="s">
        <v>5</v>
      </c>
      <c r="J340" s="421" t="s">
        <v>5</v>
      </c>
      <c r="K340" s="421" t="s">
        <v>5</v>
      </c>
      <c r="L340" s="421" t="s">
        <v>5</v>
      </c>
      <c r="M340" s="759" t="s">
        <v>5</v>
      </c>
      <c r="N340" s="760" t="s">
        <v>9265</v>
      </c>
      <c r="O340" s="759" t="s">
        <v>5</v>
      </c>
      <c r="P340" s="421" t="s">
        <v>11802</v>
      </c>
      <c r="Q340" s="757"/>
      <c r="R340" s="757"/>
      <c r="S340" s="757"/>
      <c r="T340" s="757"/>
      <c r="U340" s="757"/>
      <c r="V340" s="757"/>
      <c r="W340" s="757"/>
      <c r="X340" s="757"/>
      <c r="Y340" s="757"/>
      <c r="Z340" s="757"/>
    </row>
    <row r="341" ht="12.75" customHeight="1">
      <c r="A341" s="758">
        <v>339.0</v>
      </c>
      <c r="B341" s="421" t="s">
        <v>12081</v>
      </c>
      <c r="C341" s="421" t="s">
        <v>424</v>
      </c>
      <c r="D341" s="421" t="s">
        <v>275</v>
      </c>
      <c r="E341" s="421" t="s">
        <v>12914</v>
      </c>
      <c r="F341" s="421" t="s">
        <v>11844</v>
      </c>
      <c r="G341" s="421" t="s">
        <v>5</v>
      </c>
      <c r="H341" s="421" t="s">
        <v>5</v>
      </c>
      <c r="I341" s="421" t="s">
        <v>5</v>
      </c>
      <c r="J341" s="421" t="s">
        <v>5</v>
      </c>
      <c r="K341" s="421" t="s">
        <v>5</v>
      </c>
      <c r="L341" s="421" t="s">
        <v>5</v>
      </c>
      <c r="M341" s="759" t="s">
        <v>5</v>
      </c>
      <c r="N341" s="760" t="s">
        <v>9265</v>
      </c>
      <c r="O341" s="759" t="s">
        <v>5</v>
      </c>
      <c r="P341" s="421" t="s">
        <v>11802</v>
      </c>
      <c r="Q341" s="757"/>
      <c r="R341" s="757"/>
      <c r="S341" s="757"/>
      <c r="T341" s="757"/>
      <c r="U341" s="757"/>
      <c r="V341" s="757"/>
      <c r="W341" s="757"/>
      <c r="X341" s="757"/>
      <c r="Y341" s="757"/>
      <c r="Z341" s="757"/>
    </row>
    <row r="342" ht="12.75" customHeight="1">
      <c r="A342" s="758">
        <v>340.0</v>
      </c>
      <c r="B342" s="421" t="s">
        <v>12081</v>
      </c>
      <c r="C342" s="421" t="s">
        <v>375</v>
      </c>
      <c r="D342" s="421" t="s">
        <v>275</v>
      </c>
      <c r="E342" s="421" t="s">
        <v>12915</v>
      </c>
      <c r="F342" s="421" t="s">
        <v>11844</v>
      </c>
      <c r="G342" s="421" t="s">
        <v>5</v>
      </c>
      <c r="H342" s="421" t="s">
        <v>5</v>
      </c>
      <c r="I342" s="421" t="s">
        <v>5</v>
      </c>
      <c r="J342" s="421" t="s">
        <v>5</v>
      </c>
      <c r="K342" s="421" t="s">
        <v>5</v>
      </c>
      <c r="L342" s="421" t="s">
        <v>5</v>
      </c>
      <c r="M342" s="759" t="s">
        <v>5</v>
      </c>
      <c r="N342" s="760" t="s">
        <v>9265</v>
      </c>
      <c r="O342" s="759" t="s">
        <v>5</v>
      </c>
      <c r="P342" s="421" t="s">
        <v>11802</v>
      </c>
      <c r="Q342" s="757"/>
      <c r="R342" s="757"/>
      <c r="S342" s="757"/>
      <c r="T342" s="757"/>
      <c r="U342" s="757"/>
      <c r="V342" s="757"/>
      <c r="W342" s="757"/>
      <c r="X342" s="757"/>
      <c r="Y342" s="757"/>
      <c r="Z342" s="757"/>
    </row>
    <row r="343" ht="12.75" customHeight="1">
      <c r="A343" s="758">
        <v>341.0</v>
      </c>
      <c r="B343" s="421" t="s">
        <v>12081</v>
      </c>
      <c r="C343" s="421" t="s">
        <v>437</v>
      </c>
      <c r="D343" s="421" t="s">
        <v>275</v>
      </c>
      <c r="E343" s="421" t="s">
        <v>12916</v>
      </c>
      <c r="F343" s="421" t="s">
        <v>11844</v>
      </c>
      <c r="G343" s="421" t="s">
        <v>5</v>
      </c>
      <c r="H343" s="421" t="s">
        <v>5</v>
      </c>
      <c r="I343" s="421" t="s">
        <v>5</v>
      </c>
      <c r="J343" s="421" t="s">
        <v>5</v>
      </c>
      <c r="K343" s="421" t="s">
        <v>5</v>
      </c>
      <c r="L343" s="421" t="s">
        <v>5</v>
      </c>
      <c r="M343" s="759" t="s">
        <v>5</v>
      </c>
      <c r="N343" s="760" t="s">
        <v>9265</v>
      </c>
      <c r="O343" s="759" t="s">
        <v>5</v>
      </c>
      <c r="P343" s="421" t="s">
        <v>11802</v>
      </c>
      <c r="Q343" s="757"/>
      <c r="R343" s="757"/>
      <c r="S343" s="757"/>
      <c r="T343" s="757"/>
      <c r="U343" s="757"/>
      <c r="V343" s="757"/>
      <c r="W343" s="757"/>
      <c r="X343" s="757"/>
      <c r="Y343" s="757"/>
      <c r="Z343" s="757"/>
    </row>
    <row r="344" ht="12.75" customHeight="1">
      <c r="A344" s="758">
        <v>342.0</v>
      </c>
      <c r="B344" s="421" t="s">
        <v>12081</v>
      </c>
      <c r="C344" s="421" t="s">
        <v>1033</v>
      </c>
      <c r="D344" s="421" t="s">
        <v>275</v>
      </c>
      <c r="E344" s="421" t="s">
        <v>12917</v>
      </c>
      <c r="F344" s="421" t="s">
        <v>11844</v>
      </c>
      <c r="G344" s="421" t="s">
        <v>5</v>
      </c>
      <c r="H344" s="421" t="s">
        <v>5</v>
      </c>
      <c r="I344" s="421" t="s">
        <v>5</v>
      </c>
      <c r="J344" s="421" t="s">
        <v>5</v>
      </c>
      <c r="K344" s="421" t="s">
        <v>5</v>
      </c>
      <c r="L344" s="421" t="s">
        <v>5</v>
      </c>
      <c r="M344" s="759" t="s">
        <v>5</v>
      </c>
      <c r="N344" s="760" t="s">
        <v>9265</v>
      </c>
      <c r="O344" s="759" t="s">
        <v>5</v>
      </c>
      <c r="P344" s="421" t="s">
        <v>11802</v>
      </c>
      <c r="Q344" s="757"/>
      <c r="R344" s="757"/>
      <c r="S344" s="757"/>
      <c r="T344" s="757"/>
      <c r="U344" s="757"/>
      <c r="V344" s="757"/>
      <c r="W344" s="757"/>
      <c r="X344" s="757"/>
      <c r="Y344" s="757"/>
      <c r="Z344" s="757"/>
    </row>
    <row r="345" ht="12.75" customHeight="1">
      <c r="A345" s="758">
        <v>343.0</v>
      </c>
      <c r="B345" s="421" t="s">
        <v>12098</v>
      </c>
      <c r="C345" s="421" t="s">
        <v>507</v>
      </c>
      <c r="D345" s="421" t="s">
        <v>275</v>
      </c>
      <c r="E345" s="421" t="s">
        <v>12918</v>
      </c>
      <c r="F345" s="421" t="s">
        <v>11844</v>
      </c>
      <c r="G345" s="421" t="s">
        <v>5</v>
      </c>
      <c r="H345" s="421" t="s">
        <v>5</v>
      </c>
      <c r="I345" s="421" t="s">
        <v>5</v>
      </c>
      <c r="J345" s="421" t="s">
        <v>5</v>
      </c>
      <c r="K345" s="421" t="s">
        <v>5</v>
      </c>
      <c r="L345" s="421" t="s">
        <v>5</v>
      </c>
      <c r="M345" s="759" t="s">
        <v>5</v>
      </c>
      <c r="N345" s="760" t="s">
        <v>9265</v>
      </c>
      <c r="O345" s="759" t="s">
        <v>5</v>
      </c>
      <c r="P345" s="421" t="s">
        <v>11802</v>
      </c>
      <c r="Q345" s="757"/>
      <c r="R345" s="757"/>
      <c r="S345" s="757"/>
      <c r="T345" s="757"/>
      <c r="U345" s="757"/>
      <c r="V345" s="757"/>
      <c r="W345" s="757"/>
      <c r="X345" s="757"/>
      <c r="Y345" s="757"/>
      <c r="Z345" s="757"/>
    </row>
    <row r="346" ht="12.75" customHeight="1">
      <c r="A346" s="758">
        <v>344.0</v>
      </c>
      <c r="B346" s="421" t="s">
        <v>12099</v>
      </c>
      <c r="C346" s="421" t="s">
        <v>12101</v>
      </c>
      <c r="D346" s="421" t="s">
        <v>101</v>
      </c>
      <c r="E346" s="421" t="s">
        <v>12919</v>
      </c>
      <c r="F346" s="421" t="s">
        <v>11851</v>
      </c>
      <c r="G346" s="421" t="s">
        <v>5</v>
      </c>
      <c r="H346" s="421" t="s">
        <v>5</v>
      </c>
      <c r="I346" s="421" t="s">
        <v>5</v>
      </c>
      <c r="J346" s="421" t="s">
        <v>5</v>
      </c>
      <c r="K346" s="421" t="s">
        <v>5</v>
      </c>
      <c r="L346" s="421" t="s">
        <v>5</v>
      </c>
      <c r="M346" s="759" t="s">
        <v>5</v>
      </c>
      <c r="N346" s="760" t="s">
        <v>9265</v>
      </c>
      <c r="O346" s="759" t="s">
        <v>5</v>
      </c>
      <c r="P346" s="421" t="s">
        <v>11802</v>
      </c>
      <c r="Q346" s="757"/>
      <c r="R346" s="757"/>
      <c r="S346" s="757"/>
      <c r="T346" s="757"/>
      <c r="U346" s="757"/>
      <c r="V346" s="757"/>
      <c r="W346" s="757"/>
      <c r="X346" s="757"/>
      <c r="Y346" s="757"/>
      <c r="Z346" s="757"/>
    </row>
    <row r="347" ht="12.75" customHeight="1">
      <c r="A347" s="758">
        <v>345.0</v>
      </c>
      <c r="B347" s="421" t="s">
        <v>12102</v>
      </c>
      <c r="C347" s="421" t="s">
        <v>12104</v>
      </c>
      <c r="D347" s="421" t="s">
        <v>101</v>
      </c>
      <c r="E347" s="421" t="s">
        <v>12920</v>
      </c>
      <c r="F347" s="421" t="s">
        <v>11851</v>
      </c>
      <c r="G347" s="421" t="s">
        <v>5</v>
      </c>
      <c r="H347" s="421" t="s">
        <v>5</v>
      </c>
      <c r="I347" s="421" t="s">
        <v>5</v>
      </c>
      <c r="J347" s="421" t="s">
        <v>5</v>
      </c>
      <c r="K347" s="421" t="s">
        <v>5</v>
      </c>
      <c r="L347" s="421" t="s">
        <v>5</v>
      </c>
      <c r="M347" s="759" t="s">
        <v>5</v>
      </c>
      <c r="N347" s="760" t="s">
        <v>9265</v>
      </c>
      <c r="O347" s="759" t="s">
        <v>5</v>
      </c>
      <c r="P347" s="421" t="s">
        <v>11802</v>
      </c>
      <c r="Q347" s="757"/>
      <c r="R347" s="757"/>
      <c r="S347" s="757"/>
      <c r="T347" s="757"/>
      <c r="U347" s="757"/>
      <c r="V347" s="757"/>
      <c r="W347" s="757"/>
      <c r="X347" s="757"/>
      <c r="Y347" s="757"/>
      <c r="Z347" s="757"/>
    </row>
    <row r="348" ht="12.75" customHeight="1">
      <c r="A348" s="758">
        <v>346.0</v>
      </c>
      <c r="B348" s="421" t="s">
        <v>12105</v>
      </c>
      <c r="C348" s="421" t="s">
        <v>12107</v>
      </c>
      <c r="D348" s="421" t="s">
        <v>101</v>
      </c>
      <c r="E348" s="421" t="s">
        <v>12921</v>
      </c>
      <c r="F348" s="421" t="s">
        <v>11851</v>
      </c>
      <c r="G348" s="421" t="s">
        <v>5</v>
      </c>
      <c r="H348" s="421" t="s">
        <v>5</v>
      </c>
      <c r="I348" s="421" t="s">
        <v>5</v>
      </c>
      <c r="J348" s="421" t="s">
        <v>5</v>
      </c>
      <c r="K348" s="421" t="s">
        <v>5</v>
      </c>
      <c r="L348" s="421" t="s">
        <v>5</v>
      </c>
      <c r="M348" s="759" t="s">
        <v>5</v>
      </c>
      <c r="N348" s="760" t="s">
        <v>9265</v>
      </c>
      <c r="O348" s="759" t="s">
        <v>5</v>
      </c>
      <c r="P348" s="421" t="s">
        <v>11802</v>
      </c>
      <c r="Q348" s="757"/>
      <c r="R348" s="757"/>
      <c r="S348" s="757"/>
      <c r="T348" s="757"/>
      <c r="U348" s="757"/>
      <c r="V348" s="757"/>
      <c r="W348" s="757"/>
      <c r="X348" s="757"/>
      <c r="Y348" s="757"/>
      <c r="Z348" s="757"/>
    </row>
    <row r="349" ht="12.75" customHeight="1">
      <c r="A349" s="758">
        <v>347.0</v>
      </c>
      <c r="B349" s="421" t="s">
        <v>12108</v>
      </c>
      <c r="C349" s="421" t="s">
        <v>12110</v>
      </c>
      <c r="D349" s="421" t="s">
        <v>101</v>
      </c>
      <c r="E349" s="421" t="s">
        <v>12922</v>
      </c>
      <c r="F349" s="421" t="s">
        <v>11851</v>
      </c>
      <c r="G349" s="421" t="s">
        <v>5</v>
      </c>
      <c r="H349" s="421" t="s">
        <v>5</v>
      </c>
      <c r="I349" s="421" t="s">
        <v>5</v>
      </c>
      <c r="J349" s="421" t="s">
        <v>5</v>
      </c>
      <c r="K349" s="421" t="s">
        <v>5</v>
      </c>
      <c r="L349" s="421" t="s">
        <v>5</v>
      </c>
      <c r="M349" s="759" t="s">
        <v>5</v>
      </c>
      <c r="N349" s="760" t="s">
        <v>9265</v>
      </c>
      <c r="O349" s="759" t="s">
        <v>5</v>
      </c>
      <c r="P349" s="421" t="s">
        <v>11802</v>
      </c>
      <c r="Q349" s="757"/>
      <c r="R349" s="757"/>
      <c r="S349" s="757"/>
      <c r="T349" s="757"/>
      <c r="U349" s="757"/>
      <c r="V349" s="757"/>
      <c r="W349" s="757"/>
      <c r="X349" s="757"/>
      <c r="Y349" s="757"/>
      <c r="Z349" s="757"/>
    </row>
    <row r="350" ht="12.75" customHeight="1">
      <c r="A350" s="758">
        <v>348.0</v>
      </c>
      <c r="B350" s="421" t="s">
        <v>12111</v>
      </c>
      <c r="C350" s="421" t="s">
        <v>12113</v>
      </c>
      <c r="D350" s="421" t="s">
        <v>275</v>
      </c>
      <c r="E350" s="421" t="s">
        <v>12923</v>
      </c>
      <c r="F350" s="421" t="s">
        <v>11844</v>
      </c>
      <c r="G350" s="421" t="s">
        <v>5</v>
      </c>
      <c r="H350" s="421" t="s">
        <v>5</v>
      </c>
      <c r="I350" s="421" t="s">
        <v>5</v>
      </c>
      <c r="J350" s="421" t="s">
        <v>5</v>
      </c>
      <c r="K350" s="421" t="s">
        <v>5</v>
      </c>
      <c r="L350" s="421" t="s">
        <v>5</v>
      </c>
      <c r="M350" s="759" t="s">
        <v>5</v>
      </c>
      <c r="N350" s="760" t="s">
        <v>9265</v>
      </c>
      <c r="O350" s="759" t="s">
        <v>5</v>
      </c>
      <c r="P350" s="421" t="s">
        <v>11802</v>
      </c>
      <c r="Q350" s="757"/>
      <c r="R350" s="757"/>
      <c r="S350" s="757"/>
      <c r="T350" s="757"/>
      <c r="U350" s="757"/>
      <c r="V350" s="757"/>
      <c r="W350" s="757"/>
      <c r="X350" s="757"/>
      <c r="Y350" s="757"/>
      <c r="Z350" s="757"/>
    </row>
    <row r="351" ht="12.75" customHeight="1">
      <c r="A351" s="758">
        <v>349.0</v>
      </c>
      <c r="B351" s="421" t="s">
        <v>12114</v>
      </c>
      <c r="C351" s="421" t="s">
        <v>12115</v>
      </c>
      <c r="D351" s="421" t="s">
        <v>275</v>
      </c>
      <c r="E351" s="421" t="s">
        <v>12924</v>
      </c>
      <c r="F351" s="421" t="s">
        <v>11844</v>
      </c>
      <c r="G351" s="421" t="s">
        <v>5</v>
      </c>
      <c r="H351" s="421" t="s">
        <v>5</v>
      </c>
      <c r="I351" s="421" t="s">
        <v>5</v>
      </c>
      <c r="J351" s="421" t="s">
        <v>5</v>
      </c>
      <c r="K351" s="421" t="s">
        <v>5</v>
      </c>
      <c r="L351" s="421" t="s">
        <v>5</v>
      </c>
      <c r="M351" s="759" t="s">
        <v>5</v>
      </c>
      <c r="N351" s="760" t="s">
        <v>9265</v>
      </c>
      <c r="O351" s="759" t="s">
        <v>5</v>
      </c>
      <c r="P351" s="421" t="s">
        <v>11802</v>
      </c>
      <c r="Q351" s="757"/>
      <c r="R351" s="757"/>
      <c r="S351" s="757"/>
      <c r="T351" s="757"/>
      <c r="U351" s="757"/>
      <c r="V351" s="757"/>
      <c r="W351" s="757"/>
      <c r="X351" s="757"/>
      <c r="Y351" s="757"/>
      <c r="Z351" s="757"/>
    </row>
    <row r="352" ht="12.75" customHeight="1">
      <c r="A352" s="758">
        <v>350.0</v>
      </c>
      <c r="B352" s="421" t="s">
        <v>12116</v>
      </c>
      <c r="C352" s="421" t="s">
        <v>4113</v>
      </c>
      <c r="D352" s="421" t="s">
        <v>275</v>
      </c>
      <c r="E352" s="421" t="s">
        <v>12925</v>
      </c>
      <c r="F352" s="421" t="s">
        <v>11844</v>
      </c>
      <c r="G352" s="421" t="s">
        <v>5</v>
      </c>
      <c r="H352" s="421" t="s">
        <v>5</v>
      </c>
      <c r="I352" s="421" t="s">
        <v>11969</v>
      </c>
      <c r="J352" s="421" t="s">
        <v>5</v>
      </c>
      <c r="K352" s="421" t="s">
        <v>5</v>
      </c>
      <c r="L352" s="421" t="s">
        <v>5</v>
      </c>
      <c r="M352" s="759" t="s">
        <v>5</v>
      </c>
      <c r="N352" s="760" t="s">
        <v>9265</v>
      </c>
      <c r="O352" s="759" t="s">
        <v>5</v>
      </c>
      <c r="P352" s="421" t="s">
        <v>11802</v>
      </c>
      <c r="Q352" s="757"/>
      <c r="R352" s="757"/>
      <c r="S352" s="757"/>
      <c r="T352" s="757"/>
      <c r="U352" s="757"/>
      <c r="V352" s="757"/>
      <c r="W352" s="757"/>
      <c r="X352" s="757"/>
      <c r="Y352" s="757"/>
      <c r="Z352" s="757"/>
    </row>
    <row r="353" ht="12.75" customHeight="1">
      <c r="A353" s="758">
        <v>351.0</v>
      </c>
      <c r="B353" s="421" t="s">
        <v>12081</v>
      </c>
      <c r="C353" s="421" t="s">
        <v>928</v>
      </c>
      <c r="D353" s="421" t="s">
        <v>927</v>
      </c>
      <c r="E353" s="421" t="s">
        <v>12926</v>
      </c>
      <c r="F353" s="421" t="s">
        <v>11854</v>
      </c>
      <c r="G353" s="421" t="s">
        <v>5</v>
      </c>
      <c r="H353" s="421" t="s">
        <v>5</v>
      </c>
      <c r="I353" s="421" t="s">
        <v>11969</v>
      </c>
      <c r="J353" s="421" t="s">
        <v>5</v>
      </c>
      <c r="K353" s="421" t="s">
        <v>5</v>
      </c>
      <c r="L353" s="421" t="s">
        <v>5</v>
      </c>
      <c r="M353" s="759" t="s">
        <v>5</v>
      </c>
      <c r="N353" s="760" t="s">
        <v>9265</v>
      </c>
      <c r="O353" s="759" t="s">
        <v>5</v>
      </c>
      <c r="P353" s="421" t="s">
        <v>11802</v>
      </c>
      <c r="Q353" s="757"/>
      <c r="R353" s="757"/>
      <c r="S353" s="757"/>
      <c r="T353" s="757"/>
      <c r="U353" s="757"/>
      <c r="V353" s="757"/>
      <c r="W353" s="757"/>
      <c r="X353" s="757"/>
      <c r="Y353" s="757"/>
      <c r="Z353" s="757"/>
    </row>
    <row r="354" ht="12.75" customHeight="1">
      <c r="A354" s="758">
        <v>352.0</v>
      </c>
      <c r="B354" s="421" t="s">
        <v>12081</v>
      </c>
      <c r="C354" s="421" t="s">
        <v>3611</v>
      </c>
      <c r="D354" s="421" t="s">
        <v>927</v>
      </c>
      <c r="E354" s="421" t="s">
        <v>12927</v>
      </c>
      <c r="F354" s="421" t="s">
        <v>11854</v>
      </c>
      <c r="G354" s="421" t="s">
        <v>5</v>
      </c>
      <c r="H354" s="421" t="s">
        <v>5</v>
      </c>
      <c r="I354" s="421" t="s">
        <v>11969</v>
      </c>
      <c r="J354" s="421" t="s">
        <v>5</v>
      </c>
      <c r="K354" s="421" t="s">
        <v>5</v>
      </c>
      <c r="L354" s="421" t="s">
        <v>5</v>
      </c>
      <c r="M354" s="759" t="s">
        <v>5</v>
      </c>
      <c r="N354" s="760" t="s">
        <v>9265</v>
      </c>
      <c r="O354" s="759" t="s">
        <v>5</v>
      </c>
      <c r="P354" s="421" t="s">
        <v>11802</v>
      </c>
      <c r="Q354" s="757"/>
      <c r="R354" s="757"/>
      <c r="S354" s="757"/>
      <c r="T354" s="757"/>
      <c r="U354" s="757"/>
      <c r="V354" s="757"/>
      <c r="W354" s="757"/>
      <c r="X354" s="757"/>
      <c r="Y354" s="757"/>
      <c r="Z354" s="757"/>
    </row>
    <row r="355" ht="12.75" customHeight="1">
      <c r="A355" s="758">
        <v>353.0</v>
      </c>
      <c r="B355" s="421" t="s">
        <v>12081</v>
      </c>
      <c r="C355" s="421" t="s">
        <v>996</v>
      </c>
      <c r="D355" s="421" t="s">
        <v>927</v>
      </c>
      <c r="E355" s="421" t="s">
        <v>12928</v>
      </c>
      <c r="F355" s="421" t="s">
        <v>11854</v>
      </c>
      <c r="G355" s="421" t="s">
        <v>5</v>
      </c>
      <c r="H355" s="421" t="s">
        <v>5</v>
      </c>
      <c r="I355" s="421" t="s">
        <v>11969</v>
      </c>
      <c r="J355" s="421" t="s">
        <v>5</v>
      </c>
      <c r="K355" s="421" t="s">
        <v>5</v>
      </c>
      <c r="L355" s="421" t="s">
        <v>5</v>
      </c>
      <c r="M355" s="759" t="s">
        <v>5</v>
      </c>
      <c r="N355" s="760" t="s">
        <v>9265</v>
      </c>
      <c r="O355" s="759" t="s">
        <v>5</v>
      </c>
      <c r="P355" s="421" t="s">
        <v>11802</v>
      </c>
      <c r="Q355" s="757"/>
      <c r="R355" s="757"/>
      <c r="S355" s="757"/>
      <c r="T355" s="757"/>
      <c r="U355" s="757"/>
      <c r="V355" s="757"/>
      <c r="W355" s="757"/>
      <c r="X355" s="757"/>
      <c r="Y355" s="757"/>
      <c r="Z355" s="757"/>
    </row>
    <row r="356" ht="12.75" customHeight="1">
      <c r="A356" s="758">
        <v>354.0</v>
      </c>
      <c r="B356" s="421" t="s">
        <v>12081</v>
      </c>
      <c r="C356" s="421" t="s">
        <v>944</v>
      </c>
      <c r="D356" s="421" t="s">
        <v>927</v>
      </c>
      <c r="E356" s="421" t="s">
        <v>12929</v>
      </c>
      <c r="F356" s="421" t="s">
        <v>11854</v>
      </c>
      <c r="G356" s="421" t="s">
        <v>5</v>
      </c>
      <c r="H356" s="421" t="s">
        <v>5</v>
      </c>
      <c r="I356" s="421" t="s">
        <v>11969</v>
      </c>
      <c r="J356" s="421" t="s">
        <v>5</v>
      </c>
      <c r="K356" s="421" t="s">
        <v>5</v>
      </c>
      <c r="L356" s="421" t="s">
        <v>5</v>
      </c>
      <c r="M356" s="759" t="s">
        <v>5</v>
      </c>
      <c r="N356" s="760" t="s">
        <v>9265</v>
      </c>
      <c r="O356" s="759" t="s">
        <v>5</v>
      </c>
      <c r="P356" s="421" t="s">
        <v>11802</v>
      </c>
      <c r="Q356" s="757"/>
      <c r="R356" s="757"/>
      <c r="S356" s="757"/>
      <c r="T356" s="757"/>
      <c r="U356" s="757"/>
      <c r="V356" s="757"/>
      <c r="W356" s="757"/>
      <c r="X356" s="757"/>
      <c r="Y356" s="757"/>
      <c r="Z356" s="757"/>
    </row>
    <row r="357" ht="12.75" customHeight="1">
      <c r="A357" s="758">
        <v>355.0</v>
      </c>
      <c r="B357" s="421" t="s">
        <v>12081</v>
      </c>
      <c r="C357" s="421" t="s">
        <v>4014</v>
      </c>
      <c r="D357" s="421" t="s">
        <v>927</v>
      </c>
      <c r="E357" s="421" t="s">
        <v>12930</v>
      </c>
      <c r="F357" s="421" t="s">
        <v>11854</v>
      </c>
      <c r="G357" s="421" t="s">
        <v>5</v>
      </c>
      <c r="H357" s="421" t="s">
        <v>5</v>
      </c>
      <c r="I357" s="421" t="s">
        <v>11969</v>
      </c>
      <c r="J357" s="421" t="s">
        <v>5</v>
      </c>
      <c r="K357" s="421" t="s">
        <v>5</v>
      </c>
      <c r="L357" s="421" t="s">
        <v>5</v>
      </c>
      <c r="M357" s="759" t="s">
        <v>5</v>
      </c>
      <c r="N357" s="760" t="s">
        <v>9265</v>
      </c>
      <c r="O357" s="759" t="s">
        <v>5</v>
      </c>
      <c r="P357" s="421" t="s">
        <v>11802</v>
      </c>
      <c r="Q357" s="757"/>
      <c r="R357" s="757"/>
      <c r="S357" s="757"/>
      <c r="T357" s="757"/>
      <c r="U357" s="757"/>
      <c r="V357" s="757"/>
      <c r="W357" s="757"/>
      <c r="X357" s="757"/>
      <c r="Y357" s="757"/>
      <c r="Z357" s="757"/>
    </row>
    <row r="358" ht="12.75" customHeight="1">
      <c r="A358" s="758">
        <v>356.0</v>
      </c>
      <c r="B358" s="421" t="s">
        <v>12117</v>
      </c>
      <c r="C358" s="421" t="s">
        <v>1013</v>
      </c>
      <c r="D358" s="421" t="s">
        <v>275</v>
      </c>
      <c r="E358" s="421" t="s">
        <v>12931</v>
      </c>
      <c r="F358" s="421" t="s">
        <v>11844</v>
      </c>
      <c r="G358" s="421" t="s">
        <v>5</v>
      </c>
      <c r="H358" s="421" t="s">
        <v>5</v>
      </c>
      <c r="I358" s="421" t="s">
        <v>11969</v>
      </c>
      <c r="J358" s="421" t="s">
        <v>5</v>
      </c>
      <c r="K358" s="421" t="s">
        <v>5</v>
      </c>
      <c r="L358" s="421" t="s">
        <v>5</v>
      </c>
      <c r="M358" s="759" t="s">
        <v>5</v>
      </c>
      <c r="N358" s="760" t="s">
        <v>9265</v>
      </c>
      <c r="O358" s="759" t="s">
        <v>5</v>
      </c>
      <c r="P358" s="421" t="s">
        <v>11802</v>
      </c>
      <c r="Q358" s="757"/>
      <c r="R358" s="757"/>
      <c r="S358" s="757"/>
      <c r="T358" s="757"/>
      <c r="U358" s="757"/>
      <c r="V358" s="757"/>
      <c r="W358" s="757"/>
      <c r="X358" s="757"/>
      <c r="Y358" s="757"/>
      <c r="Z358" s="757"/>
    </row>
    <row r="359" ht="12.75" customHeight="1">
      <c r="A359" s="758">
        <v>357.0</v>
      </c>
      <c r="B359" s="421" t="s">
        <v>12081</v>
      </c>
      <c r="C359" s="421" t="s">
        <v>4212</v>
      </c>
      <c r="D359" s="421" t="s">
        <v>1012</v>
      </c>
      <c r="E359" s="421" t="s">
        <v>12932</v>
      </c>
      <c r="F359" s="421" t="s">
        <v>11854</v>
      </c>
      <c r="G359" s="421" t="s">
        <v>5</v>
      </c>
      <c r="H359" s="421" t="s">
        <v>5</v>
      </c>
      <c r="I359" s="421" t="s">
        <v>11969</v>
      </c>
      <c r="J359" s="421" t="s">
        <v>5</v>
      </c>
      <c r="K359" s="421" t="s">
        <v>5</v>
      </c>
      <c r="L359" s="421" t="s">
        <v>5</v>
      </c>
      <c r="M359" s="759" t="s">
        <v>5</v>
      </c>
      <c r="N359" s="760" t="s">
        <v>9265</v>
      </c>
      <c r="O359" s="759" t="s">
        <v>5</v>
      </c>
      <c r="P359" s="421" t="s">
        <v>11802</v>
      </c>
      <c r="Q359" s="757"/>
      <c r="R359" s="757"/>
      <c r="S359" s="757"/>
      <c r="T359" s="757"/>
      <c r="U359" s="757"/>
      <c r="V359" s="757"/>
      <c r="W359" s="757"/>
      <c r="X359" s="757"/>
      <c r="Y359" s="757"/>
      <c r="Z359" s="757"/>
    </row>
    <row r="360" ht="12.75" customHeight="1">
      <c r="A360" s="758">
        <v>358.0</v>
      </c>
      <c r="B360" s="421" t="s">
        <v>12081</v>
      </c>
      <c r="C360" s="421" t="s">
        <v>3957</v>
      </c>
      <c r="D360" s="421" t="s">
        <v>1012</v>
      </c>
      <c r="E360" s="421" t="s">
        <v>12933</v>
      </c>
      <c r="F360" s="421" t="s">
        <v>11854</v>
      </c>
      <c r="G360" s="421" t="s">
        <v>5</v>
      </c>
      <c r="H360" s="421" t="s">
        <v>5</v>
      </c>
      <c r="I360" s="421" t="s">
        <v>11969</v>
      </c>
      <c r="J360" s="421" t="s">
        <v>5</v>
      </c>
      <c r="K360" s="421" t="s">
        <v>5</v>
      </c>
      <c r="L360" s="421" t="s">
        <v>5</v>
      </c>
      <c r="M360" s="759" t="s">
        <v>5</v>
      </c>
      <c r="N360" s="760" t="s">
        <v>9265</v>
      </c>
      <c r="O360" s="759" t="s">
        <v>5</v>
      </c>
      <c r="P360" s="421" t="s">
        <v>11802</v>
      </c>
      <c r="Q360" s="757"/>
      <c r="R360" s="757"/>
      <c r="S360" s="757"/>
      <c r="T360" s="757"/>
      <c r="U360" s="757"/>
      <c r="V360" s="757"/>
      <c r="W360" s="757"/>
      <c r="X360" s="757"/>
      <c r="Y360" s="757"/>
      <c r="Z360" s="757"/>
    </row>
    <row r="361" ht="12.75" customHeight="1">
      <c r="A361" s="758">
        <v>359.0</v>
      </c>
      <c r="B361" s="421" t="s">
        <v>12081</v>
      </c>
      <c r="C361" s="421" t="s">
        <v>3232</v>
      </c>
      <c r="D361" s="421" t="s">
        <v>1012</v>
      </c>
      <c r="E361" s="421" t="s">
        <v>12934</v>
      </c>
      <c r="F361" s="421" t="s">
        <v>11854</v>
      </c>
      <c r="G361" s="421" t="s">
        <v>5</v>
      </c>
      <c r="H361" s="421" t="s">
        <v>5</v>
      </c>
      <c r="I361" s="421" t="s">
        <v>11969</v>
      </c>
      <c r="J361" s="421" t="s">
        <v>5</v>
      </c>
      <c r="K361" s="421" t="s">
        <v>5</v>
      </c>
      <c r="L361" s="421" t="s">
        <v>5</v>
      </c>
      <c r="M361" s="759" t="s">
        <v>5</v>
      </c>
      <c r="N361" s="760" t="s">
        <v>9265</v>
      </c>
      <c r="O361" s="759" t="s">
        <v>5</v>
      </c>
      <c r="P361" s="421" t="s">
        <v>11802</v>
      </c>
      <c r="Q361" s="757"/>
      <c r="R361" s="757"/>
      <c r="S361" s="757"/>
      <c r="T361" s="757"/>
      <c r="U361" s="757"/>
      <c r="V361" s="757"/>
      <c r="W361" s="757"/>
      <c r="X361" s="757"/>
      <c r="Y361" s="757"/>
      <c r="Z361" s="757"/>
    </row>
    <row r="362" ht="12.75" customHeight="1">
      <c r="A362" s="758">
        <v>360.0</v>
      </c>
      <c r="B362" s="421" t="s">
        <v>12081</v>
      </c>
      <c r="C362" s="421" t="s">
        <v>3937</v>
      </c>
      <c r="D362" s="421" t="s">
        <v>1012</v>
      </c>
      <c r="E362" s="421" t="s">
        <v>12935</v>
      </c>
      <c r="F362" s="421" t="s">
        <v>11854</v>
      </c>
      <c r="G362" s="421" t="s">
        <v>5</v>
      </c>
      <c r="H362" s="421" t="s">
        <v>5</v>
      </c>
      <c r="I362" s="421" t="s">
        <v>11969</v>
      </c>
      <c r="J362" s="421" t="s">
        <v>5</v>
      </c>
      <c r="K362" s="421" t="s">
        <v>5</v>
      </c>
      <c r="L362" s="421" t="s">
        <v>5</v>
      </c>
      <c r="M362" s="759" t="s">
        <v>5</v>
      </c>
      <c r="N362" s="760" t="s">
        <v>9265</v>
      </c>
      <c r="O362" s="759" t="s">
        <v>5</v>
      </c>
      <c r="P362" s="421" t="s">
        <v>11802</v>
      </c>
      <c r="Q362" s="757"/>
      <c r="R362" s="757"/>
      <c r="S362" s="757"/>
      <c r="T362" s="757"/>
      <c r="U362" s="757"/>
      <c r="V362" s="757"/>
      <c r="W362" s="757"/>
      <c r="X362" s="757"/>
      <c r="Y362" s="757"/>
      <c r="Z362" s="757"/>
    </row>
    <row r="363" ht="12.75" customHeight="1">
      <c r="A363" s="758">
        <v>361.0</v>
      </c>
      <c r="B363" s="421" t="s">
        <v>12118</v>
      </c>
      <c r="C363" s="421" t="s">
        <v>3821</v>
      </c>
      <c r="D363" s="421" t="s">
        <v>1012</v>
      </c>
      <c r="E363" s="421" t="s">
        <v>12936</v>
      </c>
      <c r="F363" s="421" t="s">
        <v>11854</v>
      </c>
      <c r="G363" s="421" t="s">
        <v>5</v>
      </c>
      <c r="H363" s="421" t="s">
        <v>5</v>
      </c>
      <c r="I363" s="421" t="s">
        <v>11969</v>
      </c>
      <c r="J363" s="421" t="s">
        <v>5</v>
      </c>
      <c r="K363" s="421" t="s">
        <v>5</v>
      </c>
      <c r="L363" s="421" t="s">
        <v>5</v>
      </c>
      <c r="M363" s="759" t="s">
        <v>5</v>
      </c>
      <c r="N363" s="760" t="s">
        <v>9265</v>
      </c>
      <c r="O363" s="759" t="s">
        <v>5</v>
      </c>
      <c r="P363" s="421" t="s">
        <v>11802</v>
      </c>
      <c r="Q363" s="757"/>
      <c r="R363" s="757"/>
      <c r="S363" s="757"/>
      <c r="T363" s="757"/>
      <c r="U363" s="757"/>
      <c r="V363" s="757"/>
      <c r="W363" s="757"/>
      <c r="X363" s="757"/>
      <c r="Y363" s="757"/>
      <c r="Z363" s="757"/>
    </row>
    <row r="364" ht="12.75" customHeight="1">
      <c r="A364" s="758">
        <v>362.0</v>
      </c>
      <c r="B364" s="421" t="s">
        <v>12119</v>
      </c>
      <c r="C364" s="421" t="s">
        <v>10838</v>
      </c>
      <c r="D364" s="421" t="s">
        <v>346</v>
      </c>
      <c r="E364" s="421" t="s">
        <v>12937</v>
      </c>
      <c r="F364" s="421" t="s">
        <v>11844</v>
      </c>
      <c r="G364" s="421" t="s">
        <v>12120</v>
      </c>
      <c r="H364" s="421" t="s">
        <v>5</v>
      </c>
      <c r="I364" s="421" t="s">
        <v>5</v>
      </c>
      <c r="J364" s="421" t="s">
        <v>5</v>
      </c>
      <c r="K364" s="421" t="s">
        <v>5</v>
      </c>
      <c r="L364" s="421" t="s">
        <v>5</v>
      </c>
      <c r="M364" s="759" t="s">
        <v>5</v>
      </c>
      <c r="N364" s="760" t="s">
        <v>9265</v>
      </c>
      <c r="O364" s="759" t="s">
        <v>5</v>
      </c>
      <c r="P364" s="421" t="s">
        <v>11802</v>
      </c>
      <c r="Q364" s="757"/>
      <c r="R364" s="757"/>
      <c r="S364" s="757"/>
      <c r="T364" s="757"/>
      <c r="U364" s="757"/>
      <c r="V364" s="757"/>
      <c r="W364" s="757"/>
      <c r="X364" s="757"/>
      <c r="Y364" s="757"/>
      <c r="Z364" s="757"/>
    </row>
    <row r="365" ht="12.75" customHeight="1">
      <c r="A365" s="758">
        <v>363.0</v>
      </c>
      <c r="B365" s="421" t="s">
        <v>12121</v>
      </c>
      <c r="C365" s="421" t="s">
        <v>8333</v>
      </c>
      <c r="D365" s="421" t="s">
        <v>315</v>
      </c>
      <c r="E365" s="421" t="s">
        <v>12938</v>
      </c>
      <c r="F365" s="421" t="s">
        <v>11844</v>
      </c>
      <c r="G365" s="421" t="s">
        <v>12122</v>
      </c>
      <c r="H365" s="421" t="s">
        <v>5</v>
      </c>
      <c r="I365" s="421" t="s">
        <v>5</v>
      </c>
      <c r="J365" s="421" t="s">
        <v>5</v>
      </c>
      <c r="K365" s="421" t="s">
        <v>5</v>
      </c>
      <c r="L365" s="421" t="s">
        <v>5</v>
      </c>
      <c r="M365" s="759" t="s">
        <v>5</v>
      </c>
      <c r="N365" s="760" t="s">
        <v>9265</v>
      </c>
      <c r="O365" s="759" t="s">
        <v>5</v>
      </c>
      <c r="P365" s="421" t="s">
        <v>11802</v>
      </c>
      <c r="Q365" s="757"/>
      <c r="R365" s="757"/>
      <c r="S365" s="757"/>
      <c r="T365" s="757"/>
      <c r="U365" s="757"/>
      <c r="V365" s="757"/>
      <c r="W365" s="757"/>
      <c r="X365" s="757"/>
      <c r="Y365" s="757"/>
      <c r="Z365" s="757"/>
    </row>
    <row r="366" ht="12.75" customHeight="1">
      <c r="A366" s="758">
        <v>364.0</v>
      </c>
      <c r="B366" s="421" t="s">
        <v>12123</v>
      </c>
      <c r="C366" s="421" t="s">
        <v>3697</v>
      </c>
      <c r="D366" s="421" t="s">
        <v>315</v>
      </c>
      <c r="E366" s="421" t="s">
        <v>12939</v>
      </c>
      <c r="F366" s="421" t="s">
        <v>11844</v>
      </c>
      <c r="G366" s="421" t="s">
        <v>5</v>
      </c>
      <c r="H366" s="421" t="s">
        <v>5</v>
      </c>
      <c r="I366" s="421" t="s">
        <v>5</v>
      </c>
      <c r="J366" s="421" t="s">
        <v>5</v>
      </c>
      <c r="K366" s="421" t="s">
        <v>5</v>
      </c>
      <c r="L366" s="421" t="s">
        <v>5</v>
      </c>
      <c r="M366" s="759" t="s">
        <v>5</v>
      </c>
      <c r="N366" s="760" t="s">
        <v>9265</v>
      </c>
      <c r="O366" s="759" t="s">
        <v>5</v>
      </c>
      <c r="P366" s="421" t="s">
        <v>11802</v>
      </c>
      <c r="Q366" s="757"/>
      <c r="R366" s="757"/>
      <c r="S366" s="757"/>
      <c r="T366" s="757"/>
      <c r="U366" s="757"/>
      <c r="V366" s="757"/>
      <c r="W366" s="757"/>
      <c r="X366" s="757"/>
      <c r="Y366" s="757"/>
      <c r="Z366" s="757"/>
    </row>
    <row r="367" ht="12.75" customHeight="1">
      <c r="A367" s="758">
        <v>365.0</v>
      </c>
      <c r="B367" s="421" t="s">
        <v>12124</v>
      </c>
      <c r="C367" s="421" t="s">
        <v>12125</v>
      </c>
      <c r="D367" s="421" t="s">
        <v>1577</v>
      </c>
      <c r="E367" s="421" t="s">
        <v>12940</v>
      </c>
      <c r="F367" s="421" t="s">
        <v>11851</v>
      </c>
      <c r="G367" s="421" t="s">
        <v>5</v>
      </c>
      <c r="H367" s="421" t="s">
        <v>5</v>
      </c>
      <c r="I367" s="421" t="s">
        <v>5</v>
      </c>
      <c r="J367" s="421" t="s">
        <v>5</v>
      </c>
      <c r="K367" s="421" t="s">
        <v>5</v>
      </c>
      <c r="L367" s="421" t="s">
        <v>5</v>
      </c>
      <c r="M367" s="759" t="s">
        <v>5</v>
      </c>
      <c r="N367" s="760" t="s">
        <v>9265</v>
      </c>
      <c r="O367" s="759" t="s">
        <v>5</v>
      </c>
      <c r="P367" s="421" t="s">
        <v>11802</v>
      </c>
      <c r="Q367" s="757"/>
      <c r="R367" s="757"/>
      <c r="S367" s="757"/>
      <c r="T367" s="757"/>
      <c r="U367" s="757"/>
      <c r="V367" s="757"/>
      <c r="W367" s="757"/>
      <c r="X367" s="757"/>
      <c r="Y367" s="757"/>
      <c r="Z367" s="757"/>
    </row>
    <row r="368" ht="12.75" customHeight="1">
      <c r="A368" s="758">
        <v>366.0</v>
      </c>
      <c r="B368" s="421" t="s">
        <v>12119</v>
      </c>
      <c r="C368" s="421" t="s">
        <v>1599</v>
      </c>
      <c r="D368" s="421" t="s">
        <v>1577</v>
      </c>
      <c r="E368" s="421" t="s">
        <v>12941</v>
      </c>
      <c r="F368" s="421" t="s">
        <v>11851</v>
      </c>
      <c r="G368" s="421" t="s">
        <v>5</v>
      </c>
      <c r="H368" s="421" t="s">
        <v>5</v>
      </c>
      <c r="I368" s="421" t="s">
        <v>5</v>
      </c>
      <c r="J368" s="421" t="s">
        <v>5</v>
      </c>
      <c r="K368" s="421" t="s">
        <v>5</v>
      </c>
      <c r="L368" s="421" t="s">
        <v>5</v>
      </c>
      <c r="M368" s="759" t="s">
        <v>5</v>
      </c>
      <c r="N368" s="760" t="s">
        <v>9265</v>
      </c>
      <c r="O368" s="759" t="s">
        <v>5</v>
      </c>
      <c r="P368" s="421" t="s">
        <v>11802</v>
      </c>
      <c r="Q368" s="757"/>
      <c r="R368" s="757"/>
      <c r="S368" s="757"/>
      <c r="T368" s="757"/>
      <c r="U368" s="757"/>
      <c r="V368" s="757"/>
      <c r="W368" s="757"/>
      <c r="X368" s="757"/>
      <c r="Y368" s="757"/>
      <c r="Z368" s="757"/>
    </row>
    <row r="369" ht="12.75" customHeight="1">
      <c r="A369" s="758">
        <v>367.0</v>
      </c>
      <c r="B369" s="421" t="s">
        <v>12119</v>
      </c>
      <c r="C369" s="421" t="s">
        <v>1578</v>
      </c>
      <c r="D369" s="421" t="s">
        <v>1577</v>
      </c>
      <c r="E369" s="421" t="s">
        <v>12942</v>
      </c>
      <c r="F369" s="421" t="s">
        <v>11851</v>
      </c>
      <c r="G369" s="421" t="s">
        <v>5</v>
      </c>
      <c r="H369" s="421" t="s">
        <v>5</v>
      </c>
      <c r="I369" s="421" t="s">
        <v>5</v>
      </c>
      <c r="J369" s="421" t="s">
        <v>5</v>
      </c>
      <c r="K369" s="421" t="s">
        <v>5</v>
      </c>
      <c r="L369" s="421" t="s">
        <v>5</v>
      </c>
      <c r="M369" s="759" t="s">
        <v>5</v>
      </c>
      <c r="N369" s="760" t="s">
        <v>9265</v>
      </c>
      <c r="O369" s="759" t="s">
        <v>5</v>
      </c>
      <c r="P369" s="421" t="s">
        <v>11802</v>
      </c>
      <c r="Q369" s="757"/>
      <c r="R369" s="757"/>
      <c r="S369" s="757"/>
      <c r="T369" s="757"/>
      <c r="U369" s="757"/>
      <c r="V369" s="757"/>
      <c r="W369" s="757"/>
      <c r="X369" s="757"/>
      <c r="Y369" s="757"/>
      <c r="Z369" s="757"/>
    </row>
    <row r="370" ht="12.75" customHeight="1">
      <c r="A370" s="758">
        <v>368.0</v>
      </c>
      <c r="B370" s="421" t="s">
        <v>12126</v>
      </c>
      <c r="C370" s="421" t="s">
        <v>3702</v>
      </c>
      <c r="D370" s="421" t="s">
        <v>315</v>
      </c>
      <c r="E370" s="421" t="s">
        <v>12943</v>
      </c>
      <c r="F370" s="421" t="s">
        <v>11844</v>
      </c>
      <c r="G370" s="421" t="s">
        <v>5</v>
      </c>
      <c r="H370" s="421" t="s">
        <v>5</v>
      </c>
      <c r="I370" s="421" t="s">
        <v>5</v>
      </c>
      <c r="J370" s="421" t="s">
        <v>5</v>
      </c>
      <c r="K370" s="421" t="s">
        <v>5</v>
      </c>
      <c r="L370" s="421" t="s">
        <v>5</v>
      </c>
      <c r="M370" s="759" t="s">
        <v>5</v>
      </c>
      <c r="N370" s="760" t="s">
        <v>9265</v>
      </c>
      <c r="O370" s="759" t="s">
        <v>5</v>
      </c>
      <c r="P370" s="421" t="s">
        <v>11802</v>
      </c>
      <c r="Q370" s="757"/>
      <c r="R370" s="757"/>
      <c r="S370" s="757"/>
      <c r="T370" s="757"/>
      <c r="U370" s="757"/>
      <c r="V370" s="757"/>
      <c r="W370" s="757"/>
      <c r="X370" s="757"/>
      <c r="Y370" s="757"/>
      <c r="Z370" s="757"/>
    </row>
    <row r="371" ht="12.75" customHeight="1">
      <c r="A371" s="758">
        <v>369.0</v>
      </c>
      <c r="B371" s="421" t="s">
        <v>12119</v>
      </c>
      <c r="C371" s="421" t="s">
        <v>1488</v>
      </c>
      <c r="D371" s="421" t="s">
        <v>1487</v>
      </c>
      <c r="E371" s="421" t="s">
        <v>12944</v>
      </c>
      <c r="F371" s="421" t="s">
        <v>11851</v>
      </c>
      <c r="G371" s="421" t="s">
        <v>5</v>
      </c>
      <c r="H371" s="421" t="s">
        <v>5</v>
      </c>
      <c r="I371" s="421" t="s">
        <v>5</v>
      </c>
      <c r="J371" s="421" t="s">
        <v>5</v>
      </c>
      <c r="K371" s="421" t="s">
        <v>5</v>
      </c>
      <c r="L371" s="421" t="s">
        <v>5</v>
      </c>
      <c r="M371" s="759" t="s">
        <v>5</v>
      </c>
      <c r="N371" s="760" t="s">
        <v>9265</v>
      </c>
      <c r="O371" s="759" t="s">
        <v>5</v>
      </c>
      <c r="P371" s="421" t="s">
        <v>11802</v>
      </c>
      <c r="Q371" s="757"/>
      <c r="R371" s="757"/>
      <c r="S371" s="757"/>
      <c r="T371" s="757"/>
      <c r="U371" s="757"/>
      <c r="V371" s="757"/>
      <c r="W371" s="757"/>
      <c r="X371" s="757"/>
      <c r="Y371" s="757"/>
      <c r="Z371" s="757"/>
    </row>
    <row r="372" ht="12.75" customHeight="1">
      <c r="A372" s="758">
        <v>370.0</v>
      </c>
      <c r="B372" s="421" t="s">
        <v>12119</v>
      </c>
      <c r="C372" s="421" t="s">
        <v>1508</v>
      </c>
      <c r="D372" s="421" t="s">
        <v>1487</v>
      </c>
      <c r="E372" s="421" t="s">
        <v>12945</v>
      </c>
      <c r="F372" s="421" t="s">
        <v>11851</v>
      </c>
      <c r="G372" s="421" t="s">
        <v>5</v>
      </c>
      <c r="H372" s="421" t="s">
        <v>5</v>
      </c>
      <c r="I372" s="421" t="s">
        <v>5</v>
      </c>
      <c r="J372" s="421" t="s">
        <v>5</v>
      </c>
      <c r="K372" s="421" t="s">
        <v>5</v>
      </c>
      <c r="L372" s="421" t="s">
        <v>5</v>
      </c>
      <c r="M372" s="759" t="s">
        <v>5</v>
      </c>
      <c r="N372" s="760" t="s">
        <v>9265</v>
      </c>
      <c r="O372" s="759" t="s">
        <v>5</v>
      </c>
      <c r="P372" s="421" t="s">
        <v>11802</v>
      </c>
      <c r="Q372" s="757"/>
      <c r="R372" s="757"/>
      <c r="S372" s="757"/>
      <c r="T372" s="757"/>
      <c r="U372" s="757"/>
      <c r="V372" s="757"/>
      <c r="W372" s="757"/>
      <c r="X372" s="757"/>
      <c r="Y372" s="757"/>
      <c r="Z372" s="757"/>
    </row>
    <row r="373" ht="12.75" customHeight="1">
      <c r="A373" s="758">
        <v>371.0</v>
      </c>
      <c r="B373" s="421" t="s">
        <v>12127</v>
      </c>
      <c r="C373" s="421" t="s">
        <v>3971</v>
      </c>
      <c r="D373" s="421" t="s">
        <v>315</v>
      </c>
      <c r="E373" s="421" t="s">
        <v>12946</v>
      </c>
      <c r="F373" s="421" t="s">
        <v>11844</v>
      </c>
      <c r="G373" s="421" t="s">
        <v>5</v>
      </c>
      <c r="H373" s="421" t="s">
        <v>5</v>
      </c>
      <c r="I373" s="421" t="s">
        <v>5</v>
      </c>
      <c r="J373" s="421" t="s">
        <v>5</v>
      </c>
      <c r="K373" s="421" t="s">
        <v>5</v>
      </c>
      <c r="L373" s="421" t="s">
        <v>5</v>
      </c>
      <c r="M373" s="759" t="s">
        <v>5</v>
      </c>
      <c r="N373" s="760" t="s">
        <v>9265</v>
      </c>
      <c r="O373" s="759" t="s">
        <v>5</v>
      </c>
      <c r="P373" s="421" t="s">
        <v>11802</v>
      </c>
      <c r="Q373" s="757"/>
      <c r="R373" s="757"/>
      <c r="S373" s="757"/>
      <c r="T373" s="757"/>
      <c r="U373" s="757"/>
      <c r="V373" s="757"/>
      <c r="W373" s="757"/>
      <c r="X373" s="757"/>
      <c r="Y373" s="757"/>
      <c r="Z373" s="757"/>
    </row>
    <row r="374" ht="12.75" customHeight="1">
      <c r="A374" s="758">
        <v>372.0</v>
      </c>
      <c r="B374" s="421" t="s">
        <v>12119</v>
      </c>
      <c r="C374" s="421" t="s">
        <v>1530</v>
      </c>
      <c r="D374" s="421" t="s">
        <v>316</v>
      </c>
      <c r="E374" s="421" t="s">
        <v>12947</v>
      </c>
      <c r="F374" s="421" t="s">
        <v>11851</v>
      </c>
      <c r="G374" s="421" t="s">
        <v>5</v>
      </c>
      <c r="H374" s="421" t="s">
        <v>5</v>
      </c>
      <c r="I374" s="421" t="s">
        <v>5</v>
      </c>
      <c r="J374" s="421" t="s">
        <v>5</v>
      </c>
      <c r="K374" s="421" t="s">
        <v>5</v>
      </c>
      <c r="L374" s="421" t="s">
        <v>5</v>
      </c>
      <c r="M374" s="759" t="s">
        <v>5</v>
      </c>
      <c r="N374" s="760" t="s">
        <v>9265</v>
      </c>
      <c r="O374" s="759" t="s">
        <v>5</v>
      </c>
      <c r="P374" s="421" t="s">
        <v>11802</v>
      </c>
      <c r="Q374" s="757"/>
      <c r="R374" s="757"/>
      <c r="S374" s="757"/>
      <c r="T374" s="757"/>
      <c r="U374" s="757"/>
      <c r="V374" s="757"/>
      <c r="W374" s="757"/>
      <c r="X374" s="757"/>
      <c r="Y374" s="757"/>
      <c r="Z374" s="757"/>
    </row>
    <row r="375" ht="12.75" customHeight="1">
      <c r="A375" s="758">
        <v>373.0</v>
      </c>
      <c r="B375" s="421" t="s">
        <v>12119</v>
      </c>
      <c r="C375" s="421" t="s">
        <v>1502</v>
      </c>
      <c r="D375" s="421" t="s">
        <v>316</v>
      </c>
      <c r="E375" s="421" t="s">
        <v>12948</v>
      </c>
      <c r="F375" s="421" t="s">
        <v>11851</v>
      </c>
      <c r="G375" s="421" t="s">
        <v>5</v>
      </c>
      <c r="H375" s="421" t="s">
        <v>5</v>
      </c>
      <c r="I375" s="421" t="s">
        <v>5</v>
      </c>
      <c r="J375" s="421" t="s">
        <v>5</v>
      </c>
      <c r="K375" s="421" t="s">
        <v>5</v>
      </c>
      <c r="L375" s="421" t="s">
        <v>5</v>
      </c>
      <c r="M375" s="759" t="s">
        <v>5</v>
      </c>
      <c r="N375" s="760" t="s">
        <v>9265</v>
      </c>
      <c r="O375" s="759" t="s">
        <v>5</v>
      </c>
      <c r="P375" s="421" t="s">
        <v>11802</v>
      </c>
      <c r="Q375" s="757"/>
      <c r="R375" s="757"/>
      <c r="S375" s="757"/>
      <c r="T375" s="757"/>
      <c r="U375" s="757"/>
      <c r="V375" s="757"/>
      <c r="W375" s="757"/>
      <c r="X375" s="757"/>
      <c r="Y375" s="757"/>
      <c r="Z375" s="757"/>
    </row>
    <row r="376" ht="12.75" customHeight="1">
      <c r="A376" s="758">
        <v>374.0</v>
      </c>
      <c r="B376" s="421" t="s">
        <v>12128</v>
      </c>
      <c r="C376" s="421" t="s">
        <v>1536</v>
      </c>
      <c r="D376" s="421" t="s">
        <v>315</v>
      </c>
      <c r="E376" s="421" t="s">
        <v>12949</v>
      </c>
      <c r="F376" s="421" t="s">
        <v>11844</v>
      </c>
      <c r="G376" s="421" t="s">
        <v>5</v>
      </c>
      <c r="H376" s="421" t="s">
        <v>5</v>
      </c>
      <c r="I376" s="421" t="s">
        <v>5</v>
      </c>
      <c r="J376" s="421" t="s">
        <v>5</v>
      </c>
      <c r="K376" s="421" t="s">
        <v>5</v>
      </c>
      <c r="L376" s="421" t="s">
        <v>5</v>
      </c>
      <c r="M376" s="759" t="s">
        <v>5</v>
      </c>
      <c r="N376" s="760" t="s">
        <v>9265</v>
      </c>
      <c r="O376" s="759" t="s">
        <v>5</v>
      </c>
      <c r="P376" s="421" t="s">
        <v>11802</v>
      </c>
      <c r="Q376" s="757"/>
      <c r="R376" s="757"/>
      <c r="S376" s="757"/>
      <c r="T376" s="757"/>
      <c r="U376" s="757"/>
      <c r="V376" s="757"/>
      <c r="W376" s="757"/>
      <c r="X376" s="757"/>
      <c r="Y376" s="757"/>
      <c r="Z376" s="757"/>
    </row>
    <row r="377" ht="12.75" customHeight="1">
      <c r="A377" s="758">
        <v>375.0</v>
      </c>
      <c r="B377" s="421" t="s">
        <v>12119</v>
      </c>
      <c r="C377" s="421" t="s">
        <v>1565</v>
      </c>
      <c r="D377" s="421" t="s">
        <v>1493</v>
      </c>
      <c r="E377" s="421" t="s">
        <v>12950</v>
      </c>
      <c r="F377" s="421" t="s">
        <v>11851</v>
      </c>
      <c r="G377" s="421" t="s">
        <v>5</v>
      </c>
      <c r="H377" s="421" t="s">
        <v>5</v>
      </c>
      <c r="I377" s="421" t="s">
        <v>5</v>
      </c>
      <c r="J377" s="421" t="s">
        <v>5</v>
      </c>
      <c r="K377" s="421" t="s">
        <v>5</v>
      </c>
      <c r="L377" s="421" t="s">
        <v>5</v>
      </c>
      <c r="M377" s="759" t="s">
        <v>5</v>
      </c>
      <c r="N377" s="760" t="s">
        <v>9265</v>
      </c>
      <c r="O377" s="759" t="s">
        <v>5</v>
      </c>
      <c r="P377" s="421" t="s">
        <v>11802</v>
      </c>
      <c r="Q377" s="757"/>
      <c r="R377" s="757"/>
      <c r="S377" s="757"/>
      <c r="T377" s="757"/>
      <c r="U377" s="757"/>
      <c r="V377" s="757"/>
      <c r="W377" s="757"/>
      <c r="X377" s="757"/>
      <c r="Y377" s="757"/>
      <c r="Z377" s="757"/>
    </row>
    <row r="378" ht="12.75" customHeight="1">
      <c r="A378" s="758">
        <v>376.0</v>
      </c>
      <c r="B378" s="421" t="s">
        <v>12119</v>
      </c>
      <c r="C378" s="421" t="s">
        <v>1526</v>
      </c>
      <c r="D378" s="421" t="s">
        <v>1493</v>
      </c>
      <c r="E378" s="421" t="s">
        <v>12951</v>
      </c>
      <c r="F378" s="421" t="s">
        <v>11851</v>
      </c>
      <c r="G378" s="421" t="s">
        <v>5</v>
      </c>
      <c r="H378" s="421" t="s">
        <v>5</v>
      </c>
      <c r="I378" s="421" t="s">
        <v>5</v>
      </c>
      <c r="J378" s="421" t="s">
        <v>5</v>
      </c>
      <c r="K378" s="421" t="s">
        <v>5</v>
      </c>
      <c r="L378" s="421" t="s">
        <v>5</v>
      </c>
      <c r="M378" s="759" t="s">
        <v>5</v>
      </c>
      <c r="N378" s="760" t="s">
        <v>9265</v>
      </c>
      <c r="O378" s="759" t="s">
        <v>5</v>
      </c>
      <c r="P378" s="421" t="s">
        <v>11802</v>
      </c>
      <c r="Q378" s="757"/>
      <c r="R378" s="757"/>
      <c r="S378" s="757"/>
      <c r="T378" s="757"/>
      <c r="U378" s="757"/>
      <c r="V378" s="757"/>
      <c r="W378" s="757"/>
      <c r="X378" s="757"/>
      <c r="Y378" s="757"/>
      <c r="Z378" s="757"/>
    </row>
    <row r="379" ht="12.75" customHeight="1">
      <c r="A379" s="758">
        <v>377.0</v>
      </c>
      <c r="B379" s="421" t="s">
        <v>12119</v>
      </c>
      <c r="C379" s="421" t="s">
        <v>1494</v>
      </c>
      <c r="D379" s="421" t="s">
        <v>1493</v>
      </c>
      <c r="E379" s="421" t="s">
        <v>12952</v>
      </c>
      <c r="F379" s="421" t="s">
        <v>11854</v>
      </c>
      <c r="G379" s="421" t="s">
        <v>5</v>
      </c>
      <c r="H379" s="421" t="s">
        <v>5</v>
      </c>
      <c r="I379" s="421" t="s">
        <v>11969</v>
      </c>
      <c r="J379" s="421" t="s">
        <v>5</v>
      </c>
      <c r="K379" s="421" t="s">
        <v>5</v>
      </c>
      <c r="L379" s="421" t="s">
        <v>5</v>
      </c>
      <c r="M379" s="759" t="s">
        <v>5</v>
      </c>
      <c r="N379" s="760" t="s">
        <v>9265</v>
      </c>
      <c r="O379" s="759" t="s">
        <v>5</v>
      </c>
      <c r="P379" s="421" t="s">
        <v>11802</v>
      </c>
      <c r="Q379" s="757"/>
      <c r="R379" s="757"/>
      <c r="S379" s="757"/>
      <c r="T379" s="757"/>
      <c r="U379" s="757"/>
      <c r="V379" s="757"/>
      <c r="W379" s="757"/>
      <c r="X379" s="757"/>
      <c r="Y379" s="757"/>
      <c r="Z379" s="757"/>
    </row>
    <row r="380" ht="12.75" customHeight="1">
      <c r="A380" s="758">
        <v>378.0</v>
      </c>
      <c r="B380" s="421" t="s">
        <v>12129</v>
      </c>
      <c r="C380" s="421" t="s">
        <v>1550</v>
      </c>
      <c r="D380" s="421" t="s">
        <v>315</v>
      </c>
      <c r="E380" s="421" t="s">
        <v>12953</v>
      </c>
      <c r="F380" s="421" t="s">
        <v>11844</v>
      </c>
      <c r="G380" s="421" t="s">
        <v>5</v>
      </c>
      <c r="H380" s="421" t="s">
        <v>5</v>
      </c>
      <c r="I380" s="421" t="s">
        <v>11918</v>
      </c>
      <c r="J380" s="421" t="s">
        <v>5</v>
      </c>
      <c r="K380" s="421" t="s">
        <v>5</v>
      </c>
      <c r="L380" s="421" t="s">
        <v>5</v>
      </c>
      <c r="M380" s="759" t="s">
        <v>5</v>
      </c>
      <c r="N380" s="760" t="s">
        <v>9265</v>
      </c>
      <c r="O380" s="759" t="s">
        <v>5</v>
      </c>
      <c r="P380" s="421" t="s">
        <v>11802</v>
      </c>
      <c r="Q380" s="757"/>
      <c r="R380" s="757"/>
      <c r="S380" s="757"/>
      <c r="T380" s="757"/>
      <c r="U380" s="757"/>
      <c r="V380" s="757"/>
      <c r="W380" s="757"/>
      <c r="X380" s="757"/>
      <c r="Y380" s="757"/>
      <c r="Z380" s="757"/>
    </row>
    <row r="381" ht="12.75" customHeight="1">
      <c r="A381" s="758">
        <v>379.0</v>
      </c>
      <c r="B381" s="421" t="s">
        <v>12130</v>
      </c>
      <c r="C381" s="421" t="s">
        <v>1396</v>
      </c>
      <c r="D381" s="421" t="s">
        <v>1366</v>
      </c>
      <c r="E381" s="421" t="s">
        <v>12954</v>
      </c>
      <c r="F381" s="421" t="s">
        <v>11851</v>
      </c>
      <c r="G381" s="421" t="s">
        <v>5</v>
      </c>
      <c r="H381" s="421" t="s">
        <v>5</v>
      </c>
      <c r="I381" s="421" t="s">
        <v>11918</v>
      </c>
      <c r="J381" s="421" t="s">
        <v>5</v>
      </c>
      <c r="K381" s="421" t="s">
        <v>5</v>
      </c>
      <c r="L381" s="421" t="s">
        <v>5</v>
      </c>
      <c r="M381" s="759" t="s">
        <v>5</v>
      </c>
      <c r="N381" s="760" t="s">
        <v>9265</v>
      </c>
      <c r="O381" s="759" t="s">
        <v>5</v>
      </c>
      <c r="P381" s="421" t="s">
        <v>11802</v>
      </c>
      <c r="Q381" s="757"/>
      <c r="R381" s="757"/>
      <c r="S381" s="757"/>
      <c r="T381" s="757"/>
      <c r="U381" s="757"/>
      <c r="V381" s="757"/>
      <c r="W381" s="757"/>
      <c r="X381" s="757"/>
      <c r="Y381" s="757"/>
      <c r="Z381" s="757"/>
    </row>
    <row r="382" ht="12.75" customHeight="1">
      <c r="A382" s="758">
        <v>380.0</v>
      </c>
      <c r="B382" s="421" t="s">
        <v>12131</v>
      </c>
      <c r="C382" s="421" t="s">
        <v>1367</v>
      </c>
      <c r="D382" s="421" t="s">
        <v>1366</v>
      </c>
      <c r="E382" s="421" t="s">
        <v>12955</v>
      </c>
      <c r="F382" s="421" t="s">
        <v>11851</v>
      </c>
      <c r="G382" s="421" t="s">
        <v>5</v>
      </c>
      <c r="H382" s="421" t="s">
        <v>5</v>
      </c>
      <c r="I382" s="421" t="s">
        <v>11918</v>
      </c>
      <c r="J382" s="421" t="s">
        <v>5</v>
      </c>
      <c r="K382" s="421" t="s">
        <v>5</v>
      </c>
      <c r="L382" s="421" t="s">
        <v>5</v>
      </c>
      <c r="M382" s="759" t="s">
        <v>5</v>
      </c>
      <c r="N382" s="760" t="s">
        <v>9265</v>
      </c>
      <c r="O382" s="759" t="s">
        <v>5</v>
      </c>
      <c r="P382" s="421" t="s">
        <v>11802</v>
      </c>
      <c r="Q382" s="757"/>
      <c r="R382" s="757"/>
      <c r="S382" s="757"/>
      <c r="T382" s="757"/>
      <c r="U382" s="757"/>
      <c r="V382" s="757"/>
      <c r="W382" s="757"/>
      <c r="X382" s="757"/>
      <c r="Y382" s="757"/>
      <c r="Z382" s="757"/>
    </row>
    <row r="383" ht="12.75" customHeight="1">
      <c r="A383" s="758">
        <v>381.0</v>
      </c>
      <c r="B383" s="421" t="s">
        <v>12132</v>
      </c>
      <c r="C383" s="421" t="s">
        <v>1318</v>
      </c>
      <c r="D383" s="421" t="s">
        <v>315</v>
      </c>
      <c r="E383" s="421" t="s">
        <v>12956</v>
      </c>
      <c r="F383" s="421" t="s">
        <v>11844</v>
      </c>
      <c r="G383" s="421" t="s">
        <v>5</v>
      </c>
      <c r="H383" s="421" t="s">
        <v>5</v>
      </c>
      <c r="I383" s="421" t="s">
        <v>11918</v>
      </c>
      <c r="J383" s="421" t="s">
        <v>5</v>
      </c>
      <c r="K383" s="421" t="s">
        <v>5</v>
      </c>
      <c r="L383" s="421" t="s">
        <v>5</v>
      </c>
      <c r="M383" s="759" t="s">
        <v>5</v>
      </c>
      <c r="N383" s="760" t="s">
        <v>9265</v>
      </c>
      <c r="O383" s="759" t="s">
        <v>5</v>
      </c>
      <c r="P383" s="421" t="s">
        <v>11802</v>
      </c>
      <c r="Q383" s="757"/>
      <c r="R383" s="757"/>
      <c r="S383" s="757"/>
      <c r="T383" s="757"/>
      <c r="U383" s="757"/>
      <c r="V383" s="757"/>
      <c r="W383" s="757"/>
      <c r="X383" s="757"/>
      <c r="Y383" s="757"/>
      <c r="Z383" s="757"/>
    </row>
    <row r="384" ht="12.75" customHeight="1">
      <c r="A384" s="758">
        <v>382.0</v>
      </c>
      <c r="B384" s="421" t="s">
        <v>12133</v>
      </c>
      <c r="C384" s="421" t="s">
        <v>1324</v>
      </c>
      <c r="D384" s="421" t="s">
        <v>1221</v>
      </c>
      <c r="E384" s="421" t="s">
        <v>12957</v>
      </c>
      <c r="F384" s="421" t="s">
        <v>11851</v>
      </c>
      <c r="G384" s="421" t="s">
        <v>5</v>
      </c>
      <c r="H384" s="421" t="s">
        <v>5</v>
      </c>
      <c r="I384" s="421" t="s">
        <v>11918</v>
      </c>
      <c r="J384" s="421" t="s">
        <v>5</v>
      </c>
      <c r="K384" s="421" t="s">
        <v>5</v>
      </c>
      <c r="L384" s="421" t="s">
        <v>5</v>
      </c>
      <c r="M384" s="759" t="s">
        <v>5</v>
      </c>
      <c r="N384" s="760" t="s">
        <v>9265</v>
      </c>
      <c r="O384" s="759" t="s">
        <v>5</v>
      </c>
      <c r="P384" s="421" t="s">
        <v>11802</v>
      </c>
      <c r="Q384" s="757"/>
      <c r="R384" s="757"/>
      <c r="S384" s="757"/>
      <c r="T384" s="757"/>
      <c r="U384" s="757"/>
      <c r="V384" s="757"/>
      <c r="W384" s="757"/>
      <c r="X384" s="757"/>
      <c r="Y384" s="757"/>
      <c r="Z384" s="757"/>
    </row>
    <row r="385" ht="12.75" customHeight="1">
      <c r="A385" s="758">
        <v>383.0</v>
      </c>
      <c r="B385" s="421" t="s">
        <v>12134</v>
      </c>
      <c r="C385" s="421" t="s">
        <v>1222</v>
      </c>
      <c r="D385" s="421" t="s">
        <v>1221</v>
      </c>
      <c r="E385" s="421" t="s">
        <v>12958</v>
      </c>
      <c r="F385" s="421" t="s">
        <v>11851</v>
      </c>
      <c r="G385" s="421" t="s">
        <v>5</v>
      </c>
      <c r="H385" s="421" t="s">
        <v>5</v>
      </c>
      <c r="I385" s="421" t="s">
        <v>11918</v>
      </c>
      <c r="J385" s="421" t="s">
        <v>5</v>
      </c>
      <c r="K385" s="421" t="s">
        <v>5</v>
      </c>
      <c r="L385" s="421" t="s">
        <v>5</v>
      </c>
      <c r="M385" s="759" t="s">
        <v>5</v>
      </c>
      <c r="N385" s="760" t="s">
        <v>9265</v>
      </c>
      <c r="O385" s="759" t="s">
        <v>5</v>
      </c>
      <c r="P385" s="421" t="s">
        <v>11802</v>
      </c>
      <c r="Q385" s="757"/>
      <c r="R385" s="757"/>
      <c r="S385" s="757"/>
      <c r="T385" s="757"/>
      <c r="U385" s="757"/>
      <c r="V385" s="757"/>
      <c r="W385" s="757"/>
      <c r="X385" s="757"/>
      <c r="Y385" s="757"/>
      <c r="Z385" s="757"/>
    </row>
    <row r="386" ht="12.75" customHeight="1">
      <c r="A386" s="758">
        <v>384.0</v>
      </c>
      <c r="B386" s="421" t="s">
        <v>12135</v>
      </c>
      <c r="C386" s="421" t="s">
        <v>10924</v>
      </c>
      <c r="D386" s="421" t="s">
        <v>346</v>
      </c>
      <c r="E386" s="421" t="s">
        <v>12959</v>
      </c>
      <c r="F386" s="421" t="s">
        <v>11850</v>
      </c>
      <c r="G386" s="421" t="s">
        <v>5</v>
      </c>
      <c r="H386" s="421" t="s">
        <v>5</v>
      </c>
      <c r="I386" s="421" t="s">
        <v>5</v>
      </c>
      <c r="J386" s="421" t="s">
        <v>5</v>
      </c>
      <c r="K386" s="421" t="s">
        <v>5</v>
      </c>
      <c r="L386" s="421" t="s">
        <v>5</v>
      </c>
      <c r="M386" s="759" t="s">
        <v>5</v>
      </c>
      <c r="N386" s="760" t="s">
        <v>9265</v>
      </c>
      <c r="O386" s="759" t="s">
        <v>5</v>
      </c>
      <c r="P386" s="421" t="s">
        <v>11802</v>
      </c>
      <c r="Q386" s="757"/>
      <c r="R386" s="757"/>
      <c r="S386" s="757"/>
      <c r="T386" s="757"/>
      <c r="U386" s="757"/>
      <c r="V386" s="757"/>
      <c r="W386" s="757"/>
      <c r="X386" s="757"/>
      <c r="Y386" s="757"/>
      <c r="Z386" s="757"/>
    </row>
    <row r="387" ht="12.75" customHeight="1">
      <c r="A387" s="758">
        <v>385.0</v>
      </c>
      <c r="B387" s="421" t="s">
        <v>12135</v>
      </c>
      <c r="C387" s="421" t="s">
        <v>1626</v>
      </c>
      <c r="D387" s="421" t="s">
        <v>93</v>
      </c>
      <c r="E387" s="421" t="s">
        <v>12960</v>
      </c>
      <c r="F387" s="421" t="s">
        <v>11844</v>
      </c>
      <c r="G387" s="421" t="s">
        <v>5</v>
      </c>
      <c r="H387" s="421" t="s">
        <v>5</v>
      </c>
      <c r="I387" s="421" t="s">
        <v>5</v>
      </c>
      <c r="J387" s="421" t="s">
        <v>5</v>
      </c>
      <c r="K387" s="421" t="s">
        <v>5</v>
      </c>
      <c r="L387" s="421" t="s">
        <v>5</v>
      </c>
      <c r="M387" s="759" t="s">
        <v>5</v>
      </c>
      <c r="N387" s="760" t="s">
        <v>9265</v>
      </c>
      <c r="O387" s="759" t="s">
        <v>5</v>
      </c>
      <c r="P387" s="421" t="s">
        <v>11802</v>
      </c>
      <c r="Q387" s="757"/>
      <c r="R387" s="757"/>
      <c r="S387" s="757"/>
      <c r="T387" s="757"/>
      <c r="U387" s="757"/>
      <c r="V387" s="757"/>
      <c r="W387" s="757"/>
      <c r="X387" s="757"/>
      <c r="Y387" s="757"/>
      <c r="Z387" s="757"/>
    </row>
    <row r="388" ht="12.75" customHeight="1">
      <c r="A388" s="758">
        <v>386.0</v>
      </c>
      <c r="B388" s="421" t="s">
        <v>12136</v>
      </c>
      <c r="C388" s="421" t="s">
        <v>10930</v>
      </c>
      <c r="D388" s="421" t="s">
        <v>93</v>
      </c>
      <c r="E388" s="421" t="s">
        <v>12961</v>
      </c>
      <c r="F388" s="421" t="s">
        <v>11844</v>
      </c>
      <c r="G388" s="421" t="s">
        <v>5</v>
      </c>
      <c r="H388" s="421" t="s">
        <v>5</v>
      </c>
      <c r="I388" s="421" t="s">
        <v>5</v>
      </c>
      <c r="J388" s="421" t="s">
        <v>5</v>
      </c>
      <c r="K388" s="421" t="s">
        <v>5</v>
      </c>
      <c r="L388" s="421" t="s">
        <v>5</v>
      </c>
      <c r="M388" s="759" t="s">
        <v>5</v>
      </c>
      <c r="N388" s="760" t="s">
        <v>9265</v>
      </c>
      <c r="O388" s="759" t="s">
        <v>5</v>
      </c>
      <c r="P388" s="421" t="s">
        <v>11802</v>
      </c>
      <c r="Q388" s="757"/>
      <c r="R388" s="757"/>
      <c r="S388" s="757"/>
      <c r="T388" s="757"/>
      <c r="U388" s="757"/>
      <c r="V388" s="757"/>
      <c r="W388" s="757"/>
      <c r="X388" s="757"/>
      <c r="Y388" s="757"/>
      <c r="Z388" s="757"/>
    </row>
    <row r="389" ht="12.75" customHeight="1">
      <c r="A389" s="758">
        <v>387.0</v>
      </c>
      <c r="B389" s="421" t="s">
        <v>12135</v>
      </c>
      <c r="C389" s="421" t="s">
        <v>904</v>
      </c>
      <c r="D389" s="421" t="s">
        <v>903</v>
      </c>
      <c r="E389" s="421" t="s">
        <v>12962</v>
      </c>
      <c r="F389" s="421" t="s">
        <v>11844</v>
      </c>
      <c r="G389" s="421" t="s">
        <v>5</v>
      </c>
      <c r="H389" s="421" t="s">
        <v>5</v>
      </c>
      <c r="I389" s="421" t="s">
        <v>5</v>
      </c>
      <c r="J389" s="421" t="s">
        <v>5</v>
      </c>
      <c r="K389" s="421" t="s">
        <v>5</v>
      </c>
      <c r="L389" s="421" t="s">
        <v>5</v>
      </c>
      <c r="M389" s="759" t="s">
        <v>5</v>
      </c>
      <c r="N389" s="760" t="s">
        <v>9265</v>
      </c>
      <c r="O389" s="759" t="s">
        <v>5</v>
      </c>
      <c r="P389" s="421" t="s">
        <v>11802</v>
      </c>
      <c r="Q389" s="757"/>
      <c r="R389" s="757"/>
      <c r="S389" s="757"/>
      <c r="T389" s="757"/>
      <c r="U389" s="757"/>
      <c r="V389" s="757"/>
      <c r="W389" s="757"/>
      <c r="X389" s="757"/>
      <c r="Y389" s="757"/>
      <c r="Z389" s="757"/>
    </row>
    <row r="390" ht="12.75" customHeight="1">
      <c r="A390" s="758">
        <v>388.0</v>
      </c>
      <c r="B390" s="421" t="s">
        <v>12135</v>
      </c>
      <c r="C390" s="421" t="s">
        <v>12137</v>
      </c>
      <c r="D390" s="421" t="s">
        <v>903</v>
      </c>
      <c r="E390" s="421" t="s">
        <v>12963</v>
      </c>
      <c r="F390" s="421" t="s">
        <v>11844</v>
      </c>
      <c r="G390" s="421" t="s">
        <v>5</v>
      </c>
      <c r="H390" s="421" t="s">
        <v>5</v>
      </c>
      <c r="I390" s="421" t="s">
        <v>5</v>
      </c>
      <c r="J390" s="421" t="s">
        <v>5</v>
      </c>
      <c r="K390" s="421" t="s">
        <v>5</v>
      </c>
      <c r="L390" s="421" t="s">
        <v>5</v>
      </c>
      <c r="M390" s="759" t="s">
        <v>5</v>
      </c>
      <c r="N390" s="760" t="s">
        <v>9265</v>
      </c>
      <c r="O390" s="759" t="s">
        <v>5</v>
      </c>
      <c r="P390" s="421" t="s">
        <v>11802</v>
      </c>
      <c r="Q390" s="757"/>
      <c r="R390" s="757"/>
      <c r="S390" s="757"/>
      <c r="T390" s="757"/>
      <c r="U390" s="757"/>
      <c r="V390" s="757"/>
      <c r="W390" s="757"/>
      <c r="X390" s="757"/>
      <c r="Y390" s="757"/>
      <c r="Z390" s="757"/>
    </row>
    <row r="391" ht="12.75" customHeight="1">
      <c r="A391" s="758">
        <v>389.0</v>
      </c>
      <c r="B391" s="421" t="s">
        <v>12135</v>
      </c>
      <c r="C391" s="421" t="s">
        <v>915</v>
      </c>
      <c r="D391" s="421" t="s">
        <v>903</v>
      </c>
      <c r="E391" s="421" t="s">
        <v>12964</v>
      </c>
      <c r="F391" s="421" t="s">
        <v>11844</v>
      </c>
      <c r="G391" s="421" t="s">
        <v>5</v>
      </c>
      <c r="H391" s="421" t="s">
        <v>5</v>
      </c>
      <c r="I391" s="421" t="s">
        <v>5</v>
      </c>
      <c r="J391" s="421" t="s">
        <v>5</v>
      </c>
      <c r="K391" s="421" t="s">
        <v>5</v>
      </c>
      <c r="L391" s="421" t="s">
        <v>5</v>
      </c>
      <c r="M391" s="759" t="s">
        <v>5</v>
      </c>
      <c r="N391" s="760" t="s">
        <v>9265</v>
      </c>
      <c r="O391" s="759" t="s">
        <v>5</v>
      </c>
      <c r="P391" s="421" t="s">
        <v>11802</v>
      </c>
      <c r="Q391" s="757"/>
      <c r="R391" s="757"/>
      <c r="S391" s="757"/>
      <c r="T391" s="757"/>
      <c r="U391" s="757"/>
      <c r="V391" s="757"/>
      <c r="W391" s="757"/>
      <c r="X391" s="757"/>
      <c r="Y391" s="757"/>
      <c r="Z391" s="757"/>
    </row>
    <row r="392" ht="12.75" customHeight="1">
      <c r="A392" s="758">
        <v>390.0</v>
      </c>
      <c r="B392" s="421" t="s">
        <v>12135</v>
      </c>
      <c r="C392" s="421" t="s">
        <v>12139</v>
      </c>
      <c r="D392" s="421" t="s">
        <v>903</v>
      </c>
      <c r="E392" s="421" t="s">
        <v>12965</v>
      </c>
      <c r="F392" s="421" t="s">
        <v>11844</v>
      </c>
      <c r="G392" s="421" t="s">
        <v>5</v>
      </c>
      <c r="H392" s="421" t="s">
        <v>5</v>
      </c>
      <c r="I392" s="421" t="s">
        <v>11969</v>
      </c>
      <c r="J392" s="421" t="s">
        <v>5</v>
      </c>
      <c r="K392" s="421" t="s">
        <v>5</v>
      </c>
      <c r="L392" s="421" t="s">
        <v>5</v>
      </c>
      <c r="M392" s="759" t="s">
        <v>5</v>
      </c>
      <c r="N392" s="760" t="s">
        <v>9265</v>
      </c>
      <c r="O392" s="759" t="s">
        <v>5</v>
      </c>
      <c r="P392" s="421" t="s">
        <v>11802</v>
      </c>
      <c r="Q392" s="757"/>
      <c r="R392" s="757"/>
      <c r="S392" s="757"/>
      <c r="T392" s="757"/>
      <c r="U392" s="757"/>
      <c r="V392" s="757"/>
      <c r="W392" s="757"/>
      <c r="X392" s="757"/>
      <c r="Y392" s="757"/>
      <c r="Z392" s="757"/>
    </row>
    <row r="393" ht="12.75" customHeight="1">
      <c r="A393" s="758">
        <v>391.0</v>
      </c>
      <c r="B393" s="421" t="s">
        <v>12140</v>
      </c>
      <c r="C393" s="421" t="s">
        <v>10936</v>
      </c>
      <c r="D393" s="421" t="s">
        <v>93</v>
      </c>
      <c r="E393" s="421" t="s">
        <v>12966</v>
      </c>
      <c r="F393" s="421" t="s">
        <v>11844</v>
      </c>
      <c r="G393" s="421" t="s">
        <v>5</v>
      </c>
      <c r="H393" s="421" t="s">
        <v>5</v>
      </c>
      <c r="I393" s="421" t="s">
        <v>5</v>
      </c>
      <c r="J393" s="421" t="s">
        <v>5</v>
      </c>
      <c r="K393" s="421" t="s">
        <v>5</v>
      </c>
      <c r="L393" s="421" t="s">
        <v>5</v>
      </c>
      <c r="M393" s="759" t="s">
        <v>5</v>
      </c>
      <c r="N393" s="760" t="s">
        <v>9265</v>
      </c>
      <c r="O393" s="759" t="s">
        <v>5</v>
      </c>
      <c r="P393" s="421" t="s">
        <v>11802</v>
      </c>
      <c r="Q393" s="757"/>
      <c r="R393" s="757"/>
      <c r="S393" s="757"/>
      <c r="T393" s="757"/>
      <c r="U393" s="757"/>
      <c r="V393" s="757"/>
      <c r="W393" s="757"/>
      <c r="X393" s="757"/>
      <c r="Y393" s="757"/>
      <c r="Z393" s="757"/>
    </row>
    <row r="394" ht="12.75" customHeight="1">
      <c r="A394" s="758">
        <v>392.0</v>
      </c>
      <c r="B394" s="421" t="s">
        <v>12135</v>
      </c>
      <c r="C394" s="421" t="s">
        <v>367</v>
      </c>
      <c r="D394" s="421" t="s">
        <v>366</v>
      </c>
      <c r="E394" s="421" t="s">
        <v>12967</v>
      </c>
      <c r="F394" s="421" t="s">
        <v>11844</v>
      </c>
      <c r="G394" s="421" t="s">
        <v>5</v>
      </c>
      <c r="H394" s="421" t="s">
        <v>5</v>
      </c>
      <c r="I394" s="421" t="s">
        <v>5</v>
      </c>
      <c r="J394" s="421" t="s">
        <v>5</v>
      </c>
      <c r="K394" s="421" t="s">
        <v>5</v>
      </c>
      <c r="L394" s="421" t="s">
        <v>5</v>
      </c>
      <c r="M394" s="759" t="s">
        <v>5</v>
      </c>
      <c r="N394" s="760" t="s">
        <v>9265</v>
      </c>
      <c r="O394" s="759" t="s">
        <v>5</v>
      </c>
      <c r="P394" s="421" t="s">
        <v>11802</v>
      </c>
      <c r="Q394" s="757"/>
      <c r="R394" s="757"/>
      <c r="S394" s="757"/>
      <c r="T394" s="757"/>
      <c r="U394" s="757"/>
      <c r="V394" s="757"/>
      <c r="W394" s="757"/>
      <c r="X394" s="757"/>
      <c r="Y394" s="757"/>
      <c r="Z394" s="757"/>
    </row>
    <row r="395" ht="12.75" customHeight="1">
      <c r="A395" s="758">
        <v>393.0</v>
      </c>
      <c r="B395" s="421" t="s">
        <v>12135</v>
      </c>
      <c r="C395" s="421" t="s">
        <v>973</v>
      </c>
      <c r="D395" s="421" t="s">
        <v>366</v>
      </c>
      <c r="E395" s="421" t="s">
        <v>12968</v>
      </c>
      <c r="F395" s="421" t="s">
        <v>11844</v>
      </c>
      <c r="G395" s="421" t="s">
        <v>5</v>
      </c>
      <c r="H395" s="421" t="s">
        <v>5</v>
      </c>
      <c r="I395" s="421" t="s">
        <v>5</v>
      </c>
      <c r="J395" s="421" t="s">
        <v>5</v>
      </c>
      <c r="K395" s="421" t="s">
        <v>5</v>
      </c>
      <c r="L395" s="421" t="s">
        <v>5</v>
      </c>
      <c r="M395" s="759" t="s">
        <v>5</v>
      </c>
      <c r="N395" s="760" t="s">
        <v>9265</v>
      </c>
      <c r="O395" s="759" t="s">
        <v>5</v>
      </c>
      <c r="P395" s="421" t="s">
        <v>11802</v>
      </c>
      <c r="Q395" s="757"/>
      <c r="R395" s="757"/>
      <c r="S395" s="757"/>
      <c r="T395" s="757"/>
      <c r="U395" s="757"/>
      <c r="V395" s="757"/>
      <c r="W395" s="757"/>
      <c r="X395" s="757"/>
      <c r="Y395" s="757"/>
      <c r="Z395" s="757"/>
    </row>
    <row r="396" ht="12.75" customHeight="1">
      <c r="A396" s="758">
        <v>394.0</v>
      </c>
      <c r="B396" s="421" t="s">
        <v>12135</v>
      </c>
      <c r="C396" s="421" t="s">
        <v>890</v>
      </c>
      <c r="D396" s="421" t="s">
        <v>93</v>
      </c>
      <c r="E396" s="421" t="s">
        <v>12969</v>
      </c>
      <c r="F396" s="421" t="s">
        <v>11844</v>
      </c>
      <c r="G396" s="421" t="s">
        <v>5</v>
      </c>
      <c r="H396" s="421" t="s">
        <v>5</v>
      </c>
      <c r="I396" s="421" t="s">
        <v>11969</v>
      </c>
      <c r="J396" s="421" t="s">
        <v>5</v>
      </c>
      <c r="K396" s="421" t="s">
        <v>5</v>
      </c>
      <c r="L396" s="421" t="s">
        <v>5</v>
      </c>
      <c r="M396" s="759" t="s">
        <v>5</v>
      </c>
      <c r="N396" s="760" t="s">
        <v>9265</v>
      </c>
      <c r="O396" s="759" t="s">
        <v>5</v>
      </c>
      <c r="P396" s="421" t="s">
        <v>11802</v>
      </c>
      <c r="Q396" s="757"/>
      <c r="R396" s="757"/>
      <c r="S396" s="757"/>
      <c r="T396" s="757"/>
      <c r="U396" s="757"/>
      <c r="V396" s="757"/>
      <c r="W396" s="757"/>
      <c r="X396" s="757"/>
      <c r="Y396" s="757"/>
      <c r="Z396" s="757"/>
    </row>
    <row r="397" ht="12.75" customHeight="1">
      <c r="A397" s="758">
        <v>395.0</v>
      </c>
      <c r="B397" s="421" t="s">
        <v>12141</v>
      </c>
      <c r="C397" s="421" t="s">
        <v>958</v>
      </c>
      <c r="D397" s="421" t="s">
        <v>93</v>
      </c>
      <c r="E397" s="421" t="s">
        <v>12970</v>
      </c>
      <c r="F397" s="421" t="s">
        <v>11851</v>
      </c>
      <c r="G397" s="421" t="s">
        <v>5</v>
      </c>
      <c r="H397" s="421" t="s">
        <v>5</v>
      </c>
      <c r="I397" s="421" t="s">
        <v>11918</v>
      </c>
      <c r="J397" s="421" t="s">
        <v>5</v>
      </c>
      <c r="K397" s="421" t="s">
        <v>5</v>
      </c>
      <c r="L397" s="421" t="s">
        <v>5</v>
      </c>
      <c r="M397" s="759" t="s">
        <v>5</v>
      </c>
      <c r="N397" s="760" t="s">
        <v>9265</v>
      </c>
      <c r="O397" s="759" t="s">
        <v>5</v>
      </c>
      <c r="P397" s="421" t="s">
        <v>11802</v>
      </c>
      <c r="Q397" s="757"/>
      <c r="R397" s="757"/>
      <c r="S397" s="757"/>
      <c r="T397" s="757"/>
      <c r="U397" s="757"/>
      <c r="V397" s="757"/>
      <c r="W397" s="757"/>
      <c r="X397" s="757"/>
      <c r="Y397" s="757"/>
      <c r="Z397" s="757"/>
    </row>
    <row r="398" ht="12.75" customHeight="1">
      <c r="A398" s="758">
        <v>396.0</v>
      </c>
      <c r="B398" s="421" t="s">
        <v>12142</v>
      </c>
      <c r="C398" s="421" t="s">
        <v>11021</v>
      </c>
      <c r="D398" s="421" t="s">
        <v>346</v>
      </c>
      <c r="E398" s="421" t="s">
        <v>12971</v>
      </c>
      <c r="F398" s="421" t="s">
        <v>11850</v>
      </c>
      <c r="G398" s="421" t="s">
        <v>5</v>
      </c>
      <c r="H398" s="421" t="s">
        <v>5</v>
      </c>
      <c r="I398" s="421" t="s">
        <v>5</v>
      </c>
      <c r="J398" s="421" t="s">
        <v>5</v>
      </c>
      <c r="K398" s="421" t="s">
        <v>5</v>
      </c>
      <c r="L398" s="421" t="s">
        <v>5</v>
      </c>
      <c r="M398" s="759" t="s">
        <v>5</v>
      </c>
      <c r="N398" s="760" t="s">
        <v>9265</v>
      </c>
      <c r="O398" s="759" t="s">
        <v>5</v>
      </c>
      <c r="P398" s="421" t="s">
        <v>11802</v>
      </c>
      <c r="Q398" s="757"/>
      <c r="R398" s="757"/>
      <c r="S398" s="757"/>
      <c r="T398" s="757"/>
      <c r="U398" s="757"/>
      <c r="V398" s="757"/>
      <c r="W398" s="757"/>
      <c r="X398" s="757"/>
      <c r="Y398" s="757"/>
      <c r="Z398" s="757"/>
    </row>
    <row r="399" ht="12.75" customHeight="1">
      <c r="A399" s="758">
        <v>397.0</v>
      </c>
      <c r="B399" s="421" t="s">
        <v>12143</v>
      </c>
      <c r="C399" s="421" t="s">
        <v>2663</v>
      </c>
      <c r="D399" s="421" t="s">
        <v>263</v>
      </c>
      <c r="E399" s="421" t="s">
        <v>12972</v>
      </c>
      <c r="F399" s="421" t="s">
        <v>11844</v>
      </c>
      <c r="G399" s="421" t="s">
        <v>5</v>
      </c>
      <c r="H399" s="421" t="s">
        <v>5</v>
      </c>
      <c r="I399" s="421" t="s">
        <v>5</v>
      </c>
      <c r="J399" s="421" t="s">
        <v>5</v>
      </c>
      <c r="K399" s="421" t="s">
        <v>5</v>
      </c>
      <c r="L399" s="421" t="s">
        <v>5</v>
      </c>
      <c r="M399" s="759" t="s">
        <v>5</v>
      </c>
      <c r="N399" s="760" t="s">
        <v>9265</v>
      </c>
      <c r="O399" s="759" t="s">
        <v>5</v>
      </c>
      <c r="P399" s="421" t="s">
        <v>11802</v>
      </c>
      <c r="Q399" s="757"/>
      <c r="R399" s="757"/>
      <c r="S399" s="757"/>
      <c r="T399" s="757"/>
      <c r="U399" s="757"/>
      <c r="V399" s="757"/>
      <c r="W399" s="757"/>
      <c r="X399" s="757"/>
      <c r="Y399" s="757"/>
      <c r="Z399" s="757"/>
    </row>
    <row r="400" ht="12.75" customHeight="1">
      <c r="A400" s="758">
        <v>398.0</v>
      </c>
      <c r="B400" s="421" t="s">
        <v>12144</v>
      </c>
      <c r="C400" s="421" t="s">
        <v>12146</v>
      </c>
      <c r="D400" s="421" t="s">
        <v>263</v>
      </c>
      <c r="E400" s="421" t="s">
        <v>12973</v>
      </c>
      <c r="F400" s="421" t="s">
        <v>11844</v>
      </c>
      <c r="G400" s="421" t="s">
        <v>5</v>
      </c>
      <c r="H400" s="421" t="s">
        <v>5</v>
      </c>
      <c r="I400" s="421" t="s">
        <v>5</v>
      </c>
      <c r="J400" s="421" t="s">
        <v>5</v>
      </c>
      <c r="K400" s="421" t="s">
        <v>5</v>
      </c>
      <c r="L400" s="421" t="s">
        <v>5</v>
      </c>
      <c r="M400" s="759" t="s">
        <v>5</v>
      </c>
      <c r="N400" s="760" t="s">
        <v>9265</v>
      </c>
      <c r="O400" s="759" t="s">
        <v>5</v>
      </c>
      <c r="P400" s="421" t="s">
        <v>11802</v>
      </c>
      <c r="Q400" s="757"/>
      <c r="R400" s="757"/>
      <c r="S400" s="757"/>
      <c r="T400" s="757"/>
      <c r="U400" s="757"/>
      <c r="V400" s="757"/>
      <c r="W400" s="757"/>
      <c r="X400" s="757"/>
      <c r="Y400" s="757"/>
      <c r="Z400" s="757"/>
    </row>
    <row r="401" ht="12.75" customHeight="1">
      <c r="A401" s="758">
        <v>399.0</v>
      </c>
      <c r="B401" s="421" t="s">
        <v>12147</v>
      </c>
      <c r="C401" s="421" t="s">
        <v>12148</v>
      </c>
      <c r="D401" s="421" t="s">
        <v>263</v>
      </c>
      <c r="E401" s="421" t="s">
        <v>12974</v>
      </c>
      <c r="F401" s="421" t="s">
        <v>11844</v>
      </c>
      <c r="G401" s="421" t="s">
        <v>5</v>
      </c>
      <c r="H401" s="421" t="s">
        <v>5</v>
      </c>
      <c r="I401" s="421" t="s">
        <v>5</v>
      </c>
      <c r="J401" s="421" t="s">
        <v>5</v>
      </c>
      <c r="K401" s="421" t="s">
        <v>5</v>
      </c>
      <c r="L401" s="421" t="s">
        <v>5</v>
      </c>
      <c r="M401" s="759" t="s">
        <v>5</v>
      </c>
      <c r="N401" s="760" t="s">
        <v>9265</v>
      </c>
      <c r="O401" s="759" t="s">
        <v>5</v>
      </c>
      <c r="P401" s="421" t="s">
        <v>11802</v>
      </c>
      <c r="Q401" s="757"/>
      <c r="R401" s="757"/>
      <c r="S401" s="757"/>
      <c r="T401" s="757"/>
      <c r="U401" s="757"/>
      <c r="V401" s="757"/>
      <c r="W401" s="757"/>
      <c r="X401" s="757"/>
      <c r="Y401" s="757"/>
      <c r="Z401" s="757"/>
    </row>
    <row r="402" ht="12.75" customHeight="1">
      <c r="A402" s="758">
        <v>400.0</v>
      </c>
      <c r="B402" s="421" t="s">
        <v>12149</v>
      </c>
      <c r="C402" s="421" t="s">
        <v>12151</v>
      </c>
      <c r="D402" s="421" t="s">
        <v>767</v>
      </c>
      <c r="E402" s="421" t="s">
        <v>12975</v>
      </c>
      <c r="F402" s="421" t="s">
        <v>11844</v>
      </c>
      <c r="G402" s="421" t="s">
        <v>5</v>
      </c>
      <c r="H402" s="421" t="s">
        <v>5</v>
      </c>
      <c r="I402" s="421" t="s">
        <v>5</v>
      </c>
      <c r="J402" s="421" t="s">
        <v>5</v>
      </c>
      <c r="K402" s="421" t="s">
        <v>5</v>
      </c>
      <c r="L402" s="421" t="s">
        <v>5</v>
      </c>
      <c r="M402" s="759" t="s">
        <v>5</v>
      </c>
      <c r="N402" s="760" t="s">
        <v>9265</v>
      </c>
      <c r="O402" s="759" t="s">
        <v>5</v>
      </c>
      <c r="P402" s="421" t="s">
        <v>11802</v>
      </c>
      <c r="Q402" s="757"/>
      <c r="R402" s="757"/>
      <c r="S402" s="757"/>
      <c r="T402" s="757"/>
      <c r="U402" s="757"/>
      <c r="V402" s="757"/>
      <c r="W402" s="757"/>
      <c r="X402" s="757"/>
      <c r="Y402" s="757"/>
      <c r="Z402" s="757"/>
    </row>
    <row r="403" ht="12.75" customHeight="1">
      <c r="A403" s="758">
        <v>401.0</v>
      </c>
      <c r="B403" s="421" t="s">
        <v>12147</v>
      </c>
      <c r="C403" s="421" t="s">
        <v>768</v>
      </c>
      <c r="D403" s="421" t="s">
        <v>767</v>
      </c>
      <c r="E403" s="421" t="s">
        <v>12976</v>
      </c>
      <c r="F403" s="421" t="s">
        <v>11844</v>
      </c>
      <c r="G403" s="421" t="s">
        <v>5</v>
      </c>
      <c r="H403" s="421" t="s">
        <v>5</v>
      </c>
      <c r="I403" s="421" t="s">
        <v>5</v>
      </c>
      <c r="J403" s="421" t="s">
        <v>5</v>
      </c>
      <c r="K403" s="421" t="s">
        <v>5</v>
      </c>
      <c r="L403" s="421" t="s">
        <v>5</v>
      </c>
      <c r="M403" s="759" t="s">
        <v>5</v>
      </c>
      <c r="N403" s="760" t="s">
        <v>9265</v>
      </c>
      <c r="O403" s="759" t="s">
        <v>5</v>
      </c>
      <c r="P403" s="421" t="s">
        <v>11802</v>
      </c>
      <c r="Q403" s="757"/>
      <c r="R403" s="757"/>
      <c r="S403" s="757"/>
      <c r="T403" s="757"/>
      <c r="U403" s="757"/>
      <c r="V403" s="757"/>
      <c r="W403" s="757"/>
      <c r="X403" s="757"/>
      <c r="Y403" s="757"/>
      <c r="Z403" s="757"/>
    </row>
    <row r="404" ht="12.75" customHeight="1">
      <c r="A404" s="758">
        <v>402.0</v>
      </c>
      <c r="B404" s="421" t="s">
        <v>12152</v>
      </c>
      <c r="C404" s="421" t="s">
        <v>12154</v>
      </c>
      <c r="D404" s="421" t="s">
        <v>263</v>
      </c>
      <c r="E404" s="421" t="s">
        <v>12977</v>
      </c>
      <c r="F404" s="421" t="s">
        <v>11844</v>
      </c>
      <c r="G404" s="421" t="s">
        <v>5</v>
      </c>
      <c r="H404" s="421" t="s">
        <v>5</v>
      </c>
      <c r="I404" s="421" t="s">
        <v>5</v>
      </c>
      <c r="J404" s="421" t="s">
        <v>5</v>
      </c>
      <c r="K404" s="421" t="s">
        <v>5</v>
      </c>
      <c r="L404" s="421" t="s">
        <v>5</v>
      </c>
      <c r="M404" s="759" t="s">
        <v>5</v>
      </c>
      <c r="N404" s="760" t="s">
        <v>9265</v>
      </c>
      <c r="O404" s="759" t="s">
        <v>5</v>
      </c>
      <c r="P404" s="421" t="s">
        <v>11802</v>
      </c>
      <c r="Q404" s="757"/>
      <c r="R404" s="757"/>
      <c r="S404" s="757"/>
      <c r="T404" s="757"/>
      <c r="U404" s="757"/>
      <c r="V404" s="757"/>
      <c r="W404" s="757"/>
      <c r="X404" s="757"/>
      <c r="Y404" s="757"/>
      <c r="Z404" s="757"/>
    </row>
    <row r="405" ht="12.75" customHeight="1">
      <c r="A405" s="758">
        <v>403.0</v>
      </c>
      <c r="B405" s="421" t="s">
        <v>12155</v>
      </c>
      <c r="C405" s="421" t="s">
        <v>12157</v>
      </c>
      <c r="D405" s="421" t="s">
        <v>12153</v>
      </c>
      <c r="E405" s="421" t="s">
        <v>12978</v>
      </c>
      <c r="F405" s="421" t="s">
        <v>11844</v>
      </c>
      <c r="G405" s="421" t="s">
        <v>5</v>
      </c>
      <c r="H405" s="421" t="s">
        <v>5</v>
      </c>
      <c r="I405" s="421" t="s">
        <v>5</v>
      </c>
      <c r="J405" s="421" t="s">
        <v>5</v>
      </c>
      <c r="K405" s="421" t="s">
        <v>5</v>
      </c>
      <c r="L405" s="421" t="s">
        <v>5</v>
      </c>
      <c r="M405" s="759" t="s">
        <v>5</v>
      </c>
      <c r="N405" s="760" t="s">
        <v>9265</v>
      </c>
      <c r="O405" s="759" t="s">
        <v>5</v>
      </c>
      <c r="P405" s="421" t="s">
        <v>11802</v>
      </c>
      <c r="Q405" s="757"/>
      <c r="R405" s="757"/>
      <c r="S405" s="757"/>
      <c r="T405" s="757"/>
      <c r="U405" s="757"/>
      <c r="V405" s="757"/>
      <c r="W405" s="757"/>
      <c r="X405" s="757"/>
      <c r="Y405" s="757"/>
      <c r="Z405" s="757"/>
    </row>
    <row r="406" ht="12.75" customHeight="1">
      <c r="A406" s="758">
        <v>404.0</v>
      </c>
      <c r="B406" s="421" t="s">
        <v>12158</v>
      </c>
      <c r="C406" s="421" t="s">
        <v>12160</v>
      </c>
      <c r="D406" s="421" t="s">
        <v>12153</v>
      </c>
      <c r="E406" s="421" t="s">
        <v>12979</v>
      </c>
      <c r="F406" s="421" t="s">
        <v>11844</v>
      </c>
      <c r="G406" s="421" t="s">
        <v>5</v>
      </c>
      <c r="H406" s="421" t="s">
        <v>5</v>
      </c>
      <c r="I406" s="421" t="s">
        <v>5</v>
      </c>
      <c r="J406" s="421" t="s">
        <v>5</v>
      </c>
      <c r="K406" s="421" t="s">
        <v>5</v>
      </c>
      <c r="L406" s="421" t="s">
        <v>5</v>
      </c>
      <c r="M406" s="759" t="s">
        <v>5</v>
      </c>
      <c r="N406" s="760" t="s">
        <v>9265</v>
      </c>
      <c r="O406" s="759" t="s">
        <v>5</v>
      </c>
      <c r="P406" s="421" t="s">
        <v>11802</v>
      </c>
      <c r="Q406" s="757"/>
      <c r="R406" s="757"/>
      <c r="S406" s="757"/>
      <c r="T406" s="757"/>
      <c r="U406" s="757"/>
      <c r="V406" s="757"/>
      <c r="W406" s="757"/>
      <c r="X406" s="757"/>
      <c r="Y406" s="757"/>
      <c r="Z406" s="757"/>
    </row>
    <row r="407" ht="12.75" customHeight="1">
      <c r="A407" s="758">
        <v>405.0</v>
      </c>
      <c r="B407" s="421" t="s">
        <v>12161</v>
      </c>
      <c r="C407" s="421" t="s">
        <v>12163</v>
      </c>
      <c r="D407" s="421" t="s">
        <v>12153</v>
      </c>
      <c r="E407" s="421" t="s">
        <v>12980</v>
      </c>
      <c r="F407" s="421" t="s">
        <v>11844</v>
      </c>
      <c r="G407" s="421" t="s">
        <v>5</v>
      </c>
      <c r="H407" s="421" t="s">
        <v>5</v>
      </c>
      <c r="I407" s="421" t="s">
        <v>5</v>
      </c>
      <c r="J407" s="421" t="s">
        <v>5</v>
      </c>
      <c r="K407" s="421" t="s">
        <v>5</v>
      </c>
      <c r="L407" s="421" t="s">
        <v>5</v>
      </c>
      <c r="M407" s="759" t="s">
        <v>5</v>
      </c>
      <c r="N407" s="760" t="s">
        <v>9265</v>
      </c>
      <c r="O407" s="759" t="s">
        <v>5</v>
      </c>
      <c r="P407" s="421" t="s">
        <v>11802</v>
      </c>
      <c r="Q407" s="757"/>
      <c r="R407" s="757"/>
      <c r="S407" s="757"/>
      <c r="T407" s="757"/>
      <c r="U407" s="757"/>
      <c r="V407" s="757"/>
      <c r="W407" s="757"/>
      <c r="X407" s="757"/>
      <c r="Y407" s="757"/>
      <c r="Z407" s="757"/>
    </row>
    <row r="408" ht="12.75" customHeight="1">
      <c r="A408" s="758">
        <v>406.0</v>
      </c>
      <c r="B408" s="421" t="s">
        <v>12164</v>
      </c>
      <c r="C408" s="421" t="s">
        <v>11025</v>
      </c>
      <c r="D408" s="421" t="s">
        <v>263</v>
      </c>
      <c r="E408" s="421" t="s">
        <v>12981</v>
      </c>
      <c r="F408" s="421" t="s">
        <v>11844</v>
      </c>
      <c r="G408" s="421" t="s">
        <v>5</v>
      </c>
      <c r="H408" s="421" t="s">
        <v>5</v>
      </c>
      <c r="I408" s="421" t="s">
        <v>5</v>
      </c>
      <c r="J408" s="421" t="s">
        <v>5</v>
      </c>
      <c r="K408" s="421" t="s">
        <v>5</v>
      </c>
      <c r="L408" s="421" t="s">
        <v>5</v>
      </c>
      <c r="M408" s="759" t="s">
        <v>5</v>
      </c>
      <c r="N408" s="760" t="s">
        <v>9265</v>
      </c>
      <c r="O408" s="759" t="s">
        <v>5</v>
      </c>
      <c r="P408" s="421" t="s">
        <v>11802</v>
      </c>
      <c r="Q408" s="757"/>
      <c r="R408" s="757"/>
      <c r="S408" s="757"/>
      <c r="T408" s="757"/>
      <c r="U408" s="757"/>
      <c r="V408" s="757"/>
      <c r="W408" s="757"/>
      <c r="X408" s="757"/>
      <c r="Y408" s="757"/>
      <c r="Z408" s="757"/>
    </row>
    <row r="409" ht="12.75" customHeight="1">
      <c r="A409" s="758">
        <v>407.0</v>
      </c>
      <c r="B409" s="421" t="s">
        <v>12164</v>
      </c>
      <c r="C409" s="421" t="s">
        <v>535</v>
      </c>
      <c r="D409" s="421" t="s">
        <v>123</v>
      </c>
      <c r="E409" s="421" t="s">
        <v>12982</v>
      </c>
      <c r="F409" s="421" t="s">
        <v>11844</v>
      </c>
      <c r="G409" s="421" t="s">
        <v>5</v>
      </c>
      <c r="H409" s="421" t="s">
        <v>5</v>
      </c>
      <c r="I409" s="421" t="s">
        <v>5</v>
      </c>
      <c r="J409" s="421" t="s">
        <v>5</v>
      </c>
      <c r="K409" s="421" t="s">
        <v>5</v>
      </c>
      <c r="L409" s="421" t="s">
        <v>5</v>
      </c>
      <c r="M409" s="759" t="s">
        <v>5</v>
      </c>
      <c r="N409" s="760" t="s">
        <v>9265</v>
      </c>
      <c r="O409" s="759" t="s">
        <v>5</v>
      </c>
      <c r="P409" s="421" t="s">
        <v>11802</v>
      </c>
      <c r="Q409" s="757"/>
      <c r="R409" s="757"/>
      <c r="S409" s="757"/>
      <c r="T409" s="757"/>
      <c r="U409" s="757"/>
      <c r="V409" s="757"/>
      <c r="W409" s="757"/>
      <c r="X409" s="757"/>
      <c r="Y409" s="757"/>
      <c r="Z409" s="757"/>
    </row>
    <row r="410" ht="12.75" customHeight="1">
      <c r="A410" s="758">
        <v>408.0</v>
      </c>
      <c r="B410" s="421" t="s">
        <v>12164</v>
      </c>
      <c r="C410" s="421" t="s">
        <v>430</v>
      </c>
      <c r="D410" s="421" t="s">
        <v>123</v>
      </c>
      <c r="E410" s="421" t="s">
        <v>12983</v>
      </c>
      <c r="F410" s="421" t="s">
        <v>11844</v>
      </c>
      <c r="G410" s="421" t="s">
        <v>5</v>
      </c>
      <c r="H410" s="421" t="s">
        <v>5</v>
      </c>
      <c r="I410" s="421" t="s">
        <v>5</v>
      </c>
      <c r="J410" s="421" t="s">
        <v>5</v>
      </c>
      <c r="K410" s="421" t="s">
        <v>5</v>
      </c>
      <c r="L410" s="421" t="s">
        <v>5</v>
      </c>
      <c r="M410" s="759" t="s">
        <v>5</v>
      </c>
      <c r="N410" s="760" t="s">
        <v>9265</v>
      </c>
      <c r="O410" s="759" t="s">
        <v>5</v>
      </c>
      <c r="P410" s="421" t="s">
        <v>11802</v>
      </c>
      <c r="Q410" s="757"/>
      <c r="R410" s="757"/>
      <c r="S410" s="757"/>
      <c r="T410" s="757"/>
      <c r="U410" s="757"/>
      <c r="V410" s="757"/>
      <c r="W410" s="757"/>
      <c r="X410" s="757"/>
      <c r="Y410" s="757"/>
      <c r="Z410" s="757"/>
    </row>
    <row r="411" ht="12.75" customHeight="1">
      <c r="A411" s="758">
        <v>409.0</v>
      </c>
      <c r="B411" s="421" t="s">
        <v>12165</v>
      </c>
      <c r="C411" s="421" t="s">
        <v>11030</v>
      </c>
      <c r="D411" s="421" t="s">
        <v>263</v>
      </c>
      <c r="E411" s="421" t="s">
        <v>12984</v>
      </c>
      <c r="F411" s="421" t="s">
        <v>11844</v>
      </c>
      <c r="G411" s="421" t="s">
        <v>5</v>
      </c>
      <c r="H411" s="421" t="s">
        <v>5</v>
      </c>
      <c r="I411" s="421" t="s">
        <v>5</v>
      </c>
      <c r="J411" s="421" t="s">
        <v>5</v>
      </c>
      <c r="K411" s="421" t="s">
        <v>5</v>
      </c>
      <c r="L411" s="421" t="s">
        <v>5</v>
      </c>
      <c r="M411" s="759" t="s">
        <v>5</v>
      </c>
      <c r="N411" s="760" t="s">
        <v>9265</v>
      </c>
      <c r="O411" s="759" t="s">
        <v>5</v>
      </c>
      <c r="P411" s="421" t="s">
        <v>11802</v>
      </c>
      <c r="Q411" s="757"/>
      <c r="R411" s="757"/>
      <c r="S411" s="757"/>
      <c r="T411" s="757"/>
      <c r="U411" s="757"/>
      <c r="V411" s="757"/>
      <c r="W411" s="757"/>
      <c r="X411" s="757"/>
      <c r="Y411" s="757"/>
      <c r="Z411" s="757"/>
    </row>
    <row r="412" ht="12.75" customHeight="1">
      <c r="A412" s="758">
        <v>410.0</v>
      </c>
      <c r="B412" s="421" t="s">
        <v>12165</v>
      </c>
      <c r="C412" s="421" t="s">
        <v>357</v>
      </c>
      <c r="D412" s="421" t="s">
        <v>356</v>
      </c>
      <c r="E412" s="421" t="s">
        <v>12985</v>
      </c>
      <c r="F412" s="421" t="s">
        <v>11844</v>
      </c>
      <c r="G412" s="421" t="s">
        <v>5</v>
      </c>
      <c r="H412" s="421" t="s">
        <v>5</v>
      </c>
      <c r="I412" s="421" t="s">
        <v>5</v>
      </c>
      <c r="J412" s="421" t="s">
        <v>5</v>
      </c>
      <c r="K412" s="421" t="s">
        <v>5</v>
      </c>
      <c r="L412" s="421" t="s">
        <v>5</v>
      </c>
      <c r="M412" s="759" t="s">
        <v>5</v>
      </c>
      <c r="N412" s="760" t="s">
        <v>9265</v>
      </c>
      <c r="O412" s="759" t="s">
        <v>5</v>
      </c>
      <c r="P412" s="421" t="s">
        <v>11802</v>
      </c>
      <c r="Q412" s="757"/>
      <c r="R412" s="757"/>
      <c r="S412" s="757"/>
      <c r="T412" s="757"/>
      <c r="U412" s="757"/>
      <c r="V412" s="757"/>
      <c r="W412" s="757"/>
      <c r="X412" s="757"/>
      <c r="Y412" s="757"/>
      <c r="Z412" s="757"/>
    </row>
    <row r="413" ht="12.75" customHeight="1">
      <c r="A413" s="758">
        <v>411.0</v>
      </c>
      <c r="B413" s="421" t="s">
        <v>12165</v>
      </c>
      <c r="C413" s="421" t="s">
        <v>548</v>
      </c>
      <c r="D413" s="421" t="s">
        <v>356</v>
      </c>
      <c r="E413" s="421" t="s">
        <v>12986</v>
      </c>
      <c r="F413" s="421" t="s">
        <v>11844</v>
      </c>
      <c r="G413" s="421" t="s">
        <v>5</v>
      </c>
      <c r="H413" s="421" t="s">
        <v>5</v>
      </c>
      <c r="I413" s="421" t="s">
        <v>11969</v>
      </c>
      <c r="J413" s="421" t="s">
        <v>5</v>
      </c>
      <c r="K413" s="421" t="s">
        <v>5</v>
      </c>
      <c r="L413" s="421" t="s">
        <v>5</v>
      </c>
      <c r="M413" s="759" t="s">
        <v>5</v>
      </c>
      <c r="N413" s="760" t="s">
        <v>9265</v>
      </c>
      <c r="O413" s="759" t="s">
        <v>5</v>
      </c>
      <c r="P413" s="421" t="s">
        <v>11802</v>
      </c>
      <c r="Q413" s="757"/>
      <c r="R413" s="757"/>
      <c r="S413" s="757"/>
      <c r="T413" s="757"/>
      <c r="U413" s="757"/>
      <c r="V413" s="757"/>
      <c r="W413" s="757"/>
      <c r="X413" s="757"/>
      <c r="Y413" s="757"/>
      <c r="Z413" s="757"/>
    </row>
    <row r="414" ht="12.75" customHeight="1">
      <c r="A414" s="758">
        <v>412.0</v>
      </c>
      <c r="B414" s="421" t="s">
        <v>12165</v>
      </c>
      <c r="C414" s="421" t="s">
        <v>541</v>
      </c>
      <c r="D414" s="421" t="s">
        <v>356</v>
      </c>
      <c r="E414" s="421" t="s">
        <v>12987</v>
      </c>
      <c r="F414" s="421" t="s">
        <v>11844</v>
      </c>
      <c r="G414" s="421" t="s">
        <v>5</v>
      </c>
      <c r="H414" s="421" t="s">
        <v>5</v>
      </c>
      <c r="I414" s="421" t="s">
        <v>11969</v>
      </c>
      <c r="J414" s="421" t="s">
        <v>5</v>
      </c>
      <c r="K414" s="421" t="s">
        <v>5</v>
      </c>
      <c r="L414" s="421" t="s">
        <v>5</v>
      </c>
      <c r="M414" s="759" t="s">
        <v>5</v>
      </c>
      <c r="N414" s="760" t="s">
        <v>9265</v>
      </c>
      <c r="O414" s="759" t="s">
        <v>5</v>
      </c>
      <c r="P414" s="421" t="s">
        <v>11802</v>
      </c>
      <c r="Q414" s="757"/>
      <c r="R414" s="757"/>
      <c r="S414" s="757"/>
      <c r="T414" s="757"/>
      <c r="U414" s="757"/>
      <c r="V414" s="757"/>
      <c r="W414" s="757"/>
      <c r="X414" s="757"/>
      <c r="Y414" s="757"/>
      <c r="Z414" s="757"/>
    </row>
    <row r="415" ht="12.75" customHeight="1">
      <c r="A415" s="758">
        <v>413.0</v>
      </c>
      <c r="B415" s="421" t="s">
        <v>12166</v>
      </c>
      <c r="C415" s="421" t="s">
        <v>11645</v>
      </c>
      <c r="D415" s="421" t="s">
        <v>356</v>
      </c>
      <c r="E415" s="421" t="s">
        <v>12988</v>
      </c>
      <c r="F415" s="421" t="s">
        <v>11844</v>
      </c>
      <c r="G415" s="421" t="s">
        <v>5</v>
      </c>
      <c r="H415" s="421" t="s">
        <v>5</v>
      </c>
      <c r="I415" s="421" t="s">
        <v>11969</v>
      </c>
      <c r="J415" s="421" t="s">
        <v>5</v>
      </c>
      <c r="K415" s="421" t="s">
        <v>5</v>
      </c>
      <c r="L415" s="421" t="s">
        <v>5</v>
      </c>
      <c r="M415" s="759" t="s">
        <v>5</v>
      </c>
      <c r="N415" s="760" t="s">
        <v>9265</v>
      </c>
      <c r="O415" s="759" t="s">
        <v>5</v>
      </c>
      <c r="P415" s="421" t="s">
        <v>11802</v>
      </c>
      <c r="Q415" s="757"/>
      <c r="R415" s="757"/>
      <c r="S415" s="757"/>
      <c r="T415" s="757"/>
      <c r="U415" s="757"/>
      <c r="V415" s="757"/>
      <c r="W415" s="757"/>
      <c r="X415" s="757"/>
      <c r="Y415" s="757"/>
      <c r="Z415" s="757"/>
    </row>
    <row r="416" ht="12.75" customHeight="1">
      <c r="A416" s="758">
        <v>414.0</v>
      </c>
      <c r="B416" s="421" t="s">
        <v>12167</v>
      </c>
      <c r="C416" s="421" t="s">
        <v>410</v>
      </c>
      <c r="D416" s="421" t="s">
        <v>263</v>
      </c>
      <c r="E416" s="421" t="s">
        <v>12989</v>
      </c>
      <c r="F416" s="421" t="s">
        <v>11844</v>
      </c>
      <c r="G416" s="421" t="s">
        <v>5</v>
      </c>
      <c r="H416" s="421" t="s">
        <v>5</v>
      </c>
      <c r="I416" s="421" t="s">
        <v>11969</v>
      </c>
      <c r="J416" s="421" t="s">
        <v>5</v>
      </c>
      <c r="K416" s="421" t="s">
        <v>5</v>
      </c>
      <c r="L416" s="421" t="s">
        <v>5</v>
      </c>
      <c r="M416" s="759" t="s">
        <v>5</v>
      </c>
      <c r="N416" s="760" t="s">
        <v>9265</v>
      </c>
      <c r="O416" s="759" t="s">
        <v>5</v>
      </c>
      <c r="P416" s="421" t="s">
        <v>11802</v>
      </c>
      <c r="Q416" s="757"/>
      <c r="R416" s="757"/>
      <c r="S416" s="757"/>
      <c r="T416" s="757"/>
      <c r="U416" s="757"/>
      <c r="V416" s="757"/>
      <c r="W416" s="757"/>
      <c r="X416" s="757"/>
      <c r="Y416" s="757"/>
      <c r="Z416" s="757"/>
    </row>
    <row r="417" ht="12.75" customHeight="1">
      <c r="A417" s="758">
        <v>415.0</v>
      </c>
      <c r="B417" s="421" t="s">
        <v>12168</v>
      </c>
      <c r="C417" s="421" t="s">
        <v>748</v>
      </c>
      <c r="D417" s="421" t="s">
        <v>263</v>
      </c>
      <c r="E417" s="421" t="s">
        <v>12990</v>
      </c>
      <c r="F417" s="421" t="s">
        <v>11844</v>
      </c>
      <c r="G417" s="421" t="s">
        <v>5</v>
      </c>
      <c r="H417" s="421" t="s">
        <v>5</v>
      </c>
      <c r="I417" s="421" t="s">
        <v>11969</v>
      </c>
      <c r="J417" s="421" t="s">
        <v>5</v>
      </c>
      <c r="K417" s="421" t="s">
        <v>5</v>
      </c>
      <c r="L417" s="421" t="s">
        <v>5</v>
      </c>
      <c r="M417" s="759" t="s">
        <v>5</v>
      </c>
      <c r="N417" s="760" t="s">
        <v>9265</v>
      </c>
      <c r="O417" s="759" t="s">
        <v>5</v>
      </c>
      <c r="P417" s="421" t="s">
        <v>11802</v>
      </c>
      <c r="Q417" s="757"/>
      <c r="R417" s="757"/>
      <c r="S417" s="757"/>
      <c r="T417" s="757"/>
      <c r="U417" s="757"/>
      <c r="V417" s="757"/>
      <c r="W417" s="757"/>
      <c r="X417" s="757"/>
      <c r="Y417" s="757"/>
      <c r="Z417" s="757"/>
    </row>
    <row r="418" ht="12.75" customHeight="1">
      <c r="A418" s="758">
        <v>416.0</v>
      </c>
      <c r="B418" s="421" t="s">
        <v>12169</v>
      </c>
      <c r="C418" s="421" t="s">
        <v>4022</v>
      </c>
      <c r="D418" s="421" t="s">
        <v>346</v>
      </c>
      <c r="E418" s="421" t="s">
        <v>12991</v>
      </c>
      <c r="F418" s="421" t="s">
        <v>11844</v>
      </c>
      <c r="G418" s="421" t="s">
        <v>5</v>
      </c>
      <c r="H418" s="421" t="s">
        <v>5</v>
      </c>
      <c r="I418" s="421" t="s">
        <v>5</v>
      </c>
      <c r="J418" s="421" t="s">
        <v>5</v>
      </c>
      <c r="K418" s="421" t="s">
        <v>5</v>
      </c>
      <c r="L418" s="421" t="s">
        <v>5</v>
      </c>
      <c r="M418" s="759" t="s">
        <v>5</v>
      </c>
      <c r="N418" s="760" t="s">
        <v>9265</v>
      </c>
      <c r="O418" s="759" t="s">
        <v>5</v>
      </c>
      <c r="P418" s="421" t="s">
        <v>11802</v>
      </c>
      <c r="Q418" s="757"/>
      <c r="R418" s="757"/>
      <c r="S418" s="757"/>
      <c r="T418" s="757"/>
      <c r="U418" s="757"/>
      <c r="V418" s="757"/>
      <c r="W418" s="757"/>
      <c r="X418" s="757"/>
      <c r="Y418" s="757"/>
      <c r="Z418" s="757"/>
    </row>
    <row r="419" ht="12.75" customHeight="1">
      <c r="A419" s="758">
        <v>417.0</v>
      </c>
      <c r="B419" s="421" t="s">
        <v>12170</v>
      </c>
      <c r="C419" s="421" t="s">
        <v>650</v>
      </c>
      <c r="D419" s="421" t="s">
        <v>101</v>
      </c>
      <c r="E419" s="421" t="s">
        <v>12992</v>
      </c>
      <c r="F419" s="421" t="s">
        <v>11851</v>
      </c>
      <c r="G419" s="421" t="s">
        <v>5</v>
      </c>
      <c r="H419" s="421" t="s">
        <v>5</v>
      </c>
      <c r="I419" s="421" t="s">
        <v>5</v>
      </c>
      <c r="J419" s="421" t="s">
        <v>5</v>
      </c>
      <c r="K419" s="421" t="s">
        <v>5</v>
      </c>
      <c r="L419" s="421" t="s">
        <v>5</v>
      </c>
      <c r="M419" s="759" t="s">
        <v>5</v>
      </c>
      <c r="N419" s="760" t="s">
        <v>9265</v>
      </c>
      <c r="O419" s="759" t="s">
        <v>5</v>
      </c>
      <c r="P419" s="421" t="s">
        <v>11802</v>
      </c>
      <c r="Q419" s="757"/>
      <c r="R419" s="757"/>
      <c r="S419" s="757"/>
      <c r="T419" s="757"/>
      <c r="U419" s="757"/>
      <c r="V419" s="757"/>
      <c r="W419" s="757"/>
      <c r="X419" s="757"/>
      <c r="Y419" s="757"/>
      <c r="Z419" s="757"/>
    </row>
    <row r="420" ht="12.75" customHeight="1">
      <c r="A420" s="758">
        <v>418.0</v>
      </c>
      <c r="B420" s="421" t="s">
        <v>12171</v>
      </c>
      <c r="C420" s="421" t="s">
        <v>662</v>
      </c>
      <c r="D420" s="421" t="s">
        <v>101</v>
      </c>
      <c r="E420" s="421" t="s">
        <v>12993</v>
      </c>
      <c r="F420" s="421" t="s">
        <v>11851</v>
      </c>
      <c r="G420" s="421" t="s">
        <v>5</v>
      </c>
      <c r="H420" s="421" t="s">
        <v>5</v>
      </c>
      <c r="I420" s="421" t="s">
        <v>5</v>
      </c>
      <c r="J420" s="421" t="s">
        <v>5</v>
      </c>
      <c r="K420" s="421" t="s">
        <v>5</v>
      </c>
      <c r="L420" s="421" t="s">
        <v>5</v>
      </c>
      <c r="M420" s="759" t="s">
        <v>5</v>
      </c>
      <c r="N420" s="760" t="s">
        <v>9265</v>
      </c>
      <c r="O420" s="759" t="s">
        <v>5</v>
      </c>
      <c r="P420" s="421" t="s">
        <v>11802</v>
      </c>
      <c r="Q420" s="757"/>
      <c r="R420" s="757"/>
      <c r="S420" s="757"/>
      <c r="T420" s="757"/>
      <c r="U420" s="757"/>
      <c r="V420" s="757"/>
      <c r="W420" s="757"/>
      <c r="X420" s="757"/>
      <c r="Y420" s="757"/>
      <c r="Z420" s="757"/>
    </row>
    <row r="421" ht="12.75" customHeight="1">
      <c r="A421" s="758">
        <v>419.0</v>
      </c>
      <c r="B421" s="421" t="s">
        <v>12172</v>
      </c>
      <c r="C421" s="421" t="s">
        <v>12174</v>
      </c>
      <c r="D421" s="421" t="s">
        <v>346</v>
      </c>
      <c r="E421" s="421" t="s">
        <v>12994</v>
      </c>
      <c r="F421" s="421" t="s">
        <v>11850</v>
      </c>
      <c r="G421" s="421" t="s">
        <v>5</v>
      </c>
      <c r="H421" s="421" t="s">
        <v>5</v>
      </c>
      <c r="I421" s="421" t="s">
        <v>11969</v>
      </c>
      <c r="J421" s="421" t="s">
        <v>5</v>
      </c>
      <c r="K421" s="421" t="s">
        <v>5</v>
      </c>
      <c r="L421" s="421" t="s">
        <v>5</v>
      </c>
      <c r="M421" s="759" t="s">
        <v>5</v>
      </c>
      <c r="N421" s="760" t="s">
        <v>9265</v>
      </c>
      <c r="O421" s="759" t="s">
        <v>5</v>
      </c>
      <c r="P421" s="421" t="s">
        <v>11802</v>
      </c>
      <c r="Q421" s="757"/>
      <c r="R421" s="757"/>
      <c r="S421" s="757"/>
      <c r="T421" s="757"/>
      <c r="U421" s="757"/>
      <c r="V421" s="757"/>
      <c r="W421" s="757"/>
      <c r="X421" s="757"/>
      <c r="Y421" s="757"/>
      <c r="Z421" s="757"/>
    </row>
    <row r="422" ht="12.75" customHeight="1">
      <c r="A422" s="758">
        <v>420.0</v>
      </c>
      <c r="B422" s="421" t="s">
        <v>12175</v>
      </c>
      <c r="C422" s="421" t="s">
        <v>12177</v>
      </c>
      <c r="D422" s="421" t="s">
        <v>12173</v>
      </c>
      <c r="E422" s="421" t="s">
        <v>12995</v>
      </c>
      <c r="F422" s="421" t="s">
        <v>11844</v>
      </c>
      <c r="G422" s="421" t="s">
        <v>5</v>
      </c>
      <c r="H422" s="421" t="s">
        <v>5</v>
      </c>
      <c r="I422" s="421" t="s">
        <v>11969</v>
      </c>
      <c r="J422" s="421" t="s">
        <v>5</v>
      </c>
      <c r="K422" s="421" t="s">
        <v>5</v>
      </c>
      <c r="L422" s="421" t="s">
        <v>5</v>
      </c>
      <c r="M422" s="759" t="s">
        <v>5</v>
      </c>
      <c r="N422" s="760" t="s">
        <v>9265</v>
      </c>
      <c r="O422" s="759" t="s">
        <v>5</v>
      </c>
      <c r="P422" s="421" t="s">
        <v>11802</v>
      </c>
      <c r="Q422" s="757"/>
      <c r="R422" s="757"/>
      <c r="S422" s="757"/>
      <c r="T422" s="757"/>
      <c r="U422" s="757"/>
      <c r="V422" s="757"/>
      <c r="W422" s="757"/>
      <c r="X422" s="757"/>
      <c r="Y422" s="757"/>
      <c r="Z422" s="757"/>
    </row>
    <row r="423" ht="12.75" customHeight="1">
      <c r="A423" s="758">
        <v>421.0</v>
      </c>
      <c r="B423" s="421" t="s">
        <v>12178</v>
      </c>
      <c r="C423" s="421" t="s">
        <v>12179</v>
      </c>
      <c r="D423" s="421" t="s">
        <v>12173</v>
      </c>
      <c r="E423" s="421" t="s">
        <v>12969</v>
      </c>
      <c r="F423" s="421" t="s">
        <v>11844</v>
      </c>
      <c r="G423" s="421" t="s">
        <v>5</v>
      </c>
      <c r="H423" s="421" t="s">
        <v>5</v>
      </c>
      <c r="I423" s="421" t="s">
        <v>11969</v>
      </c>
      <c r="J423" s="421" t="s">
        <v>5</v>
      </c>
      <c r="K423" s="421" t="s">
        <v>5</v>
      </c>
      <c r="L423" s="421" t="s">
        <v>5</v>
      </c>
      <c r="M423" s="759" t="s">
        <v>5</v>
      </c>
      <c r="N423" s="760" t="s">
        <v>9265</v>
      </c>
      <c r="O423" s="759" t="s">
        <v>5</v>
      </c>
      <c r="P423" s="421" t="s">
        <v>11802</v>
      </c>
      <c r="Q423" s="757"/>
      <c r="R423" s="757"/>
      <c r="S423" s="757"/>
      <c r="T423" s="757"/>
      <c r="U423" s="757"/>
      <c r="V423" s="757"/>
      <c r="W423" s="757"/>
      <c r="X423" s="757"/>
      <c r="Y423" s="757"/>
      <c r="Z423" s="757"/>
    </row>
    <row r="424" ht="12.75" customHeight="1">
      <c r="A424" s="758">
        <v>422.0</v>
      </c>
      <c r="B424" s="421" t="s">
        <v>12180</v>
      </c>
      <c r="C424" s="421" t="s">
        <v>12182</v>
      </c>
      <c r="D424" s="421" t="s">
        <v>12173</v>
      </c>
      <c r="E424" s="421" t="s">
        <v>12996</v>
      </c>
      <c r="F424" s="421" t="s">
        <v>11844</v>
      </c>
      <c r="G424" s="421" t="s">
        <v>5</v>
      </c>
      <c r="H424" s="421" t="s">
        <v>5</v>
      </c>
      <c r="I424" s="421" t="s">
        <v>11969</v>
      </c>
      <c r="J424" s="421" t="s">
        <v>5</v>
      </c>
      <c r="K424" s="421" t="s">
        <v>5</v>
      </c>
      <c r="L424" s="421" t="s">
        <v>5</v>
      </c>
      <c r="M424" s="759" t="s">
        <v>5</v>
      </c>
      <c r="N424" s="760" t="s">
        <v>9265</v>
      </c>
      <c r="O424" s="759" t="s">
        <v>5</v>
      </c>
      <c r="P424" s="421" t="s">
        <v>11802</v>
      </c>
      <c r="Q424" s="757"/>
      <c r="R424" s="757"/>
      <c r="S424" s="757"/>
      <c r="T424" s="757"/>
      <c r="U424" s="757"/>
      <c r="V424" s="757"/>
      <c r="W424" s="757"/>
      <c r="X424" s="757"/>
      <c r="Y424" s="757"/>
      <c r="Z424" s="757"/>
    </row>
    <row r="425" ht="12.75" customHeight="1">
      <c r="A425" s="758">
        <v>423.0</v>
      </c>
      <c r="B425" s="421" t="s">
        <v>12183</v>
      </c>
      <c r="C425" s="421" t="s">
        <v>12184</v>
      </c>
      <c r="D425" s="421" t="s">
        <v>10527</v>
      </c>
      <c r="E425" s="421" t="s">
        <v>12997</v>
      </c>
      <c r="F425" s="421" t="s">
        <v>11840</v>
      </c>
      <c r="G425" s="421" t="s">
        <v>5</v>
      </c>
      <c r="H425" s="421" t="s">
        <v>5</v>
      </c>
      <c r="I425" s="421" t="s">
        <v>5</v>
      </c>
      <c r="J425" s="421" t="s">
        <v>5</v>
      </c>
      <c r="K425" s="421" t="s">
        <v>5</v>
      </c>
      <c r="L425" s="421" t="s">
        <v>5</v>
      </c>
      <c r="M425" s="759" t="s">
        <v>5</v>
      </c>
      <c r="N425" s="760" t="s">
        <v>9265</v>
      </c>
      <c r="O425" s="759" t="s">
        <v>5</v>
      </c>
      <c r="P425" s="421" t="s">
        <v>11802</v>
      </c>
      <c r="Q425" s="757"/>
      <c r="R425" s="757"/>
      <c r="S425" s="757"/>
      <c r="T425" s="757"/>
      <c r="U425" s="757"/>
      <c r="V425" s="757"/>
      <c r="W425" s="757"/>
      <c r="X425" s="757"/>
      <c r="Y425" s="757"/>
      <c r="Z425" s="757"/>
    </row>
    <row r="426" ht="12.75" customHeight="1">
      <c r="A426" s="758">
        <v>424.0</v>
      </c>
      <c r="B426" s="421" t="s">
        <v>12185</v>
      </c>
      <c r="C426" s="421" t="s">
        <v>7602</v>
      </c>
      <c r="D426" s="421" t="s">
        <v>262</v>
      </c>
      <c r="E426" s="421" t="s">
        <v>12998</v>
      </c>
      <c r="F426" s="421" t="s">
        <v>11844</v>
      </c>
      <c r="G426" s="421" t="s">
        <v>5</v>
      </c>
      <c r="H426" s="421" t="s">
        <v>5</v>
      </c>
      <c r="I426" s="421" t="s">
        <v>5</v>
      </c>
      <c r="J426" s="421" t="s">
        <v>5</v>
      </c>
      <c r="K426" s="421" t="s">
        <v>5</v>
      </c>
      <c r="L426" s="421" t="s">
        <v>5</v>
      </c>
      <c r="M426" s="759" t="s">
        <v>5</v>
      </c>
      <c r="N426" s="760" t="s">
        <v>9265</v>
      </c>
      <c r="O426" s="759" t="s">
        <v>5</v>
      </c>
      <c r="P426" s="421" t="s">
        <v>11802</v>
      </c>
      <c r="Q426" s="757"/>
      <c r="R426" s="757"/>
      <c r="S426" s="757"/>
      <c r="T426" s="757"/>
      <c r="U426" s="757"/>
      <c r="V426" s="757"/>
      <c r="W426" s="757"/>
      <c r="X426" s="757"/>
      <c r="Y426" s="757"/>
      <c r="Z426" s="757"/>
    </row>
    <row r="427" ht="12.75" customHeight="1">
      <c r="A427" s="758">
        <v>425.0</v>
      </c>
      <c r="B427" s="421" t="s">
        <v>12186</v>
      </c>
      <c r="C427" s="421" t="s">
        <v>2475</v>
      </c>
      <c r="D427" s="421" t="s">
        <v>262</v>
      </c>
      <c r="E427" s="421" t="s">
        <v>12873</v>
      </c>
      <c r="F427" s="421" t="s">
        <v>11844</v>
      </c>
      <c r="G427" s="421" t="s">
        <v>5</v>
      </c>
      <c r="H427" s="421" t="s">
        <v>5</v>
      </c>
      <c r="I427" s="421" t="s">
        <v>5</v>
      </c>
      <c r="J427" s="421" t="s">
        <v>5</v>
      </c>
      <c r="K427" s="421" t="s">
        <v>5</v>
      </c>
      <c r="L427" s="421" t="s">
        <v>5</v>
      </c>
      <c r="M427" s="759" t="s">
        <v>5</v>
      </c>
      <c r="N427" s="760" t="s">
        <v>9265</v>
      </c>
      <c r="O427" s="759" t="s">
        <v>5</v>
      </c>
      <c r="P427" s="421" t="s">
        <v>11802</v>
      </c>
      <c r="Q427" s="757"/>
      <c r="R427" s="757"/>
      <c r="S427" s="757"/>
      <c r="T427" s="757"/>
      <c r="U427" s="757"/>
      <c r="V427" s="757"/>
      <c r="W427" s="757"/>
      <c r="X427" s="757"/>
      <c r="Y427" s="757"/>
      <c r="Z427" s="757"/>
    </row>
    <row r="428" ht="12.75" customHeight="1">
      <c r="A428" s="758">
        <v>426.0</v>
      </c>
      <c r="B428" s="421" t="s">
        <v>12187</v>
      </c>
      <c r="C428" s="421" t="s">
        <v>2452</v>
      </c>
      <c r="D428" s="421" t="s">
        <v>262</v>
      </c>
      <c r="E428" s="421" t="s">
        <v>12816</v>
      </c>
      <c r="F428" s="421" t="s">
        <v>11844</v>
      </c>
      <c r="G428" s="421" t="s">
        <v>5</v>
      </c>
      <c r="H428" s="421" t="s">
        <v>5</v>
      </c>
      <c r="I428" s="421" t="s">
        <v>5</v>
      </c>
      <c r="J428" s="421" t="s">
        <v>5</v>
      </c>
      <c r="K428" s="421" t="s">
        <v>5</v>
      </c>
      <c r="L428" s="421" t="s">
        <v>5</v>
      </c>
      <c r="M428" s="759" t="s">
        <v>5</v>
      </c>
      <c r="N428" s="760" t="s">
        <v>9265</v>
      </c>
      <c r="O428" s="759" t="s">
        <v>5</v>
      </c>
      <c r="P428" s="421" t="s">
        <v>11802</v>
      </c>
      <c r="Q428" s="757"/>
      <c r="R428" s="757"/>
      <c r="S428" s="757"/>
      <c r="T428" s="757"/>
      <c r="U428" s="757"/>
      <c r="V428" s="757"/>
      <c r="W428" s="757"/>
      <c r="X428" s="757"/>
      <c r="Y428" s="757"/>
      <c r="Z428" s="757"/>
    </row>
    <row r="429" ht="12.75" customHeight="1">
      <c r="A429" s="758">
        <v>427.0</v>
      </c>
      <c r="B429" s="421" t="s">
        <v>12188</v>
      </c>
      <c r="C429" s="421" t="s">
        <v>2423</v>
      </c>
      <c r="D429" s="421" t="s">
        <v>262</v>
      </c>
      <c r="E429" s="421" t="s">
        <v>12874</v>
      </c>
      <c r="F429" s="421" t="s">
        <v>11844</v>
      </c>
      <c r="G429" s="421" t="s">
        <v>5</v>
      </c>
      <c r="H429" s="421" t="s">
        <v>5</v>
      </c>
      <c r="I429" s="421" t="s">
        <v>5</v>
      </c>
      <c r="J429" s="421" t="s">
        <v>5</v>
      </c>
      <c r="K429" s="421" t="s">
        <v>5</v>
      </c>
      <c r="L429" s="421" t="s">
        <v>5</v>
      </c>
      <c r="M429" s="759" t="s">
        <v>5</v>
      </c>
      <c r="N429" s="760" t="s">
        <v>9265</v>
      </c>
      <c r="O429" s="759" t="s">
        <v>5</v>
      </c>
      <c r="P429" s="421" t="s">
        <v>11802</v>
      </c>
      <c r="Q429" s="757"/>
      <c r="R429" s="757"/>
      <c r="S429" s="757"/>
      <c r="T429" s="757"/>
      <c r="U429" s="757"/>
      <c r="V429" s="757"/>
      <c r="W429" s="757"/>
      <c r="X429" s="757"/>
      <c r="Y429" s="757"/>
      <c r="Z429" s="757"/>
    </row>
    <row r="430" ht="12.75" customHeight="1">
      <c r="A430" s="758">
        <v>428.0</v>
      </c>
      <c r="B430" s="421" t="s">
        <v>12189</v>
      </c>
      <c r="C430" s="421" t="s">
        <v>2431</v>
      </c>
      <c r="D430" s="421" t="s">
        <v>262</v>
      </c>
      <c r="E430" s="421" t="s">
        <v>12875</v>
      </c>
      <c r="F430" s="421" t="s">
        <v>11844</v>
      </c>
      <c r="G430" s="421" t="s">
        <v>5</v>
      </c>
      <c r="H430" s="421" t="s">
        <v>5</v>
      </c>
      <c r="I430" s="421" t="s">
        <v>5</v>
      </c>
      <c r="J430" s="421" t="s">
        <v>5</v>
      </c>
      <c r="K430" s="421" t="s">
        <v>5</v>
      </c>
      <c r="L430" s="421" t="s">
        <v>5</v>
      </c>
      <c r="M430" s="759" t="s">
        <v>5</v>
      </c>
      <c r="N430" s="760" t="s">
        <v>9265</v>
      </c>
      <c r="O430" s="759" t="s">
        <v>5</v>
      </c>
      <c r="P430" s="421" t="s">
        <v>11802</v>
      </c>
      <c r="Q430" s="757"/>
      <c r="R430" s="757"/>
      <c r="S430" s="757"/>
      <c r="T430" s="757"/>
      <c r="U430" s="757"/>
      <c r="V430" s="757"/>
      <c r="W430" s="757"/>
      <c r="X430" s="757"/>
      <c r="Y430" s="757"/>
      <c r="Z430" s="757"/>
    </row>
    <row r="431" ht="12.75" customHeight="1">
      <c r="A431" s="758">
        <v>429.0</v>
      </c>
      <c r="B431" s="421" t="s">
        <v>12190</v>
      </c>
      <c r="C431" s="421" t="s">
        <v>2464</v>
      </c>
      <c r="D431" s="421" t="s">
        <v>262</v>
      </c>
      <c r="E431" s="421" t="s">
        <v>12794</v>
      </c>
      <c r="F431" s="421" t="s">
        <v>11844</v>
      </c>
      <c r="G431" s="421" t="s">
        <v>5</v>
      </c>
      <c r="H431" s="421" t="s">
        <v>5</v>
      </c>
      <c r="I431" s="421" t="s">
        <v>11969</v>
      </c>
      <c r="J431" s="421" t="s">
        <v>5</v>
      </c>
      <c r="K431" s="421" t="s">
        <v>5</v>
      </c>
      <c r="L431" s="421" t="s">
        <v>5</v>
      </c>
      <c r="M431" s="759" t="s">
        <v>5</v>
      </c>
      <c r="N431" s="760" t="s">
        <v>9265</v>
      </c>
      <c r="O431" s="759" t="s">
        <v>5</v>
      </c>
      <c r="P431" s="421" t="s">
        <v>11802</v>
      </c>
      <c r="Q431" s="757"/>
      <c r="R431" s="757"/>
      <c r="S431" s="757"/>
      <c r="T431" s="757"/>
      <c r="U431" s="757"/>
      <c r="V431" s="757"/>
      <c r="W431" s="757"/>
      <c r="X431" s="757"/>
      <c r="Y431" s="757"/>
      <c r="Z431" s="757"/>
    </row>
    <row r="432" ht="12.75" customHeight="1">
      <c r="A432" s="758">
        <v>430.0</v>
      </c>
      <c r="B432" s="421" t="s">
        <v>12191</v>
      </c>
      <c r="C432" s="421" t="s">
        <v>2305</v>
      </c>
      <c r="D432" s="421" t="s">
        <v>262</v>
      </c>
      <c r="E432" s="421" t="s">
        <v>12878</v>
      </c>
      <c r="F432" s="421" t="s">
        <v>11844</v>
      </c>
      <c r="G432" s="421" t="s">
        <v>5</v>
      </c>
      <c r="H432" s="421" t="s">
        <v>5</v>
      </c>
      <c r="I432" s="421" t="s">
        <v>5</v>
      </c>
      <c r="J432" s="421" t="s">
        <v>5</v>
      </c>
      <c r="K432" s="421" t="s">
        <v>5</v>
      </c>
      <c r="L432" s="421" t="s">
        <v>5</v>
      </c>
      <c r="M432" s="759" t="s">
        <v>5</v>
      </c>
      <c r="N432" s="760" t="s">
        <v>9265</v>
      </c>
      <c r="O432" s="759" t="s">
        <v>5</v>
      </c>
      <c r="P432" s="421" t="s">
        <v>11802</v>
      </c>
      <c r="Q432" s="757"/>
      <c r="R432" s="757"/>
      <c r="S432" s="757"/>
      <c r="T432" s="757"/>
      <c r="U432" s="757"/>
      <c r="V432" s="757"/>
      <c r="W432" s="757"/>
      <c r="X432" s="757"/>
      <c r="Y432" s="757"/>
      <c r="Z432" s="757"/>
    </row>
    <row r="433" ht="12.75" customHeight="1">
      <c r="A433" s="758">
        <v>431.0</v>
      </c>
      <c r="B433" s="421" t="s">
        <v>12192</v>
      </c>
      <c r="C433" s="421" t="s">
        <v>12193</v>
      </c>
      <c r="D433" s="421" t="s">
        <v>262</v>
      </c>
      <c r="E433" s="421" t="s">
        <v>12879</v>
      </c>
      <c r="F433" s="421" t="s">
        <v>11850</v>
      </c>
      <c r="G433" s="421" t="s">
        <v>5</v>
      </c>
      <c r="H433" s="421" t="s">
        <v>5</v>
      </c>
      <c r="I433" s="421" t="s">
        <v>11969</v>
      </c>
      <c r="J433" s="421" t="s">
        <v>5</v>
      </c>
      <c r="K433" s="421" t="s">
        <v>5</v>
      </c>
      <c r="L433" s="421" t="s">
        <v>5</v>
      </c>
      <c r="M433" s="759" t="s">
        <v>5</v>
      </c>
      <c r="N433" s="760" t="s">
        <v>9265</v>
      </c>
      <c r="O433" s="759" t="s">
        <v>5</v>
      </c>
      <c r="P433" s="421" t="s">
        <v>11802</v>
      </c>
      <c r="Q433" s="757"/>
      <c r="R433" s="757"/>
      <c r="S433" s="757"/>
      <c r="T433" s="757"/>
      <c r="U433" s="757"/>
      <c r="V433" s="757"/>
      <c r="W433" s="757"/>
      <c r="X433" s="757"/>
      <c r="Y433" s="757"/>
      <c r="Z433" s="757"/>
    </row>
    <row r="434" ht="12.75" customHeight="1">
      <c r="A434" s="758">
        <v>432.0</v>
      </c>
      <c r="B434" s="421" t="s">
        <v>12194</v>
      </c>
      <c r="C434" s="421" t="s">
        <v>12195</v>
      </c>
      <c r="D434" s="421" t="s">
        <v>12046</v>
      </c>
      <c r="E434" s="421" t="s">
        <v>12880</v>
      </c>
      <c r="F434" s="421" t="s">
        <v>11850</v>
      </c>
      <c r="G434" s="421" t="s">
        <v>5</v>
      </c>
      <c r="H434" s="421" t="s">
        <v>5</v>
      </c>
      <c r="I434" s="421" t="s">
        <v>5</v>
      </c>
      <c r="J434" s="421" t="s">
        <v>5</v>
      </c>
      <c r="K434" s="421" t="s">
        <v>5</v>
      </c>
      <c r="L434" s="421" t="s">
        <v>5</v>
      </c>
      <c r="M434" s="759" t="s">
        <v>5</v>
      </c>
      <c r="N434" s="760" t="s">
        <v>9265</v>
      </c>
      <c r="O434" s="759" t="s">
        <v>5</v>
      </c>
      <c r="P434" s="421" t="s">
        <v>11802</v>
      </c>
      <c r="Q434" s="757"/>
      <c r="R434" s="757"/>
      <c r="S434" s="757"/>
      <c r="T434" s="757"/>
      <c r="U434" s="757"/>
      <c r="V434" s="757"/>
      <c r="W434" s="757"/>
      <c r="X434" s="757"/>
      <c r="Y434" s="757"/>
      <c r="Z434" s="757"/>
    </row>
    <row r="435" ht="12.75" customHeight="1">
      <c r="A435" s="758">
        <v>433.0</v>
      </c>
      <c r="B435" s="421" t="s">
        <v>12196</v>
      </c>
      <c r="C435" s="421" t="s">
        <v>12197</v>
      </c>
      <c r="D435" s="421" t="s">
        <v>12046</v>
      </c>
      <c r="E435" s="421" t="s">
        <v>12887</v>
      </c>
      <c r="F435" s="421" t="s">
        <v>11850</v>
      </c>
      <c r="G435" s="421" t="s">
        <v>5</v>
      </c>
      <c r="H435" s="421" t="s">
        <v>5</v>
      </c>
      <c r="I435" s="421" t="s">
        <v>5</v>
      </c>
      <c r="J435" s="421" t="s">
        <v>5</v>
      </c>
      <c r="K435" s="421" t="s">
        <v>5</v>
      </c>
      <c r="L435" s="421" t="s">
        <v>5</v>
      </c>
      <c r="M435" s="759" t="s">
        <v>5</v>
      </c>
      <c r="N435" s="760" t="s">
        <v>9265</v>
      </c>
      <c r="O435" s="759" t="s">
        <v>5</v>
      </c>
      <c r="P435" s="421" t="s">
        <v>11802</v>
      </c>
      <c r="Q435" s="757"/>
      <c r="R435" s="757"/>
      <c r="S435" s="757"/>
      <c r="T435" s="757"/>
      <c r="U435" s="757"/>
      <c r="V435" s="757"/>
      <c r="W435" s="757"/>
      <c r="X435" s="757"/>
      <c r="Y435" s="757"/>
      <c r="Z435" s="757"/>
    </row>
    <row r="436" ht="12.75" customHeight="1">
      <c r="A436" s="758">
        <v>434.0</v>
      </c>
      <c r="B436" s="421" t="s">
        <v>12198</v>
      </c>
      <c r="C436" s="421" t="s">
        <v>12199</v>
      </c>
      <c r="D436" s="421" t="s">
        <v>12046</v>
      </c>
      <c r="E436" s="421" t="s">
        <v>12999</v>
      </c>
      <c r="F436" s="421" t="s">
        <v>11850</v>
      </c>
      <c r="G436" s="421" t="s">
        <v>5</v>
      </c>
      <c r="H436" s="421" t="s">
        <v>5</v>
      </c>
      <c r="I436" s="421" t="s">
        <v>11969</v>
      </c>
      <c r="J436" s="421" t="s">
        <v>5</v>
      </c>
      <c r="K436" s="421" t="s">
        <v>5</v>
      </c>
      <c r="L436" s="421" t="s">
        <v>5</v>
      </c>
      <c r="M436" s="759" t="s">
        <v>5</v>
      </c>
      <c r="N436" s="760" t="s">
        <v>9265</v>
      </c>
      <c r="O436" s="759" t="s">
        <v>5</v>
      </c>
      <c r="P436" s="421" t="s">
        <v>11802</v>
      </c>
      <c r="Q436" s="757"/>
      <c r="R436" s="757"/>
      <c r="S436" s="757"/>
      <c r="T436" s="757"/>
      <c r="U436" s="757"/>
      <c r="V436" s="757"/>
      <c r="W436" s="757"/>
      <c r="X436" s="757"/>
      <c r="Y436" s="757"/>
      <c r="Z436" s="757"/>
    </row>
    <row r="437" ht="12.75" customHeight="1">
      <c r="A437" s="758">
        <v>435.0</v>
      </c>
      <c r="B437" s="421" t="s">
        <v>12200</v>
      </c>
      <c r="C437" s="421" t="s">
        <v>12201</v>
      </c>
      <c r="D437" s="421" t="s">
        <v>12046</v>
      </c>
      <c r="E437" s="421" t="s">
        <v>12881</v>
      </c>
      <c r="F437" s="421" t="s">
        <v>11850</v>
      </c>
      <c r="G437" s="421" t="s">
        <v>5</v>
      </c>
      <c r="H437" s="421" t="s">
        <v>5</v>
      </c>
      <c r="I437" s="421" t="s">
        <v>11969</v>
      </c>
      <c r="J437" s="421" t="s">
        <v>5</v>
      </c>
      <c r="K437" s="421" t="s">
        <v>5</v>
      </c>
      <c r="L437" s="421" t="s">
        <v>5</v>
      </c>
      <c r="M437" s="759" t="s">
        <v>5</v>
      </c>
      <c r="N437" s="760" t="s">
        <v>9265</v>
      </c>
      <c r="O437" s="759" t="s">
        <v>5</v>
      </c>
      <c r="P437" s="421" t="s">
        <v>11802</v>
      </c>
      <c r="Q437" s="757"/>
      <c r="R437" s="757"/>
      <c r="S437" s="757"/>
      <c r="T437" s="757"/>
      <c r="U437" s="757"/>
      <c r="V437" s="757"/>
      <c r="W437" s="757"/>
      <c r="X437" s="757"/>
      <c r="Y437" s="757"/>
      <c r="Z437" s="757"/>
    </row>
    <row r="438" ht="12.75" customHeight="1">
      <c r="A438" s="758">
        <v>436.0</v>
      </c>
      <c r="B438" s="421" t="s">
        <v>12202</v>
      </c>
      <c r="C438" s="421" t="s">
        <v>12203</v>
      </c>
      <c r="D438" s="421" t="s">
        <v>12046</v>
      </c>
      <c r="E438" s="421" t="s">
        <v>12882</v>
      </c>
      <c r="F438" s="421" t="s">
        <v>11850</v>
      </c>
      <c r="G438" s="421" t="s">
        <v>5</v>
      </c>
      <c r="H438" s="421" t="s">
        <v>5</v>
      </c>
      <c r="I438" s="421" t="s">
        <v>11969</v>
      </c>
      <c r="J438" s="421" t="s">
        <v>5</v>
      </c>
      <c r="K438" s="421" t="s">
        <v>5</v>
      </c>
      <c r="L438" s="421" t="s">
        <v>5</v>
      </c>
      <c r="M438" s="759" t="s">
        <v>5</v>
      </c>
      <c r="N438" s="760" t="s">
        <v>9265</v>
      </c>
      <c r="O438" s="759" t="s">
        <v>5</v>
      </c>
      <c r="P438" s="421" t="s">
        <v>11802</v>
      </c>
      <c r="Q438" s="757"/>
      <c r="R438" s="757"/>
      <c r="S438" s="757"/>
      <c r="T438" s="757"/>
      <c r="U438" s="757"/>
      <c r="V438" s="757"/>
      <c r="W438" s="757"/>
      <c r="X438" s="757"/>
      <c r="Y438" s="757"/>
      <c r="Z438" s="757"/>
    </row>
    <row r="439" ht="12.75" customHeight="1">
      <c r="A439" s="758">
        <v>437.0</v>
      </c>
      <c r="B439" s="421" t="s">
        <v>12204</v>
      </c>
      <c r="C439" s="421" t="s">
        <v>12205</v>
      </c>
      <c r="D439" s="421" t="s">
        <v>12046</v>
      </c>
      <c r="E439" s="421" t="s">
        <v>12883</v>
      </c>
      <c r="F439" s="421" t="s">
        <v>11850</v>
      </c>
      <c r="G439" s="421" t="s">
        <v>5</v>
      </c>
      <c r="H439" s="421" t="s">
        <v>5</v>
      </c>
      <c r="I439" s="421" t="s">
        <v>11969</v>
      </c>
      <c r="J439" s="421" t="s">
        <v>5</v>
      </c>
      <c r="K439" s="421" t="s">
        <v>5</v>
      </c>
      <c r="L439" s="421" t="s">
        <v>5</v>
      </c>
      <c r="M439" s="759" t="s">
        <v>5</v>
      </c>
      <c r="N439" s="760" t="s">
        <v>9265</v>
      </c>
      <c r="O439" s="759" t="s">
        <v>5</v>
      </c>
      <c r="P439" s="421" t="s">
        <v>11802</v>
      </c>
      <c r="Q439" s="757"/>
      <c r="R439" s="757"/>
      <c r="S439" s="757"/>
      <c r="T439" s="757"/>
      <c r="U439" s="757"/>
      <c r="V439" s="757"/>
      <c r="W439" s="757"/>
      <c r="X439" s="757"/>
      <c r="Y439" s="757"/>
      <c r="Z439" s="757"/>
    </row>
    <row r="440" ht="12.75" customHeight="1">
      <c r="A440" s="758">
        <v>438.0</v>
      </c>
      <c r="B440" s="421" t="s">
        <v>12206</v>
      </c>
      <c r="C440" s="421" t="s">
        <v>12207</v>
      </c>
      <c r="D440" s="421" t="s">
        <v>12046</v>
      </c>
      <c r="E440" s="421" t="s">
        <v>12884</v>
      </c>
      <c r="F440" s="421" t="s">
        <v>11850</v>
      </c>
      <c r="G440" s="421" t="s">
        <v>5</v>
      </c>
      <c r="H440" s="421" t="s">
        <v>5</v>
      </c>
      <c r="I440" s="421" t="s">
        <v>11969</v>
      </c>
      <c r="J440" s="421" t="s">
        <v>5</v>
      </c>
      <c r="K440" s="421" t="s">
        <v>5</v>
      </c>
      <c r="L440" s="421" t="s">
        <v>5</v>
      </c>
      <c r="M440" s="759" t="s">
        <v>5</v>
      </c>
      <c r="N440" s="760" t="s">
        <v>9265</v>
      </c>
      <c r="O440" s="759" t="s">
        <v>5</v>
      </c>
      <c r="P440" s="421" t="s">
        <v>11802</v>
      </c>
      <c r="Q440" s="757"/>
      <c r="R440" s="757"/>
      <c r="S440" s="757"/>
      <c r="T440" s="757"/>
      <c r="U440" s="757"/>
      <c r="V440" s="757"/>
      <c r="W440" s="757"/>
      <c r="X440" s="757"/>
      <c r="Y440" s="757"/>
      <c r="Z440" s="757"/>
    </row>
    <row r="441" ht="12.75" customHeight="1">
      <c r="A441" s="758">
        <v>439.0</v>
      </c>
      <c r="B441" s="421" t="s">
        <v>12208</v>
      </c>
      <c r="C441" s="421" t="s">
        <v>12209</v>
      </c>
      <c r="D441" s="421" t="s">
        <v>12046</v>
      </c>
      <c r="E441" s="421" t="s">
        <v>12885</v>
      </c>
      <c r="F441" s="421" t="s">
        <v>11850</v>
      </c>
      <c r="G441" s="421" t="s">
        <v>5</v>
      </c>
      <c r="H441" s="421" t="s">
        <v>5</v>
      </c>
      <c r="I441" s="421" t="s">
        <v>11969</v>
      </c>
      <c r="J441" s="421" t="s">
        <v>5</v>
      </c>
      <c r="K441" s="421" t="s">
        <v>5</v>
      </c>
      <c r="L441" s="421" t="s">
        <v>5</v>
      </c>
      <c r="M441" s="759" t="s">
        <v>5</v>
      </c>
      <c r="N441" s="760" t="s">
        <v>9265</v>
      </c>
      <c r="O441" s="759" t="s">
        <v>5</v>
      </c>
      <c r="P441" s="421" t="s">
        <v>11802</v>
      </c>
      <c r="Q441" s="757"/>
      <c r="R441" s="757"/>
      <c r="S441" s="757"/>
      <c r="T441" s="757"/>
      <c r="U441" s="757"/>
      <c r="V441" s="757"/>
      <c r="W441" s="757"/>
      <c r="X441" s="757"/>
      <c r="Y441" s="757"/>
      <c r="Z441" s="757"/>
    </row>
    <row r="442" ht="12.75" customHeight="1">
      <c r="A442" s="758">
        <v>440.0</v>
      </c>
      <c r="B442" s="421" t="s">
        <v>12210</v>
      </c>
      <c r="C442" s="421" t="s">
        <v>12212</v>
      </c>
      <c r="D442" s="421" t="s">
        <v>12046</v>
      </c>
      <c r="E442" s="421" t="s">
        <v>13000</v>
      </c>
      <c r="F442" s="421" t="s">
        <v>11850</v>
      </c>
      <c r="G442" s="421" t="s">
        <v>5</v>
      </c>
      <c r="H442" s="421" t="s">
        <v>5</v>
      </c>
      <c r="I442" s="421" t="s">
        <v>11969</v>
      </c>
      <c r="J442" s="421" t="s">
        <v>5</v>
      </c>
      <c r="K442" s="421" t="s">
        <v>5</v>
      </c>
      <c r="L442" s="421" t="s">
        <v>5</v>
      </c>
      <c r="M442" s="759" t="s">
        <v>5</v>
      </c>
      <c r="N442" s="760" t="s">
        <v>9265</v>
      </c>
      <c r="O442" s="759" t="s">
        <v>5</v>
      </c>
      <c r="P442" s="421" t="s">
        <v>11802</v>
      </c>
      <c r="Q442" s="757"/>
      <c r="R442" s="757"/>
      <c r="S442" s="757"/>
      <c r="T442" s="757"/>
      <c r="U442" s="757"/>
      <c r="V442" s="757"/>
      <c r="W442" s="757"/>
      <c r="X442" s="757"/>
      <c r="Y442" s="757"/>
      <c r="Z442" s="757"/>
    </row>
    <row r="443" ht="12.75" customHeight="1">
      <c r="A443" s="758">
        <v>441.0</v>
      </c>
      <c r="B443" s="421" t="s">
        <v>12213</v>
      </c>
      <c r="C443" s="421" t="s">
        <v>12215</v>
      </c>
      <c r="D443" s="421" t="s">
        <v>12046</v>
      </c>
      <c r="E443" s="421" t="s">
        <v>13001</v>
      </c>
      <c r="F443" s="421" t="s">
        <v>11850</v>
      </c>
      <c r="G443" s="421" t="s">
        <v>5</v>
      </c>
      <c r="H443" s="421" t="s">
        <v>5</v>
      </c>
      <c r="I443" s="421" t="s">
        <v>11969</v>
      </c>
      <c r="J443" s="421" t="s">
        <v>5</v>
      </c>
      <c r="K443" s="421" t="s">
        <v>5</v>
      </c>
      <c r="L443" s="421" t="s">
        <v>5</v>
      </c>
      <c r="M443" s="759" t="s">
        <v>5</v>
      </c>
      <c r="N443" s="760" t="s">
        <v>9265</v>
      </c>
      <c r="O443" s="759" t="s">
        <v>5</v>
      </c>
      <c r="P443" s="421" t="s">
        <v>11802</v>
      </c>
      <c r="Q443" s="757"/>
      <c r="R443" s="757"/>
      <c r="S443" s="757"/>
      <c r="T443" s="757"/>
      <c r="U443" s="757"/>
      <c r="V443" s="757"/>
      <c r="W443" s="757"/>
      <c r="X443" s="757"/>
      <c r="Y443" s="757"/>
      <c r="Z443" s="757"/>
    </row>
    <row r="444" ht="12.75" customHeight="1">
      <c r="A444" s="758">
        <v>442.0</v>
      </c>
      <c r="B444" s="421" t="s">
        <v>12216</v>
      </c>
      <c r="C444" s="421" t="s">
        <v>12218</v>
      </c>
      <c r="D444" s="421" t="s">
        <v>12046</v>
      </c>
      <c r="E444" s="421" t="s">
        <v>13002</v>
      </c>
      <c r="F444" s="421" t="s">
        <v>11850</v>
      </c>
      <c r="G444" s="421" t="s">
        <v>5</v>
      </c>
      <c r="H444" s="421" t="s">
        <v>5</v>
      </c>
      <c r="I444" s="421" t="s">
        <v>11969</v>
      </c>
      <c r="J444" s="421" t="s">
        <v>5</v>
      </c>
      <c r="K444" s="421" t="s">
        <v>5</v>
      </c>
      <c r="L444" s="421" t="s">
        <v>5</v>
      </c>
      <c r="M444" s="759" t="s">
        <v>5</v>
      </c>
      <c r="N444" s="760" t="s">
        <v>9265</v>
      </c>
      <c r="O444" s="759" t="s">
        <v>5</v>
      </c>
      <c r="P444" s="421" t="s">
        <v>11802</v>
      </c>
      <c r="Q444" s="757"/>
      <c r="R444" s="757"/>
      <c r="S444" s="757"/>
      <c r="T444" s="757"/>
      <c r="U444" s="757"/>
      <c r="V444" s="757"/>
      <c r="W444" s="757"/>
      <c r="X444" s="757"/>
      <c r="Y444" s="757"/>
      <c r="Z444" s="757"/>
    </row>
    <row r="445" ht="12.75" customHeight="1">
      <c r="A445" s="758">
        <v>443.0</v>
      </c>
      <c r="B445" s="421" t="s">
        <v>12219</v>
      </c>
      <c r="C445" s="421" t="s">
        <v>11043</v>
      </c>
      <c r="D445" s="421" t="s">
        <v>262</v>
      </c>
      <c r="E445" s="421" t="s">
        <v>13003</v>
      </c>
      <c r="F445" s="421" t="s">
        <v>11850</v>
      </c>
      <c r="G445" s="421" t="s">
        <v>5</v>
      </c>
      <c r="H445" s="421" t="s">
        <v>5</v>
      </c>
      <c r="I445" s="421" t="s">
        <v>5</v>
      </c>
      <c r="J445" s="421" t="s">
        <v>5</v>
      </c>
      <c r="K445" s="421" t="s">
        <v>5</v>
      </c>
      <c r="L445" s="421" t="s">
        <v>5</v>
      </c>
      <c r="M445" s="759" t="s">
        <v>5</v>
      </c>
      <c r="N445" s="760" t="s">
        <v>9265</v>
      </c>
      <c r="O445" s="759" t="s">
        <v>5</v>
      </c>
      <c r="P445" s="421" t="s">
        <v>11802</v>
      </c>
      <c r="Q445" s="757"/>
      <c r="R445" s="757"/>
      <c r="S445" s="757"/>
      <c r="T445" s="757"/>
      <c r="U445" s="757"/>
      <c r="V445" s="757"/>
      <c r="W445" s="757"/>
      <c r="X445" s="757"/>
      <c r="Y445" s="757"/>
      <c r="Z445" s="757"/>
    </row>
    <row r="446" ht="12.75" customHeight="1">
      <c r="A446" s="758">
        <v>444.0</v>
      </c>
      <c r="B446" s="421" t="s">
        <v>12220</v>
      </c>
      <c r="C446" s="421" t="s">
        <v>7661</v>
      </c>
      <c r="D446" s="421" t="s">
        <v>2219</v>
      </c>
      <c r="E446" s="421" t="s">
        <v>13004</v>
      </c>
      <c r="F446" s="421" t="s">
        <v>11844</v>
      </c>
      <c r="G446" s="421" t="s">
        <v>5</v>
      </c>
      <c r="H446" s="421" t="s">
        <v>5</v>
      </c>
      <c r="I446" s="421" t="s">
        <v>5</v>
      </c>
      <c r="J446" s="421" t="s">
        <v>5</v>
      </c>
      <c r="K446" s="421" t="s">
        <v>5</v>
      </c>
      <c r="L446" s="421" t="s">
        <v>5</v>
      </c>
      <c r="M446" s="759" t="s">
        <v>5</v>
      </c>
      <c r="N446" s="760" t="s">
        <v>9265</v>
      </c>
      <c r="O446" s="759" t="s">
        <v>5</v>
      </c>
      <c r="P446" s="421" t="s">
        <v>11802</v>
      </c>
      <c r="Q446" s="757"/>
      <c r="R446" s="757"/>
      <c r="S446" s="757"/>
      <c r="T446" s="757"/>
      <c r="U446" s="757"/>
      <c r="V446" s="757"/>
      <c r="W446" s="757"/>
      <c r="X446" s="757"/>
      <c r="Y446" s="757"/>
      <c r="Z446" s="757"/>
    </row>
    <row r="447" ht="12.75" customHeight="1">
      <c r="A447" s="758">
        <v>445.0</v>
      </c>
      <c r="B447" s="421" t="s">
        <v>12219</v>
      </c>
      <c r="C447" s="421" t="s">
        <v>2281</v>
      </c>
      <c r="D447" s="421" t="s">
        <v>2219</v>
      </c>
      <c r="E447" s="421" t="s">
        <v>12892</v>
      </c>
      <c r="F447" s="421" t="s">
        <v>11844</v>
      </c>
      <c r="G447" s="421" t="s">
        <v>5</v>
      </c>
      <c r="H447" s="421" t="s">
        <v>5</v>
      </c>
      <c r="I447" s="421" t="s">
        <v>5</v>
      </c>
      <c r="J447" s="421" t="s">
        <v>5</v>
      </c>
      <c r="K447" s="421" t="s">
        <v>5</v>
      </c>
      <c r="L447" s="421" t="s">
        <v>5</v>
      </c>
      <c r="M447" s="759" t="s">
        <v>5</v>
      </c>
      <c r="N447" s="760" t="s">
        <v>9265</v>
      </c>
      <c r="O447" s="759" t="s">
        <v>5</v>
      </c>
      <c r="P447" s="421" t="s">
        <v>11802</v>
      </c>
      <c r="Q447" s="757"/>
      <c r="R447" s="757"/>
      <c r="S447" s="757"/>
      <c r="T447" s="757"/>
      <c r="U447" s="757"/>
      <c r="V447" s="757"/>
      <c r="W447" s="757"/>
      <c r="X447" s="757"/>
      <c r="Y447" s="757"/>
      <c r="Z447" s="757"/>
    </row>
    <row r="448" ht="12.75" customHeight="1">
      <c r="A448" s="758">
        <v>446.0</v>
      </c>
      <c r="B448" s="421" t="s">
        <v>12219</v>
      </c>
      <c r="C448" s="421" t="s">
        <v>2286</v>
      </c>
      <c r="D448" s="421" t="s">
        <v>2219</v>
      </c>
      <c r="E448" s="421" t="s">
        <v>12893</v>
      </c>
      <c r="F448" s="421" t="s">
        <v>11844</v>
      </c>
      <c r="G448" s="421" t="s">
        <v>5</v>
      </c>
      <c r="H448" s="421" t="s">
        <v>5</v>
      </c>
      <c r="I448" s="421" t="s">
        <v>5</v>
      </c>
      <c r="J448" s="421" t="s">
        <v>5</v>
      </c>
      <c r="K448" s="421" t="s">
        <v>5</v>
      </c>
      <c r="L448" s="421" t="s">
        <v>5</v>
      </c>
      <c r="M448" s="759" t="s">
        <v>5</v>
      </c>
      <c r="N448" s="760" t="s">
        <v>9265</v>
      </c>
      <c r="O448" s="759" t="s">
        <v>5</v>
      </c>
      <c r="P448" s="421" t="s">
        <v>11802</v>
      </c>
      <c r="Q448" s="757"/>
      <c r="R448" s="757"/>
      <c r="S448" s="757"/>
      <c r="T448" s="757"/>
      <c r="U448" s="757"/>
      <c r="V448" s="757"/>
      <c r="W448" s="757"/>
      <c r="X448" s="757"/>
      <c r="Y448" s="757"/>
      <c r="Z448" s="757"/>
    </row>
    <row r="449" ht="12.75" customHeight="1">
      <c r="A449" s="758">
        <v>447.0</v>
      </c>
      <c r="B449" s="421" t="s">
        <v>12219</v>
      </c>
      <c r="C449" s="421" t="s">
        <v>2290</v>
      </c>
      <c r="D449" s="421" t="s">
        <v>2219</v>
      </c>
      <c r="E449" s="421" t="s">
        <v>12894</v>
      </c>
      <c r="F449" s="421" t="s">
        <v>11844</v>
      </c>
      <c r="G449" s="421" t="s">
        <v>5</v>
      </c>
      <c r="H449" s="421" t="s">
        <v>5</v>
      </c>
      <c r="I449" s="421" t="s">
        <v>5</v>
      </c>
      <c r="J449" s="421" t="s">
        <v>5</v>
      </c>
      <c r="K449" s="421" t="s">
        <v>5</v>
      </c>
      <c r="L449" s="421" t="s">
        <v>5</v>
      </c>
      <c r="M449" s="759" t="s">
        <v>5</v>
      </c>
      <c r="N449" s="760" t="s">
        <v>9265</v>
      </c>
      <c r="O449" s="759" t="s">
        <v>5</v>
      </c>
      <c r="P449" s="421" t="s">
        <v>11802</v>
      </c>
      <c r="Q449" s="757"/>
      <c r="R449" s="757"/>
      <c r="S449" s="757"/>
      <c r="T449" s="757"/>
      <c r="U449" s="757"/>
      <c r="V449" s="757"/>
      <c r="W449" s="757"/>
      <c r="X449" s="757"/>
      <c r="Y449" s="757"/>
      <c r="Z449" s="757"/>
    </row>
    <row r="450" ht="12.75" customHeight="1">
      <c r="A450" s="758">
        <v>448.0</v>
      </c>
      <c r="B450" s="421" t="s">
        <v>12219</v>
      </c>
      <c r="C450" s="421" t="s">
        <v>2227</v>
      </c>
      <c r="D450" s="421" t="s">
        <v>2219</v>
      </c>
      <c r="E450" s="421" t="s">
        <v>12895</v>
      </c>
      <c r="F450" s="421" t="s">
        <v>11844</v>
      </c>
      <c r="G450" s="421" t="s">
        <v>5</v>
      </c>
      <c r="H450" s="421" t="s">
        <v>5</v>
      </c>
      <c r="I450" s="421" t="s">
        <v>5</v>
      </c>
      <c r="J450" s="421" t="s">
        <v>5</v>
      </c>
      <c r="K450" s="421" t="s">
        <v>5</v>
      </c>
      <c r="L450" s="421" t="s">
        <v>5</v>
      </c>
      <c r="M450" s="759" t="s">
        <v>5</v>
      </c>
      <c r="N450" s="760" t="s">
        <v>9265</v>
      </c>
      <c r="O450" s="759" t="s">
        <v>5</v>
      </c>
      <c r="P450" s="421" t="s">
        <v>11802</v>
      </c>
      <c r="Q450" s="757"/>
      <c r="R450" s="757"/>
      <c r="S450" s="757"/>
      <c r="T450" s="757"/>
      <c r="U450" s="757"/>
      <c r="V450" s="757"/>
      <c r="W450" s="757"/>
      <c r="X450" s="757"/>
      <c r="Y450" s="757"/>
      <c r="Z450" s="757"/>
    </row>
    <row r="451" ht="12.75" customHeight="1">
      <c r="A451" s="758">
        <v>449.0</v>
      </c>
      <c r="B451" s="421" t="s">
        <v>12219</v>
      </c>
      <c r="C451" s="421" t="s">
        <v>2236</v>
      </c>
      <c r="D451" s="421" t="s">
        <v>2219</v>
      </c>
      <c r="E451" s="421" t="s">
        <v>12896</v>
      </c>
      <c r="F451" s="421" t="s">
        <v>11844</v>
      </c>
      <c r="G451" s="421" t="s">
        <v>5</v>
      </c>
      <c r="H451" s="421" t="s">
        <v>5</v>
      </c>
      <c r="I451" s="421" t="s">
        <v>5</v>
      </c>
      <c r="J451" s="421" t="s">
        <v>5</v>
      </c>
      <c r="K451" s="421" t="s">
        <v>5</v>
      </c>
      <c r="L451" s="421" t="s">
        <v>5</v>
      </c>
      <c r="M451" s="759" t="s">
        <v>5</v>
      </c>
      <c r="N451" s="760" t="s">
        <v>9265</v>
      </c>
      <c r="O451" s="759" t="s">
        <v>5</v>
      </c>
      <c r="P451" s="421" t="s">
        <v>11802</v>
      </c>
      <c r="Q451" s="757"/>
      <c r="R451" s="757"/>
      <c r="S451" s="757"/>
      <c r="T451" s="757"/>
      <c r="U451" s="757"/>
      <c r="V451" s="757"/>
      <c r="W451" s="757"/>
      <c r="X451" s="757"/>
      <c r="Y451" s="757"/>
      <c r="Z451" s="757"/>
    </row>
    <row r="452" ht="12.75" customHeight="1">
      <c r="A452" s="758">
        <v>450.0</v>
      </c>
      <c r="B452" s="421" t="s">
        <v>12219</v>
      </c>
      <c r="C452" s="421" t="s">
        <v>2232</v>
      </c>
      <c r="D452" s="421" t="s">
        <v>2219</v>
      </c>
      <c r="E452" s="421" t="s">
        <v>12897</v>
      </c>
      <c r="F452" s="421" t="s">
        <v>11844</v>
      </c>
      <c r="G452" s="421" t="s">
        <v>5</v>
      </c>
      <c r="H452" s="421" t="s">
        <v>5</v>
      </c>
      <c r="I452" s="421" t="s">
        <v>5</v>
      </c>
      <c r="J452" s="421" t="s">
        <v>5</v>
      </c>
      <c r="K452" s="421" t="s">
        <v>5</v>
      </c>
      <c r="L452" s="421" t="s">
        <v>5</v>
      </c>
      <c r="M452" s="759" t="s">
        <v>5</v>
      </c>
      <c r="N452" s="760" t="s">
        <v>9265</v>
      </c>
      <c r="O452" s="759" t="s">
        <v>5</v>
      </c>
      <c r="P452" s="421" t="s">
        <v>11802</v>
      </c>
      <c r="Q452" s="757"/>
      <c r="R452" s="757"/>
      <c r="S452" s="757"/>
      <c r="T452" s="757"/>
      <c r="U452" s="757"/>
      <c r="V452" s="757"/>
      <c r="W452" s="757"/>
      <c r="X452" s="757"/>
      <c r="Y452" s="757"/>
      <c r="Z452" s="757"/>
    </row>
    <row r="453" ht="12.75" customHeight="1">
      <c r="A453" s="758">
        <v>451.0</v>
      </c>
      <c r="B453" s="421" t="s">
        <v>12219</v>
      </c>
      <c r="C453" s="421" t="s">
        <v>2220</v>
      </c>
      <c r="D453" s="421" t="s">
        <v>2219</v>
      </c>
      <c r="E453" s="421" t="s">
        <v>12898</v>
      </c>
      <c r="F453" s="421" t="s">
        <v>11844</v>
      </c>
      <c r="G453" s="421" t="s">
        <v>5</v>
      </c>
      <c r="H453" s="421" t="s">
        <v>5</v>
      </c>
      <c r="I453" s="421" t="s">
        <v>5</v>
      </c>
      <c r="J453" s="421" t="s">
        <v>5</v>
      </c>
      <c r="K453" s="421" t="s">
        <v>5</v>
      </c>
      <c r="L453" s="421" t="s">
        <v>5</v>
      </c>
      <c r="M453" s="759" t="s">
        <v>5</v>
      </c>
      <c r="N453" s="760" t="s">
        <v>9265</v>
      </c>
      <c r="O453" s="759" t="s">
        <v>5</v>
      </c>
      <c r="P453" s="421" t="s">
        <v>11802</v>
      </c>
      <c r="Q453" s="757"/>
      <c r="R453" s="757"/>
      <c r="S453" s="757"/>
      <c r="T453" s="757"/>
      <c r="U453" s="757"/>
      <c r="V453" s="757"/>
      <c r="W453" s="757"/>
      <c r="X453" s="757"/>
      <c r="Y453" s="757"/>
      <c r="Z453" s="757"/>
    </row>
    <row r="454" ht="12.75" customHeight="1">
      <c r="A454" s="758">
        <v>452.0</v>
      </c>
      <c r="B454" s="421" t="s">
        <v>12221</v>
      </c>
      <c r="C454" s="421" t="s">
        <v>12222</v>
      </c>
      <c r="D454" s="421" t="s">
        <v>2219</v>
      </c>
      <c r="E454" s="421" t="s">
        <v>12899</v>
      </c>
      <c r="F454" s="421" t="s">
        <v>11844</v>
      </c>
      <c r="G454" s="421" t="s">
        <v>5</v>
      </c>
      <c r="H454" s="421" t="s">
        <v>5</v>
      </c>
      <c r="I454" s="421" t="s">
        <v>5</v>
      </c>
      <c r="J454" s="421" t="s">
        <v>5</v>
      </c>
      <c r="K454" s="421" t="s">
        <v>5</v>
      </c>
      <c r="L454" s="421" t="s">
        <v>5</v>
      </c>
      <c r="M454" s="759" t="s">
        <v>5</v>
      </c>
      <c r="N454" s="760" t="s">
        <v>9265</v>
      </c>
      <c r="O454" s="759" t="s">
        <v>5</v>
      </c>
      <c r="P454" s="421" t="s">
        <v>11802</v>
      </c>
      <c r="Q454" s="757"/>
      <c r="R454" s="757"/>
      <c r="S454" s="757"/>
      <c r="T454" s="757"/>
      <c r="U454" s="757"/>
      <c r="V454" s="757"/>
      <c r="W454" s="757"/>
      <c r="X454" s="757"/>
      <c r="Y454" s="757"/>
      <c r="Z454" s="757"/>
    </row>
    <row r="455" ht="12.75" customHeight="1">
      <c r="A455" s="758">
        <v>453.0</v>
      </c>
      <c r="B455" s="421" t="s">
        <v>12223</v>
      </c>
      <c r="C455" s="421" t="s">
        <v>10871</v>
      </c>
      <c r="D455" s="421" t="s">
        <v>262</v>
      </c>
      <c r="E455" s="421" t="s">
        <v>12937</v>
      </c>
      <c r="F455" s="421" t="s">
        <v>11850</v>
      </c>
      <c r="G455" s="421" t="s">
        <v>5</v>
      </c>
      <c r="H455" s="421" t="s">
        <v>5</v>
      </c>
      <c r="I455" s="421" t="s">
        <v>5</v>
      </c>
      <c r="J455" s="421" t="s">
        <v>5</v>
      </c>
      <c r="K455" s="421" t="s">
        <v>5</v>
      </c>
      <c r="L455" s="421" t="s">
        <v>5</v>
      </c>
      <c r="M455" s="759" t="s">
        <v>5</v>
      </c>
      <c r="N455" s="760" t="s">
        <v>9265</v>
      </c>
      <c r="O455" s="759" t="s">
        <v>5</v>
      </c>
      <c r="P455" s="421" t="s">
        <v>11802</v>
      </c>
      <c r="Q455" s="757"/>
      <c r="R455" s="757"/>
      <c r="S455" s="757"/>
      <c r="T455" s="757"/>
      <c r="U455" s="757"/>
      <c r="V455" s="757"/>
      <c r="W455" s="757"/>
      <c r="X455" s="757"/>
      <c r="Y455" s="757"/>
      <c r="Z455" s="757"/>
    </row>
    <row r="456" ht="12.75" customHeight="1">
      <c r="A456" s="758">
        <v>454.0</v>
      </c>
      <c r="B456" s="421" t="s">
        <v>12224</v>
      </c>
      <c r="C456" s="421" t="s">
        <v>8680</v>
      </c>
      <c r="D456" s="421" t="s">
        <v>315</v>
      </c>
      <c r="E456" s="421" t="s">
        <v>13005</v>
      </c>
      <c r="F456" s="421" t="s">
        <v>11844</v>
      </c>
      <c r="G456" s="421" t="s">
        <v>5</v>
      </c>
      <c r="H456" s="421" t="s">
        <v>5</v>
      </c>
      <c r="I456" s="421" t="s">
        <v>5</v>
      </c>
      <c r="J456" s="421" t="s">
        <v>5</v>
      </c>
      <c r="K456" s="421" t="s">
        <v>5</v>
      </c>
      <c r="L456" s="421" t="s">
        <v>5</v>
      </c>
      <c r="M456" s="759" t="s">
        <v>5</v>
      </c>
      <c r="N456" s="760" t="s">
        <v>9265</v>
      </c>
      <c r="O456" s="759" t="s">
        <v>5</v>
      </c>
      <c r="P456" s="421" t="s">
        <v>11802</v>
      </c>
      <c r="Q456" s="757"/>
      <c r="R456" s="757"/>
      <c r="S456" s="757"/>
      <c r="T456" s="757"/>
      <c r="U456" s="757"/>
      <c r="V456" s="757"/>
      <c r="W456" s="757"/>
      <c r="X456" s="757"/>
      <c r="Y456" s="757"/>
      <c r="Z456" s="757"/>
    </row>
    <row r="457" ht="12.75" customHeight="1">
      <c r="A457" s="758">
        <v>455.0</v>
      </c>
      <c r="B457" s="421" t="s">
        <v>12225</v>
      </c>
      <c r="C457" s="421" t="s">
        <v>8389</v>
      </c>
      <c r="D457" s="421" t="s">
        <v>315</v>
      </c>
      <c r="E457" s="421" t="s">
        <v>12939</v>
      </c>
      <c r="F457" s="421" t="s">
        <v>11844</v>
      </c>
      <c r="G457" s="421" t="s">
        <v>5</v>
      </c>
      <c r="H457" s="421" t="s">
        <v>5</v>
      </c>
      <c r="I457" s="421" t="s">
        <v>5</v>
      </c>
      <c r="J457" s="421" t="s">
        <v>5</v>
      </c>
      <c r="K457" s="421" t="s">
        <v>5</v>
      </c>
      <c r="L457" s="421" t="s">
        <v>5</v>
      </c>
      <c r="M457" s="759" t="s">
        <v>5</v>
      </c>
      <c r="N457" s="760" t="s">
        <v>9265</v>
      </c>
      <c r="O457" s="759" t="s">
        <v>5</v>
      </c>
      <c r="P457" s="421" t="s">
        <v>11802</v>
      </c>
      <c r="Q457" s="757"/>
      <c r="R457" s="757"/>
      <c r="S457" s="757"/>
      <c r="T457" s="757"/>
      <c r="U457" s="757"/>
      <c r="V457" s="757"/>
      <c r="W457" s="757"/>
      <c r="X457" s="757"/>
      <c r="Y457" s="757"/>
      <c r="Z457" s="757"/>
    </row>
    <row r="458" ht="12.75" customHeight="1">
      <c r="A458" s="758">
        <v>456.0</v>
      </c>
      <c r="B458" s="421" t="s">
        <v>12223</v>
      </c>
      <c r="C458" s="421" t="s">
        <v>2440</v>
      </c>
      <c r="D458" s="421" t="s">
        <v>1577</v>
      </c>
      <c r="E458" s="421" t="s">
        <v>12940</v>
      </c>
      <c r="F458" s="421" t="s">
        <v>11851</v>
      </c>
      <c r="G458" s="421" t="s">
        <v>5</v>
      </c>
      <c r="H458" s="421" t="s">
        <v>5</v>
      </c>
      <c r="I458" s="421" t="s">
        <v>5</v>
      </c>
      <c r="J458" s="421" t="s">
        <v>5</v>
      </c>
      <c r="K458" s="421" t="s">
        <v>5</v>
      </c>
      <c r="L458" s="421" t="s">
        <v>5</v>
      </c>
      <c r="M458" s="759" t="s">
        <v>5</v>
      </c>
      <c r="N458" s="760" t="s">
        <v>9265</v>
      </c>
      <c r="O458" s="759" t="s">
        <v>5</v>
      </c>
      <c r="P458" s="421" t="s">
        <v>11802</v>
      </c>
      <c r="Q458" s="757"/>
      <c r="R458" s="757"/>
      <c r="S458" s="757"/>
      <c r="T458" s="757"/>
      <c r="U458" s="757"/>
      <c r="V458" s="757"/>
      <c r="W458" s="757"/>
      <c r="X458" s="757"/>
      <c r="Y458" s="757"/>
      <c r="Z458" s="757"/>
    </row>
    <row r="459" ht="12.75" customHeight="1">
      <c r="A459" s="758">
        <v>457.0</v>
      </c>
      <c r="B459" s="421" t="s">
        <v>12223</v>
      </c>
      <c r="C459" s="421" t="s">
        <v>8419</v>
      </c>
      <c r="D459" s="421" t="s">
        <v>1577</v>
      </c>
      <c r="E459" s="421" t="s">
        <v>12941</v>
      </c>
      <c r="F459" s="421" t="s">
        <v>11851</v>
      </c>
      <c r="G459" s="421" t="s">
        <v>5</v>
      </c>
      <c r="H459" s="421" t="s">
        <v>5</v>
      </c>
      <c r="I459" s="421" t="s">
        <v>5</v>
      </c>
      <c r="J459" s="421" t="s">
        <v>5</v>
      </c>
      <c r="K459" s="421" t="s">
        <v>5</v>
      </c>
      <c r="L459" s="421" t="s">
        <v>5</v>
      </c>
      <c r="M459" s="759" t="s">
        <v>5</v>
      </c>
      <c r="N459" s="760" t="s">
        <v>9265</v>
      </c>
      <c r="O459" s="759" t="s">
        <v>5</v>
      </c>
      <c r="P459" s="421" t="s">
        <v>11802</v>
      </c>
      <c r="Q459" s="757"/>
      <c r="R459" s="757"/>
      <c r="S459" s="757"/>
      <c r="T459" s="757"/>
      <c r="U459" s="757"/>
      <c r="V459" s="757"/>
      <c r="W459" s="757"/>
      <c r="X459" s="757"/>
      <c r="Y459" s="757"/>
      <c r="Z459" s="757"/>
    </row>
    <row r="460" ht="12.75" customHeight="1">
      <c r="A460" s="758">
        <v>458.0</v>
      </c>
      <c r="B460" s="421" t="s">
        <v>12223</v>
      </c>
      <c r="C460" s="421" t="s">
        <v>7194</v>
      </c>
      <c r="D460" s="421" t="s">
        <v>1577</v>
      </c>
      <c r="E460" s="421" t="s">
        <v>12942</v>
      </c>
      <c r="F460" s="421" t="s">
        <v>11851</v>
      </c>
      <c r="G460" s="421" t="s">
        <v>5</v>
      </c>
      <c r="H460" s="421" t="s">
        <v>5</v>
      </c>
      <c r="I460" s="421" t="s">
        <v>11969</v>
      </c>
      <c r="J460" s="421" t="s">
        <v>5</v>
      </c>
      <c r="K460" s="421" t="s">
        <v>5</v>
      </c>
      <c r="L460" s="421" t="s">
        <v>5</v>
      </c>
      <c r="M460" s="759" t="s">
        <v>5</v>
      </c>
      <c r="N460" s="760" t="s">
        <v>9265</v>
      </c>
      <c r="O460" s="759" t="s">
        <v>5</v>
      </c>
      <c r="P460" s="421" t="s">
        <v>11802</v>
      </c>
      <c r="Q460" s="757"/>
      <c r="R460" s="757"/>
      <c r="S460" s="757"/>
      <c r="T460" s="757"/>
      <c r="U460" s="757"/>
      <c r="V460" s="757"/>
      <c r="W460" s="757"/>
      <c r="X460" s="757"/>
      <c r="Y460" s="757"/>
      <c r="Z460" s="757"/>
    </row>
    <row r="461" ht="12.75" customHeight="1">
      <c r="A461" s="758">
        <v>459.0</v>
      </c>
      <c r="B461" s="421" t="s">
        <v>12226</v>
      </c>
      <c r="C461" s="421" t="s">
        <v>12228</v>
      </c>
      <c r="D461" s="421" t="s">
        <v>315</v>
      </c>
      <c r="E461" s="421" t="s">
        <v>13006</v>
      </c>
      <c r="F461" s="421" t="s">
        <v>11844</v>
      </c>
      <c r="G461" s="421" t="s">
        <v>5</v>
      </c>
      <c r="H461" s="421" t="s">
        <v>5</v>
      </c>
      <c r="I461" s="421" t="s">
        <v>5</v>
      </c>
      <c r="J461" s="421" t="s">
        <v>5</v>
      </c>
      <c r="K461" s="421" t="s">
        <v>5</v>
      </c>
      <c r="L461" s="421" t="s">
        <v>5</v>
      </c>
      <c r="M461" s="759" t="s">
        <v>5</v>
      </c>
      <c r="N461" s="760" t="s">
        <v>9265</v>
      </c>
      <c r="O461" s="759" t="s">
        <v>5</v>
      </c>
      <c r="P461" s="421" t="s">
        <v>11802</v>
      </c>
      <c r="Q461" s="757"/>
      <c r="R461" s="757"/>
      <c r="S461" s="757"/>
      <c r="T461" s="757"/>
      <c r="U461" s="757"/>
      <c r="V461" s="757"/>
      <c r="W461" s="757"/>
      <c r="X461" s="757"/>
      <c r="Y461" s="757"/>
      <c r="Z461" s="757"/>
    </row>
    <row r="462" ht="12.75" customHeight="1">
      <c r="A462" s="758">
        <v>460.0</v>
      </c>
      <c r="B462" s="421" t="s">
        <v>12223</v>
      </c>
      <c r="C462" s="421" t="s">
        <v>12230</v>
      </c>
      <c r="D462" s="421" t="s">
        <v>12227</v>
      </c>
      <c r="E462" s="421" t="s">
        <v>13007</v>
      </c>
      <c r="F462" s="421" t="s">
        <v>11851</v>
      </c>
      <c r="G462" s="421" t="s">
        <v>5</v>
      </c>
      <c r="H462" s="421" t="s">
        <v>5</v>
      </c>
      <c r="I462" s="421" t="s">
        <v>5</v>
      </c>
      <c r="J462" s="421" t="s">
        <v>5</v>
      </c>
      <c r="K462" s="421" t="s">
        <v>5</v>
      </c>
      <c r="L462" s="421" t="s">
        <v>5</v>
      </c>
      <c r="M462" s="759" t="s">
        <v>5</v>
      </c>
      <c r="N462" s="760" t="s">
        <v>9265</v>
      </c>
      <c r="O462" s="759" t="s">
        <v>5</v>
      </c>
      <c r="P462" s="421" t="s">
        <v>11802</v>
      </c>
      <c r="Q462" s="757"/>
      <c r="R462" s="757"/>
      <c r="S462" s="757"/>
      <c r="T462" s="757"/>
      <c r="U462" s="757"/>
      <c r="V462" s="757"/>
      <c r="W462" s="757"/>
      <c r="X462" s="757"/>
      <c r="Y462" s="757"/>
      <c r="Z462" s="757"/>
    </row>
    <row r="463" ht="12.75" customHeight="1">
      <c r="A463" s="758">
        <v>461.0</v>
      </c>
      <c r="B463" s="421" t="s">
        <v>12223</v>
      </c>
      <c r="C463" s="421" t="s">
        <v>12232</v>
      </c>
      <c r="D463" s="421" t="s">
        <v>12227</v>
      </c>
      <c r="E463" s="421" t="s">
        <v>13008</v>
      </c>
      <c r="F463" s="421" t="s">
        <v>11851</v>
      </c>
      <c r="G463" s="421" t="s">
        <v>5</v>
      </c>
      <c r="H463" s="421" t="s">
        <v>5</v>
      </c>
      <c r="I463" s="421" t="s">
        <v>5</v>
      </c>
      <c r="J463" s="421" t="s">
        <v>5</v>
      </c>
      <c r="K463" s="421" t="s">
        <v>5</v>
      </c>
      <c r="L463" s="421" t="s">
        <v>5</v>
      </c>
      <c r="M463" s="759" t="s">
        <v>5</v>
      </c>
      <c r="N463" s="760" t="s">
        <v>9265</v>
      </c>
      <c r="O463" s="759" t="s">
        <v>5</v>
      </c>
      <c r="P463" s="421" t="s">
        <v>11802</v>
      </c>
      <c r="Q463" s="757"/>
      <c r="R463" s="757"/>
      <c r="S463" s="757"/>
      <c r="T463" s="757"/>
      <c r="U463" s="757"/>
      <c r="V463" s="757"/>
      <c r="W463" s="757"/>
      <c r="X463" s="757"/>
      <c r="Y463" s="757"/>
      <c r="Z463" s="757"/>
    </row>
    <row r="464" ht="12.75" customHeight="1">
      <c r="A464" s="758">
        <v>462.0</v>
      </c>
      <c r="B464" s="421" t="s">
        <v>12233</v>
      </c>
      <c r="C464" s="421" t="s">
        <v>8724</v>
      </c>
      <c r="D464" s="421" t="s">
        <v>315</v>
      </c>
      <c r="E464" s="421" t="s">
        <v>12946</v>
      </c>
      <c r="F464" s="421" t="s">
        <v>11844</v>
      </c>
      <c r="G464" s="421" t="s">
        <v>5</v>
      </c>
      <c r="H464" s="421" t="s">
        <v>5</v>
      </c>
      <c r="I464" s="421" t="s">
        <v>5</v>
      </c>
      <c r="J464" s="421" t="s">
        <v>5</v>
      </c>
      <c r="K464" s="421" t="s">
        <v>5</v>
      </c>
      <c r="L464" s="421" t="s">
        <v>5</v>
      </c>
      <c r="M464" s="759" t="s">
        <v>5</v>
      </c>
      <c r="N464" s="760" t="s">
        <v>9265</v>
      </c>
      <c r="O464" s="759" t="s">
        <v>5</v>
      </c>
      <c r="P464" s="421" t="s">
        <v>11802</v>
      </c>
      <c r="Q464" s="757"/>
      <c r="R464" s="757"/>
      <c r="S464" s="757"/>
      <c r="T464" s="757"/>
      <c r="U464" s="757"/>
      <c r="V464" s="757"/>
      <c r="W464" s="757"/>
      <c r="X464" s="757"/>
      <c r="Y464" s="757"/>
      <c r="Z464" s="757"/>
    </row>
    <row r="465" ht="12.75" customHeight="1">
      <c r="A465" s="758">
        <v>463.0</v>
      </c>
      <c r="B465" s="421" t="s">
        <v>12223</v>
      </c>
      <c r="C465" s="421" t="s">
        <v>2390</v>
      </c>
      <c r="D465" s="421" t="s">
        <v>316</v>
      </c>
      <c r="E465" s="421" t="s">
        <v>12945</v>
      </c>
      <c r="F465" s="421" t="s">
        <v>11851</v>
      </c>
      <c r="G465" s="421" t="s">
        <v>5</v>
      </c>
      <c r="H465" s="421" t="s">
        <v>5</v>
      </c>
      <c r="I465" s="421" t="s">
        <v>5</v>
      </c>
      <c r="J465" s="421" t="s">
        <v>5</v>
      </c>
      <c r="K465" s="421" t="s">
        <v>5</v>
      </c>
      <c r="L465" s="421" t="s">
        <v>5</v>
      </c>
      <c r="M465" s="759" t="s">
        <v>5</v>
      </c>
      <c r="N465" s="760" t="s">
        <v>9265</v>
      </c>
      <c r="O465" s="759" t="s">
        <v>5</v>
      </c>
      <c r="P465" s="421" t="s">
        <v>11802</v>
      </c>
      <c r="Q465" s="757"/>
      <c r="R465" s="757"/>
      <c r="S465" s="757"/>
      <c r="T465" s="757"/>
      <c r="U465" s="757"/>
      <c r="V465" s="757"/>
      <c r="W465" s="757"/>
      <c r="X465" s="757"/>
      <c r="Y465" s="757"/>
      <c r="Z465" s="757"/>
    </row>
    <row r="466" ht="12.75" customHeight="1">
      <c r="A466" s="758">
        <v>464.0</v>
      </c>
      <c r="B466" s="421" t="s">
        <v>12223</v>
      </c>
      <c r="C466" s="421" t="s">
        <v>317</v>
      </c>
      <c r="D466" s="421" t="s">
        <v>316</v>
      </c>
      <c r="E466" s="421" t="s">
        <v>12947</v>
      </c>
      <c r="F466" s="421" t="s">
        <v>11851</v>
      </c>
      <c r="G466" s="421" t="s">
        <v>5</v>
      </c>
      <c r="H466" s="421" t="s">
        <v>5</v>
      </c>
      <c r="I466" s="421" t="s">
        <v>5</v>
      </c>
      <c r="J466" s="421" t="s">
        <v>5</v>
      </c>
      <c r="K466" s="421" t="s">
        <v>5</v>
      </c>
      <c r="L466" s="421" t="s">
        <v>5</v>
      </c>
      <c r="M466" s="759" t="s">
        <v>5</v>
      </c>
      <c r="N466" s="760" t="s">
        <v>9265</v>
      </c>
      <c r="O466" s="759" t="s">
        <v>5</v>
      </c>
      <c r="P466" s="421" t="s">
        <v>11802</v>
      </c>
      <c r="Q466" s="757"/>
      <c r="R466" s="757"/>
      <c r="S466" s="757"/>
      <c r="T466" s="757"/>
      <c r="U466" s="757"/>
      <c r="V466" s="757"/>
      <c r="W466" s="757"/>
      <c r="X466" s="757"/>
      <c r="Y466" s="757"/>
      <c r="Z466" s="757"/>
    </row>
    <row r="467" ht="12.75" customHeight="1">
      <c r="A467" s="758">
        <v>465.0</v>
      </c>
      <c r="B467" s="421" t="s">
        <v>12223</v>
      </c>
      <c r="C467" s="421" t="s">
        <v>2394</v>
      </c>
      <c r="D467" s="421" t="s">
        <v>316</v>
      </c>
      <c r="E467" s="421" t="s">
        <v>12944</v>
      </c>
      <c r="F467" s="421" t="s">
        <v>11851</v>
      </c>
      <c r="G467" s="421" t="s">
        <v>5</v>
      </c>
      <c r="H467" s="421" t="s">
        <v>5</v>
      </c>
      <c r="I467" s="421" t="s">
        <v>11969</v>
      </c>
      <c r="J467" s="421" t="s">
        <v>5</v>
      </c>
      <c r="K467" s="421" t="s">
        <v>5</v>
      </c>
      <c r="L467" s="421" t="s">
        <v>5</v>
      </c>
      <c r="M467" s="759" t="s">
        <v>5</v>
      </c>
      <c r="N467" s="760" t="s">
        <v>9265</v>
      </c>
      <c r="O467" s="759" t="s">
        <v>5</v>
      </c>
      <c r="P467" s="421" t="s">
        <v>11802</v>
      </c>
      <c r="Q467" s="757"/>
      <c r="R467" s="757"/>
      <c r="S467" s="757"/>
      <c r="T467" s="757"/>
      <c r="U467" s="757"/>
      <c r="V467" s="757"/>
      <c r="W467" s="757"/>
      <c r="X467" s="757"/>
      <c r="Y467" s="757"/>
      <c r="Z467" s="757"/>
    </row>
    <row r="468" ht="12.75" customHeight="1">
      <c r="A468" s="758">
        <v>466.0</v>
      </c>
      <c r="B468" s="421" t="s">
        <v>12234</v>
      </c>
      <c r="C468" s="421" t="s">
        <v>8703</v>
      </c>
      <c r="D468" s="421" t="s">
        <v>315</v>
      </c>
      <c r="E468" s="421" t="s">
        <v>13009</v>
      </c>
      <c r="F468" s="421" t="s">
        <v>11844</v>
      </c>
      <c r="G468" s="421" t="s">
        <v>5</v>
      </c>
      <c r="H468" s="421" t="s">
        <v>5</v>
      </c>
      <c r="I468" s="421" t="s">
        <v>11918</v>
      </c>
      <c r="J468" s="421" t="s">
        <v>5</v>
      </c>
      <c r="K468" s="421" t="s">
        <v>5</v>
      </c>
      <c r="L468" s="421" t="s">
        <v>5</v>
      </c>
      <c r="M468" s="759" t="s">
        <v>5</v>
      </c>
      <c r="N468" s="760" t="s">
        <v>9265</v>
      </c>
      <c r="O468" s="759" t="s">
        <v>5</v>
      </c>
      <c r="P468" s="421" t="s">
        <v>11802</v>
      </c>
      <c r="Q468" s="757"/>
      <c r="R468" s="757"/>
      <c r="S468" s="757"/>
      <c r="T468" s="757"/>
      <c r="U468" s="757"/>
      <c r="V468" s="757"/>
      <c r="W468" s="757"/>
      <c r="X468" s="757"/>
      <c r="Y468" s="757"/>
      <c r="Z468" s="757"/>
    </row>
    <row r="469" ht="12.75" customHeight="1">
      <c r="A469" s="758">
        <v>467.0</v>
      </c>
      <c r="B469" s="421" t="s">
        <v>12235</v>
      </c>
      <c r="C469" s="421" t="s">
        <v>2386</v>
      </c>
      <c r="D469" s="421" t="s">
        <v>86</v>
      </c>
      <c r="E469" s="421" t="s">
        <v>12954</v>
      </c>
      <c r="F469" s="421" t="s">
        <v>11854</v>
      </c>
      <c r="G469" s="421" t="s">
        <v>5</v>
      </c>
      <c r="H469" s="421" t="s">
        <v>5</v>
      </c>
      <c r="I469" s="421" t="s">
        <v>11918</v>
      </c>
      <c r="J469" s="421" t="s">
        <v>5</v>
      </c>
      <c r="K469" s="421" t="s">
        <v>5</v>
      </c>
      <c r="L469" s="421" t="s">
        <v>5</v>
      </c>
      <c r="M469" s="759" t="s">
        <v>5</v>
      </c>
      <c r="N469" s="760" t="s">
        <v>9265</v>
      </c>
      <c r="O469" s="759" t="s">
        <v>5</v>
      </c>
      <c r="P469" s="421" t="s">
        <v>11802</v>
      </c>
      <c r="Q469" s="757"/>
      <c r="R469" s="757"/>
      <c r="S469" s="757"/>
      <c r="T469" s="757"/>
      <c r="U469" s="757"/>
      <c r="V469" s="757"/>
      <c r="W469" s="757"/>
      <c r="X469" s="757"/>
      <c r="Y469" s="757"/>
      <c r="Z469" s="757"/>
    </row>
    <row r="470" ht="12.75" customHeight="1">
      <c r="A470" s="758">
        <v>468.0</v>
      </c>
      <c r="B470" s="421" t="s">
        <v>12236</v>
      </c>
      <c r="C470" s="421" t="s">
        <v>2348</v>
      </c>
      <c r="D470" s="421" t="s">
        <v>86</v>
      </c>
      <c r="E470" s="421" t="s">
        <v>12955</v>
      </c>
      <c r="F470" s="421" t="s">
        <v>11854</v>
      </c>
      <c r="G470" s="421" t="s">
        <v>5</v>
      </c>
      <c r="H470" s="421" t="s">
        <v>5</v>
      </c>
      <c r="I470" s="421" t="s">
        <v>11918</v>
      </c>
      <c r="J470" s="421" t="s">
        <v>5</v>
      </c>
      <c r="K470" s="421" t="s">
        <v>5</v>
      </c>
      <c r="L470" s="421" t="s">
        <v>5</v>
      </c>
      <c r="M470" s="759" t="s">
        <v>5</v>
      </c>
      <c r="N470" s="760" t="s">
        <v>9265</v>
      </c>
      <c r="O470" s="759" t="s">
        <v>5</v>
      </c>
      <c r="P470" s="421" t="s">
        <v>11802</v>
      </c>
      <c r="Q470" s="757"/>
      <c r="R470" s="757"/>
      <c r="S470" s="757"/>
      <c r="T470" s="757"/>
      <c r="U470" s="757"/>
      <c r="V470" s="757"/>
      <c r="W470" s="757"/>
      <c r="X470" s="757"/>
      <c r="Y470" s="757"/>
      <c r="Z470" s="757"/>
    </row>
    <row r="471" ht="12.75" customHeight="1">
      <c r="A471" s="758">
        <v>469.0</v>
      </c>
      <c r="B471" s="421" t="s">
        <v>12237</v>
      </c>
      <c r="C471" s="421" t="s">
        <v>2333</v>
      </c>
      <c r="D471" s="421" t="s">
        <v>86</v>
      </c>
      <c r="E471" s="421" t="s">
        <v>12957</v>
      </c>
      <c r="F471" s="421" t="s">
        <v>11854</v>
      </c>
      <c r="G471" s="421" t="s">
        <v>5</v>
      </c>
      <c r="H471" s="421" t="s">
        <v>5</v>
      </c>
      <c r="I471" s="421" t="s">
        <v>11918</v>
      </c>
      <c r="J471" s="421" t="s">
        <v>5</v>
      </c>
      <c r="K471" s="421" t="s">
        <v>5</v>
      </c>
      <c r="L471" s="421" t="s">
        <v>5</v>
      </c>
      <c r="M471" s="759" t="s">
        <v>5</v>
      </c>
      <c r="N471" s="760" t="s">
        <v>9265</v>
      </c>
      <c r="O471" s="759" t="s">
        <v>5</v>
      </c>
      <c r="P471" s="421" t="s">
        <v>11802</v>
      </c>
      <c r="Q471" s="757"/>
      <c r="R471" s="757"/>
      <c r="S471" s="757"/>
      <c r="T471" s="757"/>
      <c r="U471" s="757"/>
      <c r="V471" s="757"/>
      <c r="W471" s="757"/>
      <c r="X471" s="757"/>
      <c r="Y471" s="757"/>
      <c r="Z471" s="757"/>
    </row>
    <row r="472" ht="12.75" customHeight="1">
      <c r="A472" s="758">
        <v>470.0</v>
      </c>
      <c r="B472" s="421" t="s">
        <v>12238</v>
      </c>
      <c r="C472" s="421" t="s">
        <v>2359</v>
      </c>
      <c r="D472" s="421" t="s">
        <v>86</v>
      </c>
      <c r="E472" s="421" t="s">
        <v>12958</v>
      </c>
      <c r="F472" s="421" t="s">
        <v>11854</v>
      </c>
      <c r="G472" s="421" t="s">
        <v>5</v>
      </c>
      <c r="H472" s="421" t="s">
        <v>5</v>
      </c>
      <c r="I472" s="421" t="s">
        <v>11918</v>
      </c>
      <c r="J472" s="421" t="s">
        <v>5</v>
      </c>
      <c r="K472" s="421" t="s">
        <v>5</v>
      </c>
      <c r="L472" s="421" t="s">
        <v>5</v>
      </c>
      <c r="M472" s="759" t="s">
        <v>5</v>
      </c>
      <c r="N472" s="760" t="s">
        <v>9265</v>
      </c>
      <c r="O472" s="759" t="s">
        <v>5</v>
      </c>
      <c r="P472" s="421" t="s">
        <v>11802</v>
      </c>
      <c r="Q472" s="757"/>
      <c r="R472" s="757"/>
      <c r="S472" s="757"/>
      <c r="T472" s="757"/>
      <c r="U472" s="757"/>
      <c r="V472" s="757"/>
      <c r="W472" s="757"/>
      <c r="X472" s="757"/>
      <c r="Y472" s="757"/>
      <c r="Z472" s="757"/>
    </row>
    <row r="473" ht="12.75" customHeight="1">
      <c r="A473" s="758">
        <v>471.0</v>
      </c>
      <c r="B473" s="421" t="s">
        <v>12239</v>
      </c>
      <c r="C473" s="421" t="s">
        <v>11289</v>
      </c>
      <c r="D473" s="421" t="s">
        <v>262</v>
      </c>
      <c r="E473" s="421" t="s">
        <v>12900</v>
      </c>
      <c r="F473" s="421" t="s">
        <v>11850</v>
      </c>
      <c r="G473" s="421" t="s">
        <v>5</v>
      </c>
      <c r="H473" s="421" t="s">
        <v>5</v>
      </c>
      <c r="I473" s="421" t="s">
        <v>5</v>
      </c>
      <c r="J473" s="421" t="s">
        <v>5</v>
      </c>
      <c r="K473" s="421" t="s">
        <v>5</v>
      </c>
      <c r="L473" s="421" t="s">
        <v>5</v>
      </c>
      <c r="M473" s="759" t="s">
        <v>5</v>
      </c>
      <c r="N473" s="760" t="s">
        <v>9265</v>
      </c>
      <c r="O473" s="759" t="s">
        <v>5</v>
      </c>
      <c r="P473" s="421" t="s">
        <v>11802</v>
      </c>
      <c r="Q473" s="757"/>
      <c r="R473" s="757"/>
      <c r="S473" s="757"/>
      <c r="T473" s="757"/>
      <c r="U473" s="757"/>
      <c r="V473" s="757"/>
      <c r="W473" s="757"/>
      <c r="X473" s="757"/>
      <c r="Y473" s="757"/>
      <c r="Z473" s="757"/>
    </row>
    <row r="474" ht="12.75" customHeight="1">
      <c r="A474" s="758">
        <v>472.0</v>
      </c>
      <c r="B474" s="421" t="s">
        <v>12240</v>
      </c>
      <c r="C474" s="421" t="s">
        <v>7231</v>
      </c>
      <c r="D474" s="421" t="s">
        <v>275</v>
      </c>
      <c r="E474" s="421" t="s">
        <v>13004</v>
      </c>
      <c r="F474" s="421" t="s">
        <v>11844</v>
      </c>
      <c r="G474" s="421" t="s">
        <v>5</v>
      </c>
      <c r="H474" s="421" t="s">
        <v>5</v>
      </c>
      <c r="I474" s="421" t="s">
        <v>5</v>
      </c>
      <c r="J474" s="421" t="s">
        <v>5</v>
      </c>
      <c r="K474" s="421" t="s">
        <v>5</v>
      </c>
      <c r="L474" s="421" t="s">
        <v>5</v>
      </c>
      <c r="M474" s="759" t="s">
        <v>5</v>
      </c>
      <c r="N474" s="760" t="s">
        <v>9265</v>
      </c>
      <c r="O474" s="759" t="s">
        <v>5</v>
      </c>
      <c r="P474" s="421" t="s">
        <v>11802</v>
      </c>
      <c r="Q474" s="757"/>
      <c r="R474" s="757"/>
      <c r="S474" s="757"/>
      <c r="T474" s="757"/>
      <c r="U474" s="757"/>
      <c r="V474" s="757"/>
      <c r="W474" s="757"/>
      <c r="X474" s="757"/>
      <c r="Y474" s="757"/>
      <c r="Z474" s="757"/>
    </row>
    <row r="475" ht="12.75" customHeight="1">
      <c r="A475" s="758">
        <v>473.0</v>
      </c>
      <c r="B475" s="421" t="s">
        <v>12241</v>
      </c>
      <c r="C475" s="421" t="s">
        <v>12242</v>
      </c>
      <c r="D475" s="421" t="s">
        <v>275</v>
      </c>
      <c r="E475" s="421" t="s">
        <v>12902</v>
      </c>
      <c r="F475" s="421" t="s">
        <v>11844</v>
      </c>
      <c r="G475" s="421" t="s">
        <v>5</v>
      </c>
      <c r="H475" s="421" t="s">
        <v>5</v>
      </c>
      <c r="I475" s="421" t="s">
        <v>5</v>
      </c>
      <c r="J475" s="421" t="s">
        <v>5</v>
      </c>
      <c r="K475" s="421" t="s">
        <v>5</v>
      </c>
      <c r="L475" s="421" t="s">
        <v>5</v>
      </c>
      <c r="M475" s="759" t="s">
        <v>5</v>
      </c>
      <c r="N475" s="760" t="s">
        <v>9265</v>
      </c>
      <c r="O475" s="759" t="s">
        <v>5</v>
      </c>
      <c r="P475" s="421" t="s">
        <v>11802</v>
      </c>
      <c r="Q475" s="757"/>
      <c r="R475" s="757"/>
      <c r="S475" s="757"/>
      <c r="T475" s="757"/>
      <c r="U475" s="757"/>
      <c r="V475" s="757"/>
      <c r="W475" s="757"/>
      <c r="X475" s="757"/>
      <c r="Y475" s="757"/>
      <c r="Z475" s="757"/>
    </row>
    <row r="476" ht="12.75" customHeight="1">
      <c r="A476" s="758">
        <v>474.0</v>
      </c>
      <c r="B476" s="421" t="s">
        <v>12243</v>
      </c>
      <c r="C476" s="421" t="s">
        <v>12244</v>
      </c>
      <c r="D476" s="421" t="s">
        <v>12042</v>
      </c>
      <c r="E476" s="421" t="s">
        <v>12903</v>
      </c>
      <c r="F476" s="421" t="s">
        <v>11851</v>
      </c>
      <c r="G476" s="421" t="s">
        <v>5</v>
      </c>
      <c r="H476" s="421" t="s">
        <v>5</v>
      </c>
      <c r="I476" s="421" t="s">
        <v>5</v>
      </c>
      <c r="J476" s="421" t="s">
        <v>5</v>
      </c>
      <c r="K476" s="421" t="s">
        <v>5</v>
      </c>
      <c r="L476" s="421" t="s">
        <v>5</v>
      </c>
      <c r="M476" s="759" t="s">
        <v>5</v>
      </c>
      <c r="N476" s="760" t="s">
        <v>9265</v>
      </c>
      <c r="O476" s="759" t="s">
        <v>5</v>
      </c>
      <c r="P476" s="421" t="s">
        <v>11802</v>
      </c>
      <c r="Q476" s="757"/>
      <c r="R476" s="757"/>
      <c r="S476" s="757"/>
      <c r="T476" s="757"/>
      <c r="U476" s="757"/>
      <c r="V476" s="757"/>
      <c r="W476" s="757"/>
      <c r="X476" s="757"/>
      <c r="Y476" s="757"/>
      <c r="Z476" s="757"/>
    </row>
    <row r="477" ht="12.75" customHeight="1">
      <c r="A477" s="758">
        <v>475.0</v>
      </c>
      <c r="B477" s="421" t="s">
        <v>12245</v>
      </c>
      <c r="C477" s="421" t="s">
        <v>12246</v>
      </c>
      <c r="D477" s="421" t="s">
        <v>12042</v>
      </c>
      <c r="E477" s="421" t="s">
        <v>12904</v>
      </c>
      <c r="F477" s="421" t="s">
        <v>11851</v>
      </c>
      <c r="G477" s="421" t="s">
        <v>5</v>
      </c>
      <c r="H477" s="421" t="s">
        <v>5</v>
      </c>
      <c r="I477" s="421" t="s">
        <v>5</v>
      </c>
      <c r="J477" s="421" t="s">
        <v>5</v>
      </c>
      <c r="K477" s="421" t="s">
        <v>5</v>
      </c>
      <c r="L477" s="421" t="s">
        <v>5</v>
      </c>
      <c r="M477" s="759" t="s">
        <v>5</v>
      </c>
      <c r="N477" s="760" t="s">
        <v>9265</v>
      </c>
      <c r="O477" s="759" t="s">
        <v>5</v>
      </c>
      <c r="P477" s="421" t="s">
        <v>11802</v>
      </c>
      <c r="Q477" s="757"/>
      <c r="R477" s="757"/>
      <c r="S477" s="757"/>
      <c r="T477" s="757"/>
      <c r="U477" s="757"/>
      <c r="V477" s="757"/>
      <c r="W477" s="757"/>
      <c r="X477" s="757"/>
      <c r="Y477" s="757"/>
      <c r="Z477" s="757"/>
    </row>
    <row r="478" ht="12.75" customHeight="1">
      <c r="A478" s="758">
        <v>476.0</v>
      </c>
      <c r="B478" s="421" t="s">
        <v>12247</v>
      </c>
      <c r="C478" s="421" t="s">
        <v>12248</v>
      </c>
      <c r="D478" s="421" t="s">
        <v>12042</v>
      </c>
      <c r="E478" s="421" t="s">
        <v>12905</v>
      </c>
      <c r="F478" s="421" t="s">
        <v>11851</v>
      </c>
      <c r="G478" s="421" t="s">
        <v>5</v>
      </c>
      <c r="H478" s="421" t="s">
        <v>5</v>
      </c>
      <c r="I478" s="421" t="s">
        <v>5</v>
      </c>
      <c r="J478" s="421" t="s">
        <v>5</v>
      </c>
      <c r="K478" s="421" t="s">
        <v>5</v>
      </c>
      <c r="L478" s="421" t="s">
        <v>5</v>
      </c>
      <c r="M478" s="759" t="s">
        <v>5</v>
      </c>
      <c r="N478" s="760" t="s">
        <v>9265</v>
      </c>
      <c r="O478" s="759" t="s">
        <v>5</v>
      </c>
      <c r="P478" s="421" t="s">
        <v>11802</v>
      </c>
      <c r="Q478" s="757"/>
      <c r="R478" s="757"/>
      <c r="S478" s="757"/>
      <c r="T478" s="757"/>
      <c r="U478" s="757"/>
      <c r="V478" s="757"/>
      <c r="W478" s="757"/>
      <c r="X478" s="757"/>
      <c r="Y478" s="757"/>
      <c r="Z478" s="757"/>
    </row>
    <row r="479" ht="12.75" customHeight="1">
      <c r="A479" s="758">
        <v>477.0</v>
      </c>
      <c r="B479" s="421" t="s">
        <v>12249</v>
      </c>
      <c r="C479" s="421" t="s">
        <v>12250</v>
      </c>
      <c r="D479" s="421" t="s">
        <v>12042</v>
      </c>
      <c r="E479" s="421" t="s">
        <v>12906</v>
      </c>
      <c r="F479" s="421" t="s">
        <v>11851</v>
      </c>
      <c r="G479" s="421" t="s">
        <v>5</v>
      </c>
      <c r="H479" s="421" t="s">
        <v>5</v>
      </c>
      <c r="I479" s="421" t="s">
        <v>5</v>
      </c>
      <c r="J479" s="421" t="s">
        <v>5</v>
      </c>
      <c r="K479" s="421" t="s">
        <v>5</v>
      </c>
      <c r="L479" s="421" t="s">
        <v>5</v>
      </c>
      <c r="M479" s="759" t="s">
        <v>5</v>
      </c>
      <c r="N479" s="760" t="s">
        <v>9265</v>
      </c>
      <c r="O479" s="759" t="s">
        <v>5</v>
      </c>
      <c r="P479" s="421" t="s">
        <v>11802</v>
      </c>
      <c r="Q479" s="757"/>
      <c r="R479" s="757"/>
      <c r="S479" s="757"/>
      <c r="T479" s="757"/>
      <c r="U479" s="757"/>
      <c r="V479" s="757"/>
      <c r="W479" s="757"/>
      <c r="X479" s="757"/>
      <c r="Y479" s="757"/>
      <c r="Z479" s="757"/>
    </row>
    <row r="480" ht="12.75" customHeight="1">
      <c r="A480" s="758">
        <v>478.0</v>
      </c>
      <c r="B480" s="421" t="s">
        <v>12239</v>
      </c>
      <c r="C480" s="421" t="s">
        <v>7466</v>
      </c>
      <c r="D480" s="421" t="s">
        <v>275</v>
      </c>
      <c r="E480" s="421" t="s">
        <v>13010</v>
      </c>
      <c r="F480" s="421" t="s">
        <v>11844</v>
      </c>
      <c r="G480" s="421" t="s">
        <v>5</v>
      </c>
      <c r="H480" s="421" t="s">
        <v>5</v>
      </c>
      <c r="I480" s="421" t="s">
        <v>5</v>
      </c>
      <c r="J480" s="421" t="s">
        <v>5</v>
      </c>
      <c r="K480" s="421" t="s">
        <v>5</v>
      </c>
      <c r="L480" s="421" t="s">
        <v>5</v>
      </c>
      <c r="M480" s="759" t="s">
        <v>5</v>
      </c>
      <c r="N480" s="760" t="s">
        <v>9265</v>
      </c>
      <c r="O480" s="759" t="s">
        <v>5</v>
      </c>
      <c r="P480" s="421" t="s">
        <v>11802</v>
      </c>
      <c r="Q480" s="757"/>
      <c r="R480" s="757"/>
      <c r="S480" s="757"/>
      <c r="T480" s="757"/>
      <c r="U480" s="757"/>
      <c r="V480" s="757"/>
      <c r="W480" s="757"/>
      <c r="X480" s="757"/>
      <c r="Y480" s="757"/>
      <c r="Z480" s="757"/>
    </row>
    <row r="481" ht="12.75" customHeight="1">
      <c r="A481" s="758">
        <v>479.0</v>
      </c>
      <c r="B481" s="421" t="s">
        <v>12251</v>
      </c>
      <c r="C481" s="421" t="s">
        <v>2070</v>
      </c>
      <c r="D481" s="421" t="s">
        <v>2029</v>
      </c>
      <c r="E481" s="421" t="s">
        <v>13011</v>
      </c>
      <c r="F481" s="421" t="s">
        <v>11851</v>
      </c>
      <c r="G481" s="421" t="s">
        <v>5</v>
      </c>
      <c r="H481" s="421" t="s">
        <v>5</v>
      </c>
      <c r="I481" s="421" t="s">
        <v>5</v>
      </c>
      <c r="J481" s="421" t="s">
        <v>5</v>
      </c>
      <c r="K481" s="421" t="s">
        <v>5</v>
      </c>
      <c r="L481" s="421" t="s">
        <v>5</v>
      </c>
      <c r="M481" s="759" t="s">
        <v>5</v>
      </c>
      <c r="N481" s="760" t="s">
        <v>9265</v>
      </c>
      <c r="O481" s="759" t="s">
        <v>5</v>
      </c>
      <c r="P481" s="421" t="s">
        <v>11802</v>
      </c>
      <c r="Q481" s="757"/>
      <c r="R481" s="757"/>
      <c r="S481" s="757"/>
      <c r="T481" s="757"/>
      <c r="U481" s="757"/>
      <c r="V481" s="757"/>
      <c r="W481" s="757"/>
      <c r="X481" s="757"/>
      <c r="Y481" s="757"/>
      <c r="Z481" s="757"/>
    </row>
    <row r="482" ht="12.75" customHeight="1">
      <c r="A482" s="758">
        <v>480.0</v>
      </c>
      <c r="B482" s="421" t="s">
        <v>12239</v>
      </c>
      <c r="C482" s="421" t="s">
        <v>8883</v>
      </c>
      <c r="D482" s="421" t="s">
        <v>2029</v>
      </c>
      <c r="E482" s="421" t="s">
        <v>13012</v>
      </c>
      <c r="F482" s="421" t="s">
        <v>11851</v>
      </c>
      <c r="G482" s="421" t="s">
        <v>5</v>
      </c>
      <c r="H482" s="421" t="s">
        <v>5</v>
      </c>
      <c r="I482" s="421" t="s">
        <v>5</v>
      </c>
      <c r="J482" s="421" t="s">
        <v>5</v>
      </c>
      <c r="K482" s="421" t="s">
        <v>5</v>
      </c>
      <c r="L482" s="421" t="s">
        <v>5</v>
      </c>
      <c r="M482" s="759" t="s">
        <v>5</v>
      </c>
      <c r="N482" s="760" t="s">
        <v>9265</v>
      </c>
      <c r="O482" s="759" t="s">
        <v>5</v>
      </c>
      <c r="P482" s="421" t="s">
        <v>11802</v>
      </c>
      <c r="Q482" s="757"/>
      <c r="R482" s="757"/>
      <c r="S482" s="757"/>
      <c r="T482" s="757"/>
      <c r="U482" s="757"/>
      <c r="V482" s="757"/>
      <c r="W482" s="757"/>
      <c r="X482" s="757"/>
      <c r="Y482" s="757"/>
      <c r="Z482" s="757"/>
    </row>
    <row r="483" ht="12.75" customHeight="1">
      <c r="A483" s="758">
        <v>481.0</v>
      </c>
      <c r="B483" s="421" t="s">
        <v>12239</v>
      </c>
      <c r="C483" s="421" t="s">
        <v>2131</v>
      </c>
      <c r="D483" s="421" t="s">
        <v>2029</v>
      </c>
      <c r="E483" s="421" t="s">
        <v>13013</v>
      </c>
      <c r="F483" s="421" t="s">
        <v>11851</v>
      </c>
      <c r="G483" s="421" t="s">
        <v>5</v>
      </c>
      <c r="H483" s="421" t="s">
        <v>5</v>
      </c>
      <c r="I483" s="421" t="s">
        <v>5</v>
      </c>
      <c r="J483" s="421" t="s">
        <v>5</v>
      </c>
      <c r="K483" s="421" t="s">
        <v>5</v>
      </c>
      <c r="L483" s="421" t="s">
        <v>5</v>
      </c>
      <c r="M483" s="759" t="s">
        <v>5</v>
      </c>
      <c r="N483" s="760" t="s">
        <v>9265</v>
      </c>
      <c r="O483" s="759" t="s">
        <v>5</v>
      </c>
      <c r="P483" s="421" t="s">
        <v>11802</v>
      </c>
      <c r="Q483" s="757"/>
      <c r="R483" s="757"/>
      <c r="S483" s="757"/>
      <c r="T483" s="757"/>
      <c r="U483" s="757"/>
      <c r="V483" s="757"/>
      <c r="W483" s="757"/>
      <c r="X483" s="757"/>
      <c r="Y483" s="757"/>
      <c r="Z483" s="757"/>
    </row>
    <row r="484" ht="12.75" customHeight="1">
      <c r="A484" s="758">
        <v>482.0</v>
      </c>
      <c r="B484" s="421" t="s">
        <v>12239</v>
      </c>
      <c r="C484" s="421" t="s">
        <v>2030</v>
      </c>
      <c r="D484" s="421" t="s">
        <v>2029</v>
      </c>
      <c r="E484" s="421" t="s">
        <v>13014</v>
      </c>
      <c r="F484" s="421" t="s">
        <v>11851</v>
      </c>
      <c r="G484" s="421" t="s">
        <v>5</v>
      </c>
      <c r="H484" s="421" t="s">
        <v>5</v>
      </c>
      <c r="I484" s="421" t="s">
        <v>5</v>
      </c>
      <c r="J484" s="421" t="s">
        <v>5</v>
      </c>
      <c r="K484" s="421" t="s">
        <v>5</v>
      </c>
      <c r="L484" s="421" t="s">
        <v>5</v>
      </c>
      <c r="M484" s="759" t="s">
        <v>5</v>
      </c>
      <c r="N484" s="760" t="s">
        <v>9265</v>
      </c>
      <c r="O484" s="759" t="s">
        <v>5</v>
      </c>
      <c r="P484" s="421" t="s">
        <v>11802</v>
      </c>
      <c r="Q484" s="757"/>
      <c r="R484" s="757"/>
      <c r="S484" s="757"/>
      <c r="T484" s="757"/>
      <c r="U484" s="757"/>
      <c r="V484" s="757"/>
      <c r="W484" s="757"/>
      <c r="X484" s="757"/>
      <c r="Y484" s="757"/>
      <c r="Z484" s="757"/>
    </row>
    <row r="485" ht="12.75" customHeight="1">
      <c r="A485" s="758">
        <v>483.0</v>
      </c>
      <c r="B485" s="421" t="s">
        <v>12239</v>
      </c>
      <c r="C485" s="421" t="s">
        <v>8873</v>
      </c>
      <c r="D485" s="421" t="s">
        <v>2029</v>
      </c>
      <c r="E485" s="421" t="s">
        <v>13015</v>
      </c>
      <c r="F485" s="421" t="s">
        <v>11851</v>
      </c>
      <c r="G485" s="421" t="s">
        <v>5</v>
      </c>
      <c r="H485" s="421" t="s">
        <v>5</v>
      </c>
      <c r="I485" s="421" t="s">
        <v>5</v>
      </c>
      <c r="J485" s="421" t="s">
        <v>5</v>
      </c>
      <c r="K485" s="421" t="s">
        <v>5</v>
      </c>
      <c r="L485" s="421" t="s">
        <v>5</v>
      </c>
      <c r="M485" s="759" t="s">
        <v>5</v>
      </c>
      <c r="N485" s="760" t="s">
        <v>9265</v>
      </c>
      <c r="O485" s="759" t="s">
        <v>5</v>
      </c>
      <c r="P485" s="421" t="s">
        <v>11802</v>
      </c>
      <c r="Q485" s="757"/>
      <c r="R485" s="757"/>
      <c r="S485" s="757"/>
      <c r="T485" s="757"/>
      <c r="U485" s="757"/>
      <c r="V485" s="757"/>
      <c r="W485" s="757"/>
      <c r="X485" s="757"/>
      <c r="Y485" s="757"/>
      <c r="Z485" s="757"/>
    </row>
    <row r="486" ht="12.75" customHeight="1">
      <c r="A486" s="758">
        <v>484.0</v>
      </c>
      <c r="B486" s="421" t="s">
        <v>12239</v>
      </c>
      <c r="C486" s="421" t="s">
        <v>8912</v>
      </c>
      <c r="D486" s="421" t="s">
        <v>275</v>
      </c>
      <c r="E486" s="421" t="s">
        <v>13016</v>
      </c>
      <c r="F486" s="421" t="s">
        <v>11844</v>
      </c>
      <c r="G486" s="421" t="s">
        <v>5</v>
      </c>
      <c r="H486" s="421" t="s">
        <v>5</v>
      </c>
      <c r="I486" s="421" t="s">
        <v>5</v>
      </c>
      <c r="J486" s="421" t="s">
        <v>5</v>
      </c>
      <c r="K486" s="421" t="s">
        <v>5</v>
      </c>
      <c r="L486" s="421" t="s">
        <v>5</v>
      </c>
      <c r="M486" s="759" t="s">
        <v>5</v>
      </c>
      <c r="N486" s="760" t="s">
        <v>9265</v>
      </c>
      <c r="O486" s="759" t="s">
        <v>5</v>
      </c>
      <c r="P486" s="421" t="s">
        <v>11802</v>
      </c>
      <c r="Q486" s="757"/>
      <c r="R486" s="757"/>
      <c r="S486" s="757"/>
      <c r="T486" s="757"/>
      <c r="U486" s="757"/>
      <c r="V486" s="757"/>
      <c r="W486" s="757"/>
      <c r="X486" s="757"/>
      <c r="Y486" s="757"/>
      <c r="Z486" s="757"/>
    </row>
    <row r="487" ht="12.75" customHeight="1">
      <c r="A487" s="758">
        <v>485.0</v>
      </c>
      <c r="B487" s="421" t="s">
        <v>12252</v>
      </c>
      <c r="C487" s="421" t="s">
        <v>1987</v>
      </c>
      <c r="D487" s="421" t="s">
        <v>1986</v>
      </c>
      <c r="E487" s="421" t="s">
        <v>13011</v>
      </c>
      <c r="F487" s="421" t="s">
        <v>11851</v>
      </c>
      <c r="G487" s="421" t="s">
        <v>5</v>
      </c>
      <c r="H487" s="421" t="s">
        <v>5</v>
      </c>
      <c r="I487" s="421" t="s">
        <v>5</v>
      </c>
      <c r="J487" s="421" t="s">
        <v>5</v>
      </c>
      <c r="K487" s="421" t="s">
        <v>5</v>
      </c>
      <c r="L487" s="421" t="s">
        <v>5</v>
      </c>
      <c r="M487" s="759" t="s">
        <v>5</v>
      </c>
      <c r="N487" s="760" t="s">
        <v>9265</v>
      </c>
      <c r="O487" s="759" t="s">
        <v>5</v>
      </c>
      <c r="P487" s="421" t="s">
        <v>11802</v>
      </c>
      <c r="Q487" s="757"/>
      <c r="R487" s="757"/>
      <c r="S487" s="757"/>
      <c r="T487" s="757"/>
      <c r="U487" s="757"/>
      <c r="V487" s="757"/>
      <c r="W487" s="757"/>
      <c r="X487" s="757"/>
      <c r="Y487" s="757"/>
      <c r="Z487" s="757"/>
    </row>
    <row r="488" ht="12.75" customHeight="1">
      <c r="A488" s="758">
        <v>486.0</v>
      </c>
      <c r="B488" s="421" t="s">
        <v>12239</v>
      </c>
      <c r="C488" s="421" t="s">
        <v>2035</v>
      </c>
      <c r="D488" s="421" t="s">
        <v>1986</v>
      </c>
      <c r="E488" s="421" t="s">
        <v>13012</v>
      </c>
      <c r="F488" s="421" t="s">
        <v>11851</v>
      </c>
      <c r="G488" s="421" t="s">
        <v>5</v>
      </c>
      <c r="H488" s="421" t="s">
        <v>5</v>
      </c>
      <c r="I488" s="421" t="s">
        <v>5</v>
      </c>
      <c r="J488" s="421" t="s">
        <v>5</v>
      </c>
      <c r="K488" s="421" t="s">
        <v>5</v>
      </c>
      <c r="L488" s="421" t="s">
        <v>5</v>
      </c>
      <c r="M488" s="759" t="s">
        <v>5</v>
      </c>
      <c r="N488" s="760" t="s">
        <v>9265</v>
      </c>
      <c r="O488" s="759" t="s">
        <v>5</v>
      </c>
      <c r="P488" s="421" t="s">
        <v>11802</v>
      </c>
      <c r="Q488" s="757"/>
      <c r="R488" s="757"/>
      <c r="S488" s="757"/>
      <c r="T488" s="757"/>
      <c r="U488" s="757"/>
      <c r="V488" s="757"/>
      <c r="W488" s="757"/>
      <c r="X488" s="757"/>
      <c r="Y488" s="757"/>
      <c r="Z488" s="757"/>
    </row>
    <row r="489" ht="12.75" customHeight="1">
      <c r="A489" s="758">
        <v>487.0</v>
      </c>
      <c r="B489" s="421" t="s">
        <v>12239</v>
      </c>
      <c r="C489" s="421" t="s">
        <v>2052</v>
      </c>
      <c r="D489" s="421" t="s">
        <v>1986</v>
      </c>
      <c r="E489" s="421" t="s">
        <v>13013</v>
      </c>
      <c r="F489" s="421" t="s">
        <v>11851</v>
      </c>
      <c r="G489" s="421" t="s">
        <v>5</v>
      </c>
      <c r="H489" s="421" t="s">
        <v>5</v>
      </c>
      <c r="I489" s="421" t="s">
        <v>5</v>
      </c>
      <c r="J489" s="421" t="s">
        <v>5</v>
      </c>
      <c r="K489" s="421" t="s">
        <v>5</v>
      </c>
      <c r="L489" s="421" t="s">
        <v>5</v>
      </c>
      <c r="M489" s="759" t="s">
        <v>5</v>
      </c>
      <c r="N489" s="760" t="s">
        <v>9265</v>
      </c>
      <c r="O489" s="759" t="s">
        <v>5</v>
      </c>
      <c r="P489" s="421" t="s">
        <v>11802</v>
      </c>
      <c r="Q489" s="757"/>
      <c r="R489" s="757"/>
      <c r="S489" s="757"/>
      <c r="T489" s="757"/>
      <c r="U489" s="757"/>
      <c r="V489" s="757"/>
      <c r="W489" s="757"/>
      <c r="X489" s="757"/>
      <c r="Y489" s="757"/>
      <c r="Z489" s="757"/>
    </row>
    <row r="490" ht="12.75" customHeight="1">
      <c r="A490" s="758">
        <v>488.0</v>
      </c>
      <c r="B490" s="421" t="s">
        <v>12239</v>
      </c>
      <c r="C490" s="421" t="s">
        <v>2022</v>
      </c>
      <c r="D490" s="421" t="s">
        <v>1986</v>
      </c>
      <c r="E490" s="421" t="s">
        <v>13014</v>
      </c>
      <c r="F490" s="421" t="s">
        <v>11851</v>
      </c>
      <c r="G490" s="421" t="s">
        <v>5</v>
      </c>
      <c r="H490" s="421" t="s">
        <v>5</v>
      </c>
      <c r="I490" s="421" t="s">
        <v>5</v>
      </c>
      <c r="J490" s="421" t="s">
        <v>5</v>
      </c>
      <c r="K490" s="421" t="s">
        <v>5</v>
      </c>
      <c r="L490" s="421" t="s">
        <v>5</v>
      </c>
      <c r="M490" s="759" t="s">
        <v>5</v>
      </c>
      <c r="N490" s="760" t="s">
        <v>9265</v>
      </c>
      <c r="O490" s="759" t="s">
        <v>5</v>
      </c>
      <c r="P490" s="421" t="s">
        <v>11802</v>
      </c>
      <c r="Q490" s="757"/>
      <c r="R490" s="757"/>
      <c r="S490" s="757"/>
      <c r="T490" s="757"/>
      <c r="U490" s="757"/>
      <c r="V490" s="757"/>
      <c r="W490" s="757"/>
      <c r="X490" s="757"/>
      <c r="Y490" s="757"/>
      <c r="Z490" s="757"/>
    </row>
    <row r="491" ht="12.75" customHeight="1">
      <c r="A491" s="758">
        <v>489.0</v>
      </c>
      <c r="B491" s="421" t="s">
        <v>12239</v>
      </c>
      <c r="C491" s="421" t="s">
        <v>2061</v>
      </c>
      <c r="D491" s="421" t="s">
        <v>1986</v>
      </c>
      <c r="E491" s="421" t="s">
        <v>13015</v>
      </c>
      <c r="F491" s="421" t="s">
        <v>11851</v>
      </c>
      <c r="G491" s="421" t="s">
        <v>5</v>
      </c>
      <c r="H491" s="421" t="s">
        <v>5</v>
      </c>
      <c r="I491" s="421" t="s">
        <v>5</v>
      </c>
      <c r="J491" s="421" t="s">
        <v>5</v>
      </c>
      <c r="K491" s="421" t="s">
        <v>5</v>
      </c>
      <c r="L491" s="421" t="s">
        <v>5</v>
      </c>
      <c r="M491" s="759" t="s">
        <v>5</v>
      </c>
      <c r="N491" s="760" t="s">
        <v>9265</v>
      </c>
      <c r="O491" s="759" t="s">
        <v>5</v>
      </c>
      <c r="P491" s="421" t="s">
        <v>11802</v>
      </c>
      <c r="Q491" s="757"/>
      <c r="R491" s="757"/>
      <c r="S491" s="757"/>
      <c r="T491" s="757"/>
      <c r="U491" s="757"/>
      <c r="V491" s="757"/>
      <c r="W491" s="757"/>
      <c r="X491" s="757"/>
      <c r="Y491" s="757"/>
      <c r="Z491" s="757"/>
    </row>
    <row r="492" ht="12.75" customHeight="1">
      <c r="A492" s="758">
        <v>490.0</v>
      </c>
      <c r="B492" s="421" t="s">
        <v>12239</v>
      </c>
      <c r="C492" s="421" t="s">
        <v>284</v>
      </c>
      <c r="D492" s="421" t="s">
        <v>275</v>
      </c>
      <c r="E492" s="421" t="s">
        <v>12913</v>
      </c>
      <c r="F492" s="421" t="s">
        <v>11844</v>
      </c>
      <c r="G492" s="421" t="s">
        <v>5</v>
      </c>
      <c r="H492" s="421" t="s">
        <v>5</v>
      </c>
      <c r="I492" s="421" t="s">
        <v>5</v>
      </c>
      <c r="J492" s="421" t="s">
        <v>5</v>
      </c>
      <c r="K492" s="421" t="s">
        <v>5</v>
      </c>
      <c r="L492" s="421" t="s">
        <v>5</v>
      </c>
      <c r="M492" s="759" t="s">
        <v>5</v>
      </c>
      <c r="N492" s="760" t="s">
        <v>9265</v>
      </c>
      <c r="O492" s="759" t="s">
        <v>5</v>
      </c>
      <c r="P492" s="421" t="s">
        <v>11802</v>
      </c>
      <c r="Q492" s="757"/>
      <c r="R492" s="757"/>
      <c r="S492" s="757"/>
      <c r="T492" s="757"/>
      <c r="U492" s="757"/>
      <c r="V492" s="757"/>
      <c r="W492" s="757"/>
      <c r="X492" s="757"/>
      <c r="Y492" s="757"/>
      <c r="Z492" s="757"/>
    </row>
    <row r="493" ht="12.75" customHeight="1">
      <c r="A493" s="758">
        <v>491.0</v>
      </c>
      <c r="B493" s="421" t="s">
        <v>12239</v>
      </c>
      <c r="C493" s="421" t="s">
        <v>276</v>
      </c>
      <c r="D493" s="421" t="s">
        <v>275</v>
      </c>
      <c r="E493" s="421" t="s">
        <v>12914</v>
      </c>
      <c r="F493" s="421" t="s">
        <v>11844</v>
      </c>
      <c r="G493" s="421" t="s">
        <v>5</v>
      </c>
      <c r="H493" s="421" t="s">
        <v>5</v>
      </c>
      <c r="I493" s="421" t="s">
        <v>5</v>
      </c>
      <c r="J493" s="421" t="s">
        <v>5</v>
      </c>
      <c r="K493" s="421" t="s">
        <v>5</v>
      </c>
      <c r="L493" s="421" t="s">
        <v>5</v>
      </c>
      <c r="M493" s="759" t="s">
        <v>5</v>
      </c>
      <c r="N493" s="760" t="s">
        <v>9265</v>
      </c>
      <c r="O493" s="759" t="s">
        <v>5</v>
      </c>
      <c r="P493" s="421" t="s">
        <v>11802</v>
      </c>
      <c r="Q493" s="757"/>
      <c r="R493" s="757"/>
      <c r="S493" s="757"/>
      <c r="T493" s="757"/>
      <c r="U493" s="757"/>
      <c r="V493" s="757"/>
      <c r="W493" s="757"/>
      <c r="X493" s="757"/>
      <c r="Y493" s="757"/>
      <c r="Z493" s="757"/>
    </row>
    <row r="494" ht="12.75" customHeight="1">
      <c r="A494" s="758">
        <v>492.0</v>
      </c>
      <c r="B494" s="421" t="s">
        <v>12239</v>
      </c>
      <c r="C494" s="421" t="s">
        <v>2184</v>
      </c>
      <c r="D494" s="421" t="s">
        <v>275</v>
      </c>
      <c r="E494" s="421" t="s">
        <v>12915</v>
      </c>
      <c r="F494" s="421" t="s">
        <v>11844</v>
      </c>
      <c r="G494" s="421" t="s">
        <v>5</v>
      </c>
      <c r="H494" s="421" t="s">
        <v>5</v>
      </c>
      <c r="I494" s="421" t="s">
        <v>5</v>
      </c>
      <c r="J494" s="421" t="s">
        <v>5</v>
      </c>
      <c r="K494" s="421" t="s">
        <v>5</v>
      </c>
      <c r="L494" s="421" t="s">
        <v>5</v>
      </c>
      <c r="M494" s="759" t="s">
        <v>5</v>
      </c>
      <c r="N494" s="760" t="s">
        <v>9265</v>
      </c>
      <c r="O494" s="759" t="s">
        <v>5</v>
      </c>
      <c r="P494" s="421" t="s">
        <v>11802</v>
      </c>
      <c r="Q494" s="757"/>
      <c r="R494" s="757"/>
      <c r="S494" s="757"/>
      <c r="T494" s="757"/>
      <c r="U494" s="757"/>
      <c r="V494" s="757"/>
      <c r="W494" s="757"/>
      <c r="X494" s="757"/>
      <c r="Y494" s="757"/>
      <c r="Z494" s="757"/>
    </row>
    <row r="495" ht="12.75" customHeight="1">
      <c r="A495" s="758">
        <v>493.0</v>
      </c>
      <c r="B495" s="421" t="s">
        <v>12239</v>
      </c>
      <c r="C495" s="421" t="s">
        <v>2147</v>
      </c>
      <c r="D495" s="421" t="s">
        <v>275</v>
      </c>
      <c r="E495" s="421" t="s">
        <v>12916</v>
      </c>
      <c r="F495" s="421" t="s">
        <v>11844</v>
      </c>
      <c r="G495" s="421" t="s">
        <v>5</v>
      </c>
      <c r="H495" s="421" t="s">
        <v>5</v>
      </c>
      <c r="I495" s="421" t="s">
        <v>5</v>
      </c>
      <c r="J495" s="421" t="s">
        <v>5</v>
      </c>
      <c r="K495" s="421" t="s">
        <v>5</v>
      </c>
      <c r="L495" s="421" t="s">
        <v>5</v>
      </c>
      <c r="M495" s="759" t="s">
        <v>5</v>
      </c>
      <c r="N495" s="760" t="s">
        <v>9265</v>
      </c>
      <c r="O495" s="759" t="s">
        <v>5</v>
      </c>
      <c r="P495" s="421" t="s">
        <v>11802</v>
      </c>
      <c r="Q495" s="757"/>
      <c r="R495" s="757"/>
      <c r="S495" s="757"/>
      <c r="T495" s="757"/>
      <c r="U495" s="757"/>
      <c r="V495" s="757"/>
      <c r="W495" s="757"/>
      <c r="X495" s="757"/>
      <c r="Y495" s="757"/>
      <c r="Z495" s="757"/>
    </row>
    <row r="496" ht="12.75" customHeight="1">
      <c r="A496" s="758">
        <v>494.0</v>
      </c>
      <c r="B496" s="421" t="s">
        <v>12239</v>
      </c>
      <c r="C496" s="421" t="s">
        <v>296</v>
      </c>
      <c r="D496" s="421" t="s">
        <v>275</v>
      </c>
      <c r="E496" s="421" t="s">
        <v>12917</v>
      </c>
      <c r="F496" s="421" t="s">
        <v>11844</v>
      </c>
      <c r="G496" s="421" t="s">
        <v>5</v>
      </c>
      <c r="H496" s="421" t="s">
        <v>5</v>
      </c>
      <c r="I496" s="421" t="s">
        <v>5</v>
      </c>
      <c r="J496" s="421" t="s">
        <v>5</v>
      </c>
      <c r="K496" s="421" t="s">
        <v>5</v>
      </c>
      <c r="L496" s="421" t="s">
        <v>5</v>
      </c>
      <c r="M496" s="759" t="s">
        <v>5</v>
      </c>
      <c r="N496" s="760" t="s">
        <v>9265</v>
      </c>
      <c r="O496" s="759" t="s">
        <v>5</v>
      </c>
      <c r="P496" s="421" t="s">
        <v>11802</v>
      </c>
      <c r="Q496" s="757"/>
      <c r="R496" s="757"/>
      <c r="S496" s="757"/>
      <c r="T496" s="757"/>
      <c r="U496" s="757"/>
      <c r="V496" s="757"/>
      <c r="W496" s="757"/>
      <c r="X496" s="757"/>
      <c r="Y496" s="757"/>
      <c r="Z496" s="757"/>
    </row>
    <row r="497" ht="12.75" customHeight="1">
      <c r="A497" s="758">
        <v>495.0</v>
      </c>
      <c r="B497" s="421" t="s">
        <v>12253</v>
      </c>
      <c r="C497" s="421" t="s">
        <v>2080</v>
      </c>
      <c r="D497" s="421" t="s">
        <v>275</v>
      </c>
      <c r="E497" s="421" t="s">
        <v>12851</v>
      </c>
      <c r="F497" s="421" t="s">
        <v>11844</v>
      </c>
      <c r="G497" s="421" t="s">
        <v>5</v>
      </c>
      <c r="H497" s="421" t="s">
        <v>5</v>
      </c>
      <c r="I497" s="421" t="s">
        <v>5</v>
      </c>
      <c r="J497" s="421" t="s">
        <v>5</v>
      </c>
      <c r="K497" s="421" t="s">
        <v>5</v>
      </c>
      <c r="L497" s="421" t="s">
        <v>5</v>
      </c>
      <c r="M497" s="759" t="s">
        <v>5</v>
      </c>
      <c r="N497" s="760" t="s">
        <v>9265</v>
      </c>
      <c r="O497" s="759" t="s">
        <v>5</v>
      </c>
      <c r="P497" s="421" t="s">
        <v>11802</v>
      </c>
      <c r="Q497" s="757"/>
      <c r="R497" s="757"/>
      <c r="S497" s="757"/>
      <c r="T497" s="757"/>
      <c r="U497" s="757"/>
      <c r="V497" s="757"/>
      <c r="W497" s="757"/>
      <c r="X497" s="757"/>
      <c r="Y497" s="757"/>
      <c r="Z497" s="757"/>
    </row>
    <row r="498" ht="12.75" customHeight="1">
      <c r="A498" s="758">
        <v>496.0</v>
      </c>
      <c r="B498" s="421" t="s">
        <v>12254</v>
      </c>
      <c r="C498" s="421" t="s">
        <v>12255</v>
      </c>
      <c r="D498" s="421" t="s">
        <v>2079</v>
      </c>
      <c r="E498" s="421" t="s">
        <v>12922</v>
      </c>
      <c r="F498" s="421" t="s">
        <v>11851</v>
      </c>
      <c r="G498" s="421" t="s">
        <v>5</v>
      </c>
      <c r="H498" s="421" t="s">
        <v>5</v>
      </c>
      <c r="I498" s="421" t="s">
        <v>5</v>
      </c>
      <c r="J498" s="421" t="s">
        <v>5</v>
      </c>
      <c r="K498" s="421" t="s">
        <v>5</v>
      </c>
      <c r="L498" s="421" t="s">
        <v>5</v>
      </c>
      <c r="M498" s="759" t="s">
        <v>5</v>
      </c>
      <c r="N498" s="760" t="s">
        <v>9265</v>
      </c>
      <c r="O498" s="759" t="s">
        <v>5</v>
      </c>
      <c r="P498" s="421" t="s">
        <v>11802</v>
      </c>
      <c r="Q498" s="757"/>
      <c r="R498" s="757"/>
      <c r="S498" s="757"/>
      <c r="T498" s="757"/>
      <c r="U498" s="757"/>
      <c r="V498" s="757"/>
      <c r="W498" s="757"/>
      <c r="X498" s="757"/>
      <c r="Y498" s="757"/>
      <c r="Z498" s="757"/>
    </row>
    <row r="499" ht="12.75" customHeight="1">
      <c r="A499" s="758">
        <v>497.0</v>
      </c>
      <c r="B499" s="421" t="s">
        <v>12256</v>
      </c>
      <c r="C499" s="421" t="s">
        <v>12257</v>
      </c>
      <c r="D499" s="421" t="s">
        <v>2079</v>
      </c>
      <c r="E499" s="421" t="s">
        <v>12921</v>
      </c>
      <c r="F499" s="421" t="s">
        <v>11851</v>
      </c>
      <c r="G499" s="421" t="s">
        <v>5</v>
      </c>
      <c r="H499" s="421" t="s">
        <v>5</v>
      </c>
      <c r="I499" s="421" t="s">
        <v>5</v>
      </c>
      <c r="J499" s="421" t="s">
        <v>5</v>
      </c>
      <c r="K499" s="421" t="s">
        <v>5</v>
      </c>
      <c r="L499" s="421" t="s">
        <v>5</v>
      </c>
      <c r="M499" s="759" t="s">
        <v>5</v>
      </c>
      <c r="N499" s="760" t="s">
        <v>9265</v>
      </c>
      <c r="O499" s="759" t="s">
        <v>5</v>
      </c>
      <c r="P499" s="421" t="s">
        <v>11802</v>
      </c>
      <c r="Q499" s="757"/>
      <c r="R499" s="757"/>
      <c r="S499" s="757"/>
      <c r="T499" s="757"/>
      <c r="U499" s="757"/>
      <c r="V499" s="757"/>
      <c r="W499" s="757"/>
      <c r="X499" s="757"/>
      <c r="Y499" s="757"/>
      <c r="Z499" s="757"/>
    </row>
    <row r="500" ht="12.75" customHeight="1">
      <c r="A500" s="758">
        <v>498.0</v>
      </c>
      <c r="B500" s="421" t="s">
        <v>12258</v>
      </c>
      <c r="C500" s="421" t="s">
        <v>12259</v>
      </c>
      <c r="D500" s="421" t="s">
        <v>2079</v>
      </c>
      <c r="E500" s="421" t="s">
        <v>12919</v>
      </c>
      <c r="F500" s="421" t="s">
        <v>11851</v>
      </c>
      <c r="G500" s="421" t="s">
        <v>5</v>
      </c>
      <c r="H500" s="421" t="s">
        <v>5</v>
      </c>
      <c r="I500" s="421" t="s">
        <v>5</v>
      </c>
      <c r="J500" s="421" t="s">
        <v>5</v>
      </c>
      <c r="K500" s="421" t="s">
        <v>5</v>
      </c>
      <c r="L500" s="421" t="s">
        <v>5</v>
      </c>
      <c r="M500" s="759" t="s">
        <v>5</v>
      </c>
      <c r="N500" s="760" t="s">
        <v>9265</v>
      </c>
      <c r="O500" s="759" t="s">
        <v>5</v>
      </c>
      <c r="P500" s="421" t="s">
        <v>11802</v>
      </c>
      <c r="Q500" s="757"/>
      <c r="R500" s="757"/>
      <c r="S500" s="757"/>
      <c r="T500" s="757"/>
      <c r="U500" s="757"/>
      <c r="V500" s="757"/>
      <c r="W500" s="757"/>
      <c r="X500" s="757"/>
      <c r="Y500" s="757"/>
      <c r="Z500" s="757"/>
    </row>
    <row r="501" ht="12.75" customHeight="1">
      <c r="A501" s="758">
        <v>499.0</v>
      </c>
      <c r="B501" s="421" t="s">
        <v>12260</v>
      </c>
      <c r="C501" s="421" t="s">
        <v>12261</v>
      </c>
      <c r="D501" s="421" t="s">
        <v>2079</v>
      </c>
      <c r="E501" s="421" t="s">
        <v>12920</v>
      </c>
      <c r="F501" s="421" t="s">
        <v>11851</v>
      </c>
      <c r="G501" s="421" t="s">
        <v>5</v>
      </c>
      <c r="H501" s="421" t="s">
        <v>5</v>
      </c>
      <c r="I501" s="421" t="s">
        <v>5</v>
      </c>
      <c r="J501" s="421" t="s">
        <v>5</v>
      </c>
      <c r="K501" s="421" t="s">
        <v>5</v>
      </c>
      <c r="L501" s="421" t="s">
        <v>5</v>
      </c>
      <c r="M501" s="759" t="s">
        <v>5</v>
      </c>
      <c r="N501" s="760" t="s">
        <v>9265</v>
      </c>
      <c r="O501" s="759" t="s">
        <v>5</v>
      </c>
      <c r="P501" s="421" t="s">
        <v>11802</v>
      </c>
      <c r="Q501" s="757"/>
      <c r="R501" s="757"/>
      <c r="S501" s="757"/>
      <c r="T501" s="757"/>
      <c r="U501" s="757"/>
      <c r="V501" s="757"/>
      <c r="W501" s="757"/>
      <c r="X501" s="757"/>
      <c r="Y501" s="757"/>
      <c r="Z501" s="757"/>
    </row>
    <row r="502" ht="12.75" customHeight="1">
      <c r="A502" s="758">
        <v>500.0</v>
      </c>
      <c r="B502" s="421" t="s">
        <v>12239</v>
      </c>
      <c r="C502" s="421" t="s">
        <v>2091</v>
      </c>
      <c r="D502" s="421" t="s">
        <v>275</v>
      </c>
      <c r="E502" s="421" t="s">
        <v>12924</v>
      </c>
      <c r="F502" s="421" t="s">
        <v>11844</v>
      </c>
      <c r="G502" s="421" t="s">
        <v>5</v>
      </c>
      <c r="H502" s="421" t="s">
        <v>5</v>
      </c>
      <c r="I502" s="421" t="s">
        <v>5</v>
      </c>
      <c r="J502" s="421" t="s">
        <v>5</v>
      </c>
      <c r="K502" s="421" t="s">
        <v>5</v>
      </c>
      <c r="L502" s="421" t="s">
        <v>5</v>
      </c>
      <c r="M502" s="759" t="s">
        <v>5</v>
      </c>
      <c r="N502" s="760" t="s">
        <v>9265</v>
      </c>
      <c r="O502" s="759" t="s">
        <v>5</v>
      </c>
      <c r="P502" s="421" t="s">
        <v>11802</v>
      </c>
      <c r="Q502" s="757"/>
      <c r="R502" s="757"/>
      <c r="S502" s="757"/>
      <c r="T502" s="757"/>
      <c r="U502" s="757"/>
      <c r="V502" s="757"/>
      <c r="W502" s="757"/>
      <c r="X502" s="757"/>
      <c r="Y502" s="757"/>
      <c r="Z502" s="757"/>
    </row>
    <row r="503" ht="12.75" customHeight="1">
      <c r="A503" s="758">
        <v>501.0</v>
      </c>
      <c r="B503" s="421" t="s">
        <v>12262</v>
      </c>
      <c r="C503" s="421" t="s">
        <v>12263</v>
      </c>
      <c r="D503" s="421" t="s">
        <v>275</v>
      </c>
      <c r="E503" s="421" t="s">
        <v>12923</v>
      </c>
      <c r="F503" s="421" t="s">
        <v>11844</v>
      </c>
      <c r="G503" s="421" t="s">
        <v>5</v>
      </c>
      <c r="H503" s="421" t="s">
        <v>5</v>
      </c>
      <c r="I503" s="421" t="s">
        <v>5</v>
      </c>
      <c r="J503" s="421" t="s">
        <v>5</v>
      </c>
      <c r="K503" s="421" t="s">
        <v>5</v>
      </c>
      <c r="L503" s="421" t="s">
        <v>5</v>
      </c>
      <c r="M503" s="759" t="s">
        <v>5</v>
      </c>
      <c r="N503" s="760" t="s">
        <v>9265</v>
      </c>
      <c r="O503" s="759" t="s">
        <v>5</v>
      </c>
      <c r="P503" s="421" t="s">
        <v>11802</v>
      </c>
      <c r="Q503" s="757"/>
      <c r="R503" s="757"/>
      <c r="S503" s="757"/>
      <c r="T503" s="757"/>
      <c r="U503" s="757"/>
      <c r="V503" s="757"/>
      <c r="W503" s="757"/>
      <c r="X503" s="757"/>
      <c r="Y503" s="757"/>
      <c r="Z503" s="757"/>
    </row>
    <row r="504" ht="12.75" customHeight="1">
      <c r="A504" s="758">
        <v>502.0</v>
      </c>
      <c r="B504" s="421" t="s">
        <v>12239</v>
      </c>
      <c r="C504" s="421" t="s">
        <v>11348</v>
      </c>
      <c r="D504" s="421" t="s">
        <v>275</v>
      </c>
      <c r="E504" s="421" t="s">
        <v>13017</v>
      </c>
      <c r="F504" s="421" t="s">
        <v>11844</v>
      </c>
      <c r="G504" s="421" t="s">
        <v>5</v>
      </c>
      <c r="H504" s="421" t="s">
        <v>5</v>
      </c>
      <c r="I504" s="421" t="s">
        <v>11969</v>
      </c>
      <c r="J504" s="421" t="s">
        <v>5</v>
      </c>
      <c r="K504" s="421" t="s">
        <v>5</v>
      </c>
      <c r="L504" s="421" t="s">
        <v>5</v>
      </c>
      <c r="M504" s="759">
        <v>45414.0</v>
      </c>
      <c r="N504" s="760" t="s">
        <v>9265</v>
      </c>
      <c r="O504" s="759" t="s">
        <v>5</v>
      </c>
      <c r="P504" s="421" t="s">
        <v>11802</v>
      </c>
      <c r="Q504" s="757"/>
      <c r="R504" s="757"/>
      <c r="S504" s="757"/>
      <c r="T504" s="757"/>
      <c r="U504" s="757"/>
      <c r="V504" s="757"/>
      <c r="W504" s="757"/>
      <c r="X504" s="757"/>
      <c r="Y504" s="757"/>
      <c r="Z504" s="757"/>
    </row>
    <row r="505" ht="12.75" customHeight="1">
      <c r="A505" s="758">
        <v>503.0</v>
      </c>
      <c r="B505" s="421" t="s">
        <v>12265</v>
      </c>
      <c r="C505" s="421" t="s">
        <v>10945</v>
      </c>
      <c r="D505" s="421" t="s">
        <v>262</v>
      </c>
      <c r="E505" s="421" t="s">
        <v>12959</v>
      </c>
      <c r="F505" s="421" t="s">
        <v>11850</v>
      </c>
      <c r="G505" s="421" t="s">
        <v>5</v>
      </c>
      <c r="H505" s="421" t="s">
        <v>5</v>
      </c>
      <c r="I505" s="421" t="s">
        <v>5</v>
      </c>
      <c r="J505" s="421" t="s">
        <v>5</v>
      </c>
      <c r="K505" s="421" t="s">
        <v>5</v>
      </c>
      <c r="L505" s="421" t="s">
        <v>5</v>
      </c>
      <c r="M505" s="759" t="s">
        <v>5</v>
      </c>
      <c r="N505" s="760" t="s">
        <v>9265</v>
      </c>
      <c r="O505" s="759" t="s">
        <v>5</v>
      </c>
      <c r="P505" s="421" t="s">
        <v>11802</v>
      </c>
      <c r="Q505" s="757"/>
      <c r="R505" s="757"/>
      <c r="S505" s="757"/>
      <c r="T505" s="757"/>
      <c r="U505" s="757"/>
      <c r="V505" s="757"/>
      <c r="W505" s="757"/>
      <c r="X505" s="757"/>
      <c r="Y505" s="757"/>
      <c r="Z505" s="757"/>
    </row>
    <row r="506" ht="12.75" customHeight="1">
      <c r="A506" s="758">
        <v>504.0</v>
      </c>
      <c r="B506" s="421" t="s">
        <v>12266</v>
      </c>
      <c r="C506" s="421" t="s">
        <v>7245</v>
      </c>
      <c r="D506" s="421" t="s">
        <v>93</v>
      </c>
      <c r="E506" s="421" t="s">
        <v>13004</v>
      </c>
      <c r="F506" s="421" t="s">
        <v>11844</v>
      </c>
      <c r="G506" s="421" t="s">
        <v>5</v>
      </c>
      <c r="H506" s="421" t="s">
        <v>5</v>
      </c>
      <c r="I506" s="421" t="s">
        <v>5</v>
      </c>
      <c r="J506" s="421" t="s">
        <v>5</v>
      </c>
      <c r="K506" s="421" t="s">
        <v>5</v>
      </c>
      <c r="L506" s="421" t="s">
        <v>5</v>
      </c>
      <c r="M506" s="759" t="s">
        <v>5</v>
      </c>
      <c r="N506" s="760" t="s">
        <v>9265</v>
      </c>
      <c r="O506" s="759" t="s">
        <v>5</v>
      </c>
      <c r="P506" s="421" t="s">
        <v>11802</v>
      </c>
      <c r="Q506" s="757"/>
      <c r="R506" s="757"/>
      <c r="S506" s="757"/>
      <c r="T506" s="757"/>
      <c r="U506" s="757"/>
      <c r="V506" s="757"/>
      <c r="W506" s="757"/>
      <c r="X506" s="757"/>
      <c r="Y506" s="757"/>
      <c r="Z506" s="757"/>
    </row>
    <row r="507" ht="12.75" customHeight="1">
      <c r="A507" s="758">
        <v>505.0</v>
      </c>
      <c r="B507" s="421" t="s">
        <v>12267</v>
      </c>
      <c r="C507" s="421" t="s">
        <v>10949</v>
      </c>
      <c r="D507" s="421" t="s">
        <v>93</v>
      </c>
      <c r="E507" s="421" t="s">
        <v>13018</v>
      </c>
      <c r="F507" s="421" t="s">
        <v>11844</v>
      </c>
      <c r="G507" s="421" t="s">
        <v>5</v>
      </c>
      <c r="H507" s="421" t="s">
        <v>5</v>
      </c>
      <c r="I507" s="421" t="s">
        <v>5</v>
      </c>
      <c r="J507" s="421" t="s">
        <v>5</v>
      </c>
      <c r="K507" s="421" t="s">
        <v>5</v>
      </c>
      <c r="L507" s="421" t="s">
        <v>5</v>
      </c>
      <c r="M507" s="759" t="s">
        <v>5</v>
      </c>
      <c r="N507" s="760" t="s">
        <v>9265</v>
      </c>
      <c r="O507" s="759" t="s">
        <v>5</v>
      </c>
      <c r="P507" s="421" t="s">
        <v>11802</v>
      </c>
      <c r="Q507" s="757"/>
      <c r="R507" s="757"/>
      <c r="S507" s="757"/>
      <c r="T507" s="757"/>
      <c r="U507" s="757"/>
      <c r="V507" s="757"/>
      <c r="W507" s="757"/>
      <c r="X507" s="757"/>
      <c r="Y507" s="757"/>
      <c r="Z507" s="757"/>
    </row>
    <row r="508" ht="12.75" customHeight="1">
      <c r="A508" s="758">
        <v>506.0</v>
      </c>
      <c r="B508" s="421" t="s">
        <v>12267</v>
      </c>
      <c r="C508" s="421" t="s">
        <v>2005</v>
      </c>
      <c r="D508" s="421" t="s">
        <v>1918</v>
      </c>
      <c r="E508" s="421" t="s">
        <v>12962</v>
      </c>
      <c r="F508" s="421" t="s">
        <v>11844</v>
      </c>
      <c r="G508" s="421" t="s">
        <v>5</v>
      </c>
      <c r="H508" s="421" t="s">
        <v>5</v>
      </c>
      <c r="I508" s="421" t="s">
        <v>5</v>
      </c>
      <c r="J508" s="421" t="s">
        <v>5</v>
      </c>
      <c r="K508" s="421" t="s">
        <v>5</v>
      </c>
      <c r="L508" s="421" t="s">
        <v>5</v>
      </c>
      <c r="M508" s="759" t="s">
        <v>5</v>
      </c>
      <c r="N508" s="760" t="s">
        <v>9265</v>
      </c>
      <c r="O508" s="759" t="s">
        <v>5</v>
      </c>
      <c r="P508" s="421" t="s">
        <v>11802</v>
      </c>
      <c r="Q508" s="757"/>
      <c r="R508" s="757"/>
      <c r="S508" s="757"/>
      <c r="T508" s="757"/>
      <c r="U508" s="757"/>
      <c r="V508" s="757"/>
      <c r="W508" s="757"/>
      <c r="X508" s="757"/>
      <c r="Y508" s="757"/>
      <c r="Z508" s="757"/>
    </row>
    <row r="509" ht="12.75" customHeight="1">
      <c r="A509" s="758">
        <v>507.0</v>
      </c>
      <c r="B509" s="421" t="s">
        <v>12267</v>
      </c>
      <c r="C509" s="421" t="s">
        <v>1992</v>
      </c>
      <c r="D509" s="421" t="s">
        <v>1918</v>
      </c>
      <c r="E509" s="421" t="s">
        <v>12963</v>
      </c>
      <c r="F509" s="421" t="s">
        <v>11844</v>
      </c>
      <c r="G509" s="421" t="s">
        <v>5</v>
      </c>
      <c r="H509" s="421" t="s">
        <v>5</v>
      </c>
      <c r="I509" s="421" t="s">
        <v>5</v>
      </c>
      <c r="J509" s="421" t="s">
        <v>5</v>
      </c>
      <c r="K509" s="421" t="s">
        <v>5</v>
      </c>
      <c r="L509" s="421" t="s">
        <v>5</v>
      </c>
      <c r="M509" s="759" t="s">
        <v>5</v>
      </c>
      <c r="N509" s="760" t="s">
        <v>9265</v>
      </c>
      <c r="O509" s="759" t="s">
        <v>5</v>
      </c>
      <c r="P509" s="421" t="s">
        <v>11802</v>
      </c>
      <c r="Q509" s="757"/>
      <c r="R509" s="757"/>
      <c r="S509" s="757"/>
      <c r="T509" s="757"/>
      <c r="U509" s="757"/>
      <c r="V509" s="757"/>
      <c r="W509" s="757"/>
      <c r="X509" s="757"/>
      <c r="Y509" s="757"/>
      <c r="Z509" s="757"/>
    </row>
    <row r="510" ht="12.75" customHeight="1">
      <c r="A510" s="758">
        <v>508.0</v>
      </c>
      <c r="B510" s="421" t="s">
        <v>12267</v>
      </c>
      <c r="C510" s="421" t="s">
        <v>1919</v>
      </c>
      <c r="D510" s="421" t="s">
        <v>1918</v>
      </c>
      <c r="E510" s="421" t="s">
        <v>12964</v>
      </c>
      <c r="F510" s="421" t="s">
        <v>11844</v>
      </c>
      <c r="G510" s="421" t="s">
        <v>5</v>
      </c>
      <c r="H510" s="421" t="s">
        <v>5</v>
      </c>
      <c r="I510" s="421" t="s">
        <v>5</v>
      </c>
      <c r="J510" s="421" t="s">
        <v>5</v>
      </c>
      <c r="K510" s="421" t="s">
        <v>5</v>
      </c>
      <c r="L510" s="421" t="s">
        <v>5</v>
      </c>
      <c r="M510" s="759" t="s">
        <v>5</v>
      </c>
      <c r="N510" s="760" t="s">
        <v>9265</v>
      </c>
      <c r="O510" s="759" t="s">
        <v>5</v>
      </c>
      <c r="P510" s="421" t="s">
        <v>11802</v>
      </c>
      <c r="Q510" s="757"/>
      <c r="R510" s="757"/>
      <c r="S510" s="757"/>
      <c r="T510" s="757"/>
      <c r="U510" s="757"/>
      <c r="V510" s="757"/>
      <c r="W510" s="757"/>
      <c r="X510" s="757"/>
      <c r="Y510" s="757"/>
      <c r="Z510" s="757"/>
    </row>
    <row r="511" ht="12.75" customHeight="1">
      <c r="A511" s="758">
        <v>509.0</v>
      </c>
      <c r="B511" s="421" t="s">
        <v>12268</v>
      </c>
      <c r="C511" s="421" t="s">
        <v>12269</v>
      </c>
      <c r="D511" s="421" t="s">
        <v>1918</v>
      </c>
      <c r="E511" s="421" t="s">
        <v>12965</v>
      </c>
      <c r="F511" s="421" t="s">
        <v>11844</v>
      </c>
      <c r="G511" s="421" t="s">
        <v>5</v>
      </c>
      <c r="H511" s="421" t="s">
        <v>5</v>
      </c>
      <c r="I511" s="421" t="s">
        <v>5</v>
      </c>
      <c r="J511" s="421" t="s">
        <v>5</v>
      </c>
      <c r="K511" s="421" t="s">
        <v>5</v>
      </c>
      <c r="L511" s="421" t="s">
        <v>5</v>
      </c>
      <c r="M511" s="759" t="s">
        <v>5</v>
      </c>
      <c r="N511" s="760" t="s">
        <v>9265</v>
      </c>
      <c r="O511" s="759" t="s">
        <v>5</v>
      </c>
      <c r="P511" s="421" t="s">
        <v>11802</v>
      </c>
      <c r="Q511" s="757"/>
      <c r="R511" s="757"/>
      <c r="S511" s="757"/>
      <c r="T511" s="757"/>
      <c r="U511" s="757"/>
      <c r="V511" s="757"/>
      <c r="W511" s="757"/>
      <c r="X511" s="757"/>
      <c r="Y511" s="757"/>
      <c r="Z511" s="757"/>
    </row>
    <row r="512" ht="12.75" customHeight="1">
      <c r="A512" s="758">
        <v>510.0</v>
      </c>
      <c r="B512" s="421" t="s">
        <v>12270</v>
      </c>
      <c r="C512" s="421" t="s">
        <v>10958</v>
      </c>
      <c r="D512" s="421" t="s">
        <v>93</v>
      </c>
      <c r="E512" s="421" t="s">
        <v>13019</v>
      </c>
      <c r="F512" s="421" t="s">
        <v>11844</v>
      </c>
      <c r="G512" s="421" t="s">
        <v>5</v>
      </c>
      <c r="H512" s="421" t="s">
        <v>5</v>
      </c>
      <c r="I512" s="421" t="s">
        <v>5</v>
      </c>
      <c r="J512" s="421" t="s">
        <v>5</v>
      </c>
      <c r="K512" s="421" t="s">
        <v>5</v>
      </c>
      <c r="L512" s="421" t="s">
        <v>5</v>
      </c>
      <c r="M512" s="759" t="s">
        <v>5</v>
      </c>
      <c r="N512" s="760" t="s">
        <v>9265</v>
      </c>
      <c r="O512" s="759" t="s">
        <v>5</v>
      </c>
      <c r="P512" s="421" t="s">
        <v>11802</v>
      </c>
      <c r="Q512" s="757"/>
      <c r="R512" s="757"/>
      <c r="S512" s="757"/>
      <c r="T512" s="757"/>
      <c r="U512" s="757"/>
      <c r="V512" s="757"/>
      <c r="W512" s="757"/>
      <c r="X512" s="757"/>
      <c r="Y512" s="757"/>
      <c r="Z512" s="757"/>
    </row>
    <row r="513" ht="12.75" customHeight="1">
      <c r="A513" s="758">
        <v>511.0</v>
      </c>
      <c r="B513" s="421" t="s">
        <v>12267</v>
      </c>
      <c r="C513" s="421" t="s">
        <v>1913</v>
      </c>
      <c r="D513" s="421" t="s">
        <v>1912</v>
      </c>
      <c r="E513" s="421" t="s">
        <v>12967</v>
      </c>
      <c r="F513" s="421" t="s">
        <v>11844</v>
      </c>
      <c r="G513" s="421" t="s">
        <v>5</v>
      </c>
      <c r="H513" s="421" t="s">
        <v>5</v>
      </c>
      <c r="I513" s="421" t="s">
        <v>5</v>
      </c>
      <c r="J513" s="421" t="s">
        <v>5</v>
      </c>
      <c r="K513" s="421" t="s">
        <v>5</v>
      </c>
      <c r="L513" s="421" t="s">
        <v>5</v>
      </c>
      <c r="M513" s="759" t="s">
        <v>5</v>
      </c>
      <c r="N513" s="760" t="s">
        <v>9265</v>
      </c>
      <c r="O513" s="759" t="s">
        <v>5</v>
      </c>
      <c r="P513" s="421" t="s">
        <v>11802</v>
      </c>
      <c r="Q513" s="757"/>
      <c r="R513" s="757"/>
      <c r="S513" s="757"/>
      <c r="T513" s="757"/>
      <c r="U513" s="757"/>
      <c r="V513" s="757"/>
      <c r="W513" s="757"/>
      <c r="X513" s="757"/>
      <c r="Y513" s="757"/>
      <c r="Z513" s="757"/>
    </row>
    <row r="514" ht="12.75" customHeight="1">
      <c r="A514" s="758">
        <v>512.0</v>
      </c>
      <c r="B514" s="421" t="s">
        <v>12271</v>
      </c>
      <c r="C514" s="421" t="s">
        <v>12272</v>
      </c>
      <c r="D514" s="421" t="s">
        <v>1912</v>
      </c>
      <c r="E514" s="421" t="s">
        <v>12968</v>
      </c>
      <c r="F514" s="421" t="s">
        <v>11844</v>
      </c>
      <c r="G514" s="421" t="s">
        <v>5</v>
      </c>
      <c r="H514" s="421" t="s">
        <v>5</v>
      </c>
      <c r="I514" s="421" t="s">
        <v>5</v>
      </c>
      <c r="J514" s="421" t="s">
        <v>5</v>
      </c>
      <c r="K514" s="421" t="s">
        <v>5</v>
      </c>
      <c r="L514" s="421" t="s">
        <v>5</v>
      </c>
      <c r="M514" s="759" t="s">
        <v>5</v>
      </c>
      <c r="N514" s="760" t="s">
        <v>9265</v>
      </c>
      <c r="O514" s="759" t="s">
        <v>5</v>
      </c>
      <c r="P514" s="421" t="s">
        <v>11802</v>
      </c>
      <c r="Q514" s="757"/>
      <c r="R514" s="757"/>
      <c r="S514" s="757"/>
      <c r="T514" s="757"/>
      <c r="U514" s="757"/>
      <c r="V514" s="757"/>
      <c r="W514" s="757"/>
      <c r="X514" s="757"/>
      <c r="Y514" s="757"/>
      <c r="Z514" s="757"/>
    </row>
    <row r="515" ht="12.75" customHeight="1">
      <c r="A515" s="758">
        <v>513.0</v>
      </c>
      <c r="B515" s="421" t="s">
        <v>12273</v>
      </c>
      <c r="C515" s="421" t="s">
        <v>12275</v>
      </c>
      <c r="D515" s="421" t="s">
        <v>1912</v>
      </c>
      <c r="E515" s="421" t="s">
        <v>13020</v>
      </c>
      <c r="F515" s="421" t="s">
        <v>11844</v>
      </c>
      <c r="G515" s="421" t="s">
        <v>5</v>
      </c>
      <c r="H515" s="421" t="s">
        <v>5</v>
      </c>
      <c r="I515" s="421" t="s">
        <v>5</v>
      </c>
      <c r="J515" s="421" t="s">
        <v>5</v>
      </c>
      <c r="K515" s="421" t="s">
        <v>5</v>
      </c>
      <c r="L515" s="421" t="s">
        <v>5</v>
      </c>
      <c r="M515" s="759" t="s">
        <v>5</v>
      </c>
      <c r="N515" s="760" t="s">
        <v>9265</v>
      </c>
      <c r="O515" s="759" t="s">
        <v>5</v>
      </c>
      <c r="P515" s="421" t="s">
        <v>11802</v>
      </c>
      <c r="Q515" s="757"/>
      <c r="R515" s="757"/>
      <c r="S515" s="757"/>
      <c r="T515" s="757"/>
      <c r="U515" s="757"/>
      <c r="V515" s="757"/>
      <c r="W515" s="757"/>
      <c r="X515" s="757"/>
      <c r="Y515" s="757"/>
      <c r="Z515" s="757"/>
    </row>
    <row r="516" ht="12.75" customHeight="1">
      <c r="A516" s="758">
        <v>514.0</v>
      </c>
      <c r="B516" s="421" t="s">
        <v>12276</v>
      </c>
      <c r="C516" s="421" t="s">
        <v>1937</v>
      </c>
      <c r="D516" s="421" t="s">
        <v>93</v>
      </c>
      <c r="E516" s="421" t="s">
        <v>12969</v>
      </c>
      <c r="F516" s="421" t="s">
        <v>11844</v>
      </c>
      <c r="G516" s="421" t="s">
        <v>5</v>
      </c>
      <c r="H516" s="421" t="s">
        <v>5</v>
      </c>
      <c r="I516" s="421" t="s">
        <v>11969</v>
      </c>
      <c r="J516" s="421" t="s">
        <v>5</v>
      </c>
      <c r="K516" s="421" t="s">
        <v>5</v>
      </c>
      <c r="L516" s="421" t="s">
        <v>5</v>
      </c>
      <c r="M516" s="759" t="s">
        <v>5</v>
      </c>
      <c r="N516" s="760" t="s">
        <v>9265</v>
      </c>
      <c r="O516" s="759" t="s">
        <v>5</v>
      </c>
      <c r="P516" s="421" t="s">
        <v>11802</v>
      </c>
      <c r="Q516" s="757"/>
      <c r="R516" s="757"/>
      <c r="S516" s="757"/>
      <c r="T516" s="757"/>
      <c r="U516" s="757"/>
      <c r="V516" s="757"/>
      <c r="W516" s="757"/>
      <c r="X516" s="757"/>
      <c r="Y516" s="757"/>
      <c r="Z516" s="757"/>
    </row>
    <row r="517" ht="12.75" customHeight="1">
      <c r="A517" s="758">
        <v>515.0</v>
      </c>
      <c r="B517" s="421" t="s">
        <v>12277</v>
      </c>
      <c r="C517" s="421" t="s">
        <v>1850</v>
      </c>
      <c r="D517" s="421" t="s">
        <v>93</v>
      </c>
      <c r="E517" s="421" t="s">
        <v>12970</v>
      </c>
      <c r="F517" s="421" t="s">
        <v>11851</v>
      </c>
      <c r="G517" s="421" t="s">
        <v>5</v>
      </c>
      <c r="H517" s="421" t="s">
        <v>5</v>
      </c>
      <c r="I517" s="421" t="s">
        <v>11918</v>
      </c>
      <c r="J517" s="421" t="s">
        <v>5</v>
      </c>
      <c r="K517" s="421" t="s">
        <v>5</v>
      </c>
      <c r="L517" s="421" t="s">
        <v>5</v>
      </c>
      <c r="M517" s="759" t="s">
        <v>5</v>
      </c>
      <c r="N517" s="760" t="s">
        <v>9265</v>
      </c>
      <c r="O517" s="759" t="s">
        <v>5</v>
      </c>
      <c r="P517" s="421" t="s">
        <v>11802</v>
      </c>
      <c r="Q517" s="757"/>
      <c r="R517" s="757"/>
      <c r="S517" s="757"/>
      <c r="T517" s="757"/>
      <c r="U517" s="757"/>
      <c r="V517" s="757"/>
      <c r="W517" s="757"/>
      <c r="X517" s="757"/>
      <c r="Y517" s="757"/>
      <c r="Z517" s="757"/>
    </row>
    <row r="518" ht="12.75" customHeight="1">
      <c r="A518" s="758">
        <v>516.0</v>
      </c>
      <c r="B518" s="421" t="s">
        <v>12278</v>
      </c>
      <c r="C518" s="421" t="s">
        <v>11058</v>
      </c>
      <c r="D518" s="421" t="s">
        <v>262</v>
      </c>
      <c r="E518" s="421" t="s">
        <v>12971</v>
      </c>
      <c r="F518" s="421" t="s">
        <v>11850</v>
      </c>
      <c r="G518" s="421" t="s">
        <v>5</v>
      </c>
      <c r="H518" s="421" t="s">
        <v>5</v>
      </c>
      <c r="I518" s="421" t="s">
        <v>5</v>
      </c>
      <c r="J518" s="421" t="s">
        <v>5</v>
      </c>
      <c r="K518" s="421" t="s">
        <v>5</v>
      </c>
      <c r="L518" s="421" t="s">
        <v>5</v>
      </c>
      <c r="M518" s="759" t="s">
        <v>5</v>
      </c>
      <c r="N518" s="760" t="s">
        <v>9265</v>
      </c>
      <c r="O518" s="759" t="s">
        <v>5</v>
      </c>
      <c r="P518" s="421" t="s">
        <v>11802</v>
      </c>
      <c r="Q518" s="757"/>
      <c r="R518" s="757"/>
      <c r="S518" s="757"/>
      <c r="T518" s="757"/>
      <c r="U518" s="757"/>
      <c r="V518" s="757"/>
      <c r="W518" s="757"/>
      <c r="X518" s="757"/>
      <c r="Y518" s="757"/>
      <c r="Z518" s="757"/>
    </row>
    <row r="519" ht="12.75" customHeight="1">
      <c r="A519" s="758">
        <v>517.0</v>
      </c>
      <c r="B519" s="421" t="s">
        <v>12279</v>
      </c>
      <c r="C519" s="421" t="s">
        <v>7241</v>
      </c>
      <c r="D519" s="421" t="s">
        <v>263</v>
      </c>
      <c r="E519" s="421" t="s">
        <v>13004</v>
      </c>
      <c r="F519" s="421" t="s">
        <v>11844</v>
      </c>
      <c r="G519" s="421" t="s">
        <v>5</v>
      </c>
      <c r="H519" s="421" t="s">
        <v>5</v>
      </c>
      <c r="I519" s="421" t="s">
        <v>5</v>
      </c>
      <c r="J519" s="421" t="s">
        <v>5</v>
      </c>
      <c r="K519" s="421" t="s">
        <v>5</v>
      </c>
      <c r="L519" s="421" t="s">
        <v>5</v>
      </c>
      <c r="M519" s="759" t="s">
        <v>5</v>
      </c>
      <c r="N519" s="760" t="s">
        <v>9265</v>
      </c>
      <c r="O519" s="759" t="s">
        <v>5</v>
      </c>
      <c r="P519" s="421" t="s">
        <v>11802</v>
      </c>
      <c r="Q519" s="757"/>
      <c r="R519" s="757"/>
      <c r="S519" s="757"/>
      <c r="T519" s="757"/>
      <c r="U519" s="757"/>
      <c r="V519" s="757"/>
      <c r="W519" s="757"/>
      <c r="X519" s="757"/>
      <c r="Y519" s="757"/>
      <c r="Z519" s="757"/>
    </row>
    <row r="520" ht="12.75" customHeight="1">
      <c r="A520" s="758">
        <v>518.0</v>
      </c>
      <c r="B520" s="421" t="s">
        <v>12280</v>
      </c>
      <c r="C520" s="421" t="s">
        <v>12282</v>
      </c>
      <c r="D520" s="421" t="s">
        <v>263</v>
      </c>
      <c r="E520" s="421" t="s">
        <v>13021</v>
      </c>
      <c r="F520" s="421" t="s">
        <v>11844</v>
      </c>
      <c r="G520" s="421" t="s">
        <v>5</v>
      </c>
      <c r="H520" s="421" t="s">
        <v>5</v>
      </c>
      <c r="I520" s="421" t="s">
        <v>5</v>
      </c>
      <c r="J520" s="421" t="s">
        <v>5</v>
      </c>
      <c r="K520" s="421" t="s">
        <v>5</v>
      </c>
      <c r="L520" s="421" t="s">
        <v>5</v>
      </c>
      <c r="M520" s="759" t="s">
        <v>5</v>
      </c>
      <c r="N520" s="760" t="s">
        <v>9265</v>
      </c>
      <c r="O520" s="759" t="s">
        <v>5</v>
      </c>
      <c r="P520" s="421" t="s">
        <v>11802</v>
      </c>
      <c r="Q520" s="757"/>
      <c r="R520" s="757"/>
      <c r="S520" s="757"/>
      <c r="T520" s="757"/>
      <c r="U520" s="757"/>
      <c r="V520" s="757"/>
      <c r="W520" s="757"/>
      <c r="X520" s="757"/>
      <c r="Y520" s="757"/>
      <c r="Z520" s="757"/>
    </row>
    <row r="521" ht="12.75" customHeight="1">
      <c r="A521" s="758">
        <v>519.0</v>
      </c>
      <c r="B521" s="421" t="s">
        <v>12283</v>
      </c>
      <c r="C521" s="421" t="s">
        <v>12284</v>
      </c>
      <c r="D521" s="421" t="s">
        <v>263</v>
      </c>
      <c r="E521" s="421" t="s">
        <v>12974</v>
      </c>
      <c r="F521" s="421" t="s">
        <v>11844</v>
      </c>
      <c r="G521" s="421" t="s">
        <v>5</v>
      </c>
      <c r="H521" s="421" t="s">
        <v>5</v>
      </c>
      <c r="I521" s="421" t="s">
        <v>5</v>
      </c>
      <c r="J521" s="421" t="s">
        <v>5</v>
      </c>
      <c r="K521" s="421" t="s">
        <v>5</v>
      </c>
      <c r="L521" s="421" t="s">
        <v>5</v>
      </c>
      <c r="M521" s="759" t="s">
        <v>5</v>
      </c>
      <c r="N521" s="760" t="s">
        <v>9265</v>
      </c>
      <c r="O521" s="759" t="s">
        <v>5</v>
      </c>
      <c r="P521" s="421" t="s">
        <v>11802</v>
      </c>
      <c r="Q521" s="757"/>
      <c r="R521" s="757"/>
      <c r="S521" s="757"/>
      <c r="T521" s="757"/>
      <c r="U521" s="757"/>
      <c r="V521" s="757"/>
      <c r="W521" s="757"/>
      <c r="X521" s="757"/>
      <c r="Y521" s="757"/>
      <c r="Z521" s="757"/>
    </row>
    <row r="522" ht="12.75" customHeight="1">
      <c r="A522" s="758">
        <v>520.0</v>
      </c>
      <c r="B522" s="421" t="s">
        <v>12285</v>
      </c>
      <c r="C522" s="421" t="s">
        <v>12287</v>
      </c>
      <c r="D522" s="421" t="s">
        <v>767</v>
      </c>
      <c r="E522" s="421" t="s">
        <v>13022</v>
      </c>
      <c r="F522" s="421" t="s">
        <v>11844</v>
      </c>
      <c r="G522" s="421" t="s">
        <v>5</v>
      </c>
      <c r="H522" s="421" t="s">
        <v>5</v>
      </c>
      <c r="I522" s="421" t="s">
        <v>5</v>
      </c>
      <c r="J522" s="421" t="s">
        <v>5</v>
      </c>
      <c r="K522" s="421" t="s">
        <v>5</v>
      </c>
      <c r="L522" s="421" t="s">
        <v>5</v>
      </c>
      <c r="M522" s="759" t="s">
        <v>5</v>
      </c>
      <c r="N522" s="760" t="s">
        <v>9265</v>
      </c>
      <c r="O522" s="759" t="s">
        <v>5</v>
      </c>
      <c r="P522" s="421" t="s">
        <v>11802</v>
      </c>
      <c r="Q522" s="757"/>
      <c r="R522" s="757"/>
      <c r="S522" s="757"/>
      <c r="T522" s="757"/>
      <c r="U522" s="757"/>
      <c r="V522" s="757"/>
      <c r="W522" s="757"/>
      <c r="X522" s="757"/>
      <c r="Y522" s="757"/>
      <c r="Z522" s="757"/>
    </row>
    <row r="523" ht="12.75" customHeight="1">
      <c r="A523" s="758">
        <v>521.0</v>
      </c>
      <c r="B523" s="421" t="s">
        <v>12283</v>
      </c>
      <c r="C523" s="421" t="s">
        <v>1702</v>
      </c>
      <c r="D523" s="421" t="s">
        <v>767</v>
      </c>
      <c r="E523" s="421" t="s">
        <v>13023</v>
      </c>
      <c r="F523" s="421" t="s">
        <v>11844</v>
      </c>
      <c r="G523" s="421" t="s">
        <v>5</v>
      </c>
      <c r="H523" s="421" t="s">
        <v>5</v>
      </c>
      <c r="I523" s="421" t="s">
        <v>5</v>
      </c>
      <c r="J523" s="421" t="s">
        <v>5</v>
      </c>
      <c r="K523" s="421" t="s">
        <v>5</v>
      </c>
      <c r="L523" s="421" t="s">
        <v>5</v>
      </c>
      <c r="M523" s="759" t="s">
        <v>5</v>
      </c>
      <c r="N523" s="760" t="s">
        <v>9265</v>
      </c>
      <c r="O523" s="759" t="s">
        <v>5</v>
      </c>
      <c r="P523" s="421" t="s">
        <v>11802</v>
      </c>
      <c r="Q523" s="757"/>
      <c r="R523" s="757"/>
      <c r="S523" s="757"/>
      <c r="T523" s="757"/>
      <c r="U523" s="757"/>
      <c r="V523" s="757"/>
      <c r="W523" s="757"/>
      <c r="X523" s="757"/>
      <c r="Y523" s="757"/>
      <c r="Z523" s="757"/>
    </row>
    <row r="524" ht="12.75" customHeight="1">
      <c r="A524" s="758">
        <v>522.0</v>
      </c>
      <c r="B524" s="421" t="s">
        <v>12288</v>
      </c>
      <c r="C524" s="421" t="s">
        <v>12289</v>
      </c>
      <c r="D524" s="421" t="s">
        <v>263</v>
      </c>
      <c r="E524" s="421" t="s">
        <v>12977</v>
      </c>
      <c r="F524" s="421" t="s">
        <v>11844</v>
      </c>
      <c r="G524" s="421" t="s">
        <v>5</v>
      </c>
      <c r="H524" s="421" t="s">
        <v>5</v>
      </c>
      <c r="I524" s="421" t="s">
        <v>5</v>
      </c>
      <c r="J524" s="421" t="s">
        <v>5</v>
      </c>
      <c r="K524" s="421" t="s">
        <v>5</v>
      </c>
      <c r="L524" s="421" t="s">
        <v>5</v>
      </c>
      <c r="M524" s="759" t="s">
        <v>5</v>
      </c>
      <c r="N524" s="760" t="s">
        <v>9265</v>
      </c>
      <c r="O524" s="759" t="s">
        <v>5</v>
      </c>
      <c r="P524" s="421" t="s">
        <v>11802</v>
      </c>
      <c r="Q524" s="757"/>
      <c r="R524" s="757"/>
      <c r="S524" s="757"/>
      <c r="T524" s="757"/>
      <c r="U524" s="757"/>
      <c r="V524" s="757"/>
      <c r="W524" s="757"/>
      <c r="X524" s="757"/>
      <c r="Y524" s="757"/>
      <c r="Z524" s="757"/>
    </row>
    <row r="525" ht="12.75" customHeight="1">
      <c r="A525" s="758">
        <v>523.0</v>
      </c>
      <c r="B525" s="421" t="s">
        <v>12290</v>
      </c>
      <c r="C525" s="421" t="s">
        <v>12291</v>
      </c>
      <c r="D525" s="421" t="s">
        <v>12153</v>
      </c>
      <c r="E525" s="421" t="s">
        <v>12978</v>
      </c>
      <c r="F525" s="421" t="s">
        <v>11844</v>
      </c>
      <c r="G525" s="421" t="s">
        <v>5</v>
      </c>
      <c r="H525" s="421" t="s">
        <v>5</v>
      </c>
      <c r="I525" s="421" t="s">
        <v>5</v>
      </c>
      <c r="J525" s="421" t="s">
        <v>5</v>
      </c>
      <c r="K525" s="421" t="s">
        <v>5</v>
      </c>
      <c r="L525" s="421" t="s">
        <v>5</v>
      </c>
      <c r="M525" s="759" t="s">
        <v>5</v>
      </c>
      <c r="N525" s="760" t="s">
        <v>9265</v>
      </c>
      <c r="O525" s="759" t="s">
        <v>5</v>
      </c>
      <c r="P525" s="421" t="s">
        <v>11802</v>
      </c>
      <c r="Q525" s="757"/>
      <c r="R525" s="757"/>
      <c r="S525" s="757"/>
      <c r="T525" s="757"/>
      <c r="U525" s="757"/>
      <c r="V525" s="757"/>
      <c r="W525" s="757"/>
      <c r="X525" s="757"/>
      <c r="Y525" s="757"/>
      <c r="Z525" s="757"/>
    </row>
    <row r="526" ht="12.75" customHeight="1">
      <c r="A526" s="758">
        <v>524.0</v>
      </c>
      <c r="B526" s="421" t="s">
        <v>12292</v>
      </c>
      <c r="C526" s="421" t="s">
        <v>12293</v>
      </c>
      <c r="D526" s="421" t="s">
        <v>12153</v>
      </c>
      <c r="E526" s="421" t="s">
        <v>12979</v>
      </c>
      <c r="F526" s="421" t="s">
        <v>11844</v>
      </c>
      <c r="G526" s="421" t="s">
        <v>5</v>
      </c>
      <c r="H526" s="421" t="s">
        <v>5</v>
      </c>
      <c r="I526" s="421" t="s">
        <v>5</v>
      </c>
      <c r="J526" s="421" t="s">
        <v>5</v>
      </c>
      <c r="K526" s="421" t="s">
        <v>5</v>
      </c>
      <c r="L526" s="421" t="s">
        <v>5</v>
      </c>
      <c r="M526" s="759" t="s">
        <v>5</v>
      </c>
      <c r="N526" s="760" t="s">
        <v>9265</v>
      </c>
      <c r="O526" s="759" t="s">
        <v>5</v>
      </c>
      <c r="P526" s="421" t="s">
        <v>11802</v>
      </c>
      <c r="Q526" s="757"/>
      <c r="R526" s="757"/>
      <c r="S526" s="757"/>
      <c r="T526" s="757"/>
      <c r="U526" s="757"/>
      <c r="V526" s="757"/>
      <c r="W526" s="757"/>
      <c r="X526" s="757"/>
      <c r="Y526" s="757"/>
      <c r="Z526" s="757"/>
    </row>
    <row r="527" ht="12.75" customHeight="1">
      <c r="A527" s="758">
        <v>525.0</v>
      </c>
      <c r="B527" s="421" t="s">
        <v>12294</v>
      </c>
      <c r="C527" s="421" t="s">
        <v>11062</v>
      </c>
      <c r="D527" s="421" t="s">
        <v>263</v>
      </c>
      <c r="E527" s="421" t="s">
        <v>12981</v>
      </c>
      <c r="F527" s="421" t="s">
        <v>11844</v>
      </c>
      <c r="G527" s="421" t="s">
        <v>5</v>
      </c>
      <c r="H527" s="421" t="s">
        <v>5</v>
      </c>
      <c r="I527" s="421" t="s">
        <v>5</v>
      </c>
      <c r="J527" s="421" t="s">
        <v>5</v>
      </c>
      <c r="K527" s="421" t="s">
        <v>5</v>
      </c>
      <c r="L527" s="421" t="s">
        <v>5</v>
      </c>
      <c r="M527" s="759" t="s">
        <v>5</v>
      </c>
      <c r="N527" s="760" t="s">
        <v>9265</v>
      </c>
      <c r="O527" s="759" t="s">
        <v>5</v>
      </c>
      <c r="P527" s="421" t="s">
        <v>11802</v>
      </c>
      <c r="Q527" s="757"/>
      <c r="R527" s="757"/>
      <c r="S527" s="757"/>
      <c r="T527" s="757"/>
      <c r="U527" s="757"/>
      <c r="V527" s="757"/>
      <c r="W527" s="757"/>
      <c r="X527" s="757"/>
      <c r="Y527" s="757"/>
      <c r="Z527" s="757"/>
    </row>
    <row r="528" ht="12.75" customHeight="1">
      <c r="A528" s="758">
        <v>526.0</v>
      </c>
      <c r="B528" s="421" t="s">
        <v>12294</v>
      </c>
      <c r="C528" s="421" t="s">
        <v>1855</v>
      </c>
      <c r="D528" s="421" t="s">
        <v>123</v>
      </c>
      <c r="E528" s="421" t="s">
        <v>13024</v>
      </c>
      <c r="F528" s="421" t="s">
        <v>11844</v>
      </c>
      <c r="G528" s="421" t="s">
        <v>5</v>
      </c>
      <c r="H528" s="421" t="s">
        <v>5</v>
      </c>
      <c r="I528" s="421" t="s">
        <v>5</v>
      </c>
      <c r="J528" s="421" t="s">
        <v>5</v>
      </c>
      <c r="K528" s="421" t="s">
        <v>5</v>
      </c>
      <c r="L528" s="421" t="s">
        <v>5</v>
      </c>
      <c r="M528" s="759" t="s">
        <v>5</v>
      </c>
      <c r="N528" s="760" t="s">
        <v>9265</v>
      </c>
      <c r="O528" s="759" t="s">
        <v>5</v>
      </c>
      <c r="P528" s="421" t="s">
        <v>11802</v>
      </c>
      <c r="Q528" s="757"/>
      <c r="R528" s="757"/>
      <c r="S528" s="757"/>
      <c r="T528" s="757"/>
      <c r="U528" s="757"/>
      <c r="V528" s="757"/>
      <c r="W528" s="757"/>
      <c r="X528" s="757"/>
      <c r="Y528" s="757"/>
      <c r="Z528" s="757"/>
    </row>
    <row r="529" ht="12.75" customHeight="1">
      <c r="A529" s="758">
        <v>527.0</v>
      </c>
      <c r="B529" s="421" t="s">
        <v>12294</v>
      </c>
      <c r="C529" s="421" t="s">
        <v>1863</v>
      </c>
      <c r="D529" s="421" t="s">
        <v>123</v>
      </c>
      <c r="E529" s="421" t="s">
        <v>13025</v>
      </c>
      <c r="F529" s="421" t="s">
        <v>11844</v>
      </c>
      <c r="G529" s="421" t="s">
        <v>5</v>
      </c>
      <c r="H529" s="421" t="s">
        <v>5</v>
      </c>
      <c r="I529" s="421" t="s">
        <v>5</v>
      </c>
      <c r="J529" s="421" t="s">
        <v>5</v>
      </c>
      <c r="K529" s="421" t="s">
        <v>5</v>
      </c>
      <c r="L529" s="421" t="s">
        <v>5</v>
      </c>
      <c r="M529" s="759" t="s">
        <v>5</v>
      </c>
      <c r="N529" s="760" t="s">
        <v>9265</v>
      </c>
      <c r="O529" s="759" t="s">
        <v>5</v>
      </c>
      <c r="P529" s="421" t="s">
        <v>11802</v>
      </c>
      <c r="Q529" s="757"/>
      <c r="R529" s="757"/>
      <c r="S529" s="757"/>
      <c r="T529" s="757"/>
      <c r="U529" s="757"/>
      <c r="V529" s="757"/>
      <c r="W529" s="757"/>
      <c r="X529" s="757"/>
      <c r="Y529" s="757"/>
      <c r="Z529" s="757"/>
    </row>
    <row r="530" ht="12.75" customHeight="1">
      <c r="A530" s="758">
        <v>528.0</v>
      </c>
      <c r="B530" s="421" t="s">
        <v>12295</v>
      </c>
      <c r="C530" s="421" t="s">
        <v>12297</v>
      </c>
      <c r="D530" s="421" t="s">
        <v>123</v>
      </c>
      <c r="E530" s="421" t="s">
        <v>13026</v>
      </c>
      <c r="F530" s="421" t="s">
        <v>11844</v>
      </c>
      <c r="G530" s="421" t="s">
        <v>5</v>
      </c>
      <c r="H530" s="421" t="s">
        <v>5</v>
      </c>
      <c r="I530" s="421" t="s">
        <v>11969</v>
      </c>
      <c r="J530" s="421" t="s">
        <v>5</v>
      </c>
      <c r="K530" s="421" t="s">
        <v>5</v>
      </c>
      <c r="L530" s="421" t="s">
        <v>5</v>
      </c>
      <c r="M530" s="759" t="s">
        <v>5</v>
      </c>
      <c r="N530" s="760" t="s">
        <v>9265</v>
      </c>
      <c r="O530" s="759" t="s">
        <v>5</v>
      </c>
      <c r="P530" s="421" t="s">
        <v>11802</v>
      </c>
      <c r="Q530" s="757"/>
      <c r="R530" s="757"/>
      <c r="S530" s="757"/>
      <c r="T530" s="757"/>
      <c r="U530" s="757"/>
      <c r="V530" s="757"/>
      <c r="W530" s="757"/>
      <c r="X530" s="757"/>
      <c r="Y530" s="757"/>
      <c r="Z530" s="757"/>
    </row>
    <row r="531" ht="12.75" customHeight="1">
      <c r="A531" s="758">
        <v>529.0</v>
      </c>
      <c r="B531" s="421" t="s">
        <v>12298</v>
      </c>
      <c r="C531" s="421" t="s">
        <v>11067</v>
      </c>
      <c r="D531" s="421" t="s">
        <v>263</v>
      </c>
      <c r="E531" s="421" t="s">
        <v>12984</v>
      </c>
      <c r="F531" s="421" t="s">
        <v>11844</v>
      </c>
      <c r="G531" s="421" t="s">
        <v>5</v>
      </c>
      <c r="H531" s="421" t="s">
        <v>5</v>
      </c>
      <c r="I531" s="421" t="s">
        <v>5</v>
      </c>
      <c r="J531" s="421" t="s">
        <v>5</v>
      </c>
      <c r="K531" s="421" t="s">
        <v>5</v>
      </c>
      <c r="L531" s="421" t="s">
        <v>5</v>
      </c>
      <c r="M531" s="759" t="s">
        <v>5</v>
      </c>
      <c r="N531" s="760" t="s">
        <v>9265</v>
      </c>
      <c r="O531" s="759" t="s">
        <v>5</v>
      </c>
      <c r="P531" s="421" t="s">
        <v>11802</v>
      </c>
      <c r="Q531" s="757"/>
      <c r="R531" s="757"/>
      <c r="S531" s="757"/>
      <c r="T531" s="757"/>
      <c r="U531" s="757"/>
      <c r="V531" s="757"/>
      <c r="W531" s="757"/>
      <c r="X531" s="757"/>
      <c r="Y531" s="757"/>
      <c r="Z531" s="757"/>
    </row>
    <row r="532" ht="12.75" customHeight="1">
      <c r="A532" s="758">
        <v>530.0</v>
      </c>
      <c r="B532" s="421" t="s">
        <v>12298</v>
      </c>
      <c r="C532" s="421" t="s">
        <v>1781</v>
      </c>
      <c r="D532" s="421" t="s">
        <v>356</v>
      </c>
      <c r="E532" s="421" t="s">
        <v>13027</v>
      </c>
      <c r="F532" s="421" t="s">
        <v>11844</v>
      </c>
      <c r="G532" s="421" t="s">
        <v>5</v>
      </c>
      <c r="H532" s="421" t="s">
        <v>5</v>
      </c>
      <c r="I532" s="421" t="s">
        <v>5</v>
      </c>
      <c r="J532" s="421" t="s">
        <v>5</v>
      </c>
      <c r="K532" s="421" t="s">
        <v>5</v>
      </c>
      <c r="L532" s="421" t="s">
        <v>5</v>
      </c>
      <c r="M532" s="759" t="s">
        <v>5</v>
      </c>
      <c r="N532" s="760" t="s">
        <v>9265</v>
      </c>
      <c r="O532" s="759" t="s">
        <v>5</v>
      </c>
      <c r="P532" s="421" t="s">
        <v>11802</v>
      </c>
      <c r="Q532" s="757"/>
      <c r="R532" s="757"/>
      <c r="S532" s="757"/>
      <c r="T532" s="757"/>
      <c r="U532" s="757"/>
      <c r="V532" s="757"/>
      <c r="W532" s="757"/>
      <c r="X532" s="757"/>
      <c r="Y532" s="757"/>
      <c r="Z532" s="757"/>
    </row>
    <row r="533" ht="12.75" customHeight="1">
      <c r="A533" s="758">
        <v>531.0</v>
      </c>
      <c r="B533" s="421" t="s">
        <v>12298</v>
      </c>
      <c r="C533" s="421" t="s">
        <v>1787</v>
      </c>
      <c r="D533" s="421" t="s">
        <v>356</v>
      </c>
      <c r="E533" s="421" t="s">
        <v>13028</v>
      </c>
      <c r="F533" s="421" t="s">
        <v>11844</v>
      </c>
      <c r="G533" s="421" t="s">
        <v>5</v>
      </c>
      <c r="H533" s="421" t="s">
        <v>5</v>
      </c>
      <c r="I533" s="421" t="s">
        <v>5</v>
      </c>
      <c r="J533" s="421" t="s">
        <v>5</v>
      </c>
      <c r="K533" s="421" t="s">
        <v>5</v>
      </c>
      <c r="L533" s="421" t="s">
        <v>5</v>
      </c>
      <c r="M533" s="759" t="s">
        <v>5</v>
      </c>
      <c r="N533" s="760" t="s">
        <v>9265</v>
      </c>
      <c r="O533" s="759" t="s">
        <v>5</v>
      </c>
      <c r="P533" s="421" t="s">
        <v>11802</v>
      </c>
      <c r="Q533" s="757"/>
      <c r="R533" s="757"/>
      <c r="S533" s="757"/>
      <c r="T533" s="757"/>
      <c r="U533" s="757"/>
      <c r="V533" s="757"/>
      <c r="W533" s="757"/>
      <c r="X533" s="757"/>
      <c r="Y533" s="757"/>
      <c r="Z533" s="757"/>
    </row>
    <row r="534" ht="12.75" customHeight="1">
      <c r="A534" s="758">
        <v>532.0</v>
      </c>
      <c r="B534" s="421" t="s">
        <v>12298</v>
      </c>
      <c r="C534" s="421" t="s">
        <v>1718</v>
      </c>
      <c r="D534" s="421" t="s">
        <v>356</v>
      </c>
      <c r="E534" s="421" t="s">
        <v>13029</v>
      </c>
      <c r="F534" s="421" t="s">
        <v>11844</v>
      </c>
      <c r="G534" s="421" t="s">
        <v>5</v>
      </c>
      <c r="H534" s="421" t="s">
        <v>5</v>
      </c>
      <c r="I534" s="421" t="s">
        <v>11969</v>
      </c>
      <c r="J534" s="421" t="s">
        <v>5</v>
      </c>
      <c r="K534" s="421" t="s">
        <v>5</v>
      </c>
      <c r="L534" s="421" t="s">
        <v>5</v>
      </c>
      <c r="M534" s="759" t="s">
        <v>5</v>
      </c>
      <c r="N534" s="760" t="s">
        <v>9265</v>
      </c>
      <c r="O534" s="759" t="s">
        <v>5</v>
      </c>
      <c r="P534" s="421" t="s">
        <v>11802</v>
      </c>
      <c r="Q534" s="757"/>
      <c r="R534" s="757"/>
      <c r="S534" s="757"/>
      <c r="T534" s="757"/>
      <c r="U534" s="757"/>
      <c r="V534" s="757"/>
      <c r="W534" s="757"/>
      <c r="X534" s="757"/>
      <c r="Y534" s="757"/>
      <c r="Z534" s="757"/>
    </row>
    <row r="535" ht="12.75" customHeight="1">
      <c r="A535" s="758">
        <v>533.0</v>
      </c>
      <c r="B535" s="421" t="s">
        <v>12299</v>
      </c>
      <c r="C535" s="421" t="s">
        <v>12301</v>
      </c>
      <c r="D535" s="421" t="s">
        <v>356</v>
      </c>
      <c r="E535" s="421" t="s">
        <v>13030</v>
      </c>
      <c r="F535" s="421" t="s">
        <v>11844</v>
      </c>
      <c r="G535" s="421" t="s">
        <v>5</v>
      </c>
      <c r="H535" s="421" t="s">
        <v>5</v>
      </c>
      <c r="I535" s="421" t="s">
        <v>11969</v>
      </c>
      <c r="J535" s="421" t="s">
        <v>5</v>
      </c>
      <c r="K535" s="421" t="s">
        <v>5</v>
      </c>
      <c r="L535" s="421" t="s">
        <v>5</v>
      </c>
      <c r="M535" s="759" t="s">
        <v>5</v>
      </c>
      <c r="N535" s="760" t="s">
        <v>9265</v>
      </c>
      <c r="O535" s="759" t="s">
        <v>5</v>
      </c>
      <c r="P535" s="421" t="s">
        <v>11802</v>
      </c>
      <c r="Q535" s="757"/>
      <c r="R535" s="757"/>
      <c r="S535" s="757"/>
      <c r="T535" s="757"/>
      <c r="U535" s="757"/>
      <c r="V535" s="757"/>
      <c r="W535" s="757"/>
      <c r="X535" s="757"/>
      <c r="Y535" s="757"/>
      <c r="Z535" s="757"/>
    </row>
    <row r="536" ht="12.75" customHeight="1">
      <c r="A536" s="758">
        <v>534.0</v>
      </c>
      <c r="B536" s="421" t="s">
        <v>12302</v>
      </c>
      <c r="C536" s="421" t="s">
        <v>264</v>
      </c>
      <c r="D536" s="421" t="s">
        <v>263</v>
      </c>
      <c r="E536" s="421" t="s">
        <v>13031</v>
      </c>
      <c r="F536" s="421" t="s">
        <v>11844</v>
      </c>
      <c r="G536" s="421" t="s">
        <v>5</v>
      </c>
      <c r="H536" s="421" t="s">
        <v>5</v>
      </c>
      <c r="I536" s="421" t="s">
        <v>11969</v>
      </c>
      <c r="J536" s="421" t="s">
        <v>5</v>
      </c>
      <c r="K536" s="421" t="s">
        <v>5</v>
      </c>
      <c r="L536" s="421" t="s">
        <v>5</v>
      </c>
      <c r="M536" s="759" t="s">
        <v>5</v>
      </c>
      <c r="N536" s="760" t="s">
        <v>9265</v>
      </c>
      <c r="O536" s="759" t="s">
        <v>5</v>
      </c>
      <c r="P536" s="421" t="s">
        <v>11802</v>
      </c>
      <c r="Q536" s="757"/>
      <c r="R536" s="757"/>
      <c r="S536" s="757"/>
      <c r="T536" s="757"/>
      <c r="U536" s="757"/>
      <c r="V536" s="757"/>
      <c r="W536" s="757"/>
      <c r="X536" s="757"/>
      <c r="Y536" s="757"/>
      <c r="Z536" s="757"/>
    </row>
    <row r="537" ht="12.75" customHeight="1">
      <c r="A537" s="758">
        <v>535.0</v>
      </c>
      <c r="B537" s="421" t="s">
        <v>12303</v>
      </c>
      <c r="C537" s="421" t="s">
        <v>1694</v>
      </c>
      <c r="D537" s="421" t="s">
        <v>263</v>
      </c>
      <c r="E537" s="421" t="s">
        <v>13032</v>
      </c>
      <c r="F537" s="421" t="s">
        <v>11844</v>
      </c>
      <c r="G537" s="421" t="s">
        <v>5</v>
      </c>
      <c r="H537" s="421" t="s">
        <v>5</v>
      </c>
      <c r="I537" s="421" t="s">
        <v>11969</v>
      </c>
      <c r="J537" s="421" t="s">
        <v>5</v>
      </c>
      <c r="K537" s="421" t="s">
        <v>5</v>
      </c>
      <c r="L537" s="421" t="s">
        <v>5</v>
      </c>
      <c r="M537" s="759" t="s">
        <v>5</v>
      </c>
      <c r="N537" s="760" t="s">
        <v>9265</v>
      </c>
      <c r="O537" s="759" t="s">
        <v>5</v>
      </c>
      <c r="P537" s="421" t="s">
        <v>11802</v>
      </c>
      <c r="Q537" s="757"/>
      <c r="R537" s="757"/>
      <c r="S537" s="757"/>
      <c r="T537" s="757"/>
      <c r="U537" s="757"/>
      <c r="V537" s="757"/>
      <c r="W537" s="757"/>
      <c r="X537" s="757"/>
      <c r="Y537" s="757"/>
      <c r="Z537" s="757"/>
    </row>
    <row r="538" ht="12.75" customHeight="1">
      <c r="A538" s="758">
        <v>536.0</v>
      </c>
      <c r="B538" s="421" t="s">
        <v>12302</v>
      </c>
      <c r="C538" s="421" t="s">
        <v>11077</v>
      </c>
      <c r="D538" s="421" t="s">
        <v>263</v>
      </c>
      <c r="E538" s="421" t="s">
        <v>13033</v>
      </c>
      <c r="F538" s="421" t="s">
        <v>11844</v>
      </c>
      <c r="G538" s="421" t="s">
        <v>5</v>
      </c>
      <c r="H538" s="421" t="s">
        <v>5</v>
      </c>
      <c r="I538" s="421" t="s">
        <v>11969</v>
      </c>
      <c r="J538" s="421" t="s">
        <v>5</v>
      </c>
      <c r="K538" s="421" t="s">
        <v>5</v>
      </c>
      <c r="L538" s="421" t="s">
        <v>5</v>
      </c>
      <c r="M538" s="759">
        <v>45414.0</v>
      </c>
      <c r="N538" s="760" t="s">
        <v>9265</v>
      </c>
      <c r="O538" s="759" t="s">
        <v>5</v>
      </c>
      <c r="P538" s="421" t="s">
        <v>11802</v>
      </c>
      <c r="Q538" s="757"/>
      <c r="R538" s="757"/>
      <c r="S538" s="757"/>
      <c r="T538" s="757"/>
      <c r="U538" s="757"/>
      <c r="V538" s="757"/>
      <c r="W538" s="757"/>
      <c r="X538" s="757"/>
      <c r="Y538" s="757"/>
      <c r="Z538" s="757"/>
    </row>
    <row r="539" ht="12.75" customHeight="1">
      <c r="A539" s="758">
        <v>537.0</v>
      </c>
      <c r="B539" s="421" t="s">
        <v>12304</v>
      </c>
      <c r="C539" s="421" t="s">
        <v>1679</v>
      </c>
      <c r="D539" s="421" t="s">
        <v>262</v>
      </c>
      <c r="E539" s="421" t="s">
        <v>12991</v>
      </c>
      <c r="F539" s="421" t="s">
        <v>11844</v>
      </c>
      <c r="G539" s="421" t="s">
        <v>5</v>
      </c>
      <c r="H539" s="421" t="s">
        <v>5</v>
      </c>
      <c r="I539" s="421" t="s">
        <v>5</v>
      </c>
      <c r="J539" s="421" t="s">
        <v>5</v>
      </c>
      <c r="K539" s="421" t="s">
        <v>5</v>
      </c>
      <c r="L539" s="421" t="s">
        <v>5</v>
      </c>
      <c r="M539" s="759" t="s">
        <v>5</v>
      </c>
      <c r="N539" s="760" t="s">
        <v>9265</v>
      </c>
      <c r="O539" s="759" t="s">
        <v>5</v>
      </c>
      <c r="P539" s="421" t="s">
        <v>11802</v>
      </c>
      <c r="Q539" s="757"/>
      <c r="R539" s="757"/>
      <c r="S539" s="757"/>
      <c r="T539" s="757"/>
      <c r="U539" s="757"/>
      <c r="V539" s="757"/>
      <c r="W539" s="757"/>
      <c r="X539" s="757"/>
      <c r="Y539" s="757"/>
      <c r="Z539" s="757"/>
    </row>
    <row r="540" ht="12.75" customHeight="1">
      <c r="A540" s="758">
        <v>538.0</v>
      </c>
      <c r="B540" s="421" t="s">
        <v>12305</v>
      </c>
      <c r="C540" s="421" t="s">
        <v>1637</v>
      </c>
      <c r="D540" s="421" t="s">
        <v>101</v>
      </c>
      <c r="E540" s="421" t="s">
        <v>13034</v>
      </c>
      <c r="F540" s="421" t="s">
        <v>11851</v>
      </c>
      <c r="G540" s="421" t="s">
        <v>5</v>
      </c>
      <c r="H540" s="421" t="s">
        <v>5</v>
      </c>
      <c r="I540" s="421" t="s">
        <v>5</v>
      </c>
      <c r="J540" s="421" t="s">
        <v>5</v>
      </c>
      <c r="K540" s="421" t="s">
        <v>5</v>
      </c>
      <c r="L540" s="421" t="s">
        <v>5</v>
      </c>
      <c r="M540" s="759" t="s">
        <v>5</v>
      </c>
      <c r="N540" s="760" t="s">
        <v>9265</v>
      </c>
      <c r="O540" s="759" t="s">
        <v>5</v>
      </c>
      <c r="P540" s="421" t="s">
        <v>11802</v>
      </c>
      <c r="Q540" s="757"/>
      <c r="R540" s="757"/>
      <c r="S540" s="757"/>
      <c r="T540" s="757"/>
      <c r="U540" s="757"/>
      <c r="V540" s="757"/>
      <c r="W540" s="757"/>
      <c r="X540" s="757"/>
      <c r="Y540" s="757"/>
      <c r="Z540" s="757"/>
    </row>
    <row r="541" ht="12.75" customHeight="1">
      <c r="A541" s="758">
        <v>539.0</v>
      </c>
      <c r="B541" s="421" t="s">
        <v>12306</v>
      </c>
      <c r="C541" s="421" t="s">
        <v>1655</v>
      </c>
      <c r="D541" s="421" t="s">
        <v>101</v>
      </c>
      <c r="E541" s="421" t="s">
        <v>13035</v>
      </c>
      <c r="F541" s="421" t="s">
        <v>11851</v>
      </c>
      <c r="G541" s="421" t="s">
        <v>5</v>
      </c>
      <c r="H541" s="421" t="s">
        <v>5</v>
      </c>
      <c r="I541" s="421" t="s">
        <v>5</v>
      </c>
      <c r="J541" s="421" t="s">
        <v>5</v>
      </c>
      <c r="K541" s="421" t="s">
        <v>5</v>
      </c>
      <c r="L541" s="421" t="s">
        <v>5</v>
      </c>
      <c r="M541" s="759" t="s">
        <v>5</v>
      </c>
      <c r="N541" s="760" t="s">
        <v>9265</v>
      </c>
      <c r="O541" s="759" t="s">
        <v>5</v>
      </c>
      <c r="P541" s="421" t="s">
        <v>11802</v>
      </c>
      <c r="Q541" s="757"/>
      <c r="R541" s="757"/>
      <c r="S541" s="757"/>
      <c r="T541" s="757"/>
      <c r="U541" s="757"/>
      <c r="V541" s="757"/>
      <c r="W541" s="757"/>
      <c r="X541" s="757"/>
      <c r="Y541" s="757"/>
      <c r="Z541" s="757"/>
    </row>
    <row r="542" ht="12.75" customHeight="1">
      <c r="A542" s="758">
        <v>540.0</v>
      </c>
      <c r="B542" s="421" t="s">
        <v>12307</v>
      </c>
      <c r="C542" s="421" t="s">
        <v>12309</v>
      </c>
      <c r="D542" s="421" t="s">
        <v>101</v>
      </c>
      <c r="E542" s="421" t="s">
        <v>13036</v>
      </c>
      <c r="F542" s="421" t="s">
        <v>11851</v>
      </c>
      <c r="G542" s="421" t="s">
        <v>5</v>
      </c>
      <c r="H542" s="421" t="s">
        <v>5</v>
      </c>
      <c r="I542" s="421" t="s">
        <v>5</v>
      </c>
      <c r="J542" s="421" t="s">
        <v>5</v>
      </c>
      <c r="K542" s="421" t="s">
        <v>5</v>
      </c>
      <c r="L542" s="421" t="s">
        <v>5</v>
      </c>
      <c r="M542" s="759" t="s">
        <v>5</v>
      </c>
      <c r="N542" s="760" t="s">
        <v>9265</v>
      </c>
      <c r="O542" s="759" t="s">
        <v>5</v>
      </c>
      <c r="P542" s="421" t="s">
        <v>11802</v>
      </c>
      <c r="Q542" s="757"/>
      <c r="R542" s="757"/>
      <c r="S542" s="757"/>
      <c r="T542" s="757"/>
      <c r="U542" s="757"/>
      <c r="V542" s="757"/>
      <c r="W542" s="757"/>
      <c r="X542" s="757"/>
      <c r="Y542" s="757"/>
      <c r="Z542" s="757"/>
    </row>
    <row r="543" ht="12.75" customHeight="1">
      <c r="A543" s="758">
        <v>541.0</v>
      </c>
      <c r="B543" s="421" t="s">
        <v>12310</v>
      </c>
      <c r="C543" s="421" t="s">
        <v>12311</v>
      </c>
      <c r="D543" s="421" t="s">
        <v>262</v>
      </c>
      <c r="E543" s="421" t="s">
        <v>12994</v>
      </c>
      <c r="F543" s="421" t="s">
        <v>11850</v>
      </c>
      <c r="G543" s="421" t="s">
        <v>5</v>
      </c>
      <c r="H543" s="421" t="s">
        <v>5</v>
      </c>
      <c r="I543" s="421" t="s">
        <v>11969</v>
      </c>
      <c r="J543" s="421" t="s">
        <v>5</v>
      </c>
      <c r="K543" s="421" t="s">
        <v>5</v>
      </c>
      <c r="L543" s="421" t="s">
        <v>5</v>
      </c>
      <c r="M543" s="759" t="s">
        <v>5</v>
      </c>
      <c r="N543" s="760" t="s">
        <v>9265</v>
      </c>
      <c r="O543" s="759" t="s">
        <v>5</v>
      </c>
      <c r="P543" s="421" t="s">
        <v>11802</v>
      </c>
      <c r="Q543" s="757"/>
      <c r="R543" s="757"/>
      <c r="S543" s="757"/>
      <c r="T543" s="757"/>
      <c r="U543" s="757"/>
      <c r="V543" s="757"/>
      <c r="W543" s="757"/>
      <c r="X543" s="757"/>
      <c r="Y543" s="757"/>
      <c r="Z543" s="757"/>
    </row>
    <row r="544" ht="12.75" customHeight="1">
      <c r="A544" s="758">
        <v>542.0</v>
      </c>
      <c r="B544" s="421" t="s">
        <v>12312</v>
      </c>
      <c r="C544" s="421" t="s">
        <v>12313</v>
      </c>
      <c r="D544" s="421" t="s">
        <v>12173</v>
      </c>
      <c r="E544" s="421" t="s">
        <v>12995</v>
      </c>
      <c r="F544" s="421" t="s">
        <v>11844</v>
      </c>
      <c r="G544" s="421" t="s">
        <v>5</v>
      </c>
      <c r="H544" s="421" t="s">
        <v>5</v>
      </c>
      <c r="I544" s="421" t="s">
        <v>11969</v>
      </c>
      <c r="J544" s="421" t="s">
        <v>5</v>
      </c>
      <c r="K544" s="421" t="s">
        <v>5</v>
      </c>
      <c r="L544" s="421" t="s">
        <v>5</v>
      </c>
      <c r="M544" s="759" t="s">
        <v>5</v>
      </c>
      <c r="N544" s="760" t="s">
        <v>9265</v>
      </c>
      <c r="O544" s="759" t="s">
        <v>5</v>
      </c>
      <c r="P544" s="421" t="s">
        <v>11802</v>
      </c>
      <c r="Q544" s="757"/>
      <c r="R544" s="757"/>
      <c r="S544" s="757"/>
      <c r="T544" s="757"/>
      <c r="U544" s="757"/>
      <c r="V544" s="757"/>
      <c r="W544" s="757"/>
      <c r="X544" s="757"/>
      <c r="Y544" s="757"/>
      <c r="Z544" s="757"/>
    </row>
    <row r="545" ht="12.75" customHeight="1">
      <c r="A545" s="758">
        <v>543.0</v>
      </c>
      <c r="B545" s="421" t="s">
        <v>12314</v>
      </c>
      <c r="C545" s="421" t="s">
        <v>12316</v>
      </c>
      <c r="D545" s="421" t="s">
        <v>12173</v>
      </c>
      <c r="E545" s="421" t="s">
        <v>13037</v>
      </c>
      <c r="F545" s="421" t="s">
        <v>11844</v>
      </c>
      <c r="G545" s="421" t="s">
        <v>5</v>
      </c>
      <c r="H545" s="421" t="s">
        <v>5</v>
      </c>
      <c r="I545" s="421" t="s">
        <v>11969</v>
      </c>
      <c r="J545" s="421" t="s">
        <v>5</v>
      </c>
      <c r="K545" s="421" t="s">
        <v>5</v>
      </c>
      <c r="L545" s="421" t="s">
        <v>5</v>
      </c>
      <c r="M545" s="759" t="s">
        <v>5</v>
      </c>
      <c r="N545" s="760" t="s">
        <v>9265</v>
      </c>
      <c r="O545" s="759" t="s">
        <v>5</v>
      </c>
      <c r="P545" s="421" t="s">
        <v>11802</v>
      </c>
      <c r="Q545" s="757"/>
      <c r="R545" s="757"/>
      <c r="S545" s="757"/>
      <c r="T545" s="757"/>
      <c r="U545" s="757"/>
      <c r="V545" s="757"/>
      <c r="W545" s="757"/>
      <c r="X545" s="757"/>
      <c r="Y545" s="757"/>
      <c r="Z545" s="757"/>
    </row>
    <row r="546" ht="12.75" customHeight="1">
      <c r="A546" s="758">
        <v>544.0</v>
      </c>
      <c r="B546" s="421" t="s">
        <v>12317</v>
      </c>
      <c r="C546" s="421" t="s">
        <v>12319</v>
      </c>
      <c r="D546" s="421" t="s">
        <v>12173</v>
      </c>
      <c r="E546" s="421" t="s">
        <v>13038</v>
      </c>
      <c r="F546" s="421" t="s">
        <v>11844</v>
      </c>
      <c r="G546" s="421" t="s">
        <v>5</v>
      </c>
      <c r="H546" s="421" t="s">
        <v>5</v>
      </c>
      <c r="I546" s="421" t="s">
        <v>11969</v>
      </c>
      <c r="J546" s="421" t="s">
        <v>5</v>
      </c>
      <c r="K546" s="421" t="s">
        <v>5</v>
      </c>
      <c r="L546" s="421" t="s">
        <v>5</v>
      </c>
      <c r="M546" s="759" t="s">
        <v>5</v>
      </c>
      <c r="N546" s="760" t="s">
        <v>9265</v>
      </c>
      <c r="O546" s="759" t="s">
        <v>5</v>
      </c>
      <c r="P546" s="421" t="s">
        <v>11802</v>
      </c>
      <c r="Q546" s="757"/>
      <c r="R546" s="757"/>
      <c r="S546" s="757"/>
      <c r="T546" s="757"/>
      <c r="U546" s="757"/>
      <c r="V546" s="757"/>
      <c r="W546" s="757"/>
      <c r="X546" s="757"/>
      <c r="Y546" s="757"/>
      <c r="Z546" s="757"/>
    </row>
    <row r="547" ht="12.75" customHeight="1">
      <c r="A547" s="758">
        <v>545.0</v>
      </c>
      <c r="B547" s="421" t="s">
        <v>11805</v>
      </c>
      <c r="C547" s="421" t="s">
        <v>12320</v>
      </c>
      <c r="D547" s="421" t="s">
        <v>10527</v>
      </c>
      <c r="E547" s="421" t="s">
        <v>13039</v>
      </c>
      <c r="F547" s="421" t="s">
        <v>11840</v>
      </c>
      <c r="G547" s="421" t="s">
        <v>12321</v>
      </c>
      <c r="H547" s="421" t="s">
        <v>5</v>
      </c>
      <c r="I547" s="421" t="s">
        <v>5</v>
      </c>
      <c r="J547" s="421" t="s">
        <v>5</v>
      </c>
      <c r="K547" s="421" t="s">
        <v>5</v>
      </c>
      <c r="L547" s="421" t="s">
        <v>5</v>
      </c>
      <c r="M547" s="759" t="s">
        <v>5</v>
      </c>
      <c r="N547" s="760" t="s">
        <v>9265</v>
      </c>
      <c r="O547" s="759" t="s">
        <v>5</v>
      </c>
      <c r="P547" s="421" t="s">
        <v>11802</v>
      </c>
      <c r="Q547" s="757"/>
      <c r="R547" s="757"/>
      <c r="S547" s="757"/>
      <c r="T547" s="757"/>
      <c r="U547" s="757"/>
      <c r="V547" s="757"/>
      <c r="W547" s="757"/>
      <c r="X547" s="757"/>
      <c r="Y547" s="757"/>
      <c r="Z547" s="757"/>
    </row>
    <row r="548" ht="12.75" customHeight="1">
      <c r="A548" s="758">
        <v>546.0</v>
      </c>
      <c r="B548" s="421" t="s">
        <v>12322</v>
      </c>
      <c r="C548" s="421" t="s">
        <v>9531</v>
      </c>
      <c r="D548" s="421" t="s">
        <v>2811</v>
      </c>
      <c r="E548" s="421" t="s">
        <v>13040</v>
      </c>
      <c r="F548" s="421" t="s">
        <v>11844</v>
      </c>
      <c r="G548" s="421" t="s">
        <v>12321</v>
      </c>
      <c r="H548" s="421" t="s">
        <v>5</v>
      </c>
      <c r="I548" s="421" t="s">
        <v>5</v>
      </c>
      <c r="J548" s="421" t="s">
        <v>5</v>
      </c>
      <c r="K548" s="421" t="s">
        <v>5</v>
      </c>
      <c r="L548" s="421" t="s">
        <v>5</v>
      </c>
      <c r="M548" s="759" t="s">
        <v>5</v>
      </c>
      <c r="N548" s="760" t="s">
        <v>9265</v>
      </c>
      <c r="O548" s="759" t="s">
        <v>5</v>
      </c>
      <c r="P548" s="421" t="s">
        <v>11802</v>
      </c>
      <c r="Q548" s="757"/>
      <c r="R548" s="757"/>
      <c r="S548" s="757"/>
      <c r="T548" s="757"/>
      <c r="U548" s="757"/>
      <c r="V548" s="757"/>
      <c r="W548" s="757"/>
      <c r="X548" s="757"/>
      <c r="Y548" s="757"/>
      <c r="Z548" s="757"/>
    </row>
    <row r="549" ht="12.75" customHeight="1">
      <c r="A549" s="758">
        <v>547.0</v>
      </c>
      <c r="B549" s="421" t="s">
        <v>12323</v>
      </c>
      <c r="C549" s="421" t="s">
        <v>11081</v>
      </c>
      <c r="D549" s="421" t="s">
        <v>2811</v>
      </c>
      <c r="E549" s="421" t="s">
        <v>13041</v>
      </c>
      <c r="F549" s="421" t="s">
        <v>11844</v>
      </c>
      <c r="G549" s="421" t="s">
        <v>5</v>
      </c>
      <c r="H549" s="421" t="s">
        <v>5</v>
      </c>
      <c r="I549" s="421" t="s">
        <v>5</v>
      </c>
      <c r="J549" s="421" t="s">
        <v>5</v>
      </c>
      <c r="K549" s="421" t="s">
        <v>5</v>
      </c>
      <c r="L549" s="421" t="s">
        <v>5</v>
      </c>
      <c r="M549" s="759" t="s">
        <v>5</v>
      </c>
      <c r="N549" s="760" t="s">
        <v>9265</v>
      </c>
      <c r="O549" s="759" t="s">
        <v>5</v>
      </c>
      <c r="P549" s="421" t="s">
        <v>11802</v>
      </c>
      <c r="Q549" s="757"/>
      <c r="R549" s="757"/>
      <c r="S549" s="757"/>
      <c r="T549" s="757"/>
      <c r="U549" s="757"/>
      <c r="V549" s="757"/>
      <c r="W549" s="757"/>
      <c r="X549" s="757"/>
      <c r="Y549" s="757"/>
      <c r="Z549" s="757"/>
    </row>
    <row r="550" ht="12.75" customHeight="1">
      <c r="A550" s="758">
        <v>548.0</v>
      </c>
      <c r="B550" s="421" t="s">
        <v>12323</v>
      </c>
      <c r="C550" s="421" t="s">
        <v>3080</v>
      </c>
      <c r="D550" s="421" t="s">
        <v>2768</v>
      </c>
      <c r="E550" s="421" t="s">
        <v>13042</v>
      </c>
      <c r="F550" s="421" t="s">
        <v>11844</v>
      </c>
      <c r="G550" s="421" t="s">
        <v>5</v>
      </c>
      <c r="H550" s="421" t="s">
        <v>5</v>
      </c>
      <c r="I550" s="421" t="s">
        <v>11969</v>
      </c>
      <c r="J550" s="421" t="s">
        <v>5</v>
      </c>
      <c r="K550" s="421" t="s">
        <v>5</v>
      </c>
      <c r="L550" s="421" t="s">
        <v>5</v>
      </c>
      <c r="M550" s="759" t="s">
        <v>5</v>
      </c>
      <c r="N550" s="760" t="s">
        <v>9265</v>
      </c>
      <c r="O550" s="759" t="s">
        <v>5</v>
      </c>
      <c r="P550" s="421" t="s">
        <v>11802</v>
      </c>
      <c r="Q550" s="757"/>
      <c r="R550" s="757"/>
      <c r="S550" s="757"/>
      <c r="T550" s="757"/>
      <c r="U550" s="757"/>
      <c r="V550" s="757"/>
      <c r="W550" s="757"/>
      <c r="X550" s="757"/>
      <c r="Y550" s="757"/>
      <c r="Z550" s="757"/>
    </row>
    <row r="551" ht="12.75" customHeight="1">
      <c r="A551" s="758">
        <v>549.0</v>
      </c>
      <c r="B551" s="421" t="s">
        <v>12323</v>
      </c>
      <c r="C551" s="421" t="s">
        <v>3074</v>
      </c>
      <c r="D551" s="421" t="s">
        <v>2768</v>
      </c>
      <c r="E551" s="421" t="s">
        <v>13043</v>
      </c>
      <c r="F551" s="421" t="s">
        <v>11844</v>
      </c>
      <c r="G551" s="421" t="s">
        <v>5</v>
      </c>
      <c r="H551" s="421" t="s">
        <v>5</v>
      </c>
      <c r="I551" s="421" t="s">
        <v>11969</v>
      </c>
      <c r="J551" s="421" t="s">
        <v>5</v>
      </c>
      <c r="K551" s="421" t="s">
        <v>5</v>
      </c>
      <c r="L551" s="421" t="s">
        <v>5</v>
      </c>
      <c r="M551" s="759" t="s">
        <v>5</v>
      </c>
      <c r="N551" s="760" t="s">
        <v>9265</v>
      </c>
      <c r="O551" s="759" t="s">
        <v>5</v>
      </c>
      <c r="P551" s="421" t="s">
        <v>11802</v>
      </c>
      <c r="Q551" s="757"/>
      <c r="R551" s="757"/>
      <c r="S551" s="757"/>
      <c r="T551" s="757"/>
      <c r="U551" s="757"/>
      <c r="V551" s="757"/>
      <c r="W551" s="757"/>
      <c r="X551" s="757"/>
      <c r="Y551" s="757"/>
      <c r="Z551" s="757"/>
    </row>
    <row r="552" ht="12.75" customHeight="1">
      <c r="A552" s="758">
        <v>550.0</v>
      </c>
      <c r="B552" s="421" t="s">
        <v>12324</v>
      </c>
      <c r="C552" s="421" t="s">
        <v>8625</v>
      </c>
      <c r="D552" s="421" t="s">
        <v>2811</v>
      </c>
      <c r="E552" s="421" t="s">
        <v>13044</v>
      </c>
      <c r="F552" s="421" t="s">
        <v>11844</v>
      </c>
      <c r="G552" s="421" t="s">
        <v>5</v>
      </c>
      <c r="H552" s="421" t="s">
        <v>5</v>
      </c>
      <c r="I552" s="421" t="s">
        <v>11969</v>
      </c>
      <c r="J552" s="421" t="s">
        <v>5</v>
      </c>
      <c r="K552" s="421" t="s">
        <v>5</v>
      </c>
      <c r="L552" s="421" t="s">
        <v>5</v>
      </c>
      <c r="M552" s="759" t="s">
        <v>5</v>
      </c>
      <c r="N552" s="760" t="s">
        <v>9265</v>
      </c>
      <c r="O552" s="759" t="s">
        <v>5</v>
      </c>
      <c r="P552" s="421" t="s">
        <v>11802</v>
      </c>
      <c r="Q552" s="757"/>
      <c r="R552" s="757"/>
      <c r="S552" s="757"/>
      <c r="T552" s="757"/>
      <c r="U552" s="757"/>
      <c r="V552" s="757"/>
      <c r="W552" s="757"/>
      <c r="X552" s="757"/>
      <c r="Y552" s="757"/>
      <c r="Z552" s="757"/>
    </row>
    <row r="553" ht="12.75" customHeight="1">
      <c r="A553" s="758">
        <v>551.0</v>
      </c>
      <c r="B553" s="421" t="s">
        <v>12325</v>
      </c>
      <c r="C553" s="421" t="s">
        <v>2910</v>
      </c>
      <c r="D553" s="421" t="s">
        <v>2909</v>
      </c>
      <c r="E553" s="421" t="s">
        <v>13045</v>
      </c>
      <c r="F553" s="421" t="s">
        <v>11854</v>
      </c>
      <c r="G553" s="421" t="s">
        <v>5</v>
      </c>
      <c r="H553" s="421" t="s">
        <v>5</v>
      </c>
      <c r="I553" s="421" t="s">
        <v>11969</v>
      </c>
      <c r="J553" s="421" t="s">
        <v>5</v>
      </c>
      <c r="K553" s="421" t="s">
        <v>5</v>
      </c>
      <c r="L553" s="421" t="s">
        <v>5</v>
      </c>
      <c r="M553" s="759" t="s">
        <v>5</v>
      </c>
      <c r="N553" s="760" t="s">
        <v>9265</v>
      </c>
      <c r="O553" s="759" t="s">
        <v>5</v>
      </c>
      <c r="P553" s="421" t="s">
        <v>11802</v>
      </c>
      <c r="Q553" s="757"/>
      <c r="R553" s="757"/>
      <c r="S553" s="757"/>
      <c r="T553" s="757"/>
      <c r="U553" s="757"/>
      <c r="V553" s="757"/>
      <c r="W553" s="757"/>
      <c r="X553" s="757"/>
      <c r="Y553" s="757"/>
      <c r="Z553" s="757"/>
    </row>
    <row r="554" ht="12.75" customHeight="1">
      <c r="A554" s="758">
        <v>552.0</v>
      </c>
      <c r="B554" s="421" t="s">
        <v>12326</v>
      </c>
      <c r="C554" s="421" t="s">
        <v>7678</v>
      </c>
      <c r="D554" s="421" t="s">
        <v>2909</v>
      </c>
      <c r="E554" s="421" t="s">
        <v>13046</v>
      </c>
      <c r="F554" s="421" t="s">
        <v>11854</v>
      </c>
      <c r="G554" s="421" t="s">
        <v>5</v>
      </c>
      <c r="H554" s="421" t="s">
        <v>5</v>
      </c>
      <c r="I554" s="421" t="s">
        <v>11969</v>
      </c>
      <c r="J554" s="421" t="s">
        <v>5</v>
      </c>
      <c r="K554" s="421" t="s">
        <v>5</v>
      </c>
      <c r="L554" s="421" t="s">
        <v>5</v>
      </c>
      <c r="M554" s="759" t="s">
        <v>5</v>
      </c>
      <c r="N554" s="760" t="s">
        <v>9265</v>
      </c>
      <c r="O554" s="759" t="s">
        <v>5</v>
      </c>
      <c r="P554" s="421" t="s">
        <v>11802</v>
      </c>
      <c r="Q554" s="757"/>
      <c r="R554" s="757"/>
      <c r="S554" s="757"/>
      <c r="T554" s="757"/>
      <c r="U554" s="757"/>
      <c r="V554" s="757"/>
      <c r="W554" s="757"/>
      <c r="X554" s="757"/>
      <c r="Y554" s="757"/>
      <c r="Z554" s="757"/>
    </row>
    <row r="555" ht="12.75" customHeight="1">
      <c r="A555" s="758">
        <v>553.0</v>
      </c>
      <c r="B555" s="421" t="s">
        <v>12327</v>
      </c>
      <c r="C555" s="421" t="s">
        <v>8579</v>
      </c>
      <c r="D555" s="421" t="s">
        <v>2811</v>
      </c>
      <c r="E555" s="421" t="s">
        <v>13047</v>
      </c>
      <c r="F555" s="421" t="s">
        <v>11844</v>
      </c>
      <c r="G555" s="421" t="s">
        <v>5</v>
      </c>
      <c r="H555" s="421" t="s">
        <v>5</v>
      </c>
      <c r="I555" s="421" t="s">
        <v>5</v>
      </c>
      <c r="J555" s="421" t="s">
        <v>5</v>
      </c>
      <c r="K555" s="421" t="s">
        <v>5</v>
      </c>
      <c r="L555" s="421" t="s">
        <v>5</v>
      </c>
      <c r="M555" s="759" t="s">
        <v>5</v>
      </c>
      <c r="N555" s="760" t="s">
        <v>9265</v>
      </c>
      <c r="O555" s="759" t="s">
        <v>5</v>
      </c>
      <c r="P555" s="421" t="s">
        <v>11802</v>
      </c>
      <c r="Q555" s="757"/>
      <c r="R555" s="757"/>
      <c r="S555" s="757"/>
      <c r="T555" s="757"/>
      <c r="U555" s="757"/>
      <c r="V555" s="757"/>
      <c r="W555" s="757"/>
      <c r="X555" s="757"/>
      <c r="Y555" s="757"/>
      <c r="Z555" s="757"/>
    </row>
    <row r="556" ht="12.75" customHeight="1">
      <c r="A556" s="758">
        <v>554.0</v>
      </c>
      <c r="B556" s="421" t="s">
        <v>12328</v>
      </c>
      <c r="C556" s="421" t="s">
        <v>3356</v>
      </c>
      <c r="D556" s="421" t="s">
        <v>326</v>
      </c>
      <c r="E556" s="421" t="s">
        <v>13048</v>
      </c>
      <c r="F556" s="421" t="s">
        <v>11851</v>
      </c>
      <c r="G556" s="421" t="s">
        <v>5</v>
      </c>
      <c r="H556" s="421" t="s">
        <v>5</v>
      </c>
      <c r="I556" s="421" t="s">
        <v>5</v>
      </c>
      <c r="J556" s="421" t="s">
        <v>5</v>
      </c>
      <c r="K556" s="421" t="s">
        <v>5</v>
      </c>
      <c r="L556" s="421" t="s">
        <v>5</v>
      </c>
      <c r="M556" s="759" t="s">
        <v>5</v>
      </c>
      <c r="N556" s="760" t="s">
        <v>9265</v>
      </c>
      <c r="O556" s="759" t="s">
        <v>5</v>
      </c>
      <c r="P556" s="421" t="s">
        <v>11802</v>
      </c>
      <c r="Q556" s="757"/>
      <c r="R556" s="757"/>
      <c r="S556" s="757"/>
      <c r="T556" s="757"/>
      <c r="U556" s="757"/>
      <c r="V556" s="757"/>
      <c r="W556" s="757"/>
      <c r="X556" s="757"/>
      <c r="Y556" s="757"/>
      <c r="Z556" s="757"/>
    </row>
    <row r="557" ht="12.75" customHeight="1">
      <c r="A557" s="758">
        <v>555.0</v>
      </c>
      <c r="B557" s="421" t="s">
        <v>12329</v>
      </c>
      <c r="C557" s="421" t="s">
        <v>4554</v>
      </c>
      <c r="D557" s="421" t="s">
        <v>326</v>
      </c>
      <c r="E557" s="421" t="s">
        <v>13049</v>
      </c>
      <c r="F557" s="421" t="s">
        <v>11851</v>
      </c>
      <c r="G557" s="421" t="s">
        <v>5</v>
      </c>
      <c r="H557" s="421" t="s">
        <v>5</v>
      </c>
      <c r="I557" s="421" t="s">
        <v>5</v>
      </c>
      <c r="J557" s="421" t="s">
        <v>5</v>
      </c>
      <c r="K557" s="421" t="s">
        <v>5</v>
      </c>
      <c r="L557" s="421" t="s">
        <v>5</v>
      </c>
      <c r="M557" s="759" t="s">
        <v>5</v>
      </c>
      <c r="N557" s="760" t="s">
        <v>9265</v>
      </c>
      <c r="O557" s="759" t="s">
        <v>5</v>
      </c>
      <c r="P557" s="421" t="s">
        <v>11802</v>
      </c>
      <c r="Q557" s="757"/>
      <c r="R557" s="757"/>
      <c r="S557" s="757"/>
      <c r="T557" s="757"/>
      <c r="U557" s="757"/>
      <c r="V557" s="757"/>
      <c r="W557" s="757"/>
      <c r="X557" s="757"/>
      <c r="Y557" s="757"/>
      <c r="Z557" s="757"/>
    </row>
    <row r="558" ht="12.75" customHeight="1">
      <c r="A558" s="758">
        <v>556.0</v>
      </c>
      <c r="B558" s="421" t="s">
        <v>12330</v>
      </c>
      <c r="C558" s="421" t="s">
        <v>12332</v>
      </c>
      <c r="D558" s="421" t="s">
        <v>326</v>
      </c>
      <c r="E558" s="421" t="s">
        <v>13050</v>
      </c>
      <c r="F558" s="421" t="s">
        <v>11851</v>
      </c>
      <c r="G558" s="421" t="s">
        <v>5</v>
      </c>
      <c r="H558" s="421" t="s">
        <v>5</v>
      </c>
      <c r="I558" s="421" t="s">
        <v>5</v>
      </c>
      <c r="J558" s="421" t="s">
        <v>5</v>
      </c>
      <c r="K558" s="421" t="s">
        <v>5</v>
      </c>
      <c r="L558" s="421" t="s">
        <v>5</v>
      </c>
      <c r="M558" s="759" t="s">
        <v>5</v>
      </c>
      <c r="N558" s="760" t="s">
        <v>9265</v>
      </c>
      <c r="O558" s="759" t="s">
        <v>5</v>
      </c>
      <c r="P558" s="421" t="s">
        <v>11802</v>
      </c>
      <c r="Q558" s="757"/>
      <c r="R558" s="757"/>
      <c r="S558" s="757"/>
      <c r="T558" s="757"/>
      <c r="U558" s="757"/>
      <c r="V558" s="757"/>
      <c r="W558" s="757"/>
      <c r="X558" s="757"/>
      <c r="Y558" s="757"/>
      <c r="Z558" s="757"/>
    </row>
    <row r="559" ht="12.75" customHeight="1">
      <c r="A559" s="758">
        <v>557.0</v>
      </c>
      <c r="B559" s="421" t="s">
        <v>12333</v>
      </c>
      <c r="C559" s="421" t="s">
        <v>8613</v>
      </c>
      <c r="D559" s="421" t="s">
        <v>326</v>
      </c>
      <c r="E559" s="421" t="s">
        <v>13051</v>
      </c>
      <c r="F559" s="421" t="s">
        <v>11851</v>
      </c>
      <c r="G559" s="421" t="s">
        <v>5</v>
      </c>
      <c r="H559" s="421" t="s">
        <v>5</v>
      </c>
      <c r="I559" s="421" t="s">
        <v>5</v>
      </c>
      <c r="J559" s="421" t="s">
        <v>5</v>
      </c>
      <c r="K559" s="421" t="s">
        <v>5</v>
      </c>
      <c r="L559" s="421" t="s">
        <v>5</v>
      </c>
      <c r="M559" s="759" t="s">
        <v>5</v>
      </c>
      <c r="N559" s="760" t="s">
        <v>9265</v>
      </c>
      <c r="O559" s="759" t="s">
        <v>5</v>
      </c>
      <c r="P559" s="421" t="s">
        <v>11802</v>
      </c>
      <c r="Q559" s="757"/>
      <c r="R559" s="757"/>
      <c r="S559" s="757"/>
      <c r="T559" s="757"/>
      <c r="U559" s="757"/>
      <c r="V559" s="757"/>
      <c r="W559" s="757"/>
      <c r="X559" s="757"/>
      <c r="Y559" s="757"/>
      <c r="Z559" s="757"/>
    </row>
    <row r="560" ht="12.75" customHeight="1">
      <c r="A560" s="758">
        <v>558.0</v>
      </c>
      <c r="B560" s="421" t="s">
        <v>12334</v>
      </c>
      <c r="C560" s="421" t="s">
        <v>12335</v>
      </c>
      <c r="D560" s="421" t="s">
        <v>326</v>
      </c>
      <c r="E560" s="421" t="s">
        <v>13052</v>
      </c>
      <c r="F560" s="421" t="s">
        <v>11851</v>
      </c>
      <c r="G560" s="421" t="s">
        <v>5</v>
      </c>
      <c r="H560" s="421" t="s">
        <v>5</v>
      </c>
      <c r="I560" s="421" t="s">
        <v>5</v>
      </c>
      <c r="J560" s="421" t="s">
        <v>5</v>
      </c>
      <c r="K560" s="421" t="s">
        <v>5</v>
      </c>
      <c r="L560" s="421" t="s">
        <v>5</v>
      </c>
      <c r="M560" s="759" t="s">
        <v>5</v>
      </c>
      <c r="N560" s="760" t="s">
        <v>9265</v>
      </c>
      <c r="O560" s="759" t="s">
        <v>5</v>
      </c>
      <c r="P560" s="421" t="s">
        <v>11802</v>
      </c>
      <c r="Q560" s="757"/>
      <c r="R560" s="757"/>
      <c r="S560" s="757"/>
      <c r="T560" s="757"/>
      <c r="U560" s="757"/>
      <c r="V560" s="757"/>
      <c r="W560" s="757"/>
      <c r="X560" s="757"/>
      <c r="Y560" s="757"/>
      <c r="Z560" s="757"/>
    </row>
    <row r="561" ht="12.75" customHeight="1">
      <c r="A561" s="758">
        <v>559.0</v>
      </c>
      <c r="B561" s="421" t="s">
        <v>12336</v>
      </c>
      <c r="C561" s="421" t="s">
        <v>11094</v>
      </c>
      <c r="D561" s="421" t="s">
        <v>326</v>
      </c>
      <c r="E561" s="421" t="s">
        <v>13053</v>
      </c>
      <c r="F561" s="421" t="s">
        <v>11854</v>
      </c>
      <c r="G561" s="421" t="s">
        <v>5</v>
      </c>
      <c r="H561" s="421" t="s">
        <v>5</v>
      </c>
      <c r="I561" s="421" t="s">
        <v>11969</v>
      </c>
      <c r="J561" s="421" t="s">
        <v>5</v>
      </c>
      <c r="K561" s="421" t="s">
        <v>5</v>
      </c>
      <c r="L561" s="421" t="s">
        <v>5</v>
      </c>
      <c r="M561" s="759" t="s">
        <v>5</v>
      </c>
      <c r="N561" s="760" t="s">
        <v>9265</v>
      </c>
      <c r="O561" s="759" t="s">
        <v>5</v>
      </c>
      <c r="P561" s="421" t="s">
        <v>11802</v>
      </c>
      <c r="Q561" s="757"/>
      <c r="R561" s="757"/>
      <c r="S561" s="757"/>
      <c r="T561" s="757"/>
      <c r="U561" s="757"/>
      <c r="V561" s="757"/>
      <c r="W561" s="757"/>
      <c r="X561" s="757"/>
      <c r="Y561" s="757"/>
      <c r="Z561" s="757"/>
    </row>
    <row r="562" ht="12.75" customHeight="1">
      <c r="A562" s="758">
        <v>560.0</v>
      </c>
      <c r="B562" s="421" t="s">
        <v>12337</v>
      </c>
      <c r="C562" s="421" t="s">
        <v>12338</v>
      </c>
      <c r="D562" s="421" t="s">
        <v>2811</v>
      </c>
      <c r="E562" s="421" t="s">
        <v>13054</v>
      </c>
      <c r="F562" s="421" t="s">
        <v>11851</v>
      </c>
      <c r="G562" s="421" t="s">
        <v>5</v>
      </c>
      <c r="H562" s="421" t="s">
        <v>5</v>
      </c>
      <c r="I562" s="421" t="s">
        <v>5</v>
      </c>
      <c r="J562" s="421" t="s">
        <v>5</v>
      </c>
      <c r="K562" s="421" t="s">
        <v>5</v>
      </c>
      <c r="L562" s="421" t="s">
        <v>5</v>
      </c>
      <c r="M562" s="759" t="s">
        <v>5</v>
      </c>
      <c r="N562" s="760" t="s">
        <v>9265</v>
      </c>
      <c r="O562" s="759" t="s">
        <v>5</v>
      </c>
      <c r="P562" s="421" t="s">
        <v>11802</v>
      </c>
      <c r="Q562" s="757"/>
      <c r="R562" s="757"/>
      <c r="S562" s="757"/>
      <c r="T562" s="757"/>
      <c r="U562" s="757"/>
      <c r="V562" s="757"/>
      <c r="W562" s="757"/>
      <c r="X562" s="757"/>
      <c r="Y562" s="757"/>
      <c r="Z562" s="757"/>
    </row>
    <row r="563" ht="12.75" customHeight="1">
      <c r="A563" s="758">
        <v>561.0</v>
      </c>
      <c r="B563" s="421" t="s">
        <v>12339</v>
      </c>
      <c r="C563" s="421" t="s">
        <v>7253</v>
      </c>
      <c r="D563" s="421" t="s">
        <v>153</v>
      </c>
      <c r="E563" s="421" t="s">
        <v>13034</v>
      </c>
      <c r="F563" s="421" t="s">
        <v>11851</v>
      </c>
      <c r="G563" s="421" t="s">
        <v>5</v>
      </c>
      <c r="H563" s="421" t="s">
        <v>5</v>
      </c>
      <c r="I563" s="421" t="s">
        <v>5</v>
      </c>
      <c r="J563" s="421" t="s">
        <v>5</v>
      </c>
      <c r="K563" s="421" t="s">
        <v>5</v>
      </c>
      <c r="L563" s="421" t="s">
        <v>5</v>
      </c>
      <c r="M563" s="759" t="s">
        <v>5</v>
      </c>
      <c r="N563" s="760" t="s">
        <v>9265</v>
      </c>
      <c r="O563" s="759" t="s">
        <v>5</v>
      </c>
      <c r="P563" s="421" t="s">
        <v>11802</v>
      </c>
      <c r="Q563" s="757"/>
      <c r="R563" s="757"/>
      <c r="S563" s="757"/>
      <c r="T563" s="757"/>
      <c r="U563" s="757"/>
      <c r="V563" s="757"/>
      <c r="W563" s="757"/>
      <c r="X563" s="757"/>
      <c r="Y563" s="757"/>
      <c r="Z563" s="757"/>
    </row>
    <row r="564" ht="12.75" customHeight="1">
      <c r="A564" s="758">
        <v>562.0</v>
      </c>
      <c r="B564" s="421" t="s">
        <v>12340</v>
      </c>
      <c r="C564" s="421" t="s">
        <v>7597</v>
      </c>
      <c r="D564" s="421" t="s">
        <v>153</v>
      </c>
      <c r="E564" s="421" t="s">
        <v>13055</v>
      </c>
      <c r="F564" s="421" t="s">
        <v>11851</v>
      </c>
      <c r="G564" s="421" t="s">
        <v>5</v>
      </c>
      <c r="H564" s="421" t="s">
        <v>5</v>
      </c>
      <c r="I564" s="421" t="s">
        <v>5</v>
      </c>
      <c r="J564" s="421" t="s">
        <v>5</v>
      </c>
      <c r="K564" s="421" t="s">
        <v>5</v>
      </c>
      <c r="L564" s="421" t="s">
        <v>5</v>
      </c>
      <c r="M564" s="759" t="s">
        <v>5</v>
      </c>
      <c r="N564" s="760" t="s">
        <v>9265</v>
      </c>
      <c r="O564" s="759" t="s">
        <v>5</v>
      </c>
      <c r="P564" s="421" t="s">
        <v>11802</v>
      </c>
      <c r="Q564" s="757"/>
      <c r="R564" s="757"/>
      <c r="S564" s="757"/>
      <c r="T564" s="757"/>
      <c r="U564" s="757"/>
      <c r="V564" s="757"/>
      <c r="W564" s="757"/>
      <c r="X564" s="757"/>
      <c r="Y564" s="757"/>
      <c r="Z564" s="757"/>
    </row>
    <row r="565" ht="12.75" customHeight="1">
      <c r="A565" s="758">
        <v>563.0</v>
      </c>
      <c r="B565" s="421" t="s">
        <v>12341</v>
      </c>
      <c r="C565" s="421" t="s">
        <v>8529</v>
      </c>
      <c r="D565" s="421" t="s">
        <v>153</v>
      </c>
      <c r="E565" s="421" t="s">
        <v>13056</v>
      </c>
      <c r="F565" s="421" t="s">
        <v>11851</v>
      </c>
      <c r="G565" s="421" t="s">
        <v>5</v>
      </c>
      <c r="H565" s="421" t="s">
        <v>5</v>
      </c>
      <c r="I565" s="421" t="s">
        <v>5</v>
      </c>
      <c r="J565" s="421" t="s">
        <v>5</v>
      </c>
      <c r="K565" s="421" t="s">
        <v>5</v>
      </c>
      <c r="L565" s="421" t="s">
        <v>5</v>
      </c>
      <c r="M565" s="759" t="s">
        <v>5</v>
      </c>
      <c r="N565" s="760" t="s">
        <v>9265</v>
      </c>
      <c r="O565" s="759" t="s">
        <v>5</v>
      </c>
      <c r="P565" s="421" t="s">
        <v>11802</v>
      </c>
      <c r="Q565" s="757"/>
      <c r="R565" s="757"/>
      <c r="S565" s="757"/>
      <c r="T565" s="757"/>
      <c r="U565" s="757"/>
      <c r="V565" s="757"/>
      <c r="W565" s="757"/>
      <c r="X565" s="757"/>
      <c r="Y565" s="757"/>
      <c r="Z565" s="757"/>
    </row>
    <row r="566" ht="12.75" customHeight="1">
      <c r="A566" s="758">
        <v>564.0</v>
      </c>
      <c r="B566" s="421" t="s">
        <v>12342</v>
      </c>
      <c r="C566" s="421" t="s">
        <v>12344</v>
      </c>
      <c r="D566" s="421" t="s">
        <v>2811</v>
      </c>
      <c r="E566" s="421" t="s">
        <v>13057</v>
      </c>
      <c r="F566" s="421" t="s">
        <v>11851</v>
      </c>
      <c r="G566" s="421" t="s">
        <v>5</v>
      </c>
      <c r="H566" s="421" t="s">
        <v>5</v>
      </c>
      <c r="I566" s="421" t="s">
        <v>5</v>
      </c>
      <c r="J566" s="421" t="s">
        <v>5</v>
      </c>
      <c r="K566" s="421" t="s">
        <v>5</v>
      </c>
      <c r="L566" s="421" t="s">
        <v>5</v>
      </c>
      <c r="M566" s="759" t="s">
        <v>5</v>
      </c>
      <c r="N566" s="760" t="s">
        <v>9265</v>
      </c>
      <c r="O566" s="759" t="s">
        <v>5</v>
      </c>
      <c r="P566" s="421" t="s">
        <v>11802</v>
      </c>
      <c r="Q566" s="757"/>
      <c r="R566" s="757"/>
      <c r="S566" s="757"/>
      <c r="T566" s="757"/>
      <c r="U566" s="757"/>
      <c r="V566" s="757"/>
      <c r="W566" s="757"/>
      <c r="X566" s="757"/>
      <c r="Y566" s="757"/>
      <c r="Z566" s="757"/>
    </row>
    <row r="567" ht="12.75" customHeight="1">
      <c r="A567" s="758">
        <v>565.0</v>
      </c>
      <c r="B567" s="421" t="s">
        <v>12345</v>
      </c>
      <c r="C567" s="421" t="s">
        <v>12347</v>
      </c>
      <c r="D567" s="421" t="s">
        <v>12343</v>
      </c>
      <c r="E567" s="421" t="s">
        <v>13058</v>
      </c>
      <c r="F567" s="421" t="s">
        <v>11851</v>
      </c>
      <c r="G567" s="421" t="s">
        <v>5</v>
      </c>
      <c r="H567" s="421" t="s">
        <v>5</v>
      </c>
      <c r="I567" s="421" t="s">
        <v>5</v>
      </c>
      <c r="J567" s="421" t="s">
        <v>5</v>
      </c>
      <c r="K567" s="421" t="s">
        <v>5</v>
      </c>
      <c r="L567" s="421" t="s">
        <v>5</v>
      </c>
      <c r="M567" s="759" t="s">
        <v>5</v>
      </c>
      <c r="N567" s="760" t="s">
        <v>9265</v>
      </c>
      <c r="O567" s="759" t="s">
        <v>5</v>
      </c>
      <c r="P567" s="421" t="s">
        <v>11802</v>
      </c>
      <c r="Q567" s="757"/>
      <c r="R567" s="757"/>
      <c r="S567" s="757"/>
      <c r="T567" s="757"/>
      <c r="U567" s="757"/>
      <c r="V567" s="757"/>
      <c r="W567" s="757"/>
      <c r="X567" s="757"/>
      <c r="Y567" s="757"/>
      <c r="Z567" s="757"/>
    </row>
    <row r="568" ht="12.75" customHeight="1">
      <c r="A568" s="758">
        <v>566.0</v>
      </c>
      <c r="B568" s="421" t="s">
        <v>12348</v>
      </c>
      <c r="C568" s="421" t="s">
        <v>12350</v>
      </c>
      <c r="D568" s="421" t="s">
        <v>12343</v>
      </c>
      <c r="E568" s="421" t="s">
        <v>13059</v>
      </c>
      <c r="F568" s="421" t="s">
        <v>11851</v>
      </c>
      <c r="G568" s="421" t="s">
        <v>5</v>
      </c>
      <c r="H568" s="421" t="s">
        <v>5</v>
      </c>
      <c r="I568" s="421" t="s">
        <v>5</v>
      </c>
      <c r="J568" s="421" t="s">
        <v>5</v>
      </c>
      <c r="K568" s="421" t="s">
        <v>5</v>
      </c>
      <c r="L568" s="421" t="s">
        <v>5</v>
      </c>
      <c r="M568" s="759" t="s">
        <v>5</v>
      </c>
      <c r="N568" s="760" t="s">
        <v>9265</v>
      </c>
      <c r="O568" s="759" t="s">
        <v>5</v>
      </c>
      <c r="P568" s="421" t="s">
        <v>11802</v>
      </c>
      <c r="Q568" s="757"/>
      <c r="R568" s="757"/>
      <c r="S568" s="757"/>
      <c r="T568" s="757"/>
      <c r="U568" s="757"/>
      <c r="V568" s="757"/>
      <c r="W568" s="757"/>
      <c r="X568" s="757"/>
      <c r="Y568" s="757"/>
      <c r="Z568" s="757"/>
    </row>
    <row r="569" ht="12.75" customHeight="1">
      <c r="A569" s="758">
        <v>567.0</v>
      </c>
      <c r="B569" s="421" t="s">
        <v>12351</v>
      </c>
      <c r="C569" s="421" t="s">
        <v>12353</v>
      </c>
      <c r="D569" s="421" t="s">
        <v>12343</v>
      </c>
      <c r="E569" s="421" t="s">
        <v>13060</v>
      </c>
      <c r="F569" s="421" t="s">
        <v>11851</v>
      </c>
      <c r="G569" s="421" t="s">
        <v>5</v>
      </c>
      <c r="H569" s="421" t="s">
        <v>5</v>
      </c>
      <c r="I569" s="421" t="s">
        <v>5</v>
      </c>
      <c r="J569" s="421" t="s">
        <v>5</v>
      </c>
      <c r="K569" s="421" t="s">
        <v>5</v>
      </c>
      <c r="L569" s="421" t="s">
        <v>5</v>
      </c>
      <c r="M569" s="759" t="s">
        <v>5</v>
      </c>
      <c r="N569" s="760" t="s">
        <v>9265</v>
      </c>
      <c r="O569" s="759" t="s">
        <v>5</v>
      </c>
      <c r="P569" s="421" t="s">
        <v>11802</v>
      </c>
      <c r="Q569" s="757"/>
      <c r="R569" s="757"/>
      <c r="S569" s="757"/>
      <c r="T569" s="757"/>
      <c r="U569" s="757"/>
      <c r="V569" s="757"/>
      <c r="W569" s="757"/>
      <c r="X569" s="757"/>
      <c r="Y569" s="757"/>
      <c r="Z569" s="757"/>
    </row>
    <row r="570" ht="12.75" customHeight="1">
      <c r="A570" s="758">
        <v>568.0</v>
      </c>
      <c r="B570" s="421" t="s">
        <v>12354</v>
      </c>
      <c r="C570" s="421" t="s">
        <v>3645</v>
      </c>
      <c r="D570" s="421" t="s">
        <v>2811</v>
      </c>
      <c r="E570" s="421" t="s">
        <v>12794</v>
      </c>
      <c r="F570" s="421" t="s">
        <v>11844</v>
      </c>
      <c r="G570" s="421" t="s">
        <v>5</v>
      </c>
      <c r="H570" s="421" t="s">
        <v>5</v>
      </c>
      <c r="I570" s="421" t="s">
        <v>11969</v>
      </c>
      <c r="J570" s="421" t="s">
        <v>5</v>
      </c>
      <c r="K570" s="421" t="s">
        <v>5</v>
      </c>
      <c r="L570" s="421" t="s">
        <v>5</v>
      </c>
      <c r="M570" s="759" t="s">
        <v>5</v>
      </c>
      <c r="N570" s="760" t="s">
        <v>9265</v>
      </c>
      <c r="O570" s="759" t="s">
        <v>5</v>
      </c>
      <c r="P570" s="421" t="s">
        <v>11802</v>
      </c>
      <c r="Q570" s="757"/>
      <c r="R570" s="757"/>
      <c r="S570" s="757"/>
      <c r="T570" s="757"/>
      <c r="U570" s="757"/>
      <c r="V570" s="757"/>
      <c r="W570" s="757"/>
      <c r="X570" s="757"/>
      <c r="Y570" s="757"/>
      <c r="Z570" s="757"/>
    </row>
    <row r="571" ht="12.75" customHeight="1">
      <c r="A571" s="758">
        <v>569.0</v>
      </c>
      <c r="B571" s="421" t="s">
        <v>12355</v>
      </c>
      <c r="C571" s="421" t="s">
        <v>9177</v>
      </c>
      <c r="D571" s="421" t="s">
        <v>2811</v>
      </c>
      <c r="E571" s="421" t="s">
        <v>13061</v>
      </c>
      <c r="F571" s="421" t="s">
        <v>11916</v>
      </c>
      <c r="G571" s="421" t="s">
        <v>5</v>
      </c>
      <c r="H571" s="421" t="s">
        <v>5</v>
      </c>
      <c r="I571" s="421" t="s">
        <v>5</v>
      </c>
      <c r="J571" s="421" t="s">
        <v>5</v>
      </c>
      <c r="K571" s="421" t="s">
        <v>5</v>
      </c>
      <c r="L571" s="421" t="s">
        <v>5</v>
      </c>
      <c r="M571" s="759" t="s">
        <v>5</v>
      </c>
      <c r="N571" s="760" t="s">
        <v>9265</v>
      </c>
      <c r="O571" s="759" t="s">
        <v>5</v>
      </c>
      <c r="P571" s="421" t="s">
        <v>11802</v>
      </c>
      <c r="Q571" s="757"/>
      <c r="R571" s="757"/>
      <c r="S571" s="757"/>
      <c r="T571" s="757"/>
      <c r="U571" s="757"/>
      <c r="V571" s="757"/>
      <c r="W571" s="757"/>
      <c r="X571" s="757"/>
      <c r="Y571" s="757"/>
      <c r="Z571" s="757"/>
    </row>
    <row r="572" ht="12.75" customHeight="1">
      <c r="A572" s="758">
        <v>570.0</v>
      </c>
      <c r="B572" s="421" t="s">
        <v>12355</v>
      </c>
      <c r="C572" s="421" t="s">
        <v>7533</v>
      </c>
      <c r="D572" s="421" t="s">
        <v>2797</v>
      </c>
      <c r="E572" s="421" t="s">
        <v>13062</v>
      </c>
      <c r="F572" s="421" t="s">
        <v>11851</v>
      </c>
      <c r="G572" s="421" t="s">
        <v>5</v>
      </c>
      <c r="H572" s="421" t="s">
        <v>5</v>
      </c>
      <c r="I572" s="421" t="s">
        <v>5</v>
      </c>
      <c r="J572" s="421" t="s">
        <v>5</v>
      </c>
      <c r="K572" s="421" t="s">
        <v>5</v>
      </c>
      <c r="L572" s="421" t="s">
        <v>5</v>
      </c>
      <c r="M572" s="759" t="s">
        <v>5</v>
      </c>
      <c r="N572" s="760" t="s">
        <v>9265</v>
      </c>
      <c r="O572" s="759" t="s">
        <v>5</v>
      </c>
      <c r="P572" s="421" t="s">
        <v>11802</v>
      </c>
      <c r="Q572" s="757"/>
      <c r="R572" s="757"/>
      <c r="S572" s="757"/>
      <c r="T572" s="757"/>
      <c r="U572" s="757"/>
      <c r="V572" s="757"/>
      <c r="W572" s="757"/>
      <c r="X572" s="757"/>
      <c r="Y572" s="757"/>
      <c r="Z572" s="757"/>
    </row>
    <row r="573" ht="12.75" customHeight="1">
      <c r="A573" s="758">
        <v>571.0</v>
      </c>
      <c r="B573" s="421" t="s">
        <v>12355</v>
      </c>
      <c r="C573" s="421" t="s">
        <v>3069</v>
      </c>
      <c r="D573" s="421" t="s">
        <v>2797</v>
      </c>
      <c r="E573" s="421" t="s">
        <v>13063</v>
      </c>
      <c r="F573" s="421" t="s">
        <v>11851</v>
      </c>
      <c r="G573" s="421" t="s">
        <v>5</v>
      </c>
      <c r="H573" s="421" t="s">
        <v>5</v>
      </c>
      <c r="I573" s="421" t="s">
        <v>5</v>
      </c>
      <c r="J573" s="421" t="s">
        <v>5</v>
      </c>
      <c r="K573" s="421" t="s">
        <v>5</v>
      </c>
      <c r="L573" s="421" t="s">
        <v>5</v>
      </c>
      <c r="M573" s="759" t="s">
        <v>5</v>
      </c>
      <c r="N573" s="760" t="s">
        <v>9265</v>
      </c>
      <c r="O573" s="759" t="s">
        <v>5</v>
      </c>
      <c r="P573" s="421" t="s">
        <v>11802</v>
      </c>
      <c r="Q573" s="757"/>
      <c r="R573" s="757"/>
      <c r="S573" s="757"/>
      <c r="T573" s="757"/>
      <c r="U573" s="757"/>
      <c r="V573" s="757"/>
      <c r="W573" s="757"/>
      <c r="X573" s="757"/>
      <c r="Y573" s="757"/>
      <c r="Z573" s="757"/>
    </row>
    <row r="574" ht="12.75" customHeight="1">
      <c r="A574" s="758">
        <v>572.0</v>
      </c>
      <c r="B574" s="421" t="s">
        <v>12356</v>
      </c>
      <c r="C574" s="421" t="s">
        <v>12358</v>
      </c>
      <c r="D574" s="421" t="s">
        <v>2811</v>
      </c>
      <c r="E574" s="421" t="s">
        <v>13064</v>
      </c>
      <c r="F574" s="421" t="s">
        <v>11844</v>
      </c>
      <c r="G574" s="421" t="s">
        <v>5</v>
      </c>
      <c r="H574" s="421" t="s">
        <v>5</v>
      </c>
      <c r="I574" s="421" t="s">
        <v>11969</v>
      </c>
      <c r="J574" s="421" t="s">
        <v>5</v>
      </c>
      <c r="K574" s="421" t="s">
        <v>5</v>
      </c>
      <c r="L574" s="421" t="s">
        <v>5</v>
      </c>
      <c r="M574" s="759" t="s">
        <v>5</v>
      </c>
      <c r="N574" s="760" t="s">
        <v>9265</v>
      </c>
      <c r="O574" s="759" t="s">
        <v>5</v>
      </c>
      <c r="P574" s="421" t="s">
        <v>11802</v>
      </c>
      <c r="Q574" s="757"/>
      <c r="R574" s="757"/>
      <c r="S574" s="757"/>
      <c r="T574" s="757"/>
      <c r="U574" s="757"/>
      <c r="V574" s="757"/>
      <c r="W574" s="757"/>
      <c r="X574" s="757"/>
      <c r="Y574" s="757"/>
      <c r="Z574" s="757"/>
    </row>
    <row r="575" ht="12.75" customHeight="1">
      <c r="A575" s="758">
        <v>573.0</v>
      </c>
      <c r="B575" s="421" t="s">
        <v>12359</v>
      </c>
      <c r="C575" s="421" t="s">
        <v>4560</v>
      </c>
      <c r="D575" s="421" t="s">
        <v>2811</v>
      </c>
      <c r="E575" s="421" t="s">
        <v>13065</v>
      </c>
      <c r="F575" s="421" t="s">
        <v>11854</v>
      </c>
      <c r="G575" s="421" t="s">
        <v>5</v>
      </c>
      <c r="H575" s="421" t="s">
        <v>5</v>
      </c>
      <c r="I575" s="421" t="s">
        <v>11969</v>
      </c>
      <c r="J575" s="421" t="s">
        <v>5</v>
      </c>
      <c r="K575" s="421" t="s">
        <v>5</v>
      </c>
      <c r="L575" s="421" t="s">
        <v>5</v>
      </c>
      <c r="M575" s="759" t="s">
        <v>5</v>
      </c>
      <c r="N575" s="760" t="s">
        <v>9265</v>
      </c>
      <c r="O575" s="759" t="s">
        <v>5</v>
      </c>
      <c r="P575" s="421" t="s">
        <v>11802</v>
      </c>
      <c r="Q575" s="757"/>
      <c r="R575" s="757"/>
      <c r="S575" s="757"/>
      <c r="T575" s="757"/>
      <c r="U575" s="757"/>
      <c r="V575" s="757"/>
      <c r="W575" s="757"/>
      <c r="X575" s="757"/>
      <c r="Y575" s="757"/>
      <c r="Z575" s="757"/>
    </row>
    <row r="576" ht="12.75" customHeight="1">
      <c r="A576" s="758">
        <v>574.0</v>
      </c>
      <c r="B576" s="421" t="s">
        <v>12360</v>
      </c>
      <c r="C576" s="421" t="s">
        <v>2812</v>
      </c>
      <c r="D576" s="421" t="s">
        <v>2811</v>
      </c>
      <c r="E576" s="421" t="s">
        <v>13066</v>
      </c>
      <c r="F576" s="421" t="s">
        <v>11854</v>
      </c>
      <c r="G576" s="421" t="s">
        <v>5</v>
      </c>
      <c r="H576" s="421" t="s">
        <v>5</v>
      </c>
      <c r="I576" s="421" t="s">
        <v>11969</v>
      </c>
      <c r="J576" s="421" t="s">
        <v>5</v>
      </c>
      <c r="K576" s="421" t="s">
        <v>5</v>
      </c>
      <c r="L576" s="421" t="s">
        <v>5</v>
      </c>
      <c r="M576" s="759" t="s">
        <v>5</v>
      </c>
      <c r="N576" s="760" t="s">
        <v>9265</v>
      </c>
      <c r="O576" s="759" t="s">
        <v>5</v>
      </c>
      <c r="P576" s="421" t="s">
        <v>11802</v>
      </c>
      <c r="Q576" s="757"/>
      <c r="R576" s="757"/>
      <c r="S576" s="757"/>
      <c r="T576" s="757"/>
      <c r="U576" s="757"/>
      <c r="V576" s="757"/>
      <c r="W576" s="757"/>
      <c r="X576" s="757"/>
      <c r="Y576" s="757"/>
      <c r="Z576" s="757"/>
    </row>
    <row r="577" ht="12.75" customHeight="1">
      <c r="A577" s="758">
        <v>575.0</v>
      </c>
      <c r="B577" s="421" t="s">
        <v>11800</v>
      </c>
      <c r="C577" s="421" t="s">
        <v>12361</v>
      </c>
      <c r="D577" s="421" t="s">
        <v>10527</v>
      </c>
      <c r="E577" s="421" t="s">
        <v>13067</v>
      </c>
      <c r="F577" s="421" t="s">
        <v>11840</v>
      </c>
      <c r="G577" s="421" t="s">
        <v>12362</v>
      </c>
      <c r="H577" s="421" t="s">
        <v>5</v>
      </c>
      <c r="I577" s="421" t="s">
        <v>5</v>
      </c>
      <c r="J577" s="421" t="s">
        <v>5</v>
      </c>
      <c r="K577" s="421" t="s">
        <v>5</v>
      </c>
      <c r="L577" s="421" t="s">
        <v>5</v>
      </c>
      <c r="M577" s="759" t="s">
        <v>5</v>
      </c>
      <c r="N577" s="760" t="s">
        <v>9265</v>
      </c>
      <c r="O577" s="759" t="s">
        <v>5</v>
      </c>
      <c r="P577" s="421" t="s">
        <v>11802</v>
      </c>
      <c r="Q577" s="757"/>
      <c r="R577" s="757"/>
      <c r="S577" s="757"/>
      <c r="T577" s="757"/>
      <c r="U577" s="757"/>
      <c r="V577" s="757"/>
      <c r="W577" s="757"/>
      <c r="X577" s="757"/>
      <c r="Y577" s="757"/>
      <c r="Z577" s="757"/>
    </row>
    <row r="578" ht="12.75" customHeight="1">
      <c r="A578" s="758">
        <v>576.0</v>
      </c>
      <c r="B578" s="421" t="s">
        <v>12363</v>
      </c>
      <c r="C578" s="421" t="s">
        <v>9866</v>
      </c>
      <c r="D578" s="421" t="s">
        <v>2732</v>
      </c>
      <c r="E578" s="421" t="s">
        <v>13040</v>
      </c>
      <c r="F578" s="421" t="s">
        <v>11844</v>
      </c>
      <c r="G578" s="421" t="s">
        <v>12364</v>
      </c>
      <c r="H578" s="421" t="s">
        <v>5</v>
      </c>
      <c r="I578" s="421" t="s">
        <v>5</v>
      </c>
      <c r="J578" s="421" t="s">
        <v>5</v>
      </c>
      <c r="K578" s="421" t="s">
        <v>5</v>
      </c>
      <c r="L578" s="421" t="s">
        <v>5</v>
      </c>
      <c r="M578" s="759" t="s">
        <v>5</v>
      </c>
      <c r="N578" s="760" t="s">
        <v>9265</v>
      </c>
      <c r="O578" s="759" t="s">
        <v>5</v>
      </c>
      <c r="P578" s="421" t="s">
        <v>11802</v>
      </c>
      <c r="Q578" s="757"/>
      <c r="R578" s="757"/>
      <c r="S578" s="757"/>
      <c r="T578" s="757"/>
      <c r="U578" s="757"/>
      <c r="V578" s="757"/>
      <c r="W578" s="757"/>
      <c r="X578" s="757"/>
      <c r="Y578" s="757"/>
      <c r="Z578" s="757"/>
    </row>
    <row r="579" ht="12.75" customHeight="1">
      <c r="A579" s="758">
        <v>577.0</v>
      </c>
      <c r="B579" s="421" t="s">
        <v>12365</v>
      </c>
      <c r="C579" s="421" t="s">
        <v>12366</v>
      </c>
      <c r="D579" s="421" t="s">
        <v>2732</v>
      </c>
      <c r="E579" s="421" t="s">
        <v>13041</v>
      </c>
      <c r="F579" s="421" t="s">
        <v>11844</v>
      </c>
      <c r="G579" s="421" t="s">
        <v>5</v>
      </c>
      <c r="H579" s="421" t="s">
        <v>5</v>
      </c>
      <c r="I579" s="421" t="s">
        <v>11969</v>
      </c>
      <c r="J579" s="421" t="s">
        <v>5</v>
      </c>
      <c r="K579" s="421" t="s">
        <v>5</v>
      </c>
      <c r="L579" s="421" t="s">
        <v>5</v>
      </c>
      <c r="M579" s="759" t="s">
        <v>5</v>
      </c>
      <c r="N579" s="760" t="s">
        <v>9265</v>
      </c>
      <c r="O579" s="759" t="s">
        <v>5</v>
      </c>
      <c r="P579" s="421" t="s">
        <v>11802</v>
      </c>
      <c r="Q579" s="757"/>
      <c r="R579" s="757"/>
      <c r="S579" s="757"/>
      <c r="T579" s="757"/>
      <c r="U579" s="757"/>
      <c r="V579" s="757"/>
      <c r="W579" s="757"/>
      <c r="X579" s="757"/>
      <c r="Y579" s="757"/>
      <c r="Z579" s="757"/>
    </row>
    <row r="580" ht="12.75" customHeight="1">
      <c r="A580" s="758">
        <v>578.0</v>
      </c>
      <c r="B580" s="421" t="s">
        <v>12367</v>
      </c>
      <c r="C580" s="421" t="s">
        <v>12368</v>
      </c>
      <c r="D580" s="421" t="s">
        <v>2768</v>
      </c>
      <c r="E580" s="421" t="s">
        <v>13042</v>
      </c>
      <c r="F580" s="421" t="s">
        <v>11854</v>
      </c>
      <c r="G580" s="421" t="s">
        <v>5</v>
      </c>
      <c r="H580" s="421" t="s">
        <v>5</v>
      </c>
      <c r="I580" s="421" t="s">
        <v>11969</v>
      </c>
      <c r="J580" s="421" t="s">
        <v>5</v>
      </c>
      <c r="K580" s="421" t="s">
        <v>5</v>
      </c>
      <c r="L580" s="421" t="s">
        <v>5</v>
      </c>
      <c r="M580" s="759" t="s">
        <v>5</v>
      </c>
      <c r="N580" s="760" t="s">
        <v>9265</v>
      </c>
      <c r="O580" s="759" t="s">
        <v>5</v>
      </c>
      <c r="P580" s="421" t="s">
        <v>11802</v>
      </c>
      <c r="Q580" s="757"/>
      <c r="R580" s="757"/>
      <c r="S580" s="757"/>
      <c r="T580" s="757"/>
      <c r="U580" s="757"/>
      <c r="V580" s="757"/>
      <c r="W580" s="757"/>
      <c r="X580" s="757"/>
      <c r="Y580" s="757"/>
      <c r="Z580" s="757"/>
    </row>
    <row r="581" ht="12.75" customHeight="1">
      <c r="A581" s="758">
        <v>579.0</v>
      </c>
      <c r="B581" s="421" t="s">
        <v>12365</v>
      </c>
      <c r="C581" s="421" t="s">
        <v>2859</v>
      </c>
      <c r="D581" s="421" t="s">
        <v>2768</v>
      </c>
      <c r="E581" s="421" t="s">
        <v>13043</v>
      </c>
      <c r="F581" s="421" t="s">
        <v>11844</v>
      </c>
      <c r="G581" s="421" t="s">
        <v>5</v>
      </c>
      <c r="H581" s="421" t="s">
        <v>5</v>
      </c>
      <c r="I581" s="421" t="s">
        <v>11969</v>
      </c>
      <c r="J581" s="421" t="s">
        <v>5</v>
      </c>
      <c r="K581" s="421" t="s">
        <v>5</v>
      </c>
      <c r="L581" s="421" t="s">
        <v>5</v>
      </c>
      <c r="M581" s="759" t="s">
        <v>5</v>
      </c>
      <c r="N581" s="760" t="s">
        <v>9265</v>
      </c>
      <c r="O581" s="759" t="s">
        <v>5</v>
      </c>
      <c r="P581" s="421" t="s">
        <v>11802</v>
      </c>
      <c r="Q581" s="757"/>
      <c r="R581" s="757"/>
      <c r="S581" s="757"/>
      <c r="T581" s="757"/>
      <c r="U581" s="757"/>
      <c r="V581" s="757"/>
      <c r="W581" s="757"/>
      <c r="X581" s="757"/>
      <c r="Y581" s="757"/>
      <c r="Z581" s="757"/>
    </row>
    <row r="582" ht="12.75" customHeight="1">
      <c r="A582" s="758">
        <v>580.0</v>
      </c>
      <c r="B582" s="421" t="s">
        <v>12369</v>
      </c>
      <c r="C582" s="421" t="s">
        <v>9032</v>
      </c>
      <c r="D582" s="421" t="s">
        <v>2732</v>
      </c>
      <c r="E582" s="421" t="s">
        <v>13047</v>
      </c>
      <c r="F582" s="421" t="s">
        <v>11844</v>
      </c>
      <c r="G582" s="421" t="s">
        <v>5</v>
      </c>
      <c r="H582" s="421" t="s">
        <v>5</v>
      </c>
      <c r="I582" s="421" t="s">
        <v>5</v>
      </c>
      <c r="J582" s="421" t="s">
        <v>5</v>
      </c>
      <c r="K582" s="421" t="s">
        <v>5</v>
      </c>
      <c r="L582" s="421" t="s">
        <v>5</v>
      </c>
      <c r="M582" s="759" t="s">
        <v>5</v>
      </c>
      <c r="N582" s="760" t="s">
        <v>9265</v>
      </c>
      <c r="O582" s="759" t="s">
        <v>5</v>
      </c>
      <c r="P582" s="421" t="s">
        <v>11802</v>
      </c>
      <c r="Q582" s="757"/>
      <c r="R582" s="757"/>
      <c r="S582" s="757"/>
      <c r="T582" s="757"/>
      <c r="U582" s="757"/>
      <c r="V582" s="757"/>
      <c r="W582" s="757"/>
      <c r="X582" s="757"/>
      <c r="Y582" s="757"/>
      <c r="Z582" s="757"/>
    </row>
    <row r="583" ht="12.75" customHeight="1">
      <c r="A583" s="758">
        <v>581.0</v>
      </c>
      <c r="B583" s="421" t="s">
        <v>12370</v>
      </c>
      <c r="C583" s="421" t="s">
        <v>2738</v>
      </c>
      <c r="D583" s="421" t="s">
        <v>326</v>
      </c>
      <c r="E583" s="421" t="s">
        <v>13048</v>
      </c>
      <c r="F583" s="421" t="s">
        <v>11851</v>
      </c>
      <c r="G583" s="421" t="s">
        <v>5</v>
      </c>
      <c r="H583" s="421" t="s">
        <v>5</v>
      </c>
      <c r="I583" s="421" t="s">
        <v>5</v>
      </c>
      <c r="J583" s="421" t="s">
        <v>5</v>
      </c>
      <c r="K583" s="421" t="s">
        <v>5</v>
      </c>
      <c r="L583" s="421" t="s">
        <v>5</v>
      </c>
      <c r="M583" s="759" t="s">
        <v>5</v>
      </c>
      <c r="N583" s="760" t="s">
        <v>9265</v>
      </c>
      <c r="O583" s="759" t="s">
        <v>5</v>
      </c>
      <c r="P583" s="421" t="s">
        <v>11802</v>
      </c>
      <c r="Q583" s="757"/>
      <c r="R583" s="757"/>
      <c r="S583" s="757"/>
      <c r="T583" s="757"/>
      <c r="U583" s="757"/>
      <c r="V583" s="757"/>
      <c r="W583" s="757"/>
      <c r="X583" s="757"/>
      <c r="Y583" s="757"/>
      <c r="Z583" s="757"/>
    </row>
    <row r="584" ht="12.75" customHeight="1">
      <c r="A584" s="758">
        <v>582.0</v>
      </c>
      <c r="B584" s="421" t="s">
        <v>12371</v>
      </c>
      <c r="C584" s="421" t="s">
        <v>2733</v>
      </c>
      <c r="D584" s="421" t="s">
        <v>326</v>
      </c>
      <c r="E584" s="421" t="s">
        <v>13049</v>
      </c>
      <c r="F584" s="421" t="s">
        <v>11851</v>
      </c>
      <c r="G584" s="421" t="s">
        <v>5</v>
      </c>
      <c r="H584" s="421" t="s">
        <v>5</v>
      </c>
      <c r="I584" s="421" t="s">
        <v>5</v>
      </c>
      <c r="J584" s="421" t="s">
        <v>5</v>
      </c>
      <c r="K584" s="421" t="s">
        <v>5</v>
      </c>
      <c r="L584" s="421" t="s">
        <v>5</v>
      </c>
      <c r="M584" s="759" t="s">
        <v>5</v>
      </c>
      <c r="N584" s="760" t="s">
        <v>9265</v>
      </c>
      <c r="O584" s="759" t="s">
        <v>5</v>
      </c>
      <c r="P584" s="421" t="s">
        <v>11802</v>
      </c>
      <c r="Q584" s="757"/>
      <c r="R584" s="757"/>
      <c r="S584" s="757"/>
      <c r="T584" s="757"/>
      <c r="U584" s="757"/>
      <c r="V584" s="757"/>
      <c r="W584" s="757"/>
      <c r="X584" s="757"/>
      <c r="Y584" s="757"/>
      <c r="Z584" s="757"/>
    </row>
    <row r="585" ht="12.75" customHeight="1">
      <c r="A585" s="758">
        <v>583.0</v>
      </c>
      <c r="B585" s="421" t="s">
        <v>12372</v>
      </c>
      <c r="C585" s="421" t="s">
        <v>12373</v>
      </c>
      <c r="D585" s="421" t="s">
        <v>326</v>
      </c>
      <c r="E585" s="421" t="s">
        <v>13050</v>
      </c>
      <c r="F585" s="421" t="s">
        <v>11851</v>
      </c>
      <c r="G585" s="421" t="s">
        <v>5</v>
      </c>
      <c r="H585" s="421" t="s">
        <v>5</v>
      </c>
      <c r="I585" s="421" t="s">
        <v>5</v>
      </c>
      <c r="J585" s="421" t="s">
        <v>5</v>
      </c>
      <c r="K585" s="421" t="s">
        <v>5</v>
      </c>
      <c r="L585" s="421" t="s">
        <v>5</v>
      </c>
      <c r="M585" s="759" t="s">
        <v>5</v>
      </c>
      <c r="N585" s="760" t="s">
        <v>9265</v>
      </c>
      <c r="O585" s="759" t="s">
        <v>5</v>
      </c>
      <c r="P585" s="421" t="s">
        <v>11802</v>
      </c>
      <c r="Q585" s="757"/>
      <c r="R585" s="757"/>
      <c r="S585" s="757"/>
      <c r="T585" s="757"/>
      <c r="U585" s="757"/>
      <c r="V585" s="757"/>
      <c r="W585" s="757"/>
      <c r="X585" s="757"/>
      <c r="Y585" s="757"/>
      <c r="Z585" s="757"/>
    </row>
    <row r="586" ht="12.75" customHeight="1">
      <c r="A586" s="758">
        <v>584.0</v>
      </c>
      <c r="B586" s="421" t="s">
        <v>12374</v>
      </c>
      <c r="C586" s="421" t="s">
        <v>9059</v>
      </c>
      <c r="D586" s="421" t="s">
        <v>326</v>
      </c>
      <c r="E586" s="421" t="s">
        <v>13068</v>
      </c>
      <c r="F586" s="421" t="s">
        <v>11851</v>
      </c>
      <c r="G586" s="421" t="s">
        <v>5</v>
      </c>
      <c r="H586" s="421" t="s">
        <v>5</v>
      </c>
      <c r="I586" s="421" t="s">
        <v>5</v>
      </c>
      <c r="J586" s="421" t="s">
        <v>5</v>
      </c>
      <c r="K586" s="421" t="s">
        <v>5</v>
      </c>
      <c r="L586" s="421" t="s">
        <v>5</v>
      </c>
      <c r="M586" s="759" t="s">
        <v>5</v>
      </c>
      <c r="N586" s="760" t="s">
        <v>9265</v>
      </c>
      <c r="O586" s="759" t="s">
        <v>5</v>
      </c>
      <c r="P586" s="421" t="s">
        <v>11802</v>
      </c>
      <c r="Q586" s="757"/>
      <c r="R586" s="757"/>
      <c r="S586" s="757"/>
      <c r="T586" s="757"/>
      <c r="U586" s="757"/>
      <c r="V586" s="757"/>
      <c r="W586" s="757"/>
      <c r="X586" s="757"/>
      <c r="Y586" s="757"/>
      <c r="Z586" s="757"/>
    </row>
    <row r="587" ht="12.75" customHeight="1">
      <c r="A587" s="758">
        <v>585.0</v>
      </c>
      <c r="B587" s="421" t="s">
        <v>12375</v>
      </c>
      <c r="C587" s="421" t="s">
        <v>12376</v>
      </c>
      <c r="D587" s="421" t="s">
        <v>326</v>
      </c>
      <c r="E587" s="421" t="s">
        <v>13052</v>
      </c>
      <c r="F587" s="421" t="s">
        <v>11851</v>
      </c>
      <c r="G587" s="421" t="s">
        <v>5</v>
      </c>
      <c r="H587" s="421" t="s">
        <v>5</v>
      </c>
      <c r="I587" s="421" t="s">
        <v>5</v>
      </c>
      <c r="J587" s="421" t="s">
        <v>5</v>
      </c>
      <c r="K587" s="421" t="s">
        <v>5</v>
      </c>
      <c r="L587" s="421" t="s">
        <v>5</v>
      </c>
      <c r="M587" s="759" t="s">
        <v>5</v>
      </c>
      <c r="N587" s="760" t="s">
        <v>9265</v>
      </c>
      <c r="O587" s="759" t="s">
        <v>5</v>
      </c>
      <c r="P587" s="421" t="s">
        <v>11802</v>
      </c>
      <c r="Q587" s="757"/>
      <c r="R587" s="757"/>
      <c r="S587" s="757"/>
      <c r="T587" s="757"/>
      <c r="U587" s="757"/>
      <c r="V587" s="757"/>
      <c r="W587" s="757"/>
      <c r="X587" s="757"/>
      <c r="Y587" s="757"/>
      <c r="Z587" s="757"/>
    </row>
    <row r="588" ht="12.75" customHeight="1">
      <c r="A588" s="758">
        <v>586.0</v>
      </c>
      <c r="B588" s="421" t="s">
        <v>12369</v>
      </c>
      <c r="C588" s="421" t="s">
        <v>12377</v>
      </c>
      <c r="D588" s="421" t="s">
        <v>326</v>
      </c>
      <c r="E588" s="421" t="s">
        <v>13053</v>
      </c>
      <c r="F588" s="421" t="s">
        <v>11854</v>
      </c>
      <c r="G588" s="421" t="s">
        <v>5</v>
      </c>
      <c r="H588" s="421" t="s">
        <v>5</v>
      </c>
      <c r="I588" s="421" t="s">
        <v>11969</v>
      </c>
      <c r="J588" s="421" t="s">
        <v>5</v>
      </c>
      <c r="K588" s="421" t="s">
        <v>5</v>
      </c>
      <c r="L588" s="421" t="s">
        <v>5</v>
      </c>
      <c r="M588" s="759" t="s">
        <v>5</v>
      </c>
      <c r="N588" s="760" t="s">
        <v>9265</v>
      </c>
      <c r="O588" s="759" t="s">
        <v>5</v>
      </c>
      <c r="P588" s="421" t="s">
        <v>11802</v>
      </c>
      <c r="Q588" s="757"/>
      <c r="R588" s="757"/>
      <c r="S588" s="757"/>
      <c r="T588" s="757"/>
      <c r="U588" s="757"/>
      <c r="V588" s="757"/>
      <c r="W588" s="757"/>
      <c r="X588" s="757"/>
      <c r="Y588" s="757"/>
      <c r="Z588" s="757"/>
    </row>
    <row r="589" ht="12.75" customHeight="1">
      <c r="A589" s="758">
        <v>587.0</v>
      </c>
      <c r="B589" s="421" t="s">
        <v>12378</v>
      </c>
      <c r="C589" s="421" t="s">
        <v>9108</v>
      </c>
      <c r="D589" s="421" t="s">
        <v>2732</v>
      </c>
      <c r="E589" s="421" t="s">
        <v>13054</v>
      </c>
      <c r="F589" s="421" t="s">
        <v>11851</v>
      </c>
      <c r="G589" s="421" t="s">
        <v>5</v>
      </c>
      <c r="H589" s="421" t="s">
        <v>5</v>
      </c>
      <c r="I589" s="421" t="s">
        <v>5</v>
      </c>
      <c r="J589" s="421" t="s">
        <v>5</v>
      </c>
      <c r="K589" s="421" t="s">
        <v>5</v>
      </c>
      <c r="L589" s="421" t="s">
        <v>5</v>
      </c>
      <c r="M589" s="759" t="s">
        <v>5</v>
      </c>
      <c r="N589" s="760" t="s">
        <v>9265</v>
      </c>
      <c r="O589" s="759" t="s">
        <v>5</v>
      </c>
      <c r="P589" s="421" t="s">
        <v>11802</v>
      </c>
      <c r="Q589" s="757"/>
      <c r="R589" s="757"/>
      <c r="S589" s="757"/>
      <c r="T589" s="757"/>
      <c r="U589" s="757"/>
      <c r="V589" s="757"/>
      <c r="W589" s="757"/>
      <c r="X589" s="757"/>
      <c r="Y589" s="757"/>
      <c r="Z589" s="757"/>
    </row>
    <row r="590" ht="12.75" customHeight="1">
      <c r="A590" s="758">
        <v>588.0</v>
      </c>
      <c r="B590" s="421" t="s">
        <v>12379</v>
      </c>
      <c r="C590" s="421" t="s">
        <v>7710</v>
      </c>
      <c r="D590" s="421" t="s">
        <v>153</v>
      </c>
      <c r="E590" s="421" t="s">
        <v>13034</v>
      </c>
      <c r="F590" s="421" t="s">
        <v>11851</v>
      </c>
      <c r="G590" s="421" t="s">
        <v>5</v>
      </c>
      <c r="H590" s="421" t="s">
        <v>5</v>
      </c>
      <c r="I590" s="421" t="s">
        <v>5</v>
      </c>
      <c r="J590" s="421" t="s">
        <v>5</v>
      </c>
      <c r="K590" s="421" t="s">
        <v>5</v>
      </c>
      <c r="L590" s="421" t="s">
        <v>5</v>
      </c>
      <c r="M590" s="759" t="s">
        <v>5</v>
      </c>
      <c r="N590" s="760" t="s">
        <v>9265</v>
      </c>
      <c r="O590" s="759" t="s">
        <v>5</v>
      </c>
      <c r="P590" s="421" t="s">
        <v>11802</v>
      </c>
      <c r="Q590" s="757"/>
      <c r="R590" s="757"/>
      <c r="S590" s="757"/>
      <c r="T590" s="757"/>
      <c r="U590" s="757"/>
      <c r="V590" s="757"/>
      <c r="W590" s="757"/>
      <c r="X590" s="757"/>
      <c r="Y590" s="757"/>
      <c r="Z590" s="757"/>
    </row>
    <row r="591" ht="12.75" customHeight="1">
      <c r="A591" s="758">
        <v>589.0</v>
      </c>
      <c r="B591" s="421" t="s">
        <v>12380</v>
      </c>
      <c r="C591" s="421" t="s">
        <v>8991</v>
      </c>
      <c r="D591" s="421" t="s">
        <v>153</v>
      </c>
      <c r="E591" s="421" t="s">
        <v>13055</v>
      </c>
      <c r="F591" s="421" t="s">
        <v>11851</v>
      </c>
      <c r="G591" s="421" t="s">
        <v>5</v>
      </c>
      <c r="H591" s="421" t="s">
        <v>5</v>
      </c>
      <c r="I591" s="421" t="s">
        <v>5</v>
      </c>
      <c r="J591" s="421" t="s">
        <v>5</v>
      </c>
      <c r="K591" s="421" t="s">
        <v>5</v>
      </c>
      <c r="L591" s="421" t="s">
        <v>5</v>
      </c>
      <c r="M591" s="759" t="s">
        <v>5</v>
      </c>
      <c r="N591" s="760" t="s">
        <v>9265</v>
      </c>
      <c r="O591" s="759" t="s">
        <v>5</v>
      </c>
      <c r="P591" s="421" t="s">
        <v>11802</v>
      </c>
      <c r="Q591" s="757"/>
      <c r="R591" s="757"/>
      <c r="S591" s="757"/>
      <c r="T591" s="757"/>
      <c r="U591" s="757"/>
      <c r="V591" s="757"/>
      <c r="W591" s="757"/>
      <c r="X591" s="757"/>
      <c r="Y591" s="757"/>
      <c r="Z591" s="757"/>
    </row>
    <row r="592" ht="12.75" customHeight="1">
      <c r="A592" s="758">
        <v>590.0</v>
      </c>
      <c r="B592" s="421" t="s">
        <v>12381</v>
      </c>
      <c r="C592" s="421" t="s">
        <v>8509</v>
      </c>
      <c r="D592" s="421" t="s">
        <v>153</v>
      </c>
      <c r="E592" s="421" t="s">
        <v>13056</v>
      </c>
      <c r="F592" s="421" t="s">
        <v>11851</v>
      </c>
      <c r="G592" s="421" t="s">
        <v>5</v>
      </c>
      <c r="H592" s="421" t="s">
        <v>5</v>
      </c>
      <c r="I592" s="421" t="s">
        <v>5</v>
      </c>
      <c r="J592" s="421" t="s">
        <v>5</v>
      </c>
      <c r="K592" s="421" t="s">
        <v>5</v>
      </c>
      <c r="L592" s="421" t="s">
        <v>5</v>
      </c>
      <c r="M592" s="759" t="s">
        <v>5</v>
      </c>
      <c r="N592" s="760" t="s">
        <v>9265</v>
      </c>
      <c r="O592" s="759" t="s">
        <v>5</v>
      </c>
      <c r="P592" s="421" t="s">
        <v>11802</v>
      </c>
      <c r="Q592" s="757"/>
      <c r="R592" s="757"/>
      <c r="S592" s="757"/>
      <c r="T592" s="757"/>
      <c r="U592" s="757"/>
      <c r="V592" s="757"/>
      <c r="W592" s="757"/>
      <c r="X592" s="757"/>
      <c r="Y592" s="757"/>
      <c r="Z592" s="757"/>
    </row>
    <row r="593" ht="12.75" customHeight="1">
      <c r="A593" s="758">
        <v>591.0</v>
      </c>
      <c r="B593" s="421" t="s">
        <v>12382</v>
      </c>
      <c r="C593" s="421" t="s">
        <v>12384</v>
      </c>
      <c r="D593" s="421" t="s">
        <v>2732</v>
      </c>
      <c r="E593" s="421" t="s">
        <v>13069</v>
      </c>
      <c r="F593" s="421" t="s">
        <v>11851</v>
      </c>
      <c r="G593" s="421" t="s">
        <v>5</v>
      </c>
      <c r="H593" s="421" t="s">
        <v>5</v>
      </c>
      <c r="I593" s="421" t="s">
        <v>5</v>
      </c>
      <c r="J593" s="421" t="s">
        <v>5</v>
      </c>
      <c r="K593" s="421" t="s">
        <v>5</v>
      </c>
      <c r="L593" s="421" t="s">
        <v>5</v>
      </c>
      <c r="M593" s="759" t="s">
        <v>5</v>
      </c>
      <c r="N593" s="760" t="s">
        <v>9265</v>
      </c>
      <c r="O593" s="759" t="s">
        <v>5</v>
      </c>
      <c r="P593" s="421" t="s">
        <v>11802</v>
      </c>
      <c r="Q593" s="757"/>
      <c r="R593" s="757"/>
      <c r="S593" s="757"/>
      <c r="T593" s="757"/>
      <c r="U593" s="757"/>
      <c r="V593" s="757"/>
      <c r="W593" s="757"/>
      <c r="X593" s="757"/>
      <c r="Y593" s="757"/>
      <c r="Z593" s="757"/>
    </row>
    <row r="594" ht="12.75" customHeight="1">
      <c r="A594" s="758">
        <v>592.0</v>
      </c>
      <c r="B594" s="421" t="s">
        <v>12385</v>
      </c>
      <c r="C594" s="421" t="s">
        <v>12386</v>
      </c>
      <c r="D594" s="421" t="s">
        <v>12383</v>
      </c>
      <c r="E594" s="421" t="s">
        <v>13058</v>
      </c>
      <c r="F594" s="421" t="s">
        <v>11851</v>
      </c>
      <c r="G594" s="421" t="s">
        <v>5</v>
      </c>
      <c r="H594" s="421" t="s">
        <v>5</v>
      </c>
      <c r="I594" s="421" t="s">
        <v>5</v>
      </c>
      <c r="J594" s="421" t="s">
        <v>5</v>
      </c>
      <c r="K594" s="421" t="s">
        <v>5</v>
      </c>
      <c r="L594" s="421" t="s">
        <v>5</v>
      </c>
      <c r="M594" s="759" t="s">
        <v>5</v>
      </c>
      <c r="N594" s="760" t="s">
        <v>9265</v>
      </c>
      <c r="O594" s="759" t="s">
        <v>5</v>
      </c>
      <c r="P594" s="421" t="s">
        <v>11802</v>
      </c>
      <c r="Q594" s="757"/>
      <c r="R594" s="757"/>
      <c r="S594" s="757"/>
      <c r="T594" s="757"/>
      <c r="U594" s="757"/>
      <c r="V594" s="757"/>
      <c r="W594" s="757"/>
      <c r="X594" s="757"/>
      <c r="Y594" s="757"/>
      <c r="Z594" s="757"/>
    </row>
    <row r="595" ht="12.75" customHeight="1">
      <c r="A595" s="758">
        <v>593.0</v>
      </c>
      <c r="B595" s="421" t="s">
        <v>12387</v>
      </c>
      <c r="C595" s="421" t="s">
        <v>12388</v>
      </c>
      <c r="D595" s="421" t="s">
        <v>12383</v>
      </c>
      <c r="E595" s="421" t="s">
        <v>13059</v>
      </c>
      <c r="F595" s="421" t="s">
        <v>11851</v>
      </c>
      <c r="G595" s="421" t="s">
        <v>5</v>
      </c>
      <c r="H595" s="421" t="s">
        <v>5</v>
      </c>
      <c r="I595" s="421" t="s">
        <v>5</v>
      </c>
      <c r="J595" s="421" t="s">
        <v>5</v>
      </c>
      <c r="K595" s="421" t="s">
        <v>5</v>
      </c>
      <c r="L595" s="421" t="s">
        <v>5</v>
      </c>
      <c r="M595" s="759" t="s">
        <v>5</v>
      </c>
      <c r="N595" s="760" t="s">
        <v>9265</v>
      </c>
      <c r="O595" s="759" t="s">
        <v>5</v>
      </c>
      <c r="P595" s="421" t="s">
        <v>11802</v>
      </c>
      <c r="Q595" s="757"/>
      <c r="R595" s="757"/>
      <c r="S595" s="757"/>
      <c r="T595" s="757"/>
      <c r="U595" s="757"/>
      <c r="V595" s="757"/>
      <c r="W595" s="757"/>
      <c r="X595" s="757"/>
      <c r="Y595" s="757"/>
      <c r="Z595" s="757"/>
    </row>
    <row r="596" ht="12.75" customHeight="1">
      <c r="A596" s="758">
        <v>594.0</v>
      </c>
      <c r="B596" s="421" t="s">
        <v>12389</v>
      </c>
      <c r="C596" s="421" t="s">
        <v>12390</v>
      </c>
      <c r="D596" s="421" t="s">
        <v>12383</v>
      </c>
      <c r="E596" s="421" t="s">
        <v>13060</v>
      </c>
      <c r="F596" s="421" t="s">
        <v>11851</v>
      </c>
      <c r="G596" s="421" t="s">
        <v>5</v>
      </c>
      <c r="H596" s="421" t="s">
        <v>5</v>
      </c>
      <c r="I596" s="421" t="s">
        <v>5</v>
      </c>
      <c r="J596" s="421" t="s">
        <v>5</v>
      </c>
      <c r="K596" s="421" t="s">
        <v>5</v>
      </c>
      <c r="L596" s="421" t="s">
        <v>5</v>
      </c>
      <c r="M596" s="759" t="s">
        <v>5</v>
      </c>
      <c r="N596" s="760" t="s">
        <v>9265</v>
      </c>
      <c r="O596" s="759" t="s">
        <v>5</v>
      </c>
      <c r="P596" s="421" t="s">
        <v>11802</v>
      </c>
      <c r="Q596" s="757"/>
      <c r="R596" s="757"/>
      <c r="S596" s="757"/>
      <c r="T596" s="757"/>
      <c r="U596" s="757"/>
      <c r="V596" s="757"/>
      <c r="W596" s="757"/>
      <c r="X596" s="757"/>
      <c r="Y596" s="757"/>
      <c r="Z596" s="757"/>
    </row>
    <row r="597" ht="12.75" customHeight="1">
      <c r="A597" s="758">
        <v>595.0</v>
      </c>
      <c r="B597" s="421" t="s">
        <v>12391</v>
      </c>
      <c r="C597" s="421" t="s">
        <v>4549</v>
      </c>
      <c r="D597" s="421" t="s">
        <v>2732</v>
      </c>
      <c r="E597" s="421" t="s">
        <v>12794</v>
      </c>
      <c r="F597" s="421" t="s">
        <v>11916</v>
      </c>
      <c r="G597" s="421" t="s">
        <v>5</v>
      </c>
      <c r="H597" s="421" t="s">
        <v>5</v>
      </c>
      <c r="I597" s="421" t="s">
        <v>11969</v>
      </c>
      <c r="J597" s="421" t="s">
        <v>5</v>
      </c>
      <c r="K597" s="421" t="s">
        <v>5</v>
      </c>
      <c r="L597" s="421" t="s">
        <v>5</v>
      </c>
      <c r="M597" s="759" t="s">
        <v>5</v>
      </c>
      <c r="N597" s="760" t="s">
        <v>9265</v>
      </c>
      <c r="O597" s="759" t="s">
        <v>5</v>
      </c>
      <c r="P597" s="421" t="s">
        <v>11802</v>
      </c>
      <c r="Q597" s="757"/>
      <c r="R597" s="757"/>
      <c r="S597" s="757"/>
      <c r="T597" s="757"/>
      <c r="U597" s="757"/>
      <c r="V597" s="757"/>
      <c r="W597" s="757"/>
      <c r="X597" s="757"/>
      <c r="Y597" s="757"/>
      <c r="Z597" s="757"/>
    </row>
    <row r="598" ht="12.75" customHeight="1">
      <c r="A598" s="758">
        <v>596.0</v>
      </c>
      <c r="B598" s="421" t="s">
        <v>12392</v>
      </c>
      <c r="C598" s="421" t="s">
        <v>10904</v>
      </c>
      <c r="D598" s="421" t="s">
        <v>2732</v>
      </c>
      <c r="E598" s="421" t="s">
        <v>13061</v>
      </c>
      <c r="F598" s="421" t="s">
        <v>11844</v>
      </c>
      <c r="G598" s="421" t="s">
        <v>5</v>
      </c>
      <c r="H598" s="421" t="s">
        <v>5</v>
      </c>
      <c r="I598" s="421" t="s">
        <v>5</v>
      </c>
      <c r="J598" s="421" t="s">
        <v>5</v>
      </c>
      <c r="K598" s="421" t="s">
        <v>5</v>
      </c>
      <c r="L598" s="421" t="s">
        <v>5</v>
      </c>
      <c r="M598" s="759" t="s">
        <v>5</v>
      </c>
      <c r="N598" s="760" t="s">
        <v>9265</v>
      </c>
      <c r="O598" s="759" t="s">
        <v>5</v>
      </c>
      <c r="P598" s="421" t="s">
        <v>11802</v>
      </c>
      <c r="Q598" s="757"/>
      <c r="R598" s="757"/>
      <c r="S598" s="757"/>
      <c r="T598" s="757"/>
      <c r="U598" s="757"/>
      <c r="V598" s="757"/>
      <c r="W598" s="757"/>
      <c r="X598" s="757"/>
      <c r="Y598" s="757"/>
      <c r="Z598" s="757"/>
    </row>
    <row r="599" ht="12.75" customHeight="1">
      <c r="A599" s="758">
        <v>597.0</v>
      </c>
      <c r="B599" s="421" t="s">
        <v>12393</v>
      </c>
      <c r="C599" s="421" t="s">
        <v>2798</v>
      </c>
      <c r="D599" s="421" t="s">
        <v>2797</v>
      </c>
      <c r="E599" s="421" t="s">
        <v>13070</v>
      </c>
      <c r="F599" s="421" t="s">
        <v>11851</v>
      </c>
      <c r="G599" s="421" t="s">
        <v>5</v>
      </c>
      <c r="H599" s="421" t="s">
        <v>5</v>
      </c>
      <c r="I599" s="421" t="s">
        <v>5</v>
      </c>
      <c r="J599" s="421" t="s">
        <v>5</v>
      </c>
      <c r="K599" s="421" t="s">
        <v>5</v>
      </c>
      <c r="L599" s="421" t="s">
        <v>5</v>
      </c>
      <c r="M599" s="759" t="s">
        <v>5</v>
      </c>
      <c r="N599" s="760" t="s">
        <v>9265</v>
      </c>
      <c r="O599" s="759" t="s">
        <v>5</v>
      </c>
      <c r="P599" s="421" t="s">
        <v>11802</v>
      </c>
      <c r="Q599" s="757"/>
      <c r="R599" s="757"/>
      <c r="S599" s="757"/>
      <c r="T599" s="757"/>
      <c r="U599" s="757"/>
      <c r="V599" s="757"/>
      <c r="W599" s="757"/>
      <c r="X599" s="757"/>
      <c r="Y599" s="757"/>
      <c r="Z599" s="757"/>
    </row>
    <row r="600" ht="12.75" customHeight="1">
      <c r="A600" s="758">
        <v>598.0</v>
      </c>
      <c r="B600" s="421" t="s">
        <v>12392</v>
      </c>
      <c r="C600" s="421" t="s">
        <v>7439</v>
      </c>
      <c r="D600" s="421" t="s">
        <v>2797</v>
      </c>
      <c r="E600" s="421" t="s">
        <v>13071</v>
      </c>
      <c r="F600" s="421" t="s">
        <v>11851</v>
      </c>
      <c r="G600" s="421" t="s">
        <v>5</v>
      </c>
      <c r="H600" s="421" t="s">
        <v>5</v>
      </c>
      <c r="I600" s="421" t="s">
        <v>5</v>
      </c>
      <c r="J600" s="421" t="s">
        <v>5</v>
      </c>
      <c r="K600" s="421" t="s">
        <v>5</v>
      </c>
      <c r="L600" s="421" t="s">
        <v>5</v>
      </c>
      <c r="M600" s="759" t="s">
        <v>5</v>
      </c>
      <c r="N600" s="760" t="s">
        <v>9265</v>
      </c>
      <c r="O600" s="759" t="s">
        <v>5</v>
      </c>
      <c r="P600" s="421" t="s">
        <v>11802</v>
      </c>
      <c r="Q600" s="757"/>
      <c r="R600" s="757"/>
      <c r="S600" s="757"/>
      <c r="T600" s="757"/>
      <c r="U600" s="757"/>
      <c r="V600" s="757"/>
      <c r="W600" s="757"/>
      <c r="X600" s="757"/>
      <c r="Y600" s="757"/>
      <c r="Z600" s="757"/>
    </row>
    <row r="601" ht="12.75" customHeight="1">
      <c r="A601" s="758">
        <v>599.0</v>
      </c>
      <c r="B601" s="421" t="s">
        <v>12394</v>
      </c>
      <c r="C601" s="421" t="s">
        <v>9079</v>
      </c>
      <c r="D601" s="421" t="s">
        <v>2732</v>
      </c>
      <c r="E601" s="421" t="s">
        <v>13072</v>
      </c>
      <c r="F601" s="421" t="s">
        <v>11844</v>
      </c>
      <c r="G601" s="421" t="s">
        <v>5</v>
      </c>
      <c r="H601" s="421" t="s">
        <v>5</v>
      </c>
      <c r="I601" s="421" t="s">
        <v>11969</v>
      </c>
      <c r="J601" s="421" t="s">
        <v>5</v>
      </c>
      <c r="K601" s="421" t="s">
        <v>5</v>
      </c>
      <c r="L601" s="421" t="s">
        <v>5</v>
      </c>
      <c r="M601" s="759" t="s">
        <v>5</v>
      </c>
      <c r="N601" s="760" t="s">
        <v>9265</v>
      </c>
      <c r="O601" s="759" t="s">
        <v>5</v>
      </c>
      <c r="P601" s="421" t="s">
        <v>11802</v>
      </c>
      <c r="Q601" s="757"/>
      <c r="R601" s="757"/>
      <c r="S601" s="757"/>
      <c r="T601" s="757"/>
      <c r="U601" s="757"/>
      <c r="V601" s="757"/>
      <c r="W601" s="757"/>
      <c r="X601" s="757"/>
      <c r="Y601" s="757"/>
      <c r="Z601" s="757"/>
    </row>
    <row r="602" ht="12.75" customHeight="1">
      <c r="A602" s="758">
        <v>600.0</v>
      </c>
      <c r="B602" s="421" t="s">
        <v>12395</v>
      </c>
      <c r="C602" s="421" t="s">
        <v>7611</v>
      </c>
      <c r="D602" s="421" t="s">
        <v>2761</v>
      </c>
      <c r="E602" s="421" t="s">
        <v>13045</v>
      </c>
      <c r="F602" s="421" t="s">
        <v>11854</v>
      </c>
      <c r="G602" s="421" t="s">
        <v>5</v>
      </c>
      <c r="H602" s="421" t="s">
        <v>5</v>
      </c>
      <c r="I602" s="421" t="s">
        <v>11969</v>
      </c>
      <c r="J602" s="421" t="s">
        <v>5</v>
      </c>
      <c r="K602" s="421" t="s">
        <v>5</v>
      </c>
      <c r="L602" s="421" t="s">
        <v>5</v>
      </c>
      <c r="M602" s="759" t="s">
        <v>5</v>
      </c>
      <c r="N602" s="760" t="s">
        <v>9265</v>
      </c>
      <c r="O602" s="759" t="s">
        <v>5</v>
      </c>
      <c r="P602" s="421" t="s">
        <v>11802</v>
      </c>
      <c r="Q602" s="757"/>
      <c r="R602" s="757"/>
      <c r="S602" s="757"/>
      <c r="T602" s="757"/>
      <c r="U602" s="757"/>
      <c r="V602" s="757"/>
      <c r="W602" s="757"/>
      <c r="X602" s="757"/>
      <c r="Y602" s="757"/>
      <c r="Z602" s="757"/>
    </row>
    <row r="603" ht="12.75" customHeight="1">
      <c r="A603" s="758">
        <v>601.0</v>
      </c>
      <c r="B603" s="421" t="s">
        <v>12396</v>
      </c>
      <c r="C603" s="421" t="s">
        <v>7444</v>
      </c>
      <c r="D603" s="421" t="s">
        <v>2761</v>
      </c>
      <c r="E603" s="421" t="s">
        <v>13046</v>
      </c>
      <c r="F603" s="421" t="s">
        <v>11854</v>
      </c>
      <c r="G603" s="421" t="s">
        <v>5</v>
      </c>
      <c r="H603" s="421" t="s">
        <v>5</v>
      </c>
      <c r="I603" s="421" t="s">
        <v>11969</v>
      </c>
      <c r="J603" s="421" t="s">
        <v>5</v>
      </c>
      <c r="K603" s="421" t="s">
        <v>5</v>
      </c>
      <c r="L603" s="421" t="s">
        <v>5</v>
      </c>
      <c r="M603" s="759" t="s">
        <v>5</v>
      </c>
      <c r="N603" s="760" t="s">
        <v>9265</v>
      </c>
      <c r="O603" s="759" t="s">
        <v>5</v>
      </c>
      <c r="P603" s="421" t="s">
        <v>11802</v>
      </c>
      <c r="Q603" s="757"/>
      <c r="R603" s="757"/>
      <c r="S603" s="757"/>
      <c r="T603" s="757"/>
      <c r="U603" s="757"/>
      <c r="V603" s="757"/>
      <c r="W603" s="757"/>
      <c r="X603" s="757"/>
      <c r="Y603" s="757"/>
      <c r="Z603" s="757"/>
    </row>
    <row r="604" ht="12.75" customHeight="1">
      <c r="A604" s="758">
        <v>602.0</v>
      </c>
      <c r="B604" s="421" t="s">
        <v>12397</v>
      </c>
      <c r="C604" s="421" t="s">
        <v>12398</v>
      </c>
      <c r="D604" s="421" t="s">
        <v>2732</v>
      </c>
      <c r="E604" s="421" t="s">
        <v>13064</v>
      </c>
      <c r="F604" s="421" t="s">
        <v>11844</v>
      </c>
      <c r="G604" s="421" t="s">
        <v>5</v>
      </c>
      <c r="H604" s="421" t="s">
        <v>5</v>
      </c>
      <c r="I604" s="421" t="s">
        <v>11969</v>
      </c>
      <c r="J604" s="421" t="s">
        <v>5</v>
      </c>
      <c r="K604" s="421" t="s">
        <v>5</v>
      </c>
      <c r="L604" s="421" t="s">
        <v>5</v>
      </c>
      <c r="M604" s="759" t="s">
        <v>5</v>
      </c>
      <c r="N604" s="760" t="s">
        <v>9265</v>
      </c>
      <c r="O604" s="759" t="s">
        <v>5</v>
      </c>
      <c r="P604" s="421" t="s">
        <v>11802</v>
      </c>
      <c r="Q604" s="757"/>
      <c r="R604" s="757"/>
      <c r="S604" s="757"/>
      <c r="T604" s="757"/>
      <c r="U604" s="757"/>
      <c r="V604" s="757"/>
      <c r="W604" s="757"/>
      <c r="X604" s="757"/>
      <c r="Y604" s="757"/>
      <c r="Z604" s="757"/>
    </row>
    <row r="605" ht="12.75" customHeight="1">
      <c r="A605" s="758">
        <v>603.0</v>
      </c>
      <c r="B605" s="421" t="s">
        <v>12399</v>
      </c>
      <c r="C605" s="421" t="s">
        <v>9085</v>
      </c>
      <c r="D605" s="421" t="s">
        <v>2732</v>
      </c>
      <c r="E605" s="421" t="s">
        <v>13073</v>
      </c>
      <c r="F605" s="421" t="s">
        <v>11854</v>
      </c>
      <c r="G605" s="421" t="s">
        <v>5</v>
      </c>
      <c r="H605" s="421" t="s">
        <v>5</v>
      </c>
      <c r="I605" s="421" t="s">
        <v>11969</v>
      </c>
      <c r="J605" s="421" t="s">
        <v>5</v>
      </c>
      <c r="K605" s="421" t="s">
        <v>5</v>
      </c>
      <c r="L605" s="421" t="s">
        <v>5</v>
      </c>
      <c r="M605" s="759" t="s">
        <v>5</v>
      </c>
      <c r="N605" s="760" t="s">
        <v>9265</v>
      </c>
      <c r="O605" s="759" t="s">
        <v>5</v>
      </c>
      <c r="P605" s="421" t="s">
        <v>11802</v>
      </c>
      <c r="Q605" s="757"/>
      <c r="R605" s="757"/>
      <c r="S605" s="757"/>
      <c r="T605" s="757"/>
      <c r="U605" s="757"/>
      <c r="V605" s="757"/>
      <c r="W605" s="757"/>
      <c r="X605" s="757"/>
      <c r="Y605" s="757"/>
      <c r="Z605" s="757"/>
    </row>
    <row r="606" ht="12.75" customHeight="1">
      <c r="A606" s="758">
        <v>604.0</v>
      </c>
      <c r="B606" s="421" t="s">
        <v>12400</v>
      </c>
      <c r="C606" s="421" t="s">
        <v>2964</v>
      </c>
      <c r="D606" s="421" t="s">
        <v>2732</v>
      </c>
      <c r="E606" s="421" t="s">
        <v>13066</v>
      </c>
      <c r="F606" s="421" t="s">
        <v>11851</v>
      </c>
      <c r="G606" s="421" t="s">
        <v>5</v>
      </c>
      <c r="H606" s="421" t="s">
        <v>5</v>
      </c>
      <c r="I606" s="421" t="s">
        <v>11969</v>
      </c>
      <c r="J606" s="421" t="s">
        <v>5</v>
      </c>
      <c r="K606" s="421" t="s">
        <v>5</v>
      </c>
      <c r="L606" s="421" t="s">
        <v>5</v>
      </c>
      <c r="M606" s="759" t="s">
        <v>5</v>
      </c>
      <c r="N606" s="760" t="s">
        <v>9265</v>
      </c>
      <c r="O606" s="759" t="s">
        <v>5</v>
      </c>
      <c r="P606" s="421" t="s">
        <v>11802</v>
      </c>
      <c r="Q606" s="757"/>
      <c r="R606" s="757"/>
      <c r="S606" s="757"/>
      <c r="T606" s="757"/>
      <c r="U606" s="757"/>
      <c r="V606" s="757"/>
      <c r="W606" s="757"/>
      <c r="X606" s="757"/>
      <c r="Y606" s="757"/>
      <c r="Z606" s="757"/>
    </row>
    <row r="607" ht="12.75" customHeight="1">
      <c r="A607" s="758">
        <v>605.0</v>
      </c>
      <c r="B607" s="421" t="s">
        <v>11803</v>
      </c>
      <c r="C607" s="421" t="s">
        <v>12401</v>
      </c>
      <c r="D607" s="421" t="s">
        <v>10527</v>
      </c>
      <c r="E607" s="421" t="s">
        <v>13074</v>
      </c>
      <c r="F607" s="421" t="s">
        <v>11840</v>
      </c>
      <c r="G607" s="421" t="s">
        <v>5</v>
      </c>
      <c r="H607" s="421" t="s">
        <v>5</v>
      </c>
      <c r="I607" s="421" t="s">
        <v>5</v>
      </c>
      <c r="J607" s="421" t="s">
        <v>5</v>
      </c>
      <c r="K607" s="421" t="s">
        <v>5</v>
      </c>
      <c r="L607" s="421" t="s">
        <v>5</v>
      </c>
      <c r="M607" s="759" t="s">
        <v>5</v>
      </c>
      <c r="N607" s="760" t="s">
        <v>9265</v>
      </c>
      <c r="O607" s="759" t="s">
        <v>5</v>
      </c>
      <c r="P607" s="421" t="s">
        <v>11802</v>
      </c>
      <c r="Q607" s="757"/>
      <c r="R607" s="757"/>
      <c r="S607" s="757"/>
      <c r="T607" s="757"/>
      <c r="U607" s="757"/>
      <c r="V607" s="757"/>
      <c r="W607" s="757"/>
      <c r="X607" s="757"/>
      <c r="Y607" s="757"/>
      <c r="Z607" s="757"/>
    </row>
    <row r="608" ht="12.75" customHeight="1">
      <c r="A608" s="758">
        <v>606.0</v>
      </c>
      <c r="B608" s="421" t="s">
        <v>12402</v>
      </c>
      <c r="C608" s="421" t="s">
        <v>7280</v>
      </c>
      <c r="D608" s="421" t="s">
        <v>325</v>
      </c>
      <c r="E608" s="421" t="s">
        <v>13040</v>
      </c>
      <c r="F608" s="421" t="s">
        <v>11844</v>
      </c>
      <c r="G608" s="421" t="s">
        <v>5</v>
      </c>
      <c r="H608" s="421" t="s">
        <v>5</v>
      </c>
      <c r="I608" s="421" t="s">
        <v>5</v>
      </c>
      <c r="J608" s="421" t="s">
        <v>5</v>
      </c>
      <c r="K608" s="421" t="s">
        <v>5</v>
      </c>
      <c r="L608" s="421" t="s">
        <v>5</v>
      </c>
      <c r="M608" s="759" t="s">
        <v>5</v>
      </c>
      <c r="N608" s="760" t="s">
        <v>9265</v>
      </c>
      <c r="O608" s="759" t="s">
        <v>5</v>
      </c>
      <c r="P608" s="421" t="s">
        <v>11802</v>
      </c>
      <c r="Q608" s="757"/>
      <c r="R608" s="757"/>
      <c r="S608" s="757"/>
      <c r="T608" s="757"/>
      <c r="U608" s="757"/>
      <c r="V608" s="757"/>
      <c r="W608" s="757"/>
      <c r="X608" s="757"/>
      <c r="Y608" s="757"/>
      <c r="Z608" s="757"/>
    </row>
    <row r="609" ht="12.75" customHeight="1">
      <c r="A609" s="758">
        <v>607.0</v>
      </c>
      <c r="B609" s="421" t="s">
        <v>12403</v>
      </c>
      <c r="C609" s="421" t="s">
        <v>12405</v>
      </c>
      <c r="D609" s="421" t="s">
        <v>325</v>
      </c>
      <c r="E609" s="421" t="s">
        <v>13075</v>
      </c>
      <c r="F609" s="421" t="s">
        <v>11844</v>
      </c>
      <c r="G609" s="421" t="s">
        <v>5</v>
      </c>
      <c r="H609" s="421" t="s">
        <v>5</v>
      </c>
      <c r="I609" s="421" t="s">
        <v>11969</v>
      </c>
      <c r="J609" s="421" t="s">
        <v>5</v>
      </c>
      <c r="K609" s="421" t="s">
        <v>5</v>
      </c>
      <c r="L609" s="421" t="s">
        <v>5</v>
      </c>
      <c r="M609" s="759" t="s">
        <v>5</v>
      </c>
      <c r="N609" s="760" t="s">
        <v>9265</v>
      </c>
      <c r="O609" s="759" t="s">
        <v>5</v>
      </c>
      <c r="P609" s="421" t="s">
        <v>11802</v>
      </c>
      <c r="Q609" s="757"/>
      <c r="R609" s="757"/>
      <c r="S609" s="757"/>
      <c r="T609" s="757"/>
      <c r="U609" s="757"/>
      <c r="V609" s="757"/>
      <c r="W609" s="757"/>
      <c r="X609" s="757"/>
      <c r="Y609" s="757"/>
      <c r="Z609" s="757"/>
    </row>
    <row r="610" ht="12.75" customHeight="1">
      <c r="A610" s="758">
        <v>608.0</v>
      </c>
      <c r="B610" s="421" t="s">
        <v>12406</v>
      </c>
      <c r="C610" s="421" t="s">
        <v>12407</v>
      </c>
      <c r="D610" s="421" t="s">
        <v>325</v>
      </c>
      <c r="E610" s="421" t="s">
        <v>13041</v>
      </c>
      <c r="F610" s="421" t="s">
        <v>11844</v>
      </c>
      <c r="G610" s="421" t="s">
        <v>5</v>
      </c>
      <c r="H610" s="421" t="s">
        <v>5</v>
      </c>
      <c r="I610" s="421" t="s">
        <v>5</v>
      </c>
      <c r="J610" s="421" t="s">
        <v>5</v>
      </c>
      <c r="K610" s="421" t="s">
        <v>5</v>
      </c>
      <c r="L610" s="421" t="s">
        <v>5</v>
      </c>
      <c r="M610" s="759" t="s">
        <v>5</v>
      </c>
      <c r="N610" s="760" t="s">
        <v>9265</v>
      </c>
      <c r="O610" s="759" t="s">
        <v>5</v>
      </c>
      <c r="P610" s="421" t="s">
        <v>11802</v>
      </c>
      <c r="Q610" s="757"/>
      <c r="R610" s="757"/>
      <c r="S610" s="757"/>
      <c r="T610" s="757"/>
      <c r="U610" s="757"/>
      <c r="V610" s="757"/>
      <c r="W610" s="757"/>
      <c r="X610" s="757"/>
      <c r="Y610" s="757"/>
      <c r="Z610" s="757"/>
    </row>
    <row r="611" ht="12.75" customHeight="1">
      <c r="A611" s="758">
        <v>609.0</v>
      </c>
      <c r="B611" s="421" t="s">
        <v>12406</v>
      </c>
      <c r="C611" s="421" t="s">
        <v>2769</v>
      </c>
      <c r="D611" s="421" t="s">
        <v>2768</v>
      </c>
      <c r="E611" s="421" t="s">
        <v>13042</v>
      </c>
      <c r="F611" s="421" t="s">
        <v>11844</v>
      </c>
      <c r="G611" s="421" t="s">
        <v>5</v>
      </c>
      <c r="H611" s="421" t="s">
        <v>5</v>
      </c>
      <c r="I611" s="421" t="s">
        <v>11969</v>
      </c>
      <c r="J611" s="421" t="s">
        <v>5</v>
      </c>
      <c r="K611" s="421" t="s">
        <v>5</v>
      </c>
      <c r="L611" s="421" t="s">
        <v>5</v>
      </c>
      <c r="M611" s="759" t="s">
        <v>5</v>
      </c>
      <c r="N611" s="760" t="s">
        <v>9265</v>
      </c>
      <c r="O611" s="759" t="s">
        <v>5</v>
      </c>
      <c r="P611" s="421" t="s">
        <v>11802</v>
      </c>
      <c r="Q611" s="757"/>
      <c r="R611" s="757"/>
      <c r="S611" s="757"/>
      <c r="T611" s="757"/>
      <c r="U611" s="757"/>
      <c r="V611" s="757"/>
      <c r="W611" s="757"/>
      <c r="X611" s="757"/>
      <c r="Y611" s="757"/>
      <c r="Z611" s="757"/>
    </row>
    <row r="612" ht="12.75" customHeight="1">
      <c r="A612" s="758">
        <v>610.0</v>
      </c>
      <c r="B612" s="421" t="s">
        <v>12408</v>
      </c>
      <c r="C612" s="421" t="s">
        <v>12409</v>
      </c>
      <c r="D612" s="421" t="s">
        <v>2768</v>
      </c>
      <c r="E612" s="421" t="s">
        <v>13043</v>
      </c>
      <c r="F612" s="421" t="s">
        <v>11844</v>
      </c>
      <c r="G612" s="421" t="s">
        <v>5</v>
      </c>
      <c r="H612" s="421" t="s">
        <v>5</v>
      </c>
      <c r="I612" s="421" t="s">
        <v>11969</v>
      </c>
      <c r="J612" s="421" t="s">
        <v>5</v>
      </c>
      <c r="K612" s="421" t="s">
        <v>5</v>
      </c>
      <c r="L612" s="421" t="s">
        <v>5</v>
      </c>
      <c r="M612" s="759" t="s">
        <v>5</v>
      </c>
      <c r="N612" s="760" t="s">
        <v>9265</v>
      </c>
      <c r="O612" s="759" t="s">
        <v>5</v>
      </c>
      <c r="P612" s="421" t="s">
        <v>11802</v>
      </c>
      <c r="Q612" s="757"/>
      <c r="R612" s="757"/>
      <c r="S612" s="757"/>
      <c r="T612" s="757"/>
      <c r="U612" s="757"/>
      <c r="V612" s="757"/>
      <c r="W612" s="757"/>
      <c r="X612" s="757"/>
      <c r="Y612" s="757"/>
      <c r="Z612" s="757"/>
    </row>
    <row r="613" ht="12.75" customHeight="1">
      <c r="A613" s="758">
        <v>611.0</v>
      </c>
      <c r="B613" s="421" t="s">
        <v>12410</v>
      </c>
      <c r="C613" s="421" t="s">
        <v>3361</v>
      </c>
      <c r="D613" s="421" t="s">
        <v>325</v>
      </c>
      <c r="E613" s="421" t="s">
        <v>13072</v>
      </c>
      <c r="F613" s="421" t="s">
        <v>11844</v>
      </c>
      <c r="G613" s="421" t="s">
        <v>5</v>
      </c>
      <c r="H613" s="421" t="s">
        <v>5</v>
      </c>
      <c r="I613" s="421" t="s">
        <v>11969</v>
      </c>
      <c r="J613" s="421" t="s">
        <v>5</v>
      </c>
      <c r="K613" s="421" t="s">
        <v>5</v>
      </c>
      <c r="L613" s="421" t="s">
        <v>5</v>
      </c>
      <c r="M613" s="759" t="s">
        <v>5</v>
      </c>
      <c r="N613" s="760" t="s">
        <v>9265</v>
      </c>
      <c r="O613" s="759" t="s">
        <v>5</v>
      </c>
      <c r="P613" s="421" t="s">
        <v>11802</v>
      </c>
      <c r="Q613" s="757"/>
      <c r="R613" s="757"/>
      <c r="S613" s="757"/>
      <c r="T613" s="757"/>
      <c r="U613" s="757"/>
      <c r="V613" s="757"/>
      <c r="W613" s="757"/>
      <c r="X613" s="757"/>
      <c r="Y613" s="757"/>
      <c r="Z613" s="757"/>
    </row>
    <row r="614" ht="12.75" customHeight="1">
      <c r="A614" s="758">
        <v>612.0</v>
      </c>
      <c r="B614" s="421" t="s">
        <v>12411</v>
      </c>
      <c r="C614" s="421" t="s">
        <v>3407</v>
      </c>
      <c r="D614" s="421" t="s">
        <v>2761</v>
      </c>
      <c r="E614" s="421" t="s">
        <v>13045</v>
      </c>
      <c r="F614" s="421" t="s">
        <v>11854</v>
      </c>
      <c r="G614" s="421" t="s">
        <v>5</v>
      </c>
      <c r="H614" s="421" t="s">
        <v>5</v>
      </c>
      <c r="I614" s="421" t="s">
        <v>11969</v>
      </c>
      <c r="J614" s="421" t="s">
        <v>5</v>
      </c>
      <c r="K614" s="421" t="s">
        <v>5</v>
      </c>
      <c r="L614" s="421" t="s">
        <v>5</v>
      </c>
      <c r="M614" s="759" t="s">
        <v>5</v>
      </c>
      <c r="N614" s="760" t="s">
        <v>9265</v>
      </c>
      <c r="O614" s="759" t="s">
        <v>5</v>
      </c>
      <c r="P614" s="421" t="s">
        <v>11802</v>
      </c>
      <c r="Q614" s="757"/>
      <c r="R614" s="757"/>
      <c r="S614" s="757"/>
      <c r="T614" s="757"/>
      <c r="U614" s="757"/>
      <c r="V614" s="757"/>
      <c r="W614" s="757"/>
      <c r="X614" s="757"/>
      <c r="Y614" s="757"/>
      <c r="Z614" s="757"/>
    </row>
    <row r="615" ht="12.75" customHeight="1">
      <c r="A615" s="758">
        <v>613.0</v>
      </c>
      <c r="B615" s="421" t="s">
        <v>12412</v>
      </c>
      <c r="C615" s="421" t="s">
        <v>2762</v>
      </c>
      <c r="D615" s="421" t="s">
        <v>2761</v>
      </c>
      <c r="E615" s="421" t="s">
        <v>13046</v>
      </c>
      <c r="F615" s="421" t="s">
        <v>11854</v>
      </c>
      <c r="G615" s="421" t="s">
        <v>5</v>
      </c>
      <c r="H615" s="421" t="s">
        <v>5</v>
      </c>
      <c r="I615" s="421" t="s">
        <v>11969</v>
      </c>
      <c r="J615" s="421" t="s">
        <v>5</v>
      </c>
      <c r="K615" s="421" t="s">
        <v>5</v>
      </c>
      <c r="L615" s="421" t="s">
        <v>5</v>
      </c>
      <c r="M615" s="759" t="s">
        <v>5</v>
      </c>
      <c r="N615" s="760" t="s">
        <v>9265</v>
      </c>
      <c r="O615" s="759" t="s">
        <v>5</v>
      </c>
      <c r="P615" s="421" t="s">
        <v>11802</v>
      </c>
      <c r="Q615" s="757"/>
      <c r="R615" s="757"/>
      <c r="S615" s="757"/>
      <c r="T615" s="757"/>
      <c r="U615" s="757"/>
      <c r="V615" s="757"/>
      <c r="W615" s="757"/>
      <c r="X615" s="757"/>
      <c r="Y615" s="757"/>
      <c r="Z615" s="757"/>
    </row>
    <row r="616" ht="12.75" customHeight="1">
      <c r="A616" s="758">
        <v>614.0</v>
      </c>
      <c r="B616" s="421" t="s">
        <v>12413</v>
      </c>
      <c r="C616" s="421" t="s">
        <v>7434</v>
      </c>
      <c r="D616" s="421" t="s">
        <v>325</v>
      </c>
      <c r="E616" s="421" t="s">
        <v>13047</v>
      </c>
      <c r="F616" s="421" t="s">
        <v>11844</v>
      </c>
      <c r="G616" s="421" t="s">
        <v>5</v>
      </c>
      <c r="H616" s="421" t="s">
        <v>5</v>
      </c>
      <c r="I616" s="421" t="s">
        <v>5</v>
      </c>
      <c r="J616" s="421" t="s">
        <v>5</v>
      </c>
      <c r="K616" s="421" t="s">
        <v>5</v>
      </c>
      <c r="L616" s="421" t="s">
        <v>5</v>
      </c>
      <c r="M616" s="759" t="s">
        <v>5</v>
      </c>
      <c r="N616" s="760" t="s">
        <v>9265</v>
      </c>
      <c r="O616" s="759" t="s">
        <v>5</v>
      </c>
      <c r="P616" s="421" t="s">
        <v>11802</v>
      </c>
      <c r="Q616" s="757"/>
      <c r="R616" s="757"/>
      <c r="S616" s="757"/>
      <c r="T616" s="757"/>
      <c r="U616" s="757"/>
      <c r="V616" s="757"/>
      <c r="W616" s="757"/>
      <c r="X616" s="757"/>
      <c r="Y616" s="757"/>
      <c r="Z616" s="757"/>
    </row>
    <row r="617" ht="12.75" customHeight="1">
      <c r="A617" s="758">
        <v>615.0</v>
      </c>
      <c r="B617" s="421" t="s">
        <v>12414</v>
      </c>
      <c r="C617" s="421" t="s">
        <v>2755</v>
      </c>
      <c r="D617" s="421" t="s">
        <v>326</v>
      </c>
      <c r="E617" s="421" t="s">
        <v>13048</v>
      </c>
      <c r="F617" s="421" t="s">
        <v>11851</v>
      </c>
      <c r="G617" s="421" t="s">
        <v>5</v>
      </c>
      <c r="H617" s="421" t="s">
        <v>5</v>
      </c>
      <c r="I617" s="421" t="s">
        <v>5</v>
      </c>
      <c r="J617" s="421" t="s">
        <v>5</v>
      </c>
      <c r="K617" s="421" t="s">
        <v>5</v>
      </c>
      <c r="L617" s="421" t="s">
        <v>5</v>
      </c>
      <c r="M617" s="759" t="s">
        <v>5</v>
      </c>
      <c r="N617" s="760" t="s">
        <v>9265</v>
      </c>
      <c r="O617" s="759" t="s">
        <v>5</v>
      </c>
      <c r="P617" s="421" t="s">
        <v>11802</v>
      </c>
      <c r="Q617" s="757"/>
      <c r="R617" s="757"/>
      <c r="S617" s="757"/>
      <c r="T617" s="757"/>
      <c r="U617" s="757"/>
      <c r="V617" s="757"/>
      <c r="W617" s="757"/>
      <c r="X617" s="757"/>
      <c r="Y617" s="757"/>
      <c r="Z617" s="757"/>
    </row>
    <row r="618" ht="12.75" customHeight="1">
      <c r="A618" s="758">
        <v>616.0</v>
      </c>
      <c r="B618" s="421" t="s">
        <v>12415</v>
      </c>
      <c r="C618" s="421" t="s">
        <v>327</v>
      </c>
      <c r="D618" s="421" t="s">
        <v>326</v>
      </c>
      <c r="E618" s="421" t="s">
        <v>13049</v>
      </c>
      <c r="F618" s="421" t="s">
        <v>11851</v>
      </c>
      <c r="G618" s="421" t="s">
        <v>5</v>
      </c>
      <c r="H618" s="421" t="s">
        <v>5</v>
      </c>
      <c r="I618" s="421" t="s">
        <v>5</v>
      </c>
      <c r="J618" s="421" t="s">
        <v>5</v>
      </c>
      <c r="K618" s="421" t="s">
        <v>5</v>
      </c>
      <c r="L618" s="421" t="s">
        <v>5</v>
      </c>
      <c r="M618" s="759" t="s">
        <v>5</v>
      </c>
      <c r="N618" s="760" t="s">
        <v>9265</v>
      </c>
      <c r="O618" s="759" t="s">
        <v>5</v>
      </c>
      <c r="P618" s="421" t="s">
        <v>11802</v>
      </c>
      <c r="Q618" s="757"/>
      <c r="R618" s="757"/>
      <c r="S618" s="757"/>
      <c r="T618" s="757"/>
      <c r="U618" s="757"/>
      <c r="V618" s="757"/>
      <c r="W618" s="757"/>
      <c r="X618" s="757"/>
      <c r="Y618" s="757"/>
      <c r="Z618" s="757"/>
    </row>
    <row r="619" ht="12.75" customHeight="1">
      <c r="A619" s="758">
        <v>617.0</v>
      </c>
      <c r="B619" s="421" t="s">
        <v>12416</v>
      </c>
      <c r="C619" s="421" t="s">
        <v>12417</v>
      </c>
      <c r="D619" s="421" t="s">
        <v>326</v>
      </c>
      <c r="E619" s="421" t="s">
        <v>13050</v>
      </c>
      <c r="F619" s="421" t="s">
        <v>11851</v>
      </c>
      <c r="G619" s="421" t="s">
        <v>5</v>
      </c>
      <c r="H619" s="421" t="s">
        <v>5</v>
      </c>
      <c r="I619" s="421" t="s">
        <v>5</v>
      </c>
      <c r="J619" s="421" t="s">
        <v>5</v>
      </c>
      <c r="K619" s="421" t="s">
        <v>5</v>
      </c>
      <c r="L619" s="421" t="s">
        <v>5</v>
      </c>
      <c r="M619" s="759" t="s">
        <v>5</v>
      </c>
      <c r="N619" s="760" t="s">
        <v>9265</v>
      </c>
      <c r="O619" s="759" t="s">
        <v>5</v>
      </c>
      <c r="P619" s="421" t="s">
        <v>11802</v>
      </c>
      <c r="Q619" s="757"/>
      <c r="R619" s="757"/>
      <c r="S619" s="757"/>
      <c r="T619" s="757"/>
      <c r="U619" s="757"/>
      <c r="V619" s="757"/>
      <c r="W619" s="757"/>
      <c r="X619" s="757"/>
      <c r="Y619" s="757"/>
      <c r="Z619" s="757"/>
    </row>
    <row r="620" ht="12.75" customHeight="1">
      <c r="A620" s="758">
        <v>618.0</v>
      </c>
      <c r="B620" s="421" t="s">
        <v>12418</v>
      </c>
      <c r="C620" s="421" t="s">
        <v>3639</v>
      </c>
      <c r="D620" s="421" t="s">
        <v>326</v>
      </c>
      <c r="E620" s="421" t="s">
        <v>13076</v>
      </c>
      <c r="F620" s="421" t="s">
        <v>11851</v>
      </c>
      <c r="G620" s="421" t="s">
        <v>5</v>
      </c>
      <c r="H620" s="421" t="s">
        <v>5</v>
      </c>
      <c r="I620" s="421" t="s">
        <v>5</v>
      </c>
      <c r="J620" s="421" t="s">
        <v>5</v>
      </c>
      <c r="K620" s="421" t="s">
        <v>5</v>
      </c>
      <c r="L620" s="421" t="s">
        <v>5</v>
      </c>
      <c r="M620" s="759" t="s">
        <v>5</v>
      </c>
      <c r="N620" s="760" t="s">
        <v>9265</v>
      </c>
      <c r="O620" s="759" t="s">
        <v>5</v>
      </c>
      <c r="P620" s="421" t="s">
        <v>11802</v>
      </c>
      <c r="Q620" s="757"/>
      <c r="R620" s="757"/>
      <c r="S620" s="757"/>
      <c r="T620" s="757"/>
      <c r="U620" s="757"/>
      <c r="V620" s="757"/>
      <c r="W620" s="757"/>
      <c r="X620" s="757"/>
      <c r="Y620" s="757"/>
      <c r="Z620" s="757"/>
    </row>
    <row r="621" ht="12.75" customHeight="1">
      <c r="A621" s="758">
        <v>619.0</v>
      </c>
      <c r="B621" s="421" t="s">
        <v>12419</v>
      </c>
      <c r="C621" s="421" t="s">
        <v>12421</v>
      </c>
      <c r="D621" s="421" t="s">
        <v>326</v>
      </c>
      <c r="E621" s="421" t="s">
        <v>13077</v>
      </c>
      <c r="F621" s="421" t="s">
        <v>11851</v>
      </c>
      <c r="G621" s="421" t="s">
        <v>5</v>
      </c>
      <c r="H621" s="421" t="s">
        <v>5</v>
      </c>
      <c r="I621" s="421" t="s">
        <v>5</v>
      </c>
      <c r="J621" s="421" t="s">
        <v>5</v>
      </c>
      <c r="K621" s="421" t="s">
        <v>5</v>
      </c>
      <c r="L621" s="421" t="s">
        <v>5</v>
      </c>
      <c r="M621" s="759" t="s">
        <v>5</v>
      </c>
      <c r="N621" s="760" t="s">
        <v>9265</v>
      </c>
      <c r="O621" s="759" t="s">
        <v>5</v>
      </c>
      <c r="P621" s="421" t="s">
        <v>11802</v>
      </c>
      <c r="Q621" s="757"/>
      <c r="R621" s="757"/>
      <c r="S621" s="757"/>
      <c r="T621" s="757"/>
      <c r="U621" s="757"/>
      <c r="V621" s="757"/>
      <c r="W621" s="757"/>
      <c r="X621" s="757"/>
      <c r="Y621" s="757"/>
      <c r="Z621" s="757"/>
    </row>
    <row r="622" ht="12.75" customHeight="1">
      <c r="A622" s="758">
        <v>620.0</v>
      </c>
      <c r="B622" s="421" t="s">
        <v>12422</v>
      </c>
      <c r="C622" s="421" t="s">
        <v>12423</v>
      </c>
      <c r="D622" s="421" t="s">
        <v>326</v>
      </c>
      <c r="E622" s="421" t="s">
        <v>13053</v>
      </c>
      <c r="F622" s="421" t="s">
        <v>11854</v>
      </c>
      <c r="G622" s="421" t="s">
        <v>5</v>
      </c>
      <c r="H622" s="421" t="s">
        <v>5</v>
      </c>
      <c r="I622" s="421" t="s">
        <v>11969</v>
      </c>
      <c r="J622" s="421" t="s">
        <v>5</v>
      </c>
      <c r="K622" s="421" t="s">
        <v>5</v>
      </c>
      <c r="L622" s="421" t="s">
        <v>5</v>
      </c>
      <c r="M622" s="759" t="s">
        <v>5</v>
      </c>
      <c r="N622" s="760" t="s">
        <v>9265</v>
      </c>
      <c r="O622" s="759" t="s">
        <v>5</v>
      </c>
      <c r="P622" s="421" t="s">
        <v>11802</v>
      </c>
      <c r="Q622" s="757"/>
      <c r="R622" s="757"/>
      <c r="S622" s="757"/>
      <c r="T622" s="757"/>
      <c r="U622" s="757"/>
      <c r="V622" s="757"/>
      <c r="W622" s="757"/>
      <c r="X622" s="757"/>
      <c r="Y622" s="757"/>
      <c r="Z622" s="757"/>
    </row>
    <row r="623" ht="12.75" customHeight="1">
      <c r="A623" s="758">
        <v>621.0</v>
      </c>
      <c r="B623" s="421" t="s">
        <v>12424</v>
      </c>
      <c r="C623" s="421" t="s">
        <v>2777</v>
      </c>
      <c r="D623" s="421" t="s">
        <v>325</v>
      </c>
      <c r="E623" s="421" t="s">
        <v>13054</v>
      </c>
      <c r="F623" s="421" t="s">
        <v>11851</v>
      </c>
      <c r="G623" s="421" t="s">
        <v>5</v>
      </c>
      <c r="H623" s="421" t="s">
        <v>5</v>
      </c>
      <c r="I623" s="421" t="s">
        <v>5</v>
      </c>
      <c r="J623" s="421" t="s">
        <v>5</v>
      </c>
      <c r="K623" s="421" t="s">
        <v>5</v>
      </c>
      <c r="L623" s="421" t="s">
        <v>5</v>
      </c>
      <c r="M623" s="759" t="s">
        <v>5</v>
      </c>
      <c r="N623" s="760" t="s">
        <v>9265</v>
      </c>
      <c r="O623" s="759" t="s">
        <v>5</v>
      </c>
      <c r="P623" s="421" t="s">
        <v>11802</v>
      </c>
      <c r="Q623" s="757"/>
      <c r="R623" s="757"/>
      <c r="S623" s="757"/>
      <c r="T623" s="757"/>
      <c r="U623" s="757"/>
      <c r="V623" s="757"/>
      <c r="W623" s="757"/>
      <c r="X623" s="757"/>
      <c r="Y623" s="757"/>
      <c r="Z623" s="757"/>
    </row>
    <row r="624" ht="12.75" customHeight="1">
      <c r="A624" s="758">
        <v>622.0</v>
      </c>
      <c r="B624" s="421" t="s">
        <v>12425</v>
      </c>
      <c r="C624" s="421" t="s">
        <v>2787</v>
      </c>
      <c r="D624" s="421" t="s">
        <v>153</v>
      </c>
      <c r="E624" s="421" t="s">
        <v>13034</v>
      </c>
      <c r="F624" s="421" t="s">
        <v>11851</v>
      </c>
      <c r="G624" s="421" t="s">
        <v>5</v>
      </c>
      <c r="H624" s="421" t="s">
        <v>5</v>
      </c>
      <c r="I624" s="421" t="s">
        <v>5</v>
      </c>
      <c r="J624" s="421" t="s">
        <v>5</v>
      </c>
      <c r="K624" s="421" t="s">
        <v>5</v>
      </c>
      <c r="L624" s="421" t="s">
        <v>5</v>
      </c>
      <c r="M624" s="759" t="s">
        <v>5</v>
      </c>
      <c r="N624" s="760" t="s">
        <v>9265</v>
      </c>
      <c r="O624" s="759" t="s">
        <v>5</v>
      </c>
      <c r="P624" s="421" t="s">
        <v>11802</v>
      </c>
      <c r="Q624" s="757"/>
      <c r="R624" s="757"/>
      <c r="S624" s="757"/>
      <c r="T624" s="757"/>
      <c r="U624" s="757"/>
      <c r="V624" s="757"/>
      <c r="W624" s="757"/>
      <c r="X624" s="757"/>
      <c r="Y624" s="757"/>
      <c r="Z624" s="757"/>
    </row>
    <row r="625" ht="12.75" customHeight="1">
      <c r="A625" s="758">
        <v>623.0</v>
      </c>
      <c r="B625" s="421" t="s">
        <v>12426</v>
      </c>
      <c r="C625" s="421" t="s">
        <v>2782</v>
      </c>
      <c r="D625" s="421" t="s">
        <v>153</v>
      </c>
      <c r="E625" s="421" t="s">
        <v>13055</v>
      </c>
      <c r="F625" s="421" t="s">
        <v>11851</v>
      </c>
      <c r="G625" s="421" t="s">
        <v>5</v>
      </c>
      <c r="H625" s="421" t="s">
        <v>5</v>
      </c>
      <c r="I625" s="421" t="s">
        <v>5</v>
      </c>
      <c r="J625" s="421" t="s">
        <v>5</v>
      </c>
      <c r="K625" s="421" t="s">
        <v>5</v>
      </c>
      <c r="L625" s="421" t="s">
        <v>5</v>
      </c>
      <c r="M625" s="759" t="s">
        <v>5</v>
      </c>
      <c r="N625" s="760" t="s">
        <v>9265</v>
      </c>
      <c r="O625" s="759" t="s">
        <v>5</v>
      </c>
      <c r="P625" s="421" t="s">
        <v>11802</v>
      </c>
      <c r="Q625" s="757"/>
      <c r="R625" s="757"/>
      <c r="S625" s="757"/>
      <c r="T625" s="757"/>
      <c r="U625" s="757"/>
      <c r="V625" s="757"/>
      <c r="W625" s="757"/>
      <c r="X625" s="757"/>
      <c r="Y625" s="757"/>
      <c r="Z625" s="757"/>
    </row>
    <row r="626" ht="12.75" customHeight="1">
      <c r="A626" s="758">
        <v>624.0</v>
      </c>
      <c r="B626" s="421" t="s">
        <v>12427</v>
      </c>
      <c r="C626" s="421" t="s">
        <v>12428</v>
      </c>
      <c r="D626" s="421" t="s">
        <v>153</v>
      </c>
      <c r="E626" s="421" t="s">
        <v>13056</v>
      </c>
      <c r="F626" s="421" t="s">
        <v>11851</v>
      </c>
      <c r="G626" s="421" t="s">
        <v>5</v>
      </c>
      <c r="H626" s="421" t="s">
        <v>5</v>
      </c>
      <c r="I626" s="421" t="s">
        <v>5</v>
      </c>
      <c r="J626" s="421" t="s">
        <v>5</v>
      </c>
      <c r="K626" s="421" t="s">
        <v>5</v>
      </c>
      <c r="L626" s="421" t="s">
        <v>5</v>
      </c>
      <c r="M626" s="759" t="s">
        <v>5</v>
      </c>
      <c r="N626" s="760" t="s">
        <v>9265</v>
      </c>
      <c r="O626" s="759" t="s">
        <v>5</v>
      </c>
      <c r="P626" s="421" t="s">
        <v>11802</v>
      </c>
      <c r="Q626" s="757"/>
      <c r="R626" s="757"/>
      <c r="S626" s="757"/>
      <c r="T626" s="757"/>
      <c r="U626" s="757"/>
      <c r="V626" s="757"/>
      <c r="W626" s="757"/>
      <c r="X626" s="757"/>
      <c r="Y626" s="757"/>
      <c r="Z626" s="757"/>
    </row>
    <row r="627" ht="12.75" customHeight="1">
      <c r="A627" s="758">
        <v>625.0</v>
      </c>
      <c r="B627" s="421" t="s">
        <v>12429</v>
      </c>
      <c r="C627" s="421" t="s">
        <v>12430</v>
      </c>
      <c r="D627" s="421" t="s">
        <v>325</v>
      </c>
      <c r="E627" s="421" t="s">
        <v>13057</v>
      </c>
      <c r="F627" s="421" t="s">
        <v>11851</v>
      </c>
      <c r="G627" s="421" t="s">
        <v>5</v>
      </c>
      <c r="H627" s="421" t="s">
        <v>5</v>
      </c>
      <c r="I627" s="421" t="s">
        <v>5</v>
      </c>
      <c r="J627" s="421" t="s">
        <v>5</v>
      </c>
      <c r="K627" s="421" t="s">
        <v>5</v>
      </c>
      <c r="L627" s="421" t="s">
        <v>5</v>
      </c>
      <c r="M627" s="759" t="s">
        <v>5</v>
      </c>
      <c r="N627" s="760" t="s">
        <v>9265</v>
      </c>
      <c r="O627" s="759" t="s">
        <v>5</v>
      </c>
      <c r="P627" s="421" t="s">
        <v>11802</v>
      </c>
      <c r="Q627" s="757"/>
      <c r="R627" s="757"/>
      <c r="S627" s="757"/>
      <c r="T627" s="757"/>
      <c r="U627" s="757"/>
      <c r="V627" s="757"/>
      <c r="W627" s="757"/>
      <c r="X627" s="757"/>
      <c r="Y627" s="757"/>
      <c r="Z627" s="757"/>
    </row>
    <row r="628" ht="12.75" customHeight="1">
      <c r="A628" s="758">
        <v>626.0</v>
      </c>
      <c r="B628" s="421" t="s">
        <v>12431</v>
      </c>
      <c r="C628" s="421" t="s">
        <v>12432</v>
      </c>
      <c r="D628" s="421" t="s">
        <v>12343</v>
      </c>
      <c r="E628" s="421" t="s">
        <v>13058</v>
      </c>
      <c r="F628" s="421" t="s">
        <v>11851</v>
      </c>
      <c r="G628" s="421" t="s">
        <v>5</v>
      </c>
      <c r="H628" s="421" t="s">
        <v>5</v>
      </c>
      <c r="I628" s="421" t="s">
        <v>5</v>
      </c>
      <c r="J628" s="421" t="s">
        <v>5</v>
      </c>
      <c r="K628" s="421" t="s">
        <v>5</v>
      </c>
      <c r="L628" s="421" t="s">
        <v>5</v>
      </c>
      <c r="M628" s="759" t="s">
        <v>5</v>
      </c>
      <c r="N628" s="760" t="s">
        <v>9265</v>
      </c>
      <c r="O628" s="759" t="s">
        <v>5</v>
      </c>
      <c r="P628" s="421" t="s">
        <v>11802</v>
      </c>
      <c r="Q628" s="757"/>
      <c r="R628" s="757"/>
      <c r="S628" s="757"/>
      <c r="T628" s="757"/>
      <c r="U628" s="757"/>
      <c r="V628" s="757"/>
      <c r="W628" s="757"/>
      <c r="X628" s="757"/>
      <c r="Y628" s="757"/>
      <c r="Z628" s="757"/>
    </row>
    <row r="629" ht="12.75" customHeight="1">
      <c r="A629" s="758">
        <v>627.0</v>
      </c>
      <c r="B629" s="421" t="s">
        <v>12433</v>
      </c>
      <c r="C629" s="421" t="s">
        <v>12434</v>
      </c>
      <c r="D629" s="421" t="s">
        <v>12343</v>
      </c>
      <c r="E629" s="421" t="s">
        <v>13059</v>
      </c>
      <c r="F629" s="421" t="s">
        <v>11851</v>
      </c>
      <c r="G629" s="421" t="s">
        <v>5</v>
      </c>
      <c r="H629" s="421" t="s">
        <v>5</v>
      </c>
      <c r="I629" s="421" t="s">
        <v>5</v>
      </c>
      <c r="J629" s="421" t="s">
        <v>5</v>
      </c>
      <c r="K629" s="421" t="s">
        <v>5</v>
      </c>
      <c r="L629" s="421" t="s">
        <v>5</v>
      </c>
      <c r="M629" s="759" t="s">
        <v>5</v>
      </c>
      <c r="N629" s="760" t="s">
        <v>9265</v>
      </c>
      <c r="O629" s="759" t="s">
        <v>5</v>
      </c>
      <c r="P629" s="421" t="s">
        <v>11802</v>
      </c>
      <c r="Q629" s="757"/>
      <c r="R629" s="757"/>
      <c r="S629" s="757"/>
      <c r="T629" s="757"/>
      <c r="U629" s="757"/>
      <c r="V629" s="757"/>
      <c r="W629" s="757"/>
      <c r="X629" s="757"/>
      <c r="Y629" s="757"/>
      <c r="Z629" s="757"/>
    </row>
    <row r="630" ht="12.75" customHeight="1">
      <c r="A630" s="758">
        <v>628.0</v>
      </c>
      <c r="B630" s="421" t="s">
        <v>12435</v>
      </c>
      <c r="C630" s="421" t="s">
        <v>12436</v>
      </c>
      <c r="D630" s="421" t="s">
        <v>12343</v>
      </c>
      <c r="E630" s="421" t="s">
        <v>13060</v>
      </c>
      <c r="F630" s="421" t="s">
        <v>11851</v>
      </c>
      <c r="G630" s="421" t="s">
        <v>5</v>
      </c>
      <c r="H630" s="421" t="s">
        <v>5</v>
      </c>
      <c r="I630" s="421" t="s">
        <v>5</v>
      </c>
      <c r="J630" s="421" t="s">
        <v>5</v>
      </c>
      <c r="K630" s="421" t="s">
        <v>5</v>
      </c>
      <c r="L630" s="421" t="s">
        <v>5</v>
      </c>
      <c r="M630" s="759" t="s">
        <v>5</v>
      </c>
      <c r="N630" s="760" t="s">
        <v>9265</v>
      </c>
      <c r="O630" s="759" t="s">
        <v>5</v>
      </c>
      <c r="P630" s="421" t="s">
        <v>11802</v>
      </c>
      <c r="Q630" s="757"/>
      <c r="R630" s="757"/>
      <c r="S630" s="757"/>
      <c r="T630" s="757"/>
      <c r="U630" s="757"/>
      <c r="V630" s="757"/>
      <c r="W630" s="757"/>
      <c r="X630" s="757"/>
      <c r="Y630" s="757"/>
      <c r="Z630" s="757"/>
    </row>
    <row r="631" ht="12.75" customHeight="1">
      <c r="A631" s="758">
        <v>629.0</v>
      </c>
      <c r="B631" s="421" t="s">
        <v>12437</v>
      </c>
      <c r="C631" s="421" t="s">
        <v>7565</v>
      </c>
      <c r="D631" s="421" t="s">
        <v>325</v>
      </c>
      <c r="E631" s="421" t="s">
        <v>12794</v>
      </c>
      <c r="F631" s="421" t="s">
        <v>11844</v>
      </c>
      <c r="G631" s="421" t="s">
        <v>5</v>
      </c>
      <c r="H631" s="421" t="s">
        <v>5</v>
      </c>
      <c r="I631" s="421" t="s">
        <v>11969</v>
      </c>
      <c r="J631" s="421" t="s">
        <v>5</v>
      </c>
      <c r="K631" s="421" t="s">
        <v>5</v>
      </c>
      <c r="L631" s="421" t="s">
        <v>5</v>
      </c>
      <c r="M631" s="759" t="s">
        <v>5</v>
      </c>
      <c r="N631" s="760" t="s">
        <v>9265</v>
      </c>
      <c r="O631" s="759" t="s">
        <v>5</v>
      </c>
      <c r="P631" s="421" t="s">
        <v>11802</v>
      </c>
      <c r="Q631" s="757"/>
      <c r="R631" s="757"/>
      <c r="S631" s="757"/>
      <c r="T631" s="757"/>
      <c r="U631" s="757"/>
      <c r="V631" s="757"/>
      <c r="W631" s="757"/>
      <c r="X631" s="757"/>
      <c r="Y631" s="757"/>
      <c r="Z631" s="757"/>
    </row>
    <row r="632" ht="12.75" customHeight="1">
      <c r="A632" s="758">
        <v>630.0</v>
      </c>
      <c r="B632" s="421" t="s">
        <v>12438</v>
      </c>
      <c r="C632" s="421" t="s">
        <v>9621</v>
      </c>
      <c r="D632" s="421" t="s">
        <v>325</v>
      </c>
      <c r="E632" s="421" t="s">
        <v>13061</v>
      </c>
      <c r="F632" s="421" t="s">
        <v>11844</v>
      </c>
      <c r="G632" s="421" t="s">
        <v>12439</v>
      </c>
      <c r="H632" s="421" t="s">
        <v>5</v>
      </c>
      <c r="I632" s="421" t="s">
        <v>5</v>
      </c>
      <c r="J632" s="421" t="s">
        <v>5</v>
      </c>
      <c r="K632" s="421" t="s">
        <v>5</v>
      </c>
      <c r="L632" s="421" t="s">
        <v>5</v>
      </c>
      <c r="M632" s="759" t="s">
        <v>5</v>
      </c>
      <c r="N632" s="760" t="s">
        <v>9265</v>
      </c>
      <c r="O632" s="759" t="s">
        <v>5</v>
      </c>
      <c r="P632" s="421" t="s">
        <v>11802</v>
      </c>
      <c r="Q632" s="757"/>
      <c r="R632" s="757"/>
      <c r="S632" s="757"/>
      <c r="T632" s="757"/>
      <c r="U632" s="757"/>
      <c r="V632" s="757"/>
      <c r="W632" s="757"/>
      <c r="X632" s="757"/>
      <c r="Y632" s="757"/>
      <c r="Z632" s="757"/>
    </row>
    <row r="633" ht="12.75" customHeight="1">
      <c r="A633" s="758">
        <v>631.0</v>
      </c>
      <c r="B633" s="421" t="s">
        <v>12438</v>
      </c>
      <c r="C633" s="421" t="s">
        <v>7299</v>
      </c>
      <c r="D633" s="421" t="s">
        <v>2797</v>
      </c>
      <c r="E633" s="421" t="s">
        <v>13078</v>
      </c>
      <c r="F633" s="421" t="s">
        <v>11851</v>
      </c>
      <c r="G633" s="421" t="s">
        <v>5</v>
      </c>
      <c r="H633" s="421" t="s">
        <v>5</v>
      </c>
      <c r="I633" s="421" t="s">
        <v>5</v>
      </c>
      <c r="J633" s="421" t="s">
        <v>5</v>
      </c>
      <c r="K633" s="421" t="s">
        <v>5</v>
      </c>
      <c r="L633" s="421" t="s">
        <v>5</v>
      </c>
      <c r="M633" s="759" t="s">
        <v>5</v>
      </c>
      <c r="N633" s="760" t="s">
        <v>9265</v>
      </c>
      <c r="O633" s="759" t="s">
        <v>5</v>
      </c>
      <c r="P633" s="421" t="s">
        <v>11802</v>
      </c>
      <c r="Q633" s="757"/>
      <c r="R633" s="757"/>
      <c r="S633" s="757"/>
      <c r="T633" s="757"/>
      <c r="U633" s="757"/>
      <c r="V633" s="757"/>
      <c r="W633" s="757"/>
      <c r="X633" s="757"/>
      <c r="Y633" s="757"/>
      <c r="Z633" s="757"/>
    </row>
    <row r="634" ht="12.75" customHeight="1">
      <c r="A634" s="758">
        <v>632.0</v>
      </c>
      <c r="B634" s="421" t="s">
        <v>12438</v>
      </c>
      <c r="C634" s="421" t="s">
        <v>3589</v>
      </c>
      <c r="D634" s="421" t="s">
        <v>2797</v>
      </c>
      <c r="E634" s="421" t="s">
        <v>13079</v>
      </c>
      <c r="F634" s="421" t="s">
        <v>11851</v>
      </c>
      <c r="G634" s="421" t="s">
        <v>12440</v>
      </c>
      <c r="H634" s="421" t="s">
        <v>5</v>
      </c>
      <c r="I634" s="421" t="s">
        <v>5</v>
      </c>
      <c r="J634" s="421" t="s">
        <v>5</v>
      </c>
      <c r="K634" s="421" t="s">
        <v>5</v>
      </c>
      <c r="L634" s="421" t="s">
        <v>5</v>
      </c>
      <c r="M634" s="759" t="s">
        <v>5</v>
      </c>
      <c r="N634" s="760" t="s">
        <v>9265</v>
      </c>
      <c r="O634" s="759" t="s">
        <v>5</v>
      </c>
      <c r="P634" s="421" t="s">
        <v>11802</v>
      </c>
      <c r="Q634" s="757"/>
      <c r="R634" s="757"/>
      <c r="S634" s="757"/>
      <c r="T634" s="757"/>
      <c r="U634" s="757"/>
      <c r="V634" s="757"/>
      <c r="W634" s="757"/>
      <c r="X634" s="757"/>
      <c r="Y634" s="757"/>
      <c r="Z634" s="757"/>
    </row>
    <row r="635" ht="12.75" customHeight="1">
      <c r="A635" s="758">
        <v>633.0</v>
      </c>
      <c r="B635" s="421" t="s">
        <v>12441</v>
      </c>
      <c r="C635" s="421" t="s">
        <v>12442</v>
      </c>
      <c r="D635" s="421" t="s">
        <v>325</v>
      </c>
      <c r="E635" s="421" t="s">
        <v>13064</v>
      </c>
      <c r="F635" s="421" t="s">
        <v>11844</v>
      </c>
      <c r="G635" s="421" t="s">
        <v>5</v>
      </c>
      <c r="H635" s="421" t="s">
        <v>5</v>
      </c>
      <c r="I635" s="421" t="s">
        <v>11969</v>
      </c>
      <c r="J635" s="421" t="s">
        <v>5</v>
      </c>
      <c r="K635" s="421" t="s">
        <v>5</v>
      </c>
      <c r="L635" s="421" t="s">
        <v>5</v>
      </c>
      <c r="M635" s="759" t="s">
        <v>5</v>
      </c>
      <c r="N635" s="760" t="s">
        <v>9265</v>
      </c>
      <c r="O635" s="759" t="s">
        <v>5</v>
      </c>
      <c r="P635" s="421" t="s">
        <v>11802</v>
      </c>
      <c r="Q635" s="757"/>
      <c r="R635" s="757"/>
      <c r="S635" s="757"/>
      <c r="T635" s="757"/>
      <c r="U635" s="757"/>
      <c r="V635" s="757"/>
      <c r="W635" s="757"/>
      <c r="X635" s="757"/>
      <c r="Y635" s="757"/>
      <c r="Z635" s="757"/>
    </row>
    <row r="636" ht="12.75" customHeight="1">
      <c r="A636" s="758">
        <v>634.0</v>
      </c>
      <c r="B636" s="421" t="s">
        <v>12443</v>
      </c>
      <c r="C636" s="421" t="s">
        <v>2792</v>
      </c>
      <c r="D636" s="421" t="s">
        <v>325</v>
      </c>
      <c r="E636" s="421" t="s">
        <v>13073</v>
      </c>
      <c r="F636" s="421" t="s">
        <v>11854</v>
      </c>
      <c r="G636" s="421" t="s">
        <v>5</v>
      </c>
      <c r="H636" s="421" t="s">
        <v>5</v>
      </c>
      <c r="I636" s="421" t="s">
        <v>11969</v>
      </c>
      <c r="J636" s="421" t="s">
        <v>5</v>
      </c>
      <c r="K636" s="421" t="s">
        <v>5</v>
      </c>
      <c r="L636" s="421" t="s">
        <v>5</v>
      </c>
      <c r="M636" s="759" t="s">
        <v>5</v>
      </c>
      <c r="N636" s="760" t="s">
        <v>9265</v>
      </c>
      <c r="O636" s="759" t="s">
        <v>5</v>
      </c>
      <c r="P636" s="421" t="s">
        <v>11802</v>
      </c>
      <c r="Q636" s="757"/>
      <c r="R636" s="757"/>
      <c r="S636" s="757"/>
      <c r="T636" s="757"/>
      <c r="U636" s="757"/>
      <c r="V636" s="757"/>
      <c r="W636" s="757"/>
      <c r="X636" s="757"/>
      <c r="Y636" s="757"/>
      <c r="Z636" s="757"/>
    </row>
    <row r="637" ht="12.75" customHeight="1">
      <c r="A637" s="758">
        <v>635.0</v>
      </c>
      <c r="B637" s="421" t="s">
        <v>12444</v>
      </c>
      <c r="C637" s="421" t="s">
        <v>7631</v>
      </c>
      <c r="D637" s="421" t="s">
        <v>325</v>
      </c>
      <c r="E637" s="421" t="s">
        <v>13066</v>
      </c>
      <c r="F637" s="421" t="s">
        <v>11854</v>
      </c>
      <c r="G637" s="421" t="s">
        <v>5</v>
      </c>
      <c r="H637" s="421" t="s">
        <v>5</v>
      </c>
      <c r="I637" s="421" t="s">
        <v>11969</v>
      </c>
      <c r="J637" s="421" t="s">
        <v>5</v>
      </c>
      <c r="K637" s="421" t="s">
        <v>5</v>
      </c>
      <c r="L637" s="421" t="s">
        <v>5</v>
      </c>
      <c r="M637" s="759" t="s">
        <v>5</v>
      </c>
      <c r="N637" s="760" t="s">
        <v>9265</v>
      </c>
      <c r="O637" s="759" t="s">
        <v>5</v>
      </c>
      <c r="P637" s="421" t="s">
        <v>11802</v>
      </c>
      <c r="Q637" s="757"/>
      <c r="R637" s="757"/>
      <c r="S637" s="757"/>
      <c r="T637" s="757"/>
      <c r="U637" s="757"/>
      <c r="V637" s="757"/>
      <c r="W637" s="757"/>
      <c r="X637" s="757"/>
      <c r="Y637" s="757"/>
      <c r="Z637" s="757"/>
    </row>
    <row r="638" ht="12.75" customHeight="1">
      <c r="A638" s="758">
        <v>636.0</v>
      </c>
      <c r="B638" s="421" t="s">
        <v>11814</v>
      </c>
      <c r="C638" s="421" t="s">
        <v>12445</v>
      </c>
      <c r="D638" s="421" t="s">
        <v>10527</v>
      </c>
      <c r="E638" s="421" t="s">
        <v>13080</v>
      </c>
      <c r="F638" s="421" t="s">
        <v>11850</v>
      </c>
      <c r="G638" s="421" t="s">
        <v>5</v>
      </c>
      <c r="H638" s="421" t="s">
        <v>5</v>
      </c>
      <c r="I638" s="421" t="s">
        <v>5</v>
      </c>
      <c r="J638" s="421" t="s">
        <v>5</v>
      </c>
      <c r="K638" s="421" t="s">
        <v>5</v>
      </c>
      <c r="L638" s="421" t="s">
        <v>5</v>
      </c>
      <c r="M638" s="759" t="s">
        <v>5</v>
      </c>
      <c r="N638" s="760" t="s">
        <v>9265</v>
      </c>
      <c r="O638" s="759" t="s">
        <v>5</v>
      </c>
      <c r="P638" s="421" t="s">
        <v>11802</v>
      </c>
      <c r="Q638" s="757"/>
      <c r="R638" s="757"/>
      <c r="S638" s="757"/>
      <c r="T638" s="757"/>
      <c r="U638" s="757"/>
      <c r="V638" s="757"/>
      <c r="W638" s="757"/>
      <c r="X638" s="757"/>
      <c r="Y638" s="757"/>
      <c r="Z638" s="757"/>
    </row>
    <row r="639" ht="12.75" customHeight="1">
      <c r="A639" s="758">
        <v>637.0</v>
      </c>
      <c r="B639" s="421" t="s">
        <v>12446</v>
      </c>
      <c r="C639" s="421" t="s">
        <v>8494</v>
      </c>
      <c r="D639" s="421" t="s">
        <v>4727</v>
      </c>
      <c r="E639" s="421" t="s">
        <v>13081</v>
      </c>
      <c r="F639" s="421" t="s">
        <v>11844</v>
      </c>
      <c r="G639" s="421" t="s">
        <v>5</v>
      </c>
      <c r="H639" s="421" t="s">
        <v>5</v>
      </c>
      <c r="I639" s="421" t="s">
        <v>5</v>
      </c>
      <c r="J639" s="421" t="s">
        <v>5</v>
      </c>
      <c r="K639" s="421" t="s">
        <v>5</v>
      </c>
      <c r="L639" s="421" t="s">
        <v>5</v>
      </c>
      <c r="M639" s="759" t="s">
        <v>5</v>
      </c>
      <c r="N639" s="760" t="s">
        <v>9265</v>
      </c>
      <c r="O639" s="759" t="s">
        <v>5</v>
      </c>
      <c r="P639" s="421" t="s">
        <v>11802</v>
      </c>
      <c r="Q639" s="757"/>
      <c r="R639" s="757"/>
      <c r="S639" s="757"/>
      <c r="T639" s="757"/>
      <c r="U639" s="757"/>
      <c r="V639" s="757"/>
      <c r="W639" s="757"/>
      <c r="X639" s="757"/>
      <c r="Y639" s="757"/>
      <c r="Z639" s="757"/>
    </row>
    <row r="640" ht="12.75" customHeight="1">
      <c r="A640" s="758">
        <v>638.0</v>
      </c>
      <c r="B640" s="421" t="s">
        <v>12447</v>
      </c>
      <c r="C640" s="421" t="s">
        <v>11570</v>
      </c>
      <c r="D640" s="421" t="s">
        <v>4727</v>
      </c>
      <c r="E640" s="421" t="s">
        <v>13082</v>
      </c>
      <c r="F640" s="421" t="s">
        <v>11844</v>
      </c>
      <c r="G640" s="421" t="s">
        <v>5</v>
      </c>
      <c r="H640" s="421" t="s">
        <v>5</v>
      </c>
      <c r="I640" s="421" t="s">
        <v>5</v>
      </c>
      <c r="J640" s="421" t="s">
        <v>5</v>
      </c>
      <c r="K640" s="421" t="s">
        <v>5</v>
      </c>
      <c r="L640" s="421" t="s">
        <v>5</v>
      </c>
      <c r="M640" s="759" t="s">
        <v>5</v>
      </c>
      <c r="N640" s="760" t="s">
        <v>9265</v>
      </c>
      <c r="O640" s="759" t="s">
        <v>5</v>
      </c>
      <c r="P640" s="421" t="s">
        <v>11802</v>
      </c>
      <c r="Q640" s="757"/>
      <c r="R640" s="757"/>
      <c r="S640" s="757"/>
      <c r="T640" s="757"/>
      <c r="U640" s="757"/>
      <c r="V640" s="757"/>
      <c r="W640" s="757"/>
      <c r="X640" s="757"/>
      <c r="Y640" s="757"/>
      <c r="Z640" s="757"/>
    </row>
    <row r="641" ht="12.75" customHeight="1">
      <c r="A641" s="758">
        <v>639.0</v>
      </c>
      <c r="B641" s="421" t="s">
        <v>12449</v>
      </c>
      <c r="C641" s="421" t="s">
        <v>9463</v>
      </c>
      <c r="D641" s="421" t="s">
        <v>4727</v>
      </c>
      <c r="E641" s="421" t="s">
        <v>13083</v>
      </c>
      <c r="F641" s="421" t="s">
        <v>11844</v>
      </c>
      <c r="G641" s="421" t="s">
        <v>5</v>
      </c>
      <c r="H641" s="421" t="s">
        <v>5</v>
      </c>
      <c r="I641" s="421" t="s">
        <v>5</v>
      </c>
      <c r="J641" s="421" t="s">
        <v>5</v>
      </c>
      <c r="K641" s="421" t="s">
        <v>5</v>
      </c>
      <c r="L641" s="421" t="s">
        <v>5</v>
      </c>
      <c r="M641" s="759" t="s">
        <v>5</v>
      </c>
      <c r="N641" s="760" t="s">
        <v>9265</v>
      </c>
      <c r="O641" s="759" t="s">
        <v>5</v>
      </c>
      <c r="P641" s="421" t="s">
        <v>11802</v>
      </c>
      <c r="Q641" s="757"/>
      <c r="R641" s="757"/>
      <c r="S641" s="757"/>
      <c r="T641" s="757"/>
      <c r="U641" s="757"/>
      <c r="V641" s="757"/>
      <c r="W641" s="757"/>
      <c r="X641" s="757"/>
      <c r="Y641" s="757"/>
      <c r="Z641" s="757"/>
    </row>
    <row r="642" ht="12.75" customHeight="1">
      <c r="A642" s="758">
        <v>640.0</v>
      </c>
      <c r="B642" s="421" t="s">
        <v>12450</v>
      </c>
      <c r="C642" s="421" t="s">
        <v>12450</v>
      </c>
      <c r="D642" s="421" t="s">
        <v>4727</v>
      </c>
      <c r="E642" s="421" t="s">
        <v>13084</v>
      </c>
      <c r="F642" s="421" t="s">
        <v>11844</v>
      </c>
      <c r="G642" s="421" t="s">
        <v>5</v>
      </c>
      <c r="H642" s="421" t="s">
        <v>5</v>
      </c>
      <c r="I642" s="421" t="s">
        <v>5</v>
      </c>
      <c r="J642" s="421" t="s">
        <v>5</v>
      </c>
      <c r="K642" s="421" t="s">
        <v>5</v>
      </c>
      <c r="L642" s="421" t="s">
        <v>5</v>
      </c>
      <c r="M642" s="759" t="s">
        <v>5</v>
      </c>
      <c r="N642" s="760" t="s">
        <v>9265</v>
      </c>
      <c r="O642" s="759" t="s">
        <v>5</v>
      </c>
      <c r="P642" s="421" t="s">
        <v>11802</v>
      </c>
      <c r="Q642" s="757"/>
      <c r="R642" s="757"/>
      <c r="S642" s="757"/>
      <c r="T642" s="757"/>
      <c r="U642" s="757"/>
      <c r="V642" s="757"/>
      <c r="W642" s="757"/>
      <c r="X642" s="757"/>
      <c r="Y642" s="757"/>
      <c r="Z642" s="757"/>
    </row>
    <row r="643" ht="12.75" customHeight="1">
      <c r="A643" s="758">
        <v>641.0</v>
      </c>
      <c r="B643" s="421" t="s">
        <v>4728</v>
      </c>
      <c r="C643" s="421" t="s">
        <v>4728</v>
      </c>
      <c r="D643" s="421" t="s">
        <v>4727</v>
      </c>
      <c r="E643" s="421" t="s">
        <v>13085</v>
      </c>
      <c r="F643" s="421" t="s">
        <v>11844</v>
      </c>
      <c r="G643" s="421" t="s">
        <v>5</v>
      </c>
      <c r="H643" s="421" t="s">
        <v>5</v>
      </c>
      <c r="I643" s="421" t="s">
        <v>5</v>
      </c>
      <c r="J643" s="421" t="s">
        <v>5</v>
      </c>
      <c r="K643" s="421" t="s">
        <v>5</v>
      </c>
      <c r="L643" s="421" t="s">
        <v>5</v>
      </c>
      <c r="M643" s="759" t="s">
        <v>5</v>
      </c>
      <c r="N643" s="760" t="s">
        <v>9265</v>
      </c>
      <c r="O643" s="759" t="s">
        <v>5</v>
      </c>
      <c r="P643" s="421" t="s">
        <v>11802</v>
      </c>
      <c r="Q643" s="757"/>
      <c r="R643" s="757"/>
      <c r="S643" s="757"/>
      <c r="T643" s="757"/>
      <c r="U643" s="757"/>
      <c r="V643" s="757"/>
      <c r="W643" s="757"/>
      <c r="X643" s="757"/>
      <c r="Y643" s="757"/>
      <c r="Z643" s="757"/>
    </row>
    <row r="644" ht="12.75" customHeight="1">
      <c r="A644" s="758">
        <v>642.0</v>
      </c>
      <c r="B644" s="421" t="s">
        <v>74</v>
      </c>
      <c r="C644" s="421" t="s">
        <v>11791</v>
      </c>
      <c r="D644" s="421" t="s">
        <v>10527</v>
      </c>
      <c r="E644" s="421" t="s">
        <v>13086</v>
      </c>
      <c r="F644" s="421" t="s">
        <v>11850</v>
      </c>
      <c r="G644" s="421" t="s">
        <v>5</v>
      </c>
      <c r="H644" s="421" t="s">
        <v>5</v>
      </c>
      <c r="I644" s="421" t="s">
        <v>5</v>
      </c>
      <c r="J644" s="421" t="s">
        <v>5</v>
      </c>
      <c r="K644" s="421" t="s">
        <v>5</v>
      </c>
      <c r="L644" s="421" t="s">
        <v>5</v>
      </c>
      <c r="M644" s="759" t="s">
        <v>5</v>
      </c>
      <c r="N644" s="760" t="s">
        <v>9265</v>
      </c>
      <c r="O644" s="759" t="s">
        <v>5</v>
      </c>
      <c r="P644" s="421" t="s">
        <v>11802</v>
      </c>
      <c r="Q644" s="757"/>
      <c r="R644" s="757"/>
      <c r="S644" s="757"/>
      <c r="T644" s="757"/>
      <c r="U644" s="757"/>
      <c r="V644" s="757"/>
      <c r="W644" s="757"/>
      <c r="X644" s="757"/>
      <c r="Y644" s="757"/>
      <c r="Z644" s="757"/>
    </row>
    <row r="645" ht="12.75" customHeight="1">
      <c r="A645" s="758">
        <v>643.0</v>
      </c>
      <c r="B645" s="421" t="s">
        <v>12452</v>
      </c>
      <c r="C645" s="421" t="s">
        <v>9830</v>
      </c>
      <c r="D645" s="421" t="s">
        <v>2924</v>
      </c>
      <c r="E645" s="421" t="s">
        <v>13087</v>
      </c>
      <c r="F645" s="421" t="s">
        <v>11844</v>
      </c>
      <c r="G645" s="421" t="s">
        <v>5</v>
      </c>
      <c r="H645" s="421" t="s">
        <v>5</v>
      </c>
      <c r="I645" s="421" t="s">
        <v>11918</v>
      </c>
      <c r="J645" s="421" t="s">
        <v>5</v>
      </c>
      <c r="K645" s="421" t="s">
        <v>5</v>
      </c>
      <c r="L645" s="421" t="s">
        <v>5</v>
      </c>
      <c r="M645" s="759" t="s">
        <v>5</v>
      </c>
      <c r="N645" s="760" t="s">
        <v>9265</v>
      </c>
      <c r="O645" s="759" t="s">
        <v>5</v>
      </c>
      <c r="P645" s="421" t="s">
        <v>11802</v>
      </c>
      <c r="Q645" s="757"/>
      <c r="R645" s="757"/>
      <c r="S645" s="757"/>
      <c r="T645" s="757"/>
      <c r="U645" s="757"/>
      <c r="V645" s="757"/>
      <c r="W645" s="757"/>
      <c r="X645" s="757"/>
      <c r="Y645" s="757"/>
      <c r="Z645" s="757"/>
    </row>
    <row r="646" ht="12.75" customHeight="1">
      <c r="A646" s="758">
        <v>644.0</v>
      </c>
      <c r="B646" s="421" t="s">
        <v>12453</v>
      </c>
      <c r="C646" s="421" t="s">
        <v>3093</v>
      </c>
      <c r="D646" s="421" t="s">
        <v>2924</v>
      </c>
      <c r="E646" s="421" t="s">
        <v>13088</v>
      </c>
      <c r="F646" s="421" t="s">
        <v>11844</v>
      </c>
      <c r="G646" s="421" t="s">
        <v>5</v>
      </c>
      <c r="H646" s="421" t="s">
        <v>5</v>
      </c>
      <c r="I646" s="421" t="s">
        <v>11849</v>
      </c>
      <c r="J646" s="421" t="s">
        <v>5</v>
      </c>
      <c r="K646" s="421" t="s">
        <v>5</v>
      </c>
      <c r="L646" s="421" t="s">
        <v>5</v>
      </c>
      <c r="M646" s="759" t="s">
        <v>5</v>
      </c>
      <c r="N646" s="760" t="s">
        <v>9265</v>
      </c>
      <c r="O646" s="759" t="s">
        <v>5</v>
      </c>
      <c r="P646" s="421" t="s">
        <v>11802</v>
      </c>
      <c r="Q646" s="757"/>
      <c r="R646" s="757"/>
      <c r="S646" s="757"/>
      <c r="T646" s="757"/>
      <c r="U646" s="757"/>
      <c r="V646" s="757"/>
      <c r="W646" s="757"/>
      <c r="X646" s="757"/>
      <c r="Y646" s="757"/>
      <c r="Z646" s="757"/>
    </row>
    <row r="647" ht="12.75" customHeight="1">
      <c r="A647" s="758">
        <v>645.0</v>
      </c>
      <c r="B647" s="421" t="s">
        <v>12454</v>
      </c>
      <c r="C647" s="421" t="s">
        <v>11590</v>
      </c>
      <c r="D647" s="421" t="s">
        <v>75</v>
      </c>
      <c r="E647" s="421" t="s">
        <v>13089</v>
      </c>
      <c r="F647" s="421" t="s">
        <v>11844</v>
      </c>
      <c r="G647" s="421" t="s">
        <v>5</v>
      </c>
      <c r="H647" s="421" t="s">
        <v>5</v>
      </c>
      <c r="I647" s="421" t="s">
        <v>12455</v>
      </c>
      <c r="J647" s="421" t="s">
        <v>5</v>
      </c>
      <c r="K647" s="421" t="s">
        <v>5</v>
      </c>
      <c r="L647" s="421" t="s">
        <v>5</v>
      </c>
      <c r="M647" s="759" t="s">
        <v>5</v>
      </c>
      <c r="N647" s="760" t="s">
        <v>9265</v>
      </c>
      <c r="O647" s="759" t="s">
        <v>5</v>
      </c>
      <c r="P647" s="421" t="s">
        <v>11802</v>
      </c>
      <c r="Q647" s="757"/>
      <c r="R647" s="757"/>
      <c r="S647" s="757"/>
      <c r="T647" s="757"/>
      <c r="U647" s="757"/>
      <c r="V647" s="757"/>
      <c r="W647" s="757"/>
      <c r="X647" s="757"/>
      <c r="Y647" s="757"/>
      <c r="Z647" s="757"/>
    </row>
    <row r="648" ht="12.75" customHeight="1">
      <c r="A648" s="758">
        <v>646.0</v>
      </c>
      <c r="B648" s="421" t="s">
        <v>12454</v>
      </c>
      <c r="C648" s="421" t="s">
        <v>3101</v>
      </c>
      <c r="D648" s="421" t="s">
        <v>3100</v>
      </c>
      <c r="E648" s="421" t="s">
        <v>13090</v>
      </c>
      <c r="F648" s="421" t="s">
        <v>11854</v>
      </c>
      <c r="G648" s="421" t="s">
        <v>5</v>
      </c>
      <c r="H648" s="421" t="s">
        <v>5</v>
      </c>
      <c r="I648" s="421" t="s">
        <v>12455</v>
      </c>
      <c r="J648" s="421" t="s">
        <v>5</v>
      </c>
      <c r="K648" s="421" t="s">
        <v>5</v>
      </c>
      <c r="L648" s="421" t="s">
        <v>5</v>
      </c>
      <c r="M648" s="759" t="s">
        <v>5</v>
      </c>
      <c r="N648" s="760" t="s">
        <v>9265</v>
      </c>
      <c r="O648" s="759" t="s">
        <v>5</v>
      </c>
      <c r="P648" s="421" t="s">
        <v>11802</v>
      </c>
      <c r="Q648" s="757"/>
      <c r="R648" s="757"/>
      <c r="S648" s="757"/>
      <c r="T648" s="757"/>
      <c r="U648" s="757"/>
      <c r="V648" s="757"/>
      <c r="W648" s="757"/>
      <c r="X648" s="757"/>
      <c r="Y648" s="757"/>
      <c r="Z648" s="757"/>
    </row>
    <row r="649" ht="12.75" customHeight="1">
      <c r="A649" s="758">
        <v>647.0</v>
      </c>
      <c r="B649" s="421" t="s">
        <v>12456</v>
      </c>
      <c r="C649" s="421" t="s">
        <v>12457</v>
      </c>
      <c r="D649" s="421" t="s">
        <v>75</v>
      </c>
      <c r="E649" s="421" t="s">
        <v>13091</v>
      </c>
      <c r="F649" s="421" t="s">
        <v>11844</v>
      </c>
      <c r="G649" s="421" t="s">
        <v>5</v>
      </c>
      <c r="H649" s="421" t="s">
        <v>5</v>
      </c>
      <c r="I649" s="421" t="s">
        <v>12455</v>
      </c>
      <c r="J649" s="421" t="s">
        <v>5</v>
      </c>
      <c r="K649" s="421" t="s">
        <v>5</v>
      </c>
      <c r="L649" s="421" t="s">
        <v>5</v>
      </c>
      <c r="M649" s="759" t="s">
        <v>5</v>
      </c>
      <c r="N649" s="760" t="s">
        <v>9265</v>
      </c>
      <c r="O649" s="759" t="s">
        <v>5</v>
      </c>
      <c r="P649" s="421" t="s">
        <v>11802</v>
      </c>
      <c r="Q649" s="757"/>
      <c r="R649" s="757"/>
      <c r="S649" s="757"/>
      <c r="T649" s="757"/>
      <c r="U649" s="757"/>
      <c r="V649" s="757"/>
      <c r="W649" s="757"/>
      <c r="X649" s="757"/>
      <c r="Y649" s="757"/>
      <c r="Z649" s="757"/>
    </row>
    <row r="650" ht="12.75" customHeight="1">
      <c r="A650" s="758">
        <v>648.0</v>
      </c>
      <c r="B650" s="421" t="s">
        <v>12458</v>
      </c>
      <c r="C650" s="421" t="s">
        <v>3087</v>
      </c>
      <c r="D650" s="421" t="s">
        <v>3086</v>
      </c>
      <c r="E650" s="421" t="s">
        <v>13092</v>
      </c>
      <c r="F650" s="421" t="s">
        <v>11854</v>
      </c>
      <c r="G650" s="421" t="s">
        <v>5</v>
      </c>
      <c r="H650" s="421" t="s">
        <v>5</v>
      </c>
      <c r="I650" s="421" t="s">
        <v>12455</v>
      </c>
      <c r="J650" s="421" t="s">
        <v>5</v>
      </c>
      <c r="K650" s="421" t="s">
        <v>5</v>
      </c>
      <c r="L650" s="421" t="s">
        <v>5</v>
      </c>
      <c r="M650" s="759" t="s">
        <v>5</v>
      </c>
      <c r="N650" s="760" t="s">
        <v>9265</v>
      </c>
      <c r="O650" s="759" t="s">
        <v>5</v>
      </c>
      <c r="P650" s="421" t="s">
        <v>11802</v>
      </c>
      <c r="Q650" s="757"/>
      <c r="R650" s="757"/>
      <c r="S650" s="757"/>
      <c r="T650" s="757"/>
      <c r="U650" s="757"/>
      <c r="V650" s="757"/>
      <c r="W650" s="757"/>
      <c r="X650" s="757"/>
      <c r="Y650" s="757"/>
      <c r="Z650" s="757"/>
    </row>
    <row r="651" ht="12.75" customHeight="1">
      <c r="A651" s="758">
        <v>649.0</v>
      </c>
      <c r="B651" s="421" t="s">
        <v>12459</v>
      </c>
      <c r="C651" s="421" t="s">
        <v>3134</v>
      </c>
      <c r="D651" s="421" t="s">
        <v>3086</v>
      </c>
      <c r="E651" s="421" t="s">
        <v>13093</v>
      </c>
      <c r="F651" s="421" t="s">
        <v>11854</v>
      </c>
      <c r="G651" s="421" t="s">
        <v>5</v>
      </c>
      <c r="H651" s="421" t="s">
        <v>5</v>
      </c>
      <c r="I651" s="421" t="s">
        <v>12455</v>
      </c>
      <c r="J651" s="421" t="s">
        <v>5</v>
      </c>
      <c r="K651" s="421" t="s">
        <v>5</v>
      </c>
      <c r="L651" s="421" t="s">
        <v>5</v>
      </c>
      <c r="M651" s="759" t="s">
        <v>5</v>
      </c>
      <c r="N651" s="760" t="s">
        <v>9265</v>
      </c>
      <c r="O651" s="759" t="s">
        <v>5</v>
      </c>
      <c r="P651" s="421" t="s">
        <v>11802</v>
      </c>
      <c r="Q651" s="757"/>
      <c r="R651" s="757"/>
      <c r="S651" s="757"/>
      <c r="T651" s="757"/>
      <c r="U651" s="757"/>
      <c r="V651" s="757"/>
      <c r="W651" s="757"/>
      <c r="X651" s="757"/>
      <c r="Y651" s="757"/>
      <c r="Z651" s="757"/>
    </row>
    <row r="652" ht="12.75" customHeight="1">
      <c r="A652" s="758">
        <v>650.0</v>
      </c>
      <c r="B652" s="421" t="s">
        <v>12460</v>
      </c>
      <c r="C652" s="421" t="s">
        <v>12462</v>
      </c>
      <c r="D652" s="421" t="s">
        <v>75</v>
      </c>
      <c r="E652" s="421" t="s">
        <v>13094</v>
      </c>
      <c r="F652" s="421" t="s">
        <v>11854</v>
      </c>
      <c r="G652" s="421" t="s">
        <v>5</v>
      </c>
      <c r="H652" s="421" t="s">
        <v>5</v>
      </c>
      <c r="I652" s="421" t="s">
        <v>11849</v>
      </c>
      <c r="J652" s="421" t="s">
        <v>5</v>
      </c>
      <c r="K652" s="421" t="s">
        <v>5</v>
      </c>
      <c r="L652" s="421" t="s">
        <v>5</v>
      </c>
      <c r="M652" s="759" t="s">
        <v>5</v>
      </c>
      <c r="N652" s="760" t="s">
        <v>9265</v>
      </c>
      <c r="O652" s="759" t="s">
        <v>5</v>
      </c>
      <c r="P652" s="421" t="s">
        <v>11802</v>
      </c>
      <c r="Q652" s="757"/>
      <c r="R652" s="757"/>
      <c r="S652" s="757"/>
      <c r="T652" s="757"/>
      <c r="U652" s="757"/>
      <c r="V652" s="757"/>
      <c r="W652" s="757"/>
      <c r="X652" s="757"/>
      <c r="Y652" s="757"/>
      <c r="Z652" s="757"/>
    </row>
    <row r="653" ht="12.75" customHeight="1">
      <c r="A653" s="758">
        <v>651.0</v>
      </c>
      <c r="B653" s="421" t="s">
        <v>12463</v>
      </c>
      <c r="C653" s="421" t="s">
        <v>12464</v>
      </c>
      <c r="D653" s="421" t="s">
        <v>2924</v>
      </c>
      <c r="E653" s="421" t="s">
        <v>13095</v>
      </c>
      <c r="F653" s="421" t="s">
        <v>11844</v>
      </c>
      <c r="G653" s="421" t="s">
        <v>5</v>
      </c>
      <c r="H653" s="421" t="s">
        <v>5</v>
      </c>
      <c r="I653" s="421" t="s">
        <v>11969</v>
      </c>
      <c r="J653" s="421" t="s">
        <v>5</v>
      </c>
      <c r="K653" s="421" t="s">
        <v>5</v>
      </c>
      <c r="L653" s="421" t="s">
        <v>5</v>
      </c>
      <c r="M653" s="759" t="s">
        <v>5</v>
      </c>
      <c r="N653" s="760" t="s">
        <v>9265</v>
      </c>
      <c r="O653" s="759" t="s">
        <v>5</v>
      </c>
      <c r="P653" s="421" t="s">
        <v>11802</v>
      </c>
      <c r="Q653" s="757"/>
      <c r="R653" s="757"/>
      <c r="S653" s="757"/>
      <c r="T653" s="757"/>
      <c r="U653" s="757"/>
      <c r="V653" s="757"/>
      <c r="W653" s="757"/>
      <c r="X653" s="757"/>
      <c r="Y653" s="757"/>
      <c r="Z653" s="757"/>
    </row>
    <row r="654" ht="12.75" customHeight="1">
      <c r="A654" s="758">
        <v>652.0</v>
      </c>
      <c r="B654" s="421" t="s">
        <v>12465</v>
      </c>
      <c r="C654" s="421" t="s">
        <v>12467</v>
      </c>
      <c r="D654" s="421" t="s">
        <v>187</v>
      </c>
      <c r="E654" s="421" t="s">
        <v>13096</v>
      </c>
      <c r="F654" s="421" t="s">
        <v>11854</v>
      </c>
      <c r="G654" s="421" t="s">
        <v>5</v>
      </c>
      <c r="H654" s="421" t="s">
        <v>5</v>
      </c>
      <c r="I654" s="421" t="s">
        <v>11969</v>
      </c>
      <c r="J654" s="421" t="s">
        <v>5</v>
      </c>
      <c r="K654" s="421" t="s">
        <v>5</v>
      </c>
      <c r="L654" s="421" t="s">
        <v>5</v>
      </c>
      <c r="M654" s="759" t="s">
        <v>5</v>
      </c>
      <c r="N654" s="760" t="s">
        <v>9265</v>
      </c>
      <c r="O654" s="759" t="s">
        <v>5</v>
      </c>
      <c r="P654" s="421" t="s">
        <v>11802</v>
      </c>
      <c r="Q654" s="757"/>
      <c r="R654" s="757"/>
      <c r="S654" s="757"/>
      <c r="T654" s="757"/>
      <c r="U654" s="757"/>
      <c r="V654" s="757"/>
      <c r="W654" s="757"/>
      <c r="X654" s="757"/>
      <c r="Y654" s="757"/>
      <c r="Z654" s="757"/>
    </row>
    <row r="655" ht="12.75" customHeight="1">
      <c r="A655" s="758">
        <v>653.0</v>
      </c>
      <c r="B655" s="421" t="s">
        <v>12468</v>
      </c>
      <c r="C655" s="421" t="s">
        <v>8294</v>
      </c>
      <c r="D655" s="421" t="s">
        <v>187</v>
      </c>
      <c r="E655" s="421" t="s">
        <v>13097</v>
      </c>
      <c r="F655" s="421" t="s">
        <v>11854</v>
      </c>
      <c r="G655" s="421" t="s">
        <v>5</v>
      </c>
      <c r="H655" s="421" t="s">
        <v>5</v>
      </c>
      <c r="I655" s="421" t="s">
        <v>11969</v>
      </c>
      <c r="J655" s="421" t="s">
        <v>5</v>
      </c>
      <c r="K655" s="421" t="s">
        <v>5</v>
      </c>
      <c r="L655" s="421" t="s">
        <v>5</v>
      </c>
      <c r="M655" s="759" t="s">
        <v>5</v>
      </c>
      <c r="N655" s="760" t="s">
        <v>9265</v>
      </c>
      <c r="O655" s="759" t="s">
        <v>5</v>
      </c>
      <c r="P655" s="421" t="s">
        <v>11802</v>
      </c>
      <c r="Q655" s="757"/>
      <c r="R655" s="757"/>
      <c r="S655" s="757"/>
      <c r="T655" s="757"/>
      <c r="U655" s="757"/>
      <c r="V655" s="757"/>
      <c r="W655" s="757"/>
      <c r="X655" s="757"/>
      <c r="Y655" s="757"/>
      <c r="Z655" s="757"/>
    </row>
    <row r="656" ht="12.75" customHeight="1">
      <c r="A656" s="758">
        <v>654.0</v>
      </c>
      <c r="B656" s="421" t="s">
        <v>12469</v>
      </c>
      <c r="C656" s="421" t="s">
        <v>3113</v>
      </c>
      <c r="D656" s="421" t="s">
        <v>187</v>
      </c>
      <c r="E656" s="421" t="s">
        <v>13098</v>
      </c>
      <c r="F656" s="421" t="s">
        <v>11854</v>
      </c>
      <c r="G656" s="421" t="s">
        <v>5</v>
      </c>
      <c r="H656" s="421" t="s">
        <v>5</v>
      </c>
      <c r="I656" s="421" t="s">
        <v>11969</v>
      </c>
      <c r="J656" s="421" t="s">
        <v>5</v>
      </c>
      <c r="K656" s="421" t="s">
        <v>5</v>
      </c>
      <c r="L656" s="421" t="s">
        <v>5</v>
      </c>
      <c r="M656" s="759" t="s">
        <v>5</v>
      </c>
      <c r="N656" s="760" t="s">
        <v>9265</v>
      </c>
      <c r="O656" s="759" t="s">
        <v>5</v>
      </c>
      <c r="P656" s="421" t="s">
        <v>11802</v>
      </c>
      <c r="Q656" s="757"/>
      <c r="R656" s="757"/>
      <c r="S656" s="757"/>
      <c r="T656" s="757"/>
      <c r="U656" s="757"/>
      <c r="V656" s="757"/>
      <c r="W656" s="757"/>
      <c r="X656" s="757"/>
      <c r="Y656" s="757"/>
      <c r="Z656" s="757"/>
    </row>
    <row r="657" ht="12.75" customHeight="1">
      <c r="A657" s="758">
        <v>655.0</v>
      </c>
      <c r="B657" s="421" t="s">
        <v>12470</v>
      </c>
      <c r="C657" s="421" t="s">
        <v>2925</v>
      </c>
      <c r="D657" s="421" t="s">
        <v>2924</v>
      </c>
      <c r="E657" s="421" t="s">
        <v>13099</v>
      </c>
      <c r="F657" s="421" t="s">
        <v>11844</v>
      </c>
      <c r="G657" s="421" t="s">
        <v>5</v>
      </c>
      <c r="H657" s="421" t="s">
        <v>5</v>
      </c>
      <c r="I657" s="421" t="s">
        <v>11955</v>
      </c>
      <c r="J657" s="421" t="s">
        <v>5</v>
      </c>
      <c r="K657" s="421" t="s">
        <v>5</v>
      </c>
      <c r="L657" s="421" t="s">
        <v>5</v>
      </c>
      <c r="M657" s="759" t="s">
        <v>5</v>
      </c>
      <c r="N657" s="760" t="s">
        <v>9265</v>
      </c>
      <c r="O657" s="759" t="s">
        <v>5</v>
      </c>
      <c r="P657" s="421" t="s">
        <v>11802</v>
      </c>
      <c r="Q657" s="757"/>
      <c r="R657" s="757"/>
      <c r="S657" s="757"/>
      <c r="T657" s="757"/>
      <c r="U657" s="757"/>
      <c r="V657" s="757"/>
      <c r="W657" s="757"/>
      <c r="X657" s="757"/>
      <c r="Y657" s="757"/>
      <c r="Z657" s="757"/>
    </row>
    <row r="658" ht="12.75" customHeight="1">
      <c r="A658" s="758">
        <v>656.0</v>
      </c>
      <c r="B658" s="421" t="s">
        <v>7480</v>
      </c>
      <c r="C658" s="421" t="s">
        <v>7479</v>
      </c>
      <c r="D658" s="421" t="s">
        <v>2924</v>
      </c>
      <c r="E658" s="421" t="s">
        <v>13100</v>
      </c>
      <c r="F658" s="421" t="s">
        <v>11844</v>
      </c>
      <c r="G658" s="421" t="s">
        <v>5</v>
      </c>
      <c r="H658" s="421" t="s">
        <v>5</v>
      </c>
      <c r="I658" s="421" t="s">
        <v>11955</v>
      </c>
      <c r="J658" s="421" t="s">
        <v>5</v>
      </c>
      <c r="K658" s="421" t="s">
        <v>5</v>
      </c>
      <c r="L658" s="421" t="s">
        <v>5</v>
      </c>
      <c r="M658" s="759" t="s">
        <v>5</v>
      </c>
      <c r="N658" s="760" t="s">
        <v>9265</v>
      </c>
      <c r="O658" s="759" t="s">
        <v>5</v>
      </c>
      <c r="P658" s="421" t="s">
        <v>11802</v>
      </c>
      <c r="Q658" s="757"/>
      <c r="R658" s="757"/>
      <c r="S658" s="757"/>
      <c r="T658" s="757"/>
      <c r="U658" s="757"/>
      <c r="V658" s="757"/>
      <c r="W658" s="757"/>
      <c r="X658" s="757"/>
      <c r="Y658" s="757"/>
      <c r="Z658" s="757"/>
    </row>
    <row r="659" ht="12.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2.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2.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2.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2.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2.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2.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2.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2.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2.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2.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2.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2.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2.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2.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2.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2.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2.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2.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2.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2.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2.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2.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2.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2.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2.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2.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2.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2.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2.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2.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2.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2.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2.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2.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2.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2.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2.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2.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2.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2.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2.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2.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2.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2.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2.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2.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2.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2.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2.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2.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2.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2.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2.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2.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2.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2.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2.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2.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2.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2.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2.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2.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2.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2.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2.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2.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2.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2.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2.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2.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2.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2.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2.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2.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2.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2.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2.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2.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2.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2.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2.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2.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2.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2.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2.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2.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2.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2.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2.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2.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2.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2.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2.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2.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2.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2.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2.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2.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2.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2.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2.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2.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2.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2.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2.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2.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2.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2.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2.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2.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2.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2.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2.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2.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2.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2.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2.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2.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2.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2.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2.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2.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2.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2.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2.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2.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2.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2.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2.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2.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2.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2.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2.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2.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2.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2.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2.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2.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2.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2.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2.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2.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2.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2.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2.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2.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2.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2.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2.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2.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2.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2.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2.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2.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2.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2.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2.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2.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2.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2.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2.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2.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2.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2.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2.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2.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2.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2.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2.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2.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2.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2.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2.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2.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2.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2.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2.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2.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2.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2.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2.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2.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2.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2.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2.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2.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2.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2.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2.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2.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2.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2.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2.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2.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2.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2.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2.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2.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2.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2.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2.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2.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2.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2.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2.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2.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2.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2.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2.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2.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2.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2.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2.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2.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2.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2.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2.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2.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2.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2.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2.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2.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2.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2.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2.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2.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2.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2.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2.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2.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2.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2.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2.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2.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2.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2.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2.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2.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2.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2.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2.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2.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2.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2.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2.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2.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2.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2.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2.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2.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2.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2.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2.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2.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2.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2.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2.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2.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2.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2.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2.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2.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2.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2.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2.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2.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2.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2.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2.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2.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2.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2.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2.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2.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2.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2.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2.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2.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2.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2.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2.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2.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2.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2.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2.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2.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2.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2.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2.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2.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2.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2.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2.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2.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2.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2.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2.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2.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2.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2.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2.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2.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2.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2.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2.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2.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2.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2.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2.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2.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2.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2.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2.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2.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2.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2.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2.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2.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2.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2.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2.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2.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2.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2.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2.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2.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2.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2.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2.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2.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2.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2.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2.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2.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2.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2.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2.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2.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2.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2.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2.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autoFilter ref="$A$2:$P$658"/>
  <mergeCells count="1">
    <mergeCell ref="A1:P1"/>
  </mergeCells>
  <printOptions/>
  <pageMargins bottom="1.0" footer="0.0" header="0.0" left="0.75" right="0.75" top="1.0"/>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2019-06-09T21:16:55Z</dcterms:created>
  <dc:creator>Lan Nguyen</dc:creator>
</cp:coreProperties>
</file>